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/>
  <mc:AlternateContent xmlns:mc="http://schemas.openxmlformats.org/markup-compatibility/2006">
    <mc:Choice Requires="x15">
      <x15ac:absPath xmlns:x15ac="http://schemas.microsoft.com/office/spreadsheetml/2010/11/ac" url="D:\DEC\193018_GCDT\Bill_of_Quantity\Final3สัญญาแก้ไข14112021\C\"/>
    </mc:Choice>
  </mc:AlternateContent>
  <xr:revisionPtr revIDLastSave="0" documentId="13_ncr:1_{29E113B1-5AE4-42C8-A12C-CB1FB01BA604}" xr6:coauthVersionLast="47" xr6:coauthVersionMax="47" xr10:uidLastSave="{00000000-0000-0000-0000-000000000000}"/>
  <bookViews>
    <workbookView xWindow="-96" yWindow="-96" windowWidth="23232" windowHeight="12552" tabRatio="939" firstSheet="2" activeTab="2" xr2:uid="{00000000-000D-0000-FFFF-FFFF00000000}"/>
  </bookViews>
  <sheets>
    <sheet name="ปร.6" sheetId="282" r:id="rId1"/>
    <sheet name="ปร.5(ก)อาคาร" sheetId="283" r:id="rId2"/>
    <sheet name="Sum-ศูนย์ประชุม" sheetId="284" r:id="rId3"/>
    <sheet name="01.ST ศูนย์ประชุม" sheetId="286" r:id="rId4"/>
    <sheet name="02.AR CONVENTION" sheetId="773" r:id="rId5"/>
    <sheet name="03.SUM-EE-ศูนย์ประชุม" sheetId="774" r:id="rId6"/>
    <sheet name="03.EE-ศูนย์ประชุม (Main)" sheetId="775" r:id="rId7"/>
    <sheet name="03.EE-ศูนย์ประชุม (B2)" sheetId="776" r:id="rId8"/>
    <sheet name="03.EE-ศูนย์ประชุม (B1)" sheetId="777" r:id="rId9"/>
    <sheet name="03.EE-ศูนย์ประชุม (1FL)" sheetId="778" r:id="rId10"/>
    <sheet name="03.EE-ศูนย์ประชุม (2FL)" sheetId="779" r:id="rId11"/>
    <sheet name="03.EE-ศูนย์ประชุม (3FL)" sheetId="780" r:id="rId12"/>
    <sheet name="03.EE-ศูนย์ประชุม (4FL)" sheetId="781" r:id="rId13"/>
    <sheet name="03.EE-ศูนย์ประชุม (5FL)" sheetId="782" r:id="rId14"/>
    <sheet name="03.EE-ศูนย์ประชุม (6FL)" sheetId="783" r:id="rId15"/>
    <sheet name="03.EE-ศูนย์ประชุม (7FL)" sheetId="784" r:id="rId16"/>
    <sheet name="03.EE-ศูนย์ประชุม (8FL)" sheetId="785" r:id="rId17"/>
    <sheet name="03.EE-ศูนย์ประชุม (RFL)" sheetId="786" r:id="rId18"/>
    <sheet name="04.SUM-TV.ศูนย์ประชุม" sheetId="720" r:id="rId19"/>
    <sheet name="04.TV.ศูนย์ประชุม (Main)" sheetId="721" r:id="rId20"/>
    <sheet name="04.TV.ศูนย์ประชุม (B2)" sheetId="722" r:id="rId21"/>
    <sheet name="04.TV.ศูนย์ประชุม (B1)" sheetId="723" r:id="rId22"/>
    <sheet name="04.TV.ศูนย์ประชุม (1FL)" sheetId="724" r:id="rId23"/>
    <sheet name="04.TV.ศูนย์ประชุม (2FL)" sheetId="725" r:id="rId24"/>
    <sheet name="04.TV.ศูนย์ประชุม (3FL)" sheetId="726" r:id="rId25"/>
    <sheet name="04.TV.ศูนย์ประชุม (4FL)" sheetId="727" r:id="rId26"/>
    <sheet name="04.TV.ศูนย์ประชุม (5FL)" sheetId="728" r:id="rId27"/>
    <sheet name="04.TV.ศูนย์ประชุม (6FL)" sheetId="729" r:id="rId28"/>
    <sheet name="04.TV.ศูนย์ประชุม (7FL)" sheetId="730" r:id="rId29"/>
    <sheet name="04.TV.ศูนย์ประชุม (8FL)" sheetId="731" r:id="rId30"/>
    <sheet name="05.SUM-SAN ศูนย์ประชุม" sheetId="732" r:id="rId31"/>
    <sheet name="05.SAN ศูนย์ประชุม(Main)" sheetId="733" r:id="rId32"/>
    <sheet name="05.SAN ศูนย์ประชุม(B2)" sheetId="734" r:id="rId33"/>
    <sheet name="05.SAN ศูนย์ประชุม(B1)" sheetId="735" r:id="rId34"/>
    <sheet name="05.SAN ศูนย์ประชุม (FL1)" sheetId="736" r:id="rId35"/>
    <sheet name="05.SAN ศูนย์ประชุม (FL2)" sheetId="737" r:id="rId36"/>
    <sheet name="05.SAN ศูนย์ประชุม (FL3)" sheetId="738" r:id="rId37"/>
    <sheet name="05.SAN ศูนย์ประชุม (FL4)" sheetId="739" r:id="rId38"/>
    <sheet name="05.SANศูนย์ประชุม (FL5)" sheetId="740" r:id="rId39"/>
    <sheet name="05.SAN ศูนย์ประชุม (FL6)" sheetId="741" r:id="rId40"/>
    <sheet name="05.SAN ศูนย์ประชุม (FL7)" sheetId="742" r:id="rId41"/>
    <sheet name="05.SAN อศูนย์ประชุม (FL8)" sheetId="743" r:id="rId42"/>
    <sheet name="05.SAN ศูนย์ประชุม (FLR)" sheetId="744" r:id="rId43"/>
    <sheet name="06.SUM-FP ศูนย์ประชุม" sheetId="745" r:id="rId44"/>
    <sheet name="06.FP ศูนย์ประชุม(Main)" sheetId="746" r:id="rId45"/>
    <sheet name="06.FP ศูนย์ประชุม(B2)" sheetId="747" r:id="rId46"/>
    <sheet name="06.FP ศูนย์ประชุม(B1)" sheetId="748" r:id="rId47"/>
    <sheet name="06.FP ศูนย์ประชุม (FL1)" sheetId="749" r:id="rId48"/>
    <sheet name="06.FP ศูนย์ประชุม (FL2)" sheetId="750" r:id="rId49"/>
    <sheet name="06.FP ศูนย์ประชุม (FL3)" sheetId="751" r:id="rId50"/>
    <sheet name="06.FP ศูนย์ประชุม (FL4)" sheetId="752" r:id="rId51"/>
    <sheet name="06.FP ศูนย์ประชุม (FL5)" sheetId="753" r:id="rId52"/>
    <sheet name="06.FP ศูนย์ประชุม (FL6)" sheetId="754" r:id="rId53"/>
    <sheet name="06.FP ศูนย์ประชุม (FL7)" sheetId="755" r:id="rId54"/>
    <sheet name="06.FP ศูนย์ประชุม (FL8)" sheetId="756" r:id="rId55"/>
    <sheet name="06.FP ศูนย์ประชุม (FLR)" sheetId="757" r:id="rId56"/>
    <sheet name="06.SUM-AC ศูนย์ประชุม" sheetId="758" r:id="rId57"/>
    <sheet name="06.AC ศูนย์ประชุม (Main)" sheetId="759" r:id="rId58"/>
    <sheet name="06.AC ศูนย์ประชุม (B2FL)" sheetId="760" r:id="rId59"/>
    <sheet name="06.AC ศูนย์ประชุม (B1FL)" sheetId="761" r:id="rId60"/>
    <sheet name="06.AC ศูนย์ประชุม (1FL)" sheetId="762" r:id="rId61"/>
    <sheet name="06.AC ศูนย์ประชุม (2FL)" sheetId="763" r:id="rId62"/>
    <sheet name="06.AC ศูนย์ประชุม (3FL)" sheetId="764" r:id="rId63"/>
    <sheet name="06.AC ศูนย์ประชุม (4FL)" sheetId="765" r:id="rId64"/>
    <sheet name="06.AC ศูนย์ประชุม (5FL)" sheetId="766" r:id="rId65"/>
    <sheet name="06.AC ศูนย์ประชุม (6FL)" sheetId="767" r:id="rId66"/>
    <sheet name="06.AC ศูนย์ประชุม (7FL)" sheetId="768" r:id="rId67"/>
    <sheet name="06.AC ศูนย์ประชุม (8FL)" sheetId="769" r:id="rId68"/>
    <sheet name="06.AC ศูนย์ประชุม (RFL)" sheetId="770" r:id="rId69"/>
    <sheet name="08.LPG-ศูนย์ประชุม" sheetId="771" r:id="rId70"/>
    <sheet name="09.LIFT-ศูนย์ประชุม" sheetId="772" r:id="rId71"/>
    <sheet name="07-HARDSCAPE-อาคารเอเทรี่ยม" sheetId="500" r:id="rId72"/>
    <sheet name="ปร.4 (พ)" sheetId="356" r:id="rId73"/>
    <sheet name="แบบแสดงการคำนวณค่าใช้จ่ายพิเศษ" sheetId="357" r:id="rId74"/>
    <sheet name="Factor F" sheetId="281" r:id="rId75"/>
  </sheets>
  <externalReferences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\a" localSheetId="3">#REF!</definedName>
    <definedName name="\a" localSheetId="4">#REF!</definedName>
    <definedName name="\a" localSheetId="5">#REF!</definedName>
    <definedName name="\a" localSheetId="18">#REF!</definedName>
    <definedName name="\a" localSheetId="30">#REF!</definedName>
    <definedName name="\a" localSheetId="56">#REF!</definedName>
    <definedName name="\a" localSheetId="43">#REF!</definedName>
    <definedName name="\a" localSheetId="71">#REF!</definedName>
    <definedName name="\a" localSheetId="69">#REF!</definedName>
    <definedName name="\a" localSheetId="70">#REF!</definedName>
    <definedName name="\a" localSheetId="74">#REF!</definedName>
    <definedName name="\a" localSheetId="2">#REF!</definedName>
    <definedName name="\a">#REF!</definedName>
    <definedName name="\z" localSheetId="3">#REF!</definedName>
    <definedName name="\z" localSheetId="4">#REF!</definedName>
    <definedName name="\z" localSheetId="71">#REF!</definedName>
    <definedName name="\z" localSheetId="69">#REF!</definedName>
    <definedName name="\z" localSheetId="70">#REF!</definedName>
    <definedName name="\z" localSheetId="2">#REF!</definedName>
    <definedName name="\z">#REF!</definedName>
    <definedName name="_________con2" localSheetId="3">#REF!</definedName>
    <definedName name="_________con2" localSheetId="4">#REF!</definedName>
    <definedName name="_________con2" localSheetId="71">#REF!</definedName>
    <definedName name="_________con2" localSheetId="69">#REF!</definedName>
    <definedName name="_________con2" localSheetId="70">#REF!</definedName>
    <definedName name="_________con2" localSheetId="2">#REF!</definedName>
    <definedName name="_________con2">#REF!</definedName>
    <definedName name="_________con3" localSheetId="3">#REF!</definedName>
    <definedName name="_________con3" localSheetId="4">#REF!</definedName>
    <definedName name="_________con3" localSheetId="71">#REF!</definedName>
    <definedName name="_________con3" localSheetId="2">#REF!</definedName>
    <definedName name="_________con3">#REF!</definedName>
    <definedName name="_________con4" localSheetId="3">#REF!</definedName>
    <definedName name="_________con4" localSheetId="4">#REF!</definedName>
    <definedName name="_________con4" localSheetId="71">#REF!</definedName>
    <definedName name="_________con4" localSheetId="2">#REF!</definedName>
    <definedName name="_________con4">#REF!</definedName>
    <definedName name="_________st1" localSheetId="3">#REF!</definedName>
    <definedName name="_________st1" localSheetId="4">#REF!</definedName>
    <definedName name="_________st1" localSheetId="71">#REF!</definedName>
    <definedName name="_________st1" localSheetId="2">#REF!</definedName>
    <definedName name="_________st1">#REF!</definedName>
    <definedName name="_________st2" localSheetId="3">#REF!</definedName>
    <definedName name="_________st2" localSheetId="4">#REF!</definedName>
    <definedName name="_________st2" localSheetId="71">#REF!</definedName>
    <definedName name="_________st2" localSheetId="2">#REF!</definedName>
    <definedName name="_________st2">#REF!</definedName>
    <definedName name="________con1" localSheetId="3">#REF!</definedName>
    <definedName name="________con1" localSheetId="4">#REF!</definedName>
    <definedName name="________con1" localSheetId="71">#REF!</definedName>
    <definedName name="________con1" localSheetId="2">#REF!</definedName>
    <definedName name="________con1">#REF!</definedName>
    <definedName name="________con11" localSheetId="3">#REF!</definedName>
    <definedName name="________con11" localSheetId="4">#REF!</definedName>
    <definedName name="________con11" localSheetId="71">#REF!</definedName>
    <definedName name="________con11" localSheetId="2">#REF!</definedName>
    <definedName name="________con11">#REF!</definedName>
    <definedName name="________con2" localSheetId="3">#REF!</definedName>
    <definedName name="________con2" localSheetId="4">#REF!</definedName>
    <definedName name="________con2" localSheetId="71">#REF!</definedName>
    <definedName name="________con2" localSheetId="2">#REF!</definedName>
    <definedName name="________con2">#REF!</definedName>
    <definedName name="________con3" localSheetId="3">#REF!</definedName>
    <definedName name="________con3" localSheetId="4">#REF!</definedName>
    <definedName name="________con3" localSheetId="71">#REF!</definedName>
    <definedName name="________con3" localSheetId="2">#REF!</definedName>
    <definedName name="________con3">#REF!</definedName>
    <definedName name="________con4" localSheetId="3">#REF!</definedName>
    <definedName name="________con4" localSheetId="4">#REF!</definedName>
    <definedName name="________con4" localSheetId="71">#REF!</definedName>
    <definedName name="________con4" localSheetId="2">#REF!</definedName>
    <definedName name="________con4">#REF!</definedName>
    <definedName name="________FAC1" localSheetId="71">[1]สรุป!$C$307</definedName>
    <definedName name="________FAC1">[2]สรุป!$C$307</definedName>
    <definedName name="________fws1" localSheetId="3">'[3]11 ข้อมูลงานCon'!$AB$30</definedName>
    <definedName name="________fws1" localSheetId="69">'[3]11 ข้อมูลงานCon'!$AB$30</definedName>
    <definedName name="________fws1" localSheetId="70">'[3]11 ข้อมูลงานCon'!$AB$30</definedName>
    <definedName name="________fws1" localSheetId="74">'[3]11 ข้อมูลงานCon'!$AB$30</definedName>
    <definedName name="________fws1" localSheetId="2">'[3]11 ข้อมูลงานCon'!$AB$30</definedName>
    <definedName name="________fws1">'[3]11 ข้อมูลงานCon'!$AB$30</definedName>
    <definedName name="________rb1" localSheetId="3">'[4]10 ข้อมูลวัสดุ-ค่าดำเนิน'!$X$15</definedName>
    <definedName name="________rb1" localSheetId="69">'[4]10 ข้อมูลวัสดุ-ค่าดำเนิน'!$X$15</definedName>
    <definedName name="________rb1" localSheetId="70">'[4]10 ข้อมูลวัสดุ-ค่าดำเนิน'!$X$15</definedName>
    <definedName name="________rb1" localSheetId="74">'[4]10 ข้อมูลวัสดุ-ค่าดำเนิน'!$X$15</definedName>
    <definedName name="________rb1" localSheetId="2">'[4]10 ข้อมูลวัสดุ-ค่าดำเนิน'!$X$15</definedName>
    <definedName name="________rb1">'[4]10 ข้อมูลวัสดุ-ค่าดำเนิน'!$X$15</definedName>
    <definedName name="________sb1" localSheetId="3">'[3]12 ข้อมูลงานไม้แบบ'!$W$29</definedName>
    <definedName name="________sb1" localSheetId="69">'[3]12 ข้อมูลงานไม้แบบ'!$W$29</definedName>
    <definedName name="________sb1" localSheetId="70">'[3]12 ข้อมูลงานไม้แบบ'!$W$29</definedName>
    <definedName name="________sb1" localSheetId="74">'[3]12 ข้อมูลงานไม้แบบ'!$W$29</definedName>
    <definedName name="________sb1" localSheetId="2">'[3]12 ข้อมูลงานไม้แบบ'!$W$29</definedName>
    <definedName name="________sb1">'[3]12 ข้อมูลงานไม้แบบ'!$W$29</definedName>
    <definedName name="________sd30" localSheetId="3">#REF!</definedName>
    <definedName name="________sd30" localSheetId="4">#REF!</definedName>
    <definedName name="________sd30" localSheetId="71">#REF!</definedName>
    <definedName name="________sd30" localSheetId="69">#REF!</definedName>
    <definedName name="________sd30" localSheetId="70">#REF!</definedName>
    <definedName name="________sd30" localSheetId="74">#REF!</definedName>
    <definedName name="________sd30" localSheetId="2">#REF!</definedName>
    <definedName name="________sd30">#REF!</definedName>
    <definedName name="________sd40" localSheetId="3">#REF!</definedName>
    <definedName name="________sd40" localSheetId="4">#REF!</definedName>
    <definedName name="________sd40" localSheetId="71">#REF!</definedName>
    <definedName name="________sd40" localSheetId="69">#REF!</definedName>
    <definedName name="________sd40" localSheetId="70">#REF!</definedName>
    <definedName name="________sd40" localSheetId="2">#REF!</definedName>
    <definedName name="________sd40">#REF!</definedName>
    <definedName name="________st1" localSheetId="3">#REF!</definedName>
    <definedName name="________st1" localSheetId="4">#REF!</definedName>
    <definedName name="________st1" localSheetId="71">#REF!</definedName>
    <definedName name="________st1" localSheetId="69">#REF!</definedName>
    <definedName name="________st1" localSheetId="70">#REF!</definedName>
    <definedName name="________st1" localSheetId="2">#REF!</definedName>
    <definedName name="________st1">#REF!</definedName>
    <definedName name="________st2" localSheetId="3">#REF!</definedName>
    <definedName name="________st2" localSheetId="4">#REF!</definedName>
    <definedName name="________st2" localSheetId="71">#REF!</definedName>
    <definedName name="________st2" localSheetId="2">#REF!</definedName>
    <definedName name="________st2">#REF!</definedName>
    <definedName name="________st3" localSheetId="3">#REF!</definedName>
    <definedName name="________st3" localSheetId="4">#REF!</definedName>
    <definedName name="________st3" localSheetId="71">#REF!</definedName>
    <definedName name="________st3" localSheetId="2">#REF!</definedName>
    <definedName name="________st3">#REF!</definedName>
    <definedName name="________wb1" localSheetId="3">'[4]10 ข้อมูลวัสดุ-ค่าดำเนิน'!$X$19</definedName>
    <definedName name="________wb1" localSheetId="69">'[4]10 ข้อมูลวัสดุ-ค่าดำเนิน'!$X$19</definedName>
    <definedName name="________wb1" localSheetId="70">'[4]10 ข้อมูลวัสดุ-ค่าดำเนิน'!$X$19</definedName>
    <definedName name="________wb1" localSheetId="74">'[4]10 ข้อมูลวัสดุ-ค่าดำเนิน'!$X$19</definedName>
    <definedName name="________wb1" localSheetId="2">'[4]10 ข้อมูลวัสดุ-ค่าดำเนิน'!$X$19</definedName>
    <definedName name="________wb1">'[4]10 ข้อมูลวัสดุ-ค่าดำเนิน'!$X$19</definedName>
    <definedName name="_______con1" localSheetId="3">#REF!</definedName>
    <definedName name="_______con1" localSheetId="4">#REF!</definedName>
    <definedName name="_______con1" localSheetId="71">#REF!</definedName>
    <definedName name="_______con1" localSheetId="69">#REF!</definedName>
    <definedName name="_______con1" localSheetId="70">#REF!</definedName>
    <definedName name="_______con1" localSheetId="74">#REF!</definedName>
    <definedName name="_______con1" localSheetId="2">#REF!</definedName>
    <definedName name="_______con1">#REF!</definedName>
    <definedName name="_______con11" localSheetId="3">#REF!</definedName>
    <definedName name="_______con11" localSheetId="4">#REF!</definedName>
    <definedName name="_______con11" localSheetId="71">#REF!</definedName>
    <definedName name="_______con11" localSheetId="69">#REF!</definedName>
    <definedName name="_______con11" localSheetId="70">#REF!</definedName>
    <definedName name="_______con11" localSheetId="2">#REF!</definedName>
    <definedName name="_______con11">#REF!</definedName>
    <definedName name="_______con2" localSheetId="3">#REF!</definedName>
    <definedName name="_______con2" localSheetId="4">#REF!</definedName>
    <definedName name="_______con2" localSheetId="71">#REF!</definedName>
    <definedName name="_______con2" localSheetId="69">#REF!</definedName>
    <definedName name="_______con2" localSheetId="70">#REF!</definedName>
    <definedName name="_______con2" localSheetId="2">#REF!</definedName>
    <definedName name="_______con2">#REF!</definedName>
    <definedName name="_______con3" localSheetId="3">#REF!</definedName>
    <definedName name="_______con3" localSheetId="4">#REF!</definedName>
    <definedName name="_______con3" localSheetId="71">#REF!</definedName>
    <definedName name="_______con3" localSheetId="2">#REF!</definedName>
    <definedName name="_______con3">#REF!</definedName>
    <definedName name="_______con4" localSheetId="3">#REF!</definedName>
    <definedName name="_______con4" localSheetId="4">#REF!</definedName>
    <definedName name="_______con4" localSheetId="71">#REF!</definedName>
    <definedName name="_______con4" localSheetId="2">#REF!</definedName>
    <definedName name="_______con4">#REF!</definedName>
    <definedName name="_______FAC1" localSheetId="71">[1]สรุป!$C$307</definedName>
    <definedName name="_______FAC1">[2]สรุป!$C$307</definedName>
    <definedName name="_______fws1" localSheetId="3">'[3]11 ข้อมูลงานCon'!$AB$30</definedName>
    <definedName name="_______fws1" localSheetId="69">'[3]11 ข้อมูลงานCon'!$AB$30</definedName>
    <definedName name="_______fws1" localSheetId="70">'[3]11 ข้อมูลงานCon'!$AB$30</definedName>
    <definedName name="_______fws1" localSheetId="74">'[3]11 ข้อมูลงานCon'!$AB$30</definedName>
    <definedName name="_______fws1" localSheetId="2">'[3]11 ข้อมูลงานCon'!$AB$30</definedName>
    <definedName name="_______fws1">'[3]11 ข้อมูลงานCon'!$AB$30</definedName>
    <definedName name="_______rb1" localSheetId="3">'[4]10 ข้อมูลวัสดุ-ค่าดำเนิน'!$X$15</definedName>
    <definedName name="_______rb1" localSheetId="69">'[4]10 ข้อมูลวัสดุ-ค่าดำเนิน'!$X$15</definedName>
    <definedName name="_______rb1" localSheetId="70">'[4]10 ข้อมูลวัสดุ-ค่าดำเนิน'!$X$15</definedName>
    <definedName name="_______rb1" localSheetId="74">'[4]10 ข้อมูลวัสดุ-ค่าดำเนิน'!$X$15</definedName>
    <definedName name="_______rb1" localSheetId="2">'[4]10 ข้อมูลวัสดุ-ค่าดำเนิน'!$X$15</definedName>
    <definedName name="_______rb1">'[4]10 ข้อมูลวัสดุ-ค่าดำเนิน'!$X$15</definedName>
    <definedName name="_______sb1" localSheetId="3">'[3]12 ข้อมูลงานไม้แบบ'!$W$29</definedName>
    <definedName name="_______sb1" localSheetId="69">'[3]12 ข้อมูลงานไม้แบบ'!$W$29</definedName>
    <definedName name="_______sb1" localSheetId="70">'[3]12 ข้อมูลงานไม้แบบ'!$W$29</definedName>
    <definedName name="_______sb1" localSheetId="74">'[3]12 ข้อมูลงานไม้แบบ'!$W$29</definedName>
    <definedName name="_______sb1" localSheetId="2">'[3]12 ข้อมูลงานไม้แบบ'!$W$29</definedName>
    <definedName name="_______sb1">'[3]12 ข้อมูลงานไม้แบบ'!$W$29</definedName>
    <definedName name="_______sd30" localSheetId="3">#REF!</definedName>
    <definedName name="_______sd30" localSheetId="4">#REF!</definedName>
    <definedName name="_______sd30" localSheetId="71">#REF!</definedName>
    <definedName name="_______sd30" localSheetId="69">#REF!</definedName>
    <definedName name="_______sd30" localSheetId="70">#REF!</definedName>
    <definedName name="_______sd30" localSheetId="74">#REF!</definedName>
    <definedName name="_______sd30" localSheetId="2">#REF!</definedName>
    <definedName name="_______sd30">#REF!</definedName>
    <definedName name="_______sd40" localSheetId="3">#REF!</definedName>
    <definedName name="_______sd40" localSheetId="4">#REF!</definedName>
    <definedName name="_______sd40" localSheetId="71">#REF!</definedName>
    <definedName name="_______sd40" localSheetId="69">#REF!</definedName>
    <definedName name="_______sd40" localSheetId="70">#REF!</definedName>
    <definedName name="_______sd40" localSheetId="2">#REF!</definedName>
    <definedName name="_______sd40">#REF!</definedName>
    <definedName name="_______st1" localSheetId="3">#REF!</definedName>
    <definedName name="_______st1" localSheetId="4">#REF!</definedName>
    <definedName name="_______st1" localSheetId="71">#REF!</definedName>
    <definedName name="_______st1" localSheetId="69">#REF!</definedName>
    <definedName name="_______st1" localSheetId="70">#REF!</definedName>
    <definedName name="_______st1" localSheetId="2">#REF!</definedName>
    <definedName name="_______st1">#REF!</definedName>
    <definedName name="_______st2" localSheetId="3">#REF!</definedName>
    <definedName name="_______st2" localSheetId="4">#REF!</definedName>
    <definedName name="_______st2" localSheetId="71">#REF!</definedName>
    <definedName name="_______st2" localSheetId="2">#REF!</definedName>
    <definedName name="_______st2">#REF!</definedName>
    <definedName name="_______st3" localSheetId="3">#REF!</definedName>
    <definedName name="_______st3" localSheetId="4">#REF!</definedName>
    <definedName name="_______st3" localSheetId="71">#REF!</definedName>
    <definedName name="_______st3" localSheetId="2">#REF!</definedName>
    <definedName name="_______st3">#REF!</definedName>
    <definedName name="_______wb1" localSheetId="3">'[4]10 ข้อมูลวัสดุ-ค่าดำเนิน'!$X$19</definedName>
    <definedName name="_______wb1" localSheetId="69">'[4]10 ข้อมูลวัสดุ-ค่าดำเนิน'!$X$19</definedName>
    <definedName name="_______wb1" localSheetId="70">'[4]10 ข้อมูลวัสดุ-ค่าดำเนิน'!$X$19</definedName>
    <definedName name="_______wb1" localSheetId="74">'[4]10 ข้อมูลวัสดุ-ค่าดำเนิน'!$X$19</definedName>
    <definedName name="_______wb1" localSheetId="2">'[4]10 ข้อมูลวัสดุ-ค่าดำเนิน'!$X$19</definedName>
    <definedName name="_______wb1">'[4]10 ข้อมูลวัสดุ-ค่าดำเนิน'!$X$19</definedName>
    <definedName name="______con1" localSheetId="3">#REF!</definedName>
    <definedName name="______con1" localSheetId="4">#REF!</definedName>
    <definedName name="______con1" localSheetId="71">#REF!</definedName>
    <definedName name="______con1" localSheetId="69">#REF!</definedName>
    <definedName name="______con1" localSheetId="70">#REF!</definedName>
    <definedName name="______con1" localSheetId="74">#REF!</definedName>
    <definedName name="______con1" localSheetId="2">#REF!</definedName>
    <definedName name="______con1">#REF!</definedName>
    <definedName name="______con11" localSheetId="3">#REF!</definedName>
    <definedName name="______con11" localSheetId="4">#REF!</definedName>
    <definedName name="______con11" localSheetId="71">#REF!</definedName>
    <definedName name="______con11" localSheetId="69">#REF!</definedName>
    <definedName name="______con11" localSheetId="70">#REF!</definedName>
    <definedName name="______con11" localSheetId="2">#REF!</definedName>
    <definedName name="______con11">#REF!</definedName>
    <definedName name="______con2" localSheetId="3">#REF!</definedName>
    <definedName name="______con2" localSheetId="4">#REF!</definedName>
    <definedName name="______con2" localSheetId="71">#REF!</definedName>
    <definedName name="______con2" localSheetId="69">#REF!</definedName>
    <definedName name="______con2" localSheetId="70">#REF!</definedName>
    <definedName name="______con2" localSheetId="2">#REF!</definedName>
    <definedName name="______con2">#REF!</definedName>
    <definedName name="______con3" localSheetId="3">#REF!</definedName>
    <definedName name="______con3" localSheetId="4">#REF!</definedName>
    <definedName name="______con3" localSheetId="71">#REF!</definedName>
    <definedName name="______con3" localSheetId="2">#REF!</definedName>
    <definedName name="______con3">#REF!</definedName>
    <definedName name="______con4" localSheetId="3">#REF!</definedName>
    <definedName name="______con4" localSheetId="4">#REF!</definedName>
    <definedName name="______con4" localSheetId="71">#REF!</definedName>
    <definedName name="______con4" localSheetId="2">#REF!</definedName>
    <definedName name="______con4">#REF!</definedName>
    <definedName name="______FAC1" localSheetId="71">[1]สรุป!$C$307</definedName>
    <definedName name="______FAC1">[2]สรุป!$C$307</definedName>
    <definedName name="______fws1" localSheetId="3">'[3]11 ข้อมูลงานCon'!$AB$30</definedName>
    <definedName name="______fws1" localSheetId="69">'[3]11 ข้อมูลงานCon'!$AB$30</definedName>
    <definedName name="______fws1" localSheetId="70">'[3]11 ข้อมูลงานCon'!$AB$30</definedName>
    <definedName name="______fws1" localSheetId="74">'[3]11 ข้อมูลงานCon'!$AB$30</definedName>
    <definedName name="______fws1" localSheetId="2">'[3]11 ข้อมูลงานCon'!$AB$30</definedName>
    <definedName name="______fws1">'[3]11 ข้อมูลงานCon'!$AB$30</definedName>
    <definedName name="______rb1" localSheetId="3">'[4]10 ข้อมูลวัสดุ-ค่าดำเนิน'!$X$15</definedName>
    <definedName name="______rb1" localSheetId="69">'[4]10 ข้อมูลวัสดุ-ค่าดำเนิน'!$X$15</definedName>
    <definedName name="______rb1" localSheetId="70">'[4]10 ข้อมูลวัสดุ-ค่าดำเนิน'!$X$15</definedName>
    <definedName name="______rb1" localSheetId="74">'[4]10 ข้อมูลวัสดุ-ค่าดำเนิน'!$X$15</definedName>
    <definedName name="______rb1" localSheetId="2">'[4]10 ข้อมูลวัสดุ-ค่าดำเนิน'!$X$15</definedName>
    <definedName name="______rb1">'[4]10 ข้อมูลวัสดุ-ค่าดำเนิน'!$X$15</definedName>
    <definedName name="______sb1" localSheetId="3">'[3]12 ข้อมูลงานไม้แบบ'!$W$29</definedName>
    <definedName name="______sb1" localSheetId="69">'[3]12 ข้อมูลงานไม้แบบ'!$W$29</definedName>
    <definedName name="______sb1" localSheetId="70">'[3]12 ข้อมูลงานไม้แบบ'!$W$29</definedName>
    <definedName name="______sb1" localSheetId="74">'[3]12 ข้อมูลงานไม้แบบ'!$W$29</definedName>
    <definedName name="______sb1" localSheetId="2">'[3]12 ข้อมูลงานไม้แบบ'!$W$29</definedName>
    <definedName name="______sb1">'[3]12 ข้อมูลงานไม้แบบ'!$W$29</definedName>
    <definedName name="______sd30" localSheetId="3">#REF!</definedName>
    <definedName name="______sd30" localSheetId="4">#REF!</definedName>
    <definedName name="______sd30" localSheetId="71">#REF!</definedName>
    <definedName name="______sd30" localSheetId="69">#REF!</definedName>
    <definedName name="______sd30" localSheetId="70">#REF!</definedName>
    <definedName name="______sd30" localSheetId="74">#REF!</definedName>
    <definedName name="______sd30" localSheetId="2">#REF!</definedName>
    <definedName name="______sd30">#REF!</definedName>
    <definedName name="______sd40" localSheetId="3">#REF!</definedName>
    <definedName name="______sd40" localSheetId="4">#REF!</definedName>
    <definedName name="______sd40" localSheetId="71">#REF!</definedName>
    <definedName name="______sd40" localSheetId="69">#REF!</definedName>
    <definedName name="______sd40" localSheetId="70">#REF!</definedName>
    <definedName name="______sd40" localSheetId="2">#REF!</definedName>
    <definedName name="______sd40">#REF!</definedName>
    <definedName name="______st1" localSheetId="3">#REF!</definedName>
    <definedName name="______st1" localSheetId="4">#REF!</definedName>
    <definedName name="______st1" localSheetId="71">#REF!</definedName>
    <definedName name="______st1" localSheetId="69">#REF!</definedName>
    <definedName name="______st1" localSheetId="70">#REF!</definedName>
    <definedName name="______st1" localSheetId="2">#REF!</definedName>
    <definedName name="______st1">#REF!</definedName>
    <definedName name="______st2" localSheetId="3">#REF!</definedName>
    <definedName name="______st2" localSheetId="4">#REF!</definedName>
    <definedName name="______st2" localSheetId="71">#REF!</definedName>
    <definedName name="______st2" localSheetId="2">#REF!</definedName>
    <definedName name="______st2">#REF!</definedName>
    <definedName name="______st3" localSheetId="3">#REF!</definedName>
    <definedName name="______st3" localSheetId="4">#REF!</definedName>
    <definedName name="______st3" localSheetId="71">#REF!</definedName>
    <definedName name="______st3" localSheetId="2">#REF!</definedName>
    <definedName name="______st3">#REF!</definedName>
    <definedName name="______wb1" localSheetId="3">'[4]10 ข้อมูลวัสดุ-ค่าดำเนิน'!$X$19</definedName>
    <definedName name="______wb1" localSheetId="69">'[4]10 ข้อมูลวัสดุ-ค่าดำเนิน'!$X$19</definedName>
    <definedName name="______wb1" localSheetId="70">'[4]10 ข้อมูลวัสดุ-ค่าดำเนิน'!$X$19</definedName>
    <definedName name="______wb1" localSheetId="74">'[4]10 ข้อมูลวัสดุ-ค่าดำเนิน'!$X$19</definedName>
    <definedName name="______wb1" localSheetId="2">'[4]10 ข้อมูลวัสดุ-ค่าดำเนิน'!$X$19</definedName>
    <definedName name="______wb1">'[4]10 ข้อมูลวัสดุ-ค่าดำเนิน'!$X$19</definedName>
    <definedName name="_____con1" localSheetId="3">#REF!</definedName>
    <definedName name="_____con1" localSheetId="4">#REF!</definedName>
    <definedName name="_____con1" localSheetId="71">#REF!</definedName>
    <definedName name="_____con1" localSheetId="69">#REF!</definedName>
    <definedName name="_____con1" localSheetId="70">#REF!</definedName>
    <definedName name="_____con1" localSheetId="74">#REF!</definedName>
    <definedName name="_____con1" localSheetId="2">#REF!</definedName>
    <definedName name="_____con1">#REF!</definedName>
    <definedName name="_____con11" localSheetId="3">#REF!</definedName>
    <definedName name="_____con11" localSheetId="4">#REF!</definedName>
    <definedName name="_____con11" localSheetId="71">#REF!</definedName>
    <definedName name="_____con11" localSheetId="69">#REF!</definedName>
    <definedName name="_____con11" localSheetId="70">#REF!</definedName>
    <definedName name="_____con11" localSheetId="2">#REF!</definedName>
    <definedName name="_____con11">#REF!</definedName>
    <definedName name="_____con2" localSheetId="3">#REF!</definedName>
    <definedName name="_____con2" localSheetId="4">#REF!</definedName>
    <definedName name="_____con2" localSheetId="71">#REF!</definedName>
    <definedName name="_____con2" localSheetId="69">#REF!</definedName>
    <definedName name="_____con2" localSheetId="70">#REF!</definedName>
    <definedName name="_____con2" localSheetId="2">#REF!</definedName>
    <definedName name="_____con2">#REF!</definedName>
    <definedName name="_____con3" localSheetId="3">#REF!</definedName>
    <definedName name="_____con3" localSheetId="4">#REF!</definedName>
    <definedName name="_____con3" localSheetId="71">#REF!</definedName>
    <definedName name="_____con3" localSheetId="2">#REF!</definedName>
    <definedName name="_____con3">#REF!</definedName>
    <definedName name="_____con4" localSheetId="3">#REF!</definedName>
    <definedName name="_____con4" localSheetId="4">#REF!</definedName>
    <definedName name="_____con4" localSheetId="71">#REF!</definedName>
    <definedName name="_____con4" localSheetId="2">#REF!</definedName>
    <definedName name="_____con4">#REF!</definedName>
    <definedName name="_____FAC1" localSheetId="71">[1]สรุป!$C$307</definedName>
    <definedName name="_____FAC1">[2]สรุป!$C$307</definedName>
    <definedName name="_____fws1" localSheetId="3">'[3]11 ข้อมูลงานCon'!$AB$30</definedName>
    <definedName name="_____fws1" localSheetId="69">'[3]11 ข้อมูลงานCon'!$AB$30</definedName>
    <definedName name="_____fws1" localSheetId="70">'[3]11 ข้อมูลงานCon'!$AB$30</definedName>
    <definedName name="_____fws1" localSheetId="74">'[3]11 ข้อมูลงานCon'!$AB$30</definedName>
    <definedName name="_____fws1" localSheetId="2">'[3]11 ข้อมูลงานCon'!$AB$30</definedName>
    <definedName name="_____fws1">'[3]11 ข้อมูลงานCon'!$AB$30</definedName>
    <definedName name="_____rb1" localSheetId="3">'[4]10 ข้อมูลวัสดุ-ค่าดำเนิน'!$X$15</definedName>
    <definedName name="_____rb1" localSheetId="69">'[4]10 ข้อมูลวัสดุ-ค่าดำเนิน'!$X$15</definedName>
    <definedName name="_____rb1" localSheetId="70">'[4]10 ข้อมูลวัสดุ-ค่าดำเนิน'!$X$15</definedName>
    <definedName name="_____rb1" localSheetId="74">'[4]10 ข้อมูลวัสดุ-ค่าดำเนิน'!$X$15</definedName>
    <definedName name="_____rb1" localSheetId="2">'[4]10 ข้อมูลวัสดุ-ค่าดำเนิน'!$X$15</definedName>
    <definedName name="_____rb1">'[4]10 ข้อมูลวัสดุ-ค่าดำเนิน'!$X$15</definedName>
    <definedName name="_____sb1" localSheetId="3">'[3]12 ข้อมูลงานไม้แบบ'!$W$29</definedName>
    <definedName name="_____sb1" localSheetId="69">'[3]12 ข้อมูลงานไม้แบบ'!$W$29</definedName>
    <definedName name="_____sb1" localSheetId="70">'[3]12 ข้อมูลงานไม้แบบ'!$W$29</definedName>
    <definedName name="_____sb1" localSheetId="74">'[3]12 ข้อมูลงานไม้แบบ'!$W$29</definedName>
    <definedName name="_____sb1" localSheetId="2">'[3]12 ข้อมูลงานไม้แบบ'!$W$29</definedName>
    <definedName name="_____sb1">'[3]12 ข้อมูลงานไม้แบบ'!$W$29</definedName>
    <definedName name="_____sd30" localSheetId="3">#REF!</definedName>
    <definedName name="_____sd30" localSheetId="4">#REF!</definedName>
    <definedName name="_____sd30" localSheetId="71">#REF!</definedName>
    <definedName name="_____sd30" localSheetId="69">#REF!</definedName>
    <definedName name="_____sd30" localSheetId="70">#REF!</definedName>
    <definedName name="_____sd30" localSheetId="74">#REF!</definedName>
    <definedName name="_____sd30" localSheetId="2">#REF!</definedName>
    <definedName name="_____sd30">#REF!</definedName>
    <definedName name="_____sd40" localSheetId="3">#REF!</definedName>
    <definedName name="_____sd40" localSheetId="4">#REF!</definedName>
    <definedName name="_____sd40" localSheetId="71">#REF!</definedName>
    <definedName name="_____sd40" localSheetId="69">#REF!</definedName>
    <definedName name="_____sd40" localSheetId="70">#REF!</definedName>
    <definedName name="_____sd40" localSheetId="2">#REF!</definedName>
    <definedName name="_____sd40">#REF!</definedName>
    <definedName name="_____st1" localSheetId="3">#REF!</definedName>
    <definedName name="_____st1" localSheetId="4">#REF!</definedName>
    <definedName name="_____st1" localSheetId="71">#REF!</definedName>
    <definedName name="_____st1" localSheetId="69">#REF!</definedName>
    <definedName name="_____st1" localSheetId="70">#REF!</definedName>
    <definedName name="_____st1" localSheetId="2">#REF!</definedName>
    <definedName name="_____st1">#REF!</definedName>
    <definedName name="_____st2" localSheetId="3">#REF!</definedName>
    <definedName name="_____st2" localSheetId="4">#REF!</definedName>
    <definedName name="_____st2" localSheetId="71">#REF!</definedName>
    <definedName name="_____st2" localSheetId="2">#REF!</definedName>
    <definedName name="_____st2">#REF!</definedName>
    <definedName name="_____st3" localSheetId="3">#REF!</definedName>
    <definedName name="_____st3" localSheetId="4">#REF!</definedName>
    <definedName name="_____st3" localSheetId="71">#REF!</definedName>
    <definedName name="_____st3" localSheetId="2">#REF!</definedName>
    <definedName name="_____st3">#REF!</definedName>
    <definedName name="_____wb1" localSheetId="3">'[4]10 ข้อมูลวัสดุ-ค่าดำเนิน'!$X$19</definedName>
    <definedName name="_____wb1" localSheetId="69">'[4]10 ข้อมูลวัสดุ-ค่าดำเนิน'!$X$19</definedName>
    <definedName name="_____wb1" localSheetId="70">'[4]10 ข้อมูลวัสดุ-ค่าดำเนิน'!$X$19</definedName>
    <definedName name="_____wb1" localSheetId="74">'[4]10 ข้อมูลวัสดุ-ค่าดำเนิน'!$X$19</definedName>
    <definedName name="_____wb1" localSheetId="2">'[4]10 ข้อมูลวัสดุ-ค่าดำเนิน'!$X$19</definedName>
    <definedName name="_____wb1">'[4]10 ข้อมูลวัสดุ-ค่าดำเนิน'!$X$19</definedName>
    <definedName name="____con1" localSheetId="3">#REF!</definedName>
    <definedName name="____con1" localSheetId="4">#REF!</definedName>
    <definedName name="____con1" localSheetId="71">#REF!</definedName>
    <definedName name="____con1" localSheetId="69">#REF!</definedName>
    <definedName name="____con1" localSheetId="70">#REF!</definedName>
    <definedName name="____con1" localSheetId="74">#REF!</definedName>
    <definedName name="____con1" localSheetId="2">#REF!</definedName>
    <definedName name="____con1">#REF!</definedName>
    <definedName name="____con11" localSheetId="3">#REF!</definedName>
    <definedName name="____con11" localSheetId="4">#REF!</definedName>
    <definedName name="____con11" localSheetId="71">#REF!</definedName>
    <definedName name="____con11" localSheetId="69">#REF!</definedName>
    <definedName name="____con11" localSheetId="70">#REF!</definedName>
    <definedName name="____con11" localSheetId="2">#REF!</definedName>
    <definedName name="____con11">#REF!</definedName>
    <definedName name="____con2" localSheetId="3">#REF!</definedName>
    <definedName name="____con2" localSheetId="4">#REF!</definedName>
    <definedName name="____con2" localSheetId="71">#REF!</definedName>
    <definedName name="____con2" localSheetId="69">#REF!</definedName>
    <definedName name="____con2" localSheetId="70">#REF!</definedName>
    <definedName name="____con2" localSheetId="2">#REF!</definedName>
    <definedName name="____con2">#REF!</definedName>
    <definedName name="____con3" localSheetId="3">#REF!</definedName>
    <definedName name="____con3" localSheetId="4">#REF!</definedName>
    <definedName name="____con3" localSheetId="71">#REF!</definedName>
    <definedName name="____con3" localSheetId="2">#REF!</definedName>
    <definedName name="____con3">#REF!</definedName>
    <definedName name="____con4" localSheetId="3">#REF!</definedName>
    <definedName name="____con4" localSheetId="4">#REF!</definedName>
    <definedName name="____con4" localSheetId="71">#REF!</definedName>
    <definedName name="____con4" localSheetId="2">#REF!</definedName>
    <definedName name="____con4">#REF!</definedName>
    <definedName name="____FAC1" localSheetId="71">[1]สรุป!$C$307</definedName>
    <definedName name="____FAC1">[2]สรุป!$C$307</definedName>
    <definedName name="____fws1" localSheetId="3">'[3]11 ข้อมูลงานCon'!$AB$30</definedName>
    <definedName name="____fws1" localSheetId="69">'[3]11 ข้อมูลงานCon'!$AB$30</definedName>
    <definedName name="____fws1" localSheetId="70">'[3]11 ข้อมูลงานCon'!$AB$30</definedName>
    <definedName name="____fws1" localSheetId="74">'[3]11 ข้อมูลงานCon'!$AB$30</definedName>
    <definedName name="____fws1" localSheetId="2">'[3]11 ข้อมูลงานCon'!$AB$30</definedName>
    <definedName name="____fws1">'[3]11 ข้อมูลงานCon'!$AB$30</definedName>
    <definedName name="____rb1" localSheetId="3">'[4]10 ข้อมูลวัสดุ-ค่าดำเนิน'!$X$15</definedName>
    <definedName name="____rb1" localSheetId="69">'[4]10 ข้อมูลวัสดุ-ค่าดำเนิน'!$X$15</definedName>
    <definedName name="____rb1" localSheetId="70">'[4]10 ข้อมูลวัสดุ-ค่าดำเนิน'!$X$15</definedName>
    <definedName name="____rb1" localSheetId="74">'[4]10 ข้อมูลวัสดุ-ค่าดำเนิน'!$X$15</definedName>
    <definedName name="____rb1" localSheetId="2">'[4]10 ข้อมูลวัสดุ-ค่าดำเนิน'!$X$15</definedName>
    <definedName name="____rb1">'[4]10 ข้อมูลวัสดุ-ค่าดำเนิน'!$X$15</definedName>
    <definedName name="____sb1" localSheetId="3">'[3]12 ข้อมูลงานไม้แบบ'!$W$29</definedName>
    <definedName name="____sb1" localSheetId="69">'[3]12 ข้อมูลงานไม้แบบ'!$W$29</definedName>
    <definedName name="____sb1" localSheetId="70">'[3]12 ข้อมูลงานไม้แบบ'!$W$29</definedName>
    <definedName name="____sb1" localSheetId="74">'[3]12 ข้อมูลงานไม้แบบ'!$W$29</definedName>
    <definedName name="____sb1" localSheetId="2">'[3]12 ข้อมูลงานไม้แบบ'!$W$29</definedName>
    <definedName name="____sb1">'[3]12 ข้อมูลงานไม้แบบ'!$W$29</definedName>
    <definedName name="____sd30" localSheetId="3">#REF!</definedName>
    <definedName name="____sd30" localSheetId="4">#REF!</definedName>
    <definedName name="____sd30" localSheetId="71">#REF!</definedName>
    <definedName name="____sd30" localSheetId="69">#REF!</definedName>
    <definedName name="____sd30" localSheetId="70">#REF!</definedName>
    <definedName name="____sd30" localSheetId="74">#REF!</definedName>
    <definedName name="____sd30" localSheetId="2">#REF!</definedName>
    <definedName name="____sd30">#REF!</definedName>
    <definedName name="____sd40" localSheetId="3">#REF!</definedName>
    <definedName name="____sd40" localSheetId="4">#REF!</definedName>
    <definedName name="____sd40" localSheetId="71">#REF!</definedName>
    <definedName name="____sd40" localSheetId="69">#REF!</definedName>
    <definedName name="____sd40" localSheetId="70">#REF!</definedName>
    <definedName name="____sd40" localSheetId="2">#REF!</definedName>
    <definedName name="____sd40">#REF!</definedName>
    <definedName name="____st1" localSheetId="3">#REF!</definedName>
    <definedName name="____st1" localSheetId="4">#REF!</definedName>
    <definedName name="____st1" localSheetId="71">#REF!</definedName>
    <definedName name="____st1" localSheetId="69">#REF!</definedName>
    <definedName name="____st1" localSheetId="70">#REF!</definedName>
    <definedName name="____st1" localSheetId="2">#REF!</definedName>
    <definedName name="____st1">#REF!</definedName>
    <definedName name="____st2" localSheetId="3">#REF!</definedName>
    <definedName name="____st2" localSheetId="4">#REF!</definedName>
    <definedName name="____st2" localSheetId="71">#REF!</definedName>
    <definedName name="____st2" localSheetId="2">#REF!</definedName>
    <definedName name="____st2">#REF!</definedName>
    <definedName name="____st3" localSheetId="3">#REF!</definedName>
    <definedName name="____st3" localSheetId="4">#REF!</definedName>
    <definedName name="____st3" localSheetId="71">#REF!</definedName>
    <definedName name="____st3" localSheetId="2">#REF!</definedName>
    <definedName name="____st3">#REF!</definedName>
    <definedName name="____wb1" localSheetId="3">'[4]10 ข้อมูลวัสดุ-ค่าดำเนิน'!$X$19</definedName>
    <definedName name="____wb1" localSheetId="69">'[4]10 ข้อมูลวัสดุ-ค่าดำเนิน'!$X$19</definedName>
    <definedName name="____wb1" localSheetId="70">'[4]10 ข้อมูลวัสดุ-ค่าดำเนิน'!$X$19</definedName>
    <definedName name="____wb1" localSheetId="74">'[4]10 ข้อมูลวัสดุ-ค่าดำเนิน'!$X$19</definedName>
    <definedName name="____wb1" localSheetId="2">'[4]10 ข้อมูลวัสดุ-ค่าดำเนิน'!$X$19</definedName>
    <definedName name="____wb1">'[4]10 ข้อมูลวัสดุ-ค่าดำเนิน'!$X$19</definedName>
    <definedName name="___con1" localSheetId="3">#REF!</definedName>
    <definedName name="___con1" localSheetId="4">#REF!</definedName>
    <definedName name="___con1" localSheetId="71">#REF!</definedName>
    <definedName name="___con1" localSheetId="69">#REF!</definedName>
    <definedName name="___con1" localSheetId="70">#REF!</definedName>
    <definedName name="___con1" localSheetId="74">#REF!</definedName>
    <definedName name="___con1" localSheetId="2">#REF!</definedName>
    <definedName name="___con1">#REF!</definedName>
    <definedName name="___con11" localSheetId="3">#REF!</definedName>
    <definedName name="___con11" localSheetId="4">#REF!</definedName>
    <definedName name="___con11" localSheetId="71">#REF!</definedName>
    <definedName name="___con11" localSheetId="69">#REF!</definedName>
    <definedName name="___con11" localSheetId="70">#REF!</definedName>
    <definedName name="___con11" localSheetId="2">#REF!</definedName>
    <definedName name="___con11">#REF!</definedName>
    <definedName name="___con2" localSheetId="3">#REF!</definedName>
    <definedName name="___con2" localSheetId="4">#REF!</definedName>
    <definedName name="___con2" localSheetId="71">#REF!</definedName>
    <definedName name="___con2" localSheetId="69">#REF!</definedName>
    <definedName name="___con2" localSheetId="70">#REF!</definedName>
    <definedName name="___con2" localSheetId="2">#REF!</definedName>
    <definedName name="___con2">#REF!</definedName>
    <definedName name="___con3" localSheetId="3">#REF!</definedName>
    <definedName name="___con3" localSheetId="4">#REF!</definedName>
    <definedName name="___con3" localSheetId="71">#REF!</definedName>
    <definedName name="___con3" localSheetId="2">#REF!</definedName>
    <definedName name="___con3">#REF!</definedName>
    <definedName name="___con4" localSheetId="3">#REF!</definedName>
    <definedName name="___con4" localSheetId="4">#REF!</definedName>
    <definedName name="___con4" localSheetId="71">#REF!</definedName>
    <definedName name="___con4" localSheetId="2">#REF!</definedName>
    <definedName name="___con4">#REF!</definedName>
    <definedName name="___FAC1" localSheetId="71">[1]สรุป!$C$307</definedName>
    <definedName name="___FAC1">[2]สรุป!$C$307</definedName>
    <definedName name="___fws1" localSheetId="3">'[3]11 ข้อมูลงานCon'!$AB$30</definedName>
    <definedName name="___fws1" localSheetId="69">'[3]11 ข้อมูลงานCon'!$AB$30</definedName>
    <definedName name="___fws1" localSheetId="70">'[3]11 ข้อมูลงานCon'!$AB$30</definedName>
    <definedName name="___fws1" localSheetId="74">'[3]11 ข้อมูลงานCon'!$AB$30</definedName>
    <definedName name="___fws1" localSheetId="2">'[3]11 ข้อมูลงานCon'!$AB$30</definedName>
    <definedName name="___fws1">'[3]11 ข้อมูลงานCon'!$AB$30</definedName>
    <definedName name="___rb1" localSheetId="3">'[4]10 ข้อมูลวัสดุ-ค่าดำเนิน'!$X$15</definedName>
    <definedName name="___rb1" localSheetId="69">'[4]10 ข้อมูลวัสดุ-ค่าดำเนิน'!$X$15</definedName>
    <definedName name="___rb1" localSheetId="70">'[4]10 ข้อมูลวัสดุ-ค่าดำเนิน'!$X$15</definedName>
    <definedName name="___rb1" localSheetId="74">'[4]10 ข้อมูลวัสดุ-ค่าดำเนิน'!$X$15</definedName>
    <definedName name="___rb1" localSheetId="2">'[4]10 ข้อมูลวัสดุ-ค่าดำเนิน'!$X$15</definedName>
    <definedName name="___rb1">'[4]10 ข้อมูลวัสดุ-ค่าดำเนิน'!$X$15</definedName>
    <definedName name="___sb1" localSheetId="3">'[3]12 ข้อมูลงานไม้แบบ'!$W$29</definedName>
    <definedName name="___sb1" localSheetId="69">'[3]12 ข้อมูลงานไม้แบบ'!$W$29</definedName>
    <definedName name="___sb1" localSheetId="70">'[3]12 ข้อมูลงานไม้แบบ'!$W$29</definedName>
    <definedName name="___sb1" localSheetId="74">'[3]12 ข้อมูลงานไม้แบบ'!$W$29</definedName>
    <definedName name="___sb1" localSheetId="2">'[3]12 ข้อมูลงานไม้แบบ'!$W$29</definedName>
    <definedName name="___sb1">'[3]12 ข้อมูลงานไม้แบบ'!$W$29</definedName>
    <definedName name="___sd30" localSheetId="3">#REF!</definedName>
    <definedName name="___sd30" localSheetId="4">#REF!</definedName>
    <definedName name="___sd30" localSheetId="71">#REF!</definedName>
    <definedName name="___sd30" localSheetId="69">#REF!</definedName>
    <definedName name="___sd30" localSheetId="70">#REF!</definedName>
    <definedName name="___sd30" localSheetId="74">#REF!</definedName>
    <definedName name="___sd30" localSheetId="2">#REF!</definedName>
    <definedName name="___sd30">#REF!</definedName>
    <definedName name="___sd40" localSheetId="3">#REF!</definedName>
    <definedName name="___sd40" localSheetId="4">#REF!</definedName>
    <definedName name="___sd40" localSheetId="71">#REF!</definedName>
    <definedName name="___sd40" localSheetId="69">#REF!</definedName>
    <definedName name="___sd40" localSheetId="70">#REF!</definedName>
    <definedName name="___sd40" localSheetId="2">#REF!</definedName>
    <definedName name="___sd40">#REF!</definedName>
    <definedName name="___st1" localSheetId="3">#REF!</definedName>
    <definedName name="___st1" localSheetId="4">#REF!</definedName>
    <definedName name="___st1" localSheetId="71">#REF!</definedName>
    <definedName name="___st1" localSheetId="69">#REF!</definedName>
    <definedName name="___st1" localSheetId="70">#REF!</definedName>
    <definedName name="___st1" localSheetId="2">#REF!</definedName>
    <definedName name="___st1">#REF!</definedName>
    <definedName name="___st2" localSheetId="3">#REF!</definedName>
    <definedName name="___st2" localSheetId="4">#REF!</definedName>
    <definedName name="___st2" localSheetId="71">#REF!</definedName>
    <definedName name="___st2" localSheetId="2">#REF!</definedName>
    <definedName name="___st2">#REF!</definedName>
    <definedName name="___st3" localSheetId="3">#REF!</definedName>
    <definedName name="___st3" localSheetId="4">#REF!</definedName>
    <definedName name="___st3" localSheetId="71">#REF!</definedName>
    <definedName name="___st3" localSheetId="2">#REF!</definedName>
    <definedName name="___st3">#REF!</definedName>
    <definedName name="___wb1" localSheetId="3">'[4]10 ข้อมูลวัสดุ-ค่าดำเนิน'!$X$19</definedName>
    <definedName name="___wb1" localSheetId="69">'[4]10 ข้อมูลวัสดุ-ค่าดำเนิน'!$X$19</definedName>
    <definedName name="___wb1" localSheetId="70">'[4]10 ข้อมูลวัสดุ-ค่าดำเนิน'!$X$19</definedName>
    <definedName name="___wb1" localSheetId="74">'[4]10 ข้อมูลวัสดุ-ค่าดำเนิน'!$X$19</definedName>
    <definedName name="___wb1" localSheetId="2">'[4]10 ข้อมูลวัสดุ-ค่าดำเนิน'!$X$19</definedName>
    <definedName name="___wb1">'[4]10 ข้อมูลวัสดุ-ค่าดำเนิน'!$X$19</definedName>
    <definedName name="__con1" localSheetId="3">#REF!</definedName>
    <definedName name="__con1" localSheetId="4">#REF!</definedName>
    <definedName name="__con1" localSheetId="71">#REF!</definedName>
    <definedName name="__con1" localSheetId="69">#REF!</definedName>
    <definedName name="__con1" localSheetId="70">#REF!</definedName>
    <definedName name="__con1" localSheetId="74">#REF!</definedName>
    <definedName name="__con1" localSheetId="2">#REF!</definedName>
    <definedName name="__con1">#REF!</definedName>
    <definedName name="__con11" localSheetId="3">#REF!</definedName>
    <definedName name="__con11" localSheetId="4">#REF!</definedName>
    <definedName name="__con11" localSheetId="71">#REF!</definedName>
    <definedName name="__con11" localSheetId="69">#REF!</definedName>
    <definedName name="__con11" localSheetId="70">#REF!</definedName>
    <definedName name="__con11" localSheetId="2">#REF!</definedName>
    <definedName name="__con11">#REF!</definedName>
    <definedName name="__con2" localSheetId="3">#REF!</definedName>
    <definedName name="__con2" localSheetId="4">#REF!</definedName>
    <definedName name="__con2" localSheetId="71">#REF!</definedName>
    <definedName name="__con2" localSheetId="69">#REF!</definedName>
    <definedName name="__con2" localSheetId="70">#REF!</definedName>
    <definedName name="__con2" localSheetId="2">#REF!</definedName>
    <definedName name="__con2">#REF!</definedName>
    <definedName name="__con3" localSheetId="3">#REF!</definedName>
    <definedName name="__con3" localSheetId="4">#REF!</definedName>
    <definedName name="__con3" localSheetId="71">#REF!</definedName>
    <definedName name="__con3" localSheetId="2">#REF!</definedName>
    <definedName name="__con3">#REF!</definedName>
    <definedName name="__con4" localSheetId="3">#REF!</definedName>
    <definedName name="__con4" localSheetId="4">#REF!</definedName>
    <definedName name="__con4" localSheetId="71">#REF!</definedName>
    <definedName name="__con4" localSheetId="2">#REF!</definedName>
    <definedName name="__con4">#REF!</definedName>
    <definedName name="__FAC1" localSheetId="71">[1]สรุป!$C$307</definedName>
    <definedName name="__FAC1">[2]สรุป!$C$307</definedName>
    <definedName name="__fws1" localSheetId="3">'[3]11 ข้อมูลงานCon'!$AB$30</definedName>
    <definedName name="__fws1" localSheetId="69">'[3]11 ข้อมูลงานCon'!$AB$30</definedName>
    <definedName name="__fws1" localSheetId="70">'[3]11 ข้อมูลงานCon'!$AB$30</definedName>
    <definedName name="__fws1" localSheetId="74">'[3]11 ข้อมูลงานCon'!$AB$30</definedName>
    <definedName name="__fws1" localSheetId="2">'[3]11 ข้อมูลงานCon'!$AB$30</definedName>
    <definedName name="__fws1">'[3]11 ข้อมูลงานCon'!$AB$30</definedName>
    <definedName name="__rb1" localSheetId="3">'[4]10 ข้อมูลวัสดุ-ค่าดำเนิน'!$X$15</definedName>
    <definedName name="__rb1" localSheetId="69">'[4]10 ข้อมูลวัสดุ-ค่าดำเนิน'!$X$15</definedName>
    <definedName name="__rb1" localSheetId="70">'[4]10 ข้อมูลวัสดุ-ค่าดำเนิน'!$X$15</definedName>
    <definedName name="__rb1" localSheetId="74">'[4]10 ข้อมูลวัสดุ-ค่าดำเนิน'!$X$15</definedName>
    <definedName name="__rb1" localSheetId="2">'[4]10 ข้อมูลวัสดุ-ค่าดำเนิน'!$X$15</definedName>
    <definedName name="__rb1">'[4]10 ข้อมูลวัสดุ-ค่าดำเนิน'!$X$15</definedName>
    <definedName name="__sb1" localSheetId="3">'[3]12 ข้อมูลงานไม้แบบ'!$W$29</definedName>
    <definedName name="__sb1" localSheetId="69">'[3]12 ข้อมูลงานไม้แบบ'!$W$29</definedName>
    <definedName name="__sb1" localSheetId="70">'[3]12 ข้อมูลงานไม้แบบ'!$W$29</definedName>
    <definedName name="__sb1" localSheetId="74">'[3]12 ข้อมูลงานไม้แบบ'!$W$29</definedName>
    <definedName name="__sb1" localSheetId="2">'[3]12 ข้อมูลงานไม้แบบ'!$W$29</definedName>
    <definedName name="__sb1">'[3]12 ข้อมูลงานไม้แบบ'!$W$29</definedName>
    <definedName name="__sd30" localSheetId="3">#REF!</definedName>
    <definedName name="__sd30" localSheetId="4">#REF!</definedName>
    <definedName name="__sd30" localSheetId="71">#REF!</definedName>
    <definedName name="__sd30" localSheetId="69">#REF!</definedName>
    <definedName name="__sd30" localSheetId="70">#REF!</definedName>
    <definedName name="__sd30" localSheetId="74">#REF!</definedName>
    <definedName name="__sd30" localSheetId="2">#REF!</definedName>
    <definedName name="__sd30">#REF!</definedName>
    <definedName name="__sd40" localSheetId="3">#REF!</definedName>
    <definedName name="__sd40" localSheetId="4">#REF!</definedName>
    <definedName name="__sd40" localSheetId="71">#REF!</definedName>
    <definedName name="__sd40" localSheetId="69">#REF!</definedName>
    <definedName name="__sd40" localSheetId="70">#REF!</definedName>
    <definedName name="__sd40" localSheetId="2">#REF!</definedName>
    <definedName name="__sd40">#REF!</definedName>
    <definedName name="__st1" localSheetId="3">#REF!</definedName>
    <definedName name="__st1" localSheetId="4">#REF!</definedName>
    <definedName name="__st1" localSheetId="71">#REF!</definedName>
    <definedName name="__st1" localSheetId="69">#REF!</definedName>
    <definedName name="__st1" localSheetId="70">#REF!</definedName>
    <definedName name="__st1" localSheetId="2">#REF!</definedName>
    <definedName name="__st1">#REF!</definedName>
    <definedName name="__st2" localSheetId="3">#REF!</definedName>
    <definedName name="__st2" localSheetId="4">#REF!</definedName>
    <definedName name="__st2" localSheetId="71">#REF!</definedName>
    <definedName name="__st2" localSheetId="2">#REF!</definedName>
    <definedName name="__st2">#REF!</definedName>
    <definedName name="__st3" localSheetId="3">#REF!</definedName>
    <definedName name="__st3" localSheetId="4">#REF!</definedName>
    <definedName name="__st3" localSheetId="71">#REF!</definedName>
    <definedName name="__st3" localSheetId="2">#REF!</definedName>
    <definedName name="__st3">#REF!</definedName>
    <definedName name="__wb1" localSheetId="3">'[4]10 ข้อมูลวัสดุ-ค่าดำเนิน'!$X$19</definedName>
    <definedName name="__wb1" localSheetId="69">'[4]10 ข้อมูลวัสดุ-ค่าดำเนิน'!$X$19</definedName>
    <definedName name="__wb1" localSheetId="70">'[4]10 ข้อมูลวัสดุ-ค่าดำเนิน'!$X$19</definedName>
    <definedName name="__wb1" localSheetId="74">'[4]10 ข้อมูลวัสดุ-ค่าดำเนิน'!$X$19</definedName>
    <definedName name="__wb1" localSheetId="2">'[4]10 ข้อมูลวัสดุ-ค่าดำเนิน'!$X$19</definedName>
    <definedName name="__wb1">'[4]10 ข้อมูลวัสดุ-ค่าดำเนิน'!$X$19</definedName>
    <definedName name="_10Excel_BuiltIn_Print_Titles_22_1_1_1" localSheetId="3">#REF!</definedName>
    <definedName name="_10Excel_BuiltIn_Print_Titles_22_1_1_1" localSheetId="4">#REF!</definedName>
    <definedName name="_10Excel_BuiltIn_Print_Titles_22_1_1_1" localSheetId="71">#REF!</definedName>
    <definedName name="_10Excel_BuiltIn_Print_Titles_22_1_1_1" localSheetId="69">#REF!</definedName>
    <definedName name="_10Excel_BuiltIn_Print_Titles_22_1_1_1">#REF!</definedName>
    <definedName name="_con1" localSheetId="3">#REF!</definedName>
    <definedName name="_con1" localSheetId="4">#REF!</definedName>
    <definedName name="_con1" localSheetId="71">#REF!</definedName>
    <definedName name="_con1" localSheetId="69">#REF!</definedName>
    <definedName name="_con1" localSheetId="70">#REF!</definedName>
    <definedName name="_con1" localSheetId="74">#REF!</definedName>
    <definedName name="_con1" localSheetId="2">#REF!</definedName>
    <definedName name="_con1">#REF!</definedName>
    <definedName name="_con11" localSheetId="3">#REF!</definedName>
    <definedName name="_con11" localSheetId="4">#REF!</definedName>
    <definedName name="_con11" localSheetId="71">#REF!</definedName>
    <definedName name="_con11" localSheetId="69">#REF!</definedName>
    <definedName name="_con11" localSheetId="70">#REF!</definedName>
    <definedName name="_con11" localSheetId="2">#REF!</definedName>
    <definedName name="_con11">#REF!</definedName>
    <definedName name="_con2" localSheetId="3">#REF!</definedName>
    <definedName name="_con2" localSheetId="4">#REF!</definedName>
    <definedName name="_con2" localSheetId="71">#REF!</definedName>
    <definedName name="_con2" localSheetId="69">#REF!</definedName>
    <definedName name="_con2" localSheetId="70">#REF!</definedName>
    <definedName name="_con2" localSheetId="2">#REF!</definedName>
    <definedName name="_con2">#REF!</definedName>
    <definedName name="_con3" localSheetId="3">#REF!</definedName>
    <definedName name="_con3" localSheetId="4">#REF!</definedName>
    <definedName name="_con3" localSheetId="71">#REF!</definedName>
    <definedName name="_con3" localSheetId="2">#REF!</definedName>
    <definedName name="_con3">#REF!</definedName>
    <definedName name="_con4" localSheetId="3">#REF!</definedName>
    <definedName name="_con4" localSheetId="4">#REF!</definedName>
    <definedName name="_con4" localSheetId="71">#REF!</definedName>
    <definedName name="_con4" localSheetId="2">#REF!</definedName>
    <definedName name="_con4">#REF!</definedName>
    <definedName name="_day1">#REF!</definedName>
    <definedName name="_day10">#REF!</definedName>
    <definedName name="_day11">#REF!</definedName>
    <definedName name="_day12">#REF!</definedName>
    <definedName name="_day13">#REF!</definedName>
    <definedName name="_day19">#REF!</definedName>
    <definedName name="_day2">#REF!</definedName>
    <definedName name="_day3">#REF!</definedName>
    <definedName name="_day4">#REF!</definedName>
    <definedName name="_day5">#REF!</definedName>
    <definedName name="_day6">#REF!</definedName>
    <definedName name="_day7">#REF!</definedName>
    <definedName name="_day8">#REF!</definedName>
    <definedName name="_day9">#REF!</definedName>
    <definedName name="_dig3" localSheetId="3">#REF!</definedName>
    <definedName name="_dig3" localSheetId="4">#REF!</definedName>
    <definedName name="_dig3" localSheetId="71">#REF!</definedName>
    <definedName name="_dig3" localSheetId="2">#REF!</definedName>
    <definedName name="_dig3">#REF!</definedName>
    <definedName name="_FAC1" localSheetId="71">[1]สรุป!$C$307</definedName>
    <definedName name="_FAC1">[2]สรุป!$C$307</definedName>
    <definedName name="_xlnm._FilterDatabase" localSheetId="6" hidden="1">'03.EE-ศูนย์ประชุม (Main)'!$A$1:$L$490</definedName>
    <definedName name="_rb1" localSheetId="3">'[4]10 ข้อมูลวัสดุ-ค่าดำเนิน'!$X$15</definedName>
    <definedName name="_rb1" localSheetId="69">'[4]10 ข้อมูลวัสดุ-ค่าดำเนิน'!$X$15</definedName>
    <definedName name="_rb1" localSheetId="70">'[4]10 ข้อมูลวัสดุ-ค่าดำเนิน'!$X$15</definedName>
    <definedName name="_rb1" localSheetId="74">'[4]10 ข้อมูลวัสดุ-ค่าดำเนิน'!$X$15</definedName>
    <definedName name="_rb1" localSheetId="2">'[4]10 ข้อมูลวัสดุ-ค่าดำเนิน'!$X$15</definedName>
    <definedName name="_rb1">'[4]10 ข้อมูลวัสดุ-ค่าดำเนิน'!$X$15</definedName>
    <definedName name="_RB12" localSheetId="3">#REF!</definedName>
    <definedName name="_RB12" localSheetId="4">#REF!</definedName>
    <definedName name="_RB12" localSheetId="71">#REF!</definedName>
    <definedName name="_RB12" localSheetId="69">#REF!</definedName>
    <definedName name="_RB12" localSheetId="70">#REF!</definedName>
    <definedName name="_RB12" localSheetId="74">#REF!</definedName>
    <definedName name="_RB12" localSheetId="2">#REF!</definedName>
    <definedName name="_RB12">#REF!</definedName>
    <definedName name="_RB15" localSheetId="3">#REF!</definedName>
    <definedName name="_RB15" localSheetId="4">#REF!</definedName>
    <definedName name="_RB15" localSheetId="71">#REF!</definedName>
    <definedName name="_RB15" localSheetId="69">#REF!</definedName>
    <definedName name="_RB15" localSheetId="70">#REF!</definedName>
    <definedName name="_RB15" localSheetId="2">#REF!</definedName>
    <definedName name="_RB15">#REF!</definedName>
    <definedName name="_RB19" localSheetId="3">#REF!</definedName>
    <definedName name="_RB19" localSheetId="4">#REF!</definedName>
    <definedName name="_RB19" localSheetId="71">#REF!</definedName>
    <definedName name="_RB19" localSheetId="69">#REF!</definedName>
    <definedName name="_RB19" localSheetId="70">#REF!</definedName>
    <definedName name="_RB19" localSheetId="2">#REF!</definedName>
    <definedName name="_RB19">#REF!</definedName>
    <definedName name="_RB25" localSheetId="3">#REF!</definedName>
    <definedName name="_RB25" localSheetId="4">#REF!</definedName>
    <definedName name="_RB25" localSheetId="71">#REF!</definedName>
    <definedName name="_RB25" localSheetId="2">#REF!</definedName>
    <definedName name="_RB25">#REF!</definedName>
    <definedName name="_RB6" localSheetId="3">#REF!</definedName>
    <definedName name="_RB6" localSheetId="4">#REF!</definedName>
    <definedName name="_RB6" localSheetId="71">#REF!</definedName>
    <definedName name="_RB6" localSheetId="2">#REF!</definedName>
    <definedName name="_RB6">#REF!</definedName>
    <definedName name="_RB9" localSheetId="3">#REF!</definedName>
    <definedName name="_RB9" localSheetId="4">#REF!</definedName>
    <definedName name="_RB9" localSheetId="71">#REF!</definedName>
    <definedName name="_RB9" localSheetId="2">#REF!</definedName>
    <definedName name="_RB9">#REF!</definedName>
    <definedName name="_Regression_Int">1</definedName>
    <definedName name="_sb1" localSheetId="3">'[3]12 ข้อมูลงานไม้แบบ'!$W$29</definedName>
    <definedName name="_sb1" localSheetId="69">'[3]12 ข้อมูลงานไม้แบบ'!$W$29</definedName>
    <definedName name="_sb1" localSheetId="70">'[3]12 ข้อมูลงานไม้แบบ'!$W$29</definedName>
    <definedName name="_sb1" localSheetId="74">'[3]12 ข้อมูลงานไม้แบบ'!$W$29</definedName>
    <definedName name="_sb1" localSheetId="2">'[3]12 ข้อมูลงานไม้แบบ'!$W$29</definedName>
    <definedName name="_sb1">'[3]12 ข้อมูลงานไม้แบบ'!$W$29</definedName>
    <definedName name="_sd30" localSheetId="3">#REF!</definedName>
    <definedName name="_sd30" localSheetId="4">#REF!</definedName>
    <definedName name="_sd30" localSheetId="71">#REF!</definedName>
    <definedName name="_sd30" localSheetId="69">#REF!</definedName>
    <definedName name="_sd30" localSheetId="70">#REF!</definedName>
    <definedName name="_sd30" localSheetId="74">#REF!</definedName>
    <definedName name="_sd30" localSheetId="2">#REF!</definedName>
    <definedName name="_sd30">#REF!</definedName>
    <definedName name="_sd40" localSheetId="3">#REF!</definedName>
    <definedName name="_sd40" localSheetId="4">#REF!</definedName>
    <definedName name="_sd40" localSheetId="71">#REF!</definedName>
    <definedName name="_sd40" localSheetId="69">#REF!</definedName>
    <definedName name="_sd40" localSheetId="70">#REF!</definedName>
    <definedName name="_sd40" localSheetId="2">#REF!</definedName>
    <definedName name="_sd40">#REF!</definedName>
    <definedName name="_ST1" localSheetId="3">#REF!</definedName>
    <definedName name="_ST1" localSheetId="4">#REF!</definedName>
    <definedName name="_ST1" localSheetId="71">#REF!</definedName>
    <definedName name="_ST1" localSheetId="69">#REF!</definedName>
    <definedName name="_ST1" localSheetId="70">#REF!</definedName>
    <definedName name="_ST1" localSheetId="2">#REF!</definedName>
    <definedName name="_ST1">#REF!</definedName>
    <definedName name="_ST2" localSheetId="3">#REF!</definedName>
    <definedName name="_ST2" localSheetId="4">#REF!</definedName>
    <definedName name="_ST2" localSheetId="71">#REF!</definedName>
    <definedName name="_ST2" localSheetId="2">#REF!</definedName>
    <definedName name="_ST2">#REF!</definedName>
    <definedName name="_st3" localSheetId="3">#REF!</definedName>
    <definedName name="_st3" localSheetId="4">#REF!</definedName>
    <definedName name="_st3" localSheetId="71">#REF!</definedName>
    <definedName name="_st3" localSheetId="2">#REF!</definedName>
    <definedName name="_st3">#REF!</definedName>
    <definedName name="a">#REF!</definedName>
    <definedName name="aaaa" localSheetId="3" hidden="1">{"'SUMMATION'!$B$2:$I$2"}</definedName>
    <definedName name="aaaa" localSheetId="4" hidden="1">{"'SUMMATION'!$B$2:$I$2"}</definedName>
    <definedName name="aaaa" localSheetId="71" hidden="1">{"'SUMMATION'!$B$2:$I$2"}</definedName>
    <definedName name="aaaa" localSheetId="69" hidden="1">{"'SUMMATION'!$B$2:$I$2"}</definedName>
    <definedName name="aaaa" hidden="1">{"'SUMMATION'!$B$2:$I$2"}</definedName>
    <definedName name="AAAAA">#REF!</definedName>
    <definedName name="AC.60_70" localSheetId="3">#REF!</definedName>
    <definedName name="AC.60_70" localSheetId="4">#REF!</definedName>
    <definedName name="AC.60_70" localSheetId="71">#REF!</definedName>
    <definedName name="AC.60_70" localSheetId="2">#REF!</definedName>
    <definedName name="AC.60_70">#REF!</definedName>
    <definedName name="AC.60_70ไม่รวมขนส่ง" localSheetId="3">#REF!</definedName>
    <definedName name="AC.60_70ไม่รวมขนส่ง" localSheetId="4">#REF!</definedName>
    <definedName name="AC.60_70ไม่รวมขนส่ง" localSheetId="71">#REF!</definedName>
    <definedName name="AC.60_70ไม่รวมขนส่ง" localSheetId="2">#REF!</definedName>
    <definedName name="AC.60_70ไม่รวมขนส่ง">#REF!</definedName>
    <definedName name="AC_Shoulder">'[5]4'!$J$103</definedName>
    <definedName name="AC_สี" localSheetId="3">#REF!</definedName>
    <definedName name="AC_สี" localSheetId="4">#REF!</definedName>
    <definedName name="AC_สี" localSheetId="71">#REF!</definedName>
    <definedName name="AC_สี" localSheetId="69">#REF!</definedName>
    <definedName name="AC_สี" localSheetId="70">#REF!</definedName>
    <definedName name="AC_สี" localSheetId="74">#REF!</definedName>
    <definedName name="AC_สี" localSheetId="2">#REF!</definedName>
    <definedName name="AC_สี">#REF!</definedName>
    <definedName name="AccessDatabase" hidden="1">"C:\My Documents\MRTA\COST\VO\BS\L_subway.mdb"</definedName>
    <definedName name="ACชนิดสีใส" localSheetId="3">#REF!</definedName>
    <definedName name="ACชนิดสีใส" localSheetId="4">#REF!</definedName>
    <definedName name="ACชนิดสีใส" localSheetId="71">#REF!</definedName>
    <definedName name="ACชนิดสีใส" localSheetId="69">#REF!</definedName>
    <definedName name="ACชนิดสีใส" localSheetId="70">#REF!</definedName>
    <definedName name="ACชนิดสีใส" localSheetId="74">#REF!</definedName>
    <definedName name="ACชนิดสีใส" localSheetId="2">#REF!</definedName>
    <definedName name="ACชนิดสีใส">#REF!</definedName>
    <definedName name="ACชนิดสีใสไม่รวมขนส่ง" localSheetId="3">#REF!</definedName>
    <definedName name="ACชนิดสีใสไม่รวมขนส่ง" localSheetId="4">#REF!</definedName>
    <definedName name="ACชนิดสีใสไม่รวมขนส่ง" localSheetId="71">#REF!</definedName>
    <definedName name="ACชนิดสีใสไม่รวมขนส่ง" localSheetId="69">#REF!</definedName>
    <definedName name="ACชนิดสีใสไม่รวมขนส่ง" localSheetId="70">#REF!</definedName>
    <definedName name="ACชนิดสีใสไม่รวมขนส่ง" localSheetId="2">#REF!</definedName>
    <definedName name="ACชนิดสีใสไม่รวมขนส่ง">#REF!</definedName>
    <definedName name="Approach_A">'[5]6'!$J$1599</definedName>
    <definedName name="Approach_B">'[5]6'!$J$1616</definedName>
    <definedName name="Approach_C">'[5]6'!$J$1633</definedName>
    <definedName name="Approach_D">'[5]6'!$J$1651</definedName>
    <definedName name="Approach_E">'[5]6'!$J$1670</definedName>
    <definedName name="archi" localSheetId="3">#REF!</definedName>
    <definedName name="archi" localSheetId="4">#REF!</definedName>
    <definedName name="archi" localSheetId="71">#REF!</definedName>
    <definedName name="archi" localSheetId="69">#REF!</definedName>
    <definedName name="archi">#REF!</definedName>
    <definedName name="ASPHALT_CONDRETE_LEVELING_COURSE">'[5]4'!$J$62</definedName>
    <definedName name="Asphalt_Prime_Coat" localSheetId="3">#REF!</definedName>
    <definedName name="Asphalt_Prime_Coat" localSheetId="4">#REF!</definedName>
    <definedName name="Asphalt_Prime_Coat" localSheetId="71">#REF!</definedName>
    <definedName name="Asphalt_Prime_Coat" localSheetId="69">#REF!</definedName>
    <definedName name="Asphalt_Prime_Coat" localSheetId="70">#REF!</definedName>
    <definedName name="Asphalt_Prime_Coat" localSheetId="74">#REF!</definedName>
    <definedName name="Asphalt_Prime_Coat" localSheetId="2">#REF!</definedName>
    <definedName name="Asphalt_Prime_Coat">#REF!</definedName>
    <definedName name="Asphalt_Tack_Coat" localSheetId="3">#REF!</definedName>
    <definedName name="Asphalt_Tack_Coat" localSheetId="4">#REF!</definedName>
    <definedName name="Asphalt_Tack_Coat" localSheetId="71">#REF!</definedName>
    <definedName name="Asphalt_Tack_Coat" localSheetId="69">#REF!</definedName>
    <definedName name="Asphalt_Tack_Coat" localSheetId="70">#REF!</definedName>
    <definedName name="Asphalt_Tack_Coat" localSheetId="2">#REF!</definedName>
    <definedName name="Asphalt_Tack_Coat">#REF!</definedName>
    <definedName name="AT" localSheetId="3">#REF!</definedName>
    <definedName name="AT" localSheetId="4">#REF!</definedName>
    <definedName name="AT" localSheetId="71">#REF!</definedName>
    <definedName name="AT" localSheetId="69">#REF!</definedName>
    <definedName name="AT" localSheetId="70">#REF!</definedName>
    <definedName name="AT" localSheetId="2">#REF!</definedName>
    <definedName name="AT">#REF!</definedName>
    <definedName name="b" localSheetId="3">#REF!</definedName>
    <definedName name="b" localSheetId="4">#REF!</definedName>
    <definedName name="b" localSheetId="71">#REF!</definedName>
    <definedName name="b" localSheetId="2">#REF!</definedName>
    <definedName name="b">#REF!</definedName>
    <definedName name="BARRIER_CURB">'[5]6'!$J$1445</definedName>
    <definedName name="BARRIER_CURB_AND_GUTTER">'[5]6'!$J$1433</definedName>
    <definedName name="Barrier_TypeI">'[5]6'!$J$1484</definedName>
    <definedName name="Barrier_TypeI_For">'[5]6'!$J$1504</definedName>
    <definedName name="Barrier_TypeII">'[5]6'!$J$1524</definedName>
    <definedName name="bb">'[6]10 ข้อมูลวัสดุ-ค่าดำเนิน'!$X$19</definedName>
    <definedName name="BBBB" localSheetId="3">#REF!</definedName>
    <definedName name="BBBB" localSheetId="4">#REF!</definedName>
    <definedName name="BBBB" localSheetId="71">#REF!</definedName>
    <definedName name="BBBB" localSheetId="69">#REF!</definedName>
    <definedName name="BBBB">#REF!</definedName>
    <definedName name="BEARING_PAD" localSheetId="3">#REF!</definedName>
    <definedName name="BEARING_PAD" localSheetId="4">#REF!</definedName>
    <definedName name="BEARING_PAD" localSheetId="71">#REF!</definedName>
    <definedName name="BEARING_PAD" localSheetId="69">#REF!</definedName>
    <definedName name="BEARING_PAD" localSheetId="70">#REF!</definedName>
    <definedName name="BEARING_PAD" localSheetId="74">#REF!</definedName>
    <definedName name="BEARING_PAD" localSheetId="2">#REF!</definedName>
    <definedName name="BEARING_PAD">#REF!</definedName>
    <definedName name="BEARING_PADไม่รวมขนส่ง" localSheetId="3">#REF!</definedName>
    <definedName name="BEARING_PADไม่รวมขนส่ง" localSheetId="4">#REF!</definedName>
    <definedName name="BEARING_PADไม่รวมขนส่ง" localSheetId="71">#REF!</definedName>
    <definedName name="BEARING_PADไม่รวมขนส่ง" localSheetId="69">#REF!</definedName>
    <definedName name="BEARING_PADไม่รวมขนส่ง" localSheetId="70">#REF!</definedName>
    <definedName name="BEARING_PADไม่รวมขนส่ง" localSheetId="2">#REF!</definedName>
    <definedName name="BEARING_PADไม่รวมขนส่ง">#REF!</definedName>
    <definedName name="Bi_Direction">'[5]6'!$J$2710</definedName>
    <definedName name="BINDER_COURSE">'[5]4'!$J$75</definedName>
    <definedName name="BLOCK_SODDING">'[5]6'!$J$1721</definedName>
    <definedName name="Bolt_25" localSheetId="3">#REF!</definedName>
    <definedName name="Bolt_25" localSheetId="4">#REF!</definedName>
    <definedName name="Bolt_25" localSheetId="71">#REF!</definedName>
    <definedName name="Bolt_25" localSheetId="69">#REF!</definedName>
    <definedName name="Bolt_25" localSheetId="70">#REF!</definedName>
    <definedName name="Bolt_25" localSheetId="74">#REF!</definedName>
    <definedName name="Bolt_25" localSheetId="2">#REF!</definedName>
    <definedName name="Bolt_25">#REF!</definedName>
    <definedName name="BOQ">#REF!</definedName>
    <definedName name="Box_D" localSheetId="3">#REF!</definedName>
    <definedName name="Box_D" localSheetId="4">#REF!</definedName>
    <definedName name="Box_D" localSheetId="71">#REF!</definedName>
    <definedName name="Box_D" localSheetId="69">#REF!</definedName>
    <definedName name="Box_D" localSheetId="70">#REF!</definedName>
    <definedName name="Box_D" localSheetId="2">#REF!</definedName>
    <definedName name="Box_D">#REF!</definedName>
    <definedName name="Box_S" localSheetId="3">#REF!</definedName>
    <definedName name="Box_S" localSheetId="4">#REF!</definedName>
    <definedName name="Box_S" localSheetId="71">#REF!</definedName>
    <definedName name="Box_S" localSheetId="69">#REF!</definedName>
    <definedName name="Box_S" localSheetId="70">#REF!</definedName>
    <definedName name="Box_S" localSheetId="2">#REF!</definedName>
    <definedName name="Box_S">#REF!</definedName>
    <definedName name="Box_T" localSheetId="3">#REF!</definedName>
    <definedName name="Box_T" localSheetId="4">#REF!</definedName>
    <definedName name="Box_T" localSheetId="71">#REF!</definedName>
    <definedName name="Box_T" localSheetId="2">#REF!</definedName>
    <definedName name="Box_T">#REF!</definedName>
    <definedName name="Box_W" localSheetId="3">#REF!</definedName>
    <definedName name="Box_W" localSheetId="4">#REF!</definedName>
    <definedName name="Box_W" localSheetId="71">#REF!</definedName>
    <definedName name="Box_W" localSheetId="2">#REF!</definedName>
    <definedName name="Box_W">#REF!</definedName>
    <definedName name="Bridge_Drainage">'[5]6'!$J$3019</definedName>
    <definedName name="Bus_StopA">'[5]6'!$J$2778</definedName>
    <definedName name="Bus_StopB">'[5]6'!$J$2800</definedName>
    <definedName name="Bus_StopC">'[5]6'!$J$2824</definedName>
    <definedName name="Bus_StopD">'[5]6'!$J$2845</definedName>
    <definedName name="Bus_StopE">'[5]6'!$J$2869</definedName>
    <definedName name="Bus_StopF">'[5]6'!$J$2899</definedName>
    <definedName name="BZ" localSheetId="3">#REF!</definedName>
    <definedName name="BZ" localSheetId="4">#REF!</definedName>
    <definedName name="BZ" localSheetId="71">#REF!</definedName>
    <definedName name="BZ" localSheetId="69">#REF!</definedName>
    <definedName name="BZ" localSheetId="70">#REF!</definedName>
    <definedName name="BZ" localSheetId="74">#REF!</definedName>
    <definedName name="BZ" localSheetId="2">#REF!</definedName>
    <definedName name="BZ">#REF!</definedName>
    <definedName name="CATCH_BASIN">'[5]6'!$J$777</definedName>
    <definedName name="CCCCC" localSheetId="3">#REF!</definedName>
    <definedName name="CCCCC" localSheetId="4">#REF!</definedName>
    <definedName name="CCCCC" localSheetId="71">#REF!</definedName>
    <definedName name="CCCCC" localSheetId="69">#REF!</definedName>
    <definedName name="CCCCC">#REF!</definedName>
    <definedName name="CementT1" localSheetId="3">#REF!</definedName>
    <definedName name="CementT1" localSheetId="4">#REF!</definedName>
    <definedName name="CementT1" localSheetId="71">#REF!</definedName>
    <definedName name="CementT1" localSheetId="69">#REF!</definedName>
    <definedName name="CementT1" localSheetId="70">#REF!</definedName>
    <definedName name="CementT1" localSheetId="74">#REF!</definedName>
    <definedName name="CementT1" localSheetId="2">#REF!</definedName>
    <definedName name="CementT1">#REF!</definedName>
    <definedName name="CementT1ไม่รวมขนส่ง" localSheetId="3">#REF!</definedName>
    <definedName name="CementT1ไม่รวมขนส่ง" localSheetId="4">#REF!</definedName>
    <definedName name="CementT1ไม่รวมขนส่ง" localSheetId="71">#REF!</definedName>
    <definedName name="CementT1ไม่รวมขนส่ง" localSheetId="69">#REF!</definedName>
    <definedName name="CementT1ไม่รวมขนส่ง" localSheetId="70">#REF!</definedName>
    <definedName name="CementT1ไม่รวมขนส่ง" localSheetId="2">#REF!</definedName>
    <definedName name="CementT1ไม่รวมขนส่ง">#REF!</definedName>
    <definedName name="CementT3" localSheetId="3">#REF!</definedName>
    <definedName name="CementT3" localSheetId="4">#REF!</definedName>
    <definedName name="CementT3" localSheetId="71">#REF!</definedName>
    <definedName name="CementT3" localSheetId="69">#REF!</definedName>
    <definedName name="CementT3" localSheetId="70">#REF!</definedName>
    <definedName name="CementT3" localSheetId="2">#REF!</definedName>
    <definedName name="CementT3">#REF!</definedName>
    <definedName name="CementT3ไม่รวมขนส่ง" localSheetId="3">#REF!</definedName>
    <definedName name="CementT3ไม่รวมขนส่ง" localSheetId="4">#REF!</definedName>
    <definedName name="CementT3ไม่รวมขนส่ง" localSheetId="71">#REF!</definedName>
    <definedName name="CementT3ไม่รวมขนส่ง" localSheetId="2">#REF!</definedName>
    <definedName name="CementT3ไม่รวมขนส่ง">#REF!</definedName>
    <definedName name="CementT5" localSheetId="3">#REF!</definedName>
    <definedName name="CementT5" localSheetId="4">#REF!</definedName>
    <definedName name="CementT5" localSheetId="71">#REF!</definedName>
    <definedName name="CementT5" localSheetId="2">#REF!</definedName>
    <definedName name="CementT5">#REF!</definedName>
    <definedName name="CementT5ไม่รวมขนส่ง" localSheetId="3">#REF!</definedName>
    <definedName name="CementT5ไม่รวมขนส่ง" localSheetId="4">#REF!</definedName>
    <definedName name="CementT5ไม่รวมขนส่ง" localSheetId="71">#REF!</definedName>
    <definedName name="CementT5ไม่รวมขนส่ง" localSheetId="2">#REF!</definedName>
    <definedName name="CementT5ไม่รวมขนส่ง">#REF!</definedName>
    <definedName name="Chatter_Bar_Bi">'[5]6'!$J$2721</definedName>
    <definedName name="Chatter_Bar_Uni">'[5]6'!$J$2716</definedName>
    <definedName name="CLAY">'[5]6'!$J$1745</definedName>
    <definedName name="con" localSheetId="3">#REF!</definedName>
    <definedName name="con" localSheetId="4">#REF!</definedName>
    <definedName name="con" localSheetId="71">#REF!</definedName>
    <definedName name="con" localSheetId="69">#REF!</definedName>
    <definedName name="con" localSheetId="70">#REF!</definedName>
    <definedName name="con" localSheetId="74">#REF!</definedName>
    <definedName name="con" localSheetId="2">#REF!</definedName>
    <definedName name="con">#REF!</definedName>
    <definedName name="Con_B" localSheetId="3">#REF!</definedName>
    <definedName name="Con_B" localSheetId="4">#REF!</definedName>
    <definedName name="Con_B" localSheetId="71">#REF!</definedName>
    <definedName name="Con_B" localSheetId="69">#REF!</definedName>
    <definedName name="Con_B" localSheetId="70">#REF!</definedName>
    <definedName name="Con_B" localSheetId="2">#REF!</definedName>
    <definedName name="Con_B">#REF!</definedName>
    <definedName name="Concrete">[7]FCalSH!$G$18</definedName>
    <definedName name="CONCRETE_CURB" localSheetId="3">'[8]หมวด 6(2)'!#REF!</definedName>
    <definedName name="CONCRETE_CURB" localSheetId="4">'[8]หมวด 6(2)'!#REF!</definedName>
    <definedName name="CONCRETE_CURB" localSheetId="71">'[8]หมวด 6(2)'!#REF!</definedName>
    <definedName name="CONCRETE_CURB" localSheetId="69">'[8]หมวด 6(2)'!#REF!</definedName>
    <definedName name="CONCRETE_CURB" localSheetId="70">'[8]หมวด 6(2)'!#REF!</definedName>
    <definedName name="CONCRETE_CURB" localSheetId="74">'[8]หมวด 6(2)'!#REF!</definedName>
    <definedName name="CONCRETE_CURB" localSheetId="2">'[8]หมวด 6(2)'!#REF!</definedName>
    <definedName name="CONCRETE_CURB">'[8]หมวด 6(2)'!#REF!</definedName>
    <definedName name="Concrete_in_Terceptor">'[5]6'!$J$1150</definedName>
    <definedName name="Concrete_pavement">'[5]4'!$J$143</definedName>
    <definedName name="CONCRETE_PAVING_BLOCK">'[5]6'!$J$1715</definedName>
    <definedName name="CONTRACTION_JOINT">'[5]4'!$J$248</definedName>
    <definedName name="cost1" localSheetId="3">#REF!</definedName>
    <definedName name="cost1" localSheetId="4">#REF!</definedName>
    <definedName name="cost1" localSheetId="71">#REF!</definedName>
    <definedName name="cost1" localSheetId="69">#REF!</definedName>
    <definedName name="cost1">#REF!</definedName>
    <definedName name="cost10" localSheetId="3">#REF!</definedName>
    <definedName name="cost10" localSheetId="69">#REF!</definedName>
    <definedName name="cost10">#REF!</definedName>
    <definedName name="cost11" localSheetId="3">#REF!</definedName>
    <definedName name="cost11" localSheetId="69">#REF!</definedName>
    <definedName name="cost11">#REF!</definedName>
    <definedName name="cost12">#REF!</definedName>
    <definedName name="cost13">#REF!</definedName>
    <definedName name="cost2">#REF!</definedName>
    <definedName name="cost3">#REF!</definedName>
    <definedName name="cost4">#REF!</definedName>
    <definedName name="cost5">#REF!</definedName>
    <definedName name="cost6">#REF!</definedName>
    <definedName name="cost7">#REF!</definedName>
    <definedName name="cost8">#REF!</definedName>
    <definedName name="cost9">#REF!</definedName>
    <definedName name="cpac2" localSheetId="3">#REF!</definedName>
    <definedName name="cpac2" localSheetId="4">#REF!</definedName>
    <definedName name="cpac2" localSheetId="71">#REF!</definedName>
    <definedName name="cpac2" localSheetId="69">#REF!</definedName>
    <definedName name="cpac2" localSheetId="70">#REF!</definedName>
    <definedName name="cpac2" localSheetId="74">#REF!</definedName>
    <definedName name="cpac2" localSheetId="2">#REF!</definedName>
    <definedName name="cpac2">#REF!</definedName>
    <definedName name="cpac3">[9]ปร4!$E$15</definedName>
    <definedName name="cpac4">[9]ปร4!$E$16</definedName>
    <definedName name="CR" localSheetId="3">#REF!</definedName>
    <definedName name="CR" localSheetId="4">#REF!</definedName>
    <definedName name="CR" localSheetId="71">#REF!</definedName>
    <definedName name="CR" localSheetId="69">#REF!</definedName>
    <definedName name="CR" localSheetId="70">#REF!</definedName>
    <definedName name="CR" localSheetId="74">#REF!</definedName>
    <definedName name="CR" localSheetId="2">#REF!</definedName>
    <definedName name="CR">#REF!</definedName>
    <definedName name="CRS_2" localSheetId="3">#REF!</definedName>
    <definedName name="CRS_2" localSheetId="4">#REF!</definedName>
    <definedName name="CRS_2" localSheetId="71">#REF!</definedName>
    <definedName name="CRS_2" localSheetId="69">#REF!</definedName>
    <definedName name="CRS_2" localSheetId="70">#REF!</definedName>
    <definedName name="CRS_2" localSheetId="2">#REF!</definedName>
    <definedName name="CRS_2">#REF!</definedName>
    <definedName name="CRS_2ไม่รวมขนส่ง" localSheetId="3">#REF!</definedName>
    <definedName name="CRS_2ไม่รวมขนส่ง" localSheetId="4">#REF!</definedName>
    <definedName name="CRS_2ไม่รวมขนส่ง" localSheetId="71">#REF!</definedName>
    <definedName name="CRS_2ไม่รวมขนส่ง" localSheetId="69">#REF!</definedName>
    <definedName name="CRS_2ไม่รวมขนส่ง" localSheetId="70">#REF!</definedName>
    <definedName name="CRS_2ไม่รวมขนส่ง" localSheetId="2">#REF!</definedName>
    <definedName name="CRS_2ไม่รวมขนส่ง">#REF!</definedName>
    <definedName name="Crushed_Rock">'[5]3'!$J$59</definedName>
    <definedName name="Crushed_rock_under">'[5]3'!$J$138</definedName>
    <definedName name="cs" localSheetId="3">#REF!</definedName>
    <definedName name="cs" localSheetId="4">#REF!</definedName>
    <definedName name="cs" localSheetId="71">#REF!</definedName>
    <definedName name="cs" localSheetId="69">#REF!</definedName>
    <definedName name="cs" localSheetId="70">#REF!</definedName>
    <definedName name="cs" localSheetId="74">#REF!</definedName>
    <definedName name="cs" localSheetId="2">#REF!</definedName>
    <definedName name="cs">#REF!</definedName>
    <definedName name="CSS_1" localSheetId="3">#REF!</definedName>
    <definedName name="CSS_1" localSheetId="4">#REF!</definedName>
    <definedName name="CSS_1" localSheetId="71">#REF!</definedName>
    <definedName name="CSS_1" localSheetId="69">#REF!</definedName>
    <definedName name="CSS_1" localSheetId="70">#REF!</definedName>
    <definedName name="CSS_1" localSheetId="2">#REF!</definedName>
    <definedName name="CSS_1">#REF!</definedName>
    <definedName name="CSS_1h" localSheetId="3">#REF!</definedName>
    <definedName name="CSS_1h" localSheetId="4">#REF!</definedName>
    <definedName name="CSS_1h" localSheetId="71">#REF!</definedName>
    <definedName name="CSS_1h" localSheetId="69">#REF!</definedName>
    <definedName name="CSS_1h" localSheetId="70">#REF!</definedName>
    <definedName name="CSS_1h" localSheetId="2">#REF!</definedName>
    <definedName name="CSS_1h">#REF!</definedName>
    <definedName name="CSS_1hไม่รวมขนส่ง" localSheetId="3">#REF!</definedName>
    <definedName name="CSS_1hไม่รวมขนส่ง" localSheetId="4">#REF!</definedName>
    <definedName name="CSS_1hไม่รวมขนส่ง" localSheetId="71">#REF!</definedName>
    <definedName name="CSS_1hไม่รวมขนส่ง" localSheetId="2">#REF!</definedName>
    <definedName name="CSS_1hไม่รวมขนส่ง">#REF!</definedName>
    <definedName name="CSS_1ไม่รวมขนส่ง" localSheetId="3">#REF!</definedName>
    <definedName name="CSS_1ไม่รวมขนส่ง" localSheetId="4">#REF!</definedName>
    <definedName name="CSS_1ไม่รวมขนส่ง" localSheetId="71">#REF!</definedName>
    <definedName name="CSS_1ไม่รวมขนส่ง" localSheetId="2">#REF!</definedName>
    <definedName name="CSS_1ไม่รวมขนส่ง">#REF!</definedName>
    <definedName name="CT" localSheetId="3">#REF!</definedName>
    <definedName name="CT" localSheetId="4">#REF!</definedName>
    <definedName name="CT" localSheetId="71">#REF!</definedName>
    <definedName name="CT" localSheetId="2">#REF!</definedName>
    <definedName name="CT">#REF!</definedName>
    <definedName name="CulvertSkew_L1" localSheetId="3">#REF!</definedName>
    <definedName name="CulvertSkew_L1" localSheetId="4">#REF!</definedName>
    <definedName name="CulvertSkew_L1" localSheetId="71">#REF!</definedName>
    <definedName name="CulvertSkew_L1" localSheetId="2">#REF!</definedName>
    <definedName name="CulvertSkew_L1">#REF!</definedName>
    <definedName name="CulvertSkew_S1" localSheetId="3">#REF!</definedName>
    <definedName name="CulvertSkew_S1" localSheetId="4">#REF!</definedName>
    <definedName name="CulvertSkew_S1" localSheetId="71">#REF!</definedName>
    <definedName name="CulvertSkew_S1" localSheetId="2">#REF!</definedName>
    <definedName name="CulvertSkew_S1">#REF!</definedName>
    <definedName name="CulvertSkew_S2" localSheetId="3">#REF!</definedName>
    <definedName name="CulvertSkew_S2" localSheetId="4">#REF!</definedName>
    <definedName name="CulvertSkew_S2" localSheetId="71">#REF!</definedName>
    <definedName name="CulvertSkew_S2" localSheetId="2">#REF!</definedName>
    <definedName name="CulvertSkew_S2">#REF!</definedName>
    <definedName name="Curb_Gutter" localSheetId="3">#REF!</definedName>
    <definedName name="Curb_Gutter" localSheetId="4">#REF!</definedName>
    <definedName name="Curb_Gutter" localSheetId="71">#REF!</definedName>
    <definedName name="Curb_Gutter" localSheetId="2">#REF!</definedName>
    <definedName name="Curb_Gutter">#REF!</definedName>
    <definedName name="CURB_MARKINGS">'[5]6'!$J$2732</definedName>
    <definedName name="curb_เกาะกลาง" localSheetId="3">'[8]หมวด 6(2)'!#REF!</definedName>
    <definedName name="curb_เกาะกลาง" localSheetId="4">'[8]หมวด 6(2)'!#REF!</definedName>
    <definedName name="curb_เกาะกลาง" localSheetId="71">'[8]หมวด 6(2)'!#REF!</definedName>
    <definedName name="curb_เกาะกลาง" localSheetId="69">'[8]หมวด 6(2)'!#REF!</definedName>
    <definedName name="curb_เกาะกลาง" localSheetId="70">'[8]หมวด 6(2)'!#REF!</definedName>
    <definedName name="curb_เกาะกลาง" localSheetId="74">'[8]หมวด 6(2)'!#REF!</definedName>
    <definedName name="curb_เกาะกลาง" localSheetId="2">'[8]หมวด 6(2)'!#REF!</definedName>
    <definedName name="curb_เกาะกลาง">'[8]หมวด 6(2)'!#REF!</definedName>
    <definedName name="curb_ขอบทาง" localSheetId="3">'[8]หมวด 6(2)'!#REF!</definedName>
    <definedName name="curb_ขอบทาง" localSheetId="4">'[8]หมวด 6(2)'!#REF!</definedName>
    <definedName name="curb_ขอบทาง" localSheetId="71">'[8]หมวด 6(2)'!#REF!</definedName>
    <definedName name="curb_ขอบทาง" localSheetId="69">'[8]หมวด 6(2)'!#REF!</definedName>
    <definedName name="curb_ขอบทาง" localSheetId="70">'[8]หมวด 6(2)'!#REF!</definedName>
    <definedName name="curb_ขอบทาง" localSheetId="74">'[8]หมวด 6(2)'!#REF!</definedName>
    <definedName name="curb_ขอบทาง">'[8]หมวด 6(2)'!#REF!</definedName>
    <definedName name="CV" localSheetId="3">#REF!</definedName>
    <definedName name="CV" localSheetId="4">#REF!</definedName>
    <definedName name="CV" localSheetId="71">#REF!</definedName>
    <definedName name="CV" localSheetId="69">#REF!</definedName>
    <definedName name="CV" localSheetId="70">#REF!</definedName>
    <definedName name="CV" localSheetId="74">#REF!</definedName>
    <definedName name="CV" localSheetId="2">#REF!</definedName>
    <definedName name="CV">#REF!</definedName>
    <definedName name="_xlnm.Database" localSheetId="3">#REF!</definedName>
    <definedName name="_xlnm.Database" localSheetId="4">#REF!</definedName>
    <definedName name="_xlnm.Database" localSheetId="71">#REF!</definedName>
    <definedName name="_xlnm.Database" localSheetId="69">#REF!</definedName>
    <definedName name="_xlnm.Database" localSheetId="70">#REF!</definedName>
    <definedName name="_xlnm.Database" localSheetId="2">#REF!</definedName>
    <definedName name="_xlnm.Database">#REF!</definedName>
    <definedName name="DATE">[10]รายละเอียดโครงการ!$B$4</definedName>
    <definedName name="DB_12" localSheetId="3">#REF!</definedName>
    <definedName name="DB_12" localSheetId="4">#REF!</definedName>
    <definedName name="DB_12" localSheetId="71">#REF!</definedName>
    <definedName name="DB_12" localSheetId="69">#REF!</definedName>
    <definedName name="DB_12" localSheetId="70">#REF!</definedName>
    <definedName name="DB_12" localSheetId="74">#REF!</definedName>
    <definedName name="DB_12" localSheetId="2">#REF!</definedName>
    <definedName name="DB_12">#REF!</definedName>
    <definedName name="DB_12UP" localSheetId="3">[11]BOQ!#REF!</definedName>
    <definedName name="DB_12UP" localSheetId="4">[11]BOQ!#REF!</definedName>
    <definedName name="DB_12UP" localSheetId="71">[11]BOQ!#REF!</definedName>
    <definedName name="DB_12UP" localSheetId="69">[11]BOQ!#REF!</definedName>
    <definedName name="DB_12UP" localSheetId="70">[11]BOQ!#REF!</definedName>
    <definedName name="DB_12UP" localSheetId="74">[11]BOQ!#REF!</definedName>
    <definedName name="DB_12UP" localSheetId="2">[11]BOQ!#REF!</definedName>
    <definedName name="DB_12UP">[11]BOQ!#REF!</definedName>
    <definedName name="DB_12ไม่รวมขนส่ง" localSheetId="3">#REF!</definedName>
    <definedName name="DB_12ไม่รวมขนส่ง" localSheetId="4">#REF!</definedName>
    <definedName name="DB_12ไม่รวมขนส่ง" localSheetId="71">#REF!</definedName>
    <definedName name="DB_12ไม่รวมขนส่ง" localSheetId="69">#REF!</definedName>
    <definedName name="DB_12ไม่รวมขนส่ง" localSheetId="70">#REF!</definedName>
    <definedName name="DB_12ไม่รวมขนส่ง" localSheetId="74">#REF!</definedName>
    <definedName name="DB_12ไม่รวมขนส่ง" localSheetId="2">#REF!</definedName>
    <definedName name="DB_12ไม่รวมขนส่ง">#REF!</definedName>
    <definedName name="DB_16" localSheetId="3">#REF!</definedName>
    <definedName name="DB_16" localSheetId="4">#REF!</definedName>
    <definedName name="DB_16" localSheetId="71">#REF!</definedName>
    <definedName name="DB_16" localSheetId="69">#REF!</definedName>
    <definedName name="DB_16" localSheetId="70">#REF!</definedName>
    <definedName name="DB_16" localSheetId="2">#REF!</definedName>
    <definedName name="DB_16">#REF!</definedName>
    <definedName name="DB_16ไม่รวมขนส่ง" localSheetId="3">#REF!</definedName>
    <definedName name="DB_16ไม่รวมขนส่ง" localSheetId="4">#REF!</definedName>
    <definedName name="DB_16ไม่รวมขนส่ง" localSheetId="71">#REF!</definedName>
    <definedName name="DB_16ไม่รวมขนส่ง" localSheetId="69">#REF!</definedName>
    <definedName name="DB_16ไม่รวมขนส่ง" localSheetId="70">#REF!</definedName>
    <definedName name="DB_16ไม่รวมขนส่ง" localSheetId="2">#REF!</definedName>
    <definedName name="DB_16ไม่รวมขนส่ง">#REF!</definedName>
    <definedName name="DB_20" localSheetId="3">#REF!</definedName>
    <definedName name="DB_20" localSheetId="4">#REF!</definedName>
    <definedName name="DB_20" localSheetId="71">#REF!</definedName>
    <definedName name="DB_20" localSheetId="2">#REF!</definedName>
    <definedName name="DB_20">#REF!</definedName>
    <definedName name="DB_20ไม่รวมขนส่ง" localSheetId="3">#REF!</definedName>
    <definedName name="DB_20ไม่รวมขนส่ง" localSheetId="4">#REF!</definedName>
    <definedName name="DB_20ไม่รวมขนส่ง" localSheetId="71">#REF!</definedName>
    <definedName name="DB_20ไม่รวมขนส่ง" localSheetId="2">#REF!</definedName>
    <definedName name="DB_20ไม่รวมขนส่ง">#REF!</definedName>
    <definedName name="DB_25" localSheetId="3">#REF!</definedName>
    <definedName name="DB_25" localSheetId="4">#REF!</definedName>
    <definedName name="DB_25" localSheetId="71">#REF!</definedName>
    <definedName name="DB_25" localSheetId="2">#REF!</definedName>
    <definedName name="DB_25">#REF!</definedName>
    <definedName name="DB_25ไม่รวมขนส่ง" localSheetId="3">#REF!</definedName>
    <definedName name="DB_25ไม่รวมขนส่ง" localSheetId="4">#REF!</definedName>
    <definedName name="DB_25ไม่รวมขนส่ง" localSheetId="71">#REF!</definedName>
    <definedName name="DB_25ไม่รวมขนส่ง" localSheetId="2">#REF!</definedName>
    <definedName name="DB_25ไม่รวมขนส่ง">#REF!</definedName>
    <definedName name="DB_28" localSheetId="3">#REF!</definedName>
    <definedName name="DB_28" localSheetId="4">#REF!</definedName>
    <definedName name="DB_28" localSheetId="71">#REF!</definedName>
    <definedName name="DB_28" localSheetId="2">#REF!</definedName>
    <definedName name="DB_28">#REF!</definedName>
    <definedName name="DB_28ไม่รวมขนส่ง" localSheetId="3">#REF!</definedName>
    <definedName name="DB_28ไม่รวมขนส่ง" localSheetId="4">#REF!</definedName>
    <definedName name="DB_28ไม่รวมขนส่ง" localSheetId="71">#REF!</definedName>
    <definedName name="DB_28ไม่รวมขนส่ง" localSheetId="2">#REF!</definedName>
    <definedName name="DB_28ไม่รวมขนส่ง">#REF!</definedName>
    <definedName name="DDDDD">#REF!</definedName>
    <definedName name="dia0.40m." localSheetId="3">#REF!</definedName>
    <definedName name="dia0.40m." localSheetId="4">#REF!</definedName>
    <definedName name="dia0.40m." localSheetId="71">#REF!</definedName>
    <definedName name="dia0.40m." localSheetId="2">#REF!</definedName>
    <definedName name="dia0.40m.">#REF!</definedName>
    <definedName name="dia0.60m." localSheetId="3">#REF!</definedName>
    <definedName name="dia0.60m." localSheetId="4">#REF!</definedName>
    <definedName name="dia0.60m." localSheetId="71">#REF!</definedName>
    <definedName name="dia0.60m." localSheetId="2">#REF!</definedName>
    <definedName name="dia0.60m.">#REF!</definedName>
    <definedName name="dia0.80m." localSheetId="3">#REF!</definedName>
    <definedName name="dia0.80m." localSheetId="4">#REF!</definedName>
    <definedName name="dia0.80m." localSheetId="71">#REF!</definedName>
    <definedName name="dia0.80m." localSheetId="2">#REF!</definedName>
    <definedName name="dia0.80m.">#REF!</definedName>
    <definedName name="dia1.00m." localSheetId="3">#REF!</definedName>
    <definedName name="dia1.00m." localSheetId="4">#REF!</definedName>
    <definedName name="dia1.00m." localSheetId="71">#REF!</definedName>
    <definedName name="dia1.00m." localSheetId="2">#REF!</definedName>
    <definedName name="dia1.00m.">#REF!</definedName>
    <definedName name="dia1.20m." localSheetId="3">#REF!</definedName>
    <definedName name="dia1.20m." localSheetId="4">#REF!</definedName>
    <definedName name="dia1.20m." localSheetId="71">#REF!</definedName>
    <definedName name="dia1.20m." localSheetId="2">#REF!</definedName>
    <definedName name="dia1.20m.">#REF!</definedName>
    <definedName name="digdoh" localSheetId="3">#REF!</definedName>
    <definedName name="digdoh" localSheetId="4">#REF!</definedName>
    <definedName name="digdoh" localSheetId="71">#REF!</definedName>
    <definedName name="digdoh" localSheetId="2">#REF!</definedName>
    <definedName name="digdoh">#REF!</definedName>
    <definedName name="DitchLining_I">'[5]6'!$J$1272</definedName>
    <definedName name="DitchLining_II">'[5]6'!$J$1286</definedName>
    <definedName name="DitchLining_III">'[5]6'!$J$1296</definedName>
    <definedName name="Double_Post">'[5]6'!$J$2669</definedName>
    <definedName name="DOWELED_CONSTRUCTION_JOINT" localSheetId="3">#REF!</definedName>
    <definedName name="DOWELED_CONSTRUCTION_JOINT" localSheetId="4">#REF!</definedName>
    <definedName name="DOWELED_CONSTRUCTION_JOINT" localSheetId="71">#REF!</definedName>
    <definedName name="DOWELED_CONSTRUCTION_JOINT" localSheetId="69">#REF!</definedName>
    <definedName name="DOWELED_CONSTRUCTION_JOINT" localSheetId="70">#REF!</definedName>
    <definedName name="DOWELED_CONSTRUCTION_JOINT" localSheetId="74">#REF!</definedName>
    <definedName name="DOWELED_CONSTRUCTION_JOINT" localSheetId="2">#REF!</definedName>
    <definedName name="DOWELED_CONSTRUCTION_JOINT">#REF!</definedName>
    <definedName name="DOWELED_CONTRACTION_JOINT" localSheetId="3">#REF!</definedName>
    <definedName name="DOWELED_CONTRACTION_JOINT" localSheetId="4">#REF!</definedName>
    <definedName name="DOWELED_CONTRACTION_JOINT" localSheetId="71">#REF!</definedName>
    <definedName name="DOWELED_CONTRACTION_JOINT" localSheetId="69">#REF!</definedName>
    <definedName name="DOWELED_CONTRACTION_JOINT" localSheetId="70">#REF!</definedName>
    <definedName name="DOWELED_CONTRACTION_JOINT" localSheetId="2">#REF!</definedName>
    <definedName name="DOWELED_CONTRACTION_JOINT">#REF!</definedName>
    <definedName name="Drop_Inlet">'[5]6'!$J$1236</definedName>
    <definedName name="DS" localSheetId="3">#REF!</definedName>
    <definedName name="DS" localSheetId="4">#REF!</definedName>
    <definedName name="DS" localSheetId="71">#REF!</definedName>
    <definedName name="DS" localSheetId="69">#REF!</definedName>
    <definedName name="DS" localSheetId="70">#REF!</definedName>
    <definedName name="DS" localSheetId="74">#REF!</definedName>
    <definedName name="DS" localSheetId="2">#REF!</definedName>
    <definedName name="DS">#REF!</definedName>
    <definedName name="DT" localSheetId="3">#REF!</definedName>
    <definedName name="DT" localSheetId="4">#REF!</definedName>
    <definedName name="DT" localSheetId="71">#REF!</definedName>
    <definedName name="DT" localSheetId="69">#REF!</definedName>
    <definedName name="DT" localSheetId="70">#REF!</definedName>
    <definedName name="DT" localSheetId="2">#REF!</definedName>
    <definedName name="DT">#REF!</definedName>
    <definedName name="DUMMY_CONSTRACTION_JOINT" localSheetId="3">#REF!</definedName>
    <definedName name="DUMMY_CONSTRACTION_JOINT" localSheetId="4">#REF!</definedName>
    <definedName name="DUMMY_CONSTRACTION_JOINT" localSheetId="71">#REF!</definedName>
    <definedName name="DUMMY_CONSTRACTION_JOINT" localSheetId="69">#REF!</definedName>
    <definedName name="DUMMY_CONSTRACTION_JOINT" localSheetId="70">#REF!</definedName>
    <definedName name="DUMMY_CONSTRACTION_JOINT" localSheetId="2">#REF!</definedName>
    <definedName name="DUMMY_CONSTRACTION_JOINT">#REF!</definedName>
    <definedName name="DUMMY_JOINT">'[5]4'!$J$278</definedName>
    <definedName name="E" localSheetId="3">#REF!</definedName>
    <definedName name="E" localSheetId="4">#REF!</definedName>
    <definedName name="E" localSheetId="71">#REF!</definedName>
    <definedName name="E" localSheetId="69">#REF!</definedName>
    <definedName name="E">#REF!</definedName>
    <definedName name="EarthFill_in_Sidewalk">'[5]2'!$J$102</definedName>
    <definedName name="Earthwork_Accessroad" localSheetId="3">[12]Summary!#REF!</definedName>
    <definedName name="Earthwork_Accessroad" localSheetId="4">[12]Summary!#REF!</definedName>
    <definedName name="Earthwork_Accessroad" localSheetId="71">[12]Summary!#REF!</definedName>
    <definedName name="Earthwork_Accessroad" localSheetId="69">[12]Summary!#REF!</definedName>
    <definedName name="Earthwork_Accessroad" localSheetId="70">[12]Summary!#REF!</definedName>
    <definedName name="Earthwork_Accessroad" localSheetId="74">[12]Summary!#REF!</definedName>
    <definedName name="Earthwork_Accessroad" localSheetId="2">[12]Summary!#REF!</definedName>
    <definedName name="Earthwork_Accessroad">[12]Summary!#REF!</definedName>
    <definedName name="Earthwork_Crossing" localSheetId="3">[12]Summary!#REF!</definedName>
    <definedName name="Earthwork_Crossing" localSheetId="4">[12]Summary!#REF!</definedName>
    <definedName name="Earthwork_Crossing" localSheetId="71">[12]Summary!#REF!</definedName>
    <definedName name="Earthwork_Crossing" localSheetId="69">[12]Summary!#REF!</definedName>
    <definedName name="Earthwork_Crossing" localSheetId="70">[12]Summary!#REF!</definedName>
    <definedName name="Earthwork_Crossing" localSheetId="74">[12]Summary!#REF!</definedName>
    <definedName name="Earthwork_Crossing">[12]Summary!#REF!</definedName>
    <definedName name="Earthwork_LOCAL" localSheetId="3">[12]Summary!#REF!</definedName>
    <definedName name="Earthwork_LOCAL" localSheetId="4">[12]Summary!#REF!</definedName>
    <definedName name="Earthwork_LOCAL" localSheetId="71">[12]Summary!#REF!</definedName>
    <definedName name="Earthwork_LOCAL" localSheetId="69">[12]Summary!#REF!</definedName>
    <definedName name="Earthwork_LOCAL" localSheetId="70">[12]Summary!#REF!</definedName>
    <definedName name="Earthwork_LOCAL">[12]Summary!#REF!</definedName>
    <definedName name="Earthwork_Overpass" localSheetId="3">[12]Summary!#REF!</definedName>
    <definedName name="Earthwork_Overpass" localSheetId="4">[12]Summary!#REF!</definedName>
    <definedName name="Earthwork_Overpass" localSheetId="71">[12]Summary!#REF!</definedName>
    <definedName name="Earthwork_Overpass" localSheetId="69">[12]Summary!#REF!</definedName>
    <definedName name="Earthwork_Overpass" localSheetId="70">[12]Summary!#REF!</definedName>
    <definedName name="Earthwork_Overpass">[12]Summary!#REF!</definedName>
    <definedName name="Earthwork_PAKCHONG" localSheetId="3">[12]Summary!#REF!</definedName>
    <definedName name="Earthwork_PAKCHONG" localSheetId="4">[12]Summary!#REF!</definedName>
    <definedName name="Earthwork_PAKCHONG" localSheetId="71">[12]Summary!#REF!</definedName>
    <definedName name="Earthwork_PAKCHONG">[12]Summary!#REF!</definedName>
    <definedName name="Earthwork_Serviceroad" localSheetId="3">[12]Summary!#REF!</definedName>
    <definedName name="Earthwork_Serviceroad" localSheetId="4">[12]Summary!#REF!</definedName>
    <definedName name="Earthwork_Serviceroad" localSheetId="71">[12]Summary!#REF!</definedName>
    <definedName name="Earthwork_Serviceroad">[12]Summary!#REF!</definedName>
    <definedName name="Earthwork_Sikhio" localSheetId="3">[12]Summary!#REF!</definedName>
    <definedName name="Earthwork_Sikhio" localSheetId="4">[12]Summary!#REF!</definedName>
    <definedName name="Earthwork_Sikhio" localSheetId="71">[12]Summary!#REF!</definedName>
    <definedName name="Earthwork_Sikhio">[12]Summary!#REF!</definedName>
    <definedName name="Earthwork_โคราช" localSheetId="3">[12]Summary!#REF!</definedName>
    <definedName name="Earthwork_โคราช" localSheetId="4">[12]Summary!#REF!</definedName>
    <definedName name="Earthwork_โคราช" localSheetId="71">[12]Summary!#REF!</definedName>
    <definedName name="Earthwork_โคราช">[12]Summary!#REF!</definedName>
    <definedName name="EDGE_JOINT">'[5]4'!$J$290</definedName>
    <definedName name="eec" localSheetId="3">#REF!</definedName>
    <definedName name="eec" localSheetId="4">#REF!</definedName>
    <definedName name="eec" localSheetId="71">#REF!</definedName>
    <definedName name="eec" localSheetId="69">#REF!</definedName>
    <definedName name="eec">#REF!</definedName>
    <definedName name="EEEEE" localSheetId="3">#REF!</definedName>
    <definedName name="EEEEE" localSheetId="69">#REF!</definedName>
    <definedName name="EEEEE">#REF!</definedName>
    <definedName name="Excel_BuiltIn_Print_Area_0" localSheetId="3">#REF!</definedName>
    <definedName name="Excel_BuiltIn_Print_Area_0" localSheetId="69">#REF!</definedName>
    <definedName name="Excel_BuiltIn_Print_Area_0">#REF!</definedName>
    <definedName name="Excel_BuiltIn_Print_Area_0___0">#REF!</definedName>
    <definedName name="Excel_BuiltIn_Print_Area_0___0___0">#REF!</definedName>
    <definedName name="Excel_BuiltIn_Print_Area_0___11">#REF!</definedName>
    <definedName name="Excel_BuiltIn_Print_Area_0___12">#REF!</definedName>
    <definedName name="Excel_BuiltIn_Print_Area_0___13">#REF!</definedName>
    <definedName name="Excel_BuiltIn_Print_Area_0___14">#REF!</definedName>
    <definedName name="Excel_BuiltIn_Print_Area_0___15">#REF!</definedName>
    <definedName name="Excel_BuiltIn_Print_Area_0___16">#REF!</definedName>
    <definedName name="Excel_BuiltIn_Print_Area_0___8">#REF!</definedName>
    <definedName name="Excel_BuiltIn_Print_Area_0___9">#REF!</definedName>
    <definedName name="Excel_BuiltIn_Print_Area_1_1">#REF!</definedName>
    <definedName name="Excel_BuiltIn_Print_Area_10_1">#REF!</definedName>
    <definedName name="Excel_BuiltIn_Print_Area_10_1_1">#REF!</definedName>
    <definedName name="Excel_BuiltIn_Print_Area_10_1_1_1">#REF!</definedName>
    <definedName name="Excel_BuiltIn_Print_Area_10_1_1_1_1">#REF!</definedName>
    <definedName name="Excel_BuiltIn_Print_Area_10_1_1_1_1_1">#REF!</definedName>
    <definedName name="Excel_BuiltIn_Print_Area_11_1">#REF!</definedName>
    <definedName name="Excel_BuiltIn_Print_Area_11_1_1">#REF!</definedName>
    <definedName name="Excel_BuiltIn_Print_Area_11_1_1_1">#REF!</definedName>
    <definedName name="Excel_BuiltIn_Print_Area_11_1_1_1_1">#REF!</definedName>
    <definedName name="Excel_BuiltIn_Print_Area_12_1">#REF!</definedName>
    <definedName name="Excel_BuiltIn_Print_Area_12_1_1_1">#REF!</definedName>
    <definedName name="Excel_BuiltIn_Print_Area_12_1_1_1_1">#REF!</definedName>
    <definedName name="Excel_BuiltIn_Print_Area_12_1_1_1_1_1">#REF!</definedName>
    <definedName name="Excel_BuiltIn_Print_Area_12_1_1_1_1_1_1">#REF!</definedName>
    <definedName name="Excel_BuiltIn_Print_Area_12_1_1_1_1_1_1_1">#REF!</definedName>
    <definedName name="Excel_BuiltIn_Print_Area_12_1_1_1_1_1_1_1_1">#REF!</definedName>
    <definedName name="Excel_BuiltIn_Print_Area_13_1">#REF!</definedName>
    <definedName name="Excel_BuiltIn_Print_Area_13_1_1">#REF!</definedName>
    <definedName name="Excel_BuiltIn_Print_Area_13_1_1_1">#REF!</definedName>
    <definedName name="Excel_BuiltIn_Print_Area_13_1_1_1_1">#REF!</definedName>
    <definedName name="Excel_BuiltIn_Print_Area_13_1_1_1_1_1">#REF!</definedName>
    <definedName name="Excel_BuiltIn_Print_Area_13_1_1_1_1_1_1">#REF!</definedName>
    <definedName name="Excel_BuiltIn_Print_Area_13_1_1_1_1_1_1_1">#REF!</definedName>
    <definedName name="Excel_BuiltIn_Print_Area_13_1_1_1_1_1_1_1_1">#REF!</definedName>
    <definedName name="Excel_BuiltIn_Print_Area_13_1_1_1_1_1_1_1_1_1">#REF!</definedName>
    <definedName name="Excel_BuiltIn_Print_Area_14_1">#REF!</definedName>
    <definedName name="Excel_BuiltIn_Print_Area_14_1_1">#REF!</definedName>
    <definedName name="Excel_BuiltIn_Print_Area_14_1_1_1">#REF!</definedName>
    <definedName name="Excel_BuiltIn_Print_Area_14_1_1_1_1">#REF!</definedName>
    <definedName name="Excel_BuiltIn_Print_Area_14_1_1_1_1_1">#REF!</definedName>
    <definedName name="Excel_BuiltIn_Print_Area_15_1_1">#REF!</definedName>
    <definedName name="Excel_BuiltIn_Print_Area_15_1_1_1">#REF!</definedName>
    <definedName name="Excel_BuiltIn_Print_Area_15_1_1_1_1">#REF!</definedName>
    <definedName name="Excel_BuiltIn_Print_Area_15_1_1_1_1_1">#REF!</definedName>
    <definedName name="Excel_BuiltIn_Print_Area_15_1_1_1_1_1_1">#REF!</definedName>
    <definedName name="Excel_BuiltIn_Print_Area_15_1_1_1_1_1_1_1">#REF!</definedName>
    <definedName name="Excel_BuiltIn_Print_Area_15_1_1_1_1_1_1_1_1">#REF!</definedName>
    <definedName name="Excel_BuiltIn_Print_Area_16_1">#REF!</definedName>
    <definedName name="Excel_BuiltIn_Print_Area_16_1_1">#REF!</definedName>
    <definedName name="Excel_BuiltIn_Print_Area_16_1_1_1">#REF!</definedName>
    <definedName name="Excel_BuiltIn_Print_Area_16_1_1_1_1">#REF!</definedName>
    <definedName name="Excel_BuiltIn_Print_Area_16_1_1_1_1_1">#REF!</definedName>
    <definedName name="Excel_BuiltIn_Print_Area_16_1_1_1_1_1_1">#REF!</definedName>
    <definedName name="Excel_BuiltIn_Print_Area_16_1_1_1_1_1_1_1">#REF!</definedName>
    <definedName name="Excel_BuiltIn_Print_Area_17_1">#REF!</definedName>
    <definedName name="Excel_BuiltIn_Print_Area_17_1_1">#REF!</definedName>
    <definedName name="Excel_BuiltIn_Print_Area_17_1_1_1">#REF!</definedName>
    <definedName name="Excel_BuiltIn_Print_Area_17_1_1_1_1">#REF!</definedName>
    <definedName name="Excel_BuiltIn_Print_Area_17_1_1_1_1_1">#REF!</definedName>
    <definedName name="Excel_BuiltIn_Print_Area_17_1_1_1_1_1_1">#REF!</definedName>
    <definedName name="Excel_BuiltIn_Print_Area_17_1_1_1_1_1_1_1">#REF!</definedName>
    <definedName name="Excel_BuiltIn_Print_Area_17_1_1_1_1_1_1_1_1">#REF!</definedName>
    <definedName name="Excel_BuiltIn_Print_Area_18_1">#REF!</definedName>
    <definedName name="Excel_BuiltIn_Print_Area_18_1_1">#REF!</definedName>
    <definedName name="Excel_BuiltIn_Print_Area_19_1">#REF!</definedName>
    <definedName name="Excel_BuiltIn_Print_Area_19_1_1">#REF!</definedName>
    <definedName name="Excel_BuiltIn_Print_Area_19_1_1_1">#REF!</definedName>
    <definedName name="Excel_BuiltIn_Print_Area_19_1_1_1_1">#REF!</definedName>
    <definedName name="Excel_BuiltIn_Print_Area_19_1_1_1_1_1">#REF!</definedName>
    <definedName name="Excel_BuiltIn_Print_Area_2_1">#REF!</definedName>
    <definedName name="Excel_BuiltIn_Print_Area_2_1_1">#REF!</definedName>
    <definedName name="Excel_BuiltIn_Print_Area_2_1_1_1">#REF!</definedName>
    <definedName name="Excel_BuiltIn_Print_Area_20_1">#REF!</definedName>
    <definedName name="Excel_BuiltIn_Print_Area_22_1">#REF!</definedName>
    <definedName name="Excel_BuiltIn_Print_Area_23_1">#REF!</definedName>
    <definedName name="Excel_BuiltIn_Print_Area_24_1">#REF!</definedName>
    <definedName name="Excel_BuiltIn_Print_Area_24_1_1">#REF!</definedName>
    <definedName name="Excel_BuiltIn_Print_Area_25_1">#REF!</definedName>
    <definedName name="Excel_BuiltIn_Print_Area_25_1_1">#REF!</definedName>
    <definedName name="Excel_BuiltIn_Print_Area_25_1_1_1">#REF!</definedName>
    <definedName name="Excel_BuiltIn_Print_Area_27_1">#REF!</definedName>
    <definedName name="Excel_BuiltIn_Print_Area_3_1">#REF!</definedName>
    <definedName name="Excel_BuiltIn_Print_Area_3_1_1">#REF!</definedName>
    <definedName name="Excel_BuiltIn_Print_Area_4_1">#REF!</definedName>
    <definedName name="Excel_BuiltIn_Print_Area_4_1_1">#REF!</definedName>
    <definedName name="Excel_BuiltIn_Print_Area_4_1_1_1">#REF!</definedName>
    <definedName name="Excel_BuiltIn_Print_Area_4_1_1_1_1">#REF!</definedName>
    <definedName name="Excel_BuiltIn_Print_Area_4_1_1_1_1_1">#REF!</definedName>
    <definedName name="Excel_BuiltIn_Print_Area_4_1_1_1_1_1_1">#REF!</definedName>
    <definedName name="Excel_BuiltIn_Print_Area_5_1">#REF!</definedName>
    <definedName name="Excel_BuiltIn_Print_Area_5_1_1">#REF!</definedName>
    <definedName name="Excel_BuiltIn_Print_Area_5_1_1_1">#REF!</definedName>
    <definedName name="Excel_BuiltIn_Print_Area_5_1_1_1_1">#REF!</definedName>
    <definedName name="Excel_BuiltIn_Print_Area_5_1_1_1_1_1">#REF!</definedName>
    <definedName name="Excel_BuiltIn_Print_Area_5_1_1_1_1_1_1">#REF!</definedName>
    <definedName name="Excel_BuiltIn_Print_Area_5_1_1_1_1_1_1_1">#REF!</definedName>
    <definedName name="Excel_BuiltIn_Print_Area_6_1">#REF!</definedName>
    <definedName name="Excel_BuiltIn_Print_Area_6_1_1">#REF!</definedName>
    <definedName name="Excel_BuiltIn_Print_Area_6_1_1_1">#REF!</definedName>
    <definedName name="Excel_BuiltIn_Print_Area_6_1_1_1_1">#REF!</definedName>
    <definedName name="Excel_BuiltIn_Print_Area_6_1_1_1_1_1">#REF!</definedName>
    <definedName name="Excel_BuiltIn_Print_Area_7_1">#REF!</definedName>
    <definedName name="Excel_BuiltIn_Print_Area_7_1_1">#REF!</definedName>
    <definedName name="Excel_BuiltIn_Print_Area_7_1_1_1">#REF!</definedName>
    <definedName name="Excel_BuiltIn_Print_Area_7_1_1_1_1">#REF!</definedName>
    <definedName name="Excel_BuiltIn_Print_Area_7_1_1_1_1_1">#REF!</definedName>
    <definedName name="Excel_BuiltIn_Print_Area_8_1">#REF!</definedName>
    <definedName name="Excel_BuiltIn_Print_Area_8_1_1">#REF!</definedName>
    <definedName name="Excel_BuiltIn_Print_Area_8_1_1_1">#REF!</definedName>
    <definedName name="Excel_BuiltIn_Print_Area_9_1">#REF!</definedName>
    <definedName name="Excel_BuiltIn_Print_Area_9_1_1">#REF!</definedName>
    <definedName name="Excel_BuiltIn_Print_Area_9_1_1_1">#REF!</definedName>
    <definedName name="Excel_BuiltIn_Print_Area_9_1_1_1_1">#REF!</definedName>
    <definedName name="Excel_BuiltIn_Print_Titles_1_1">#REF!</definedName>
    <definedName name="Excel_BuiltIn_Print_Titles_10_1">#REF!</definedName>
    <definedName name="Excel_BuiltIn_Print_Titles_11_1">#REF!</definedName>
    <definedName name="Excel_BuiltIn_Print_Titles_12_1">#REF!</definedName>
    <definedName name="Excel_BuiltIn_Print_Titles_12_1_1">#REF!</definedName>
    <definedName name="Excel_BuiltIn_Print_Titles_12_1_1_1">#REF!</definedName>
    <definedName name="Excel_BuiltIn_Print_Titles_13_1">#REF!</definedName>
    <definedName name="Excel_BuiltIn_Print_Titles_14_1">#REF!</definedName>
    <definedName name="Excel_BuiltIn_Print_Titles_15_1">#REF!</definedName>
    <definedName name="Excel_BuiltIn_Print_Titles_16_1">#REF!</definedName>
    <definedName name="Excel_BuiltIn_Print_Titles_17_1">#REF!</definedName>
    <definedName name="Excel_BuiltIn_Print_Titles_17_1_1">#REF!</definedName>
    <definedName name="Excel_BuiltIn_Print_Titles_18_1">#REF!</definedName>
    <definedName name="Excel_BuiltIn_Print_Titles_18_1_1">#REF!</definedName>
    <definedName name="Excel_BuiltIn_Print_Titles_19_1">#REF!</definedName>
    <definedName name="Excel_BuiltIn_Print_Titles_2_1">#REF!</definedName>
    <definedName name="Excel_BuiltIn_Print_Titles_20_1">#REF!</definedName>
    <definedName name="Excel_BuiltIn_Print_Titles_21_1">#REF!</definedName>
    <definedName name="Excel_BuiltIn_Print_Titles_22_1">#REF!</definedName>
    <definedName name="Excel_BuiltIn_Print_Titles_22_1_1">#REF!</definedName>
    <definedName name="Excel_BuiltIn_Print_Titles_23_1">#REF!</definedName>
    <definedName name="Excel_BuiltIn_Print_Titles_23_1_1">#REF!</definedName>
    <definedName name="Excel_BuiltIn_Print_Titles_24_1">#REF!</definedName>
    <definedName name="Excel_BuiltIn_Print_Titles_24_1_1">#REF!</definedName>
    <definedName name="Excel_BuiltIn_Print_Titles_25_1">#REF!</definedName>
    <definedName name="Excel_BuiltIn_Print_Titles_26_1">#REF!</definedName>
    <definedName name="Excel_BuiltIn_Print_Titles_27_1">#REF!</definedName>
    <definedName name="Excel_BuiltIn_Print_Titles_3_1">#REF!</definedName>
    <definedName name="Excel_BuiltIn_Print_Titles_3_1_1">#REF!</definedName>
    <definedName name="Excel_BuiltIn_Print_Titles_4_1">#REF!</definedName>
    <definedName name="Excel_BuiltIn_Print_Titles_4_1_1">#REF!</definedName>
    <definedName name="Excel_BuiltIn_Print_Titles_5_1">#REF!</definedName>
    <definedName name="Excel_BuiltIn_Print_Titles_5_1_1">#REF!</definedName>
    <definedName name="Excel_BuiltIn_Print_Titles_6_1">#REF!</definedName>
    <definedName name="Excel_BuiltIn_Print_Titles_7_1">#REF!</definedName>
    <definedName name="Excel_BuiltIn_Print_Titles_7_1_1">#REF!</definedName>
    <definedName name="Excel_BuiltIn_Print_Titles_8_1">#REF!</definedName>
    <definedName name="Excel_BuiltIn_Print_Titles_9_1">#REF!</definedName>
    <definedName name="Expansion_Joint">'[5]4'!$J$222</definedName>
    <definedName name="f" localSheetId="3">#REF!</definedName>
    <definedName name="f" localSheetId="4">#REF!</definedName>
    <definedName name="f" localSheetId="71">#REF!</definedName>
    <definedName name="f" localSheetId="69">#REF!</definedName>
    <definedName name="f">#REF!</definedName>
    <definedName name="fa" localSheetId="3">#REF!</definedName>
    <definedName name="fa" localSheetId="69">#REF!</definedName>
    <definedName name="fa">#REF!</definedName>
    <definedName name="Factor__F_B15" localSheetId="3">#REF!</definedName>
    <definedName name="Factor__F_B15" localSheetId="4">#REF!</definedName>
    <definedName name="Factor__F_B15" localSheetId="71">#REF!</definedName>
    <definedName name="Factor__F_B15" localSheetId="69">#REF!</definedName>
    <definedName name="Factor__F_B15" localSheetId="70">#REF!</definedName>
    <definedName name="Factor__F_B15" localSheetId="74">#REF!</definedName>
    <definedName name="Factor__F_B15" localSheetId="2">#REF!</definedName>
    <definedName name="Factor__F_B15">#REF!</definedName>
    <definedName name="Factor__F_B16" localSheetId="3">#REF!</definedName>
    <definedName name="Factor__F_B16" localSheetId="4">#REF!</definedName>
    <definedName name="Factor__F_B16" localSheetId="71">#REF!</definedName>
    <definedName name="Factor__F_B16" localSheetId="69">#REF!</definedName>
    <definedName name="Factor__F_B16" localSheetId="70">#REF!</definedName>
    <definedName name="Factor__F_B16" localSheetId="2">#REF!</definedName>
    <definedName name="Factor__F_B16">#REF!</definedName>
    <definedName name="Factor__F_B17" localSheetId="3">#REF!</definedName>
    <definedName name="Factor__F_B17" localSheetId="4">#REF!</definedName>
    <definedName name="Factor__F_B17" localSheetId="71">#REF!</definedName>
    <definedName name="Factor__F_B17" localSheetId="69">#REF!</definedName>
    <definedName name="Factor__F_B17" localSheetId="70">#REF!</definedName>
    <definedName name="Factor__F_B17" localSheetId="2">#REF!</definedName>
    <definedName name="Factor__F_B17">#REF!</definedName>
    <definedName name="Factor__F_B18" localSheetId="3">#REF!</definedName>
    <definedName name="Factor__F_B18" localSheetId="4">#REF!</definedName>
    <definedName name="Factor__F_B18" localSheetId="71">#REF!</definedName>
    <definedName name="Factor__F_B18" localSheetId="2">#REF!</definedName>
    <definedName name="Factor__F_B18">#REF!</definedName>
    <definedName name="Factor__F_B19" localSheetId="3">#REF!</definedName>
    <definedName name="Factor__F_B19" localSheetId="4">#REF!</definedName>
    <definedName name="Factor__F_B19" localSheetId="71">#REF!</definedName>
    <definedName name="Factor__F_B19" localSheetId="2">#REF!</definedName>
    <definedName name="Factor__F_B19">#REF!</definedName>
    <definedName name="Factor__F_B2_11Boots">'[13]อาคาร 2 11Boots'!$I$4</definedName>
    <definedName name="Factor__F_B2_14Boots">'[13]อาคาร 2 14Boots'!$I$4</definedName>
    <definedName name="Factor__F_B2_5Boots">'[13]อาคาร 2 5Boots'!$I$4</definedName>
    <definedName name="Factor__F_B2_6Boots">'[13]อาคาร 2 6Boots'!$I$4</definedName>
    <definedName name="Factor__F_B20" localSheetId="3">#REF!</definedName>
    <definedName name="Factor__F_B20" localSheetId="4">#REF!</definedName>
    <definedName name="Factor__F_B20" localSheetId="71">#REF!</definedName>
    <definedName name="Factor__F_B20" localSheetId="69">#REF!</definedName>
    <definedName name="Factor__F_B20" localSheetId="70">#REF!</definedName>
    <definedName name="Factor__F_B20" localSheetId="74">#REF!</definedName>
    <definedName name="Factor__F_B20" localSheetId="2">#REF!</definedName>
    <definedName name="Factor__F_B20">#REF!</definedName>
    <definedName name="Factor__F_B21" localSheetId="3">#REF!</definedName>
    <definedName name="Factor__F_B21" localSheetId="4">#REF!</definedName>
    <definedName name="Factor__F_B21" localSheetId="71">#REF!</definedName>
    <definedName name="Factor__F_B21" localSheetId="69">#REF!</definedName>
    <definedName name="Factor__F_B21" localSheetId="70">#REF!</definedName>
    <definedName name="Factor__F_B21" localSheetId="2">#REF!</definedName>
    <definedName name="Factor__F_B21">#REF!</definedName>
    <definedName name="Factor__F_B22" localSheetId="3">#REF!</definedName>
    <definedName name="Factor__F_B22" localSheetId="4">#REF!</definedName>
    <definedName name="Factor__F_B22" localSheetId="71">#REF!</definedName>
    <definedName name="Factor__F_B22" localSheetId="69">#REF!</definedName>
    <definedName name="Factor__F_B22" localSheetId="70">#REF!</definedName>
    <definedName name="Factor__F_B22" localSheetId="2">#REF!</definedName>
    <definedName name="Factor__F_B22">#REF!</definedName>
    <definedName name="Factor__F_B23" localSheetId="3">#REF!</definedName>
    <definedName name="Factor__F_B23" localSheetId="4">#REF!</definedName>
    <definedName name="Factor__F_B23" localSheetId="71">#REF!</definedName>
    <definedName name="Factor__F_B23" localSheetId="2">#REF!</definedName>
    <definedName name="Factor__F_B23">#REF!</definedName>
    <definedName name="Factor__F_KhamThaleSo" localSheetId="3">#REF!</definedName>
    <definedName name="Factor__F_KhamThaleSo" localSheetId="4">#REF!</definedName>
    <definedName name="Factor__F_KhamThaleSo" localSheetId="71">#REF!</definedName>
    <definedName name="Factor__F_KhamThaleSo" localSheetId="2">#REF!</definedName>
    <definedName name="Factor__F_KhamThaleSo">#REF!</definedName>
    <definedName name="Factor__F_PakChong" localSheetId="3">#REF!</definedName>
    <definedName name="Factor__F_PakChong" localSheetId="4">#REF!</definedName>
    <definedName name="Factor__F_PakChong" localSheetId="71">#REF!</definedName>
    <definedName name="Factor__F_PakChong" localSheetId="2">#REF!</definedName>
    <definedName name="Factor__F_PakChong">#REF!</definedName>
    <definedName name="Factor__F_RestArea_122" localSheetId="3">#REF!</definedName>
    <definedName name="Factor__F_RestArea_122" localSheetId="4">#REF!</definedName>
    <definedName name="Factor__F_RestArea_122" localSheetId="71">#REF!</definedName>
    <definedName name="Factor__F_RestArea_122" localSheetId="2">#REF!</definedName>
    <definedName name="Factor__F_RestArea_122">#REF!</definedName>
    <definedName name="Factor__F_RestArea_173" localSheetId="3">#REF!</definedName>
    <definedName name="Factor__F_RestArea_173" localSheetId="4">#REF!</definedName>
    <definedName name="Factor__F_RestArea_173" localSheetId="71">#REF!</definedName>
    <definedName name="Factor__F_RestArea_173" localSheetId="2">#REF!</definedName>
    <definedName name="Factor__F_RestArea_173">#REF!</definedName>
    <definedName name="Factor__F_ServiceArea" localSheetId="3">#REF!</definedName>
    <definedName name="Factor__F_ServiceArea" localSheetId="4">#REF!</definedName>
    <definedName name="Factor__F_ServiceArea" localSheetId="71">#REF!</definedName>
    <definedName name="Factor__F_ServiceArea" localSheetId="2">#REF!</definedName>
    <definedName name="Factor__F_ServiceArea">#REF!</definedName>
    <definedName name="Factor__F_ServiceCenter" localSheetId="3">#REF!</definedName>
    <definedName name="Factor__F_ServiceCenter" localSheetId="4">#REF!</definedName>
    <definedName name="Factor__F_ServiceCenter" localSheetId="71">#REF!</definedName>
    <definedName name="Factor__F_ServiceCenter" localSheetId="2">#REF!</definedName>
    <definedName name="Factor__F_ServiceCenter">#REF!</definedName>
    <definedName name="Factor__F_SiKhui" localSheetId="3">#REF!</definedName>
    <definedName name="Factor__F_SiKhui" localSheetId="4">#REF!</definedName>
    <definedName name="Factor__F_SiKhui" localSheetId="71">#REF!</definedName>
    <definedName name="Factor__F_SiKhui" localSheetId="2">#REF!</definedName>
    <definedName name="Factor__F_SiKhui">#REF!</definedName>
    <definedName name="Factor_F_B10" localSheetId="3">#REF!</definedName>
    <definedName name="Factor_F_B10" localSheetId="4">#REF!</definedName>
    <definedName name="Factor_F_B10" localSheetId="71">#REF!</definedName>
    <definedName name="Factor_F_B10" localSheetId="2">#REF!</definedName>
    <definedName name="Factor_F_B10">#REF!</definedName>
    <definedName name="Factor_F_B11" localSheetId="3">#REF!</definedName>
    <definedName name="Factor_F_B11" localSheetId="4">#REF!</definedName>
    <definedName name="Factor_F_B11" localSheetId="71">#REF!</definedName>
    <definedName name="Factor_F_B11" localSheetId="2">#REF!</definedName>
    <definedName name="Factor_F_B11">#REF!</definedName>
    <definedName name="Factor_F_B12" localSheetId="3">#REF!</definedName>
    <definedName name="Factor_F_B12" localSheetId="4">#REF!</definedName>
    <definedName name="Factor_F_B12" localSheetId="71">#REF!</definedName>
    <definedName name="Factor_F_B12" localSheetId="2">#REF!</definedName>
    <definedName name="Factor_F_B12">#REF!</definedName>
    <definedName name="Factor_F_B14" localSheetId="3">#REF!</definedName>
    <definedName name="Factor_F_B14" localSheetId="4">#REF!</definedName>
    <definedName name="Factor_F_B14" localSheetId="71">#REF!</definedName>
    <definedName name="Factor_F_B14" localSheetId="2">#REF!</definedName>
    <definedName name="Factor_F_B14">#REF!</definedName>
    <definedName name="Factor_F_B2" localSheetId="3">#REF!</definedName>
    <definedName name="Factor_F_B2" localSheetId="4">#REF!</definedName>
    <definedName name="Factor_F_B2" localSheetId="71">#REF!</definedName>
    <definedName name="Factor_F_B2" localSheetId="2">#REF!</definedName>
    <definedName name="Factor_F_B2">#REF!</definedName>
    <definedName name="Factor_F_B3" localSheetId="3">#REF!</definedName>
    <definedName name="Factor_F_B3" localSheetId="4">#REF!</definedName>
    <definedName name="Factor_F_B3" localSheetId="71">#REF!</definedName>
    <definedName name="Factor_F_B3" localSheetId="2">#REF!</definedName>
    <definedName name="Factor_F_B3">#REF!</definedName>
    <definedName name="Factor_F_B4" localSheetId="3">#REF!</definedName>
    <definedName name="Factor_F_B4" localSheetId="4">#REF!</definedName>
    <definedName name="Factor_F_B4" localSheetId="71">#REF!</definedName>
    <definedName name="Factor_F_B4" localSheetId="2">#REF!</definedName>
    <definedName name="Factor_F_B4">#REF!</definedName>
    <definedName name="Factor_F_B5" localSheetId="3">#REF!</definedName>
    <definedName name="Factor_F_B5" localSheetId="4">#REF!</definedName>
    <definedName name="Factor_F_B5" localSheetId="71">#REF!</definedName>
    <definedName name="Factor_F_B5" localSheetId="2">#REF!</definedName>
    <definedName name="Factor_F_B5">#REF!</definedName>
    <definedName name="Factor_F_B6" localSheetId="3">#REF!</definedName>
    <definedName name="Factor_F_B6" localSheetId="4">#REF!</definedName>
    <definedName name="Factor_F_B6" localSheetId="71">#REF!</definedName>
    <definedName name="Factor_F_B6" localSheetId="2">#REF!</definedName>
    <definedName name="Factor_F_B6">#REF!</definedName>
    <definedName name="Factor_F_B7" localSheetId="3">#REF!</definedName>
    <definedName name="Factor_F_B7" localSheetId="4">#REF!</definedName>
    <definedName name="Factor_F_B7" localSheetId="71">#REF!</definedName>
    <definedName name="Factor_F_B7" localSheetId="2">#REF!</definedName>
    <definedName name="Factor_F_B7">#REF!</definedName>
    <definedName name="Factor_F_B8" localSheetId="3">#REF!</definedName>
    <definedName name="Factor_F_B8" localSheetId="4">#REF!</definedName>
    <definedName name="Factor_F_B8" localSheetId="71">#REF!</definedName>
    <definedName name="Factor_F_B8" localSheetId="2">#REF!</definedName>
    <definedName name="Factor_F_B8">#REF!</definedName>
    <definedName name="Factor_F_B9" localSheetId="3">#REF!</definedName>
    <definedName name="Factor_F_B9" localSheetId="4">#REF!</definedName>
    <definedName name="Factor_F_B9" localSheetId="71">#REF!</definedName>
    <definedName name="Factor_F_B9" localSheetId="2">#REF!</definedName>
    <definedName name="Factor_F_B9">#REF!</definedName>
    <definedName name="FactorF_road" localSheetId="3">#REF!</definedName>
    <definedName name="FactorF_road" localSheetId="4">#REF!</definedName>
    <definedName name="FactorF_road" localSheetId="71">#REF!</definedName>
    <definedName name="FactorF_road" localSheetId="2">#REF!</definedName>
    <definedName name="FactorF_road">#REF!</definedName>
    <definedName name="FactorF_ทั่วไป" localSheetId="3">#REF!</definedName>
    <definedName name="FactorF_ทั่วไป" localSheetId="4">#REF!</definedName>
    <definedName name="FactorF_ทั่วไป" localSheetId="71">#REF!</definedName>
    <definedName name="FactorF_ทั่วไป" localSheetId="2">#REF!</definedName>
    <definedName name="FactorF_ทั่วไป">#REF!</definedName>
    <definedName name="FactorF_สะพาน" localSheetId="3">#REF!</definedName>
    <definedName name="FactorF_สะพาน" localSheetId="4">#REF!</definedName>
    <definedName name="FactorF_สะพาน" localSheetId="71">#REF!</definedName>
    <definedName name="FactorF_สะพาน" localSheetId="2">#REF!</definedName>
    <definedName name="FactorF_สะพาน">#REF!</definedName>
    <definedName name="FactorF_สาธาณูปโภค" localSheetId="3">#REF!</definedName>
    <definedName name="FactorF_สาธาณูปโภค" localSheetId="4">#REF!</definedName>
    <definedName name="FactorF_สาธาณูปโภค" localSheetId="71">#REF!</definedName>
    <definedName name="FactorF_สาธาณูปโภค" localSheetId="2">#REF!</definedName>
    <definedName name="FactorF_สาธาณูปโภค">#REF!</definedName>
    <definedName name="FactorF_สาธารณูปโภค" localSheetId="3">#REF!</definedName>
    <definedName name="FactorF_สาธารณูปโภค" localSheetId="4">#REF!</definedName>
    <definedName name="FactorF_สาธารณูปโภค" localSheetId="71">#REF!</definedName>
    <definedName name="FactorF_สาธารณูปโภค" localSheetId="2">#REF!</definedName>
    <definedName name="FactorF_สาธารณูปโภค">#REF!</definedName>
    <definedName name="FactorF_อาคาร" localSheetId="3">#REF!</definedName>
    <definedName name="FactorF_อาคาร" localSheetId="4">#REF!</definedName>
    <definedName name="FactorF_อาคาร" localSheetId="71">#REF!</definedName>
    <definedName name="FactorF_อาคาร" localSheetId="2">#REF!</definedName>
    <definedName name="FactorF_อาคาร">#REF!</definedName>
    <definedName name="FACTORF1.1" localSheetId="3">#REF!</definedName>
    <definedName name="FACTORF1.1" localSheetId="4">#REF!</definedName>
    <definedName name="FACTORF1.1" localSheetId="71">#REF!</definedName>
    <definedName name="FACTORF1.1" localSheetId="2">#REF!</definedName>
    <definedName name="FACTORF1.1">#REF!</definedName>
    <definedName name="FACTORF1.2" localSheetId="3">#REF!</definedName>
    <definedName name="FACTORF1.2" localSheetId="4">#REF!</definedName>
    <definedName name="FACTORF1.2" localSheetId="71">#REF!</definedName>
    <definedName name="FACTORF1.2" localSheetId="2">#REF!</definedName>
    <definedName name="FACTORF1.2">#REF!</definedName>
    <definedName name="FACTORF1.3.1" localSheetId="3">#REF!</definedName>
    <definedName name="FACTORF1.3.1" localSheetId="4">#REF!</definedName>
    <definedName name="FACTORF1.3.1" localSheetId="71">#REF!</definedName>
    <definedName name="FACTORF1.3.1" localSheetId="2">#REF!</definedName>
    <definedName name="FACTORF1.3.1">#REF!</definedName>
    <definedName name="FACTORF1.3.2" localSheetId="3">#REF!</definedName>
    <definedName name="FACTORF1.3.2" localSheetId="4">#REF!</definedName>
    <definedName name="FACTORF1.3.2" localSheetId="71">#REF!</definedName>
    <definedName name="FACTORF1.3.2" localSheetId="2">#REF!</definedName>
    <definedName name="FACTORF1.3.2">#REF!</definedName>
    <definedName name="FACTORF1.3.3" localSheetId="3">#REF!</definedName>
    <definedName name="FACTORF1.3.3" localSheetId="4">#REF!</definedName>
    <definedName name="FACTORF1.3.3" localSheetId="71">#REF!</definedName>
    <definedName name="FACTORF1.3.3" localSheetId="2">#REF!</definedName>
    <definedName name="FACTORF1.3.3">#REF!</definedName>
    <definedName name="FACTORF1.3.4" localSheetId="3">#REF!</definedName>
    <definedName name="FACTORF1.3.4" localSheetId="4">#REF!</definedName>
    <definedName name="FACTORF1.3.4" localSheetId="71">#REF!</definedName>
    <definedName name="FACTORF1.3.4" localSheetId="2">#REF!</definedName>
    <definedName name="FACTORF1.3.4">#REF!</definedName>
    <definedName name="FACTORF1.4.1" localSheetId="3">#REF!</definedName>
    <definedName name="FACTORF1.4.1" localSheetId="4">#REF!</definedName>
    <definedName name="FACTORF1.4.1" localSheetId="71">#REF!</definedName>
    <definedName name="FACTORF1.4.1" localSheetId="2">#REF!</definedName>
    <definedName name="FACTORF1.4.1">#REF!</definedName>
    <definedName name="FACTORF1.4.2" localSheetId="3">#REF!</definedName>
    <definedName name="FACTORF1.4.2" localSheetId="4">#REF!</definedName>
    <definedName name="FACTORF1.4.2" localSheetId="71">#REF!</definedName>
    <definedName name="FACTORF1.4.2" localSheetId="2">#REF!</definedName>
    <definedName name="FACTORF1.4.2">#REF!</definedName>
    <definedName name="FACTORF1.4.3" localSheetId="3">#REF!</definedName>
    <definedName name="FACTORF1.4.3" localSheetId="4">#REF!</definedName>
    <definedName name="FACTORF1.4.3" localSheetId="71">#REF!</definedName>
    <definedName name="FACTORF1.4.3" localSheetId="2">#REF!</definedName>
    <definedName name="FACTORF1.4.3">#REF!</definedName>
    <definedName name="FACTORF1.5" localSheetId="3">#REF!</definedName>
    <definedName name="FACTORF1.5" localSheetId="4">#REF!</definedName>
    <definedName name="FACTORF1.5" localSheetId="71">#REF!</definedName>
    <definedName name="FACTORF1.5" localSheetId="2">#REF!</definedName>
    <definedName name="FACTORF1.5">#REF!</definedName>
    <definedName name="FACTORF1.6.1" localSheetId="3">#REF!</definedName>
    <definedName name="FACTORF1.6.1" localSheetId="4">#REF!</definedName>
    <definedName name="FACTORF1.6.1" localSheetId="71">#REF!</definedName>
    <definedName name="FACTORF1.6.1" localSheetId="2">#REF!</definedName>
    <definedName name="FACTORF1.6.1">#REF!</definedName>
    <definedName name="FACTORF1.6.2" localSheetId="3">#REF!</definedName>
    <definedName name="FACTORF1.6.2" localSheetId="4">#REF!</definedName>
    <definedName name="FACTORF1.6.2" localSheetId="71">#REF!</definedName>
    <definedName name="FACTORF1.6.2" localSheetId="2">#REF!</definedName>
    <definedName name="FACTORF1.6.2">#REF!</definedName>
    <definedName name="FACTORF2.1" localSheetId="3">#REF!</definedName>
    <definedName name="FACTORF2.1" localSheetId="4">#REF!</definedName>
    <definedName name="FACTORF2.1" localSheetId="71">#REF!</definedName>
    <definedName name="FACTORF2.1" localSheetId="2">#REF!</definedName>
    <definedName name="FACTORF2.1">#REF!</definedName>
    <definedName name="FACTORF2.2_1" localSheetId="3">#REF!</definedName>
    <definedName name="FACTORF2.2_1" localSheetId="4">#REF!</definedName>
    <definedName name="FACTORF2.2_1" localSheetId="71">#REF!</definedName>
    <definedName name="FACTORF2.2_1" localSheetId="2">#REF!</definedName>
    <definedName name="FACTORF2.2_1">#REF!</definedName>
    <definedName name="FACTORF2.2_2" localSheetId="3">#REF!</definedName>
    <definedName name="FACTORF2.2_2" localSheetId="4">#REF!</definedName>
    <definedName name="FACTORF2.2_2" localSheetId="71">#REF!</definedName>
    <definedName name="FACTORF2.2_2" localSheetId="2">#REF!</definedName>
    <definedName name="FACTORF2.2_2">#REF!</definedName>
    <definedName name="FACTORF2.2_3" localSheetId="3">#REF!</definedName>
    <definedName name="FACTORF2.2_3" localSheetId="4">#REF!</definedName>
    <definedName name="FACTORF2.2_3" localSheetId="71">#REF!</definedName>
    <definedName name="FACTORF2.2_3" localSheetId="2">#REF!</definedName>
    <definedName name="FACTORF2.2_3">#REF!</definedName>
    <definedName name="FACTORF2.2_4" localSheetId="3">#REF!</definedName>
    <definedName name="FACTORF2.2_4" localSheetId="4">#REF!</definedName>
    <definedName name="FACTORF2.2_4" localSheetId="71">#REF!</definedName>
    <definedName name="FACTORF2.2_4" localSheetId="2">#REF!</definedName>
    <definedName name="FACTORF2.2_4">#REF!</definedName>
    <definedName name="FACTORF2.2_5" localSheetId="3">#REF!</definedName>
    <definedName name="FACTORF2.2_5" localSheetId="4">#REF!</definedName>
    <definedName name="FACTORF2.2_5" localSheetId="71">#REF!</definedName>
    <definedName name="FACTORF2.2_5" localSheetId="2">#REF!</definedName>
    <definedName name="FACTORF2.2_5">#REF!</definedName>
    <definedName name="FACTORF2.3_1" localSheetId="3">#REF!</definedName>
    <definedName name="FACTORF2.3_1" localSheetId="4">#REF!</definedName>
    <definedName name="FACTORF2.3_1" localSheetId="71">#REF!</definedName>
    <definedName name="FACTORF2.3_1" localSheetId="2">#REF!</definedName>
    <definedName name="FACTORF2.3_1">#REF!</definedName>
    <definedName name="FACTORF2.3_10.1" localSheetId="3">#REF!</definedName>
    <definedName name="FACTORF2.3_10.1" localSheetId="4">#REF!</definedName>
    <definedName name="FACTORF2.3_10.1" localSheetId="71">#REF!</definedName>
    <definedName name="FACTORF2.3_10.1" localSheetId="2">#REF!</definedName>
    <definedName name="FACTORF2.3_10.1">#REF!</definedName>
    <definedName name="FACTORF2.3_10.2" localSheetId="3">#REF!</definedName>
    <definedName name="FACTORF2.3_10.2" localSheetId="4">#REF!</definedName>
    <definedName name="FACTORF2.3_10.2" localSheetId="71">#REF!</definedName>
    <definedName name="FACTORF2.3_10.2" localSheetId="2">#REF!</definedName>
    <definedName name="FACTORF2.3_10.2">#REF!</definedName>
    <definedName name="FACTORF2.3_2" localSheetId="3">#REF!</definedName>
    <definedName name="FACTORF2.3_2" localSheetId="4">#REF!</definedName>
    <definedName name="FACTORF2.3_2" localSheetId="71">#REF!</definedName>
    <definedName name="FACTORF2.3_2" localSheetId="2">#REF!</definedName>
    <definedName name="FACTORF2.3_2">#REF!</definedName>
    <definedName name="FACTORF2.3_3" localSheetId="3">#REF!</definedName>
    <definedName name="FACTORF2.3_3" localSheetId="4">#REF!</definedName>
    <definedName name="FACTORF2.3_3" localSheetId="71">#REF!</definedName>
    <definedName name="FACTORF2.3_3" localSheetId="2">#REF!</definedName>
    <definedName name="FACTORF2.3_3">#REF!</definedName>
    <definedName name="FACTORF2.3_4" localSheetId="3">#REF!</definedName>
    <definedName name="FACTORF2.3_4" localSheetId="4">#REF!</definedName>
    <definedName name="FACTORF2.3_4" localSheetId="71">#REF!</definedName>
    <definedName name="FACTORF2.3_4" localSheetId="2">#REF!</definedName>
    <definedName name="FACTORF2.3_4">#REF!</definedName>
    <definedName name="FACTORF2.3_5" localSheetId="3">#REF!</definedName>
    <definedName name="FACTORF2.3_5" localSheetId="4">#REF!</definedName>
    <definedName name="FACTORF2.3_5" localSheetId="71">#REF!</definedName>
    <definedName name="FACTORF2.3_5" localSheetId="2">#REF!</definedName>
    <definedName name="FACTORF2.3_5">#REF!</definedName>
    <definedName name="FACTORF2.3_6" localSheetId="3">#REF!</definedName>
    <definedName name="FACTORF2.3_6" localSheetId="4">#REF!</definedName>
    <definedName name="FACTORF2.3_6" localSheetId="71">#REF!</definedName>
    <definedName name="FACTORF2.3_6" localSheetId="2">#REF!</definedName>
    <definedName name="FACTORF2.3_6">#REF!</definedName>
    <definedName name="FACTORF2.3_7" localSheetId="3">#REF!</definedName>
    <definedName name="FACTORF2.3_7" localSheetId="4">#REF!</definedName>
    <definedName name="FACTORF2.3_7" localSheetId="71">#REF!</definedName>
    <definedName name="FACTORF2.3_7" localSheetId="2">#REF!</definedName>
    <definedName name="FACTORF2.3_7">#REF!</definedName>
    <definedName name="FACTORF2.3_8" localSheetId="3">#REF!</definedName>
    <definedName name="FACTORF2.3_8" localSheetId="4">#REF!</definedName>
    <definedName name="FACTORF2.3_8" localSheetId="71">#REF!</definedName>
    <definedName name="FACTORF2.3_8" localSheetId="2">#REF!</definedName>
    <definedName name="FACTORF2.3_8">#REF!</definedName>
    <definedName name="FACTORF2.3_9" localSheetId="3">#REF!</definedName>
    <definedName name="FACTORF2.3_9" localSheetId="4">#REF!</definedName>
    <definedName name="FACTORF2.3_9" localSheetId="71">#REF!</definedName>
    <definedName name="FACTORF2.3_9" localSheetId="2">#REF!</definedName>
    <definedName name="FACTORF2.3_9">#REF!</definedName>
    <definedName name="FACTORF2.4_1" localSheetId="3">#REF!</definedName>
    <definedName name="FACTORF2.4_1" localSheetId="4">#REF!</definedName>
    <definedName name="FACTORF2.4_1" localSheetId="71">#REF!</definedName>
    <definedName name="FACTORF2.4_1" localSheetId="2">#REF!</definedName>
    <definedName name="FACTORF2.4_1">#REF!</definedName>
    <definedName name="FACTORF2.4_2" localSheetId="3">#REF!</definedName>
    <definedName name="FACTORF2.4_2" localSheetId="4">#REF!</definedName>
    <definedName name="FACTORF2.4_2" localSheetId="71">#REF!</definedName>
    <definedName name="FACTORF2.4_2" localSheetId="2">#REF!</definedName>
    <definedName name="FACTORF2.4_2">#REF!</definedName>
    <definedName name="FACTORF3.1_1" localSheetId="3">#REF!</definedName>
    <definedName name="FACTORF3.1_1" localSheetId="4">#REF!</definedName>
    <definedName name="FACTORF3.1_1" localSheetId="71">#REF!</definedName>
    <definedName name="FACTORF3.1_1" localSheetId="2">#REF!</definedName>
    <definedName name="FACTORF3.1_1">#REF!</definedName>
    <definedName name="FACTORF3.1_2" localSheetId="3">#REF!</definedName>
    <definedName name="FACTORF3.1_2" localSheetId="4">#REF!</definedName>
    <definedName name="FACTORF3.1_2" localSheetId="71">#REF!</definedName>
    <definedName name="FACTORF3.1_2" localSheetId="2">#REF!</definedName>
    <definedName name="FACTORF3.1_2">#REF!</definedName>
    <definedName name="FACTORF3.2_1" localSheetId="3">#REF!</definedName>
    <definedName name="FACTORF3.2_1" localSheetId="4">#REF!</definedName>
    <definedName name="FACTORF3.2_1" localSheetId="71">#REF!</definedName>
    <definedName name="FACTORF3.2_1" localSheetId="2">#REF!</definedName>
    <definedName name="FACTORF3.2_1">#REF!</definedName>
    <definedName name="FACTORF3.2_2" localSheetId="3">#REF!</definedName>
    <definedName name="FACTORF3.2_2" localSheetId="4">#REF!</definedName>
    <definedName name="FACTORF3.2_2" localSheetId="71">#REF!</definedName>
    <definedName name="FACTORF3.2_2" localSheetId="2">#REF!</definedName>
    <definedName name="FACTORF3.2_2">#REF!</definedName>
    <definedName name="FACTORF3.2_3" localSheetId="3">#REF!</definedName>
    <definedName name="FACTORF3.2_3" localSheetId="4">#REF!</definedName>
    <definedName name="FACTORF3.2_3" localSheetId="71">#REF!</definedName>
    <definedName name="FACTORF3.2_3" localSheetId="2">#REF!</definedName>
    <definedName name="FACTORF3.2_3">#REF!</definedName>
    <definedName name="FACTORF3.2_4" localSheetId="3">#REF!</definedName>
    <definedName name="FACTORF3.2_4" localSheetId="4">#REF!</definedName>
    <definedName name="FACTORF3.2_4" localSheetId="71">#REF!</definedName>
    <definedName name="FACTORF3.2_4" localSheetId="2">#REF!</definedName>
    <definedName name="FACTORF3.2_4">#REF!</definedName>
    <definedName name="FACTORF3.3_1" localSheetId="3">#REF!</definedName>
    <definedName name="FACTORF3.3_1" localSheetId="4">#REF!</definedName>
    <definedName name="FACTORF3.3_1" localSheetId="71">#REF!</definedName>
    <definedName name="FACTORF3.3_1" localSheetId="2">#REF!</definedName>
    <definedName name="FACTORF3.3_1">#REF!</definedName>
    <definedName name="FACTORF3.4_1" localSheetId="3">#REF!</definedName>
    <definedName name="FACTORF3.4_1" localSheetId="4">#REF!</definedName>
    <definedName name="FACTORF3.4_1" localSheetId="71">#REF!</definedName>
    <definedName name="FACTORF3.4_1" localSheetId="2">#REF!</definedName>
    <definedName name="FACTORF3.4_1">#REF!</definedName>
    <definedName name="FACTORF3.4_2" localSheetId="3">#REF!</definedName>
    <definedName name="FACTORF3.4_2" localSheetId="4">#REF!</definedName>
    <definedName name="FACTORF3.4_2" localSheetId="71">#REF!</definedName>
    <definedName name="FACTORF3.4_2" localSheetId="2">#REF!</definedName>
    <definedName name="FACTORF3.4_2">#REF!</definedName>
    <definedName name="FACTORF3.5" localSheetId="3">#REF!</definedName>
    <definedName name="FACTORF3.5" localSheetId="4">#REF!</definedName>
    <definedName name="FACTORF3.5" localSheetId="71">#REF!</definedName>
    <definedName name="FACTORF3.5" localSheetId="2">#REF!</definedName>
    <definedName name="FACTORF3.5">#REF!</definedName>
    <definedName name="FACTORF3.6" localSheetId="3">#REF!</definedName>
    <definedName name="FACTORF3.6" localSheetId="4">#REF!</definedName>
    <definedName name="FACTORF3.6" localSheetId="71">#REF!</definedName>
    <definedName name="FACTORF3.6" localSheetId="2">#REF!</definedName>
    <definedName name="FACTORF3.6">#REF!</definedName>
    <definedName name="FACTORF3.7_1" localSheetId="3">#REF!</definedName>
    <definedName name="FACTORF3.7_1" localSheetId="4">#REF!</definedName>
    <definedName name="FACTORF3.7_1" localSheetId="71">#REF!</definedName>
    <definedName name="FACTORF3.7_1" localSheetId="2">#REF!</definedName>
    <definedName name="FACTORF3.7_1">#REF!</definedName>
    <definedName name="FACTORF3.7_2" localSheetId="3">#REF!</definedName>
    <definedName name="FACTORF3.7_2" localSheetId="4">#REF!</definedName>
    <definedName name="FACTORF3.7_2" localSheetId="71">#REF!</definedName>
    <definedName name="FACTORF3.7_2" localSheetId="2">#REF!</definedName>
    <definedName name="FACTORF3.7_2">#REF!</definedName>
    <definedName name="FACTORF4.1_1" localSheetId="3">#REF!</definedName>
    <definedName name="FACTORF4.1_1" localSheetId="4">#REF!</definedName>
    <definedName name="FACTORF4.1_1" localSheetId="71">#REF!</definedName>
    <definedName name="FACTORF4.1_1" localSheetId="2">#REF!</definedName>
    <definedName name="FACTORF4.1_1">#REF!</definedName>
    <definedName name="FACTORF4.1_2" localSheetId="3">#REF!</definedName>
    <definedName name="FACTORF4.1_2" localSheetId="4">#REF!</definedName>
    <definedName name="FACTORF4.1_2" localSheetId="71">#REF!</definedName>
    <definedName name="FACTORF4.1_2" localSheetId="2">#REF!</definedName>
    <definedName name="FACTORF4.1_2">#REF!</definedName>
    <definedName name="FACTORF4.2_1" localSheetId="3">#REF!</definedName>
    <definedName name="FACTORF4.2_1" localSheetId="4">#REF!</definedName>
    <definedName name="FACTORF4.2_1" localSheetId="71">#REF!</definedName>
    <definedName name="FACTORF4.2_1" localSheetId="2">#REF!</definedName>
    <definedName name="FACTORF4.2_1">#REF!</definedName>
    <definedName name="FACTORF4.2_2" localSheetId="3">#REF!</definedName>
    <definedName name="FACTORF4.2_2" localSheetId="4">#REF!</definedName>
    <definedName name="FACTORF4.2_2" localSheetId="71">#REF!</definedName>
    <definedName name="FACTORF4.2_2" localSheetId="2">#REF!</definedName>
    <definedName name="FACTORF4.2_2">#REF!</definedName>
    <definedName name="FACTORF4.3" localSheetId="3">#REF!</definedName>
    <definedName name="FACTORF4.3" localSheetId="4">#REF!</definedName>
    <definedName name="FACTORF4.3" localSheetId="71">#REF!</definedName>
    <definedName name="FACTORF4.3" localSheetId="2">#REF!</definedName>
    <definedName name="FACTORF4.3">#REF!</definedName>
    <definedName name="FACTORF4.4_1" localSheetId="3">#REF!</definedName>
    <definedName name="FACTORF4.4_1" localSheetId="4">#REF!</definedName>
    <definedName name="FACTORF4.4_1" localSheetId="71">#REF!</definedName>
    <definedName name="FACTORF4.4_1" localSheetId="2">#REF!</definedName>
    <definedName name="FACTORF4.4_1">#REF!</definedName>
    <definedName name="FACTORF4.4_2" localSheetId="3">#REF!</definedName>
    <definedName name="FACTORF4.4_2" localSheetId="4">#REF!</definedName>
    <definedName name="FACTORF4.4_2" localSheetId="71">#REF!</definedName>
    <definedName name="FACTORF4.4_2" localSheetId="2">#REF!</definedName>
    <definedName name="FACTORF4.4_2">#REF!</definedName>
    <definedName name="FACTORF4.4_3" localSheetId="3">#REF!</definedName>
    <definedName name="FACTORF4.4_3" localSheetId="4">#REF!</definedName>
    <definedName name="FACTORF4.4_3" localSheetId="71">#REF!</definedName>
    <definedName name="FACTORF4.4_3" localSheetId="2">#REF!</definedName>
    <definedName name="FACTORF4.4_3">#REF!</definedName>
    <definedName name="FACTORF4.4_4" localSheetId="3">#REF!</definedName>
    <definedName name="FACTORF4.4_4" localSheetId="4">#REF!</definedName>
    <definedName name="FACTORF4.4_4" localSheetId="71">#REF!</definedName>
    <definedName name="FACTORF4.4_4" localSheetId="2">#REF!</definedName>
    <definedName name="FACTORF4.4_4">#REF!</definedName>
    <definedName name="FACTORF4.4_5" localSheetId="3">#REF!</definedName>
    <definedName name="FACTORF4.4_5" localSheetId="4">#REF!</definedName>
    <definedName name="FACTORF4.4_5" localSheetId="71">#REF!</definedName>
    <definedName name="FACTORF4.4_5" localSheetId="2">#REF!</definedName>
    <definedName name="FACTORF4.4_5">#REF!</definedName>
    <definedName name="FACTORF4.4_6" localSheetId="3">#REF!</definedName>
    <definedName name="FACTORF4.4_6" localSheetId="4">#REF!</definedName>
    <definedName name="FACTORF4.4_6" localSheetId="71">#REF!</definedName>
    <definedName name="FACTORF4.4_6" localSheetId="2">#REF!</definedName>
    <definedName name="FACTORF4.4_6">#REF!</definedName>
    <definedName name="FACTORF4.4_7" localSheetId="3">#REF!</definedName>
    <definedName name="FACTORF4.4_7" localSheetId="4">#REF!</definedName>
    <definedName name="FACTORF4.4_7" localSheetId="71">#REF!</definedName>
    <definedName name="FACTORF4.4_7" localSheetId="2">#REF!</definedName>
    <definedName name="FACTORF4.4_7">#REF!</definedName>
    <definedName name="FACTORF4.5" localSheetId="3">#REF!</definedName>
    <definedName name="FACTORF4.5" localSheetId="4">#REF!</definedName>
    <definedName name="FACTORF4.5" localSheetId="71">#REF!</definedName>
    <definedName name="FACTORF4.5" localSheetId="2">#REF!</definedName>
    <definedName name="FACTORF4.5">#REF!</definedName>
    <definedName name="FACTORF4.6" localSheetId="3">#REF!</definedName>
    <definedName name="FACTORF4.6" localSheetId="4">#REF!</definedName>
    <definedName name="FACTORF4.6" localSheetId="71">#REF!</definedName>
    <definedName name="FACTORF4.6" localSheetId="2">#REF!</definedName>
    <definedName name="FACTORF4.6">#REF!</definedName>
    <definedName name="FACTORF4.7_1" localSheetId="3">#REF!</definedName>
    <definedName name="FACTORF4.7_1" localSheetId="4">#REF!</definedName>
    <definedName name="FACTORF4.7_1" localSheetId="71">#REF!</definedName>
    <definedName name="FACTORF4.7_1" localSheetId="2">#REF!</definedName>
    <definedName name="FACTORF4.7_1">#REF!</definedName>
    <definedName name="FACTORF4.7_2" localSheetId="3">#REF!</definedName>
    <definedName name="FACTORF4.7_2" localSheetId="4">#REF!</definedName>
    <definedName name="FACTORF4.7_2" localSheetId="71">#REF!</definedName>
    <definedName name="FACTORF4.7_2" localSheetId="2">#REF!</definedName>
    <definedName name="FACTORF4.7_2">#REF!</definedName>
    <definedName name="FACTORF4.7_3" localSheetId="3">#REF!</definedName>
    <definedName name="FACTORF4.7_3" localSheetId="4">#REF!</definedName>
    <definedName name="FACTORF4.7_3" localSheetId="71">#REF!</definedName>
    <definedName name="FACTORF4.7_3" localSheetId="2">#REF!</definedName>
    <definedName name="FACTORF4.7_3">#REF!</definedName>
    <definedName name="FACTORF4.8_1" localSheetId="3">#REF!</definedName>
    <definedName name="FACTORF4.8_1" localSheetId="4">#REF!</definedName>
    <definedName name="FACTORF4.8_1" localSheetId="71">#REF!</definedName>
    <definedName name="FACTORF4.8_1" localSheetId="2">#REF!</definedName>
    <definedName name="FACTORF4.8_1">#REF!</definedName>
    <definedName name="FACTORF4.8_2" localSheetId="3">#REF!</definedName>
    <definedName name="FACTORF4.8_2" localSheetId="4">#REF!</definedName>
    <definedName name="FACTORF4.8_2" localSheetId="71">#REF!</definedName>
    <definedName name="FACTORF4.8_2" localSheetId="2">#REF!</definedName>
    <definedName name="FACTORF4.8_2">#REF!</definedName>
    <definedName name="FACTORF4.9_1" localSheetId="3">#REF!</definedName>
    <definedName name="FACTORF4.9_1" localSheetId="4">#REF!</definedName>
    <definedName name="FACTORF4.9_1" localSheetId="71">#REF!</definedName>
    <definedName name="FACTORF4.9_1" localSheetId="2">#REF!</definedName>
    <definedName name="FACTORF4.9_1">#REF!</definedName>
    <definedName name="FACTORF4.9_2" localSheetId="3">#REF!</definedName>
    <definedName name="FACTORF4.9_2" localSheetId="4">#REF!</definedName>
    <definedName name="FACTORF4.9_2" localSheetId="71">#REF!</definedName>
    <definedName name="FACTORF4.9_2" localSheetId="2">#REF!</definedName>
    <definedName name="FACTORF4.9_2">#REF!</definedName>
    <definedName name="FACTORF4.9_3" localSheetId="3">#REF!</definedName>
    <definedName name="FACTORF4.9_3" localSheetId="4">#REF!</definedName>
    <definedName name="FACTORF4.9_3" localSheetId="71">#REF!</definedName>
    <definedName name="FACTORF4.9_3" localSheetId="2">#REF!</definedName>
    <definedName name="FACTORF4.9_3">#REF!</definedName>
    <definedName name="FACTORF4.9_4" localSheetId="3">#REF!</definedName>
    <definedName name="FACTORF4.9_4" localSheetId="4">#REF!</definedName>
    <definedName name="FACTORF4.9_4" localSheetId="71">#REF!</definedName>
    <definedName name="FACTORF4.9_4" localSheetId="2">#REF!</definedName>
    <definedName name="FACTORF4.9_4">#REF!</definedName>
    <definedName name="FACTORF4.9_5" localSheetId="3">#REF!</definedName>
    <definedName name="FACTORF4.9_5" localSheetId="4">#REF!</definedName>
    <definedName name="FACTORF4.9_5" localSheetId="71">#REF!</definedName>
    <definedName name="FACTORF4.9_5" localSheetId="2">#REF!</definedName>
    <definedName name="FACTORF4.9_5">#REF!</definedName>
    <definedName name="FACTORF4.9_6" localSheetId="3">#REF!</definedName>
    <definedName name="FACTORF4.9_6" localSheetId="4">#REF!</definedName>
    <definedName name="FACTORF4.9_6" localSheetId="71">#REF!</definedName>
    <definedName name="FACTORF4.9_6" localSheetId="2">#REF!</definedName>
    <definedName name="FACTORF4.9_6">#REF!</definedName>
    <definedName name="FACTORF4.9_7" localSheetId="3">#REF!</definedName>
    <definedName name="FACTORF4.9_7" localSheetId="4">#REF!</definedName>
    <definedName name="FACTORF4.9_7" localSheetId="71">#REF!</definedName>
    <definedName name="FACTORF4.9_7" localSheetId="2">#REF!</definedName>
    <definedName name="FACTORF4.9_7">#REF!</definedName>
    <definedName name="FACTORF5.1_1.1" localSheetId="3">#REF!</definedName>
    <definedName name="FACTORF5.1_1.1" localSheetId="4">#REF!</definedName>
    <definedName name="FACTORF5.1_1.1" localSheetId="71">#REF!</definedName>
    <definedName name="FACTORF5.1_1.1" localSheetId="2">#REF!</definedName>
    <definedName name="FACTORF5.1_1.1">#REF!</definedName>
    <definedName name="FACTORF5.1_1.2" localSheetId="3">#REF!</definedName>
    <definedName name="FACTORF5.1_1.2" localSheetId="4">#REF!</definedName>
    <definedName name="FACTORF5.1_1.2" localSheetId="71">#REF!</definedName>
    <definedName name="FACTORF5.1_1.2" localSheetId="2">#REF!</definedName>
    <definedName name="FACTORF5.1_1.2">#REF!</definedName>
    <definedName name="FACTORF5.1_1.3" localSheetId="3">#REF!</definedName>
    <definedName name="FACTORF5.1_1.3" localSheetId="4">#REF!</definedName>
    <definedName name="FACTORF5.1_1.3" localSheetId="71">#REF!</definedName>
    <definedName name="FACTORF5.1_1.3" localSheetId="2">#REF!</definedName>
    <definedName name="FACTORF5.1_1.3">#REF!</definedName>
    <definedName name="FACTORF5.1_1.4" localSheetId="3">#REF!</definedName>
    <definedName name="FACTORF5.1_1.4" localSheetId="4">#REF!</definedName>
    <definedName name="FACTORF5.1_1.4" localSheetId="71">#REF!</definedName>
    <definedName name="FACTORF5.1_1.4" localSheetId="2">#REF!</definedName>
    <definedName name="FACTORF5.1_1.4">#REF!</definedName>
    <definedName name="FACTORF5.1_1.5" localSheetId="3">#REF!</definedName>
    <definedName name="FACTORF5.1_1.5" localSheetId="4">#REF!</definedName>
    <definedName name="FACTORF5.1_1.5" localSheetId="71">#REF!</definedName>
    <definedName name="FACTORF5.1_1.5" localSheetId="2">#REF!</definedName>
    <definedName name="FACTORF5.1_1.5">#REF!</definedName>
    <definedName name="FACTORF5.1_1.6" localSheetId="3">#REF!</definedName>
    <definedName name="FACTORF5.1_1.6" localSheetId="4">#REF!</definedName>
    <definedName name="FACTORF5.1_1.6" localSheetId="71">#REF!</definedName>
    <definedName name="FACTORF5.1_1.6" localSheetId="2">#REF!</definedName>
    <definedName name="FACTORF5.1_1.6">#REF!</definedName>
    <definedName name="FACTORF5.1_2.1.1" localSheetId="3">#REF!</definedName>
    <definedName name="FACTORF5.1_2.1.1" localSheetId="4">#REF!</definedName>
    <definedName name="FACTORF5.1_2.1.1" localSheetId="71">#REF!</definedName>
    <definedName name="FACTORF5.1_2.1.1" localSheetId="2">#REF!</definedName>
    <definedName name="FACTORF5.1_2.1.1">#REF!</definedName>
    <definedName name="FACTORF5.1_2.1.2" localSheetId="3">#REF!</definedName>
    <definedName name="FACTORF5.1_2.1.2" localSheetId="4">#REF!</definedName>
    <definedName name="FACTORF5.1_2.1.2" localSheetId="71">#REF!</definedName>
    <definedName name="FACTORF5.1_2.1.2" localSheetId="2">#REF!</definedName>
    <definedName name="FACTORF5.1_2.1.2">#REF!</definedName>
    <definedName name="FACTORF5.1_2.2.1" localSheetId="3">#REF!</definedName>
    <definedName name="FACTORF5.1_2.2.1" localSheetId="4">#REF!</definedName>
    <definedName name="FACTORF5.1_2.2.1" localSheetId="71">#REF!</definedName>
    <definedName name="FACTORF5.1_2.2.1" localSheetId="2">#REF!</definedName>
    <definedName name="FACTORF5.1_2.2.1">#REF!</definedName>
    <definedName name="FACTORF5.1_2.2.2" localSheetId="3">#REF!</definedName>
    <definedName name="FACTORF5.1_2.2.2" localSheetId="4">#REF!</definedName>
    <definedName name="FACTORF5.1_2.2.2" localSheetId="71">#REF!</definedName>
    <definedName name="FACTORF5.1_2.2.2" localSheetId="2">#REF!</definedName>
    <definedName name="FACTORF5.1_2.2.2">#REF!</definedName>
    <definedName name="FACTORF5.1_3.1" localSheetId="3">#REF!</definedName>
    <definedName name="FACTORF5.1_3.1" localSheetId="4">#REF!</definedName>
    <definedName name="FACTORF5.1_3.1" localSheetId="71">#REF!</definedName>
    <definedName name="FACTORF5.1_3.1" localSheetId="2">#REF!</definedName>
    <definedName name="FACTORF5.1_3.1">#REF!</definedName>
    <definedName name="FACTORF5.1_3.2" localSheetId="3">#REF!</definedName>
    <definedName name="FACTORF5.1_3.2" localSheetId="4">#REF!</definedName>
    <definedName name="FACTORF5.1_3.2" localSheetId="71">#REF!</definedName>
    <definedName name="FACTORF5.1_3.2" localSheetId="2">#REF!</definedName>
    <definedName name="FACTORF5.1_3.2">#REF!</definedName>
    <definedName name="FACTORF5.1_4" localSheetId="3">#REF!</definedName>
    <definedName name="FACTORF5.1_4" localSheetId="4">#REF!</definedName>
    <definedName name="FACTORF5.1_4" localSheetId="71">#REF!</definedName>
    <definedName name="FACTORF5.1_4" localSheetId="2">#REF!</definedName>
    <definedName name="FACTORF5.1_4">#REF!</definedName>
    <definedName name="FACTORF5.1_5" localSheetId="3">#REF!</definedName>
    <definedName name="FACTORF5.1_5" localSheetId="4">#REF!</definedName>
    <definedName name="FACTORF5.1_5" localSheetId="71">#REF!</definedName>
    <definedName name="FACTORF5.1_5" localSheetId="2">#REF!</definedName>
    <definedName name="FACTORF5.1_5">#REF!</definedName>
    <definedName name="FACTORF5.1_6" localSheetId="3">#REF!</definedName>
    <definedName name="FACTORF5.1_6" localSheetId="4">#REF!</definedName>
    <definedName name="FACTORF5.1_6" localSheetId="71">#REF!</definedName>
    <definedName name="FACTORF5.1_6" localSheetId="2">#REF!</definedName>
    <definedName name="FACTORF5.1_6">#REF!</definedName>
    <definedName name="FACTORF5.1_7.1" localSheetId="3">#REF!</definedName>
    <definedName name="FACTORF5.1_7.1" localSheetId="4">#REF!</definedName>
    <definedName name="FACTORF5.1_7.1" localSheetId="71">#REF!</definedName>
    <definedName name="FACTORF5.1_7.1" localSheetId="2">#REF!</definedName>
    <definedName name="FACTORF5.1_7.1">#REF!</definedName>
    <definedName name="FACTORF5.1_7.2" localSheetId="3">#REF!</definedName>
    <definedName name="FACTORF5.1_7.2" localSheetId="4">#REF!</definedName>
    <definedName name="FACTORF5.1_7.2" localSheetId="71">#REF!</definedName>
    <definedName name="FACTORF5.1_7.2" localSheetId="2">#REF!</definedName>
    <definedName name="FACTORF5.1_7.2">#REF!</definedName>
    <definedName name="FACTORF5.2_1.1" localSheetId="3">#REF!</definedName>
    <definedName name="FACTORF5.2_1.1" localSheetId="4">#REF!</definedName>
    <definedName name="FACTORF5.2_1.1" localSheetId="71">#REF!</definedName>
    <definedName name="FACTORF5.2_1.1" localSheetId="2">#REF!</definedName>
    <definedName name="FACTORF5.2_1.1">#REF!</definedName>
    <definedName name="FACTORF5.2_1.2" localSheetId="3">#REF!</definedName>
    <definedName name="FACTORF5.2_1.2" localSheetId="4">#REF!</definedName>
    <definedName name="FACTORF5.2_1.2" localSheetId="71">#REF!</definedName>
    <definedName name="FACTORF5.2_1.2" localSheetId="2">#REF!</definedName>
    <definedName name="FACTORF5.2_1.2">#REF!</definedName>
    <definedName name="FACTORF5.2_1.3" localSheetId="3">#REF!</definedName>
    <definedName name="FACTORF5.2_1.3" localSheetId="4">#REF!</definedName>
    <definedName name="FACTORF5.2_1.3" localSheetId="71">#REF!</definedName>
    <definedName name="FACTORF5.2_1.3" localSheetId="2">#REF!</definedName>
    <definedName name="FACTORF5.2_1.3">#REF!</definedName>
    <definedName name="FACTORF5.2_1.4" localSheetId="3">#REF!</definedName>
    <definedName name="FACTORF5.2_1.4" localSheetId="4">#REF!</definedName>
    <definedName name="FACTORF5.2_1.4" localSheetId="71">#REF!</definedName>
    <definedName name="FACTORF5.2_1.4" localSheetId="2">#REF!</definedName>
    <definedName name="FACTORF5.2_1.4">#REF!</definedName>
    <definedName name="FACTORF5.2_1.5" localSheetId="3">#REF!</definedName>
    <definedName name="FACTORF5.2_1.5" localSheetId="4">#REF!</definedName>
    <definedName name="FACTORF5.2_1.5" localSheetId="71">#REF!</definedName>
    <definedName name="FACTORF5.2_1.5" localSheetId="2">#REF!</definedName>
    <definedName name="FACTORF5.2_1.5">#REF!</definedName>
    <definedName name="FACTORF5.2_1.6" localSheetId="3">#REF!</definedName>
    <definedName name="FACTORF5.2_1.6" localSheetId="4">#REF!</definedName>
    <definedName name="FACTORF5.2_1.6" localSheetId="71">#REF!</definedName>
    <definedName name="FACTORF5.2_1.6" localSheetId="2">#REF!</definedName>
    <definedName name="FACTORF5.2_1.6">#REF!</definedName>
    <definedName name="FACTORF5.2_2.1" localSheetId="3">#REF!</definedName>
    <definedName name="FACTORF5.2_2.1" localSheetId="4">#REF!</definedName>
    <definedName name="FACTORF5.2_2.1" localSheetId="71">#REF!</definedName>
    <definedName name="FACTORF5.2_2.1" localSheetId="2">#REF!</definedName>
    <definedName name="FACTORF5.2_2.1">#REF!</definedName>
    <definedName name="FACTORF5.2_2.2" localSheetId="3">#REF!</definedName>
    <definedName name="FACTORF5.2_2.2" localSheetId="4">#REF!</definedName>
    <definedName name="FACTORF5.2_2.2" localSheetId="71">#REF!</definedName>
    <definedName name="FACTORF5.2_2.2" localSheetId="2">#REF!</definedName>
    <definedName name="FACTORF5.2_2.2">#REF!</definedName>
    <definedName name="FACTORF5.2_2.3" localSheetId="3">#REF!</definedName>
    <definedName name="FACTORF5.2_2.3" localSheetId="4">#REF!</definedName>
    <definedName name="FACTORF5.2_2.3" localSheetId="71">#REF!</definedName>
    <definedName name="FACTORF5.2_2.3" localSheetId="2">#REF!</definedName>
    <definedName name="FACTORF5.2_2.3">#REF!</definedName>
    <definedName name="FACTORF5.2_2.4" localSheetId="3">#REF!</definedName>
    <definedName name="FACTORF5.2_2.4" localSheetId="4">#REF!</definedName>
    <definedName name="FACTORF5.2_2.4" localSheetId="71">#REF!</definedName>
    <definedName name="FACTORF5.2_2.4" localSheetId="2">#REF!</definedName>
    <definedName name="FACTORF5.2_2.4">#REF!</definedName>
    <definedName name="FACTORF5.2_2.5" localSheetId="3">#REF!</definedName>
    <definedName name="FACTORF5.2_2.5" localSheetId="4">#REF!</definedName>
    <definedName name="FACTORF5.2_2.5" localSheetId="71">#REF!</definedName>
    <definedName name="FACTORF5.2_2.5" localSheetId="2">#REF!</definedName>
    <definedName name="FACTORF5.2_2.5">#REF!</definedName>
    <definedName name="FACTORF5.2_2.6" localSheetId="3">#REF!</definedName>
    <definedName name="FACTORF5.2_2.6" localSheetId="4">#REF!</definedName>
    <definedName name="FACTORF5.2_2.6" localSheetId="71">#REF!</definedName>
    <definedName name="FACTORF5.2_2.6" localSheetId="2">#REF!</definedName>
    <definedName name="FACTORF5.2_2.6">#REF!</definedName>
    <definedName name="FACTORF5.2_3.1" localSheetId="3">#REF!</definedName>
    <definedName name="FACTORF5.2_3.1" localSheetId="4">#REF!</definedName>
    <definedName name="FACTORF5.2_3.1" localSheetId="71">#REF!</definedName>
    <definedName name="FACTORF5.2_3.1" localSheetId="2">#REF!</definedName>
    <definedName name="FACTORF5.2_3.1">#REF!</definedName>
    <definedName name="FACTORF5.2_3.2" localSheetId="3">#REF!</definedName>
    <definedName name="FACTORF5.2_3.2" localSheetId="4">#REF!</definedName>
    <definedName name="FACTORF5.2_3.2" localSheetId="71">#REF!</definedName>
    <definedName name="FACTORF5.2_3.2" localSheetId="2">#REF!</definedName>
    <definedName name="FACTORF5.2_3.2">#REF!</definedName>
    <definedName name="FACTORF5.3_100.2" localSheetId="3">#REF!</definedName>
    <definedName name="FACTORF5.3_100.2" localSheetId="4">#REF!</definedName>
    <definedName name="FACTORF5.3_100.2" localSheetId="71">#REF!</definedName>
    <definedName name="FACTORF5.3_100.2" localSheetId="2">#REF!</definedName>
    <definedName name="FACTORF5.3_100.2">#REF!</definedName>
    <definedName name="FACTORF5.3_100.3" localSheetId="3">#REF!</definedName>
    <definedName name="FACTORF5.3_100.3" localSheetId="4">#REF!</definedName>
    <definedName name="FACTORF5.3_100.3" localSheetId="71">#REF!</definedName>
    <definedName name="FACTORF5.3_100.3" localSheetId="2">#REF!</definedName>
    <definedName name="FACTORF5.3_100.3">#REF!</definedName>
    <definedName name="FACTORF5.3_120.2" localSheetId="3">#REF!</definedName>
    <definedName name="FACTORF5.3_120.2" localSheetId="4">#REF!</definedName>
    <definedName name="FACTORF5.3_120.2" localSheetId="71">#REF!</definedName>
    <definedName name="FACTORF5.3_120.2" localSheetId="2">#REF!</definedName>
    <definedName name="FACTORF5.3_120.2">#REF!</definedName>
    <definedName name="FACTORF5.3_120.3" localSheetId="3">#REF!</definedName>
    <definedName name="FACTORF5.3_120.3" localSheetId="4">#REF!</definedName>
    <definedName name="FACTORF5.3_120.3" localSheetId="71">#REF!</definedName>
    <definedName name="FACTORF5.3_120.3" localSheetId="2">#REF!</definedName>
    <definedName name="FACTORF5.3_120.3">#REF!</definedName>
    <definedName name="FACTORF5.3_150.2" localSheetId="3">#REF!</definedName>
    <definedName name="FACTORF5.3_150.2" localSheetId="4">#REF!</definedName>
    <definedName name="FACTORF5.3_150.2" localSheetId="71">#REF!</definedName>
    <definedName name="FACTORF5.3_150.2" localSheetId="2">#REF!</definedName>
    <definedName name="FACTORF5.3_150.2">#REF!</definedName>
    <definedName name="FACTORF5.3_150.3" localSheetId="3">#REF!</definedName>
    <definedName name="FACTORF5.3_150.3" localSheetId="4">#REF!</definedName>
    <definedName name="FACTORF5.3_150.3" localSheetId="71">#REF!</definedName>
    <definedName name="FACTORF5.3_150.3" localSheetId="2">#REF!</definedName>
    <definedName name="FACTORF5.3_150.3">#REF!</definedName>
    <definedName name="FACTORF5.3_30.2" localSheetId="3">#REF!</definedName>
    <definedName name="FACTORF5.3_30.2" localSheetId="4">#REF!</definedName>
    <definedName name="FACTORF5.3_30.2" localSheetId="71">#REF!</definedName>
    <definedName name="FACTORF5.3_30.2" localSheetId="2">#REF!</definedName>
    <definedName name="FACTORF5.3_30.2">#REF!</definedName>
    <definedName name="FACTORF5.3_30.3" localSheetId="3">#REF!</definedName>
    <definedName name="FACTORF5.3_30.3" localSheetId="4">#REF!</definedName>
    <definedName name="FACTORF5.3_30.3" localSheetId="71">#REF!</definedName>
    <definedName name="FACTORF5.3_30.3" localSheetId="2">#REF!</definedName>
    <definedName name="FACTORF5.3_30.3">#REF!</definedName>
    <definedName name="FACTORF5.3_40.2" localSheetId="3">#REF!</definedName>
    <definedName name="FACTORF5.3_40.2" localSheetId="4">#REF!</definedName>
    <definedName name="FACTORF5.3_40.2" localSheetId="71">#REF!</definedName>
    <definedName name="FACTORF5.3_40.2" localSheetId="2">#REF!</definedName>
    <definedName name="FACTORF5.3_40.2">#REF!</definedName>
    <definedName name="FACTORF5.3_40.3" localSheetId="3">#REF!</definedName>
    <definedName name="FACTORF5.3_40.3" localSheetId="4">#REF!</definedName>
    <definedName name="FACTORF5.3_40.3" localSheetId="71">#REF!</definedName>
    <definedName name="FACTORF5.3_40.3" localSheetId="2">#REF!</definedName>
    <definedName name="FACTORF5.3_40.3">#REF!</definedName>
    <definedName name="FACTORF5.3_60.2" localSheetId="3">#REF!</definedName>
    <definedName name="FACTORF5.3_60.2" localSheetId="4">#REF!</definedName>
    <definedName name="FACTORF5.3_60.2" localSheetId="71">#REF!</definedName>
    <definedName name="FACTORF5.3_60.2" localSheetId="2">#REF!</definedName>
    <definedName name="FACTORF5.3_60.2">#REF!</definedName>
    <definedName name="FACTORF5.3_60.3" localSheetId="3">#REF!</definedName>
    <definedName name="FACTORF5.3_60.3" localSheetId="4">#REF!</definedName>
    <definedName name="FACTORF5.3_60.3" localSheetId="71">#REF!</definedName>
    <definedName name="FACTORF5.3_60.3" localSheetId="2">#REF!</definedName>
    <definedName name="FACTORF5.3_60.3">#REF!</definedName>
    <definedName name="FACTORF5.3_80.2" localSheetId="3">#REF!</definedName>
    <definedName name="FACTORF5.3_80.2" localSheetId="4">#REF!</definedName>
    <definedName name="FACTORF5.3_80.2" localSheetId="71">#REF!</definedName>
    <definedName name="FACTORF5.3_80.2" localSheetId="2">#REF!</definedName>
    <definedName name="FACTORF5.3_80.2">#REF!</definedName>
    <definedName name="FACTORF5.3_80.3" localSheetId="3">#REF!</definedName>
    <definedName name="FACTORF5.3_80.3" localSheetId="4">#REF!</definedName>
    <definedName name="FACTORF5.3_80.3" localSheetId="71">#REF!</definedName>
    <definedName name="FACTORF5.3_80.3" localSheetId="2">#REF!</definedName>
    <definedName name="FACTORF5.3_80.3">#REF!</definedName>
    <definedName name="FACTORF6.1_1" localSheetId="3">#REF!</definedName>
    <definedName name="FACTORF6.1_1" localSheetId="4">#REF!</definedName>
    <definedName name="FACTORF6.1_1" localSheetId="71">#REF!</definedName>
    <definedName name="FACTORF6.1_1" localSheetId="2">#REF!</definedName>
    <definedName name="FACTORF6.1_1">#REF!</definedName>
    <definedName name="FACTORF6.1_10" localSheetId="3">#REF!</definedName>
    <definedName name="FACTORF6.1_10" localSheetId="4">#REF!</definedName>
    <definedName name="FACTORF6.1_10" localSheetId="71">#REF!</definedName>
    <definedName name="FACTORF6.1_10" localSheetId="2">#REF!</definedName>
    <definedName name="FACTORF6.1_10">#REF!</definedName>
    <definedName name="FACTORF6.1_11" localSheetId="3">#REF!</definedName>
    <definedName name="FACTORF6.1_11" localSheetId="4">#REF!</definedName>
    <definedName name="FACTORF6.1_11" localSheetId="71">#REF!</definedName>
    <definedName name="FACTORF6.1_11" localSheetId="2">#REF!</definedName>
    <definedName name="FACTORF6.1_11">#REF!</definedName>
    <definedName name="FACTORF6.1_12" localSheetId="3">#REF!</definedName>
    <definedName name="FACTORF6.1_12" localSheetId="4">#REF!</definedName>
    <definedName name="FACTORF6.1_12" localSheetId="71">#REF!</definedName>
    <definedName name="FACTORF6.1_12" localSheetId="2">#REF!</definedName>
    <definedName name="FACTORF6.1_12">#REF!</definedName>
    <definedName name="FACTORF6.1_13" localSheetId="3">#REF!</definedName>
    <definedName name="FACTORF6.1_13" localSheetId="4">#REF!</definedName>
    <definedName name="FACTORF6.1_13" localSheetId="71">#REF!</definedName>
    <definedName name="FACTORF6.1_13" localSheetId="2">#REF!</definedName>
    <definedName name="FACTORF6.1_13">#REF!</definedName>
    <definedName name="FACTORF6.1_14" localSheetId="3">#REF!</definedName>
    <definedName name="FACTORF6.1_14" localSheetId="4">#REF!</definedName>
    <definedName name="FACTORF6.1_14" localSheetId="71">#REF!</definedName>
    <definedName name="FACTORF6.1_14" localSheetId="2">#REF!</definedName>
    <definedName name="FACTORF6.1_14">#REF!</definedName>
    <definedName name="FACTORF6.1_15" localSheetId="3">#REF!</definedName>
    <definedName name="FACTORF6.1_15" localSheetId="4">#REF!</definedName>
    <definedName name="FACTORF6.1_15" localSheetId="71">#REF!</definedName>
    <definedName name="FACTORF6.1_15" localSheetId="2">#REF!</definedName>
    <definedName name="FACTORF6.1_15">#REF!</definedName>
    <definedName name="FACTORF6.1_16" localSheetId="3">#REF!</definedName>
    <definedName name="FACTORF6.1_16" localSheetId="4">#REF!</definedName>
    <definedName name="FACTORF6.1_16" localSheetId="71">#REF!</definedName>
    <definedName name="FACTORF6.1_16" localSheetId="2">#REF!</definedName>
    <definedName name="FACTORF6.1_16">#REF!</definedName>
    <definedName name="FACTORF6.1_17" localSheetId="3">#REF!</definedName>
    <definedName name="FACTORF6.1_17" localSheetId="4">#REF!</definedName>
    <definedName name="FACTORF6.1_17" localSheetId="71">#REF!</definedName>
    <definedName name="FACTORF6.1_17" localSheetId="2">#REF!</definedName>
    <definedName name="FACTORF6.1_17">#REF!</definedName>
    <definedName name="FACTORF6.1_18" localSheetId="3">#REF!</definedName>
    <definedName name="FACTORF6.1_18" localSheetId="4">#REF!</definedName>
    <definedName name="FACTORF6.1_18" localSheetId="71">#REF!</definedName>
    <definedName name="FACTORF6.1_18" localSheetId="2">#REF!</definedName>
    <definedName name="FACTORF6.1_18">#REF!</definedName>
    <definedName name="FACTORF6.1_19" localSheetId="3">#REF!</definedName>
    <definedName name="FACTORF6.1_19" localSheetId="4">#REF!</definedName>
    <definedName name="FACTORF6.1_19" localSheetId="71">#REF!</definedName>
    <definedName name="FACTORF6.1_19" localSheetId="2">#REF!</definedName>
    <definedName name="FACTORF6.1_19">#REF!</definedName>
    <definedName name="FACTORF6.1_2" localSheetId="3">#REF!</definedName>
    <definedName name="FACTORF6.1_2" localSheetId="4">#REF!</definedName>
    <definedName name="FACTORF6.1_2" localSheetId="71">#REF!</definedName>
    <definedName name="FACTORF6.1_2" localSheetId="2">#REF!</definedName>
    <definedName name="FACTORF6.1_2">#REF!</definedName>
    <definedName name="FACTORF6.1_20" localSheetId="3">#REF!</definedName>
    <definedName name="FACTORF6.1_20" localSheetId="4">#REF!</definedName>
    <definedName name="FACTORF6.1_20" localSheetId="71">#REF!</definedName>
    <definedName name="FACTORF6.1_20" localSheetId="2">#REF!</definedName>
    <definedName name="FACTORF6.1_20">#REF!</definedName>
    <definedName name="FACTORF6.1_3" localSheetId="3">#REF!</definedName>
    <definedName name="FACTORF6.1_3" localSheetId="4">#REF!</definedName>
    <definedName name="FACTORF6.1_3" localSheetId="71">#REF!</definedName>
    <definedName name="FACTORF6.1_3" localSheetId="2">#REF!</definedName>
    <definedName name="FACTORF6.1_3">#REF!</definedName>
    <definedName name="FACTORF6.1_4.1" localSheetId="3">#REF!</definedName>
    <definedName name="FACTORF6.1_4.1" localSheetId="4">#REF!</definedName>
    <definedName name="FACTORF6.1_4.1" localSheetId="71">#REF!</definedName>
    <definedName name="FACTORF6.1_4.1" localSheetId="2">#REF!</definedName>
    <definedName name="FACTORF6.1_4.1">#REF!</definedName>
    <definedName name="FACTORF6.1_4.2" localSheetId="3">#REF!</definedName>
    <definedName name="FACTORF6.1_4.2" localSheetId="4">#REF!</definedName>
    <definedName name="FACTORF6.1_4.2" localSheetId="71">#REF!</definedName>
    <definedName name="FACTORF6.1_4.2" localSheetId="2">#REF!</definedName>
    <definedName name="FACTORF6.1_4.2">#REF!</definedName>
    <definedName name="FACTORF6.1_5" localSheetId="3">#REF!</definedName>
    <definedName name="FACTORF6.1_5" localSheetId="4">#REF!</definedName>
    <definedName name="FACTORF6.1_5" localSheetId="71">#REF!</definedName>
    <definedName name="FACTORF6.1_5" localSheetId="2">#REF!</definedName>
    <definedName name="FACTORF6.1_5">#REF!</definedName>
    <definedName name="FACTORF6.1_6" localSheetId="3">#REF!</definedName>
    <definedName name="FACTORF6.1_6" localSheetId="4">#REF!</definedName>
    <definedName name="FACTORF6.1_6" localSheetId="71">#REF!</definedName>
    <definedName name="FACTORF6.1_6" localSheetId="2">#REF!</definedName>
    <definedName name="FACTORF6.1_6">#REF!</definedName>
    <definedName name="FACTORF6.1_7" localSheetId="3">#REF!</definedName>
    <definedName name="FACTORF6.1_7" localSheetId="4">#REF!</definedName>
    <definedName name="FACTORF6.1_7" localSheetId="71">#REF!</definedName>
    <definedName name="FACTORF6.1_7" localSheetId="2">#REF!</definedName>
    <definedName name="FACTORF6.1_7">#REF!</definedName>
    <definedName name="FACTORF6.1_8" localSheetId="3">#REF!</definedName>
    <definedName name="FACTORF6.1_8" localSheetId="4">#REF!</definedName>
    <definedName name="FACTORF6.1_8" localSheetId="71">#REF!</definedName>
    <definedName name="FACTORF6.1_8" localSheetId="2">#REF!</definedName>
    <definedName name="FACTORF6.1_8">#REF!</definedName>
    <definedName name="FACTORF6.1_9" localSheetId="3">#REF!</definedName>
    <definedName name="FACTORF6.1_9" localSheetId="4">#REF!</definedName>
    <definedName name="FACTORF6.1_9" localSheetId="71">#REF!</definedName>
    <definedName name="FACTORF6.1_9" localSheetId="2">#REF!</definedName>
    <definedName name="FACTORF6.1_9">#REF!</definedName>
    <definedName name="FACTORF6.10_1" localSheetId="3">#REF!</definedName>
    <definedName name="FACTORF6.10_1" localSheetId="4">#REF!</definedName>
    <definedName name="FACTORF6.10_1" localSheetId="71">#REF!</definedName>
    <definedName name="FACTORF6.10_1" localSheetId="2">#REF!</definedName>
    <definedName name="FACTORF6.10_1">#REF!</definedName>
    <definedName name="FACTORF6.10_2" localSheetId="3">#REF!</definedName>
    <definedName name="FACTORF6.10_2" localSheetId="4">#REF!</definedName>
    <definedName name="FACTORF6.10_2" localSheetId="71">#REF!</definedName>
    <definedName name="FACTORF6.10_2" localSheetId="2">#REF!</definedName>
    <definedName name="FACTORF6.10_2">#REF!</definedName>
    <definedName name="FACTORF6.10_3" localSheetId="3">#REF!</definedName>
    <definedName name="FACTORF6.10_3" localSheetId="4">#REF!</definedName>
    <definedName name="FACTORF6.10_3" localSheetId="71">#REF!</definedName>
    <definedName name="FACTORF6.10_3" localSheetId="2">#REF!</definedName>
    <definedName name="FACTORF6.10_3">#REF!</definedName>
    <definedName name="FACTORF6.10_4.1" localSheetId="3">#REF!</definedName>
    <definedName name="FACTORF6.10_4.1" localSheetId="4">#REF!</definedName>
    <definedName name="FACTORF6.10_4.1" localSheetId="71">#REF!</definedName>
    <definedName name="FACTORF6.10_4.1" localSheetId="2">#REF!</definedName>
    <definedName name="FACTORF6.10_4.1">#REF!</definedName>
    <definedName name="FACTORF6.10_4.2" localSheetId="3">#REF!</definedName>
    <definedName name="FACTORF6.10_4.2" localSheetId="4">#REF!</definedName>
    <definedName name="FACTORF6.10_4.2" localSheetId="71">#REF!</definedName>
    <definedName name="FACTORF6.10_4.2" localSheetId="2">#REF!</definedName>
    <definedName name="FACTORF6.10_4.2">#REF!</definedName>
    <definedName name="FACTORF6.10_4.3" localSheetId="3">#REF!</definedName>
    <definedName name="FACTORF6.10_4.3" localSheetId="4">#REF!</definedName>
    <definedName name="FACTORF6.10_4.3" localSheetId="71">#REF!</definedName>
    <definedName name="FACTORF6.10_4.3" localSheetId="2">#REF!</definedName>
    <definedName name="FACTORF6.10_4.3">#REF!</definedName>
    <definedName name="FACTORF6.10_5" localSheetId="3">#REF!</definedName>
    <definedName name="FACTORF6.10_5" localSheetId="4">#REF!</definedName>
    <definedName name="FACTORF6.10_5" localSheetId="71">#REF!</definedName>
    <definedName name="FACTORF6.10_5" localSheetId="2">#REF!</definedName>
    <definedName name="FACTORF6.10_5">#REF!</definedName>
    <definedName name="FACTORF6.10_6" localSheetId="3">#REF!</definedName>
    <definedName name="FACTORF6.10_6" localSheetId="4">#REF!</definedName>
    <definedName name="FACTORF6.10_6" localSheetId="71">#REF!</definedName>
    <definedName name="FACTORF6.10_6" localSheetId="2">#REF!</definedName>
    <definedName name="FACTORF6.10_6">#REF!</definedName>
    <definedName name="FACTORF6.11_1" localSheetId="3">#REF!</definedName>
    <definedName name="FACTORF6.11_1" localSheetId="4">#REF!</definedName>
    <definedName name="FACTORF6.11_1" localSheetId="71">#REF!</definedName>
    <definedName name="FACTORF6.11_1" localSheetId="2">#REF!</definedName>
    <definedName name="FACTORF6.11_1">#REF!</definedName>
    <definedName name="FACTORF6.11_2.1" localSheetId="3">#REF!</definedName>
    <definedName name="FACTORF6.11_2.1" localSheetId="4">#REF!</definedName>
    <definedName name="FACTORF6.11_2.1" localSheetId="71">#REF!</definedName>
    <definedName name="FACTORF6.11_2.1" localSheetId="2">#REF!</definedName>
    <definedName name="FACTORF6.11_2.1">#REF!</definedName>
    <definedName name="FACTORF6.11_2.2" localSheetId="3">#REF!</definedName>
    <definedName name="FACTORF6.11_2.2" localSheetId="4">#REF!</definedName>
    <definedName name="FACTORF6.11_2.2" localSheetId="71">#REF!</definedName>
    <definedName name="FACTORF6.11_2.2" localSheetId="2">#REF!</definedName>
    <definedName name="FACTORF6.11_2.2">#REF!</definedName>
    <definedName name="FACTORF6.11_2.3" localSheetId="3">#REF!</definedName>
    <definedName name="FACTORF6.11_2.3" localSheetId="4">#REF!</definedName>
    <definedName name="FACTORF6.11_2.3" localSheetId="71">#REF!</definedName>
    <definedName name="FACTORF6.11_2.3" localSheetId="2">#REF!</definedName>
    <definedName name="FACTORF6.11_2.3">#REF!</definedName>
    <definedName name="FACTORF6.11_3.1" localSheetId="3">#REF!</definedName>
    <definedName name="FACTORF6.11_3.1" localSheetId="4">#REF!</definedName>
    <definedName name="FACTORF6.11_3.1" localSheetId="71">#REF!</definedName>
    <definedName name="FACTORF6.11_3.1" localSheetId="2">#REF!</definedName>
    <definedName name="FACTORF6.11_3.1">#REF!</definedName>
    <definedName name="FACTORF6.11_3.2" localSheetId="3">#REF!</definedName>
    <definedName name="FACTORF6.11_3.2" localSheetId="4">#REF!</definedName>
    <definedName name="FACTORF6.11_3.2" localSheetId="71">#REF!</definedName>
    <definedName name="FACTORF6.11_3.2" localSheetId="2">#REF!</definedName>
    <definedName name="FACTORF6.11_3.2">#REF!</definedName>
    <definedName name="FACTORF6.11_4.1" localSheetId="3">#REF!</definedName>
    <definedName name="FACTORF6.11_4.1" localSheetId="4">#REF!</definedName>
    <definedName name="FACTORF6.11_4.1" localSheetId="71">#REF!</definedName>
    <definedName name="FACTORF6.11_4.1" localSheetId="2">#REF!</definedName>
    <definedName name="FACTORF6.11_4.1">#REF!</definedName>
    <definedName name="FACTORF6.11_4.2" localSheetId="3">#REF!</definedName>
    <definedName name="FACTORF6.11_4.2" localSheetId="4">#REF!</definedName>
    <definedName name="FACTORF6.11_4.2" localSheetId="71">#REF!</definedName>
    <definedName name="FACTORF6.11_4.2" localSheetId="2">#REF!</definedName>
    <definedName name="FACTORF6.11_4.2">#REF!</definedName>
    <definedName name="FACTORF6.11_4.3" localSheetId="3">#REF!</definedName>
    <definedName name="FACTORF6.11_4.3" localSheetId="4">#REF!</definedName>
    <definedName name="FACTORF6.11_4.3" localSheetId="71">#REF!</definedName>
    <definedName name="FACTORF6.11_4.3" localSheetId="2">#REF!</definedName>
    <definedName name="FACTORF6.11_4.3">#REF!</definedName>
    <definedName name="FACTORF6.11_5.1" localSheetId="3">#REF!</definedName>
    <definedName name="FACTORF6.11_5.1" localSheetId="4">#REF!</definedName>
    <definedName name="FACTORF6.11_5.1" localSheetId="71">#REF!</definedName>
    <definedName name="FACTORF6.11_5.1" localSheetId="2">#REF!</definedName>
    <definedName name="FACTORF6.11_5.1">#REF!</definedName>
    <definedName name="FACTORF6.11_5.2" localSheetId="3">#REF!</definedName>
    <definedName name="FACTORF6.11_5.2" localSheetId="4">#REF!</definedName>
    <definedName name="FACTORF6.11_5.2" localSheetId="71">#REF!</definedName>
    <definedName name="FACTORF6.11_5.2" localSheetId="2">#REF!</definedName>
    <definedName name="FACTORF6.11_5.2">#REF!</definedName>
    <definedName name="FACTORF6.11_6.1" localSheetId="3">#REF!</definedName>
    <definedName name="FACTORF6.11_6.1" localSheetId="4">#REF!</definedName>
    <definedName name="FACTORF6.11_6.1" localSheetId="71">#REF!</definedName>
    <definedName name="FACTORF6.11_6.1" localSheetId="2">#REF!</definedName>
    <definedName name="FACTORF6.11_6.1">#REF!</definedName>
    <definedName name="FACTORF6.11_6.2" localSheetId="3">#REF!</definedName>
    <definedName name="FACTORF6.11_6.2" localSheetId="4">#REF!</definedName>
    <definedName name="FACTORF6.11_6.2" localSheetId="71">#REF!</definedName>
    <definedName name="FACTORF6.11_6.2" localSheetId="2">#REF!</definedName>
    <definedName name="FACTORF6.11_6.2">#REF!</definedName>
    <definedName name="FACTORF6.11_7" localSheetId="3">#REF!</definedName>
    <definedName name="FACTORF6.11_7" localSheetId="4">#REF!</definedName>
    <definedName name="FACTORF6.11_7" localSheetId="71">#REF!</definedName>
    <definedName name="FACTORF6.11_7" localSheetId="2">#REF!</definedName>
    <definedName name="FACTORF6.11_7">#REF!</definedName>
    <definedName name="FACTORF6.11_8" localSheetId="3">#REF!</definedName>
    <definedName name="FACTORF6.11_8" localSheetId="4">#REF!</definedName>
    <definedName name="FACTORF6.11_8" localSheetId="71">#REF!</definedName>
    <definedName name="FACTORF6.11_8" localSheetId="2">#REF!</definedName>
    <definedName name="FACTORF6.11_8">#REF!</definedName>
    <definedName name="FACTORF6.12_1" localSheetId="3">#REF!</definedName>
    <definedName name="FACTORF6.12_1" localSheetId="4">#REF!</definedName>
    <definedName name="FACTORF6.12_1" localSheetId="71">#REF!</definedName>
    <definedName name="FACTORF6.12_1" localSheetId="2">#REF!</definedName>
    <definedName name="FACTORF6.12_1">#REF!</definedName>
    <definedName name="FACTORF6.12_10.1" localSheetId="3">#REF!</definedName>
    <definedName name="FACTORF6.12_10.1" localSheetId="4">#REF!</definedName>
    <definedName name="FACTORF6.12_10.1" localSheetId="71">#REF!</definedName>
    <definedName name="FACTORF6.12_10.1" localSheetId="2">#REF!</definedName>
    <definedName name="FACTORF6.12_10.1">#REF!</definedName>
    <definedName name="FACTORF6.12_10.2" localSheetId="3">#REF!</definedName>
    <definedName name="FACTORF6.12_10.2" localSheetId="4">#REF!</definedName>
    <definedName name="FACTORF6.12_10.2" localSheetId="71">#REF!</definedName>
    <definedName name="FACTORF6.12_10.2" localSheetId="2">#REF!</definedName>
    <definedName name="FACTORF6.12_10.2">#REF!</definedName>
    <definedName name="FACTORF6.12_10.3" localSheetId="3">#REF!</definedName>
    <definedName name="FACTORF6.12_10.3" localSheetId="4">#REF!</definedName>
    <definedName name="FACTORF6.12_10.3" localSheetId="71">#REF!</definedName>
    <definedName name="FACTORF6.12_10.3" localSheetId="2">#REF!</definedName>
    <definedName name="FACTORF6.12_10.3">#REF!</definedName>
    <definedName name="FACTORF6.12_11.1" localSheetId="3">#REF!</definedName>
    <definedName name="FACTORF6.12_11.1" localSheetId="4">#REF!</definedName>
    <definedName name="FACTORF6.12_11.1" localSheetId="71">#REF!</definedName>
    <definedName name="FACTORF6.12_11.1" localSheetId="2">#REF!</definedName>
    <definedName name="FACTORF6.12_11.1">#REF!</definedName>
    <definedName name="FACTORF6.12_11.2" localSheetId="3">#REF!</definedName>
    <definedName name="FACTORF6.12_11.2" localSheetId="4">#REF!</definedName>
    <definedName name="FACTORF6.12_11.2" localSheetId="71">#REF!</definedName>
    <definedName name="FACTORF6.12_11.2" localSheetId="2">#REF!</definedName>
    <definedName name="FACTORF6.12_11.2">#REF!</definedName>
    <definedName name="FACTORF6.12_11.3" localSheetId="3">#REF!</definedName>
    <definedName name="FACTORF6.12_11.3" localSheetId="4">#REF!</definedName>
    <definedName name="FACTORF6.12_11.3" localSheetId="71">#REF!</definedName>
    <definedName name="FACTORF6.12_11.3" localSheetId="2">#REF!</definedName>
    <definedName name="FACTORF6.12_11.3">#REF!</definedName>
    <definedName name="FACTORF6.12_2" localSheetId="3">#REF!</definedName>
    <definedName name="FACTORF6.12_2" localSheetId="4">#REF!</definedName>
    <definedName name="FACTORF6.12_2" localSheetId="71">#REF!</definedName>
    <definedName name="FACTORF6.12_2" localSheetId="2">#REF!</definedName>
    <definedName name="FACTORF6.12_2">#REF!</definedName>
    <definedName name="FACTORF6.12_3" localSheetId="3">#REF!</definedName>
    <definedName name="FACTORF6.12_3" localSheetId="4">#REF!</definedName>
    <definedName name="FACTORF6.12_3" localSheetId="71">#REF!</definedName>
    <definedName name="FACTORF6.12_3" localSheetId="2">#REF!</definedName>
    <definedName name="FACTORF6.12_3">#REF!</definedName>
    <definedName name="FACTORF6.12_4" localSheetId="3">#REF!</definedName>
    <definedName name="FACTORF6.12_4" localSheetId="4">#REF!</definedName>
    <definedName name="FACTORF6.12_4" localSheetId="71">#REF!</definedName>
    <definedName name="FACTORF6.12_4" localSheetId="2">#REF!</definedName>
    <definedName name="FACTORF6.12_4">#REF!</definedName>
    <definedName name="FACTORF6.12_5.1" localSheetId="3">#REF!</definedName>
    <definedName name="FACTORF6.12_5.1" localSheetId="4">#REF!</definedName>
    <definedName name="FACTORF6.12_5.1" localSheetId="71">#REF!</definedName>
    <definedName name="FACTORF6.12_5.1" localSheetId="2">#REF!</definedName>
    <definedName name="FACTORF6.12_5.1">#REF!</definedName>
    <definedName name="FACTORF6.12_5.2" localSheetId="3">#REF!</definedName>
    <definedName name="FACTORF6.12_5.2" localSheetId="4">#REF!</definedName>
    <definedName name="FACTORF6.12_5.2" localSheetId="71">#REF!</definedName>
    <definedName name="FACTORF6.12_5.2" localSheetId="2">#REF!</definedName>
    <definedName name="FACTORF6.12_5.2">#REF!</definedName>
    <definedName name="FACTORF6.12_5.3" localSheetId="3">#REF!</definedName>
    <definedName name="FACTORF6.12_5.3" localSheetId="4">#REF!</definedName>
    <definedName name="FACTORF6.12_5.3" localSheetId="71">#REF!</definedName>
    <definedName name="FACTORF6.12_5.3" localSheetId="2">#REF!</definedName>
    <definedName name="FACTORF6.12_5.3">#REF!</definedName>
    <definedName name="FACTORF6.12_6" localSheetId="3">#REF!</definedName>
    <definedName name="FACTORF6.12_6" localSheetId="4">#REF!</definedName>
    <definedName name="FACTORF6.12_6" localSheetId="71">#REF!</definedName>
    <definedName name="FACTORF6.12_6" localSheetId="2">#REF!</definedName>
    <definedName name="FACTORF6.12_6">#REF!</definedName>
    <definedName name="FACTORF6.12_7" localSheetId="3">#REF!</definedName>
    <definedName name="FACTORF6.12_7" localSheetId="4">#REF!</definedName>
    <definedName name="FACTORF6.12_7" localSheetId="71">#REF!</definedName>
    <definedName name="FACTORF6.12_7" localSheetId="2">#REF!</definedName>
    <definedName name="FACTORF6.12_7">#REF!</definedName>
    <definedName name="FACTORF6.12_8" localSheetId="3">#REF!</definedName>
    <definedName name="FACTORF6.12_8" localSheetId="4">#REF!</definedName>
    <definedName name="FACTORF6.12_8" localSheetId="71">#REF!</definedName>
    <definedName name="FACTORF6.12_8" localSheetId="2">#REF!</definedName>
    <definedName name="FACTORF6.12_8">#REF!</definedName>
    <definedName name="FACTORF6.12_9" localSheetId="3">#REF!</definedName>
    <definedName name="FACTORF6.12_9" localSheetId="4">#REF!</definedName>
    <definedName name="FACTORF6.12_9" localSheetId="71">#REF!</definedName>
    <definedName name="FACTORF6.12_9" localSheetId="2">#REF!</definedName>
    <definedName name="FACTORF6.12_9">#REF!</definedName>
    <definedName name="FACTORF6.13_1.1" localSheetId="3">#REF!</definedName>
    <definedName name="FACTORF6.13_1.1" localSheetId="4">#REF!</definedName>
    <definedName name="FACTORF6.13_1.1" localSheetId="71">#REF!</definedName>
    <definedName name="FACTORF6.13_1.1" localSheetId="2">#REF!</definedName>
    <definedName name="FACTORF6.13_1.1">#REF!</definedName>
    <definedName name="FACTORF6.13_1.2" localSheetId="3">#REF!</definedName>
    <definedName name="FACTORF6.13_1.2" localSheetId="4">#REF!</definedName>
    <definedName name="FACTORF6.13_1.2" localSheetId="71">#REF!</definedName>
    <definedName name="FACTORF6.13_1.2" localSheetId="2">#REF!</definedName>
    <definedName name="FACTORF6.13_1.2">#REF!</definedName>
    <definedName name="FACTORF6.13_2.1" localSheetId="3">#REF!</definedName>
    <definedName name="FACTORF6.13_2.1" localSheetId="4">#REF!</definedName>
    <definedName name="FACTORF6.13_2.1" localSheetId="71">#REF!</definedName>
    <definedName name="FACTORF6.13_2.1" localSheetId="2">#REF!</definedName>
    <definedName name="FACTORF6.13_2.1">#REF!</definedName>
    <definedName name="FACTORF6.13_2.2" localSheetId="3">#REF!</definedName>
    <definedName name="FACTORF6.13_2.2" localSheetId="4">#REF!</definedName>
    <definedName name="FACTORF6.13_2.2" localSheetId="71">#REF!</definedName>
    <definedName name="FACTORF6.13_2.2" localSheetId="2">#REF!</definedName>
    <definedName name="FACTORF6.13_2.2">#REF!</definedName>
    <definedName name="FACTORF6.14_1.1" localSheetId="3">#REF!</definedName>
    <definedName name="FACTORF6.14_1.1" localSheetId="4">#REF!</definedName>
    <definedName name="FACTORF6.14_1.1" localSheetId="71">#REF!</definedName>
    <definedName name="FACTORF6.14_1.1" localSheetId="2">#REF!</definedName>
    <definedName name="FACTORF6.14_1.1">#REF!</definedName>
    <definedName name="FACTORF6.14_1.2" localSheetId="3">#REF!</definedName>
    <definedName name="FACTORF6.14_1.2" localSheetId="4">#REF!</definedName>
    <definedName name="FACTORF6.14_1.2" localSheetId="71">#REF!</definedName>
    <definedName name="FACTORF6.14_1.2" localSheetId="2">#REF!</definedName>
    <definedName name="FACTORF6.14_1.2">#REF!</definedName>
    <definedName name="FACTORF6.14_2.1" localSheetId="3">#REF!</definedName>
    <definedName name="FACTORF6.14_2.1" localSheetId="4">#REF!</definedName>
    <definedName name="FACTORF6.14_2.1" localSheetId="71">#REF!</definedName>
    <definedName name="FACTORF6.14_2.1" localSheetId="2">#REF!</definedName>
    <definedName name="FACTORF6.14_2.1">#REF!</definedName>
    <definedName name="FACTORF6.14_2.2" localSheetId="3">#REF!</definedName>
    <definedName name="FACTORF6.14_2.2" localSheetId="4">#REF!</definedName>
    <definedName name="FACTORF6.14_2.2" localSheetId="71">#REF!</definedName>
    <definedName name="FACTORF6.14_2.2" localSheetId="2">#REF!</definedName>
    <definedName name="FACTORF6.14_2.2">#REF!</definedName>
    <definedName name="FACTORF6.15_1.1" localSheetId="3">#REF!</definedName>
    <definedName name="FACTORF6.15_1.1" localSheetId="4">#REF!</definedName>
    <definedName name="FACTORF6.15_1.1" localSheetId="71">#REF!</definedName>
    <definedName name="FACTORF6.15_1.1" localSheetId="2">#REF!</definedName>
    <definedName name="FACTORF6.15_1.1">#REF!</definedName>
    <definedName name="FACTORF6.15_1.2" localSheetId="3">#REF!</definedName>
    <definedName name="FACTORF6.15_1.2" localSheetId="4">#REF!</definedName>
    <definedName name="FACTORF6.15_1.2" localSheetId="71">#REF!</definedName>
    <definedName name="FACTORF6.15_1.2" localSheetId="2">#REF!</definedName>
    <definedName name="FACTORF6.15_1.2">#REF!</definedName>
    <definedName name="FACTORF6.15_2.1" localSheetId="3">#REF!</definedName>
    <definedName name="FACTORF6.15_2.1" localSheetId="4">#REF!</definedName>
    <definedName name="FACTORF6.15_2.1" localSheetId="71">#REF!</definedName>
    <definedName name="FACTORF6.15_2.1" localSheetId="2">#REF!</definedName>
    <definedName name="FACTORF6.15_2.1">#REF!</definedName>
    <definedName name="FACTORF6.15_2.2" localSheetId="3">#REF!</definedName>
    <definedName name="FACTORF6.15_2.2" localSheetId="4">#REF!</definedName>
    <definedName name="FACTORF6.15_2.2" localSheetId="71">#REF!</definedName>
    <definedName name="FACTORF6.15_2.2" localSheetId="2">#REF!</definedName>
    <definedName name="FACTORF6.15_2.2">#REF!</definedName>
    <definedName name="FACTORF6.15_3.1" localSheetId="3">#REF!</definedName>
    <definedName name="FACTORF6.15_3.1" localSheetId="4">#REF!</definedName>
    <definedName name="FACTORF6.15_3.1" localSheetId="71">#REF!</definedName>
    <definedName name="FACTORF6.15_3.1" localSheetId="2">#REF!</definedName>
    <definedName name="FACTORF6.15_3.1">#REF!</definedName>
    <definedName name="FACTORF6.15_3.2" localSheetId="3">#REF!</definedName>
    <definedName name="FACTORF6.15_3.2" localSheetId="4">#REF!</definedName>
    <definedName name="FACTORF6.15_3.2" localSheetId="71">#REF!</definedName>
    <definedName name="FACTORF6.15_3.2" localSheetId="2">#REF!</definedName>
    <definedName name="FACTORF6.15_3.2">#REF!</definedName>
    <definedName name="FACTORF6.15_4.1" localSheetId="3">#REF!</definedName>
    <definedName name="FACTORF6.15_4.1" localSheetId="4">#REF!</definedName>
    <definedName name="FACTORF6.15_4.1" localSheetId="71">#REF!</definedName>
    <definedName name="FACTORF6.15_4.1" localSheetId="2">#REF!</definedName>
    <definedName name="FACTORF6.15_4.1">#REF!</definedName>
    <definedName name="FACTORF6.15_4.2" localSheetId="3">#REF!</definedName>
    <definedName name="FACTORF6.15_4.2" localSheetId="4">#REF!</definedName>
    <definedName name="FACTORF6.15_4.2" localSheetId="71">#REF!</definedName>
    <definedName name="FACTORF6.15_4.2" localSheetId="2">#REF!</definedName>
    <definedName name="FACTORF6.15_4.2">#REF!</definedName>
    <definedName name="FACTORF6.15_5.1" localSheetId="3">#REF!</definedName>
    <definedName name="FACTORF6.15_5.1" localSheetId="4">#REF!</definedName>
    <definedName name="FACTORF6.15_5.1" localSheetId="71">#REF!</definedName>
    <definedName name="FACTORF6.15_5.1" localSheetId="2">#REF!</definedName>
    <definedName name="FACTORF6.15_5.1">#REF!</definedName>
    <definedName name="FACTORF6.15_5.2" localSheetId="3">#REF!</definedName>
    <definedName name="FACTORF6.15_5.2" localSheetId="4">#REF!</definedName>
    <definedName name="FACTORF6.15_5.2" localSheetId="71">#REF!</definedName>
    <definedName name="FACTORF6.15_5.2" localSheetId="2">#REF!</definedName>
    <definedName name="FACTORF6.15_5.2">#REF!</definedName>
    <definedName name="FACTORF6.15_6" localSheetId="3">#REF!</definedName>
    <definedName name="FACTORF6.15_6" localSheetId="4">#REF!</definedName>
    <definedName name="FACTORF6.15_6" localSheetId="71">#REF!</definedName>
    <definedName name="FACTORF6.15_6" localSheetId="2">#REF!</definedName>
    <definedName name="FACTORF6.15_6">#REF!</definedName>
    <definedName name="FACTORF6.15_7" localSheetId="3">#REF!</definedName>
    <definedName name="FACTORF6.15_7" localSheetId="4">#REF!</definedName>
    <definedName name="FACTORF6.15_7" localSheetId="71">#REF!</definedName>
    <definedName name="FACTORF6.15_7" localSheetId="2">#REF!</definedName>
    <definedName name="FACTORF6.15_7">#REF!</definedName>
    <definedName name="FACTORF6.16" localSheetId="3">#REF!</definedName>
    <definedName name="FACTORF6.16" localSheetId="4">#REF!</definedName>
    <definedName name="FACTORF6.16" localSheetId="71">#REF!</definedName>
    <definedName name="FACTORF6.16" localSheetId="2">#REF!</definedName>
    <definedName name="FACTORF6.16">#REF!</definedName>
    <definedName name="FACTORF6.17_1" localSheetId="3">#REF!</definedName>
    <definedName name="FACTORF6.17_1" localSheetId="4">#REF!</definedName>
    <definedName name="FACTORF6.17_1" localSheetId="71">#REF!</definedName>
    <definedName name="FACTORF6.17_1" localSheetId="2">#REF!</definedName>
    <definedName name="FACTORF6.17_1">#REF!</definedName>
    <definedName name="FACTORF6.17_10" localSheetId="3">#REF!</definedName>
    <definedName name="FACTORF6.17_10" localSheetId="4">#REF!</definedName>
    <definedName name="FACTORF6.17_10" localSheetId="71">#REF!</definedName>
    <definedName name="FACTORF6.17_10" localSheetId="2">#REF!</definedName>
    <definedName name="FACTORF6.17_10">#REF!</definedName>
    <definedName name="FACTORF6.17_11" localSheetId="3">#REF!</definedName>
    <definedName name="FACTORF6.17_11" localSheetId="4">#REF!</definedName>
    <definedName name="FACTORF6.17_11" localSheetId="71">#REF!</definedName>
    <definedName name="FACTORF6.17_11" localSheetId="2">#REF!</definedName>
    <definedName name="FACTORF6.17_11">#REF!</definedName>
    <definedName name="FACTORF6.17_12" localSheetId="3">#REF!</definedName>
    <definedName name="FACTORF6.17_12" localSheetId="4">#REF!</definedName>
    <definedName name="FACTORF6.17_12" localSheetId="71">#REF!</definedName>
    <definedName name="FACTORF6.17_12" localSheetId="2">#REF!</definedName>
    <definedName name="FACTORF6.17_12">#REF!</definedName>
    <definedName name="FACTORF6.17_2" localSheetId="3">#REF!</definedName>
    <definedName name="FACTORF6.17_2" localSheetId="4">#REF!</definedName>
    <definedName name="FACTORF6.17_2" localSheetId="71">#REF!</definedName>
    <definedName name="FACTORF6.17_2" localSheetId="2">#REF!</definedName>
    <definedName name="FACTORF6.17_2">#REF!</definedName>
    <definedName name="FACTORF6.17_3" localSheetId="3">#REF!</definedName>
    <definedName name="FACTORF6.17_3" localSheetId="4">#REF!</definedName>
    <definedName name="FACTORF6.17_3" localSheetId="71">#REF!</definedName>
    <definedName name="FACTORF6.17_3" localSheetId="2">#REF!</definedName>
    <definedName name="FACTORF6.17_3">#REF!</definedName>
    <definedName name="FACTORF6.17_4" localSheetId="3">#REF!</definedName>
    <definedName name="FACTORF6.17_4" localSheetId="4">#REF!</definedName>
    <definedName name="FACTORF6.17_4" localSheetId="71">#REF!</definedName>
    <definedName name="FACTORF6.17_4" localSheetId="2">#REF!</definedName>
    <definedName name="FACTORF6.17_4">#REF!</definedName>
    <definedName name="FACTORF6.17_5" localSheetId="3">#REF!</definedName>
    <definedName name="FACTORF6.17_5" localSheetId="4">#REF!</definedName>
    <definedName name="FACTORF6.17_5" localSheetId="71">#REF!</definedName>
    <definedName name="FACTORF6.17_5" localSheetId="2">#REF!</definedName>
    <definedName name="FACTORF6.17_5">#REF!</definedName>
    <definedName name="FACTORF6.17_6" localSheetId="3">#REF!</definedName>
    <definedName name="FACTORF6.17_6" localSheetId="4">#REF!</definedName>
    <definedName name="FACTORF6.17_6" localSheetId="71">#REF!</definedName>
    <definedName name="FACTORF6.17_6" localSheetId="2">#REF!</definedName>
    <definedName name="FACTORF6.17_6">#REF!</definedName>
    <definedName name="FACTORF6.17_7" localSheetId="3">#REF!</definedName>
    <definedName name="FACTORF6.17_7" localSheetId="4">#REF!</definedName>
    <definedName name="FACTORF6.17_7" localSheetId="71">#REF!</definedName>
    <definedName name="FACTORF6.17_7" localSheetId="2">#REF!</definedName>
    <definedName name="FACTORF6.17_7">#REF!</definedName>
    <definedName name="FACTORF6.17_8" localSheetId="3">#REF!</definedName>
    <definedName name="FACTORF6.17_8" localSheetId="4">#REF!</definedName>
    <definedName name="FACTORF6.17_8" localSheetId="71">#REF!</definedName>
    <definedName name="FACTORF6.17_8" localSheetId="2">#REF!</definedName>
    <definedName name="FACTORF6.17_8">#REF!</definedName>
    <definedName name="FACTORF6.17_9" localSheetId="3">#REF!</definedName>
    <definedName name="FACTORF6.17_9" localSheetId="4">#REF!</definedName>
    <definedName name="FACTORF6.17_9" localSheetId="71">#REF!</definedName>
    <definedName name="FACTORF6.17_9" localSheetId="2">#REF!</definedName>
    <definedName name="FACTORF6.17_9">#REF!</definedName>
    <definedName name="FACTORF6.18_1.1" localSheetId="3">#REF!</definedName>
    <definedName name="FACTORF6.18_1.1" localSheetId="4">#REF!</definedName>
    <definedName name="FACTORF6.18_1.1" localSheetId="71">#REF!</definedName>
    <definedName name="FACTORF6.18_1.1" localSheetId="2">#REF!</definedName>
    <definedName name="FACTORF6.18_1.1">#REF!</definedName>
    <definedName name="FACTORF6.18_1.2" localSheetId="3">#REF!</definedName>
    <definedName name="FACTORF6.18_1.2" localSheetId="4">#REF!</definedName>
    <definedName name="FACTORF6.18_1.2" localSheetId="71">#REF!</definedName>
    <definedName name="FACTORF6.18_1.2" localSheetId="2">#REF!</definedName>
    <definedName name="FACTORF6.18_1.2">#REF!</definedName>
    <definedName name="FACTORF6.18_1.3" localSheetId="3">#REF!</definedName>
    <definedName name="FACTORF6.18_1.3" localSheetId="4">#REF!</definedName>
    <definedName name="FACTORF6.18_1.3" localSheetId="71">#REF!</definedName>
    <definedName name="FACTORF6.18_1.3" localSheetId="2">#REF!</definedName>
    <definedName name="FACTORF6.18_1.3">#REF!</definedName>
    <definedName name="FACTORF6.18_2" localSheetId="3">#REF!</definedName>
    <definedName name="FACTORF6.18_2" localSheetId="4">#REF!</definedName>
    <definedName name="FACTORF6.18_2" localSheetId="71">#REF!</definedName>
    <definedName name="FACTORF6.18_2" localSheetId="2">#REF!</definedName>
    <definedName name="FACTORF6.18_2">#REF!</definedName>
    <definedName name="FACTORF6.18_3" localSheetId="3">#REF!</definedName>
    <definedName name="FACTORF6.18_3" localSheetId="4">#REF!</definedName>
    <definedName name="FACTORF6.18_3" localSheetId="71">#REF!</definedName>
    <definedName name="FACTORF6.18_3" localSheetId="2">#REF!</definedName>
    <definedName name="FACTORF6.18_3">#REF!</definedName>
    <definedName name="FACTORF6.18_4.1" localSheetId="3">#REF!</definedName>
    <definedName name="FACTORF6.18_4.1" localSheetId="4">#REF!</definedName>
    <definedName name="FACTORF6.18_4.1" localSheetId="71">#REF!</definedName>
    <definedName name="FACTORF6.18_4.1" localSheetId="2">#REF!</definedName>
    <definedName name="FACTORF6.18_4.1">#REF!</definedName>
    <definedName name="FACTORF6.18_4.2" localSheetId="3">#REF!</definedName>
    <definedName name="FACTORF6.18_4.2" localSheetId="4">#REF!</definedName>
    <definedName name="FACTORF6.18_4.2" localSheetId="71">#REF!</definedName>
    <definedName name="FACTORF6.18_4.2" localSheetId="2">#REF!</definedName>
    <definedName name="FACTORF6.18_4.2">#REF!</definedName>
    <definedName name="FACTORF6.18_4.3" localSheetId="3">#REF!</definedName>
    <definedName name="FACTORF6.18_4.3" localSheetId="4">#REF!</definedName>
    <definedName name="FACTORF6.18_4.3" localSheetId="71">#REF!</definedName>
    <definedName name="FACTORF6.18_4.3" localSheetId="2">#REF!</definedName>
    <definedName name="FACTORF6.18_4.3">#REF!</definedName>
    <definedName name="FACTORF6.18_5" localSheetId="3">#REF!</definedName>
    <definedName name="FACTORF6.18_5" localSheetId="4">#REF!</definedName>
    <definedName name="FACTORF6.18_5" localSheetId="71">#REF!</definedName>
    <definedName name="FACTORF6.18_5" localSheetId="2">#REF!</definedName>
    <definedName name="FACTORF6.18_5">#REF!</definedName>
    <definedName name="FACTORF6.19_1" localSheetId="3">#REF!</definedName>
    <definedName name="FACTORF6.19_1" localSheetId="4">#REF!</definedName>
    <definedName name="FACTORF6.19_1" localSheetId="71">#REF!</definedName>
    <definedName name="FACTORF6.19_1" localSheetId="2">#REF!</definedName>
    <definedName name="FACTORF6.19_1">#REF!</definedName>
    <definedName name="FACTORF6.19_2" localSheetId="3">#REF!</definedName>
    <definedName name="FACTORF6.19_2" localSheetId="4">#REF!</definedName>
    <definedName name="FACTORF6.19_2" localSheetId="71">#REF!</definedName>
    <definedName name="FACTORF6.19_2" localSheetId="2">#REF!</definedName>
    <definedName name="FACTORF6.19_2">#REF!</definedName>
    <definedName name="FACTORF6.19_3" localSheetId="3">#REF!</definedName>
    <definedName name="FACTORF6.19_3" localSheetId="4">#REF!</definedName>
    <definedName name="FACTORF6.19_3" localSheetId="71">#REF!</definedName>
    <definedName name="FACTORF6.19_3" localSheetId="2">#REF!</definedName>
    <definedName name="FACTORF6.19_3">#REF!</definedName>
    <definedName name="FACTORF6.19_4" localSheetId="3">#REF!</definedName>
    <definedName name="FACTORF6.19_4" localSheetId="4">#REF!</definedName>
    <definedName name="FACTORF6.19_4" localSheetId="71">#REF!</definedName>
    <definedName name="FACTORF6.19_4" localSheetId="2">#REF!</definedName>
    <definedName name="FACTORF6.19_4">#REF!</definedName>
    <definedName name="FACTORF6.2_1" localSheetId="3">#REF!</definedName>
    <definedName name="FACTORF6.2_1" localSheetId="4">#REF!</definedName>
    <definedName name="FACTORF6.2_1" localSheetId="71">#REF!</definedName>
    <definedName name="FACTORF6.2_1" localSheetId="2">#REF!</definedName>
    <definedName name="FACTORF6.2_1">#REF!</definedName>
    <definedName name="FACTORF6.2_2" localSheetId="3">#REF!</definedName>
    <definedName name="FACTORF6.2_2" localSheetId="4">#REF!</definedName>
    <definedName name="FACTORF6.2_2" localSheetId="71">#REF!</definedName>
    <definedName name="FACTORF6.2_2" localSheetId="2">#REF!</definedName>
    <definedName name="FACTORF6.2_2">#REF!</definedName>
    <definedName name="FACTORF6.3_1.1" localSheetId="3">#REF!</definedName>
    <definedName name="FACTORF6.3_1.1" localSheetId="4">#REF!</definedName>
    <definedName name="FACTORF6.3_1.1" localSheetId="71">#REF!</definedName>
    <definedName name="FACTORF6.3_1.1" localSheetId="2">#REF!</definedName>
    <definedName name="FACTORF6.3_1.1">#REF!</definedName>
    <definedName name="FACTORF6.3_1.2" localSheetId="3">#REF!</definedName>
    <definedName name="FACTORF6.3_1.2" localSheetId="4">#REF!</definedName>
    <definedName name="FACTORF6.3_1.2" localSheetId="71">#REF!</definedName>
    <definedName name="FACTORF6.3_1.2" localSheetId="2">#REF!</definedName>
    <definedName name="FACTORF6.3_1.2">#REF!</definedName>
    <definedName name="FACTORF6.3_1.3" localSheetId="3">#REF!</definedName>
    <definedName name="FACTORF6.3_1.3" localSheetId="4">#REF!</definedName>
    <definedName name="FACTORF6.3_1.3" localSheetId="71">#REF!</definedName>
    <definedName name="FACTORF6.3_1.3" localSheetId="2">#REF!</definedName>
    <definedName name="FACTORF6.3_1.3">#REF!</definedName>
    <definedName name="FACTORF6.3_1.4" localSheetId="3">#REF!</definedName>
    <definedName name="FACTORF6.3_1.4" localSheetId="4">#REF!</definedName>
    <definedName name="FACTORF6.3_1.4" localSheetId="71">#REF!</definedName>
    <definedName name="FACTORF6.3_1.4" localSheetId="2">#REF!</definedName>
    <definedName name="FACTORF6.3_1.4">#REF!</definedName>
    <definedName name="FACTORF6.3_1.5" localSheetId="3">#REF!</definedName>
    <definedName name="FACTORF6.3_1.5" localSheetId="4">#REF!</definedName>
    <definedName name="FACTORF6.3_1.5" localSheetId="71">#REF!</definedName>
    <definedName name="FACTORF6.3_1.5" localSheetId="2">#REF!</definedName>
    <definedName name="FACTORF6.3_1.5">#REF!</definedName>
    <definedName name="FACTORF6.3_1.6" localSheetId="3">#REF!</definedName>
    <definedName name="FACTORF6.3_1.6" localSheetId="4">#REF!</definedName>
    <definedName name="FACTORF6.3_1.6" localSheetId="71">#REF!</definedName>
    <definedName name="FACTORF6.3_1.6" localSheetId="2">#REF!</definedName>
    <definedName name="FACTORF6.3_1.6">#REF!</definedName>
    <definedName name="FACTORF6.3_1.7" localSheetId="3">#REF!</definedName>
    <definedName name="FACTORF6.3_1.7" localSheetId="4">#REF!</definedName>
    <definedName name="FACTORF6.3_1.7" localSheetId="71">#REF!</definedName>
    <definedName name="FACTORF6.3_1.7" localSheetId="2">#REF!</definedName>
    <definedName name="FACTORF6.3_1.7">#REF!</definedName>
    <definedName name="FACTORF6.3_10" localSheetId="3">#REF!</definedName>
    <definedName name="FACTORF6.3_10" localSheetId="4">#REF!</definedName>
    <definedName name="FACTORF6.3_10" localSheetId="71">#REF!</definedName>
    <definedName name="FACTORF6.3_10" localSheetId="2">#REF!</definedName>
    <definedName name="FACTORF6.3_10">#REF!</definedName>
    <definedName name="FACTORF6.3_11" localSheetId="3">#REF!</definedName>
    <definedName name="FACTORF6.3_11" localSheetId="4">#REF!</definedName>
    <definedName name="FACTORF6.3_11" localSheetId="71">#REF!</definedName>
    <definedName name="FACTORF6.3_11" localSheetId="2">#REF!</definedName>
    <definedName name="FACTORF6.3_11">#REF!</definedName>
    <definedName name="FACTORF6.3_12.1" localSheetId="3">#REF!</definedName>
    <definedName name="FACTORF6.3_12.1" localSheetId="4">#REF!</definedName>
    <definedName name="FACTORF6.3_12.1" localSheetId="71">#REF!</definedName>
    <definedName name="FACTORF6.3_12.1" localSheetId="2">#REF!</definedName>
    <definedName name="FACTORF6.3_12.1">#REF!</definedName>
    <definedName name="FACTORF6.3_12.2" localSheetId="3">#REF!</definedName>
    <definedName name="FACTORF6.3_12.2" localSheetId="4">#REF!</definedName>
    <definedName name="FACTORF6.3_12.2" localSheetId="71">#REF!</definedName>
    <definedName name="FACTORF6.3_12.2" localSheetId="2">#REF!</definedName>
    <definedName name="FACTORF6.3_12.2">#REF!</definedName>
    <definedName name="FACTORF6.3_12.3" localSheetId="3">#REF!</definedName>
    <definedName name="FACTORF6.3_12.3" localSheetId="4">#REF!</definedName>
    <definedName name="FACTORF6.3_12.3" localSheetId="71">#REF!</definedName>
    <definedName name="FACTORF6.3_12.3" localSheetId="2">#REF!</definedName>
    <definedName name="FACTORF6.3_12.3">#REF!</definedName>
    <definedName name="FACTORF6.3_13.1" localSheetId="3">#REF!</definedName>
    <definedName name="FACTORF6.3_13.1" localSheetId="4">#REF!</definedName>
    <definedName name="FACTORF6.3_13.1" localSheetId="71">#REF!</definedName>
    <definedName name="FACTORF6.3_13.1" localSheetId="2">#REF!</definedName>
    <definedName name="FACTORF6.3_13.1">#REF!</definedName>
    <definedName name="FACTORF6.3_13.2" localSheetId="3">#REF!</definedName>
    <definedName name="FACTORF6.3_13.2" localSheetId="4">#REF!</definedName>
    <definedName name="FACTORF6.3_13.2" localSheetId="71">#REF!</definedName>
    <definedName name="FACTORF6.3_13.2" localSheetId="2">#REF!</definedName>
    <definedName name="FACTORF6.3_13.2">#REF!</definedName>
    <definedName name="FACTORF6.3_14.1" localSheetId="3">#REF!</definedName>
    <definedName name="FACTORF6.3_14.1" localSheetId="4">#REF!</definedName>
    <definedName name="FACTORF6.3_14.1" localSheetId="71">#REF!</definedName>
    <definedName name="FACTORF6.3_14.1" localSheetId="2">#REF!</definedName>
    <definedName name="FACTORF6.3_14.1">#REF!</definedName>
    <definedName name="FACTORF6.3_14.2" localSheetId="3">#REF!</definedName>
    <definedName name="FACTORF6.3_14.2" localSheetId="4">#REF!</definedName>
    <definedName name="FACTORF6.3_14.2" localSheetId="71">#REF!</definedName>
    <definedName name="FACTORF6.3_14.2" localSheetId="2">#REF!</definedName>
    <definedName name="FACTORF6.3_14.2">#REF!</definedName>
    <definedName name="FACTORF6.3_14.3" localSheetId="3">#REF!</definedName>
    <definedName name="FACTORF6.3_14.3" localSheetId="4">#REF!</definedName>
    <definedName name="FACTORF6.3_14.3" localSheetId="71">#REF!</definedName>
    <definedName name="FACTORF6.3_14.3" localSheetId="2">#REF!</definedName>
    <definedName name="FACTORF6.3_14.3">#REF!</definedName>
    <definedName name="FACTORF6.3_14.4" localSheetId="3">#REF!</definedName>
    <definedName name="FACTORF6.3_14.4" localSheetId="4">#REF!</definedName>
    <definedName name="FACTORF6.3_14.4" localSheetId="71">#REF!</definedName>
    <definedName name="FACTORF6.3_14.4" localSheetId="2">#REF!</definedName>
    <definedName name="FACTORF6.3_14.4">#REF!</definedName>
    <definedName name="FACTORF6.3_14.5.1" localSheetId="3">#REF!</definedName>
    <definedName name="FACTORF6.3_14.5.1" localSheetId="4">#REF!</definedName>
    <definedName name="FACTORF6.3_14.5.1" localSheetId="71">#REF!</definedName>
    <definedName name="FACTORF6.3_14.5.1" localSheetId="2">#REF!</definedName>
    <definedName name="FACTORF6.3_14.5.1">#REF!</definedName>
    <definedName name="FACTORF6.3_14.5.2" localSheetId="3">#REF!</definedName>
    <definedName name="FACTORF6.3_14.5.2" localSheetId="4">#REF!</definedName>
    <definedName name="FACTORF6.3_14.5.2" localSheetId="71">#REF!</definedName>
    <definedName name="FACTORF6.3_14.5.2" localSheetId="2">#REF!</definedName>
    <definedName name="FACTORF6.3_14.5.2">#REF!</definedName>
    <definedName name="FACTORF6.3_14.5.3" localSheetId="3">#REF!</definedName>
    <definedName name="FACTORF6.3_14.5.3" localSheetId="4">#REF!</definedName>
    <definedName name="FACTORF6.3_14.5.3" localSheetId="71">#REF!</definedName>
    <definedName name="FACTORF6.3_14.5.3" localSheetId="2">#REF!</definedName>
    <definedName name="FACTORF6.3_14.5.3">#REF!</definedName>
    <definedName name="FACTORF6.3_2" localSheetId="3">#REF!</definedName>
    <definedName name="FACTORF6.3_2" localSheetId="4">#REF!</definedName>
    <definedName name="FACTORF6.3_2" localSheetId="71">#REF!</definedName>
    <definedName name="FACTORF6.3_2" localSheetId="2">#REF!</definedName>
    <definedName name="FACTORF6.3_2">#REF!</definedName>
    <definedName name="FACTORF6.3_3.1" localSheetId="3">#REF!</definedName>
    <definedName name="FACTORF6.3_3.1" localSheetId="4">#REF!</definedName>
    <definedName name="FACTORF6.3_3.1" localSheetId="71">#REF!</definedName>
    <definedName name="FACTORF6.3_3.1" localSheetId="2">#REF!</definedName>
    <definedName name="FACTORF6.3_3.1">#REF!</definedName>
    <definedName name="FACTORF6.3_3.2" localSheetId="3">#REF!</definedName>
    <definedName name="FACTORF6.3_3.2" localSheetId="4">#REF!</definedName>
    <definedName name="FACTORF6.3_3.2" localSheetId="71">#REF!</definedName>
    <definedName name="FACTORF6.3_3.2" localSheetId="2">#REF!</definedName>
    <definedName name="FACTORF6.3_3.2">#REF!</definedName>
    <definedName name="FACTORF6.3_4" localSheetId="3">#REF!</definedName>
    <definedName name="FACTORF6.3_4" localSheetId="4">#REF!</definedName>
    <definedName name="FACTORF6.3_4" localSheetId="71">#REF!</definedName>
    <definedName name="FACTORF6.3_4" localSheetId="2">#REF!</definedName>
    <definedName name="FACTORF6.3_4">#REF!</definedName>
    <definedName name="FACTORF6.3_5.1" localSheetId="3">#REF!</definedName>
    <definedName name="FACTORF6.3_5.1" localSheetId="4">#REF!</definedName>
    <definedName name="FACTORF6.3_5.1" localSheetId="71">#REF!</definedName>
    <definedName name="FACTORF6.3_5.1" localSheetId="2">#REF!</definedName>
    <definedName name="FACTORF6.3_5.1">#REF!</definedName>
    <definedName name="FACTORF6.3_5.2" localSheetId="3">#REF!</definedName>
    <definedName name="FACTORF6.3_5.2" localSheetId="4">#REF!</definedName>
    <definedName name="FACTORF6.3_5.2" localSheetId="71">#REF!</definedName>
    <definedName name="FACTORF6.3_5.2" localSheetId="2">#REF!</definedName>
    <definedName name="FACTORF6.3_5.2">#REF!</definedName>
    <definedName name="FACTORF6.3_6.1.1" localSheetId="3">#REF!</definedName>
    <definedName name="FACTORF6.3_6.1.1" localSheetId="4">#REF!</definedName>
    <definedName name="FACTORF6.3_6.1.1" localSheetId="71">#REF!</definedName>
    <definedName name="FACTORF6.3_6.1.1" localSheetId="2">#REF!</definedName>
    <definedName name="FACTORF6.3_6.1.1">#REF!</definedName>
    <definedName name="FACTORF6.3_6.2.1" localSheetId="3">#REF!</definedName>
    <definedName name="FACTORF6.3_6.2.1" localSheetId="4">#REF!</definedName>
    <definedName name="FACTORF6.3_6.2.1" localSheetId="71">#REF!</definedName>
    <definedName name="FACTORF6.3_6.2.1" localSheetId="2">#REF!</definedName>
    <definedName name="FACTORF6.3_6.2.1">#REF!</definedName>
    <definedName name="FACTORF6.3_7" localSheetId="3">#REF!</definedName>
    <definedName name="FACTORF6.3_7" localSheetId="4">#REF!</definedName>
    <definedName name="FACTORF6.3_7" localSheetId="71">#REF!</definedName>
    <definedName name="FACTORF6.3_7" localSheetId="2">#REF!</definedName>
    <definedName name="FACTORF6.3_7">#REF!</definedName>
    <definedName name="FACTORF6.3_8.1" localSheetId="3">#REF!</definedName>
    <definedName name="FACTORF6.3_8.1" localSheetId="4">#REF!</definedName>
    <definedName name="FACTORF6.3_8.1" localSheetId="71">#REF!</definedName>
    <definedName name="FACTORF6.3_8.1" localSheetId="2">#REF!</definedName>
    <definedName name="FACTORF6.3_8.1">#REF!</definedName>
    <definedName name="FACTORF6.3_8.2" localSheetId="3">#REF!</definedName>
    <definedName name="FACTORF6.3_8.2" localSheetId="4">#REF!</definedName>
    <definedName name="FACTORF6.3_8.2" localSheetId="71">#REF!</definedName>
    <definedName name="FACTORF6.3_8.2" localSheetId="2">#REF!</definedName>
    <definedName name="FACTORF6.3_8.2">#REF!</definedName>
    <definedName name="FACTORF6.3_8.3" localSheetId="3">#REF!</definedName>
    <definedName name="FACTORF6.3_8.3" localSheetId="4">#REF!</definedName>
    <definedName name="FACTORF6.3_8.3" localSheetId="71">#REF!</definedName>
    <definedName name="FACTORF6.3_8.3" localSheetId="2">#REF!</definedName>
    <definedName name="FACTORF6.3_8.3">#REF!</definedName>
    <definedName name="FACTORF6.3_9" localSheetId="3">#REF!</definedName>
    <definedName name="FACTORF6.3_9" localSheetId="4">#REF!</definedName>
    <definedName name="FACTORF6.3_9" localSheetId="71">#REF!</definedName>
    <definedName name="FACTORF6.3_9" localSheetId="2">#REF!</definedName>
    <definedName name="FACTORF6.3_9">#REF!</definedName>
    <definedName name="FACTORF6.4_1" localSheetId="3">#REF!</definedName>
    <definedName name="FACTORF6.4_1" localSheetId="4">#REF!</definedName>
    <definedName name="FACTORF6.4_1" localSheetId="71">#REF!</definedName>
    <definedName name="FACTORF6.4_1" localSheetId="2">#REF!</definedName>
    <definedName name="FACTORF6.4_1">#REF!</definedName>
    <definedName name="FACTORF6.4_2" localSheetId="3">#REF!</definedName>
    <definedName name="FACTORF6.4_2" localSheetId="4">#REF!</definedName>
    <definedName name="FACTORF6.4_2" localSheetId="71">#REF!</definedName>
    <definedName name="FACTORF6.4_2" localSheetId="2">#REF!</definedName>
    <definedName name="FACTORF6.4_2">#REF!</definedName>
    <definedName name="FACTORF6.4_3" localSheetId="3">#REF!</definedName>
    <definedName name="FACTORF6.4_3" localSheetId="4">#REF!</definedName>
    <definedName name="FACTORF6.4_3" localSheetId="71">#REF!</definedName>
    <definedName name="FACTORF6.4_3" localSheetId="2">#REF!</definedName>
    <definedName name="FACTORF6.4_3">#REF!</definedName>
    <definedName name="FACTORF6.4_4" localSheetId="3">#REF!</definedName>
    <definedName name="FACTORF6.4_4" localSheetId="4">#REF!</definedName>
    <definedName name="FACTORF6.4_4" localSheetId="71">#REF!</definedName>
    <definedName name="FACTORF6.4_4" localSheetId="2">#REF!</definedName>
    <definedName name="FACTORF6.4_4">#REF!</definedName>
    <definedName name="FACTORF6.4_5.1" localSheetId="3">#REF!</definedName>
    <definedName name="FACTORF6.4_5.1" localSheetId="4">#REF!</definedName>
    <definedName name="FACTORF6.4_5.1" localSheetId="71">#REF!</definedName>
    <definedName name="FACTORF6.4_5.1" localSheetId="2">#REF!</definedName>
    <definedName name="FACTORF6.4_5.1">#REF!</definedName>
    <definedName name="FACTORF6.4_5.2" localSheetId="3">#REF!</definedName>
    <definedName name="FACTORF6.4_5.2" localSheetId="4">#REF!</definedName>
    <definedName name="FACTORF6.4_5.2" localSheetId="71">#REF!</definedName>
    <definedName name="FACTORF6.4_5.2" localSheetId="2">#REF!</definedName>
    <definedName name="FACTORF6.4_5.2">#REF!</definedName>
    <definedName name="FACTORF6.4_5.3" localSheetId="3">#REF!</definedName>
    <definedName name="FACTORF6.4_5.3" localSheetId="4">#REF!</definedName>
    <definedName name="FACTORF6.4_5.3" localSheetId="71">#REF!</definedName>
    <definedName name="FACTORF6.4_5.3" localSheetId="2">#REF!</definedName>
    <definedName name="FACTORF6.4_5.3">#REF!</definedName>
    <definedName name="FACTORF6.4_5.4" localSheetId="3">#REF!</definedName>
    <definedName name="FACTORF6.4_5.4" localSheetId="4">#REF!</definedName>
    <definedName name="FACTORF6.4_5.4" localSheetId="71">#REF!</definedName>
    <definedName name="FACTORF6.4_5.4" localSheetId="2">#REF!</definedName>
    <definedName name="FACTORF6.4_5.4">#REF!</definedName>
    <definedName name="FACTORF6.4_6.1" localSheetId="3">#REF!</definedName>
    <definedName name="FACTORF6.4_6.1" localSheetId="4">#REF!</definedName>
    <definedName name="FACTORF6.4_6.1" localSheetId="71">#REF!</definedName>
    <definedName name="FACTORF6.4_6.1" localSheetId="2">#REF!</definedName>
    <definedName name="FACTORF6.4_6.1">#REF!</definedName>
    <definedName name="FACTORF6.4_6.2" localSheetId="3">#REF!</definedName>
    <definedName name="FACTORF6.4_6.2" localSheetId="4">#REF!</definedName>
    <definedName name="FACTORF6.4_6.2" localSheetId="71">#REF!</definedName>
    <definedName name="FACTORF6.4_6.2" localSheetId="2">#REF!</definedName>
    <definedName name="FACTORF6.4_6.2">#REF!</definedName>
    <definedName name="FACTORF6.4_6.3" localSheetId="3">#REF!</definedName>
    <definedName name="FACTORF6.4_6.3" localSheetId="4">#REF!</definedName>
    <definedName name="FACTORF6.4_6.3" localSheetId="71">#REF!</definedName>
    <definedName name="FACTORF6.4_6.3" localSheetId="2">#REF!</definedName>
    <definedName name="FACTORF6.4_6.3">#REF!</definedName>
    <definedName name="FACTORF6.4_6.4" localSheetId="3">#REF!</definedName>
    <definedName name="FACTORF6.4_6.4" localSheetId="4">#REF!</definedName>
    <definedName name="FACTORF6.4_6.4" localSheetId="71">#REF!</definedName>
    <definedName name="FACTORF6.4_6.4" localSheetId="2">#REF!</definedName>
    <definedName name="FACTORF6.4_6.4">#REF!</definedName>
    <definedName name="FACTORF6.4_6.5" localSheetId="3">#REF!</definedName>
    <definedName name="FACTORF6.4_6.5" localSheetId="4">#REF!</definedName>
    <definedName name="FACTORF6.4_6.5" localSheetId="71">#REF!</definedName>
    <definedName name="FACTORF6.4_6.5" localSheetId="2">#REF!</definedName>
    <definedName name="FACTORF6.4_6.5">#REF!</definedName>
    <definedName name="FACTORF6.5_1" localSheetId="3">#REF!</definedName>
    <definedName name="FACTORF6.5_1" localSheetId="4">#REF!</definedName>
    <definedName name="FACTORF6.5_1" localSheetId="71">#REF!</definedName>
    <definedName name="FACTORF6.5_1" localSheetId="2">#REF!</definedName>
    <definedName name="FACTORF6.5_1">#REF!</definedName>
    <definedName name="FACTORF6.5_2" localSheetId="3">#REF!</definedName>
    <definedName name="FACTORF6.5_2" localSheetId="4">#REF!</definedName>
    <definedName name="FACTORF6.5_2" localSheetId="71">#REF!</definedName>
    <definedName name="FACTORF6.5_2" localSheetId="2">#REF!</definedName>
    <definedName name="FACTORF6.5_2">#REF!</definedName>
    <definedName name="FACTORF6.6_1" localSheetId="3">#REF!</definedName>
    <definedName name="FACTORF6.6_1" localSheetId="4">#REF!</definedName>
    <definedName name="FACTORF6.6_1" localSheetId="71">#REF!</definedName>
    <definedName name="FACTORF6.6_1" localSheetId="2">#REF!</definedName>
    <definedName name="FACTORF6.6_1">#REF!</definedName>
    <definedName name="FACTORF6.6_2" localSheetId="3">#REF!</definedName>
    <definedName name="FACTORF6.6_2" localSheetId="4">#REF!</definedName>
    <definedName name="FACTORF6.6_2" localSheetId="71">#REF!</definedName>
    <definedName name="FACTORF6.6_2" localSheetId="2">#REF!</definedName>
    <definedName name="FACTORF6.6_2">#REF!</definedName>
    <definedName name="FACTORF6.7_1" localSheetId="3">#REF!</definedName>
    <definedName name="FACTORF6.7_1" localSheetId="4">#REF!</definedName>
    <definedName name="FACTORF6.7_1" localSheetId="71">#REF!</definedName>
    <definedName name="FACTORF6.7_1" localSheetId="2">#REF!</definedName>
    <definedName name="FACTORF6.7_1">#REF!</definedName>
    <definedName name="FACTORF6.7_2" localSheetId="3">#REF!</definedName>
    <definedName name="FACTORF6.7_2" localSheetId="4">#REF!</definedName>
    <definedName name="FACTORF6.7_2" localSheetId="71">#REF!</definedName>
    <definedName name="FACTORF6.7_2" localSheetId="2">#REF!</definedName>
    <definedName name="FACTORF6.7_2">#REF!</definedName>
    <definedName name="FACTORF6.8_1.1" localSheetId="3">#REF!</definedName>
    <definedName name="FACTORF6.8_1.1" localSheetId="4">#REF!</definedName>
    <definedName name="FACTORF6.8_1.1" localSheetId="71">#REF!</definedName>
    <definedName name="FACTORF6.8_1.1" localSheetId="2">#REF!</definedName>
    <definedName name="FACTORF6.8_1.1">#REF!</definedName>
    <definedName name="FACTORF6.8_1.2" localSheetId="3">#REF!</definedName>
    <definedName name="FACTORF6.8_1.2" localSheetId="4">#REF!</definedName>
    <definedName name="FACTORF6.8_1.2" localSheetId="71">#REF!</definedName>
    <definedName name="FACTORF6.8_1.2" localSheetId="2">#REF!</definedName>
    <definedName name="FACTORF6.8_1.2">#REF!</definedName>
    <definedName name="FACTORF6.8_2" localSheetId="3">#REF!</definedName>
    <definedName name="FACTORF6.8_2" localSheetId="4">#REF!</definedName>
    <definedName name="FACTORF6.8_2" localSheetId="71">#REF!</definedName>
    <definedName name="FACTORF6.8_2" localSheetId="2">#REF!</definedName>
    <definedName name="FACTORF6.8_2">#REF!</definedName>
    <definedName name="FACTORF6.8_3" localSheetId="3">#REF!</definedName>
    <definedName name="FACTORF6.8_3" localSheetId="4">#REF!</definedName>
    <definedName name="FACTORF6.8_3" localSheetId="71">#REF!</definedName>
    <definedName name="FACTORF6.8_3" localSheetId="2">#REF!</definedName>
    <definedName name="FACTORF6.8_3">#REF!</definedName>
    <definedName name="FACTORF6.9_1" localSheetId="3">#REF!</definedName>
    <definedName name="FACTORF6.9_1" localSheetId="4">#REF!</definedName>
    <definedName name="FACTORF6.9_1" localSheetId="71">#REF!</definedName>
    <definedName name="FACTORF6.9_1" localSheetId="2">#REF!</definedName>
    <definedName name="FACTORF6.9_1">#REF!</definedName>
    <definedName name="FACTORF6.9_2" localSheetId="3">#REF!</definedName>
    <definedName name="FACTORF6.9_2" localSheetId="4">#REF!</definedName>
    <definedName name="FACTORF6.9_2" localSheetId="71">#REF!</definedName>
    <definedName name="FACTORF6.9_2" localSheetId="2">#REF!</definedName>
    <definedName name="FACTORF6.9_2">#REF!</definedName>
    <definedName name="factorFงานอาคาร" localSheetId="3">#REF!</definedName>
    <definedName name="factorFงานอาคาร" localSheetId="4">#REF!</definedName>
    <definedName name="factorFงานอาคาร" localSheetId="71">#REF!</definedName>
    <definedName name="factorFงานอาคาร" localSheetId="2">#REF!</definedName>
    <definedName name="factorFงานอาคาร">#REF!</definedName>
    <definedName name="fbridge">'[14]หา FACTOR F'!$J$31</definedName>
    <definedName name="Fence_TypeII">'[5]6'!$J$1787</definedName>
    <definedName name="ff">'[15]F(ของเรา)'!$G$27</definedName>
    <definedName name="fff">'[16]11 ข้อมูลงานCon'!$AB$30</definedName>
    <definedName name="FFFFFF" localSheetId="3">#REF!</definedName>
    <definedName name="FFFFFF" localSheetId="4">#REF!</definedName>
    <definedName name="FFFFFF" localSheetId="71">#REF!</definedName>
    <definedName name="FFFFFF" localSheetId="69">#REF!</definedName>
    <definedName name="FFFFFF">#REF!</definedName>
    <definedName name="fgeneral">'[14]หา FACTOR F'!$J$11</definedName>
    <definedName name="FormWork">[7]FCalSH!$G$19</definedName>
    <definedName name="FWS">'[17]11 ข้อมูลงานCon'!$AB$30</definedName>
    <definedName name="FWSS">'[17]11 ข้อมูลงานCon'!$AB$30</definedName>
    <definedName name="fกรรมการ" localSheetId="3">#REF!</definedName>
    <definedName name="fกรรมการ" localSheetId="4">#REF!</definedName>
    <definedName name="fกรรมการ" localSheetId="71">#REF!</definedName>
    <definedName name="fกรรมการ" localSheetId="69">#REF!</definedName>
    <definedName name="fกรรมการ" localSheetId="70">#REF!</definedName>
    <definedName name="fกรรมการ" localSheetId="74">#REF!</definedName>
    <definedName name="fกรรมการ" localSheetId="2">#REF!</definedName>
    <definedName name="fกรรมการ">#REF!</definedName>
    <definedName name="g">#REF!</definedName>
    <definedName name="Geogrid_TypicalIII">'[18]6'!$J$382</definedName>
    <definedName name="Geogrid_TypicalIV">'[18]6'!$J$409</definedName>
    <definedName name="GGGGG" localSheetId="3">#REF!</definedName>
    <definedName name="GGGGG" localSheetId="4">#REF!</definedName>
    <definedName name="GGGGG" localSheetId="71">#REF!</definedName>
    <definedName name="GGGGG" localSheetId="69">#REF!</definedName>
    <definedName name="GGGGG">#REF!</definedName>
    <definedName name="Hauling_from_bkk">[19]Input!$E$6</definedName>
    <definedName name="HDPE25">[20]backup!$K$72</definedName>
    <definedName name="HDPE40">[20]backup!$K$77</definedName>
    <definedName name="hdpe50">'[21]Local road Backup'!$I$10</definedName>
    <definedName name="HEADWALL_BOX1.50x1.50_1" localSheetId="71">'[22]6'!$I$1226</definedName>
    <definedName name="HEADWALL_BOX1.50x1.50_1">'[23]6'!$I$1226</definedName>
    <definedName name="HEADWALL_BOX1.50x1.50_2" localSheetId="71">'[22]6'!$I$1236</definedName>
    <definedName name="HEADWALL_BOX1.50x1.50_2">'[23]6'!$I$1236</definedName>
    <definedName name="HEADWALL_BOX1.80x1.80_1" localSheetId="71">'[22]6'!$I$1246</definedName>
    <definedName name="HEADWALL_BOX1.80x1.80_1">'[23]6'!$I$1246</definedName>
    <definedName name="HEADWALL_BOX1.80x1.80_2" localSheetId="71">'[22]6'!$I$1256</definedName>
    <definedName name="HEADWALL_BOX1.80x1.80_2">'[23]6'!$I$1256</definedName>
    <definedName name="HHHHHH" localSheetId="3">#REF!</definedName>
    <definedName name="HHHHHH" localSheetId="4">#REF!</definedName>
    <definedName name="HHHHHH" localSheetId="71">#REF!</definedName>
    <definedName name="HHHHHH" localSheetId="69">#REF!</definedName>
    <definedName name="HHHHHH">#REF!</definedName>
    <definedName name="HTML_CodePage" hidden="1">874</definedName>
    <definedName name="HTML_Control" localSheetId="3" hidden="1">{"'SUMMATION'!$B$2:$I$2"}</definedName>
    <definedName name="HTML_Control" localSheetId="4" hidden="1">{"'SUMMATION'!$B$2:$I$2"}</definedName>
    <definedName name="HTML_Control" localSheetId="71" hidden="1">{"'SUMMATION'!$B$2:$I$2"}</definedName>
    <definedName name="HTML_Control" localSheetId="69" hidden="1">{"'SUMMATION'!$B$2:$I$2"}</definedName>
    <definedName name="HTML_Control" hidden="1">{"'SUMMATION'!$B$2:$I$2"}</definedName>
    <definedName name="HTML_Description" hidden="1">""</definedName>
    <definedName name="HTML_Email" hidden="1">""</definedName>
    <definedName name="HTML_Header" hidden="1">"SUMMATION"</definedName>
    <definedName name="HTML_LastUpdate" hidden="1">"21/3/02"</definedName>
    <definedName name="HTML_LineAfter" hidden="1">FALSE</definedName>
    <definedName name="HTML_LineBefore" hidden="1">FALSE</definedName>
    <definedName name="HTML_Name" hidden="1">"Estimate_5"</definedName>
    <definedName name="HTML_OBDlg2" hidden="1">TRUE</definedName>
    <definedName name="HTML_OBDlg4" hidden="1">TRUE</definedName>
    <definedName name="HTML_OS" hidden="1">0</definedName>
    <definedName name="HTML_PathFile" hidden="1">"C:\SAni.htm"</definedName>
    <definedName name="HTML_Title" hidden="1">"อาคารเรียนรวม"</definedName>
    <definedName name="ie" localSheetId="3">#REF!</definedName>
    <definedName name="ie">#REF!</definedName>
    <definedName name="ITEM1.2" localSheetId="3">#REF!</definedName>
    <definedName name="ITEM1.2" localSheetId="4">#REF!</definedName>
    <definedName name="ITEM1.2" localSheetId="71">#REF!</definedName>
    <definedName name="ITEM1.2" localSheetId="69">#REF!</definedName>
    <definedName name="ITEM1.2" localSheetId="70">#REF!</definedName>
    <definedName name="ITEM1.2" localSheetId="74">#REF!</definedName>
    <definedName name="ITEM1.2" localSheetId="2">#REF!</definedName>
    <definedName name="ITEM1.2">#REF!</definedName>
    <definedName name="ITEM1.3.1" localSheetId="3">#REF!</definedName>
    <definedName name="ITEM1.3.1" localSheetId="4">#REF!</definedName>
    <definedName name="ITEM1.3.1" localSheetId="71">#REF!</definedName>
    <definedName name="ITEM1.3.1" localSheetId="69">#REF!</definedName>
    <definedName name="ITEM1.3.1" localSheetId="70">#REF!</definedName>
    <definedName name="ITEM1.3.1" localSheetId="2">#REF!</definedName>
    <definedName name="ITEM1.3.1">#REF!</definedName>
    <definedName name="ITEM1.3.2" localSheetId="3">#REF!</definedName>
    <definedName name="ITEM1.3.2" localSheetId="4">#REF!</definedName>
    <definedName name="ITEM1.3.2" localSheetId="71">#REF!</definedName>
    <definedName name="ITEM1.3.2" localSheetId="69">#REF!</definedName>
    <definedName name="ITEM1.3.2" localSheetId="70">#REF!</definedName>
    <definedName name="ITEM1.3.2" localSheetId="2">#REF!</definedName>
    <definedName name="ITEM1.3.2">#REF!</definedName>
    <definedName name="ITEM1.3.3" localSheetId="3">#REF!</definedName>
    <definedName name="ITEM1.3.3" localSheetId="4">#REF!</definedName>
    <definedName name="ITEM1.3.3" localSheetId="71">#REF!</definedName>
    <definedName name="ITEM1.3.3" localSheetId="2">#REF!</definedName>
    <definedName name="ITEM1.3.3">#REF!</definedName>
    <definedName name="ITEM1.3.4" localSheetId="3">#REF!</definedName>
    <definedName name="ITEM1.3.4" localSheetId="4">#REF!</definedName>
    <definedName name="ITEM1.3.4" localSheetId="71">#REF!</definedName>
    <definedName name="ITEM1.3.4" localSheetId="2">#REF!</definedName>
    <definedName name="ITEM1.3.4">#REF!</definedName>
    <definedName name="ITEM1.3.5" localSheetId="3">#REF!</definedName>
    <definedName name="ITEM1.3.5" localSheetId="4">#REF!</definedName>
    <definedName name="ITEM1.3.5" localSheetId="71">#REF!</definedName>
    <definedName name="ITEM1.3.5" localSheetId="2">#REF!</definedName>
    <definedName name="ITEM1.3.5">#REF!</definedName>
    <definedName name="ITEM1.3.6" localSheetId="3">#REF!</definedName>
    <definedName name="ITEM1.3.6" localSheetId="4">#REF!</definedName>
    <definedName name="ITEM1.3.6" localSheetId="71">#REF!</definedName>
    <definedName name="ITEM1.3.6" localSheetId="2">#REF!</definedName>
    <definedName name="ITEM1.3.6">#REF!</definedName>
    <definedName name="ITEM1.3.7" localSheetId="3">#REF!</definedName>
    <definedName name="ITEM1.3.7" localSheetId="4">#REF!</definedName>
    <definedName name="ITEM1.3.7" localSheetId="71">#REF!</definedName>
    <definedName name="ITEM1.3.7" localSheetId="2">#REF!</definedName>
    <definedName name="ITEM1.3.7">#REF!</definedName>
    <definedName name="ITEM1.3.8" localSheetId="3">#REF!</definedName>
    <definedName name="ITEM1.3.8" localSheetId="4">#REF!</definedName>
    <definedName name="ITEM1.3.8" localSheetId="71">#REF!</definedName>
    <definedName name="ITEM1.3.8" localSheetId="2">#REF!</definedName>
    <definedName name="ITEM1.3.8">#REF!</definedName>
    <definedName name="ITEM2.1" localSheetId="3">#REF!</definedName>
    <definedName name="ITEM2.1" localSheetId="4">#REF!</definedName>
    <definedName name="ITEM2.1" localSheetId="71">#REF!</definedName>
    <definedName name="ITEM2.1" localSheetId="2">#REF!</definedName>
    <definedName name="ITEM2.1">#REF!</definedName>
    <definedName name="ITEM2.2.1" localSheetId="3">#REF!</definedName>
    <definedName name="ITEM2.2.1" localSheetId="4">#REF!</definedName>
    <definedName name="ITEM2.2.1" localSheetId="71">#REF!</definedName>
    <definedName name="ITEM2.2.1" localSheetId="2">#REF!</definedName>
    <definedName name="ITEM2.2.1">#REF!</definedName>
    <definedName name="ITEM2.2.2" localSheetId="3">#REF!</definedName>
    <definedName name="ITEM2.2.2" localSheetId="4">#REF!</definedName>
    <definedName name="ITEM2.2.2" localSheetId="71">#REF!</definedName>
    <definedName name="ITEM2.2.2" localSheetId="2">#REF!</definedName>
    <definedName name="ITEM2.2.2">#REF!</definedName>
    <definedName name="ITEM2.2.3" localSheetId="3">#REF!</definedName>
    <definedName name="ITEM2.2.3" localSheetId="4">#REF!</definedName>
    <definedName name="ITEM2.2.3" localSheetId="71">#REF!</definedName>
    <definedName name="ITEM2.2.3" localSheetId="2">#REF!</definedName>
    <definedName name="ITEM2.2.3">#REF!</definedName>
    <definedName name="ITEM2.2.3.4" localSheetId="3">'[24]41.EXCAVATION'!#REF!</definedName>
    <definedName name="ITEM2.2.3.4" localSheetId="4">'[24]41.EXCAVATION'!#REF!</definedName>
    <definedName name="ITEM2.2.3.4" localSheetId="71">'[24]41.EXCAVATION'!#REF!</definedName>
    <definedName name="ITEM2.2.3.4" localSheetId="69">'[24]41.EXCAVATION'!#REF!</definedName>
    <definedName name="ITEM2.2.3.4" localSheetId="70">'[24]41.EXCAVATION'!#REF!</definedName>
    <definedName name="ITEM2.2.3.4" localSheetId="74">'[24]41.EXCAVATION'!#REF!</definedName>
    <definedName name="ITEM2.2.3.4" localSheetId="2">'[24]41.EXCAVATION'!#REF!</definedName>
    <definedName name="ITEM2.2.3.4">'[24]41.EXCAVATION'!#REF!</definedName>
    <definedName name="ITEM2.2.4" localSheetId="3">#REF!</definedName>
    <definedName name="ITEM2.2.4" localSheetId="4">#REF!</definedName>
    <definedName name="ITEM2.2.4" localSheetId="71">#REF!</definedName>
    <definedName name="ITEM2.2.4" localSheetId="69">#REF!</definedName>
    <definedName name="ITEM2.2.4" localSheetId="70">#REF!</definedName>
    <definedName name="ITEM2.2.4" localSheetId="74">#REF!</definedName>
    <definedName name="ITEM2.2.4" localSheetId="2">#REF!</definedName>
    <definedName name="ITEM2.2.4">#REF!</definedName>
    <definedName name="ITEM2.2.5" localSheetId="3">#REF!</definedName>
    <definedName name="ITEM2.2.5" localSheetId="4">#REF!</definedName>
    <definedName name="ITEM2.2.5" localSheetId="71">#REF!</definedName>
    <definedName name="ITEM2.2.5" localSheetId="69">#REF!</definedName>
    <definedName name="ITEM2.2.5" localSheetId="70">#REF!</definedName>
    <definedName name="ITEM2.2.5" localSheetId="2">#REF!</definedName>
    <definedName name="ITEM2.2.5">#REF!</definedName>
    <definedName name="ITEM2.3.1" localSheetId="3">'[25]8Unsui+Soft'!#REF!</definedName>
    <definedName name="ITEM2.3.1" localSheetId="4">'[25]8Unsui+Soft'!#REF!</definedName>
    <definedName name="ITEM2.3.1" localSheetId="71">'[25]8Unsui+Soft'!#REF!</definedName>
    <definedName name="ITEM2.3.1" localSheetId="69">'[25]8Unsui+Soft'!#REF!</definedName>
    <definedName name="ITEM2.3.1" localSheetId="70">'[25]8Unsui+Soft'!#REF!</definedName>
    <definedName name="ITEM2.3.1" localSheetId="74">'[25]8Unsui+Soft'!#REF!</definedName>
    <definedName name="ITEM2.3.1" localSheetId="2">'[25]8Unsui+Soft'!#REF!</definedName>
    <definedName name="ITEM2.3.1">'[25]8Unsui+Soft'!#REF!</definedName>
    <definedName name="ITEM2.3.2" localSheetId="3">#REF!</definedName>
    <definedName name="ITEM2.3.2" localSheetId="4">#REF!</definedName>
    <definedName name="ITEM2.3.2" localSheetId="71">#REF!</definedName>
    <definedName name="ITEM2.3.2" localSheetId="69">#REF!</definedName>
    <definedName name="ITEM2.3.2" localSheetId="70">#REF!</definedName>
    <definedName name="ITEM2.3.2" localSheetId="74">#REF!</definedName>
    <definedName name="ITEM2.3.2" localSheetId="2">#REF!</definedName>
    <definedName name="ITEM2.3.2">#REF!</definedName>
    <definedName name="ITEM2.3.4" localSheetId="3">#REF!</definedName>
    <definedName name="ITEM2.3.4" localSheetId="4">#REF!</definedName>
    <definedName name="ITEM2.3.4" localSheetId="71">#REF!</definedName>
    <definedName name="ITEM2.3.4" localSheetId="69">#REF!</definedName>
    <definedName name="ITEM2.3.4" localSheetId="70">#REF!</definedName>
    <definedName name="ITEM2.3.4" localSheetId="2">#REF!</definedName>
    <definedName name="ITEM2.3.4">#REF!</definedName>
    <definedName name="ITEM2.3.5" localSheetId="3">#REF!</definedName>
    <definedName name="ITEM2.3.5" localSheetId="4">#REF!</definedName>
    <definedName name="ITEM2.3.5" localSheetId="71">#REF!</definedName>
    <definedName name="ITEM2.3.5" localSheetId="69">#REF!</definedName>
    <definedName name="ITEM2.3.5" localSheetId="70">#REF!</definedName>
    <definedName name="ITEM2.3.5" localSheetId="2">#REF!</definedName>
    <definedName name="ITEM2.3.5">#REF!</definedName>
    <definedName name="ITEM2.3.6" localSheetId="3">#REF!</definedName>
    <definedName name="ITEM2.3.6" localSheetId="4">#REF!</definedName>
    <definedName name="ITEM2.3.6" localSheetId="71">#REF!</definedName>
    <definedName name="ITEM2.3.6" localSheetId="2">#REF!</definedName>
    <definedName name="ITEM2.3.6">#REF!</definedName>
    <definedName name="ITEM2.4.1" localSheetId="3">#REF!</definedName>
    <definedName name="ITEM2.4.1" localSheetId="4">#REF!</definedName>
    <definedName name="ITEM2.4.1" localSheetId="71">#REF!</definedName>
    <definedName name="ITEM2.4.1" localSheetId="2">#REF!</definedName>
    <definedName name="ITEM2.4.1">#REF!</definedName>
    <definedName name="ITEM2.4.2" localSheetId="3">#REF!</definedName>
    <definedName name="ITEM2.4.2" localSheetId="4">#REF!</definedName>
    <definedName name="ITEM2.4.2" localSheetId="71">#REF!</definedName>
    <definedName name="ITEM2.4.2" localSheetId="2">#REF!</definedName>
    <definedName name="ITEM2.4.2">#REF!</definedName>
    <definedName name="ITEM3.1.1" localSheetId="3">#REF!</definedName>
    <definedName name="ITEM3.1.1" localSheetId="4">#REF!</definedName>
    <definedName name="ITEM3.1.1" localSheetId="71">#REF!</definedName>
    <definedName name="ITEM3.1.1" localSheetId="2">#REF!</definedName>
    <definedName name="ITEM3.1.1">#REF!</definedName>
    <definedName name="ITEM3.2.1" localSheetId="3">#REF!</definedName>
    <definedName name="ITEM3.2.1" localSheetId="4">#REF!</definedName>
    <definedName name="ITEM3.2.1" localSheetId="71">#REF!</definedName>
    <definedName name="ITEM3.2.1" localSheetId="2">#REF!</definedName>
    <definedName name="ITEM3.2.1">#REF!</definedName>
    <definedName name="ITEM3.2.2" localSheetId="3">#REF!</definedName>
    <definedName name="ITEM3.2.2" localSheetId="4">#REF!</definedName>
    <definedName name="ITEM3.2.2" localSheetId="71">#REF!</definedName>
    <definedName name="ITEM3.2.2" localSheetId="2">#REF!</definedName>
    <definedName name="ITEM3.2.2">#REF!</definedName>
    <definedName name="ITEM3.2.3" localSheetId="3">#REF!</definedName>
    <definedName name="ITEM3.2.3" localSheetId="4">#REF!</definedName>
    <definedName name="ITEM3.2.3" localSheetId="71">#REF!</definedName>
    <definedName name="ITEM3.2.3" localSheetId="2">#REF!</definedName>
    <definedName name="ITEM3.2.3">#REF!</definedName>
    <definedName name="ITEM3.2.4" localSheetId="3">#REF!</definedName>
    <definedName name="ITEM3.2.4" localSheetId="4">#REF!</definedName>
    <definedName name="ITEM3.2.4" localSheetId="71">#REF!</definedName>
    <definedName name="ITEM3.2.4" localSheetId="2">#REF!</definedName>
    <definedName name="ITEM3.2.4">#REF!</definedName>
    <definedName name="ITEM3.3.1" localSheetId="3">#REF!</definedName>
    <definedName name="ITEM3.3.1" localSheetId="4">#REF!</definedName>
    <definedName name="ITEM3.3.1" localSheetId="71">#REF!</definedName>
    <definedName name="ITEM3.3.1" localSheetId="2">#REF!</definedName>
    <definedName name="ITEM3.3.1">#REF!</definedName>
    <definedName name="ITEM3.4.1" localSheetId="3">#REF!</definedName>
    <definedName name="ITEM3.4.1" localSheetId="4">#REF!</definedName>
    <definedName name="ITEM3.4.1" localSheetId="71">#REF!</definedName>
    <definedName name="ITEM3.4.1" localSheetId="2">#REF!</definedName>
    <definedName name="ITEM3.4.1">#REF!</definedName>
    <definedName name="ITEM3.4.2" localSheetId="3">#REF!</definedName>
    <definedName name="ITEM3.4.2" localSheetId="4">#REF!</definedName>
    <definedName name="ITEM3.4.2" localSheetId="71">#REF!</definedName>
    <definedName name="ITEM3.4.2" localSheetId="2">#REF!</definedName>
    <definedName name="ITEM3.4.2">#REF!</definedName>
    <definedName name="ITEM3.5" localSheetId="3">#REF!</definedName>
    <definedName name="ITEM3.5" localSheetId="4">#REF!</definedName>
    <definedName name="ITEM3.5" localSheetId="71">#REF!</definedName>
    <definedName name="ITEM3.5" localSheetId="2">#REF!</definedName>
    <definedName name="ITEM3.5">#REF!</definedName>
    <definedName name="ITEM3.6" localSheetId="3">#REF!</definedName>
    <definedName name="ITEM3.6" localSheetId="4">#REF!</definedName>
    <definedName name="ITEM3.6" localSheetId="71">#REF!</definedName>
    <definedName name="ITEM3.6" localSheetId="2">#REF!</definedName>
    <definedName name="ITEM3.6">#REF!</definedName>
    <definedName name="ITEM4.2.2" localSheetId="3">#REF!</definedName>
    <definedName name="ITEM4.2.2" localSheetId="4">#REF!</definedName>
    <definedName name="ITEM4.2.2" localSheetId="71">#REF!</definedName>
    <definedName name="ITEM4.2.2" localSheetId="2">#REF!</definedName>
    <definedName name="ITEM4.2.2">#REF!</definedName>
    <definedName name="ITEM4.4.3" localSheetId="3">#REF!</definedName>
    <definedName name="ITEM4.4.3" localSheetId="4">#REF!</definedName>
    <definedName name="ITEM4.4.3" localSheetId="71">#REF!</definedName>
    <definedName name="ITEM4.4.3" localSheetId="2">#REF!</definedName>
    <definedName name="ITEM4.4.3">#REF!</definedName>
    <definedName name="ITEM4.4.4" localSheetId="3">#REF!</definedName>
    <definedName name="ITEM4.4.4" localSheetId="4">#REF!</definedName>
    <definedName name="ITEM4.4.4" localSheetId="71">#REF!</definedName>
    <definedName name="ITEM4.4.4" localSheetId="2">#REF!</definedName>
    <definedName name="ITEM4.4.4">#REF!</definedName>
    <definedName name="ITEM4.4.5" localSheetId="3">#REF!</definedName>
    <definedName name="ITEM4.4.5" localSheetId="4">#REF!</definedName>
    <definedName name="ITEM4.4.5" localSheetId="71">#REF!</definedName>
    <definedName name="ITEM4.4.5" localSheetId="2">#REF!</definedName>
    <definedName name="ITEM4.4.5">#REF!</definedName>
    <definedName name="ITEM4.4.6" localSheetId="3">#REF!</definedName>
    <definedName name="ITEM4.4.6" localSheetId="4">#REF!</definedName>
    <definedName name="ITEM4.4.6" localSheetId="71">#REF!</definedName>
    <definedName name="ITEM4.4.6" localSheetId="2">#REF!</definedName>
    <definedName name="ITEM4.4.6">#REF!</definedName>
    <definedName name="ITEM4.5" localSheetId="3">#REF!</definedName>
    <definedName name="ITEM4.5" localSheetId="4">#REF!</definedName>
    <definedName name="ITEM4.5" localSheetId="71">#REF!</definedName>
    <definedName name="ITEM4.5" localSheetId="2">#REF!</definedName>
    <definedName name="ITEM4.5">#REF!</definedName>
    <definedName name="ITEM4.9.1" localSheetId="3">#REF!</definedName>
    <definedName name="ITEM4.9.1" localSheetId="4">#REF!</definedName>
    <definedName name="ITEM4.9.1" localSheetId="71">#REF!</definedName>
    <definedName name="ITEM4.9.1" localSheetId="2">#REF!</definedName>
    <definedName name="ITEM4.9.1">#REF!</definedName>
    <definedName name="ITEM4.9.5" localSheetId="3">#REF!</definedName>
    <definedName name="ITEM4.9.5" localSheetId="4">#REF!</definedName>
    <definedName name="ITEM4.9.5" localSheetId="71">#REF!</definedName>
    <definedName name="ITEM4.9.5" localSheetId="2">#REF!</definedName>
    <definedName name="ITEM4.9.5">#REF!</definedName>
    <definedName name="ITEM4.9.6" localSheetId="3">#REF!</definedName>
    <definedName name="ITEM4.9.6" localSheetId="4">#REF!</definedName>
    <definedName name="ITEM4.9.6" localSheetId="71">#REF!</definedName>
    <definedName name="ITEM4.9.6" localSheetId="2">#REF!</definedName>
    <definedName name="ITEM4.9.6">#REF!</definedName>
    <definedName name="ITEM5.1.1.1" localSheetId="3">#REF!</definedName>
    <definedName name="ITEM5.1.1.1" localSheetId="4">#REF!</definedName>
    <definedName name="ITEM5.1.1.1" localSheetId="71">#REF!</definedName>
    <definedName name="ITEM5.1.1.1" localSheetId="2">#REF!</definedName>
    <definedName name="ITEM5.1.1.1">#REF!</definedName>
    <definedName name="ITEM5.1.1.2" localSheetId="3">#REF!</definedName>
    <definedName name="ITEM5.1.1.2" localSheetId="4">#REF!</definedName>
    <definedName name="ITEM5.1.1.2" localSheetId="71">#REF!</definedName>
    <definedName name="ITEM5.1.1.2" localSheetId="2">#REF!</definedName>
    <definedName name="ITEM5.1.1.2">#REF!</definedName>
    <definedName name="ITEM5.1.1.3" localSheetId="3">#REF!</definedName>
    <definedName name="ITEM5.1.1.3" localSheetId="4">#REF!</definedName>
    <definedName name="ITEM5.1.1.3" localSheetId="71">#REF!</definedName>
    <definedName name="ITEM5.1.1.3" localSheetId="2">#REF!</definedName>
    <definedName name="ITEM5.1.1.3">#REF!</definedName>
    <definedName name="ITEM5.1.1.4" localSheetId="3">#REF!</definedName>
    <definedName name="ITEM5.1.1.4" localSheetId="4">#REF!</definedName>
    <definedName name="ITEM5.1.1.4" localSheetId="71">#REF!</definedName>
    <definedName name="ITEM5.1.1.4" localSheetId="2">#REF!</definedName>
    <definedName name="ITEM5.1.1.4">#REF!</definedName>
    <definedName name="ITEM5.1.1.5" localSheetId="3">#REF!</definedName>
    <definedName name="ITEM5.1.1.5" localSheetId="4">#REF!</definedName>
    <definedName name="ITEM5.1.1.5" localSheetId="71">#REF!</definedName>
    <definedName name="ITEM5.1.1.5" localSheetId="2">#REF!</definedName>
    <definedName name="ITEM5.1.1.5">#REF!</definedName>
    <definedName name="ITEM5.1.1.6" localSheetId="3">#REF!</definedName>
    <definedName name="ITEM5.1.1.6" localSheetId="4">#REF!</definedName>
    <definedName name="ITEM5.1.1.6" localSheetId="71">#REF!</definedName>
    <definedName name="ITEM5.1.1.6" localSheetId="2">#REF!</definedName>
    <definedName name="ITEM5.1.1.6">#REF!</definedName>
    <definedName name="ITEM5.1.1.7" localSheetId="3">#REF!</definedName>
    <definedName name="ITEM5.1.1.7" localSheetId="4">#REF!</definedName>
    <definedName name="ITEM5.1.1.7" localSheetId="71">#REF!</definedName>
    <definedName name="ITEM5.1.1.7" localSheetId="2">#REF!</definedName>
    <definedName name="ITEM5.1.1.7">#REF!</definedName>
    <definedName name="ITEM5.1.2.3" localSheetId="3">#REF!</definedName>
    <definedName name="ITEM5.1.2.3" localSheetId="4">#REF!</definedName>
    <definedName name="ITEM5.1.2.3" localSheetId="71">#REF!</definedName>
    <definedName name="ITEM5.1.2.3" localSheetId="2">#REF!</definedName>
    <definedName name="ITEM5.1.2.3">#REF!</definedName>
    <definedName name="ITEM5.1.2.4" localSheetId="3">#REF!</definedName>
    <definedName name="ITEM5.1.2.4" localSheetId="4">#REF!</definedName>
    <definedName name="ITEM5.1.2.4" localSheetId="71">#REF!</definedName>
    <definedName name="ITEM5.1.2.4" localSheetId="2">#REF!</definedName>
    <definedName name="ITEM5.1.2.4">#REF!</definedName>
    <definedName name="ITEM5.1.2.5" localSheetId="3">#REF!</definedName>
    <definedName name="ITEM5.1.2.5" localSheetId="4">#REF!</definedName>
    <definedName name="ITEM5.1.2.5" localSheetId="71">#REF!</definedName>
    <definedName name="ITEM5.1.2.5" localSheetId="2">#REF!</definedName>
    <definedName name="ITEM5.1.2.5">#REF!</definedName>
    <definedName name="ITEM5.1.2.6" localSheetId="3">#REF!</definedName>
    <definedName name="ITEM5.1.2.6" localSheetId="4">#REF!</definedName>
    <definedName name="ITEM5.1.2.6" localSheetId="71">#REF!</definedName>
    <definedName name="ITEM5.1.2.6" localSheetId="2">#REF!</definedName>
    <definedName name="ITEM5.1.2.6">#REF!</definedName>
    <definedName name="ITEM5.1.2.7" localSheetId="3">#REF!</definedName>
    <definedName name="ITEM5.1.2.7" localSheetId="4">#REF!</definedName>
    <definedName name="ITEM5.1.2.7" localSheetId="71">#REF!</definedName>
    <definedName name="ITEM5.1.2.7" localSheetId="2">#REF!</definedName>
    <definedName name="ITEM5.1.2.7">#REF!</definedName>
    <definedName name="ITEM5.1.2.8" localSheetId="3">#REF!</definedName>
    <definedName name="ITEM5.1.2.8" localSheetId="4">#REF!</definedName>
    <definedName name="ITEM5.1.2.8" localSheetId="71">#REF!</definedName>
    <definedName name="ITEM5.1.2.8" localSheetId="2">#REF!</definedName>
    <definedName name="ITEM5.1.2.8">#REF!</definedName>
    <definedName name="ITEM5.1.2.9" localSheetId="3">#REF!</definedName>
    <definedName name="ITEM5.1.2.9" localSheetId="4">#REF!</definedName>
    <definedName name="ITEM5.1.2.9" localSheetId="71">#REF!</definedName>
    <definedName name="ITEM5.1.2.9" localSheetId="2">#REF!</definedName>
    <definedName name="ITEM5.1.2.9">#REF!</definedName>
    <definedName name="ITEM5.1.4" localSheetId="3">#REF!</definedName>
    <definedName name="ITEM5.1.4" localSheetId="4">#REF!</definedName>
    <definedName name="ITEM5.1.4" localSheetId="71">#REF!</definedName>
    <definedName name="ITEM5.1.4" localSheetId="2">#REF!</definedName>
    <definedName name="ITEM5.1.4">#REF!</definedName>
    <definedName name="ITEM5.1.5" localSheetId="3">#REF!</definedName>
    <definedName name="ITEM5.1.5" localSheetId="4">#REF!</definedName>
    <definedName name="ITEM5.1.5" localSheetId="71">#REF!</definedName>
    <definedName name="ITEM5.1.5" localSheetId="2">#REF!</definedName>
    <definedName name="ITEM5.1.5">#REF!</definedName>
    <definedName name="ITEM5.1.6" localSheetId="3">#REF!</definedName>
    <definedName name="ITEM5.1.6" localSheetId="4">#REF!</definedName>
    <definedName name="ITEM5.1.6" localSheetId="71">#REF!</definedName>
    <definedName name="ITEM5.1.6" localSheetId="2">#REF!</definedName>
    <definedName name="ITEM5.1.6">#REF!</definedName>
    <definedName name="ITEM5.1.7" localSheetId="3">#REF!</definedName>
    <definedName name="ITEM5.1.7" localSheetId="4">#REF!</definedName>
    <definedName name="ITEM5.1.7" localSheetId="71">#REF!</definedName>
    <definedName name="ITEM5.1.7" localSheetId="2">#REF!</definedName>
    <definedName name="ITEM5.1.7">#REF!</definedName>
    <definedName name="ITEM5.1.7.1" localSheetId="3">#REF!</definedName>
    <definedName name="ITEM5.1.7.1" localSheetId="4">#REF!</definedName>
    <definedName name="ITEM5.1.7.1" localSheetId="71">#REF!</definedName>
    <definedName name="ITEM5.1.7.1" localSheetId="2">#REF!</definedName>
    <definedName name="ITEM5.1.7.1">#REF!</definedName>
    <definedName name="ITEM5.2.2.1" localSheetId="3">#REF!</definedName>
    <definedName name="ITEM5.2.2.1" localSheetId="4">#REF!</definedName>
    <definedName name="ITEM5.2.2.1" localSheetId="71">#REF!</definedName>
    <definedName name="ITEM5.2.2.1" localSheetId="2">#REF!</definedName>
    <definedName name="ITEM5.2.2.1">#REF!</definedName>
    <definedName name="ITEM5.2.2.2" localSheetId="3">#REF!</definedName>
    <definedName name="ITEM5.2.2.2" localSheetId="4">#REF!</definedName>
    <definedName name="ITEM5.2.2.2" localSheetId="71">#REF!</definedName>
    <definedName name="ITEM5.2.2.2" localSheetId="2">#REF!</definedName>
    <definedName name="ITEM5.2.2.2">#REF!</definedName>
    <definedName name="ITEM5.2.2.3" localSheetId="3">#REF!</definedName>
    <definedName name="ITEM5.2.2.3" localSheetId="4">#REF!</definedName>
    <definedName name="ITEM5.2.2.3" localSheetId="71">#REF!</definedName>
    <definedName name="ITEM5.2.2.3" localSheetId="2">#REF!</definedName>
    <definedName name="ITEM5.2.2.3">#REF!</definedName>
    <definedName name="ITEM5.2.2.4" localSheetId="3">#REF!</definedName>
    <definedName name="ITEM5.2.2.4" localSheetId="4">#REF!</definedName>
    <definedName name="ITEM5.2.2.4" localSheetId="71">#REF!</definedName>
    <definedName name="ITEM5.2.2.4" localSheetId="2">#REF!</definedName>
    <definedName name="ITEM5.2.2.4">#REF!</definedName>
    <definedName name="ITEM5.2.2.5" localSheetId="3">#REF!</definedName>
    <definedName name="ITEM5.2.2.5" localSheetId="4">#REF!</definedName>
    <definedName name="ITEM5.2.2.5" localSheetId="71">#REF!</definedName>
    <definedName name="ITEM5.2.2.5" localSheetId="2">#REF!</definedName>
    <definedName name="ITEM5.2.2.5">#REF!</definedName>
    <definedName name="ITEM5.2.2.6" localSheetId="3">#REF!</definedName>
    <definedName name="ITEM5.2.2.6" localSheetId="4">#REF!</definedName>
    <definedName name="ITEM5.2.2.6" localSheetId="71">#REF!</definedName>
    <definedName name="ITEM5.2.2.6" localSheetId="2">#REF!</definedName>
    <definedName name="ITEM5.2.2.6">#REF!</definedName>
    <definedName name="ITEM5.3.1" localSheetId="3">'[25]25-27RC. PIPE(3หน้า)'!#REF!</definedName>
    <definedName name="ITEM5.3.1" localSheetId="4">'[25]25-27RC. PIPE(3หน้า)'!#REF!</definedName>
    <definedName name="ITEM5.3.1" localSheetId="71">'[25]25-27RC. PIPE(3หน้า)'!#REF!</definedName>
    <definedName name="ITEM5.3.1" localSheetId="69">'[25]25-27RC. PIPE(3หน้า)'!#REF!</definedName>
    <definedName name="ITEM5.3.1" localSheetId="70">'[25]25-27RC. PIPE(3หน้า)'!#REF!</definedName>
    <definedName name="ITEM5.3.1" localSheetId="74">'[25]25-27RC. PIPE(3หน้า)'!#REF!</definedName>
    <definedName name="ITEM5.3.1" localSheetId="2">'[25]25-27RC. PIPE(3หน้า)'!#REF!</definedName>
    <definedName name="ITEM5.3.1">'[25]25-27RC. PIPE(3หน้า)'!#REF!</definedName>
    <definedName name="ITEM5.3.2" localSheetId="3">'[25]25-27RC. PIPE(3หน้า)'!#REF!</definedName>
    <definedName name="ITEM5.3.2" localSheetId="4">'[25]25-27RC. PIPE(3หน้า)'!#REF!</definedName>
    <definedName name="ITEM5.3.2" localSheetId="71">'[25]25-27RC. PIPE(3หน้า)'!#REF!</definedName>
    <definedName name="ITEM5.3.2" localSheetId="69">'[25]25-27RC. PIPE(3หน้า)'!#REF!</definedName>
    <definedName name="ITEM5.3.2" localSheetId="70">'[25]25-27RC. PIPE(3หน้า)'!#REF!</definedName>
    <definedName name="ITEM5.3.2" localSheetId="74">'[25]25-27RC. PIPE(3หน้า)'!#REF!</definedName>
    <definedName name="ITEM5.3.2">'[25]25-27RC. PIPE(3หน้า)'!#REF!</definedName>
    <definedName name="ITEM5.3.3" localSheetId="3">'[25]25-27RC. PIPE(3หน้า)'!#REF!</definedName>
    <definedName name="ITEM5.3.3" localSheetId="4">'[25]25-27RC. PIPE(3หน้า)'!#REF!</definedName>
    <definedName name="ITEM5.3.3" localSheetId="71">'[25]25-27RC. PIPE(3หน้า)'!#REF!</definedName>
    <definedName name="ITEM5.3.3" localSheetId="69">'[25]25-27RC. PIPE(3หน้า)'!#REF!</definedName>
    <definedName name="ITEM5.3.3" localSheetId="70">'[25]25-27RC. PIPE(3หน้า)'!#REF!</definedName>
    <definedName name="ITEM5.3.3">'[25]25-27RC. PIPE(3หน้า)'!#REF!</definedName>
    <definedName name="ITEM5.4.1" localSheetId="3">'[25]25-27RC. PIPE(3หน้า)'!#REF!</definedName>
    <definedName name="ITEM5.4.1" localSheetId="4">'[25]25-27RC. PIPE(3หน้า)'!#REF!</definedName>
    <definedName name="ITEM5.4.1" localSheetId="71">'[25]25-27RC. PIPE(3หน้า)'!#REF!</definedName>
    <definedName name="ITEM5.4.1" localSheetId="69">'[25]25-27RC. PIPE(3หน้า)'!#REF!</definedName>
    <definedName name="ITEM5.4.1" localSheetId="70">'[25]25-27RC. PIPE(3หน้า)'!#REF!</definedName>
    <definedName name="ITEM5.4.1">'[25]25-27RC. PIPE(3หน้า)'!#REF!</definedName>
    <definedName name="ITEM5.4.2" localSheetId="3">'[25]25-27RC. PIPE(3หน้า)'!#REF!</definedName>
    <definedName name="ITEM5.4.2" localSheetId="4">'[25]25-27RC. PIPE(3หน้า)'!#REF!</definedName>
    <definedName name="ITEM5.4.2" localSheetId="71">'[25]25-27RC. PIPE(3หน้า)'!#REF!</definedName>
    <definedName name="ITEM5.4.2" localSheetId="69">'[25]25-27RC. PIPE(3หน้า)'!#REF!</definedName>
    <definedName name="ITEM5.4.2" localSheetId="70">'[25]25-27RC. PIPE(3หน้า)'!#REF!</definedName>
    <definedName name="ITEM5.4.2">'[25]25-27RC. PIPE(3หน้า)'!#REF!</definedName>
    <definedName name="ITEM5.4.3" localSheetId="3">'[25]25-27RC. PIPE(3หน้า)'!#REF!</definedName>
    <definedName name="ITEM5.4.3" localSheetId="4">'[25]25-27RC. PIPE(3หน้า)'!#REF!</definedName>
    <definedName name="ITEM5.4.3" localSheetId="71">'[25]25-27RC. PIPE(3หน้า)'!#REF!</definedName>
    <definedName name="ITEM5.4.3">'[25]25-27RC. PIPE(3หน้า)'!#REF!</definedName>
    <definedName name="ITEM6.1.1" localSheetId="3">#REF!</definedName>
    <definedName name="ITEM6.1.1" localSheetId="4">#REF!</definedName>
    <definedName name="ITEM6.1.1" localSheetId="71">#REF!</definedName>
    <definedName name="ITEM6.1.1" localSheetId="69">#REF!</definedName>
    <definedName name="ITEM6.1.1" localSheetId="70">#REF!</definedName>
    <definedName name="ITEM6.1.1" localSheetId="74">#REF!</definedName>
    <definedName name="ITEM6.1.1" localSheetId="2">#REF!</definedName>
    <definedName name="ITEM6.1.1">#REF!</definedName>
    <definedName name="ITEM6.1.10" localSheetId="3">#REF!</definedName>
    <definedName name="ITEM6.1.10" localSheetId="4">#REF!</definedName>
    <definedName name="ITEM6.1.10" localSheetId="71">#REF!</definedName>
    <definedName name="ITEM6.1.10" localSheetId="69">#REF!</definedName>
    <definedName name="ITEM6.1.10" localSheetId="70">#REF!</definedName>
    <definedName name="ITEM6.1.10" localSheetId="2">#REF!</definedName>
    <definedName name="ITEM6.1.10">#REF!</definedName>
    <definedName name="ITEM6.1.11" localSheetId="3">#REF!</definedName>
    <definedName name="ITEM6.1.11" localSheetId="4">#REF!</definedName>
    <definedName name="ITEM6.1.11" localSheetId="71">#REF!</definedName>
    <definedName name="ITEM6.1.11" localSheetId="69">#REF!</definedName>
    <definedName name="ITEM6.1.11" localSheetId="70">#REF!</definedName>
    <definedName name="ITEM6.1.11" localSheetId="2">#REF!</definedName>
    <definedName name="ITEM6.1.11">#REF!</definedName>
    <definedName name="ITEM6.1.12" localSheetId="3">#REF!</definedName>
    <definedName name="ITEM6.1.12" localSheetId="4">#REF!</definedName>
    <definedName name="ITEM6.1.12" localSheetId="71">#REF!</definedName>
    <definedName name="ITEM6.1.12" localSheetId="2">#REF!</definedName>
    <definedName name="ITEM6.1.12">#REF!</definedName>
    <definedName name="ITEM6.1.13" localSheetId="3">#REF!</definedName>
    <definedName name="ITEM6.1.13" localSheetId="4">#REF!</definedName>
    <definedName name="ITEM6.1.13" localSheetId="71">#REF!</definedName>
    <definedName name="ITEM6.1.13" localSheetId="2">#REF!</definedName>
    <definedName name="ITEM6.1.13">#REF!</definedName>
    <definedName name="ITEM6.1.14" localSheetId="3">#REF!</definedName>
    <definedName name="ITEM6.1.14" localSheetId="4">#REF!</definedName>
    <definedName name="ITEM6.1.14" localSheetId="71">#REF!</definedName>
    <definedName name="ITEM6.1.14" localSheetId="2">#REF!</definedName>
    <definedName name="ITEM6.1.14">#REF!</definedName>
    <definedName name="ITEM6.1.15" localSheetId="3">#REF!</definedName>
    <definedName name="ITEM6.1.15" localSheetId="4">#REF!</definedName>
    <definedName name="ITEM6.1.15" localSheetId="71">#REF!</definedName>
    <definedName name="ITEM6.1.15" localSheetId="2">#REF!</definedName>
    <definedName name="ITEM6.1.15">#REF!</definedName>
    <definedName name="ITEM6.1.16" localSheetId="3">#REF!</definedName>
    <definedName name="ITEM6.1.16" localSheetId="4">#REF!</definedName>
    <definedName name="ITEM6.1.16" localSheetId="71">#REF!</definedName>
    <definedName name="ITEM6.1.16" localSheetId="2">#REF!</definedName>
    <definedName name="ITEM6.1.16">#REF!</definedName>
    <definedName name="ITEM6.1.17" localSheetId="3">#REF!</definedName>
    <definedName name="ITEM6.1.17" localSheetId="4">#REF!</definedName>
    <definedName name="ITEM6.1.17" localSheetId="71">#REF!</definedName>
    <definedName name="ITEM6.1.17" localSheetId="2">#REF!</definedName>
    <definedName name="ITEM6.1.17">#REF!</definedName>
    <definedName name="ITEM6.1.18" localSheetId="3">#REF!</definedName>
    <definedName name="ITEM6.1.18" localSheetId="4">#REF!</definedName>
    <definedName name="ITEM6.1.18" localSheetId="71">#REF!</definedName>
    <definedName name="ITEM6.1.18" localSheetId="2">#REF!</definedName>
    <definedName name="ITEM6.1.18">#REF!</definedName>
    <definedName name="ITEM6.1.2.2" localSheetId="3">#REF!</definedName>
    <definedName name="ITEM6.1.2.2" localSheetId="4">#REF!</definedName>
    <definedName name="ITEM6.1.2.2" localSheetId="71">#REF!</definedName>
    <definedName name="ITEM6.1.2.2" localSheetId="2">#REF!</definedName>
    <definedName name="ITEM6.1.2.2">#REF!</definedName>
    <definedName name="ITEM6.1.3" localSheetId="3">#REF!</definedName>
    <definedName name="ITEM6.1.3" localSheetId="4">#REF!</definedName>
    <definedName name="ITEM6.1.3" localSheetId="71">#REF!</definedName>
    <definedName name="ITEM6.1.3" localSheetId="2">#REF!</definedName>
    <definedName name="ITEM6.1.3">#REF!</definedName>
    <definedName name="ITEM6.1.4.1" localSheetId="3">#REF!</definedName>
    <definedName name="ITEM6.1.4.1" localSheetId="4">#REF!</definedName>
    <definedName name="ITEM6.1.4.1" localSheetId="71">#REF!</definedName>
    <definedName name="ITEM6.1.4.1" localSheetId="2">#REF!</definedName>
    <definedName name="ITEM6.1.4.1">#REF!</definedName>
    <definedName name="ITEM6.1.4.2" localSheetId="3">#REF!</definedName>
    <definedName name="ITEM6.1.4.2" localSheetId="4">#REF!</definedName>
    <definedName name="ITEM6.1.4.2" localSheetId="71">#REF!</definedName>
    <definedName name="ITEM6.1.4.2" localSheetId="2">#REF!</definedName>
    <definedName name="ITEM6.1.4.2">#REF!</definedName>
    <definedName name="ITEM6.1.8" localSheetId="3">#REF!</definedName>
    <definedName name="ITEM6.1.8" localSheetId="4">#REF!</definedName>
    <definedName name="ITEM6.1.8" localSheetId="71">#REF!</definedName>
    <definedName name="ITEM6.1.8" localSheetId="2">#REF!</definedName>
    <definedName name="ITEM6.1.8">#REF!</definedName>
    <definedName name="ITEM6.1.9" localSheetId="3">#REF!</definedName>
    <definedName name="ITEM6.1.9" localSheetId="4">#REF!</definedName>
    <definedName name="ITEM6.1.9" localSheetId="71">#REF!</definedName>
    <definedName name="ITEM6.1.9" localSheetId="2">#REF!</definedName>
    <definedName name="ITEM6.1.9">#REF!</definedName>
    <definedName name="ITEM6.10.1" localSheetId="3">#REF!</definedName>
    <definedName name="ITEM6.10.1" localSheetId="4">#REF!</definedName>
    <definedName name="ITEM6.10.1" localSheetId="71">#REF!</definedName>
    <definedName name="ITEM6.10.1" localSheetId="2">#REF!</definedName>
    <definedName name="ITEM6.10.1">#REF!</definedName>
    <definedName name="ITEM6.10.4.1" localSheetId="3">'[25]42หลักกิโล'!#REF!</definedName>
    <definedName name="ITEM6.10.4.1" localSheetId="4">'[25]42หลักกิโล'!#REF!</definedName>
    <definedName name="ITEM6.10.4.1" localSheetId="71">'[25]42หลักกิโล'!#REF!</definedName>
    <definedName name="ITEM6.10.4.1" localSheetId="69">'[25]42หลักกิโล'!#REF!</definedName>
    <definedName name="ITEM6.10.4.1" localSheetId="70">'[25]42หลักกิโล'!#REF!</definedName>
    <definedName name="ITEM6.10.4.1" localSheetId="74">'[25]42หลักกิโล'!#REF!</definedName>
    <definedName name="ITEM6.10.4.1" localSheetId="2">'[25]42หลักกิโล'!#REF!</definedName>
    <definedName name="ITEM6.10.4.1">'[25]42หลักกิโล'!#REF!</definedName>
    <definedName name="ITEM6.10.4.2" localSheetId="3">'[25]42หลักกิโล'!#REF!</definedName>
    <definedName name="ITEM6.10.4.2" localSheetId="4">'[25]42หลักกิโล'!#REF!</definedName>
    <definedName name="ITEM6.10.4.2" localSheetId="71">'[25]42หลักกิโล'!#REF!</definedName>
    <definedName name="ITEM6.10.4.2" localSheetId="69">'[25]42หลักกิโล'!#REF!</definedName>
    <definedName name="ITEM6.10.4.2" localSheetId="70">'[25]42หลักกิโล'!#REF!</definedName>
    <definedName name="ITEM6.10.4.2" localSheetId="74">'[25]42หลักกิโล'!#REF!</definedName>
    <definedName name="ITEM6.10.4.2">'[25]42หลักกิโล'!#REF!</definedName>
    <definedName name="ITEM6.11.2.2" localSheetId="3">#REF!</definedName>
    <definedName name="ITEM6.11.2.2" localSheetId="4">#REF!</definedName>
    <definedName name="ITEM6.11.2.2" localSheetId="71">#REF!</definedName>
    <definedName name="ITEM6.11.2.2" localSheetId="69">#REF!</definedName>
    <definedName name="ITEM6.11.2.2" localSheetId="70">#REF!</definedName>
    <definedName name="ITEM6.11.2.2" localSheetId="74">#REF!</definedName>
    <definedName name="ITEM6.11.2.2" localSheetId="2">#REF!</definedName>
    <definedName name="ITEM6.11.2.2">#REF!</definedName>
    <definedName name="ITEM6.11.3.1" localSheetId="3">#REF!</definedName>
    <definedName name="ITEM6.11.3.1" localSheetId="4">#REF!</definedName>
    <definedName name="ITEM6.11.3.1" localSheetId="71">#REF!</definedName>
    <definedName name="ITEM6.11.3.1" localSheetId="69">#REF!</definedName>
    <definedName name="ITEM6.11.3.1" localSheetId="70">#REF!</definedName>
    <definedName name="ITEM6.11.3.1" localSheetId="2">#REF!</definedName>
    <definedName name="ITEM6.11.3.1">#REF!</definedName>
    <definedName name="ITEM6.11.3.2" localSheetId="3">#REF!</definedName>
    <definedName name="ITEM6.11.3.2" localSheetId="4">#REF!</definedName>
    <definedName name="ITEM6.11.3.2" localSheetId="71">#REF!</definedName>
    <definedName name="ITEM6.11.3.2" localSheetId="69">#REF!</definedName>
    <definedName name="ITEM6.11.3.2" localSheetId="70">#REF!</definedName>
    <definedName name="ITEM6.11.3.2" localSheetId="2">#REF!</definedName>
    <definedName name="ITEM6.11.3.2">#REF!</definedName>
    <definedName name="ITEM6.11.4.1" localSheetId="3">#REF!</definedName>
    <definedName name="ITEM6.11.4.1" localSheetId="4">#REF!</definedName>
    <definedName name="ITEM6.11.4.1" localSheetId="71">#REF!</definedName>
    <definedName name="ITEM6.11.4.1" localSheetId="2">#REF!</definedName>
    <definedName name="ITEM6.11.4.1">#REF!</definedName>
    <definedName name="ITEM6.11.4.1.2" localSheetId="3">#REF!</definedName>
    <definedName name="ITEM6.11.4.1.2" localSheetId="4">#REF!</definedName>
    <definedName name="ITEM6.11.4.1.2" localSheetId="71">#REF!</definedName>
    <definedName name="ITEM6.11.4.1.2" localSheetId="2">#REF!</definedName>
    <definedName name="ITEM6.11.4.1.2">#REF!</definedName>
    <definedName name="ITEM6.11.5.1" localSheetId="3">#REF!</definedName>
    <definedName name="ITEM6.11.5.1" localSheetId="4">#REF!</definedName>
    <definedName name="ITEM6.11.5.1" localSheetId="71">#REF!</definedName>
    <definedName name="ITEM6.11.5.1" localSheetId="2">#REF!</definedName>
    <definedName name="ITEM6.11.5.1">#REF!</definedName>
    <definedName name="ITEM6.12.10.1" localSheetId="3">#REF!</definedName>
    <definedName name="ITEM6.12.10.1" localSheetId="4">#REF!</definedName>
    <definedName name="ITEM6.12.10.1" localSheetId="71">#REF!</definedName>
    <definedName name="ITEM6.12.10.1" localSheetId="2">#REF!</definedName>
    <definedName name="ITEM6.12.10.1">#REF!</definedName>
    <definedName name="ITEM6.13.2.1" localSheetId="3">#REF!</definedName>
    <definedName name="ITEM6.13.2.1" localSheetId="4">#REF!</definedName>
    <definedName name="ITEM6.13.2.1" localSheetId="71">#REF!</definedName>
    <definedName name="ITEM6.13.2.1" localSheetId="2">#REF!</definedName>
    <definedName name="ITEM6.13.2.1">#REF!</definedName>
    <definedName name="ITEM6.15.4.2" localSheetId="3">#REF!</definedName>
    <definedName name="ITEM6.15.4.2" localSheetId="4">#REF!</definedName>
    <definedName name="ITEM6.15.4.2" localSheetId="71">#REF!</definedName>
    <definedName name="ITEM6.15.4.2" localSheetId="2">#REF!</definedName>
    <definedName name="ITEM6.15.4.2">#REF!</definedName>
    <definedName name="ITEM6.15.7" localSheetId="3">#REF!</definedName>
    <definedName name="ITEM6.15.7" localSheetId="4">#REF!</definedName>
    <definedName name="ITEM6.15.7" localSheetId="71">#REF!</definedName>
    <definedName name="ITEM6.15.7" localSheetId="2">#REF!</definedName>
    <definedName name="ITEM6.15.7">#REF!</definedName>
    <definedName name="ITEM6.16" localSheetId="3">#REF!</definedName>
    <definedName name="ITEM6.16" localSheetId="4">#REF!</definedName>
    <definedName name="ITEM6.16" localSheetId="71">#REF!</definedName>
    <definedName name="ITEM6.16" localSheetId="2">#REF!</definedName>
    <definedName name="ITEM6.16">#REF!</definedName>
    <definedName name="ITEM6.17.1" localSheetId="3">#REF!</definedName>
    <definedName name="ITEM6.17.1" localSheetId="4">#REF!</definedName>
    <definedName name="ITEM6.17.1" localSheetId="71">#REF!</definedName>
    <definedName name="ITEM6.17.1" localSheetId="2">#REF!</definedName>
    <definedName name="ITEM6.17.1">#REF!</definedName>
    <definedName name="ITEM6.17.2" localSheetId="3">#REF!</definedName>
    <definedName name="ITEM6.17.2" localSheetId="4">#REF!</definedName>
    <definedName name="ITEM6.17.2" localSheetId="71">#REF!</definedName>
    <definedName name="ITEM6.17.2" localSheetId="2">#REF!</definedName>
    <definedName name="ITEM6.17.2">#REF!</definedName>
    <definedName name="ITEM6.17.3" localSheetId="3">#REF!</definedName>
    <definedName name="ITEM6.17.3" localSheetId="4">#REF!</definedName>
    <definedName name="ITEM6.17.3" localSheetId="71">#REF!</definedName>
    <definedName name="ITEM6.17.3" localSheetId="2">#REF!</definedName>
    <definedName name="ITEM6.17.3">#REF!</definedName>
    <definedName name="ITEM6.17.4" localSheetId="3">#REF!</definedName>
    <definedName name="ITEM6.17.4" localSheetId="4">#REF!</definedName>
    <definedName name="ITEM6.17.4" localSheetId="71">#REF!</definedName>
    <definedName name="ITEM6.17.4" localSheetId="2">#REF!</definedName>
    <definedName name="ITEM6.17.4">#REF!</definedName>
    <definedName name="ITEM6.17.5" localSheetId="3">#REF!</definedName>
    <definedName name="ITEM6.17.5" localSheetId="4">#REF!</definedName>
    <definedName name="ITEM6.17.5" localSheetId="71">#REF!</definedName>
    <definedName name="ITEM6.17.5" localSheetId="2">#REF!</definedName>
    <definedName name="ITEM6.17.5">#REF!</definedName>
    <definedName name="ITEM6.17.6" localSheetId="3">#REF!</definedName>
    <definedName name="ITEM6.17.6" localSheetId="4">#REF!</definedName>
    <definedName name="ITEM6.17.6" localSheetId="71">#REF!</definedName>
    <definedName name="ITEM6.17.6" localSheetId="2">#REF!</definedName>
    <definedName name="ITEM6.17.6">#REF!</definedName>
    <definedName name="ITEM6.18.4.1" localSheetId="3">#REF!</definedName>
    <definedName name="ITEM6.18.4.1" localSheetId="4">#REF!</definedName>
    <definedName name="ITEM6.18.4.1" localSheetId="71">#REF!</definedName>
    <definedName name="ITEM6.18.4.1" localSheetId="2">#REF!</definedName>
    <definedName name="ITEM6.18.4.1">#REF!</definedName>
    <definedName name="ITEM6.2.1" localSheetId="3">#REF!</definedName>
    <definedName name="ITEM6.2.1" localSheetId="4">#REF!</definedName>
    <definedName name="ITEM6.2.1" localSheetId="71">#REF!</definedName>
    <definedName name="ITEM6.2.1" localSheetId="2">#REF!</definedName>
    <definedName name="ITEM6.2.1">#REF!</definedName>
    <definedName name="ITEM6.2.2" localSheetId="3">#REF!</definedName>
    <definedName name="ITEM6.2.2" localSheetId="4">#REF!</definedName>
    <definedName name="ITEM6.2.2" localSheetId="71">#REF!</definedName>
    <definedName name="ITEM6.2.2" localSheetId="2">#REF!</definedName>
    <definedName name="ITEM6.2.2">#REF!</definedName>
    <definedName name="ITEM6.21" localSheetId="3">'[25]52ป้ายชั่วคราว+ด่าน'!#REF!</definedName>
    <definedName name="ITEM6.21" localSheetId="4">'[25]52ป้ายชั่วคราว+ด่าน'!#REF!</definedName>
    <definedName name="ITEM6.21" localSheetId="71">'[25]52ป้ายชั่วคราว+ด่าน'!#REF!</definedName>
    <definedName name="ITEM6.21" localSheetId="69">'[25]52ป้ายชั่วคราว+ด่าน'!#REF!</definedName>
    <definedName name="ITEM6.21" localSheetId="70">'[25]52ป้ายชั่วคราว+ด่าน'!#REF!</definedName>
    <definedName name="ITEM6.21" localSheetId="74">'[25]52ป้ายชั่วคราว+ด่าน'!#REF!</definedName>
    <definedName name="ITEM6.21" localSheetId="2">'[25]52ป้ายชั่วคราว+ด่าน'!#REF!</definedName>
    <definedName name="ITEM6.21">'[25]52ป้ายชั่วคราว+ด่าน'!#REF!</definedName>
    <definedName name="ITEM6.22" localSheetId="3">'[25]52ป้ายชั่วคราว+ด่าน'!#REF!</definedName>
    <definedName name="ITEM6.22" localSheetId="4">'[25]52ป้ายชั่วคราว+ด่าน'!#REF!</definedName>
    <definedName name="ITEM6.22" localSheetId="71">'[25]52ป้ายชั่วคราว+ด่าน'!#REF!</definedName>
    <definedName name="ITEM6.22" localSheetId="69">'[25]52ป้ายชั่วคราว+ด่าน'!#REF!</definedName>
    <definedName name="ITEM6.22" localSheetId="70">'[25]52ป้ายชั่วคราว+ด่าน'!#REF!</definedName>
    <definedName name="ITEM6.22" localSheetId="74">'[25]52ป้ายชั่วคราว+ด่าน'!#REF!</definedName>
    <definedName name="ITEM6.22">'[25]52ป้ายชั่วคราว+ด่าน'!#REF!</definedName>
    <definedName name="ITEM6.3.1.1" localSheetId="3">#REF!</definedName>
    <definedName name="ITEM6.3.1.1" localSheetId="4">#REF!</definedName>
    <definedName name="ITEM6.3.1.1" localSheetId="71">#REF!</definedName>
    <definedName name="ITEM6.3.1.1" localSheetId="69">#REF!</definedName>
    <definedName name="ITEM6.3.1.1" localSheetId="70">#REF!</definedName>
    <definedName name="ITEM6.3.1.1" localSheetId="74">#REF!</definedName>
    <definedName name="ITEM6.3.1.1" localSheetId="2">#REF!</definedName>
    <definedName name="ITEM6.3.1.1">#REF!</definedName>
    <definedName name="ITEM6.3.1.2.1" localSheetId="3">#REF!</definedName>
    <definedName name="ITEM6.3.1.2.1" localSheetId="4">#REF!</definedName>
    <definedName name="ITEM6.3.1.2.1" localSheetId="71">#REF!</definedName>
    <definedName name="ITEM6.3.1.2.1" localSheetId="69">#REF!</definedName>
    <definedName name="ITEM6.3.1.2.1" localSheetId="70">#REF!</definedName>
    <definedName name="ITEM6.3.1.2.1" localSheetId="2">#REF!</definedName>
    <definedName name="ITEM6.3.1.2.1">#REF!</definedName>
    <definedName name="ITEM6.3.1.2.2" localSheetId="3">#REF!</definedName>
    <definedName name="ITEM6.3.1.2.2" localSheetId="4">#REF!</definedName>
    <definedName name="ITEM6.3.1.2.2" localSheetId="71">#REF!</definedName>
    <definedName name="ITEM6.3.1.2.2" localSheetId="69">#REF!</definedName>
    <definedName name="ITEM6.3.1.2.2" localSheetId="70">#REF!</definedName>
    <definedName name="ITEM6.3.1.2.2" localSheetId="2">#REF!</definedName>
    <definedName name="ITEM6.3.1.2.2">#REF!</definedName>
    <definedName name="ITEM6.3.1.2.3" localSheetId="3">#REF!</definedName>
    <definedName name="ITEM6.3.1.2.3" localSheetId="4">#REF!</definedName>
    <definedName name="ITEM6.3.1.2.3" localSheetId="71">#REF!</definedName>
    <definedName name="ITEM6.3.1.2.3" localSheetId="2">#REF!</definedName>
    <definedName name="ITEM6.3.1.2.3">#REF!</definedName>
    <definedName name="ITEM6.3.1.2.4" localSheetId="3">#REF!</definedName>
    <definedName name="ITEM6.3.1.2.4" localSheetId="4">#REF!</definedName>
    <definedName name="ITEM6.3.1.2.4" localSheetId="71">#REF!</definedName>
    <definedName name="ITEM6.3.1.2.4" localSheetId="2">#REF!</definedName>
    <definedName name="ITEM6.3.1.2.4">#REF!</definedName>
    <definedName name="ITEM6.3.1.2.5" localSheetId="3">#REF!</definedName>
    <definedName name="ITEM6.3.1.2.5" localSheetId="4">#REF!</definedName>
    <definedName name="ITEM6.3.1.2.5" localSheetId="71">#REF!</definedName>
    <definedName name="ITEM6.3.1.2.5" localSheetId="2">#REF!</definedName>
    <definedName name="ITEM6.3.1.2.5">#REF!</definedName>
    <definedName name="ITEM6.3.1.2.6" localSheetId="3">#REF!</definedName>
    <definedName name="ITEM6.3.1.2.6" localSheetId="4">#REF!</definedName>
    <definedName name="ITEM6.3.1.2.6" localSheetId="71">#REF!</definedName>
    <definedName name="ITEM6.3.1.2.6" localSheetId="2">#REF!</definedName>
    <definedName name="ITEM6.3.1.2.6">#REF!</definedName>
    <definedName name="ITEM6.3.1.2.7" localSheetId="3">#REF!</definedName>
    <definedName name="ITEM6.3.1.2.7" localSheetId="4">#REF!</definedName>
    <definedName name="ITEM6.3.1.2.7" localSheetId="71">#REF!</definedName>
    <definedName name="ITEM6.3.1.2.7" localSheetId="2">#REF!</definedName>
    <definedName name="ITEM6.3.1.2.7">#REF!</definedName>
    <definedName name="ITEM6.3.1.2.8" localSheetId="3">#REF!</definedName>
    <definedName name="ITEM6.3.1.2.8" localSheetId="4">#REF!</definedName>
    <definedName name="ITEM6.3.1.2.8" localSheetId="71">#REF!</definedName>
    <definedName name="ITEM6.3.1.2.8" localSheetId="2">#REF!</definedName>
    <definedName name="ITEM6.3.1.2.8">#REF!</definedName>
    <definedName name="ITEM6.3.1.3.1" localSheetId="3">#REF!</definedName>
    <definedName name="ITEM6.3.1.3.1" localSheetId="4">#REF!</definedName>
    <definedName name="ITEM6.3.1.3.1" localSheetId="71">#REF!</definedName>
    <definedName name="ITEM6.3.1.3.1" localSheetId="2">#REF!</definedName>
    <definedName name="ITEM6.3.1.3.1">#REF!</definedName>
    <definedName name="ITEM6.3.1.3.2" localSheetId="3">#REF!</definedName>
    <definedName name="ITEM6.3.1.3.2" localSheetId="4">#REF!</definedName>
    <definedName name="ITEM6.3.1.3.2" localSheetId="71">#REF!</definedName>
    <definedName name="ITEM6.3.1.3.2" localSheetId="2">#REF!</definedName>
    <definedName name="ITEM6.3.1.3.2">#REF!</definedName>
    <definedName name="ITEM6.3.1.4.1" localSheetId="3">#REF!</definedName>
    <definedName name="ITEM6.3.1.4.1" localSheetId="4">#REF!</definedName>
    <definedName name="ITEM6.3.1.4.1" localSheetId="71">#REF!</definedName>
    <definedName name="ITEM6.3.1.4.1" localSheetId="2">#REF!</definedName>
    <definedName name="ITEM6.3.1.4.1">#REF!</definedName>
    <definedName name="ITEM6.3.1.4.2" localSheetId="3">#REF!</definedName>
    <definedName name="ITEM6.3.1.4.2" localSheetId="4">#REF!</definedName>
    <definedName name="ITEM6.3.1.4.2" localSheetId="71">#REF!</definedName>
    <definedName name="ITEM6.3.1.4.2" localSheetId="2">#REF!</definedName>
    <definedName name="ITEM6.3.1.4.2">#REF!</definedName>
    <definedName name="ITEM6.3.1.4.3" localSheetId="3">#REF!</definedName>
    <definedName name="ITEM6.3.1.4.3" localSheetId="4">#REF!</definedName>
    <definedName name="ITEM6.3.1.4.3" localSheetId="71">#REF!</definedName>
    <definedName name="ITEM6.3.1.4.3" localSheetId="2">#REF!</definedName>
    <definedName name="ITEM6.3.1.4.3">#REF!</definedName>
    <definedName name="ITEM6.3.1.5" localSheetId="3">#REF!</definedName>
    <definedName name="ITEM6.3.1.5" localSheetId="4">#REF!</definedName>
    <definedName name="ITEM6.3.1.5" localSheetId="71">#REF!</definedName>
    <definedName name="ITEM6.3.1.5" localSheetId="2">#REF!</definedName>
    <definedName name="ITEM6.3.1.5">#REF!</definedName>
    <definedName name="ITEM6.3.1.6" localSheetId="3">#REF!</definedName>
    <definedName name="ITEM6.3.1.6" localSheetId="4">#REF!</definedName>
    <definedName name="ITEM6.3.1.6" localSheetId="71">#REF!</definedName>
    <definedName name="ITEM6.3.1.6" localSheetId="2">#REF!</definedName>
    <definedName name="ITEM6.3.1.6">#REF!</definedName>
    <definedName name="ITEM6.3.1.7" localSheetId="3">#REF!</definedName>
    <definedName name="ITEM6.3.1.7" localSheetId="4">#REF!</definedName>
    <definedName name="ITEM6.3.1.7" localSheetId="71">#REF!</definedName>
    <definedName name="ITEM6.3.1.7" localSheetId="2">#REF!</definedName>
    <definedName name="ITEM6.3.1.7">#REF!</definedName>
    <definedName name="ITEM6.3.10" localSheetId="3">#REF!</definedName>
    <definedName name="ITEM6.3.10" localSheetId="4">#REF!</definedName>
    <definedName name="ITEM6.3.10" localSheetId="71">#REF!</definedName>
    <definedName name="ITEM6.3.10" localSheetId="2">#REF!</definedName>
    <definedName name="ITEM6.3.10">#REF!</definedName>
    <definedName name="ITEM6.3.11" localSheetId="3">#REF!</definedName>
    <definedName name="ITEM6.3.11" localSheetId="4">#REF!</definedName>
    <definedName name="ITEM6.3.11" localSheetId="71">#REF!</definedName>
    <definedName name="ITEM6.3.11" localSheetId="2">#REF!</definedName>
    <definedName name="ITEM6.3.11">#REF!</definedName>
    <definedName name="ITEM6.3.12.1" localSheetId="3">#REF!</definedName>
    <definedName name="ITEM6.3.12.1" localSheetId="4">#REF!</definedName>
    <definedName name="ITEM6.3.12.1" localSheetId="71">#REF!</definedName>
    <definedName name="ITEM6.3.12.1" localSheetId="2">#REF!</definedName>
    <definedName name="ITEM6.3.12.1">#REF!</definedName>
    <definedName name="ITEM6.3.12.2" localSheetId="3">#REF!</definedName>
    <definedName name="ITEM6.3.12.2" localSheetId="4">#REF!</definedName>
    <definedName name="ITEM6.3.12.2" localSheetId="71">#REF!</definedName>
    <definedName name="ITEM6.3.12.2" localSheetId="2">#REF!</definedName>
    <definedName name="ITEM6.3.12.2">#REF!</definedName>
    <definedName name="ITEM6.3.12.3" localSheetId="3">#REF!</definedName>
    <definedName name="ITEM6.3.12.3" localSheetId="4">#REF!</definedName>
    <definedName name="ITEM6.3.12.3" localSheetId="71">#REF!</definedName>
    <definedName name="ITEM6.3.12.3" localSheetId="2">#REF!</definedName>
    <definedName name="ITEM6.3.12.3">#REF!</definedName>
    <definedName name="ITEM6.3.13.1" localSheetId="3">#REF!</definedName>
    <definedName name="ITEM6.3.13.1" localSheetId="4">#REF!</definedName>
    <definedName name="ITEM6.3.13.1" localSheetId="71">#REF!</definedName>
    <definedName name="ITEM6.3.13.1" localSheetId="2">#REF!</definedName>
    <definedName name="ITEM6.3.13.1">#REF!</definedName>
    <definedName name="ITEM6.3.14.1" localSheetId="3">#REF!</definedName>
    <definedName name="ITEM6.3.14.1" localSheetId="4">#REF!</definedName>
    <definedName name="ITEM6.3.14.1" localSheetId="71">#REF!</definedName>
    <definedName name="ITEM6.3.14.1" localSheetId="2">#REF!</definedName>
    <definedName name="ITEM6.3.14.1">#REF!</definedName>
    <definedName name="ITEM6.3.14.2" localSheetId="3">#REF!</definedName>
    <definedName name="ITEM6.3.14.2" localSheetId="4">#REF!</definedName>
    <definedName name="ITEM6.3.14.2" localSheetId="71">#REF!</definedName>
    <definedName name="ITEM6.3.14.2" localSheetId="2">#REF!</definedName>
    <definedName name="ITEM6.3.14.2">#REF!</definedName>
    <definedName name="ITEM6.3.14.3" localSheetId="3">#REF!</definedName>
    <definedName name="ITEM6.3.14.3" localSheetId="4">#REF!</definedName>
    <definedName name="ITEM6.3.14.3" localSheetId="71">#REF!</definedName>
    <definedName name="ITEM6.3.14.3" localSheetId="2">#REF!</definedName>
    <definedName name="ITEM6.3.14.3">#REF!</definedName>
    <definedName name="ITEM6.3.2" localSheetId="3">#REF!</definedName>
    <definedName name="ITEM6.3.2" localSheetId="4">#REF!</definedName>
    <definedName name="ITEM6.3.2" localSheetId="71">#REF!</definedName>
    <definedName name="ITEM6.3.2" localSheetId="2">#REF!</definedName>
    <definedName name="ITEM6.3.2">#REF!</definedName>
    <definedName name="ITEM6.3.3.1.1" localSheetId="3">#REF!</definedName>
    <definedName name="ITEM6.3.3.1.1" localSheetId="4">#REF!</definedName>
    <definedName name="ITEM6.3.3.1.1" localSheetId="71">#REF!</definedName>
    <definedName name="ITEM6.3.3.1.1" localSheetId="2">#REF!</definedName>
    <definedName name="ITEM6.3.3.1.1">#REF!</definedName>
    <definedName name="ITEM6.3.3.1.2" localSheetId="3">#REF!</definedName>
    <definedName name="ITEM6.3.3.1.2" localSheetId="4">#REF!</definedName>
    <definedName name="ITEM6.3.3.1.2" localSheetId="71">#REF!</definedName>
    <definedName name="ITEM6.3.3.1.2" localSheetId="2">#REF!</definedName>
    <definedName name="ITEM6.3.3.1.2">#REF!</definedName>
    <definedName name="ITEM6.3.3.2.1" localSheetId="3">#REF!</definedName>
    <definedName name="ITEM6.3.3.2.1" localSheetId="4">#REF!</definedName>
    <definedName name="ITEM6.3.3.2.1" localSheetId="71">#REF!</definedName>
    <definedName name="ITEM6.3.3.2.1" localSheetId="2">#REF!</definedName>
    <definedName name="ITEM6.3.3.2.1">#REF!</definedName>
    <definedName name="ITEM6.3.3.2.2" localSheetId="3">#REF!</definedName>
    <definedName name="ITEM6.3.3.2.2" localSheetId="4">#REF!</definedName>
    <definedName name="ITEM6.3.3.2.2" localSheetId="71">#REF!</definedName>
    <definedName name="ITEM6.3.3.2.2" localSheetId="2">#REF!</definedName>
    <definedName name="ITEM6.3.3.2.2">#REF!</definedName>
    <definedName name="ITEM6.3.3.2.3" localSheetId="3">#REF!</definedName>
    <definedName name="ITEM6.3.3.2.3" localSheetId="4">#REF!</definedName>
    <definedName name="ITEM6.3.3.2.3" localSheetId="71">#REF!</definedName>
    <definedName name="ITEM6.3.3.2.3" localSheetId="2">#REF!</definedName>
    <definedName name="ITEM6.3.3.2.3">#REF!</definedName>
    <definedName name="ITEM6.3.3.2.4" localSheetId="3">#REF!</definedName>
    <definedName name="ITEM6.3.3.2.4" localSheetId="4">#REF!</definedName>
    <definedName name="ITEM6.3.3.2.4" localSheetId="71">#REF!</definedName>
    <definedName name="ITEM6.3.3.2.4" localSheetId="2">#REF!</definedName>
    <definedName name="ITEM6.3.3.2.4">#REF!</definedName>
    <definedName name="ITEM6.3.3.2.5" localSheetId="3">#REF!</definedName>
    <definedName name="ITEM6.3.3.2.5" localSheetId="4">#REF!</definedName>
    <definedName name="ITEM6.3.3.2.5" localSheetId="71">#REF!</definedName>
    <definedName name="ITEM6.3.3.2.5" localSheetId="2">#REF!</definedName>
    <definedName name="ITEM6.3.3.2.5">#REF!</definedName>
    <definedName name="ITEM6.3.4" localSheetId="3">#REF!</definedName>
    <definedName name="ITEM6.3.4" localSheetId="4">#REF!</definedName>
    <definedName name="ITEM6.3.4" localSheetId="71">#REF!</definedName>
    <definedName name="ITEM6.3.4" localSheetId="2">#REF!</definedName>
    <definedName name="ITEM6.3.4">#REF!</definedName>
    <definedName name="ITEM6.3.6.1" localSheetId="3">#REF!</definedName>
    <definedName name="ITEM6.3.6.1" localSheetId="4">#REF!</definedName>
    <definedName name="ITEM6.3.6.1" localSheetId="71">#REF!</definedName>
    <definedName name="ITEM6.3.6.1" localSheetId="2">#REF!</definedName>
    <definedName name="ITEM6.3.6.1">#REF!</definedName>
    <definedName name="ITEM6.3.6.2" localSheetId="3">#REF!</definedName>
    <definedName name="ITEM6.3.6.2" localSheetId="4">#REF!</definedName>
    <definedName name="ITEM6.3.6.2" localSheetId="71">#REF!</definedName>
    <definedName name="ITEM6.3.6.2" localSheetId="2">#REF!</definedName>
    <definedName name="ITEM6.3.6.2">#REF!</definedName>
    <definedName name="ITEM6.3.6.3" localSheetId="3">#REF!</definedName>
    <definedName name="ITEM6.3.6.3" localSheetId="4">#REF!</definedName>
    <definedName name="ITEM6.3.6.3" localSheetId="71">#REF!</definedName>
    <definedName name="ITEM6.3.6.3" localSheetId="2">#REF!</definedName>
    <definedName name="ITEM6.3.6.3">#REF!</definedName>
    <definedName name="ITEM6.3.6.4" localSheetId="3">#REF!</definedName>
    <definedName name="ITEM6.3.6.4" localSheetId="4">#REF!</definedName>
    <definedName name="ITEM6.3.6.4" localSheetId="71">#REF!</definedName>
    <definedName name="ITEM6.3.6.4" localSheetId="2">#REF!</definedName>
    <definedName name="ITEM6.3.6.4">#REF!</definedName>
    <definedName name="ITEM6.3.7" localSheetId="3">#REF!</definedName>
    <definedName name="ITEM6.3.7" localSheetId="4">#REF!</definedName>
    <definedName name="ITEM6.3.7" localSheetId="71">#REF!</definedName>
    <definedName name="ITEM6.3.7" localSheetId="2">#REF!</definedName>
    <definedName name="ITEM6.3.7">#REF!</definedName>
    <definedName name="ITEM6.3.8.1" localSheetId="3">#REF!</definedName>
    <definedName name="ITEM6.3.8.1" localSheetId="4">#REF!</definedName>
    <definedName name="ITEM6.3.8.1" localSheetId="71">#REF!</definedName>
    <definedName name="ITEM6.3.8.1" localSheetId="2">#REF!</definedName>
    <definedName name="ITEM6.3.8.1">#REF!</definedName>
    <definedName name="ITEM6.3.8.2" localSheetId="3">#REF!</definedName>
    <definedName name="ITEM6.3.8.2" localSheetId="4">#REF!</definedName>
    <definedName name="ITEM6.3.8.2" localSheetId="71">#REF!</definedName>
    <definedName name="ITEM6.3.8.2" localSheetId="2">#REF!</definedName>
    <definedName name="ITEM6.3.8.2">#REF!</definedName>
    <definedName name="ITEM6.4.1" localSheetId="3">#REF!</definedName>
    <definedName name="ITEM6.4.1" localSheetId="4">#REF!</definedName>
    <definedName name="ITEM6.4.1" localSheetId="71">#REF!</definedName>
    <definedName name="ITEM6.4.1" localSheetId="2">#REF!</definedName>
    <definedName name="ITEM6.4.1">#REF!</definedName>
    <definedName name="ITEM6.4.2" localSheetId="3">#REF!</definedName>
    <definedName name="ITEM6.4.2" localSheetId="4">#REF!</definedName>
    <definedName name="ITEM6.4.2" localSheetId="71">#REF!</definedName>
    <definedName name="ITEM6.4.2" localSheetId="2">#REF!</definedName>
    <definedName name="ITEM6.4.2">#REF!</definedName>
    <definedName name="ITEM6.4.3" localSheetId="3">#REF!</definedName>
    <definedName name="ITEM6.4.3" localSheetId="4">#REF!</definedName>
    <definedName name="ITEM6.4.3" localSheetId="71">#REF!</definedName>
    <definedName name="ITEM6.4.3" localSheetId="2">#REF!</definedName>
    <definedName name="ITEM6.4.3">#REF!</definedName>
    <definedName name="ITEM6.4.4" localSheetId="3">#REF!</definedName>
    <definedName name="ITEM6.4.4" localSheetId="4">#REF!</definedName>
    <definedName name="ITEM6.4.4" localSheetId="71">#REF!</definedName>
    <definedName name="ITEM6.4.4" localSheetId="2">#REF!</definedName>
    <definedName name="ITEM6.4.4">#REF!</definedName>
    <definedName name="ITEM6.4.5.1" localSheetId="3">#REF!</definedName>
    <definedName name="ITEM6.4.5.1" localSheetId="4">#REF!</definedName>
    <definedName name="ITEM6.4.5.1" localSheetId="71">#REF!</definedName>
    <definedName name="ITEM6.4.5.1" localSheetId="2">#REF!</definedName>
    <definedName name="ITEM6.4.5.1">#REF!</definedName>
    <definedName name="ITEM6.4.5.2" localSheetId="3">#REF!</definedName>
    <definedName name="ITEM6.4.5.2" localSheetId="4">#REF!</definedName>
    <definedName name="ITEM6.4.5.2" localSheetId="71">#REF!</definedName>
    <definedName name="ITEM6.4.5.2" localSheetId="2">#REF!</definedName>
    <definedName name="ITEM6.4.5.2">#REF!</definedName>
    <definedName name="ITEM6.4.5.3" localSheetId="3">#REF!</definedName>
    <definedName name="ITEM6.4.5.3" localSheetId="4">#REF!</definedName>
    <definedName name="ITEM6.4.5.3" localSheetId="71">#REF!</definedName>
    <definedName name="ITEM6.4.5.3" localSheetId="2">#REF!</definedName>
    <definedName name="ITEM6.4.5.3">#REF!</definedName>
    <definedName name="ITEM6.4.5.4" localSheetId="3">#REF!</definedName>
    <definedName name="ITEM6.4.5.4" localSheetId="4">#REF!</definedName>
    <definedName name="ITEM6.4.5.4" localSheetId="71">#REF!</definedName>
    <definedName name="ITEM6.4.5.4" localSheetId="2">#REF!</definedName>
    <definedName name="ITEM6.4.5.4">#REF!</definedName>
    <definedName name="ITEM6.4.6.1" localSheetId="3">#REF!</definedName>
    <definedName name="ITEM6.4.6.1" localSheetId="4">#REF!</definedName>
    <definedName name="ITEM6.4.6.1" localSheetId="71">#REF!</definedName>
    <definedName name="ITEM6.4.6.1" localSheetId="2">#REF!</definedName>
    <definedName name="ITEM6.4.6.1">#REF!</definedName>
    <definedName name="ITEM6.4.6.2" localSheetId="3">#REF!</definedName>
    <definedName name="ITEM6.4.6.2" localSheetId="4">#REF!</definedName>
    <definedName name="ITEM6.4.6.2" localSheetId="71">#REF!</definedName>
    <definedName name="ITEM6.4.6.2" localSheetId="2">#REF!</definedName>
    <definedName name="ITEM6.4.6.2">#REF!</definedName>
    <definedName name="ITEM6.4.6.3" localSheetId="3">#REF!</definedName>
    <definedName name="ITEM6.4.6.3" localSheetId="4">#REF!</definedName>
    <definedName name="ITEM6.4.6.3" localSheetId="71">#REF!</definedName>
    <definedName name="ITEM6.4.6.3" localSheetId="2">#REF!</definedName>
    <definedName name="ITEM6.4.6.3">#REF!</definedName>
    <definedName name="ITEM6.4.6.4" localSheetId="3">#REF!</definedName>
    <definedName name="ITEM6.4.6.4" localSheetId="4">#REF!</definedName>
    <definedName name="ITEM6.4.6.4" localSheetId="71">#REF!</definedName>
    <definedName name="ITEM6.4.6.4" localSheetId="2">#REF!</definedName>
    <definedName name="ITEM6.4.6.4">#REF!</definedName>
    <definedName name="ITEM6.4.6.5" localSheetId="3">#REF!</definedName>
    <definedName name="ITEM6.4.6.5" localSheetId="4">#REF!</definedName>
    <definedName name="ITEM6.4.6.5" localSheetId="71">#REF!</definedName>
    <definedName name="ITEM6.4.6.5" localSheetId="2">#REF!</definedName>
    <definedName name="ITEM6.4.6.5">#REF!</definedName>
    <definedName name="ITEM6.5.1" localSheetId="3">#REF!</definedName>
    <definedName name="ITEM6.5.1" localSheetId="4">#REF!</definedName>
    <definedName name="ITEM6.5.1" localSheetId="71">#REF!</definedName>
    <definedName name="ITEM6.5.1" localSheetId="2">#REF!</definedName>
    <definedName name="ITEM6.5.1">#REF!</definedName>
    <definedName name="ITEM6.5.2" localSheetId="3">#REF!</definedName>
    <definedName name="ITEM6.5.2" localSheetId="4">#REF!</definedName>
    <definedName name="ITEM6.5.2" localSheetId="71">#REF!</definedName>
    <definedName name="ITEM6.5.2" localSheetId="2">#REF!</definedName>
    <definedName name="ITEM6.5.2">#REF!</definedName>
    <definedName name="ITEM6.6.1" localSheetId="3">#REF!</definedName>
    <definedName name="ITEM6.6.1" localSheetId="4">#REF!</definedName>
    <definedName name="ITEM6.6.1" localSheetId="71">#REF!</definedName>
    <definedName name="ITEM6.6.1" localSheetId="2">#REF!</definedName>
    <definedName name="ITEM6.6.1">#REF!</definedName>
    <definedName name="ITEM6.6.2" localSheetId="3">#REF!</definedName>
    <definedName name="ITEM6.6.2" localSheetId="4">#REF!</definedName>
    <definedName name="ITEM6.6.2" localSheetId="71">#REF!</definedName>
    <definedName name="ITEM6.6.2" localSheetId="2">#REF!</definedName>
    <definedName name="ITEM6.6.2">#REF!</definedName>
    <definedName name="ITEM6.7.1" localSheetId="3">#REF!</definedName>
    <definedName name="ITEM6.7.1" localSheetId="4">#REF!</definedName>
    <definedName name="ITEM6.7.1" localSheetId="71">#REF!</definedName>
    <definedName name="ITEM6.7.1" localSheetId="2">#REF!</definedName>
    <definedName name="ITEM6.7.1">#REF!</definedName>
    <definedName name="ITEM6.8.1" localSheetId="3">#REF!</definedName>
    <definedName name="ITEM6.8.1" localSheetId="4">#REF!</definedName>
    <definedName name="ITEM6.8.1" localSheetId="71">#REF!</definedName>
    <definedName name="ITEM6.8.1" localSheetId="2">#REF!</definedName>
    <definedName name="ITEM6.8.1">#REF!</definedName>
    <definedName name="ITEM6.9.1.1" localSheetId="3">#REF!</definedName>
    <definedName name="ITEM6.9.1.1" localSheetId="4">#REF!</definedName>
    <definedName name="ITEM6.9.1.1" localSheetId="71">#REF!</definedName>
    <definedName name="ITEM6.9.1.1" localSheetId="2">#REF!</definedName>
    <definedName name="ITEM6.9.1.1">#REF!</definedName>
    <definedName name="ITEM6.9.1.2" localSheetId="3">#REF!</definedName>
    <definedName name="ITEM6.9.1.2" localSheetId="4">#REF!</definedName>
    <definedName name="ITEM6.9.1.2" localSheetId="71">#REF!</definedName>
    <definedName name="ITEM6.9.1.2" localSheetId="2">#REF!</definedName>
    <definedName name="ITEM6.9.1.2">#REF!</definedName>
    <definedName name="ks" localSheetId="3">[26]unitcost!#REF!</definedName>
    <definedName name="ks" localSheetId="4">[27]unitcost!#REF!</definedName>
    <definedName name="ks" localSheetId="71">[26]unitcost!#REF!</definedName>
    <definedName name="ks" localSheetId="69">[26]unitcost!#REF!</definedName>
    <definedName name="ks" localSheetId="70">[26]unitcost!#REF!</definedName>
    <definedName name="ks" localSheetId="74">[26]unitcost!#REF!</definedName>
    <definedName name="ks" localSheetId="2">[26]unitcost!#REF!</definedName>
    <definedName name="ks">[26]unitcost!#REF!</definedName>
    <definedName name="kt" localSheetId="3">[26]unitcost!#REF!</definedName>
    <definedName name="kt" localSheetId="4">[27]unitcost!#REF!</definedName>
    <definedName name="kt" localSheetId="71">[26]unitcost!#REF!</definedName>
    <definedName name="kt" localSheetId="69">[26]unitcost!#REF!</definedName>
    <definedName name="kt" localSheetId="70">[26]unitcost!#REF!</definedName>
    <definedName name="kt" localSheetId="74">[26]unitcost!#REF!</definedName>
    <definedName name="kt">[26]unitcost!#REF!</definedName>
    <definedName name="kw" localSheetId="3">[26]unitcost!#REF!</definedName>
    <definedName name="kw" localSheetId="4">[27]unitcost!#REF!</definedName>
    <definedName name="kw" localSheetId="71">[26]unitcost!#REF!</definedName>
    <definedName name="kw" localSheetId="69">[26]unitcost!#REF!</definedName>
    <definedName name="kw" localSheetId="70">[26]unitcost!#REF!</definedName>
    <definedName name="kw">[26]unitcost!#REF!</definedName>
    <definedName name="l" localSheetId="3">#REF!</definedName>
    <definedName name="l" localSheetId="4">#REF!</definedName>
    <definedName name="l" localSheetId="71">#REF!</definedName>
    <definedName name="l" localSheetId="69">#REF!</definedName>
    <definedName name="l">#REF!</definedName>
    <definedName name="L_15">'[18]5-2'!$J$1856</definedName>
    <definedName name="L_17">'[18]5-2'!$J$1844</definedName>
    <definedName name="L_19">'[18]5-2'!$J$1832</definedName>
    <definedName name="LHPS6400">'[21]Local road Backup'!$J$7</definedName>
    <definedName name="LLOOO" localSheetId="3">#REF!</definedName>
    <definedName name="LLOOO" localSheetId="4">#REF!</definedName>
    <definedName name="LLOOO" localSheetId="71">#REF!</definedName>
    <definedName name="LLOOO" localSheetId="69">#REF!</definedName>
    <definedName name="LLOOO">#REF!</definedName>
    <definedName name="manhole" localSheetId="3">#REF!</definedName>
    <definedName name="manhole" localSheetId="69">#REF!</definedName>
    <definedName name="manhole">#REF!</definedName>
    <definedName name="Manhole_TypeE">'[18]6'!$J$1284</definedName>
    <definedName name="Manhole_TypeE_1">'[18]6'!$J$1289</definedName>
    <definedName name="MSE_H4.00_6.00m.">'[18]6'!$J$472</definedName>
    <definedName name="MSE_H4.00m.">'[18]6'!$J$451</definedName>
    <definedName name="MSE_H6.00_8.00m.">'[18]6'!$J$493</definedName>
    <definedName name="MSE_H8.00_10.00m.">'[18]6'!$J$514</definedName>
    <definedName name="new" localSheetId="3">#REF!</definedName>
    <definedName name="new" localSheetId="4">#REF!</definedName>
    <definedName name="new" localSheetId="71">#REF!</definedName>
    <definedName name="new" localSheetId="69">#REF!</definedName>
    <definedName name="new">#REF!</definedName>
    <definedName name="NewBridge27_492.900" localSheetId="3">'[28]5-2'!#REF!</definedName>
    <definedName name="NewBridge27_492.900" localSheetId="4">'[28]5-2'!#REF!</definedName>
    <definedName name="NewBridge27_492.900" localSheetId="71">'[28]5-2'!#REF!</definedName>
    <definedName name="NewBridge27_492.900" localSheetId="69">'[28]5-2'!#REF!</definedName>
    <definedName name="NewBridge27_492.900" localSheetId="70">'[28]5-2'!#REF!</definedName>
    <definedName name="NewBridge27_492.900" localSheetId="74">'[28]5-2'!#REF!</definedName>
    <definedName name="NewBridge27_492.900" localSheetId="2">'[28]5-2'!#REF!</definedName>
    <definedName name="NewBridge27_492.900">'[28]5-2'!#REF!</definedName>
    <definedName name="NewBridge29_436.802LT" localSheetId="3">'[28]5-2'!#REF!</definedName>
    <definedName name="NewBridge29_436.802LT" localSheetId="4">'[28]5-2'!#REF!</definedName>
    <definedName name="NewBridge29_436.802LT" localSheetId="71">'[28]5-2'!#REF!</definedName>
    <definedName name="NewBridge29_436.802LT" localSheetId="69">'[28]5-2'!#REF!</definedName>
    <definedName name="NewBridge29_436.802LT" localSheetId="70">'[28]5-2'!#REF!</definedName>
    <definedName name="NewBridge29_436.802LT" localSheetId="74">'[28]5-2'!#REF!</definedName>
    <definedName name="NewBridge29_436.802LT">'[28]5-2'!#REF!</definedName>
    <definedName name="NewBridge29_436.802RT" localSheetId="3">'[28]5-2'!#REF!</definedName>
    <definedName name="NewBridge29_436.802RT" localSheetId="4">'[28]5-2'!#REF!</definedName>
    <definedName name="NewBridge29_436.802RT" localSheetId="71">'[28]5-2'!#REF!</definedName>
    <definedName name="NewBridge29_436.802RT" localSheetId="69">'[28]5-2'!#REF!</definedName>
    <definedName name="NewBridge29_436.802RT" localSheetId="70">'[28]5-2'!#REF!</definedName>
    <definedName name="NewBridge29_436.802RT">'[28]5-2'!#REF!</definedName>
    <definedName name="NewBridge30_200.203LT" localSheetId="3">'[28]5-2'!#REF!</definedName>
    <definedName name="NewBridge30_200.203LT" localSheetId="4">'[28]5-2'!#REF!</definedName>
    <definedName name="NewBridge30_200.203LT" localSheetId="71">'[28]5-2'!#REF!</definedName>
    <definedName name="NewBridge30_200.203LT" localSheetId="69">'[28]5-2'!#REF!</definedName>
    <definedName name="NewBridge30_200.203LT" localSheetId="70">'[28]5-2'!#REF!</definedName>
    <definedName name="NewBridge30_200.203LT">'[28]5-2'!#REF!</definedName>
    <definedName name="NewBridge30_200.203RT" localSheetId="3">'[28]5-2'!#REF!</definedName>
    <definedName name="NewBridge30_200.203RT" localSheetId="4">'[28]5-2'!#REF!</definedName>
    <definedName name="NewBridge30_200.203RT" localSheetId="71">'[28]5-2'!#REF!</definedName>
    <definedName name="NewBridge30_200.203RT">'[28]5-2'!#REF!</definedName>
    <definedName name="NewBridge31_287.813LT" localSheetId="3">'[28]5-2'!#REF!</definedName>
    <definedName name="NewBridge31_287.813LT" localSheetId="4">'[28]5-2'!#REF!</definedName>
    <definedName name="NewBridge31_287.813LT" localSheetId="71">'[28]5-2'!#REF!</definedName>
    <definedName name="NewBridge31_287.813LT">'[28]5-2'!#REF!</definedName>
    <definedName name="NewBridge31_287.813RT" localSheetId="3">'[28]5-2'!#REF!</definedName>
    <definedName name="NewBridge31_287.813RT" localSheetId="4">'[28]5-2'!#REF!</definedName>
    <definedName name="NewBridge31_287.813RT" localSheetId="71">'[28]5-2'!#REF!</definedName>
    <definedName name="NewBridge31_287.813RT">'[28]5-2'!#REF!</definedName>
    <definedName name="NewBridge32_489.199" localSheetId="3">'[28]5-2'!#REF!</definedName>
    <definedName name="NewBridge32_489.199" localSheetId="4">'[28]5-2'!#REF!</definedName>
    <definedName name="NewBridge32_489.199" localSheetId="71">'[28]5-2'!#REF!</definedName>
    <definedName name="NewBridge32_489.199">'[28]5-2'!#REF!</definedName>
    <definedName name="NewBridge33_321.901" localSheetId="3">'[28]5-2'!#REF!</definedName>
    <definedName name="NewBridge33_321.901" localSheetId="4">'[28]5-2'!#REF!</definedName>
    <definedName name="NewBridge33_321.901" localSheetId="71">'[28]5-2'!#REF!</definedName>
    <definedName name="NewBridge33_321.901">'[28]5-2'!#REF!</definedName>
    <definedName name="NewSta24_958.390" localSheetId="3">'[28]5-2'!#REF!</definedName>
    <definedName name="NewSta24_958.390" localSheetId="4">'[28]5-2'!#REF!</definedName>
    <definedName name="NewSta24_958.390" localSheetId="71">'[28]5-2'!#REF!</definedName>
    <definedName name="NewSta24_958.390">'[28]5-2'!#REF!</definedName>
    <definedName name="NewSta25_914.743LT" localSheetId="3">'[28]5-2'!#REF!</definedName>
    <definedName name="NewSta25_914.743LT" localSheetId="4">'[28]5-2'!#REF!</definedName>
    <definedName name="NewSta25_914.743LT" localSheetId="71">'[28]5-2'!#REF!</definedName>
    <definedName name="NewSta25_914.743LT">'[28]5-2'!#REF!</definedName>
    <definedName name="NewSta25_914.743RT" localSheetId="3">'[28]5-2'!#REF!</definedName>
    <definedName name="NewSta25_914.743RT" localSheetId="4">'[28]5-2'!#REF!</definedName>
    <definedName name="NewSta25_914.743RT" localSheetId="71">'[28]5-2'!#REF!</definedName>
    <definedName name="NewSta25_914.743RT">'[28]5-2'!#REF!</definedName>
    <definedName name="NewSta26_595.245LT" localSheetId="3">'[28]5-2'!#REF!</definedName>
    <definedName name="NewSta26_595.245LT" localSheetId="4">'[28]5-2'!#REF!</definedName>
    <definedName name="NewSta26_595.245LT" localSheetId="71">'[28]5-2'!#REF!</definedName>
    <definedName name="NewSta26_595.245LT">'[28]5-2'!#REF!</definedName>
    <definedName name="NewSta26_595.245RT" localSheetId="3">'[28]5-2'!#REF!</definedName>
    <definedName name="NewSta26_595.245RT" localSheetId="4">'[28]5-2'!#REF!</definedName>
    <definedName name="NewSta26_595.245RT" localSheetId="71">'[28]5-2'!#REF!</definedName>
    <definedName name="NewSta26_595.245RT">'[28]5-2'!#REF!</definedName>
    <definedName name="NewSta27_492.900" localSheetId="3">'[28]5-2'!#REF!</definedName>
    <definedName name="NewSta27_492.900" localSheetId="4">'[28]5-2'!#REF!</definedName>
    <definedName name="NewSta27_492.900" localSheetId="71">'[28]5-2'!#REF!</definedName>
    <definedName name="NewSta27_492.900">'[28]5-2'!#REF!</definedName>
    <definedName name="NewSta29_436.802" localSheetId="3">'[28]5-2'!#REF!</definedName>
    <definedName name="NewSta29_436.802" localSheetId="4">'[28]5-2'!#REF!</definedName>
    <definedName name="NewSta29_436.802" localSheetId="71">'[28]5-2'!#REF!</definedName>
    <definedName name="NewSta29_436.802">'[28]5-2'!#REF!</definedName>
    <definedName name="NewSta29_436.802LT" localSheetId="3">'[28]5-2'!#REF!</definedName>
    <definedName name="NewSta29_436.802LT" localSheetId="4">'[28]5-2'!#REF!</definedName>
    <definedName name="NewSta29_436.802LT" localSheetId="71">'[28]5-2'!#REF!</definedName>
    <definedName name="NewSta29_436.802LT">'[28]5-2'!#REF!</definedName>
    <definedName name="NewSta30_200.203" localSheetId="3">'[28]5-2'!#REF!</definedName>
    <definedName name="NewSta30_200.203" localSheetId="4">'[28]5-2'!#REF!</definedName>
    <definedName name="NewSta30_200.203" localSheetId="71">'[28]5-2'!#REF!</definedName>
    <definedName name="NewSta30_200.203">'[28]5-2'!#REF!</definedName>
    <definedName name="NewSta30_200.203RT" localSheetId="3">'[28]5-2'!#REF!</definedName>
    <definedName name="NewSta30_200.203RT" localSheetId="4">'[28]5-2'!#REF!</definedName>
    <definedName name="NewSta30_200.203RT" localSheetId="71">'[28]5-2'!#REF!</definedName>
    <definedName name="NewSta30_200.203RT">'[28]5-2'!#REF!</definedName>
    <definedName name="NewSta31_287.813LT" localSheetId="3">'[28]5-2'!#REF!</definedName>
    <definedName name="NewSta31_287.813LT" localSheetId="4">'[28]5-2'!#REF!</definedName>
    <definedName name="NewSta31_287.813LT" localSheetId="71">'[28]5-2'!#REF!</definedName>
    <definedName name="NewSta31_287.813LT">'[28]5-2'!#REF!</definedName>
    <definedName name="NewSta31_287.813RT" localSheetId="3">'[28]5-2'!#REF!</definedName>
    <definedName name="NewSta31_287.813RT" localSheetId="4">'[28]5-2'!#REF!</definedName>
    <definedName name="NewSta31_287.813RT" localSheetId="71">'[28]5-2'!#REF!</definedName>
    <definedName name="NewSta31_287.813RT">'[28]5-2'!#REF!</definedName>
    <definedName name="NewSta32_489.199" localSheetId="3">'[28]5-2'!#REF!</definedName>
    <definedName name="NewSta32_489.199" localSheetId="4">'[28]5-2'!#REF!</definedName>
    <definedName name="NewSta32_489.199" localSheetId="71">'[28]5-2'!#REF!</definedName>
    <definedName name="NewSta32_489.199">'[28]5-2'!#REF!</definedName>
    <definedName name="NewSta33_321.901" localSheetId="3">'[28]5-2'!#REF!</definedName>
    <definedName name="NewSta33_321.901" localSheetId="4">'[28]5-2'!#REF!</definedName>
    <definedName name="NewSta33_321.901" localSheetId="71">'[28]5-2'!#REF!</definedName>
    <definedName name="NewSta33_321.901">'[28]5-2'!#REF!</definedName>
    <definedName name="no_box">[29]Worksheet!$L$8</definedName>
    <definedName name="PAKCHONGTOLL">[30]ตัดแบ่งกม.ส่งพี่หนุ่ม!$D$35</definedName>
    <definedName name="Pedestrian_Bridge_Type1">'[18]5-2'!$K$2431</definedName>
    <definedName name="Pile_9" localSheetId="3">'[28]5-2'!#REF!</definedName>
    <definedName name="Pile_9" localSheetId="4">'[28]5-2'!#REF!</definedName>
    <definedName name="Pile_9" localSheetId="71">'[28]5-2'!#REF!</definedName>
    <definedName name="Pile_9" localSheetId="69">'[28]5-2'!#REF!</definedName>
    <definedName name="Pile_9" localSheetId="70">'[28]5-2'!#REF!</definedName>
    <definedName name="Pile_9" localSheetId="74">'[28]5-2'!#REF!</definedName>
    <definedName name="Pile_9" localSheetId="2">'[28]5-2'!#REF!</definedName>
    <definedName name="Pile_9">'[28]5-2'!#REF!</definedName>
    <definedName name="Pile0.26x0.26_L11">'[18]5-2'!$J$1964</definedName>
    <definedName name="Pile0.26x0.26_L13">'[18]5-2'!$J$1952</definedName>
    <definedName name="Pile0.26x0.26_L15">'[18]5-2'!$J$1940</definedName>
    <definedName name="Pile0.26x0.26_L17">'[18]5-2'!$J$1928</definedName>
    <definedName name="Pile0.26x0.26_L19">'[18]5-2'!$J$1916</definedName>
    <definedName name="Pile0.26x0.26_L7">'[18]5-2'!$J$1988</definedName>
    <definedName name="Pile0.26x0.26_L9">'[18]5-2'!$J$1976</definedName>
    <definedName name="Pipe_0.80">'[18]5-2'!$J$2291</definedName>
    <definedName name="Pipe_1.00">'[18]5-2'!$J$2304</definedName>
    <definedName name="Pipe_1.20">'[18]5-2'!$J$2317</definedName>
    <definedName name="_xlnm.Print_Area" localSheetId="3">'01.ST ศูนย์ประชุม'!$A$1:$L$1260</definedName>
    <definedName name="_xlnm.Print_Area" localSheetId="4">'02.AR CONVENTION'!$A$1:$L$3371</definedName>
    <definedName name="_xlnm.Print_Area" localSheetId="9">'03.EE-ศูนย์ประชุม (1FL)'!$A$1:$L$442</definedName>
    <definedName name="_xlnm.Print_Area" localSheetId="10">'03.EE-ศูนย์ประชุม (2FL)'!$A$1:$L$370</definedName>
    <definedName name="_xlnm.Print_Area" localSheetId="11">'03.EE-ศูนย์ประชุม (3FL)'!$A$1:$L$442</definedName>
    <definedName name="_xlnm.Print_Area" localSheetId="12">'03.EE-ศูนย์ประชุม (4FL)'!$A$1:$L$466</definedName>
    <definedName name="_xlnm.Print_Area" localSheetId="13">'03.EE-ศูนย์ประชุม (5FL)'!$A$1:$L$442</definedName>
    <definedName name="_xlnm.Print_Area" localSheetId="14">'03.EE-ศูนย์ประชุม (6FL)'!$A$1:$L$538</definedName>
    <definedName name="_xlnm.Print_Area" localSheetId="15">'03.EE-ศูนย์ประชุม (7FL)'!$A$1:$L$466</definedName>
    <definedName name="_xlnm.Print_Area" localSheetId="16">'03.EE-ศูนย์ประชุม (8FL)'!$A$1:$L$418</definedName>
    <definedName name="_xlnm.Print_Area" localSheetId="8">'03.EE-ศูนย์ประชุม (B1)'!$A$1:$L$251</definedName>
    <definedName name="_xlnm.Print_Area" localSheetId="7">'03.EE-ศูนย์ประชุม (B2)'!$A$1:$L$250</definedName>
    <definedName name="_xlnm.Print_Area" localSheetId="6">'03.EE-ศูนย์ประชุม (Main)'!$A$1:$L$490</definedName>
    <definedName name="_xlnm.Print_Area" localSheetId="17">'03.EE-ศูนย์ประชุม (RFL)'!$A$1:$L$155</definedName>
    <definedName name="_xlnm.Print_Area" localSheetId="22">'04.TV.ศูนย์ประชุม (1FL)'!$A$1:$L$57</definedName>
    <definedName name="_xlnm.Print_Area" localSheetId="23">'04.TV.ศูนย์ประชุม (2FL)'!$A$1:$L$57</definedName>
    <definedName name="_xlnm.Print_Area" localSheetId="24">'04.TV.ศูนย์ประชุม (3FL)'!$A$1:$L$57</definedName>
    <definedName name="_xlnm.Print_Area" localSheetId="25">'04.TV.ศูนย์ประชุม (4FL)'!$A$1:$L$57</definedName>
    <definedName name="_xlnm.Print_Area" localSheetId="26">'04.TV.ศูนย์ประชุม (5FL)'!$A$1:$L$57</definedName>
    <definedName name="_xlnm.Print_Area" localSheetId="27">'04.TV.ศูนย์ประชุม (6FL)'!$A$1:$L$57</definedName>
    <definedName name="_xlnm.Print_Area" localSheetId="28">'04.TV.ศูนย์ประชุม (7FL)'!$A$1:$L$57</definedName>
    <definedName name="_xlnm.Print_Area" localSheetId="29">'04.TV.ศูนย์ประชุม (8FL)'!$A$1:$L$57</definedName>
    <definedName name="_xlnm.Print_Area" localSheetId="21">'04.TV.ศูนย์ประชุม (B1)'!$A$1:$L$57</definedName>
    <definedName name="_xlnm.Print_Area" localSheetId="20">'04.TV.ศูนย์ประชุม (B2)'!$A$1:$L$57</definedName>
    <definedName name="_xlnm.Print_Area" localSheetId="34">'05.SAN ศูนย์ประชุม (FL1)'!$A$1:$L$135</definedName>
    <definedName name="_xlnm.Print_Area" localSheetId="35">'05.SAN ศูนย์ประชุม (FL2)'!$A$1:$L$135</definedName>
    <definedName name="_xlnm.Print_Area" localSheetId="36">'05.SAN ศูนย์ประชุม (FL3)'!$A$1:$L$136</definedName>
    <definedName name="_xlnm.Print_Area" localSheetId="37">'05.SAN ศูนย์ประชุม (FL4)'!$A$1:$L$136</definedName>
    <definedName name="_xlnm.Print_Area" localSheetId="39">'05.SAN ศูนย์ประชุม (FL6)'!$A$1:$L$136</definedName>
    <definedName name="_xlnm.Print_Area" localSheetId="40">'05.SAN ศูนย์ประชุม (FL7)'!$A$1:$L$136</definedName>
    <definedName name="_xlnm.Print_Area" localSheetId="42">'05.SAN ศูนย์ประชุม (FLR)'!$A$1:$L$60</definedName>
    <definedName name="_xlnm.Print_Area" localSheetId="33">'05.SAN ศูนย์ประชุม(B1)'!$A$1:$L$84</definedName>
    <definedName name="_xlnm.Print_Area" localSheetId="32">'05.SAN ศูนย์ประชุม(B2)'!$A$1:$L$86</definedName>
    <definedName name="_xlnm.Print_Area" localSheetId="31">'05.SAN ศูนย์ประชุม(Main)'!$A$1:$L$210</definedName>
    <definedName name="_xlnm.Print_Area" localSheetId="41">'05.SAN อศูนย์ประชุม (FL8)'!$A$1:$L$84</definedName>
    <definedName name="_xlnm.Print_Area" localSheetId="38">'05.SANศูนย์ประชุม (FL5)'!$A$1:$L$136</definedName>
    <definedName name="_xlnm.Print_Area" localSheetId="60">'06.AC ศูนย์ประชุม (1FL)'!$A$1:$L$323</definedName>
    <definedName name="_xlnm.Print_Area" localSheetId="61">'06.AC ศูนย์ประชุม (2FL)'!$A$1:$L$303</definedName>
    <definedName name="_xlnm.Print_Area" localSheetId="62">'06.AC ศูนย์ประชุม (3FL)'!$A$1:$L$295</definedName>
    <definedName name="_xlnm.Print_Area" localSheetId="63">'06.AC ศูนย์ประชุม (4FL)'!$A$1:$L$272</definedName>
    <definedName name="_xlnm.Print_Area" localSheetId="64">'06.AC ศูนย์ประชุม (5FL)'!$A$1:$L$282</definedName>
    <definedName name="_xlnm.Print_Area" localSheetId="65">'06.AC ศูนย์ประชุม (6FL)'!$A$1:$L$282</definedName>
    <definedName name="_xlnm.Print_Area" localSheetId="66">'06.AC ศูนย์ประชุม (7FL)'!$A$1:$L$277</definedName>
    <definedName name="_xlnm.Print_Area" localSheetId="67">'06.AC ศูนย์ประชุม (8FL)'!$A$1:$L$359</definedName>
    <definedName name="_xlnm.Print_Area" localSheetId="59">'06.AC ศูนย์ประชุม (B1FL)'!$A$1:$L$222</definedName>
    <definedName name="_xlnm.Print_Area" localSheetId="58">'06.AC ศูนย์ประชุม (B2FL)'!$A$1:$L$209</definedName>
    <definedName name="_xlnm.Print_Area" localSheetId="57">'06.AC ศูนย์ประชุม (Main)'!$A$1:$L$159</definedName>
    <definedName name="_xlnm.Print_Area" localSheetId="68">'06.AC ศูนย์ประชุม (RFL)'!$A$1:$L$134</definedName>
    <definedName name="_xlnm.Print_Area" localSheetId="47">'06.FP ศูนย์ประชุม (FL1)'!$A$1:$L$134</definedName>
    <definedName name="_xlnm.Print_Area" localSheetId="48">'06.FP ศูนย์ประชุม (FL2)'!$A$1:$L$134</definedName>
    <definedName name="_xlnm.Print_Area" localSheetId="49">'06.FP ศูนย์ประชุม (FL3)'!$A$1:$L$134</definedName>
    <definedName name="_xlnm.Print_Area" localSheetId="50">'06.FP ศูนย์ประชุม (FL4)'!$A$1:$L$134</definedName>
    <definedName name="_xlnm.Print_Area" localSheetId="51">'06.FP ศูนย์ประชุม (FL5)'!$A$1:$L$134</definedName>
    <definedName name="_xlnm.Print_Area" localSheetId="52">'06.FP ศูนย์ประชุม (FL6)'!$A$1:$L$134</definedName>
    <definedName name="_xlnm.Print_Area" localSheetId="53">'06.FP ศูนย์ประชุม (FL7)'!$A$1:$L$134</definedName>
    <definedName name="_xlnm.Print_Area" localSheetId="54">'06.FP ศูนย์ประชุม (FL8)'!$A$1:$L$134</definedName>
    <definedName name="_xlnm.Print_Area" localSheetId="55">'06.FP ศูนย์ประชุม (FLR)'!$A$1:$L$134</definedName>
    <definedName name="_xlnm.Print_Area" localSheetId="46">'06.FP ศูนย์ประชุม(B1)'!$A$1:$L$134</definedName>
    <definedName name="_xlnm.Print_Area" localSheetId="45">'06.FP ศูนย์ประชุม(B2)'!$A$1:$L$129</definedName>
    <definedName name="_xlnm.Print_Area" localSheetId="44">'06.FP ศูนย์ประชุม(Main)'!$A$1:$L$109</definedName>
    <definedName name="_xlnm.Print_Area" localSheetId="71">'07-HARDSCAPE-อาคารเอเทรี่ยม'!$A$1:$L$109</definedName>
    <definedName name="_xlnm.Print_Area" localSheetId="74">'Factor F'!$A$1:$K$22</definedName>
    <definedName name="_xlnm.Print_Area" localSheetId="73">แบบแสดงการคำนวณค่าใช้จ่ายพิเศษ!$A$1:$H$426</definedName>
    <definedName name="_xlnm.Print_Area" localSheetId="1">'ปร.5(ก)อาคาร'!$A$1:$I$48</definedName>
    <definedName name="_xlnm.Print_Area">#REF!</definedName>
    <definedName name="Print_Area_MI" localSheetId="3">#REF!</definedName>
    <definedName name="Print_Area_MI" localSheetId="71">#REF!</definedName>
    <definedName name="Print_Area_MI" localSheetId="69">#REF!</definedName>
    <definedName name="Print_Area_MI">#REF!</definedName>
    <definedName name="_xlnm.Print_Titles" localSheetId="3">'01.ST ศูนย์ประชุม'!$1:$10</definedName>
    <definedName name="_xlnm.Print_Titles" localSheetId="4">'02.AR CONVENTION'!$1:$10</definedName>
    <definedName name="_xlnm.Print_Titles" localSheetId="9">'03.EE-ศูนย์ประชุม (1FL)'!$1:$10</definedName>
    <definedName name="_xlnm.Print_Titles" localSheetId="10">'03.EE-ศูนย์ประชุม (2FL)'!$1:$10</definedName>
    <definedName name="_xlnm.Print_Titles" localSheetId="11">'03.EE-ศูนย์ประชุม (3FL)'!$1:$10</definedName>
    <definedName name="_xlnm.Print_Titles" localSheetId="12">'03.EE-ศูนย์ประชุม (4FL)'!$1:$10</definedName>
    <definedName name="_xlnm.Print_Titles" localSheetId="13">'03.EE-ศูนย์ประชุม (5FL)'!$1:$10</definedName>
    <definedName name="_xlnm.Print_Titles" localSheetId="14">'03.EE-ศูนย์ประชุม (6FL)'!$1:$10</definedName>
    <definedName name="_xlnm.Print_Titles" localSheetId="15">'03.EE-ศูนย์ประชุม (7FL)'!$1:$10</definedName>
    <definedName name="_xlnm.Print_Titles" localSheetId="16">'03.EE-ศูนย์ประชุม (8FL)'!$1:$10</definedName>
    <definedName name="_xlnm.Print_Titles" localSheetId="8">'03.EE-ศูนย์ประชุม (B1)'!$1:$10</definedName>
    <definedName name="_xlnm.Print_Titles" localSheetId="7">'03.EE-ศูนย์ประชุม (B2)'!$1:$10</definedName>
    <definedName name="_xlnm.Print_Titles" localSheetId="6">'03.EE-ศูนย์ประชุม (Main)'!$1:$10</definedName>
    <definedName name="_xlnm.Print_Titles" localSheetId="17">'03.EE-ศูนย์ประชุม (RFL)'!$1:$10</definedName>
    <definedName name="_xlnm.Print_Titles" localSheetId="22">'04.TV.ศูนย์ประชุม (1FL)'!$1:$10</definedName>
    <definedName name="_xlnm.Print_Titles" localSheetId="23">'04.TV.ศูนย์ประชุม (2FL)'!$1:$10</definedName>
    <definedName name="_xlnm.Print_Titles" localSheetId="24">'04.TV.ศูนย์ประชุม (3FL)'!$1:$10</definedName>
    <definedName name="_xlnm.Print_Titles" localSheetId="25">'04.TV.ศูนย์ประชุม (4FL)'!$1:$10</definedName>
    <definedName name="_xlnm.Print_Titles" localSheetId="26">'04.TV.ศูนย์ประชุม (5FL)'!$1:$10</definedName>
    <definedName name="_xlnm.Print_Titles" localSheetId="27">'04.TV.ศูนย์ประชุม (6FL)'!$1:$10</definedName>
    <definedName name="_xlnm.Print_Titles" localSheetId="28">'04.TV.ศูนย์ประชุม (7FL)'!$1:$10</definedName>
    <definedName name="_xlnm.Print_Titles" localSheetId="29">'04.TV.ศูนย์ประชุม (8FL)'!$1:$10</definedName>
    <definedName name="_xlnm.Print_Titles" localSheetId="21">'04.TV.ศูนย์ประชุม (B1)'!$1:$10</definedName>
    <definedName name="_xlnm.Print_Titles" localSheetId="20">'04.TV.ศูนย์ประชุม (B2)'!$1:$10</definedName>
    <definedName name="_xlnm.Print_Titles" localSheetId="19">'04.TV.ศูนย์ประชุม (Main)'!$1:$10</definedName>
    <definedName name="_xlnm.Print_Titles" localSheetId="34">'05.SAN ศูนย์ประชุม (FL1)'!$1:$10</definedName>
    <definedName name="_xlnm.Print_Titles" localSheetId="35">'05.SAN ศูนย์ประชุม (FL2)'!$1:$10</definedName>
    <definedName name="_xlnm.Print_Titles" localSheetId="36">'05.SAN ศูนย์ประชุม (FL3)'!$1:$10</definedName>
    <definedName name="_xlnm.Print_Titles" localSheetId="37">'05.SAN ศูนย์ประชุม (FL4)'!$1:$10</definedName>
    <definedName name="_xlnm.Print_Titles" localSheetId="39">'05.SAN ศูนย์ประชุม (FL6)'!$1:$10</definedName>
    <definedName name="_xlnm.Print_Titles" localSheetId="40">'05.SAN ศูนย์ประชุม (FL7)'!$1:$10</definedName>
    <definedName name="_xlnm.Print_Titles" localSheetId="42">'05.SAN ศูนย์ประชุม (FLR)'!$1:$10</definedName>
    <definedName name="_xlnm.Print_Titles" localSheetId="33">'05.SAN ศูนย์ประชุม(B1)'!$1:$10</definedName>
    <definedName name="_xlnm.Print_Titles" localSheetId="32">'05.SAN ศูนย์ประชุม(B2)'!$1:$10</definedName>
    <definedName name="_xlnm.Print_Titles" localSheetId="31">'05.SAN ศูนย์ประชุม(Main)'!$1:$10</definedName>
    <definedName name="_xlnm.Print_Titles" localSheetId="41">'05.SAN อศูนย์ประชุม (FL8)'!$1:$10</definedName>
    <definedName name="_xlnm.Print_Titles" localSheetId="38">'05.SANศูนย์ประชุม (FL5)'!$1:$10</definedName>
    <definedName name="_xlnm.Print_Titles" localSheetId="60">'06.AC ศูนย์ประชุม (1FL)'!$1:$10</definedName>
    <definedName name="_xlnm.Print_Titles" localSheetId="61">'06.AC ศูนย์ประชุม (2FL)'!$1:$10</definedName>
    <definedName name="_xlnm.Print_Titles" localSheetId="62">'06.AC ศูนย์ประชุม (3FL)'!$1:$10</definedName>
    <definedName name="_xlnm.Print_Titles" localSheetId="63">'06.AC ศูนย์ประชุม (4FL)'!$1:$10</definedName>
    <definedName name="_xlnm.Print_Titles" localSheetId="64">'06.AC ศูนย์ประชุม (5FL)'!$1:$10</definedName>
    <definedName name="_xlnm.Print_Titles" localSheetId="65">'06.AC ศูนย์ประชุม (6FL)'!$1:$10</definedName>
    <definedName name="_xlnm.Print_Titles" localSheetId="66">'06.AC ศูนย์ประชุม (7FL)'!$1:$10</definedName>
    <definedName name="_xlnm.Print_Titles" localSheetId="67">'06.AC ศูนย์ประชุม (8FL)'!$1:$10</definedName>
    <definedName name="_xlnm.Print_Titles" localSheetId="59">'06.AC ศูนย์ประชุม (B1FL)'!$1:$10</definedName>
    <definedName name="_xlnm.Print_Titles" localSheetId="58">'06.AC ศูนย์ประชุม (B2FL)'!$1:$10</definedName>
    <definedName name="_xlnm.Print_Titles" localSheetId="57">'06.AC ศูนย์ประชุม (Main)'!$1:$10</definedName>
    <definedName name="_xlnm.Print_Titles" localSheetId="68">'06.AC ศูนย์ประชุม (RFL)'!$1:$10</definedName>
    <definedName name="_xlnm.Print_Titles" localSheetId="47">'06.FP ศูนย์ประชุม (FL1)'!$1:$10</definedName>
    <definedName name="_xlnm.Print_Titles" localSheetId="48">'06.FP ศูนย์ประชุม (FL2)'!$1:$10</definedName>
    <definedName name="_xlnm.Print_Titles" localSheetId="49">'06.FP ศูนย์ประชุม (FL3)'!$1:$10</definedName>
    <definedName name="_xlnm.Print_Titles" localSheetId="50">'06.FP ศูนย์ประชุม (FL4)'!$1:$10</definedName>
    <definedName name="_xlnm.Print_Titles" localSheetId="51">'06.FP ศูนย์ประชุม (FL5)'!$1:$10</definedName>
    <definedName name="_xlnm.Print_Titles" localSheetId="52">'06.FP ศูนย์ประชุม (FL6)'!$1:$10</definedName>
    <definedName name="_xlnm.Print_Titles" localSheetId="53">'06.FP ศูนย์ประชุม (FL7)'!$1:$10</definedName>
    <definedName name="_xlnm.Print_Titles" localSheetId="54">'06.FP ศูนย์ประชุม (FL8)'!$1:$10</definedName>
    <definedName name="_xlnm.Print_Titles" localSheetId="55">'06.FP ศูนย์ประชุม (FLR)'!$1:$10</definedName>
    <definedName name="_xlnm.Print_Titles" localSheetId="46">'06.FP ศูนย์ประชุม(B1)'!$1:$10</definedName>
    <definedName name="_xlnm.Print_Titles" localSheetId="45">'06.FP ศูนย์ประชุม(B2)'!$1:$10</definedName>
    <definedName name="_xlnm.Print_Titles" localSheetId="44">'06.FP ศูนย์ประชุม(Main)'!$1:$10</definedName>
    <definedName name="_xlnm.Print_Titles" localSheetId="71">'07-HARDSCAPE-อาคารเอเทรี่ยม'!$1:$10</definedName>
    <definedName name="_xlnm.Print_Titles" localSheetId="69">'08.LPG-ศูนย์ประชุม'!$1:$10</definedName>
    <definedName name="_xlnm.Print_Titles" localSheetId="70">'09.LIFT-ศูนย์ประชุม'!$1:$10</definedName>
    <definedName name="_xlnm.Print_Titles" localSheetId="73">แบบแสดงการคำนวณค่าใช้จ่ายพิเศษ!$1:$11</definedName>
    <definedName name="ProjectName">'[31]Backup Data'!$B$3</definedName>
    <definedName name="PvStr3">"Base Course"</definedName>
    <definedName name="PvStr4">"Subbase Course"</definedName>
    <definedName name="PvStr5">"Select Mat"</definedName>
    <definedName name="PvStr6">"PvStr6"</definedName>
    <definedName name="QQQQQ" localSheetId="3">#REF!</definedName>
    <definedName name="QQQQQ">#REF!</definedName>
    <definedName name="QTY1.7">'[32]B.O.Q'!$D$38</definedName>
    <definedName name="QTY3.7">'[32]B.O.Q'!$D$149</definedName>
    <definedName name="QTY6.3.13.2">'[32]B.O.Q'!$D$641</definedName>
    <definedName name="R.C.DitchTypeA_H_0.80" localSheetId="71">'[22]6'!$I$1492</definedName>
    <definedName name="R.C.DitchTypeA_H_0.80">'[23]6'!$I$1492</definedName>
    <definedName name="R.C.DrainChute">'[18]6'!$J$167</definedName>
    <definedName name="R.C.DrainOutlet">'[18]6'!$J$298</definedName>
    <definedName name="R.C.DrainOutLet_TypeI_0.40">'[18]6'!$J$259</definedName>
    <definedName name="R.C.GutterTypeI">'[18]6'!$J$2104</definedName>
    <definedName name="R.C.GutterTypeII">'[18]6'!$J$2116</definedName>
    <definedName name="R.C.GutterTypeIII">'[18]6'!$J$2128</definedName>
    <definedName name="R.C.HeadWall_BoxCulvert_TypeII2.10x2.10m.">'[18]6'!$J$1847</definedName>
    <definedName name="R.C.HeadWall_BoxCulvert1.80x1.80m.">'[18]6'!$J$1825</definedName>
    <definedName name="R.C.HeadWall_BoxCulvert2.10x2.10m.">'[18]6'!$J$1835</definedName>
    <definedName name="R.C.InterceptorTypeI">'[18]6'!$J$2142</definedName>
    <definedName name="R.C.InterceptorTypeII">'[18]6'!$J$2154</definedName>
    <definedName name="R.C.ManholeTypeA_0.60" localSheetId="71">'[22]6'!$I$278</definedName>
    <definedName name="R.C.ManholeTypeA_0.60">'[23]6'!$I$278</definedName>
    <definedName name="R.C.ManholeTypeB_0.60" localSheetId="71">'[22]6'!$I$305</definedName>
    <definedName name="R.C.ManholeTypeB_0.60">'[23]6'!$I$305</definedName>
    <definedName name="R.C.ManholeTypeB_0.80" localSheetId="71">'[22]6'!$I$333</definedName>
    <definedName name="R.C.ManholeTypeB_0.80">'[23]6'!$I$333</definedName>
    <definedName name="R.C.ManholeTypeB_1.00" localSheetId="71">'[22]6'!$I$361</definedName>
    <definedName name="R.C.ManholeTypeB_1.00">'[23]6'!$I$361</definedName>
    <definedName name="R.C.ManholeTypeC_1.00" localSheetId="71">'[22]6'!$I$554</definedName>
    <definedName name="R.C.ManholeTypeC_1.00">'[23]6'!$I$554</definedName>
    <definedName name="R.C.ManholeTypeC_1.20" localSheetId="71">'[22]6'!$I$582</definedName>
    <definedName name="R.C.ManholeTypeC_1.20">'[23]6'!$I$582</definedName>
    <definedName name="R.C.ManholeTypeF" localSheetId="71">'[22]6'!$I$749</definedName>
    <definedName name="R.C.ManholeTypeF">'[23]6'!$I$749</definedName>
    <definedName name="R.C.PipeCulvert_0.30" localSheetId="71">'[22]5'!$J$34</definedName>
    <definedName name="R.C.PipeCulvert_0.30">'[23]5'!$J$34</definedName>
    <definedName name="R.C.PipeCulverts_0.40" localSheetId="71">'[22]5'!$J$48</definedName>
    <definedName name="R.C.PipeCulverts_0.40">'[23]5'!$J$48</definedName>
    <definedName name="R.C.PipeCulverts_0.60" localSheetId="71">'[22]5'!$J$61</definedName>
    <definedName name="R.C.PipeCulverts_0.60">'[23]5'!$J$61</definedName>
    <definedName name="R.C.PipeCulverts_0.80" localSheetId="71">'[22]5'!$J$74</definedName>
    <definedName name="R.C.PipeCulverts_0.80">'[23]5'!$J$74</definedName>
    <definedName name="R.C.PipeCulverts_1.00" localSheetId="71">'[22]5'!$J$87</definedName>
    <definedName name="R.C.PipeCulverts_1.00">'[23]5'!$J$87</definedName>
    <definedName name="R.C.PipeCulverts_1.20" localSheetId="71">'[22]5'!$J$100</definedName>
    <definedName name="R.C.PipeCulverts_1.20">'[23]5'!$J$100</definedName>
    <definedName name="R.C.PipeCulverts_1.50" localSheetId="71">'[22]5'!$J$113</definedName>
    <definedName name="R.C.PipeCulverts_1.50">'[23]5'!$J$113</definedName>
    <definedName name="R.C.REcTANGULAR">'[18]6'!$J$1625</definedName>
    <definedName name="RC.DrainOutlet_TypeII">'[18]6'!$J$286</definedName>
    <definedName name="RC.Interceptor_TypeIII">'[18]6'!$J$1881</definedName>
    <definedName name="Removal_PipeCulvert1.00">[18]REMOVAL!$J$376</definedName>
    <definedName name="RET">'[33]11 ข้อมูลงานCon'!$R$11</definedName>
    <definedName name="RetainingWall_TypeA_I_H2.50">'[18]6'!$J$2297</definedName>
    <definedName name="RetainingWall_TypeA_I_H3.50">'[18]6'!$J$2309</definedName>
    <definedName name="ROCK.AC" localSheetId="3">'[25]3ข้อมูลวัสดุ-ค่าดำเนิน'!#REF!</definedName>
    <definedName name="ROCK.AC" localSheetId="4">'[25]3ข้อมูลวัสดุ-ค่าดำเนิน'!#REF!</definedName>
    <definedName name="ROCK.AC" localSheetId="71">'[25]3ข้อมูลวัสดุ-ค่าดำเนิน'!#REF!</definedName>
    <definedName name="ROCK.AC" localSheetId="69">'[25]3ข้อมูลวัสดุ-ค่าดำเนิน'!#REF!</definedName>
    <definedName name="ROCK.AC" localSheetId="70">'[25]3ข้อมูลวัสดุ-ค่าดำเนิน'!#REF!</definedName>
    <definedName name="ROCK.AC" localSheetId="74">'[25]3ข้อมูลวัสดุ-ค่าดำเนิน'!#REF!</definedName>
    <definedName name="ROCK.AC" localSheetId="2">'[25]3ข้อมูลวัสดุ-ค่าดำเนิน'!#REF!</definedName>
    <definedName name="ROCK.AC">'[25]3ข้อมูลวัสดุ-ค่าดำเนิน'!#REF!</definedName>
    <definedName name="ROCK_CON">'[34]6.ข้อมูลวัสดุ-ค่าดำเนิน'!$X$31</definedName>
    <definedName name="RockGabions">'[18]6'!$J$93</definedName>
    <definedName name="RockMattress">'[18]6'!$J$2091</definedName>
    <definedName name="rung" localSheetId="3">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</definedName>
    <definedName name="rung" localSheetId="4">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</definedName>
    <definedName name="rung" localSheetId="71">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</definedName>
    <definedName name="rung" localSheetId="69">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</definedName>
    <definedName name="rung">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,[35]LITF!#REF!</definedName>
    <definedName name="s" localSheetId="3">#REF!</definedName>
    <definedName name="s" localSheetId="4">#REF!</definedName>
    <definedName name="s" localSheetId="71">#REF!</definedName>
    <definedName name="s" localSheetId="69">#REF!</definedName>
    <definedName name="s">#REF!</definedName>
    <definedName name="s2l" localSheetId="3">[26]unitcost!#REF!</definedName>
    <definedName name="s2l" localSheetId="4">[27]unitcost!#REF!</definedName>
    <definedName name="s2l" localSheetId="71">[26]unitcost!#REF!</definedName>
    <definedName name="s2l" localSheetId="69">[26]unitcost!#REF!</definedName>
    <definedName name="s2l" localSheetId="70">[26]unitcost!#REF!</definedName>
    <definedName name="s2l" localSheetId="74">[26]unitcost!#REF!</definedName>
    <definedName name="s2l" localSheetId="2">[26]unitcost!#REF!</definedName>
    <definedName name="s2l">[26]unitcost!#REF!</definedName>
    <definedName name="s3a" localSheetId="3">[26]unitcost!#REF!</definedName>
    <definedName name="s3a" localSheetId="4">[27]unitcost!#REF!</definedName>
    <definedName name="s3a" localSheetId="71">[26]unitcost!#REF!</definedName>
    <definedName name="s3a" localSheetId="69">[26]unitcost!#REF!</definedName>
    <definedName name="s3a" localSheetId="70">[26]unitcost!#REF!</definedName>
    <definedName name="s3a" localSheetId="74">[26]unitcost!#REF!</definedName>
    <definedName name="s3a" localSheetId="2">[26]unitcost!#REF!</definedName>
    <definedName name="s3a">[26]unitcost!#REF!</definedName>
    <definedName name="s3d" localSheetId="3">[26]unitcost!#REF!</definedName>
    <definedName name="s3d" localSheetId="4">[27]unitcost!#REF!</definedName>
    <definedName name="s3d" localSheetId="71">[26]unitcost!#REF!</definedName>
    <definedName name="s3d" localSheetId="69">[26]unitcost!#REF!</definedName>
    <definedName name="s3d" localSheetId="70">[26]unitcost!#REF!</definedName>
    <definedName name="s3d" localSheetId="74">[26]unitcost!#REF!</definedName>
    <definedName name="s3d" localSheetId="2">[26]unitcost!#REF!</definedName>
    <definedName name="s3d">[26]unitcost!#REF!</definedName>
    <definedName name="s3l" localSheetId="3">[26]unitcost!#REF!</definedName>
    <definedName name="s3l" localSheetId="4">[27]unitcost!#REF!</definedName>
    <definedName name="s3l" localSheetId="71">[26]unitcost!#REF!</definedName>
    <definedName name="s3l" localSheetId="69">[26]unitcost!#REF!</definedName>
    <definedName name="s3l" localSheetId="70">[26]unitcost!#REF!</definedName>
    <definedName name="s3l" localSheetId="74">[26]unitcost!#REF!</definedName>
    <definedName name="s3l" localSheetId="2">[26]unitcost!#REF!</definedName>
    <definedName name="s3l">[26]unitcost!#REF!</definedName>
    <definedName name="s4a" localSheetId="3">[26]unitcost!#REF!</definedName>
    <definedName name="s4a" localSheetId="4">[27]unitcost!#REF!</definedName>
    <definedName name="s4a" localSheetId="71">[26]unitcost!#REF!</definedName>
    <definedName name="s4a" localSheetId="69">[26]unitcost!#REF!</definedName>
    <definedName name="s4a" localSheetId="74">[26]unitcost!#REF!</definedName>
    <definedName name="s4a" localSheetId="2">[26]unitcost!#REF!</definedName>
    <definedName name="s4a">[26]unitcost!#REF!</definedName>
    <definedName name="s4d" localSheetId="3">[26]unitcost!#REF!</definedName>
    <definedName name="s4d" localSheetId="4">[27]unitcost!#REF!</definedName>
    <definedName name="s4d" localSheetId="71">[26]unitcost!#REF!</definedName>
    <definedName name="s4d" localSheetId="69">[26]unitcost!#REF!</definedName>
    <definedName name="s4d" localSheetId="74">[26]unitcost!#REF!</definedName>
    <definedName name="s4d" localSheetId="2">[26]unitcost!#REF!</definedName>
    <definedName name="s4d">[26]unitcost!#REF!</definedName>
    <definedName name="s4l" localSheetId="3">[26]unitcost!#REF!</definedName>
    <definedName name="s4l" localSheetId="4">[27]unitcost!#REF!</definedName>
    <definedName name="s4l" localSheetId="71">[26]unitcost!#REF!</definedName>
    <definedName name="s4l" localSheetId="69">[26]unitcost!#REF!</definedName>
    <definedName name="s4l" localSheetId="74">[26]unitcost!#REF!</definedName>
    <definedName name="s4l" localSheetId="2">[26]unitcost!#REF!</definedName>
    <definedName name="s4l">[26]unitcost!#REF!</definedName>
    <definedName name="s5a" localSheetId="3">[26]unitcost!#REF!</definedName>
    <definedName name="s5a" localSheetId="4">[27]unitcost!#REF!</definedName>
    <definedName name="s5a" localSheetId="71">[26]unitcost!#REF!</definedName>
    <definedName name="s5a" localSheetId="69">[26]unitcost!#REF!</definedName>
    <definedName name="s5a" localSheetId="74">[26]unitcost!#REF!</definedName>
    <definedName name="s5a" localSheetId="2">[26]unitcost!#REF!</definedName>
    <definedName name="s5a">[26]unitcost!#REF!</definedName>
    <definedName name="s5d" localSheetId="3">[26]unitcost!#REF!</definedName>
    <definedName name="s5d" localSheetId="4">[27]unitcost!#REF!</definedName>
    <definedName name="s5d" localSheetId="71">[26]unitcost!#REF!</definedName>
    <definedName name="s5d" localSheetId="69">[26]unitcost!#REF!</definedName>
    <definedName name="s5d" localSheetId="74">[26]unitcost!#REF!</definedName>
    <definedName name="s5d" localSheetId="2">[26]unitcost!#REF!</definedName>
    <definedName name="s5d">[26]unitcost!#REF!</definedName>
    <definedName name="s5l" localSheetId="3">[26]unitcost!#REF!</definedName>
    <definedName name="s5l" localSheetId="4">[27]unitcost!#REF!</definedName>
    <definedName name="s5l" localSheetId="71">[26]unitcost!#REF!</definedName>
    <definedName name="s5l" localSheetId="69">[26]unitcost!#REF!</definedName>
    <definedName name="s5l" localSheetId="74">[26]unitcost!#REF!</definedName>
    <definedName name="s5l" localSheetId="2">[26]unitcost!#REF!</definedName>
    <definedName name="s5l">[26]unitcost!#REF!</definedName>
    <definedName name="s6a" localSheetId="3">[26]unitcost!#REF!</definedName>
    <definedName name="s6a" localSheetId="4">[27]unitcost!#REF!</definedName>
    <definedName name="s6a" localSheetId="71">[26]unitcost!#REF!</definedName>
    <definedName name="s6a" localSheetId="69">[26]unitcost!#REF!</definedName>
    <definedName name="s6a" localSheetId="74">[26]unitcost!#REF!</definedName>
    <definedName name="s6a" localSheetId="2">[26]unitcost!#REF!</definedName>
    <definedName name="s6a">[26]unitcost!#REF!</definedName>
    <definedName name="s6d" localSheetId="3">[26]unitcost!#REF!</definedName>
    <definedName name="s6d" localSheetId="4">[27]unitcost!#REF!</definedName>
    <definedName name="s6d" localSheetId="71">[26]unitcost!#REF!</definedName>
    <definedName name="s6d" localSheetId="69">[26]unitcost!#REF!</definedName>
    <definedName name="s6d" localSheetId="74">[26]unitcost!#REF!</definedName>
    <definedName name="s6d" localSheetId="2">[26]unitcost!#REF!</definedName>
    <definedName name="s6d">[26]unitcost!#REF!</definedName>
    <definedName name="s6l" localSheetId="3">[26]unitcost!#REF!</definedName>
    <definedName name="s6l" localSheetId="4">[27]unitcost!#REF!</definedName>
    <definedName name="s6l" localSheetId="71">[26]unitcost!#REF!</definedName>
    <definedName name="s6l" localSheetId="69">[26]unitcost!#REF!</definedName>
    <definedName name="s6l" localSheetId="74">[26]unitcost!#REF!</definedName>
    <definedName name="s6l" localSheetId="2">[26]unitcost!#REF!</definedName>
    <definedName name="s6l">[26]unitcost!#REF!</definedName>
    <definedName name="s7a" localSheetId="3">[26]unitcost!#REF!</definedName>
    <definedName name="s7a" localSheetId="4">[27]unitcost!#REF!</definedName>
    <definedName name="s7a" localSheetId="71">[26]unitcost!#REF!</definedName>
    <definedName name="s7a" localSheetId="69">[26]unitcost!#REF!</definedName>
    <definedName name="s7a" localSheetId="74">[26]unitcost!#REF!</definedName>
    <definedName name="s7a" localSheetId="2">[26]unitcost!#REF!</definedName>
    <definedName name="s7a">[26]unitcost!#REF!</definedName>
    <definedName name="s7d" localSheetId="3">[26]unitcost!#REF!</definedName>
    <definedName name="s7d" localSheetId="4">[27]unitcost!#REF!</definedName>
    <definedName name="s7d" localSheetId="71">[26]unitcost!#REF!</definedName>
    <definedName name="s7d" localSheetId="69">[26]unitcost!#REF!</definedName>
    <definedName name="s7d" localSheetId="74">[26]unitcost!#REF!</definedName>
    <definedName name="s7d" localSheetId="2">[26]unitcost!#REF!</definedName>
    <definedName name="s7d">[26]unitcost!#REF!</definedName>
    <definedName name="s7l" localSheetId="3">[26]unitcost!#REF!</definedName>
    <definedName name="s7l" localSheetId="4">[27]unitcost!#REF!</definedName>
    <definedName name="s7l" localSheetId="71">[26]unitcost!#REF!</definedName>
    <definedName name="s7l" localSheetId="69">[26]unitcost!#REF!</definedName>
    <definedName name="s7l" localSheetId="74">[26]unitcost!#REF!</definedName>
    <definedName name="s7l" localSheetId="2">[26]unitcost!#REF!</definedName>
    <definedName name="s7l">[26]unitcost!#REF!</definedName>
    <definedName name="SD_ReinforBar12">'[18]Unit Cost'!$M$169</definedName>
    <definedName name="SD_ReinforBar16">'[18]Unit Cost'!$M$180</definedName>
    <definedName name="SERVICEAREA_1">[30]ตัดแบ่งกม.ส่งพี่หนุ่ม!$D$33</definedName>
    <definedName name="SERVICEAREA_2">[30]ตัดแบ่งกม.ส่งพี่หนุ่ม!$D$34</definedName>
    <definedName name="sf" localSheetId="3">#REF!</definedName>
    <definedName name="sf" localSheetId="4">#REF!</definedName>
    <definedName name="sf" localSheetId="71">#REF!</definedName>
    <definedName name="sf" localSheetId="69">#REF!</definedName>
    <definedName name="sf">#REF!</definedName>
    <definedName name="sr24mm" localSheetId="3">#REF!</definedName>
    <definedName name="sr24mm" localSheetId="4">#REF!</definedName>
    <definedName name="sr24mm" localSheetId="71">#REF!</definedName>
    <definedName name="sr24mm" localSheetId="69">#REF!</definedName>
    <definedName name="sr24mm" localSheetId="70">#REF!</definedName>
    <definedName name="sr24mm" localSheetId="74">#REF!</definedName>
    <definedName name="sr24mm" localSheetId="2">#REF!</definedName>
    <definedName name="sr24mm">#REF!</definedName>
    <definedName name="sss">'[16]12 ข้อมูลงานไม้แบบ'!$W$29</definedName>
    <definedName name="steel_temp">[19]Input!$E$4</definedName>
    <definedName name="SteelPlace25" localSheetId="3">#REF!</definedName>
    <definedName name="SteelPlace25" localSheetId="4">#REF!</definedName>
    <definedName name="SteelPlace25" localSheetId="71">#REF!</definedName>
    <definedName name="SteelPlace25" localSheetId="69">#REF!</definedName>
    <definedName name="SteelPlace25" localSheetId="70">#REF!</definedName>
    <definedName name="SteelPlace25" localSheetId="74">#REF!</definedName>
    <definedName name="SteelPlace25" localSheetId="2">#REF!</definedName>
    <definedName name="SteelPlace25">#REF!</definedName>
    <definedName name="SteelPlace8" localSheetId="3">#REF!</definedName>
    <definedName name="SteelPlace8" localSheetId="4">#REF!</definedName>
    <definedName name="SteelPlace8" localSheetId="71">#REF!</definedName>
    <definedName name="SteelPlace8" localSheetId="69">#REF!</definedName>
    <definedName name="SteelPlace8" localSheetId="70">#REF!</definedName>
    <definedName name="SteelPlace8" localSheetId="2">#REF!</definedName>
    <definedName name="SteelPlace8">#REF!</definedName>
    <definedName name="Strand12b">[36]ราคาวัสดุ!$F$63</definedName>
    <definedName name="Strand9b" localSheetId="3">#REF!</definedName>
    <definedName name="Strand9b" localSheetId="4">#REF!</definedName>
    <definedName name="Strand9b" localSheetId="5">#REF!</definedName>
    <definedName name="Strand9b" localSheetId="18">#REF!</definedName>
    <definedName name="Strand9b" localSheetId="30">#REF!</definedName>
    <definedName name="Strand9b" localSheetId="56">#REF!</definedName>
    <definedName name="Strand9b" localSheetId="43">#REF!</definedName>
    <definedName name="Strand9b" localSheetId="71">#REF!</definedName>
    <definedName name="Strand9b" localSheetId="69">#REF!</definedName>
    <definedName name="Strand9b" localSheetId="70">#REF!</definedName>
    <definedName name="Strand9b" localSheetId="74">#REF!</definedName>
    <definedName name="Strand9b" localSheetId="2">#REF!</definedName>
    <definedName name="Strand9b">#REF!</definedName>
    <definedName name="StrandPC7">[36]ราคาวัสดุ!$F$61</definedName>
    <definedName name="Strip_Sodding">'[5]6'!$J$1727</definedName>
    <definedName name="STRUC_LAB" localSheetId="3">#REF!</definedName>
    <definedName name="STRUC_LAB" localSheetId="4">#REF!</definedName>
    <definedName name="STRUC_LAB" localSheetId="71">#REF!</definedName>
    <definedName name="STRUC_LAB" localSheetId="69">#REF!</definedName>
    <definedName name="STRUC_LAB">#REF!</definedName>
    <definedName name="STRUC_MAT" localSheetId="3">#REF!</definedName>
    <definedName name="STRUC_MAT" localSheetId="69">#REF!</definedName>
    <definedName name="STRUC_MAT">#REF!</definedName>
    <definedName name="Structure_LOCAL" localSheetId="3">[12]Summary!#REF!</definedName>
    <definedName name="Structure_LOCAL" localSheetId="4">[12]Summary!#REF!</definedName>
    <definedName name="Structure_LOCAL" localSheetId="71">[12]Summary!#REF!</definedName>
    <definedName name="Structure_LOCAL" localSheetId="69">[12]Summary!#REF!</definedName>
    <definedName name="Structure_LOCAL" localSheetId="70">[12]Summary!#REF!</definedName>
    <definedName name="Structure_LOCAL" localSheetId="74">[12]Summary!#REF!</definedName>
    <definedName name="Structure_LOCAL" localSheetId="2">[12]Summary!#REF!</definedName>
    <definedName name="Structure_LOCAL">[12]Summary!#REF!</definedName>
    <definedName name="Structure_PAKCHONG" localSheetId="3">[12]Summary!#REF!</definedName>
    <definedName name="Structure_PAKCHONG" localSheetId="4">[12]Summary!#REF!</definedName>
    <definedName name="Structure_PAKCHONG" localSheetId="71">[12]Summary!#REF!</definedName>
    <definedName name="Structure_PAKCHONG" localSheetId="69">[12]Summary!#REF!</definedName>
    <definedName name="Structure_PAKCHONG" localSheetId="70">[12]Summary!#REF!</definedName>
    <definedName name="Structure_PAKCHONG" localSheetId="74">[12]Summary!#REF!</definedName>
    <definedName name="Structure_PAKCHONG">[12]Summary!#REF!</definedName>
    <definedName name="Structure_Sikhio" localSheetId="3">[12]Summary!#REF!</definedName>
    <definedName name="Structure_Sikhio" localSheetId="4">[12]Summary!#REF!</definedName>
    <definedName name="Structure_Sikhio" localSheetId="71">[12]Summary!#REF!</definedName>
    <definedName name="Structure_Sikhio" localSheetId="69">[12]Summary!#REF!</definedName>
    <definedName name="Structure_Sikhio" localSheetId="70">[12]Summary!#REF!</definedName>
    <definedName name="Structure_Sikhio">[12]Summary!#REF!</definedName>
    <definedName name="Structure_โคราช" localSheetId="3">[12]Summary!#REF!</definedName>
    <definedName name="Structure_โคราช" localSheetId="4">[12]Summary!#REF!</definedName>
    <definedName name="Structure_โคราช" localSheetId="71">[12]Summary!#REF!</definedName>
    <definedName name="Structure_โคราช" localSheetId="69">[12]Summary!#REF!</definedName>
    <definedName name="Structure_โคราช" localSheetId="70">[12]Summary!#REF!</definedName>
    <definedName name="Structure_โคราช">[12]Summary!#REF!</definedName>
    <definedName name="Structures_Accessroad" localSheetId="3">[12]Summary!#REF!</definedName>
    <definedName name="Structures_Accessroad" localSheetId="4">[12]Summary!#REF!</definedName>
    <definedName name="Structures_Accessroad" localSheetId="71">[12]Summary!#REF!</definedName>
    <definedName name="Structures_Accessroad">[12]Summary!#REF!</definedName>
    <definedName name="Structures_Crossing" localSheetId="3">[12]Summary!#REF!</definedName>
    <definedName name="Structures_Crossing" localSheetId="4">[12]Summary!#REF!</definedName>
    <definedName name="Structures_Crossing" localSheetId="71">[12]Summary!#REF!</definedName>
    <definedName name="Structures_Crossing">[12]Summary!#REF!</definedName>
    <definedName name="Structures_Overpass" localSheetId="3">[12]Summary!#REF!</definedName>
    <definedName name="Structures_Overpass" localSheetId="4">[12]Summary!#REF!</definedName>
    <definedName name="Structures_Overpass" localSheetId="71">[12]Summary!#REF!</definedName>
    <definedName name="Structures_Overpass">[12]Summary!#REF!</definedName>
    <definedName name="Structures_Serviceroad" localSheetId="3">[12]Summary!#REF!</definedName>
    <definedName name="Structures_Serviceroad" localSheetId="4">[12]Summary!#REF!</definedName>
    <definedName name="Structures_Serviceroad" localSheetId="71">[12]Summary!#REF!</definedName>
    <definedName name="Structures_Serviceroad">[12]Summary!#REF!</definedName>
    <definedName name="Subbase_Accessroad" localSheetId="3">[12]Summary!#REF!</definedName>
    <definedName name="Subbase_Accessroad" localSheetId="4">[12]Summary!#REF!</definedName>
    <definedName name="Subbase_Accessroad" localSheetId="71">[12]Summary!#REF!</definedName>
    <definedName name="Subbase_Accessroad">[12]Summary!#REF!</definedName>
    <definedName name="Subbase_Crossing" localSheetId="3">[12]Summary!#REF!</definedName>
    <definedName name="Subbase_Crossing" localSheetId="4">[12]Summary!#REF!</definedName>
    <definedName name="Subbase_Crossing" localSheetId="71">[12]Summary!#REF!</definedName>
    <definedName name="Subbase_Crossing">[12]Summary!#REF!</definedName>
    <definedName name="Subbase_LOCAL" localSheetId="3">[12]Summary!#REF!</definedName>
    <definedName name="Subbase_LOCAL" localSheetId="4">[12]Summary!#REF!</definedName>
    <definedName name="Subbase_LOCAL" localSheetId="71">[12]Summary!#REF!</definedName>
    <definedName name="Subbase_LOCAL">[12]Summary!#REF!</definedName>
    <definedName name="Subbase_Overpass" localSheetId="3">[12]Summary!#REF!</definedName>
    <definedName name="Subbase_Overpass" localSheetId="4">[12]Summary!#REF!</definedName>
    <definedName name="Subbase_Overpass" localSheetId="71">[12]Summary!#REF!</definedName>
    <definedName name="Subbase_Overpass">[12]Summary!#REF!</definedName>
    <definedName name="Subbase_PAKCHONG" localSheetId="3">[12]Summary!#REF!</definedName>
    <definedName name="Subbase_PAKCHONG" localSheetId="4">[12]Summary!#REF!</definedName>
    <definedName name="Subbase_PAKCHONG" localSheetId="71">[12]Summary!#REF!</definedName>
    <definedName name="Subbase_PAKCHONG">[12]Summary!#REF!</definedName>
    <definedName name="Subbase_Serviceroad" localSheetId="3">[12]Summary!#REF!</definedName>
    <definedName name="Subbase_Serviceroad" localSheetId="4">[12]Summary!#REF!</definedName>
    <definedName name="Subbase_Serviceroad" localSheetId="71">[12]Summary!#REF!</definedName>
    <definedName name="Subbase_Serviceroad">[12]Summary!#REF!</definedName>
    <definedName name="Subbase_Sikhio" localSheetId="3">[12]Summary!#REF!</definedName>
    <definedName name="Subbase_Sikhio" localSheetId="4">[12]Summary!#REF!</definedName>
    <definedName name="Subbase_Sikhio" localSheetId="71">[12]Summary!#REF!</definedName>
    <definedName name="Subbase_Sikhio">[12]Summary!#REF!</definedName>
    <definedName name="Subbase_โคราช" localSheetId="3">[12]Summary!#REF!</definedName>
    <definedName name="Subbase_โคราช" localSheetId="4">[12]Summary!#REF!</definedName>
    <definedName name="Subbase_โคราช" localSheetId="71">[12]Summary!#REF!</definedName>
    <definedName name="Subbase_โคราช">[12]Summary!#REF!</definedName>
    <definedName name="sum11boots">'[37]Sum.No.02 (11 Boots)'!$F$27</definedName>
    <definedName name="sum14boots">'[37]Sum.No.02 (14 Boots)'!$F$27</definedName>
    <definedName name="sum3Boots" localSheetId="3">#REF!</definedName>
    <definedName name="sum3Boots" localSheetId="4">#REF!</definedName>
    <definedName name="sum3Boots" localSheetId="5">#REF!</definedName>
    <definedName name="sum3Boots" localSheetId="18">#REF!</definedName>
    <definedName name="sum3Boots" localSheetId="30">#REF!</definedName>
    <definedName name="sum3Boots" localSheetId="56">#REF!</definedName>
    <definedName name="sum3Boots" localSheetId="43">#REF!</definedName>
    <definedName name="sum3Boots" localSheetId="71">#REF!</definedName>
    <definedName name="sum3Boots" localSheetId="69">#REF!</definedName>
    <definedName name="sum3Boots" localSheetId="70">#REF!</definedName>
    <definedName name="sum3Boots" localSheetId="74">#REF!</definedName>
    <definedName name="sum3Boots" localSheetId="2">#REF!</definedName>
    <definedName name="sum3Boots">#REF!</definedName>
    <definedName name="sum4boots" localSheetId="3">#REF!</definedName>
    <definedName name="sum4boots" localSheetId="4">#REF!</definedName>
    <definedName name="sum4boots" localSheetId="71">#REF!</definedName>
    <definedName name="sum4boots" localSheetId="69">#REF!</definedName>
    <definedName name="sum4boots" localSheetId="70">#REF!</definedName>
    <definedName name="sum4boots" localSheetId="2">#REF!</definedName>
    <definedName name="sum4boots">#REF!</definedName>
    <definedName name="sum5boots">'[37]Sum.No.02 (5 Boots)'!$F$27</definedName>
    <definedName name="sum6boots">'[37]Sum.No.02 (6 Boots)'!$F$27</definedName>
    <definedName name="sum8boots" localSheetId="3">#REF!</definedName>
    <definedName name="sum8boots" localSheetId="4">#REF!</definedName>
    <definedName name="sum8boots" localSheetId="5">#REF!</definedName>
    <definedName name="sum8boots" localSheetId="18">#REF!</definedName>
    <definedName name="sum8boots" localSheetId="30">#REF!</definedName>
    <definedName name="sum8boots" localSheetId="56">#REF!</definedName>
    <definedName name="sum8boots" localSheetId="43">#REF!</definedName>
    <definedName name="sum8boots" localSheetId="71">#REF!</definedName>
    <definedName name="sum8boots" localSheetId="69">#REF!</definedName>
    <definedName name="sum8boots" localSheetId="70">#REF!</definedName>
    <definedName name="sum8boots" localSheetId="74">#REF!</definedName>
    <definedName name="sum8boots" localSheetId="2">#REF!</definedName>
    <definedName name="sum8boots">#REF!</definedName>
    <definedName name="summ10">#REF!</definedName>
    <definedName name="summ11">#REF!</definedName>
    <definedName name="summ12">#REF!</definedName>
    <definedName name="summ2">#REF!</definedName>
    <definedName name="summ3">#REF!</definedName>
    <definedName name="summ5">'[38]EST-FOOTING (G)'!$A:$F,'[38]EST-FOOTING (G)'!$1:$7</definedName>
    <definedName name="summ8" localSheetId="3">#REF!</definedName>
    <definedName name="summ8" localSheetId="4">#REF!</definedName>
    <definedName name="summ8" localSheetId="71">#REF!</definedName>
    <definedName name="summ8" localSheetId="69">#REF!</definedName>
    <definedName name="summ8">#REF!</definedName>
    <definedName name="summ9" localSheetId="3">#REF!</definedName>
    <definedName name="summ9" localSheetId="69">#REF!</definedName>
    <definedName name="summ9">#REF!</definedName>
    <definedName name="summary" localSheetId="3">#REF!</definedName>
    <definedName name="summary" localSheetId="69">#REF!</definedName>
    <definedName name="summary">#REF!</definedName>
    <definedName name="Surface_Accessroad" localSheetId="3">[12]Summary!#REF!</definedName>
    <definedName name="Surface_Accessroad" localSheetId="4">[12]Summary!#REF!</definedName>
    <definedName name="Surface_Accessroad" localSheetId="5">[12]Summary!#REF!</definedName>
    <definedName name="Surface_Accessroad" localSheetId="18">[12]Summary!#REF!</definedName>
    <definedName name="Surface_Accessroad" localSheetId="30">[12]Summary!#REF!</definedName>
    <definedName name="Surface_Accessroad" localSheetId="56">[12]Summary!#REF!</definedName>
    <definedName name="Surface_Accessroad" localSheetId="43">[12]Summary!#REF!</definedName>
    <definedName name="Surface_Accessroad" localSheetId="71">[12]Summary!#REF!</definedName>
    <definedName name="Surface_Accessroad" localSheetId="69">[12]Summary!#REF!</definedName>
    <definedName name="Surface_Accessroad" localSheetId="70">[12]Summary!#REF!</definedName>
    <definedName name="Surface_Accessroad" localSheetId="74">[12]Summary!#REF!</definedName>
    <definedName name="Surface_Accessroad" localSheetId="2">[12]Summary!#REF!</definedName>
    <definedName name="Surface_Accessroad">[12]Summary!#REF!</definedName>
    <definedName name="Surface_Crossing" localSheetId="3">[12]Summary!#REF!</definedName>
    <definedName name="Surface_Crossing" localSheetId="4">[12]Summary!#REF!</definedName>
    <definedName name="Surface_Crossing" localSheetId="71">[12]Summary!#REF!</definedName>
    <definedName name="Surface_Crossing" localSheetId="69">[12]Summary!#REF!</definedName>
    <definedName name="Surface_Crossing" localSheetId="74">[12]Summary!#REF!</definedName>
    <definedName name="Surface_Crossing" localSheetId="2">[12]Summary!#REF!</definedName>
    <definedName name="Surface_Crossing">[12]Summary!#REF!</definedName>
    <definedName name="Surface_LOCAL" localSheetId="3">[12]Summary!#REF!</definedName>
    <definedName name="Surface_LOCAL" localSheetId="4">[12]Summary!#REF!</definedName>
    <definedName name="Surface_LOCAL" localSheetId="71">[12]Summary!#REF!</definedName>
    <definedName name="Surface_LOCAL">[12]Summary!#REF!</definedName>
    <definedName name="Surface_Overpass" localSheetId="3">[12]Summary!#REF!</definedName>
    <definedName name="Surface_Overpass" localSheetId="4">[12]Summary!#REF!</definedName>
    <definedName name="Surface_Overpass" localSheetId="71">[12]Summary!#REF!</definedName>
    <definedName name="Surface_Overpass">[12]Summary!#REF!</definedName>
    <definedName name="Surface_PAKCHONG" localSheetId="3">[12]Summary!#REF!</definedName>
    <definedName name="Surface_PAKCHONG" localSheetId="4">[12]Summary!#REF!</definedName>
    <definedName name="Surface_PAKCHONG" localSheetId="71">[12]Summary!#REF!</definedName>
    <definedName name="Surface_PAKCHONG">[12]Summary!#REF!</definedName>
    <definedName name="Surface_Serviceroad" localSheetId="3">[12]Summary!#REF!</definedName>
    <definedName name="Surface_Serviceroad" localSheetId="4">[12]Summary!#REF!</definedName>
    <definedName name="Surface_Serviceroad" localSheetId="71">[12]Summary!#REF!</definedName>
    <definedName name="Surface_Serviceroad">[12]Summary!#REF!</definedName>
    <definedName name="Surface_Sikhio" localSheetId="3">[12]Summary!#REF!</definedName>
    <definedName name="Surface_Sikhio" localSheetId="4">[12]Summary!#REF!</definedName>
    <definedName name="Surface_Sikhio" localSheetId="71">[12]Summary!#REF!</definedName>
    <definedName name="Surface_Sikhio">[12]Summary!#REF!</definedName>
    <definedName name="Surface_โคราช" localSheetId="3">[12]Summary!#REF!</definedName>
    <definedName name="Surface_โคราช" localSheetId="4">[12]Summary!#REF!</definedName>
    <definedName name="Surface_โคราช" localSheetId="71">[12]Summary!#REF!</definedName>
    <definedName name="Surface_โคราช">[12]Summary!#REF!</definedName>
    <definedName name="T" localSheetId="3">#REF!</definedName>
    <definedName name="T" localSheetId="4">#REF!</definedName>
    <definedName name="T" localSheetId="71">#REF!</definedName>
    <definedName name="T" localSheetId="69">#REF!</definedName>
    <definedName name="T" localSheetId="70">#REF!</definedName>
    <definedName name="T" localSheetId="74">#REF!</definedName>
    <definedName name="T" localSheetId="2">#REF!</definedName>
    <definedName name="T">#REF!</definedName>
    <definedName name="Table_CostAnalysis" localSheetId="3">#REF!</definedName>
    <definedName name="Table_CostAnalysis" localSheetId="4">#REF!</definedName>
    <definedName name="Table_CostAnalysis" localSheetId="71">#REF!</definedName>
    <definedName name="Table_CostAnalysis" localSheetId="69">#REF!</definedName>
    <definedName name="Table_CostAnalysis" localSheetId="70">#REF!</definedName>
    <definedName name="Table_CostAnalysis" localSheetId="2">#REF!</definedName>
    <definedName name="Table_CostAnalysis">#REF!</definedName>
    <definedName name="Table_Factor_F_งานก่อสร้างอาคาร" localSheetId="3">#REF!</definedName>
    <definedName name="Table_Factor_F_งานก่อสร้างอาคาร" localSheetId="4">#REF!</definedName>
    <definedName name="Table_Factor_F_งานก่อสร้างอาคาร" localSheetId="71">#REF!</definedName>
    <definedName name="Table_Factor_F_งานก่อสร้างอาคาร" localSheetId="69">#REF!</definedName>
    <definedName name="Table_Factor_F_งานก่อสร้างอาคาร" localSheetId="70">#REF!</definedName>
    <definedName name="Table_Factor_F_งานก่อสร้างอาคาร" localSheetId="2">#REF!</definedName>
    <definedName name="Table_Factor_F_งานก่อสร้างอาคาร">#REF!</definedName>
    <definedName name="Table_pipe" localSheetId="3">#REF!</definedName>
    <definedName name="Table_pipe" localSheetId="4">#REF!</definedName>
    <definedName name="Table_pipe" localSheetId="71">#REF!</definedName>
    <definedName name="Table_pipe" localSheetId="2">#REF!</definedName>
    <definedName name="Table_pipe">#REF!</definedName>
    <definedName name="TableF_Bridge" localSheetId="3">#REF!</definedName>
    <definedName name="TableF_Bridge" localSheetId="4">#REF!</definedName>
    <definedName name="TableF_Bridge" localSheetId="71">#REF!</definedName>
    <definedName name="TableF_Bridge" localSheetId="2">#REF!</definedName>
    <definedName name="TableF_Bridge">#REF!</definedName>
    <definedName name="TableF_Way" localSheetId="3">#REF!</definedName>
    <definedName name="TableF_Way" localSheetId="4">#REF!</definedName>
    <definedName name="TableF_Way" localSheetId="71">#REF!</definedName>
    <definedName name="TableF_Way" localSheetId="2">#REF!</definedName>
    <definedName name="TableF_Way">#REF!</definedName>
    <definedName name="TERRAMGEOTETEXTILES_T1000" localSheetId="3">#REF!</definedName>
    <definedName name="TERRAMGEOTETEXTILES_T1000" localSheetId="4">#REF!</definedName>
    <definedName name="TERRAMGEOTETEXTILES_T1000" localSheetId="71">#REF!</definedName>
    <definedName name="TERRAMGEOTETEXTILES_T1000" localSheetId="2">#REF!</definedName>
    <definedName name="TERRAMGEOTETEXTILES_T1000">#REF!</definedName>
    <definedName name="TERRAMGEOTETEXTILES_T1500" localSheetId="3">#REF!</definedName>
    <definedName name="TERRAMGEOTETEXTILES_T1500" localSheetId="4">#REF!</definedName>
    <definedName name="TERRAMGEOTETEXTILES_T1500" localSheetId="71">#REF!</definedName>
    <definedName name="TERRAMGEOTETEXTILES_T1500" localSheetId="2">#REF!</definedName>
    <definedName name="TERRAMGEOTETEXTILES_T1500">#REF!</definedName>
    <definedName name="THERMOPLASTIC_Yellow_White">'[5]6'!$J$2699</definedName>
    <definedName name="TIMBER_BARRICADE">'[5]6'!$J$2748</definedName>
    <definedName name="To_STA">42000</definedName>
    <definedName name="Top_Soil">'[5]6'!$J$1736</definedName>
    <definedName name="Topping4cm.RB6mm.ระยะเรียง0.2m.กันร้าวRB9mm.ระยะเรียง0.2ม." localSheetId="3">#REF!</definedName>
    <definedName name="Topping4cm.RB6mm.ระยะเรียง0.2m.กันร้าวRB9mm.ระยะเรียง0.2ม." localSheetId="4">#REF!</definedName>
    <definedName name="Topping4cm.RB6mm.ระยะเรียง0.2m.กันร้าวRB9mm.ระยะเรียง0.2ม." localSheetId="71">#REF!</definedName>
    <definedName name="Topping4cm.RB6mm.ระยะเรียง0.2m.กันร้าวRB9mm.ระยะเรียง0.2ม." localSheetId="69">#REF!</definedName>
    <definedName name="Topping4cm.RB6mm.ระยะเรียง0.2m.กันร้าวRB9mm.ระยะเรียง0.2ม." localSheetId="70">#REF!</definedName>
    <definedName name="Topping4cm.RB6mm.ระยะเรียง0.2m.กันร้าวRB9mm.ระยะเรียง0.2ม." localSheetId="74">#REF!</definedName>
    <definedName name="Topping4cm.RB6mm.ระยะเรียง0.2m.กันร้าวRB9mm.ระยะเรียง0.2ม." localSheetId="2">#REF!</definedName>
    <definedName name="Topping4cm.RB6mm.ระยะเรียง0.2m.กันร้าวRB9mm.ระยะเรียง0.2ม.">#REF!</definedName>
    <definedName name="Topping5cm.RB6mm.ระยะเรียง0.2m." localSheetId="3">#REF!</definedName>
    <definedName name="Topping5cm.RB6mm.ระยะเรียง0.2m." localSheetId="4">#REF!</definedName>
    <definedName name="Topping5cm.RB6mm.ระยะเรียง0.2m." localSheetId="71">#REF!</definedName>
    <definedName name="Topping5cm.RB6mm.ระยะเรียง0.2m." localSheetId="69">#REF!</definedName>
    <definedName name="Topping5cm.RB6mm.ระยะเรียง0.2m." localSheetId="70">#REF!</definedName>
    <definedName name="Topping5cm.RB6mm.ระยะเรียง0.2m." localSheetId="2">#REF!</definedName>
    <definedName name="Topping5cm.RB6mm.ระยะเรียง0.2m.">#REF!</definedName>
    <definedName name="Topping5cm.RB6mm.ระยะเรียง0.2m.กันร้าวRB9mm.ระยะเรียง0.20ม." localSheetId="3">'[39]unit cost'!#REF!</definedName>
    <definedName name="Topping5cm.RB6mm.ระยะเรียง0.2m.กันร้าวRB9mm.ระยะเรียง0.20ม." localSheetId="4">'[39]unit cost'!#REF!</definedName>
    <definedName name="Topping5cm.RB6mm.ระยะเรียง0.2m.กันร้าวRB9mm.ระยะเรียง0.20ม." localSheetId="71">'[39]unit cost'!#REF!</definedName>
    <definedName name="Topping5cm.RB6mm.ระยะเรียง0.2m.กันร้าวRB9mm.ระยะเรียง0.20ม." localSheetId="69">'[39]unit cost'!#REF!</definedName>
    <definedName name="Topping5cm.RB6mm.ระยะเรียง0.2m.กันร้าวRB9mm.ระยะเรียง0.20ม." localSheetId="70">'[39]unit cost'!#REF!</definedName>
    <definedName name="Topping5cm.RB6mm.ระยะเรียง0.2m.กันร้าวRB9mm.ระยะเรียง0.20ม.">'[39]unit cost'!#REF!</definedName>
    <definedName name="Topping5cm.RB9mm.ระยะเรียง0.20m." localSheetId="3">#REF!</definedName>
    <definedName name="Topping5cm.RB9mm.ระยะเรียง0.20m." localSheetId="4">#REF!</definedName>
    <definedName name="Topping5cm.RB9mm.ระยะเรียง0.20m." localSheetId="5">#REF!</definedName>
    <definedName name="Topping5cm.RB9mm.ระยะเรียง0.20m." localSheetId="18">#REF!</definedName>
    <definedName name="Topping5cm.RB9mm.ระยะเรียง0.20m." localSheetId="30">#REF!</definedName>
    <definedName name="Topping5cm.RB9mm.ระยะเรียง0.20m." localSheetId="56">#REF!</definedName>
    <definedName name="Topping5cm.RB9mm.ระยะเรียง0.20m." localSheetId="43">#REF!</definedName>
    <definedName name="Topping5cm.RB9mm.ระยะเรียง0.20m." localSheetId="71">#REF!</definedName>
    <definedName name="Topping5cm.RB9mm.ระยะเรียง0.20m." localSheetId="69">#REF!</definedName>
    <definedName name="Topping5cm.RB9mm.ระยะเรียง0.20m." localSheetId="70">#REF!</definedName>
    <definedName name="Topping5cm.RB9mm.ระยะเรียง0.20m." localSheetId="74">#REF!</definedName>
    <definedName name="Topping5cm.RB9mm.ระยะเรียง0.20m." localSheetId="2">#REF!</definedName>
    <definedName name="Topping5cm.RB9mm.ระยะเรียง0.20m.">#REF!</definedName>
    <definedName name="Topping5cm.wiremesh4mm.ระยะเรียง0.2m.กันร้าว6มม.ระยะเรียง0.4ม." localSheetId="3">#REF!</definedName>
    <definedName name="Topping5cm.wiremesh4mm.ระยะเรียง0.2m.กันร้าว6มม.ระยะเรียง0.4ม." localSheetId="4">#REF!</definedName>
    <definedName name="Topping5cm.wiremesh4mm.ระยะเรียง0.2m.กันร้าว6มม.ระยะเรียง0.4ม." localSheetId="71">#REF!</definedName>
    <definedName name="Topping5cm.wiremesh4mm.ระยะเรียง0.2m.กันร้าว6มม.ระยะเรียง0.4ม." localSheetId="69">#REF!</definedName>
    <definedName name="Topping5cm.wiremesh4mm.ระยะเรียง0.2m.กันร้าว6มม.ระยะเรียง0.4ม." localSheetId="70">#REF!</definedName>
    <definedName name="Topping5cm.wiremesh4mm.ระยะเรียง0.2m.กันร้าว6มม.ระยะเรียง0.4ม." localSheetId="2">#REF!</definedName>
    <definedName name="Topping5cm.wiremesh4mm.ระยะเรียง0.2m.กันร้าว6มม.ระยะเรียง0.4ม.">#REF!</definedName>
    <definedName name="Topping5cm.ไม่รวมเหล็ก" localSheetId="3">#REF!</definedName>
    <definedName name="Topping5cm.ไม่รวมเหล็ก" localSheetId="4">#REF!</definedName>
    <definedName name="Topping5cm.ไม่รวมเหล็ก" localSheetId="71">#REF!</definedName>
    <definedName name="Topping5cm.ไม่รวมเหล็ก" localSheetId="69">#REF!</definedName>
    <definedName name="Topping5cm.ไม่รวมเหล็ก" localSheetId="70">#REF!</definedName>
    <definedName name="Topping5cm.ไม่รวมเหล็ก" localSheetId="2">#REF!</definedName>
    <definedName name="Topping5cm.ไม่รวมเหล็ก">#REF!</definedName>
    <definedName name="Topหินอ่อนหนา2ซม.ขนาด5.0x1.5m." localSheetId="3">#REF!</definedName>
    <definedName name="Topหินอ่อนหนา2ซม.ขนาด5.0x1.5m." localSheetId="4">#REF!</definedName>
    <definedName name="Topหินอ่อนหนา2ซม.ขนาด5.0x1.5m." localSheetId="71">#REF!</definedName>
    <definedName name="Topหินอ่อนหนา2ซม.ขนาด5.0x1.5m." localSheetId="2">#REF!</definedName>
    <definedName name="Topหินอ่อนหนา2ซม.ขนาด5.0x1.5m.">#REF!</definedName>
    <definedName name="Total_4" localSheetId="3">#REF!</definedName>
    <definedName name="Total_4" localSheetId="4">#REF!</definedName>
    <definedName name="Total_4" localSheetId="71">#REF!</definedName>
    <definedName name="Total_4" localSheetId="2">#REF!</definedName>
    <definedName name="Total_4">#REF!</definedName>
    <definedName name="Total_AC_B1" localSheetId="3">'[40]ข้อ1.1'!#REF!</definedName>
    <definedName name="Total_AC_B1" localSheetId="4">'[40]ข้อ1.1'!#REF!</definedName>
    <definedName name="Total_AC_B1" localSheetId="71">'[40]ข้อ1.1'!#REF!</definedName>
    <definedName name="Total_AC_B1" localSheetId="2">'[40]ข้อ1.1'!#REF!</definedName>
    <definedName name="Total_AC_B1">'[40]ข้อ1.1'!#REF!</definedName>
    <definedName name="Total_AC_B10" localSheetId="3">#REF!</definedName>
    <definedName name="Total_AC_B10" localSheetId="4">#REF!</definedName>
    <definedName name="Total_AC_B10" localSheetId="5">#REF!</definedName>
    <definedName name="Total_AC_B10" localSheetId="18">#REF!</definedName>
    <definedName name="Total_AC_B10" localSheetId="30">#REF!</definedName>
    <definedName name="Total_AC_B10" localSheetId="56">#REF!</definedName>
    <definedName name="Total_AC_B10" localSheetId="43">#REF!</definedName>
    <definedName name="Total_AC_B10" localSheetId="71">#REF!</definedName>
    <definedName name="Total_AC_B10" localSheetId="69">#REF!</definedName>
    <definedName name="Total_AC_B10" localSheetId="70">#REF!</definedName>
    <definedName name="Total_AC_B10" localSheetId="74">#REF!</definedName>
    <definedName name="Total_AC_B10" localSheetId="2">#REF!</definedName>
    <definedName name="Total_AC_B10">#REF!</definedName>
    <definedName name="Total_AC_B11" localSheetId="3">#REF!</definedName>
    <definedName name="Total_AC_B11" localSheetId="4">#REF!</definedName>
    <definedName name="Total_AC_B11" localSheetId="71">#REF!</definedName>
    <definedName name="Total_AC_B11" localSheetId="69">#REF!</definedName>
    <definedName name="Total_AC_B11" localSheetId="70">#REF!</definedName>
    <definedName name="Total_AC_B11" localSheetId="2">#REF!</definedName>
    <definedName name="Total_AC_B11">#REF!</definedName>
    <definedName name="Total_AC_B12" localSheetId="3">#REF!</definedName>
    <definedName name="Total_AC_B12" localSheetId="4">#REF!</definedName>
    <definedName name="Total_AC_B12" localSheetId="71">#REF!</definedName>
    <definedName name="Total_AC_B12" localSheetId="69">#REF!</definedName>
    <definedName name="Total_AC_B12" localSheetId="70">#REF!</definedName>
    <definedName name="Total_AC_B12" localSheetId="2">#REF!</definedName>
    <definedName name="Total_AC_B12">#REF!</definedName>
    <definedName name="Total_AC_B13" localSheetId="3">#REF!</definedName>
    <definedName name="Total_AC_B13" localSheetId="4">#REF!</definedName>
    <definedName name="Total_AC_B13" localSheetId="71">#REF!</definedName>
    <definedName name="Total_AC_B13" localSheetId="2">#REF!</definedName>
    <definedName name="Total_AC_B13">#REF!</definedName>
    <definedName name="Total_AC_B14" localSheetId="3">#REF!</definedName>
    <definedName name="Total_AC_B14" localSheetId="4">#REF!</definedName>
    <definedName name="Total_AC_B14" localSheetId="71">#REF!</definedName>
    <definedName name="Total_AC_B14" localSheetId="2">#REF!</definedName>
    <definedName name="Total_AC_B14">#REF!</definedName>
    <definedName name="Total_AC_B15" localSheetId="3">#REF!</definedName>
    <definedName name="Total_AC_B15" localSheetId="4">#REF!</definedName>
    <definedName name="Total_AC_B15" localSheetId="71">#REF!</definedName>
    <definedName name="Total_AC_B15" localSheetId="2">#REF!</definedName>
    <definedName name="Total_AC_B15">#REF!</definedName>
    <definedName name="Total_AC_B16" localSheetId="3">#REF!</definedName>
    <definedName name="Total_AC_B16" localSheetId="4">#REF!</definedName>
    <definedName name="Total_AC_B16" localSheetId="71">#REF!</definedName>
    <definedName name="Total_AC_B16" localSheetId="2">#REF!</definedName>
    <definedName name="Total_AC_B16">#REF!</definedName>
    <definedName name="Total_AC_B17" localSheetId="3">#REF!</definedName>
    <definedName name="Total_AC_B17" localSheetId="4">#REF!</definedName>
    <definedName name="Total_AC_B17" localSheetId="71">#REF!</definedName>
    <definedName name="Total_AC_B17" localSheetId="2">#REF!</definedName>
    <definedName name="Total_AC_B17">#REF!</definedName>
    <definedName name="Total_AC_B19" localSheetId="3">#REF!</definedName>
    <definedName name="Total_AC_B19" localSheetId="4">#REF!</definedName>
    <definedName name="Total_AC_B19" localSheetId="71">#REF!</definedName>
    <definedName name="Total_AC_B19" localSheetId="2">#REF!</definedName>
    <definedName name="Total_AC_B19">#REF!</definedName>
    <definedName name="Total_AC_B20" localSheetId="3">#REF!</definedName>
    <definedName name="Total_AC_B20" localSheetId="4">#REF!</definedName>
    <definedName name="Total_AC_B20" localSheetId="71">#REF!</definedName>
    <definedName name="Total_AC_B20" localSheetId="2">#REF!</definedName>
    <definedName name="Total_AC_B20">#REF!</definedName>
    <definedName name="Total_AC_B22" localSheetId="3">#REF!</definedName>
    <definedName name="Total_AC_B22" localSheetId="4">#REF!</definedName>
    <definedName name="Total_AC_B22" localSheetId="71">#REF!</definedName>
    <definedName name="Total_AC_B22" localSheetId="2">#REF!</definedName>
    <definedName name="Total_AC_B22">#REF!</definedName>
    <definedName name="Total_AC_B23" localSheetId="3">#REF!</definedName>
    <definedName name="Total_AC_B23" localSheetId="4">#REF!</definedName>
    <definedName name="Total_AC_B23" localSheetId="71">#REF!</definedName>
    <definedName name="Total_AC_B23" localSheetId="2">#REF!</definedName>
    <definedName name="Total_AC_B23">#REF!</definedName>
    <definedName name="Total_AC_B3" localSheetId="3">#REF!</definedName>
    <definedName name="Total_AC_B3" localSheetId="4">#REF!</definedName>
    <definedName name="Total_AC_B3" localSheetId="71">#REF!</definedName>
    <definedName name="Total_AC_B3" localSheetId="2">#REF!</definedName>
    <definedName name="Total_AC_B3">#REF!</definedName>
    <definedName name="Total_AC_B4" localSheetId="3">#REF!</definedName>
    <definedName name="Total_AC_B4" localSheetId="4">#REF!</definedName>
    <definedName name="Total_AC_B4" localSheetId="71">#REF!</definedName>
    <definedName name="Total_AC_B4" localSheetId="2">#REF!</definedName>
    <definedName name="Total_AC_B4">#REF!</definedName>
    <definedName name="Total_AC_B5" localSheetId="3">#REF!</definedName>
    <definedName name="Total_AC_B5" localSheetId="4">#REF!</definedName>
    <definedName name="Total_AC_B5" localSheetId="71">#REF!</definedName>
    <definedName name="Total_AC_B5" localSheetId="2">#REF!</definedName>
    <definedName name="Total_AC_B5">#REF!</definedName>
    <definedName name="Total_AC_B6" localSheetId="3">#REF!</definedName>
    <definedName name="Total_AC_B6" localSheetId="4">#REF!</definedName>
    <definedName name="Total_AC_B6" localSheetId="71">#REF!</definedName>
    <definedName name="Total_AC_B6" localSheetId="2">#REF!</definedName>
    <definedName name="Total_AC_B6">#REF!</definedName>
    <definedName name="Total_AC_B7" localSheetId="3">#REF!</definedName>
    <definedName name="Total_AC_B7" localSheetId="4">#REF!</definedName>
    <definedName name="Total_AC_B7" localSheetId="71">#REF!</definedName>
    <definedName name="Total_AC_B7" localSheetId="2">#REF!</definedName>
    <definedName name="Total_AC_B7">#REF!</definedName>
    <definedName name="Total_AR_11" localSheetId="3">#REF!</definedName>
    <definedName name="Total_AR_11" localSheetId="4">#REF!</definedName>
    <definedName name="Total_AR_11" localSheetId="71">#REF!</definedName>
    <definedName name="Total_AR_11" localSheetId="2">#REF!</definedName>
    <definedName name="Total_AR_11">#REF!</definedName>
    <definedName name="Total_AR_B" localSheetId="3">#REF!</definedName>
    <definedName name="Total_AR_B" localSheetId="4">#REF!</definedName>
    <definedName name="Total_AR_B" localSheetId="71">#REF!</definedName>
    <definedName name="Total_AR_B" localSheetId="2">#REF!</definedName>
    <definedName name="Total_AR_B">#REF!</definedName>
    <definedName name="Total_AR_B1" localSheetId="3">'[40]ข้อ1.1'!#REF!</definedName>
    <definedName name="Total_AR_B1" localSheetId="4">'[40]ข้อ1.1'!#REF!</definedName>
    <definedName name="Total_AR_B1" localSheetId="71">'[40]ข้อ1.1'!#REF!</definedName>
    <definedName name="Total_AR_B1" localSheetId="2">'[40]ข้อ1.1'!#REF!</definedName>
    <definedName name="Total_AR_B1">'[40]ข้อ1.1'!#REF!</definedName>
    <definedName name="Total_AR_B10" localSheetId="3">#REF!</definedName>
    <definedName name="Total_AR_B10" localSheetId="4">#REF!</definedName>
    <definedName name="Total_AR_B10" localSheetId="5">#REF!</definedName>
    <definedName name="Total_AR_B10" localSheetId="18">#REF!</definedName>
    <definedName name="Total_AR_B10" localSheetId="30">#REF!</definedName>
    <definedName name="Total_AR_B10" localSheetId="56">#REF!</definedName>
    <definedName name="Total_AR_B10" localSheetId="43">#REF!</definedName>
    <definedName name="Total_AR_B10" localSheetId="71">#REF!</definedName>
    <definedName name="Total_AR_B10" localSheetId="69">#REF!</definedName>
    <definedName name="Total_AR_B10" localSheetId="70">#REF!</definedName>
    <definedName name="Total_AR_B10" localSheetId="74">#REF!</definedName>
    <definedName name="Total_AR_B10" localSheetId="2">#REF!</definedName>
    <definedName name="Total_AR_B10">#REF!</definedName>
    <definedName name="Total_AR_B11" localSheetId="3">#REF!</definedName>
    <definedName name="Total_AR_B11" localSheetId="4">#REF!</definedName>
    <definedName name="Total_AR_B11" localSheetId="71">#REF!</definedName>
    <definedName name="Total_AR_B11" localSheetId="69">#REF!</definedName>
    <definedName name="Total_AR_B11" localSheetId="70">#REF!</definedName>
    <definedName name="Total_AR_B11" localSheetId="2">#REF!</definedName>
    <definedName name="Total_AR_B11">#REF!</definedName>
    <definedName name="Total_AR_B12" localSheetId="3">#REF!</definedName>
    <definedName name="Total_AR_B12" localSheetId="4">#REF!</definedName>
    <definedName name="Total_AR_B12" localSheetId="71">#REF!</definedName>
    <definedName name="Total_AR_B12" localSheetId="69">#REF!</definedName>
    <definedName name="Total_AR_B12" localSheetId="70">#REF!</definedName>
    <definedName name="Total_AR_B12" localSheetId="2">#REF!</definedName>
    <definedName name="Total_AR_B12">#REF!</definedName>
    <definedName name="Total_AR_B13" localSheetId="3">#REF!</definedName>
    <definedName name="Total_AR_B13" localSheetId="4">#REF!</definedName>
    <definedName name="Total_AR_B13" localSheetId="71">#REF!</definedName>
    <definedName name="Total_AR_B13" localSheetId="2">#REF!</definedName>
    <definedName name="Total_AR_B13">#REF!</definedName>
    <definedName name="Total_AR_B14" localSheetId="3">#REF!</definedName>
    <definedName name="Total_AR_B14" localSheetId="4">#REF!</definedName>
    <definedName name="Total_AR_B14" localSheetId="71">#REF!</definedName>
    <definedName name="Total_AR_B14" localSheetId="2">#REF!</definedName>
    <definedName name="Total_AR_B14">#REF!</definedName>
    <definedName name="Total_AR_B15" localSheetId="3">#REF!</definedName>
    <definedName name="Total_AR_B15" localSheetId="4">#REF!</definedName>
    <definedName name="Total_AR_B15" localSheetId="71">#REF!</definedName>
    <definedName name="Total_AR_B15" localSheetId="2">#REF!</definedName>
    <definedName name="Total_AR_B15">#REF!</definedName>
    <definedName name="Total_AR_B16" localSheetId="3">#REF!</definedName>
    <definedName name="Total_AR_B16" localSheetId="4">#REF!</definedName>
    <definedName name="Total_AR_B16" localSheetId="71">#REF!</definedName>
    <definedName name="Total_AR_B16" localSheetId="2">#REF!</definedName>
    <definedName name="Total_AR_B16">#REF!</definedName>
    <definedName name="Total_AR_B17" localSheetId="3">#REF!</definedName>
    <definedName name="Total_AR_B17" localSheetId="4">#REF!</definedName>
    <definedName name="Total_AR_B17" localSheetId="71">#REF!</definedName>
    <definedName name="Total_AR_B17" localSheetId="2">#REF!</definedName>
    <definedName name="Total_AR_B17">#REF!</definedName>
    <definedName name="Total_AR_B18" localSheetId="3">#REF!</definedName>
    <definedName name="Total_AR_B18" localSheetId="4">#REF!</definedName>
    <definedName name="Total_AR_B18" localSheetId="71">#REF!</definedName>
    <definedName name="Total_AR_B18" localSheetId="2">#REF!</definedName>
    <definedName name="Total_AR_B18">#REF!</definedName>
    <definedName name="Total_AR_B19" localSheetId="3">#REF!</definedName>
    <definedName name="Total_AR_B19" localSheetId="4">#REF!</definedName>
    <definedName name="Total_AR_B19" localSheetId="71">#REF!</definedName>
    <definedName name="Total_AR_B19" localSheetId="2">#REF!</definedName>
    <definedName name="Total_AR_B19">#REF!</definedName>
    <definedName name="Total_AR_B20" localSheetId="3">#REF!</definedName>
    <definedName name="Total_AR_B20" localSheetId="4">#REF!</definedName>
    <definedName name="Total_AR_B20" localSheetId="71">#REF!</definedName>
    <definedName name="Total_AR_B20" localSheetId="2">#REF!</definedName>
    <definedName name="Total_AR_B20">#REF!</definedName>
    <definedName name="Total_AR_B21" localSheetId="3">#REF!</definedName>
    <definedName name="Total_AR_B21" localSheetId="4">#REF!</definedName>
    <definedName name="Total_AR_B21" localSheetId="71">#REF!</definedName>
    <definedName name="Total_AR_B21" localSheetId="2">#REF!</definedName>
    <definedName name="Total_AR_B21">#REF!</definedName>
    <definedName name="Total_AR_B22" localSheetId="3">#REF!</definedName>
    <definedName name="Total_AR_B22" localSheetId="4">#REF!</definedName>
    <definedName name="Total_AR_B22" localSheetId="71">#REF!</definedName>
    <definedName name="Total_AR_B22" localSheetId="2">#REF!</definedName>
    <definedName name="Total_AR_B22">#REF!</definedName>
    <definedName name="Total_AR_B23" localSheetId="3">#REF!</definedName>
    <definedName name="Total_AR_B23" localSheetId="4">#REF!</definedName>
    <definedName name="Total_AR_B23" localSheetId="71">#REF!</definedName>
    <definedName name="Total_AR_B23" localSheetId="2">#REF!</definedName>
    <definedName name="Total_AR_B23">#REF!</definedName>
    <definedName name="Total_AR_B3" localSheetId="3">#REF!</definedName>
    <definedName name="Total_AR_B3" localSheetId="4">#REF!</definedName>
    <definedName name="Total_AR_B3" localSheetId="71">#REF!</definedName>
    <definedName name="Total_AR_B3" localSheetId="2">#REF!</definedName>
    <definedName name="Total_AR_B3">#REF!</definedName>
    <definedName name="Total_AR_B3Boots" localSheetId="3">#REF!</definedName>
    <definedName name="Total_AR_B3Boots" localSheetId="4">#REF!</definedName>
    <definedName name="Total_AR_B3Boots" localSheetId="71">#REF!</definedName>
    <definedName name="Total_AR_B3Boots" localSheetId="2">#REF!</definedName>
    <definedName name="Total_AR_B3Boots">#REF!</definedName>
    <definedName name="Total_AR_B4" localSheetId="3">#REF!</definedName>
    <definedName name="Total_AR_B4" localSheetId="4">#REF!</definedName>
    <definedName name="Total_AR_B4" localSheetId="71">#REF!</definedName>
    <definedName name="Total_AR_B4" localSheetId="2">#REF!</definedName>
    <definedName name="Total_AR_B4">#REF!</definedName>
    <definedName name="Total_AR_B4Boots" localSheetId="3">#REF!</definedName>
    <definedName name="Total_AR_B4Boots" localSheetId="4">#REF!</definedName>
    <definedName name="Total_AR_B4Boots" localSheetId="71">#REF!</definedName>
    <definedName name="Total_AR_B4Boots" localSheetId="2">#REF!</definedName>
    <definedName name="Total_AR_B4Boots">#REF!</definedName>
    <definedName name="total_AR_B6" localSheetId="3">#REF!</definedName>
    <definedName name="total_AR_B6" localSheetId="4">#REF!</definedName>
    <definedName name="total_AR_B6" localSheetId="71">#REF!</definedName>
    <definedName name="total_AR_B6" localSheetId="2">#REF!</definedName>
    <definedName name="total_AR_B6">#REF!</definedName>
    <definedName name="Total_AR_B7" localSheetId="3">#REF!</definedName>
    <definedName name="Total_AR_B7" localSheetId="4">#REF!</definedName>
    <definedName name="Total_AR_B7" localSheetId="71">#REF!</definedName>
    <definedName name="Total_AR_B7" localSheetId="2">#REF!</definedName>
    <definedName name="Total_AR_B7">#REF!</definedName>
    <definedName name="Total_AR_B8Boots" localSheetId="3">#REF!</definedName>
    <definedName name="Total_AR_B8Boots" localSheetId="4">#REF!</definedName>
    <definedName name="Total_AR_B8Boots" localSheetId="71">#REF!</definedName>
    <definedName name="Total_AR_B8Boots" localSheetId="2">#REF!</definedName>
    <definedName name="Total_AR_B8Boots">#REF!</definedName>
    <definedName name="Total_Base" localSheetId="3">#REF!</definedName>
    <definedName name="Total_Base" localSheetId="4">#REF!</definedName>
    <definedName name="Total_Base" localSheetId="71">#REF!</definedName>
    <definedName name="Total_Base" localSheetId="2">#REF!</definedName>
    <definedName name="Total_Base">#REF!</definedName>
    <definedName name="Total_Binder" localSheetId="3">#REF!</definedName>
    <definedName name="Total_Binder" localSheetId="4">#REF!</definedName>
    <definedName name="Total_Binder" localSheetId="71">#REF!</definedName>
    <definedName name="Total_Binder" localSheetId="2">#REF!</definedName>
    <definedName name="Total_Binder">#REF!</definedName>
    <definedName name="Total_Cut" localSheetId="3">#REF!</definedName>
    <definedName name="Total_Cut" localSheetId="4">#REF!</definedName>
    <definedName name="Total_Cut" localSheetId="71">#REF!</definedName>
    <definedName name="Total_Cut" localSheetId="2">#REF!</definedName>
    <definedName name="Total_Cut">#REF!</definedName>
    <definedName name="Total_EE_B1" localSheetId="3">'[40]ข้อ1.1'!#REF!</definedName>
    <definedName name="Total_EE_B1" localSheetId="4">'[40]ข้อ1.1'!#REF!</definedName>
    <definedName name="Total_EE_B1" localSheetId="71">'[40]ข้อ1.1'!#REF!</definedName>
    <definedName name="Total_EE_B1" localSheetId="2">'[40]ข้อ1.1'!#REF!</definedName>
    <definedName name="Total_EE_B1">'[40]ข้อ1.1'!#REF!</definedName>
    <definedName name="Total_EE_B10" localSheetId="3">#REF!</definedName>
    <definedName name="Total_EE_B10" localSheetId="4">#REF!</definedName>
    <definedName name="Total_EE_B10" localSheetId="5">#REF!</definedName>
    <definedName name="Total_EE_B10" localSheetId="18">#REF!</definedName>
    <definedName name="Total_EE_B10" localSheetId="30">#REF!</definedName>
    <definedName name="Total_EE_B10" localSheetId="56">#REF!</definedName>
    <definedName name="Total_EE_B10" localSheetId="43">#REF!</definedName>
    <definedName name="Total_EE_B10" localSheetId="71">#REF!</definedName>
    <definedName name="Total_EE_B10" localSheetId="69">#REF!</definedName>
    <definedName name="Total_EE_B10" localSheetId="70">#REF!</definedName>
    <definedName name="Total_EE_B10" localSheetId="74">#REF!</definedName>
    <definedName name="Total_EE_B10" localSheetId="2">#REF!</definedName>
    <definedName name="Total_EE_B10">#REF!</definedName>
    <definedName name="Total_EE_B11" localSheetId="3">#REF!</definedName>
    <definedName name="Total_EE_B11" localSheetId="4">#REF!</definedName>
    <definedName name="Total_EE_B11" localSheetId="71">#REF!</definedName>
    <definedName name="Total_EE_B11" localSheetId="69">#REF!</definedName>
    <definedName name="Total_EE_B11" localSheetId="70">#REF!</definedName>
    <definedName name="Total_EE_B11" localSheetId="2">#REF!</definedName>
    <definedName name="Total_EE_B11">#REF!</definedName>
    <definedName name="Total_EE_B12" localSheetId="3">#REF!</definedName>
    <definedName name="Total_EE_B12" localSheetId="4">#REF!</definedName>
    <definedName name="Total_EE_B12" localSheetId="71">#REF!</definedName>
    <definedName name="Total_EE_B12" localSheetId="69">#REF!</definedName>
    <definedName name="Total_EE_B12" localSheetId="70">#REF!</definedName>
    <definedName name="Total_EE_B12" localSheetId="2">#REF!</definedName>
    <definedName name="Total_EE_B12">#REF!</definedName>
    <definedName name="Total_EE_B13" localSheetId="3">#REF!</definedName>
    <definedName name="Total_EE_B13" localSheetId="4">#REF!</definedName>
    <definedName name="Total_EE_B13" localSheetId="71">#REF!</definedName>
    <definedName name="Total_EE_B13" localSheetId="2">#REF!</definedName>
    <definedName name="Total_EE_B13">#REF!</definedName>
    <definedName name="Total_EE_B14" localSheetId="3">#REF!</definedName>
    <definedName name="Total_EE_B14" localSheetId="4">#REF!</definedName>
    <definedName name="Total_EE_B14" localSheetId="71">#REF!</definedName>
    <definedName name="Total_EE_B14" localSheetId="2">#REF!</definedName>
    <definedName name="Total_EE_B14">#REF!</definedName>
    <definedName name="Total_EE_B16" localSheetId="3">#REF!</definedName>
    <definedName name="Total_EE_B16" localSheetId="4">#REF!</definedName>
    <definedName name="Total_EE_B16" localSheetId="71">#REF!</definedName>
    <definedName name="Total_EE_B16" localSheetId="2">#REF!</definedName>
    <definedName name="Total_EE_B16">#REF!</definedName>
    <definedName name="Total_EE_B17" localSheetId="3">#REF!</definedName>
    <definedName name="Total_EE_B17" localSheetId="4">#REF!</definedName>
    <definedName name="Total_EE_B17" localSheetId="71">#REF!</definedName>
    <definedName name="Total_EE_B17" localSheetId="2">#REF!</definedName>
    <definedName name="Total_EE_B17">#REF!</definedName>
    <definedName name="Total_EE_B18" localSheetId="3">#REF!</definedName>
    <definedName name="Total_EE_B18" localSheetId="4">#REF!</definedName>
    <definedName name="Total_EE_B18" localSheetId="71">#REF!</definedName>
    <definedName name="Total_EE_B18" localSheetId="2">#REF!</definedName>
    <definedName name="Total_EE_B18">#REF!</definedName>
    <definedName name="Total_EE_B19" localSheetId="3">#REF!</definedName>
    <definedName name="Total_EE_B19" localSheetId="4">#REF!</definedName>
    <definedName name="Total_EE_B19" localSheetId="71">#REF!</definedName>
    <definedName name="Total_EE_B19" localSheetId="2">#REF!</definedName>
    <definedName name="Total_EE_B19">#REF!</definedName>
    <definedName name="Total_EE_B20" localSheetId="3">#REF!</definedName>
    <definedName name="Total_EE_B20" localSheetId="4">#REF!</definedName>
    <definedName name="Total_EE_B20" localSheetId="71">#REF!</definedName>
    <definedName name="Total_EE_B20" localSheetId="2">#REF!</definedName>
    <definedName name="Total_EE_B20">#REF!</definedName>
    <definedName name="Total_EE_B21" localSheetId="3">#REF!</definedName>
    <definedName name="Total_EE_B21" localSheetId="4">#REF!</definedName>
    <definedName name="Total_EE_B21" localSheetId="71">#REF!</definedName>
    <definedName name="Total_EE_B21" localSheetId="2">#REF!</definedName>
    <definedName name="Total_EE_B21">#REF!</definedName>
    <definedName name="Total_EE_B23" localSheetId="3">#REF!</definedName>
    <definedName name="Total_EE_B23" localSheetId="4">#REF!</definedName>
    <definedName name="Total_EE_B23" localSheetId="71">#REF!</definedName>
    <definedName name="Total_EE_B23" localSheetId="2">#REF!</definedName>
    <definedName name="Total_EE_B23">#REF!</definedName>
    <definedName name="Total_EE_B3" localSheetId="3">#REF!</definedName>
    <definedName name="Total_EE_B3" localSheetId="4">#REF!</definedName>
    <definedName name="Total_EE_B3" localSheetId="71">#REF!</definedName>
    <definedName name="Total_EE_B3" localSheetId="2">#REF!</definedName>
    <definedName name="Total_EE_B3">#REF!</definedName>
    <definedName name="Total_EE_B3Boots" localSheetId="3">#REF!</definedName>
    <definedName name="Total_EE_B3Boots" localSheetId="4">#REF!</definedName>
    <definedName name="Total_EE_B3Boots" localSheetId="71">#REF!</definedName>
    <definedName name="Total_EE_B3Boots" localSheetId="2">#REF!</definedName>
    <definedName name="Total_EE_B3Boots">#REF!</definedName>
    <definedName name="Total_EE_B4" localSheetId="3">#REF!</definedName>
    <definedName name="Total_EE_B4" localSheetId="4">#REF!</definedName>
    <definedName name="Total_EE_B4" localSheetId="71">#REF!</definedName>
    <definedName name="Total_EE_B4" localSheetId="2">#REF!</definedName>
    <definedName name="Total_EE_B4">#REF!</definedName>
    <definedName name="Total_EE_B4Boots" localSheetId="3">#REF!</definedName>
    <definedName name="Total_EE_B4Boots" localSheetId="4">#REF!</definedName>
    <definedName name="Total_EE_B4Boots" localSheetId="71">#REF!</definedName>
    <definedName name="Total_EE_B4Boots" localSheetId="2">#REF!</definedName>
    <definedName name="Total_EE_B4Boots">#REF!</definedName>
    <definedName name="Total_EE_B5" localSheetId="3">#REF!</definedName>
    <definedName name="Total_EE_B5" localSheetId="4">#REF!</definedName>
    <definedName name="Total_EE_B5" localSheetId="71">#REF!</definedName>
    <definedName name="Total_EE_B5" localSheetId="2">#REF!</definedName>
    <definedName name="Total_EE_B5">#REF!</definedName>
    <definedName name="Total_EE_B6" localSheetId="3">#REF!</definedName>
    <definedName name="Total_EE_B6" localSheetId="4">#REF!</definedName>
    <definedName name="Total_EE_B6" localSheetId="71">#REF!</definedName>
    <definedName name="Total_EE_B6" localSheetId="2">#REF!</definedName>
    <definedName name="Total_EE_B6">#REF!</definedName>
    <definedName name="total_EE_B7" localSheetId="3">#REF!</definedName>
    <definedName name="total_EE_B7" localSheetId="4">#REF!</definedName>
    <definedName name="total_EE_B7" localSheetId="71">#REF!</definedName>
    <definedName name="total_EE_B7" localSheetId="2">#REF!</definedName>
    <definedName name="total_EE_B7">#REF!</definedName>
    <definedName name="Total_EE_B8Boots" localSheetId="3">#REF!</definedName>
    <definedName name="Total_EE_B8Boots" localSheetId="4">#REF!</definedName>
    <definedName name="Total_EE_B8Boots" localSheetId="71">#REF!</definedName>
    <definedName name="Total_EE_B8Boots" localSheetId="2">#REF!</definedName>
    <definedName name="Total_EE_B8Boots">#REF!</definedName>
    <definedName name="Total_Fill" localSheetId="3">#REF!</definedName>
    <definedName name="Total_Fill" localSheetId="4">#REF!</definedName>
    <definedName name="Total_Fill" localSheetId="71">#REF!</definedName>
    <definedName name="Total_Fill" localSheetId="2">#REF!</definedName>
    <definedName name="Total_Fill">#REF!</definedName>
    <definedName name="Total_PrimeCoat" localSheetId="3">#REF!</definedName>
    <definedName name="Total_PrimeCoat" localSheetId="4">#REF!</definedName>
    <definedName name="Total_PrimeCoat" localSheetId="71">#REF!</definedName>
    <definedName name="Total_PrimeCoat" localSheetId="2">#REF!</definedName>
    <definedName name="Total_PrimeCoat">#REF!</definedName>
    <definedName name="Total_PrimeCoat_Color" localSheetId="3">#REF!</definedName>
    <definedName name="Total_PrimeCoat_Color" localSheetId="4">#REF!</definedName>
    <definedName name="Total_PrimeCoat_Color" localSheetId="71">#REF!</definedName>
    <definedName name="Total_PrimeCoat_Color" localSheetId="2">#REF!</definedName>
    <definedName name="Total_PrimeCoat_Color">#REF!</definedName>
    <definedName name="Total_SelectMat" localSheetId="3">#REF!</definedName>
    <definedName name="Total_SelectMat" localSheetId="4">#REF!</definedName>
    <definedName name="Total_SelectMat" localSheetId="71">#REF!</definedName>
    <definedName name="Total_SelectMat" localSheetId="2">#REF!</definedName>
    <definedName name="Total_SelectMat">#REF!</definedName>
    <definedName name="Total_SN_B1." localSheetId="3">'[40]ข้อ1.1'!#REF!</definedName>
    <definedName name="Total_SN_B1." localSheetId="4">'[40]ข้อ1.1'!#REF!</definedName>
    <definedName name="Total_SN_B1." localSheetId="71">'[40]ข้อ1.1'!#REF!</definedName>
    <definedName name="Total_SN_B1." localSheetId="2">'[40]ข้อ1.1'!#REF!</definedName>
    <definedName name="Total_SN_B1.">'[40]ข้อ1.1'!#REF!</definedName>
    <definedName name="Total_SN_B10" localSheetId="3">#REF!</definedName>
    <definedName name="Total_SN_B10" localSheetId="4">#REF!</definedName>
    <definedName name="Total_SN_B10" localSheetId="5">#REF!</definedName>
    <definedName name="Total_SN_B10" localSheetId="18">#REF!</definedName>
    <definedName name="Total_SN_B10" localSheetId="30">#REF!</definedName>
    <definedName name="Total_SN_B10" localSheetId="56">#REF!</definedName>
    <definedName name="Total_SN_B10" localSheetId="43">#REF!</definedName>
    <definedName name="Total_SN_B10" localSheetId="71">#REF!</definedName>
    <definedName name="Total_SN_B10" localSheetId="69">#REF!</definedName>
    <definedName name="Total_SN_B10" localSheetId="70">#REF!</definedName>
    <definedName name="Total_SN_B10" localSheetId="74">#REF!</definedName>
    <definedName name="Total_SN_B10" localSheetId="2">#REF!</definedName>
    <definedName name="Total_SN_B10">#REF!</definedName>
    <definedName name="Total_SN_B11" localSheetId="3">#REF!</definedName>
    <definedName name="Total_SN_B11" localSheetId="4">#REF!</definedName>
    <definedName name="Total_SN_B11" localSheetId="71">#REF!</definedName>
    <definedName name="Total_SN_B11" localSheetId="69">#REF!</definedName>
    <definedName name="Total_SN_B11" localSheetId="70">#REF!</definedName>
    <definedName name="Total_SN_B11" localSheetId="2">#REF!</definedName>
    <definedName name="Total_SN_B11">#REF!</definedName>
    <definedName name="Total_SN_B12" localSheetId="3">#REF!</definedName>
    <definedName name="Total_SN_B12" localSheetId="4">#REF!</definedName>
    <definedName name="Total_SN_B12" localSheetId="71">#REF!</definedName>
    <definedName name="Total_SN_B12" localSheetId="69">#REF!</definedName>
    <definedName name="Total_SN_B12" localSheetId="70">#REF!</definedName>
    <definedName name="Total_SN_B12" localSheetId="2">#REF!</definedName>
    <definedName name="Total_SN_B12">#REF!</definedName>
    <definedName name="Total_SN_B13" localSheetId="3">#REF!</definedName>
    <definedName name="Total_SN_B13" localSheetId="4">#REF!</definedName>
    <definedName name="Total_SN_B13" localSheetId="71">#REF!</definedName>
    <definedName name="Total_SN_B13" localSheetId="2">#REF!</definedName>
    <definedName name="Total_SN_B13">#REF!</definedName>
    <definedName name="Total_SN_B14" localSheetId="3">#REF!</definedName>
    <definedName name="Total_SN_B14" localSheetId="4">#REF!</definedName>
    <definedName name="Total_SN_B14" localSheetId="71">#REF!</definedName>
    <definedName name="Total_SN_B14" localSheetId="2">#REF!</definedName>
    <definedName name="Total_SN_B14">#REF!</definedName>
    <definedName name="Total_SN_B15" localSheetId="3">#REF!</definedName>
    <definedName name="Total_SN_B15" localSheetId="4">#REF!</definedName>
    <definedName name="Total_SN_B15" localSheetId="71">#REF!</definedName>
    <definedName name="Total_SN_B15" localSheetId="2">#REF!</definedName>
    <definedName name="Total_SN_B15">#REF!</definedName>
    <definedName name="Total_SN_B16" localSheetId="3">#REF!</definedName>
    <definedName name="Total_SN_B16" localSheetId="4">#REF!</definedName>
    <definedName name="Total_SN_B16" localSheetId="71">#REF!</definedName>
    <definedName name="Total_SN_B16" localSheetId="2">#REF!</definedName>
    <definedName name="Total_SN_B16">#REF!</definedName>
    <definedName name="Total_SN_B17" localSheetId="3">#REF!</definedName>
    <definedName name="Total_SN_B17" localSheetId="4">#REF!</definedName>
    <definedName name="Total_SN_B17" localSheetId="71">#REF!</definedName>
    <definedName name="Total_SN_B17" localSheetId="2">#REF!</definedName>
    <definedName name="Total_SN_B17">#REF!</definedName>
    <definedName name="Total_SN_B19" localSheetId="3">#REF!</definedName>
    <definedName name="Total_SN_B19" localSheetId="4">#REF!</definedName>
    <definedName name="Total_SN_B19" localSheetId="71">#REF!</definedName>
    <definedName name="Total_SN_B19" localSheetId="2">#REF!</definedName>
    <definedName name="Total_SN_B19">#REF!</definedName>
    <definedName name="Total_SN_B20" localSheetId="3">#REF!</definedName>
    <definedName name="Total_SN_B20" localSheetId="4">#REF!</definedName>
    <definedName name="Total_SN_B20" localSheetId="71">#REF!</definedName>
    <definedName name="Total_SN_B20" localSheetId="2">#REF!</definedName>
    <definedName name="Total_SN_B20">#REF!</definedName>
    <definedName name="Total_SN_B21" localSheetId="3">#REF!</definedName>
    <definedName name="Total_SN_B21" localSheetId="4">#REF!</definedName>
    <definedName name="Total_SN_B21" localSheetId="71">#REF!</definedName>
    <definedName name="Total_SN_B21" localSheetId="2">#REF!</definedName>
    <definedName name="Total_SN_B21">#REF!</definedName>
    <definedName name="Total_SN_B22" localSheetId="3">#REF!</definedName>
    <definedName name="Total_SN_B22" localSheetId="4">#REF!</definedName>
    <definedName name="Total_SN_B22" localSheetId="71">#REF!</definedName>
    <definedName name="Total_SN_B22" localSheetId="2">#REF!</definedName>
    <definedName name="Total_SN_B22">#REF!</definedName>
    <definedName name="Total_SN_B3" localSheetId="3">#REF!</definedName>
    <definedName name="Total_SN_B3" localSheetId="4">#REF!</definedName>
    <definedName name="Total_SN_B3" localSheetId="71">#REF!</definedName>
    <definedName name="Total_SN_B3" localSheetId="2">#REF!</definedName>
    <definedName name="Total_SN_B3">#REF!</definedName>
    <definedName name="Total_SN_B4" localSheetId="3">#REF!</definedName>
    <definedName name="Total_SN_B4" localSheetId="4">#REF!</definedName>
    <definedName name="Total_SN_B4" localSheetId="71">#REF!</definedName>
    <definedName name="Total_SN_B4" localSheetId="2">#REF!</definedName>
    <definedName name="Total_SN_B4">#REF!</definedName>
    <definedName name="Total_SN_B5" localSheetId="3">#REF!</definedName>
    <definedName name="Total_SN_B5" localSheetId="4">#REF!</definedName>
    <definedName name="Total_SN_B5" localSheetId="71">#REF!</definedName>
    <definedName name="Total_SN_B5" localSheetId="2">#REF!</definedName>
    <definedName name="Total_SN_B5">#REF!</definedName>
    <definedName name="Total_SN_B6" localSheetId="3">#REF!</definedName>
    <definedName name="Total_SN_B6" localSheetId="4">#REF!</definedName>
    <definedName name="Total_SN_B6" localSheetId="71">#REF!</definedName>
    <definedName name="Total_SN_B6" localSheetId="2">#REF!</definedName>
    <definedName name="Total_SN_B6">#REF!</definedName>
    <definedName name="Total_SN_B7" localSheetId="3">#REF!</definedName>
    <definedName name="Total_SN_B7" localSheetId="4">#REF!</definedName>
    <definedName name="Total_SN_B7" localSheetId="71">#REF!</definedName>
    <definedName name="Total_SN_B7" localSheetId="2">#REF!</definedName>
    <definedName name="Total_SN_B7">#REF!</definedName>
    <definedName name="Total_ST" localSheetId="3">#REF!</definedName>
    <definedName name="Total_ST" localSheetId="4">#REF!</definedName>
    <definedName name="Total_ST" localSheetId="71">#REF!</definedName>
    <definedName name="Total_ST" localSheetId="2">#REF!</definedName>
    <definedName name="Total_ST">#REF!</definedName>
    <definedName name="Total_ST_B1" localSheetId="3">'[40]ข้อ1.1'!#REF!</definedName>
    <definedName name="Total_ST_B1" localSheetId="4">'[40]ข้อ1.1'!#REF!</definedName>
    <definedName name="Total_ST_B1" localSheetId="71">'[40]ข้อ1.1'!#REF!</definedName>
    <definedName name="Total_ST_B1" localSheetId="2">'[40]ข้อ1.1'!#REF!</definedName>
    <definedName name="Total_ST_B1">'[40]ข้อ1.1'!#REF!</definedName>
    <definedName name="Total_ST_B10" localSheetId="3">#REF!</definedName>
    <definedName name="Total_ST_B10" localSheetId="4">#REF!</definedName>
    <definedName name="Total_ST_B10" localSheetId="5">#REF!</definedName>
    <definedName name="Total_ST_B10" localSheetId="18">#REF!</definedName>
    <definedName name="Total_ST_B10" localSheetId="30">#REF!</definedName>
    <definedName name="Total_ST_B10" localSheetId="56">#REF!</definedName>
    <definedName name="Total_ST_B10" localSheetId="43">#REF!</definedName>
    <definedName name="Total_ST_B10" localSheetId="71">#REF!</definedName>
    <definedName name="Total_ST_B10" localSheetId="69">#REF!</definedName>
    <definedName name="Total_ST_B10" localSheetId="70">#REF!</definedName>
    <definedName name="Total_ST_B10" localSheetId="74">#REF!</definedName>
    <definedName name="Total_ST_B10" localSheetId="2">#REF!</definedName>
    <definedName name="Total_ST_B10">#REF!</definedName>
    <definedName name="Total_ST_B11" localSheetId="3">#REF!</definedName>
    <definedName name="Total_ST_B11" localSheetId="4">#REF!</definedName>
    <definedName name="Total_ST_B11" localSheetId="71">#REF!</definedName>
    <definedName name="Total_ST_B11" localSheetId="69">#REF!</definedName>
    <definedName name="Total_ST_B11" localSheetId="70">#REF!</definedName>
    <definedName name="Total_ST_B11" localSheetId="2">#REF!</definedName>
    <definedName name="Total_ST_B11">#REF!</definedName>
    <definedName name="Total_ST_B12" localSheetId="3">#REF!</definedName>
    <definedName name="Total_ST_B12" localSheetId="4">#REF!</definedName>
    <definedName name="Total_ST_B12" localSheetId="71">#REF!</definedName>
    <definedName name="Total_ST_B12" localSheetId="69">#REF!</definedName>
    <definedName name="Total_ST_B12" localSheetId="70">#REF!</definedName>
    <definedName name="Total_ST_B12" localSheetId="2">#REF!</definedName>
    <definedName name="Total_ST_B12">#REF!</definedName>
    <definedName name="Total_ST_B13" localSheetId="3">#REF!</definedName>
    <definedName name="Total_ST_B13" localSheetId="4">#REF!</definedName>
    <definedName name="Total_ST_B13" localSheetId="71">#REF!</definedName>
    <definedName name="Total_ST_B13" localSheetId="2">#REF!</definedName>
    <definedName name="Total_ST_B13">#REF!</definedName>
    <definedName name="Total_ST_B14" localSheetId="3">#REF!</definedName>
    <definedName name="Total_ST_B14" localSheetId="4">#REF!</definedName>
    <definedName name="Total_ST_B14" localSheetId="71">#REF!</definedName>
    <definedName name="Total_ST_B14" localSheetId="2">#REF!</definedName>
    <definedName name="Total_ST_B14">#REF!</definedName>
    <definedName name="Total_ST_B15" localSheetId="3">#REF!</definedName>
    <definedName name="Total_ST_B15" localSheetId="4">#REF!</definedName>
    <definedName name="Total_ST_B15" localSheetId="71">#REF!</definedName>
    <definedName name="Total_ST_B15" localSheetId="2">#REF!</definedName>
    <definedName name="Total_ST_B15">#REF!</definedName>
    <definedName name="Total_ST_B16" localSheetId="3">#REF!</definedName>
    <definedName name="Total_ST_B16" localSheetId="4">#REF!</definedName>
    <definedName name="Total_ST_B16" localSheetId="71">#REF!</definedName>
    <definedName name="Total_ST_B16" localSheetId="2">#REF!</definedName>
    <definedName name="Total_ST_B16">#REF!</definedName>
    <definedName name="Total_ST_B17" localSheetId="3">#REF!</definedName>
    <definedName name="Total_ST_B17" localSheetId="4">#REF!</definedName>
    <definedName name="Total_ST_B17" localSheetId="71">#REF!</definedName>
    <definedName name="Total_ST_B17" localSheetId="2">#REF!</definedName>
    <definedName name="Total_ST_B17">#REF!</definedName>
    <definedName name="Total_ST_B18" localSheetId="3">#REF!</definedName>
    <definedName name="Total_ST_B18" localSheetId="4">#REF!</definedName>
    <definedName name="Total_ST_B18" localSheetId="71">#REF!</definedName>
    <definedName name="Total_ST_B18" localSheetId="2">#REF!</definedName>
    <definedName name="Total_ST_B18">#REF!</definedName>
    <definedName name="Total_ST_B19" localSheetId="3">#REF!</definedName>
    <definedName name="Total_ST_B19" localSheetId="4">#REF!</definedName>
    <definedName name="Total_ST_B19" localSheetId="71">#REF!</definedName>
    <definedName name="Total_ST_B19" localSheetId="2">#REF!</definedName>
    <definedName name="Total_ST_B19">#REF!</definedName>
    <definedName name="Total_ST_B20" localSheetId="3">#REF!</definedName>
    <definedName name="Total_ST_B20" localSheetId="4">#REF!</definedName>
    <definedName name="Total_ST_B20" localSheetId="71">#REF!</definedName>
    <definedName name="Total_ST_B20" localSheetId="2">#REF!</definedName>
    <definedName name="Total_ST_B20">#REF!</definedName>
    <definedName name="Total_ST_B21" localSheetId="3">#REF!</definedName>
    <definedName name="Total_ST_B21" localSheetId="4">#REF!</definedName>
    <definedName name="Total_ST_B21" localSheetId="71">#REF!</definedName>
    <definedName name="Total_ST_B21" localSheetId="2">#REF!</definedName>
    <definedName name="Total_ST_B21">#REF!</definedName>
    <definedName name="Total_ST_B22" localSheetId="3">#REF!</definedName>
    <definedName name="Total_ST_B22" localSheetId="4">#REF!</definedName>
    <definedName name="Total_ST_B22" localSheetId="71">#REF!</definedName>
    <definedName name="Total_ST_B22" localSheetId="2">#REF!</definedName>
    <definedName name="Total_ST_B22">#REF!</definedName>
    <definedName name="Total_ST_B23" localSheetId="3">#REF!</definedName>
    <definedName name="Total_ST_B23" localSheetId="4">#REF!</definedName>
    <definedName name="Total_ST_B23" localSheetId="71">#REF!</definedName>
    <definedName name="Total_ST_B23" localSheetId="2">#REF!</definedName>
    <definedName name="Total_ST_B23">#REF!</definedName>
    <definedName name="Total_ST_B3" localSheetId="3">#REF!</definedName>
    <definedName name="Total_ST_B3" localSheetId="4">#REF!</definedName>
    <definedName name="Total_ST_B3" localSheetId="71">#REF!</definedName>
    <definedName name="Total_ST_B3" localSheetId="2">#REF!</definedName>
    <definedName name="Total_ST_B3">#REF!</definedName>
    <definedName name="Total_ST_B3Boots" localSheetId="3">#REF!</definedName>
    <definedName name="Total_ST_B3Boots" localSheetId="4">#REF!</definedName>
    <definedName name="Total_ST_B3Boots" localSheetId="71">#REF!</definedName>
    <definedName name="Total_ST_B3Boots" localSheetId="2">#REF!</definedName>
    <definedName name="Total_ST_B3Boots">#REF!</definedName>
    <definedName name="Total_ST_B4" localSheetId="3">#REF!</definedName>
    <definedName name="Total_ST_B4" localSheetId="4">#REF!</definedName>
    <definedName name="Total_ST_B4" localSheetId="71">#REF!</definedName>
    <definedName name="Total_ST_B4" localSheetId="2">#REF!</definedName>
    <definedName name="Total_ST_B4">#REF!</definedName>
    <definedName name="Total_ST_B4Boots" localSheetId="3">#REF!</definedName>
    <definedName name="Total_ST_B4Boots" localSheetId="4">#REF!</definedName>
    <definedName name="Total_ST_B4Boots" localSheetId="71">#REF!</definedName>
    <definedName name="Total_ST_B4Boots" localSheetId="2">#REF!</definedName>
    <definedName name="Total_ST_B4Boots">#REF!</definedName>
    <definedName name="Total_ST_B5" localSheetId="3">#REF!</definedName>
    <definedName name="Total_ST_B5" localSheetId="4">#REF!</definedName>
    <definedName name="Total_ST_B5" localSheetId="71">#REF!</definedName>
    <definedName name="Total_ST_B5" localSheetId="2">#REF!</definedName>
    <definedName name="Total_ST_B5">#REF!</definedName>
    <definedName name="Total_ST_B6" localSheetId="3">#REF!</definedName>
    <definedName name="Total_ST_B6" localSheetId="4">#REF!</definedName>
    <definedName name="Total_ST_B6" localSheetId="71">#REF!</definedName>
    <definedName name="Total_ST_B6" localSheetId="2">#REF!</definedName>
    <definedName name="Total_ST_B6">#REF!</definedName>
    <definedName name="Total_ST_B7" localSheetId="3">#REF!</definedName>
    <definedName name="Total_ST_B7" localSheetId="4">#REF!</definedName>
    <definedName name="Total_ST_B7" localSheetId="71">#REF!</definedName>
    <definedName name="Total_ST_B7" localSheetId="2">#REF!</definedName>
    <definedName name="Total_ST_B7">#REF!</definedName>
    <definedName name="Total_ST_B8boots" localSheetId="3">#REF!</definedName>
    <definedName name="Total_ST_B8boots" localSheetId="4">#REF!</definedName>
    <definedName name="Total_ST_B8boots" localSheetId="71">#REF!</definedName>
    <definedName name="Total_ST_B8boots" localSheetId="2">#REF!</definedName>
    <definedName name="Total_ST_B8boots">#REF!</definedName>
    <definedName name="Total_SubBase" localSheetId="3">#REF!</definedName>
    <definedName name="Total_SubBase" localSheetId="4">#REF!</definedName>
    <definedName name="Total_SubBase" localSheetId="71">#REF!</definedName>
    <definedName name="Total_SubBase" localSheetId="2">#REF!</definedName>
    <definedName name="Total_SubBase">#REF!</definedName>
    <definedName name="Total_Suntornpho" localSheetId="3">[11]ปร5!#REF!</definedName>
    <definedName name="Total_Suntornpho" localSheetId="4">[11]ปร5!#REF!</definedName>
    <definedName name="Total_Suntornpho" localSheetId="71">[11]ปร5!#REF!</definedName>
    <definedName name="Total_Suntornpho" localSheetId="2">[11]ปร5!#REF!</definedName>
    <definedName name="Total_Suntornpho">[11]ปร5!#REF!</definedName>
    <definedName name="Total_TackCoat" localSheetId="3">#REF!</definedName>
    <definedName name="Total_TackCoat" localSheetId="4">#REF!</definedName>
    <definedName name="Total_TackCoat" localSheetId="5">#REF!</definedName>
    <definedName name="Total_TackCoat" localSheetId="18">#REF!</definedName>
    <definedName name="Total_TackCoat" localSheetId="30">#REF!</definedName>
    <definedName name="Total_TackCoat" localSheetId="56">#REF!</definedName>
    <definedName name="Total_TackCoat" localSheetId="43">#REF!</definedName>
    <definedName name="Total_TackCoat" localSheetId="71">#REF!</definedName>
    <definedName name="Total_TackCoat" localSheetId="69">#REF!</definedName>
    <definedName name="Total_TackCoat" localSheetId="70">#REF!</definedName>
    <definedName name="Total_TackCoat" localSheetId="74">#REF!</definedName>
    <definedName name="Total_TackCoat" localSheetId="2">#REF!</definedName>
    <definedName name="Total_TackCoat">#REF!</definedName>
    <definedName name="Total_Wearing" localSheetId="3">#REF!</definedName>
    <definedName name="Total_Wearing" localSheetId="4">#REF!</definedName>
    <definedName name="Total_Wearing" localSheetId="71">#REF!</definedName>
    <definedName name="Total_Wearing" localSheetId="69">#REF!</definedName>
    <definedName name="Total_Wearing" localSheetId="70">#REF!</definedName>
    <definedName name="Total_Wearing" localSheetId="2">#REF!</definedName>
    <definedName name="Total_Wearing">#REF!</definedName>
    <definedName name="Total_WearingColor" localSheetId="3">#REF!</definedName>
    <definedName name="Total_WearingColor" localSheetId="4">#REF!</definedName>
    <definedName name="Total_WearingColor" localSheetId="71">#REF!</definedName>
    <definedName name="Total_WearingColor" localSheetId="69">#REF!</definedName>
    <definedName name="Total_WearingColor" localSheetId="70">#REF!</definedName>
    <definedName name="Total_WearingColor" localSheetId="2">#REF!</definedName>
    <definedName name="Total_WearingColor">#REF!</definedName>
    <definedName name="total_กระดุมทอง" localSheetId="3">#REF!</definedName>
    <definedName name="total_กระดุมทอง" localSheetId="4">#REF!</definedName>
    <definedName name="total_กระดุมทอง" localSheetId="71">#REF!</definedName>
    <definedName name="total_กระดุมทอง" localSheetId="2">#REF!</definedName>
    <definedName name="total_กระดุมทอง">#REF!</definedName>
    <definedName name="Total_กรุยทาง" localSheetId="3">#REF!</definedName>
    <definedName name="Total_กรุยทาง" localSheetId="4">#REF!</definedName>
    <definedName name="Total_กรุยทาง" localSheetId="71">#REF!</definedName>
    <definedName name="Total_กรุยทาง" localSheetId="2">#REF!</definedName>
    <definedName name="Total_กรุยทาง">#REF!</definedName>
    <definedName name="total_จันทน์ผา" localSheetId="3">#REF!</definedName>
    <definedName name="total_จันทน์ผา" localSheetId="4">#REF!</definedName>
    <definedName name="total_จันทน์ผา" localSheetId="71">#REF!</definedName>
    <definedName name="total_จันทน์ผา" localSheetId="2">#REF!</definedName>
    <definedName name="total_จันทน์ผา">#REF!</definedName>
    <definedName name="total_ตีนเป็ด" localSheetId="3">#REF!</definedName>
    <definedName name="total_ตีนเป็ด" localSheetId="4">#REF!</definedName>
    <definedName name="total_ตีนเป็ด" localSheetId="71">#REF!</definedName>
    <definedName name="total_ตีนเป็ด" localSheetId="2">#REF!</definedName>
    <definedName name="total_ตีนเป็ด">#REF!</definedName>
    <definedName name="total_ปาล์มขวด" localSheetId="3">#REF!</definedName>
    <definedName name="total_ปาล์มขวด" localSheetId="4">#REF!</definedName>
    <definedName name="total_ปาล์มขวด" localSheetId="71">#REF!</definedName>
    <definedName name="total_ปาล์มขวด" localSheetId="2">#REF!</definedName>
    <definedName name="total_ปาล์มขวด">#REF!</definedName>
    <definedName name="total_ปาล์มน้ำมัน" localSheetId="3">#REF!</definedName>
    <definedName name="total_ปาล์มน้ำมัน" localSheetId="4">#REF!</definedName>
    <definedName name="total_ปาล์มน้ำมัน" localSheetId="71">#REF!</definedName>
    <definedName name="total_ปาล์มน้ำมัน" localSheetId="2">#REF!</definedName>
    <definedName name="total_ปาล์มน้ำมัน">#REF!</definedName>
    <definedName name="total_ปาล์มฟอกซ์เทล" localSheetId="3">#REF!</definedName>
    <definedName name="total_ปาล์มฟอกซ์เทล" localSheetId="4">#REF!</definedName>
    <definedName name="total_ปาล์มฟอกซ์เทล" localSheetId="71">#REF!</definedName>
    <definedName name="total_ปาล์มฟอกซ์เทล" localSheetId="2">#REF!</definedName>
    <definedName name="total_ปาล์มฟอกซ์เทล">#REF!</definedName>
    <definedName name="total_ปีป" localSheetId="3">#REF!</definedName>
    <definedName name="total_ปีป" localSheetId="4">#REF!</definedName>
    <definedName name="total_ปีป" localSheetId="71">#REF!</definedName>
    <definedName name="total_ปีป" localSheetId="2">#REF!</definedName>
    <definedName name="total_ปีป">#REF!</definedName>
    <definedName name="total_ลีลาวดี" localSheetId="3">#REF!</definedName>
    <definedName name="total_ลีลาวดี" localSheetId="4">#REF!</definedName>
    <definedName name="total_ลีลาวดี" localSheetId="71">#REF!</definedName>
    <definedName name="total_ลีลาวดี" localSheetId="2">#REF!</definedName>
    <definedName name="total_ลีลาวดี">#REF!</definedName>
    <definedName name="total_สนประดิพัทธ์" localSheetId="3">#REF!</definedName>
    <definedName name="total_สนประดิพัทธ์" localSheetId="4">#REF!</definedName>
    <definedName name="total_สนประดิพัทธ์" localSheetId="71">#REF!</definedName>
    <definedName name="total_สนประดิพัทธ์" localSheetId="2">#REF!</definedName>
    <definedName name="total_สนประดิพัทธ์">#REF!</definedName>
    <definedName name="Total1" localSheetId="3">#REF!</definedName>
    <definedName name="Total1" localSheetId="4">#REF!</definedName>
    <definedName name="Total1" localSheetId="71">#REF!</definedName>
    <definedName name="Total1" localSheetId="2">#REF!</definedName>
    <definedName name="Total1">#REF!</definedName>
    <definedName name="Total10" localSheetId="3">#REF!</definedName>
    <definedName name="Total10" localSheetId="4">#REF!</definedName>
    <definedName name="Total10" localSheetId="71">#REF!</definedName>
    <definedName name="Total10" localSheetId="2">#REF!</definedName>
    <definedName name="Total10">#REF!</definedName>
    <definedName name="Total2" localSheetId="3">#REF!</definedName>
    <definedName name="Total2" localSheetId="4">#REF!</definedName>
    <definedName name="Total2" localSheetId="71">#REF!</definedName>
    <definedName name="Total2" localSheetId="2">#REF!</definedName>
    <definedName name="Total2">#REF!</definedName>
    <definedName name="Total3" localSheetId="3">#REF!</definedName>
    <definedName name="Total3" localSheetId="4">#REF!</definedName>
    <definedName name="Total3" localSheetId="71">#REF!</definedName>
    <definedName name="Total3" localSheetId="2">#REF!</definedName>
    <definedName name="Total3">#REF!</definedName>
    <definedName name="Total4" localSheetId="3">'[41]ปร4.1'!#REF!</definedName>
    <definedName name="Total4" localSheetId="4">'[41]ปร4.1'!#REF!</definedName>
    <definedName name="Total4" localSheetId="71">'[41]ปร4.1'!#REF!</definedName>
    <definedName name="Total4" localSheetId="2">'[41]ปร4.1'!#REF!</definedName>
    <definedName name="Total4">'[41]ปร4.1'!#REF!</definedName>
    <definedName name="Total5" localSheetId="3">#REF!</definedName>
    <definedName name="Total5" localSheetId="4">#REF!</definedName>
    <definedName name="Total5" localSheetId="5">#REF!</definedName>
    <definedName name="Total5" localSheetId="18">#REF!</definedName>
    <definedName name="Total5" localSheetId="30">#REF!</definedName>
    <definedName name="Total5" localSheetId="56">#REF!</definedName>
    <definedName name="Total5" localSheetId="43">#REF!</definedName>
    <definedName name="Total5" localSheetId="71">#REF!</definedName>
    <definedName name="Total5" localSheetId="69">#REF!</definedName>
    <definedName name="Total5" localSheetId="70">#REF!</definedName>
    <definedName name="Total5" localSheetId="74">#REF!</definedName>
    <definedName name="Total5" localSheetId="2">#REF!</definedName>
    <definedName name="Total5">#REF!</definedName>
    <definedName name="Total6" localSheetId="3">#REF!</definedName>
    <definedName name="Total6" localSheetId="4">#REF!</definedName>
    <definedName name="Total6" localSheetId="71">#REF!</definedName>
    <definedName name="Total6" localSheetId="69">#REF!</definedName>
    <definedName name="Total6" localSheetId="70">#REF!</definedName>
    <definedName name="Total6" localSheetId="2">#REF!</definedName>
    <definedName name="Total6">#REF!</definedName>
    <definedName name="Total7" localSheetId="3">#REF!</definedName>
    <definedName name="Total7" localSheetId="4">#REF!</definedName>
    <definedName name="Total7" localSheetId="71">#REF!</definedName>
    <definedName name="Total7" localSheetId="69">#REF!</definedName>
    <definedName name="Total7" localSheetId="70">#REF!</definedName>
    <definedName name="Total7" localSheetId="2">#REF!</definedName>
    <definedName name="Total7">#REF!</definedName>
    <definedName name="Total9" localSheetId="3">#REF!</definedName>
    <definedName name="Total9" localSheetId="4">#REF!</definedName>
    <definedName name="Total9" localSheetId="71">#REF!</definedName>
    <definedName name="Total9" localSheetId="2">#REF!</definedName>
    <definedName name="Total9">#REF!</definedName>
    <definedName name="TR" localSheetId="3">#REF!</definedName>
    <definedName name="TR" localSheetId="4">#REF!</definedName>
    <definedName name="TR" localSheetId="71">#REF!</definedName>
    <definedName name="TR" localSheetId="2">#REF!</definedName>
    <definedName name="TR">#REF!</definedName>
    <definedName name="Uni_Direction">'[5]6'!$J$2705</definedName>
    <definedName name="W" localSheetId="3">#REF!</definedName>
    <definedName name="W" localSheetId="4">#REF!</definedName>
    <definedName name="W" localSheetId="71">#REF!</definedName>
    <definedName name="W" localSheetId="69">#REF!</definedName>
    <definedName name="W" localSheetId="70">#REF!</definedName>
    <definedName name="W" localSheetId="74">#REF!</definedName>
    <definedName name="W" localSheetId="2">#REF!</definedName>
    <definedName name="W">#REF!</definedName>
    <definedName name="W_BEAM_GUARDRAIL">'[5]6'!$J$1763</definedName>
    <definedName name="W_BQ" localSheetId="3">#REF!</definedName>
    <definedName name="W_BQ" localSheetId="4">#REF!</definedName>
    <definedName name="W_BQ" localSheetId="71">#REF!</definedName>
    <definedName name="W_BQ" localSheetId="69">#REF!</definedName>
    <definedName name="W_BQ">#REF!</definedName>
    <definedName name="W_Jisseki_BQ" localSheetId="3">#REF!</definedName>
    <definedName name="W_Jisseki_BQ" localSheetId="69">#REF!</definedName>
    <definedName name="W_Jisseki_BQ">#REF!</definedName>
    <definedName name="W_STR_CAT_KOTEI" localSheetId="3">#REF!</definedName>
    <definedName name="W_STR_CAT_KOTEI" localSheetId="69">#REF!</definedName>
    <definedName name="W_STR_CAT_KOTEI">#REF!</definedName>
    <definedName name="wall">#REF!</definedName>
    <definedName name="wb">'[17]10 ข้อมูลวัสดุ-ค่าดำเนิน'!$X$19</definedName>
    <definedName name="wbb">'[17]10 ข้อมูลวัสดุ-ค่าดำเนิน'!$X$19</definedName>
    <definedName name="WEARING_COURSE">'[5]4'!$J$88</definedName>
    <definedName name="WorkName">'[31]Backup Data'!$B$4</definedName>
    <definedName name="x" localSheetId="3" hidden="1">{"'SUMMATION'!$B$2:$I$2"}</definedName>
    <definedName name="x" localSheetId="4" hidden="1">{"'SUMMATION'!$B$2:$I$2"}</definedName>
    <definedName name="x" localSheetId="71" hidden="1">{"'SUMMATION'!$B$2:$I$2"}</definedName>
    <definedName name="x" localSheetId="69" hidden="1">{"'SUMMATION'!$B$2:$I$2"}</definedName>
    <definedName name="x" hidden="1">{"'SUMMATION'!$B$2:$I$2"}</definedName>
    <definedName name="zz" localSheetId="3">#REF!</definedName>
    <definedName name="zz" localSheetId="4">#REF!</definedName>
    <definedName name="zz" localSheetId="5">#REF!</definedName>
    <definedName name="zz" localSheetId="18">#REF!</definedName>
    <definedName name="zz" localSheetId="30">#REF!</definedName>
    <definedName name="zz" localSheetId="56">#REF!</definedName>
    <definedName name="zz" localSheetId="43">#REF!</definedName>
    <definedName name="zz" localSheetId="71">#REF!</definedName>
    <definedName name="zz" localSheetId="69">#REF!</definedName>
    <definedName name="zz" localSheetId="70">#REF!</definedName>
    <definedName name="zz" localSheetId="74">#REF!</definedName>
    <definedName name="zz" localSheetId="2">#REF!</definedName>
    <definedName name="zz">#REF!</definedName>
    <definedName name="เตยทะเล" localSheetId="3">#REF!</definedName>
    <definedName name="เตยทะเล" localSheetId="4">#REF!</definedName>
    <definedName name="เตยทะเล" localSheetId="71">#REF!</definedName>
    <definedName name="เตยทะเล" localSheetId="69">#REF!</definedName>
    <definedName name="เตยทะเล" localSheetId="70">#REF!</definedName>
    <definedName name="เตยทะเล" localSheetId="2">#REF!</definedName>
    <definedName name="เตยทะเล">#REF!</definedName>
    <definedName name="เฟื่องฟ้าพุ่ม" localSheetId="3">#REF!</definedName>
    <definedName name="เฟื่องฟ้าพุ่ม" localSheetId="4">#REF!</definedName>
    <definedName name="เฟื่องฟ้าพุ่ม" localSheetId="71">#REF!</definedName>
    <definedName name="เฟื่องฟ้าพุ่ม" localSheetId="69">#REF!</definedName>
    <definedName name="เฟื่องฟ้าพุ่ม" localSheetId="70">#REF!</definedName>
    <definedName name="เฟื่องฟ้าพุ่ม" localSheetId="2">#REF!</definedName>
    <definedName name="เฟื่องฟ้าพุ่ม">#REF!</definedName>
    <definedName name="เรือ_ขนเหล็ก" localSheetId="3">#REF!</definedName>
    <definedName name="เรือ_ขนเหล็ก" localSheetId="4">#REF!</definedName>
    <definedName name="เรือ_ขนเหล็ก" localSheetId="71">#REF!</definedName>
    <definedName name="เรือ_ขนเหล็ก" localSheetId="2">#REF!</definedName>
    <definedName name="เรือ_ขนเหล็ก">#REF!</definedName>
    <definedName name="เรือ_ขนคอนกรีต" localSheetId="3">#REF!</definedName>
    <definedName name="เรือ_ขนคอนกรีต" localSheetId="4">#REF!</definedName>
    <definedName name="เรือ_ขนคอนกรีต" localSheetId="71">#REF!</definedName>
    <definedName name="เรือ_ขนคอนกรีต" localSheetId="2">#REF!</definedName>
    <definedName name="เรือ_ขนคอนกรีต">#REF!</definedName>
    <definedName name="เรือ_ขนดิน" localSheetId="3">#REF!</definedName>
    <definedName name="เรือ_ขนดิน" localSheetId="4">#REF!</definedName>
    <definedName name="เรือ_ขนดิน" localSheetId="71">#REF!</definedName>
    <definedName name="เรือ_ขนดิน" localSheetId="2">#REF!</definedName>
    <definedName name="เรือ_ขนดิน">#REF!</definedName>
    <definedName name="เรือ_ขนต้นไม้" localSheetId="3">#REF!</definedName>
    <definedName name="เรือ_ขนต้นไม้" localSheetId="4">#REF!</definedName>
    <definedName name="เรือ_ขนต้นไม้" localSheetId="71">#REF!</definedName>
    <definedName name="เรือ_ขนต้นไม้" localSheetId="2">#REF!</definedName>
    <definedName name="เรือ_ขนต้นไม้">#REF!</definedName>
    <definedName name="เรือ_ขนทราย" localSheetId="3">#REF!</definedName>
    <definedName name="เรือ_ขนทราย" localSheetId="4">#REF!</definedName>
    <definedName name="เรือ_ขนทราย" localSheetId="71">#REF!</definedName>
    <definedName name="เรือ_ขนทราย" localSheetId="2">#REF!</definedName>
    <definedName name="เรือ_ขนทราย">#REF!</definedName>
    <definedName name="เรือ_ขนท่อระบายน้ำ" localSheetId="3">#REF!</definedName>
    <definedName name="เรือ_ขนท่อระบายน้ำ" localSheetId="4">#REF!</definedName>
    <definedName name="เรือ_ขนท่อระบายน้ำ" localSheetId="71">#REF!</definedName>
    <definedName name="เรือ_ขนท่อระบายน้ำ" localSheetId="2">#REF!</definedName>
    <definedName name="เรือ_ขนท่อระบายน้ำ">#REF!</definedName>
    <definedName name="เรือ_ขนปูน" localSheetId="3">#REF!</definedName>
    <definedName name="เรือ_ขนปูน" localSheetId="4">#REF!</definedName>
    <definedName name="เรือ_ขนปูน" localSheetId="71">#REF!</definedName>
    <definedName name="เรือ_ขนปูน" localSheetId="2">#REF!</definedName>
    <definedName name="เรือ_ขนปูน">#REF!</definedName>
    <definedName name="เรือ_ขนยางมะตอย" localSheetId="3">#REF!</definedName>
    <definedName name="เรือ_ขนยางมะตอย" localSheetId="4">#REF!</definedName>
    <definedName name="เรือ_ขนยางมะตอย" localSheetId="71">#REF!</definedName>
    <definedName name="เรือ_ขนยางมะตอย" localSheetId="2">#REF!</definedName>
    <definedName name="เรือ_ขนยางมะตอย">#REF!</definedName>
    <definedName name="เรือ_ขนวัสดุไฟฟ้า" localSheetId="3">#REF!</definedName>
    <definedName name="เรือ_ขนวัสดุไฟฟ้า" localSheetId="4">#REF!</definedName>
    <definedName name="เรือ_ขนวัสดุไฟฟ้า" localSheetId="71">#REF!</definedName>
    <definedName name="เรือ_ขนวัสดุไฟฟ้า" localSheetId="2">#REF!</definedName>
    <definedName name="เรือ_ขนวัสดุไฟฟ้า">#REF!</definedName>
    <definedName name="เรือ_ขนวัสดุทางสถาปัตยกรรม" localSheetId="3">#REF!</definedName>
    <definedName name="เรือ_ขนวัสดุทางสถาปัตยกรรม" localSheetId="4">#REF!</definedName>
    <definedName name="เรือ_ขนวัสดุทางสถาปัตยกรรม" localSheetId="71">#REF!</definedName>
    <definedName name="เรือ_ขนวัสดุทางสถาปัตยกรรม" localSheetId="2">#REF!</definedName>
    <definedName name="เรือ_ขนวัสดุทางสถาปัตยกรรม">#REF!</definedName>
    <definedName name="เรือ_ขนวัสดุสุขาภิบาล" localSheetId="3">#REF!</definedName>
    <definedName name="เรือ_ขนวัสดุสุขาภิบาล" localSheetId="4">#REF!</definedName>
    <definedName name="เรือ_ขนวัสดุสุขาภิบาล" localSheetId="71">#REF!</definedName>
    <definedName name="เรือ_ขนวัสดุสุขาภิบาล" localSheetId="2">#REF!</definedName>
    <definedName name="เรือ_ขนวัสดุสุขาภิบาล">#REF!</definedName>
    <definedName name="เสาเข็มไม้_5" localSheetId="3">#REF!</definedName>
    <definedName name="เสาเข็มไม้_5" localSheetId="4">#REF!</definedName>
    <definedName name="เสาเข็มไม้_5" localSheetId="71">#REF!</definedName>
    <definedName name="เสาเข็มไม้_5" localSheetId="2">#REF!</definedName>
    <definedName name="เสาเข็มไม้_5">#REF!</definedName>
    <definedName name="เสาเข็มไม้_5ไม่รวมขนส่ง" localSheetId="3">#REF!</definedName>
    <definedName name="เสาเข็มไม้_5ไม่รวมขนส่ง" localSheetId="4">#REF!</definedName>
    <definedName name="เสาเข็มไม้_5ไม่รวมขนส่ง" localSheetId="71">#REF!</definedName>
    <definedName name="เสาเข็มไม้_5ไม่รวมขนส่ง" localSheetId="2">#REF!</definedName>
    <definedName name="เสาเข็มไม้_5ไม่รวมขนส่ง">#REF!</definedName>
    <definedName name="เสาเข็มไม้_6" localSheetId="3">#REF!</definedName>
    <definedName name="เสาเข็มไม้_6" localSheetId="4">#REF!</definedName>
    <definedName name="เสาเข็มไม้_6" localSheetId="71">#REF!</definedName>
    <definedName name="เสาเข็มไม้_6" localSheetId="2">#REF!</definedName>
    <definedName name="เสาเข็มไม้_6">#REF!</definedName>
    <definedName name="เสาเข็มไม้_6ไม่รวมขนส่ง" localSheetId="3">#REF!</definedName>
    <definedName name="เสาเข็มไม้_6ไม่รวมขนส่ง" localSheetId="4">#REF!</definedName>
    <definedName name="เสาเข็มไม้_6ไม่รวมขนส่ง" localSheetId="71">#REF!</definedName>
    <definedName name="เสาเข็มไม้_6ไม่รวมขนส่ง" localSheetId="2">#REF!</definedName>
    <definedName name="เสาเข็มไม้_6ไม่รวมขนส่ง">#REF!</definedName>
    <definedName name="เสาเอ็น0.10x0.10m." localSheetId="3">#REF!</definedName>
    <definedName name="เสาเอ็น0.10x0.10m." localSheetId="4">#REF!</definedName>
    <definedName name="เสาเอ็น0.10x0.10m." localSheetId="71">#REF!</definedName>
    <definedName name="เสาเอ็น0.10x0.10m." localSheetId="2">#REF!</definedName>
    <definedName name="เสาเอ็น0.10x0.10m.">#REF!</definedName>
    <definedName name="เสาเอ็น0.1x0.2m." localSheetId="3">#REF!</definedName>
    <definedName name="เสาเอ็น0.1x0.2m." localSheetId="4">#REF!</definedName>
    <definedName name="เสาเอ็น0.1x0.2m." localSheetId="71">#REF!</definedName>
    <definedName name="เสาเอ็น0.1x0.2m." localSheetId="2">#REF!</definedName>
    <definedName name="เสาเอ็น0.1x0.2m.">#REF!</definedName>
    <definedName name="เหล็ก" localSheetId="3">#REF!</definedName>
    <definedName name="เหล็ก" localSheetId="4">#REF!</definedName>
    <definedName name="เหล็ก" localSheetId="71">#REF!</definedName>
    <definedName name="เหล็ก" localSheetId="2">#REF!</definedName>
    <definedName name="เหล็ก">#REF!</definedName>
    <definedName name="แบบ" localSheetId="3">#REF!</definedName>
    <definedName name="แบบ" localSheetId="4">#REF!</definedName>
    <definedName name="แบบ" localSheetId="71">#REF!</definedName>
    <definedName name="แบบ" localSheetId="2">#REF!</definedName>
    <definedName name="แบบ">#REF!</definedName>
    <definedName name="แหล่งเหล็ก" localSheetId="3">#REF!</definedName>
    <definedName name="แหล่งเหล็ก" localSheetId="4">#REF!</definedName>
    <definedName name="แหล่งเหล็ก" localSheetId="71">#REF!</definedName>
    <definedName name="แหล่งเหล็ก" localSheetId="2">#REF!</definedName>
    <definedName name="แหล่งเหล็ก">#REF!</definedName>
    <definedName name="แหล่งคอนกรีต" localSheetId="3">#REF!</definedName>
    <definedName name="แหล่งคอนกรีต" localSheetId="4">#REF!</definedName>
    <definedName name="แหล่งคอนกรีต" localSheetId="71">#REF!</definedName>
    <definedName name="แหล่งคอนกรีต" localSheetId="2">#REF!</definedName>
    <definedName name="แหล่งคอนกรีต">#REF!</definedName>
    <definedName name="แหล่งดิน" localSheetId="3">#REF!</definedName>
    <definedName name="แหล่งดิน" localSheetId="4">#REF!</definedName>
    <definedName name="แหล่งดิน" localSheetId="71">#REF!</definedName>
    <definedName name="แหล่งดิน" localSheetId="2">#REF!</definedName>
    <definedName name="แหล่งดิน">#REF!</definedName>
    <definedName name="แหล่งทราย" localSheetId="3">#REF!</definedName>
    <definedName name="แหล่งทราย" localSheetId="4">#REF!</definedName>
    <definedName name="แหล่งทราย" localSheetId="71">#REF!</definedName>
    <definedName name="แหล่งทราย" localSheetId="2">#REF!</definedName>
    <definedName name="แหล่งทราย">#REF!</definedName>
    <definedName name="แหล่งท่อ" localSheetId="3">#REF!</definedName>
    <definedName name="แหล่งท่อ" localSheetId="4">#REF!</definedName>
    <definedName name="แหล่งท่อ" localSheetId="71">#REF!</definedName>
    <definedName name="แหล่งท่อ" localSheetId="2">#REF!</definedName>
    <definedName name="แหล่งท่อ">#REF!</definedName>
    <definedName name="แหล่งปูน" localSheetId="3">#REF!</definedName>
    <definedName name="แหล่งปูน" localSheetId="4">#REF!</definedName>
    <definedName name="แหล่งปูน" localSheetId="71">#REF!</definedName>
    <definedName name="แหล่งปูน" localSheetId="2">#REF!</definedName>
    <definedName name="แหล่งปูน">#REF!</definedName>
    <definedName name="แหล่งยางมะตอย" localSheetId="3">#REF!</definedName>
    <definedName name="แหล่งยางมะตอย" localSheetId="4">#REF!</definedName>
    <definedName name="แหล่งยางมะตอย" localSheetId="71">#REF!</definedName>
    <definedName name="แหล่งยางมะตอย" localSheetId="2">#REF!</definedName>
    <definedName name="แหล่งยางมะตอย">#REF!</definedName>
    <definedName name="แหล่งหิน" localSheetId="3">#REF!</definedName>
    <definedName name="แหล่งหิน" localSheetId="4">#REF!</definedName>
    <definedName name="แหล่งหิน" localSheetId="71">#REF!</definedName>
    <definedName name="แหล่งหิน" localSheetId="2">#REF!</definedName>
    <definedName name="แหล่งหิน">#REF!</definedName>
    <definedName name="แหล่งอื่นๆ_ตัน" localSheetId="3">#REF!</definedName>
    <definedName name="แหล่งอื่นๆ_ตัน" localSheetId="4">#REF!</definedName>
    <definedName name="แหล่งอื่นๆ_ตัน" localSheetId="71">#REF!</definedName>
    <definedName name="แหล่งอื่นๆ_ตัน" localSheetId="2">#REF!</definedName>
    <definedName name="แหล่งอื่นๆ_ตัน">#REF!</definedName>
    <definedName name="แหล่งอื่นๆ_ลบม" localSheetId="3">#REF!</definedName>
    <definedName name="แหล่งอื่นๆ_ลบม" localSheetId="4">#REF!</definedName>
    <definedName name="แหล่งอื่นๆ_ลบม" localSheetId="71">#REF!</definedName>
    <definedName name="แหล่งอื่นๆ_ลบม" localSheetId="2">#REF!</definedName>
    <definedName name="แหล่งอื่นๆ_ลบม">#REF!</definedName>
    <definedName name="ใช่" localSheetId="4">#REF!</definedName>
    <definedName name="ใช่" localSheetId="71">#REF!</definedName>
    <definedName name="ใช่">#REF!</definedName>
    <definedName name="ไม้เคร่า" localSheetId="3">#REF!</definedName>
    <definedName name="ไม้เคร่า" localSheetId="4">#REF!</definedName>
    <definedName name="ไม้เคร่า" localSheetId="71">#REF!</definedName>
    <definedName name="ไม้เคร่า" localSheetId="2">#REF!</definedName>
    <definedName name="ไม้เคร่า">#REF!</definedName>
    <definedName name="ไม้เคร่าไม่รวมขนส่ง" localSheetId="3">#REF!</definedName>
    <definedName name="ไม้เคร่าไม่รวมขนส่ง" localSheetId="4">#REF!</definedName>
    <definedName name="ไม้เคร่าไม่รวมขนส่ง" localSheetId="71">#REF!</definedName>
    <definedName name="ไม้เคร่าไม่รวมขนส่ง" localSheetId="2">#REF!</definedName>
    <definedName name="ไม้เคร่าไม่รวมขนส่ง">#REF!</definedName>
    <definedName name="ไม้เนื้อแข็ง" localSheetId="3">#REF!</definedName>
    <definedName name="ไม้เนื้อแข็ง" localSheetId="4">#REF!</definedName>
    <definedName name="ไม้เนื้อแข็ง" localSheetId="71">#REF!</definedName>
    <definedName name="ไม้เนื้อแข็ง" localSheetId="2">#REF!</definedName>
    <definedName name="ไม้เนื้อแข็ง">#REF!</definedName>
    <definedName name="ไม้เนื้อแข็งไม่รวมขนส่ง" localSheetId="3">#REF!</definedName>
    <definedName name="ไม้เนื้อแข็งไม่รวมขนส่ง" localSheetId="4">#REF!</definedName>
    <definedName name="ไม้เนื้อแข็งไม่รวมขนส่ง" localSheetId="71">#REF!</definedName>
    <definedName name="ไม้เนื้อแข็งไม่รวมขนส่ง" localSheetId="2">#REF!</definedName>
    <definedName name="ไม้เนื้อแข็งไม่รวมขนส่ง">#REF!</definedName>
    <definedName name="ไม้แบบ">[9]ราคาวัสดุ!$F$40</definedName>
    <definedName name="ไม้แบบ1" localSheetId="3">#REF!</definedName>
    <definedName name="ไม้แบบ1" localSheetId="4">#REF!</definedName>
    <definedName name="ไม้แบบ1" localSheetId="5">#REF!</definedName>
    <definedName name="ไม้แบบ1" localSheetId="18">#REF!</definedName>
    <definedName name="ไม้แบบ1" localSheetId="30">#REF!</definedName>
    <definedName name="ไม้แบบ1" localSheetId="56">#REF!</definedName>
    <definedName name="ไม้แบบ1" localSheetId="43">#REF!</definedName>
    <definedName name="ไม้แบบ1" localSheetId="71">#REF!</definedName>
    <definedName name="ไม้แบบ1" localSheetId="69">#REF!</definedName>
    <definedName name="ไม้แบบ1" localSheetId="70">#REF!</definedName>
    <definedName name="ไม้แบบ1" localSheetId="74">#REF!</definedName>
    <definedName name="ไม้แบบ1" localSheetId="2">#REF!</definedName>
    <definedName name="ไม้แบบ1">#REF!</definedName>
    <definedName name="ไม้แบบ2" localSheetId="3">#REF!</definedName>
    <definedName name="ไม้แบบ2" localSheetId="4">#REF!</definedName>
    <definedName name="ไม้แบบ2" localSheetId="71">#REF!</definedName>
    <definedName name="ไม้แบบ2" localSheetId="69">#REF!</definedName>
    <definedName name="ไม้แบบ2" localSheetId="70">#REF!</definedName>
    <definedName name="ไม้แบบ2" localSheetId="2">#REF!</definedName>
    <definedName name="ไม้แบบ2">#REF!</definedName>
    <definedName name="ไม้แบบ50เปอร์เซนต์" localSheetId="3">#REF!</definedName>
    <definedName name="ไม้แบบ50เปอร์เซนต์" localSheetId="4">#REF!</definedName>
    <definedName name="ไม้แบบ50เปอร์เซนต์" localSheetId="71">#REF!</definedName>
    <definedName name="ไม้แบบ50เปอร์เซนต์" localSheetId="69">#REF!</definedName>
    <definedName name="ไม้แบบ50เปอร์เซนต์" localSheetId="70">#REF!</definedName>
    <definedName name="ไม้แบบ50เปอร์เซนต์" localSheetId="2">#REF!</definedName>
    <definedName name="ไม้แบบ50เปอร์เซนต์">#REF!</definedName>
    <definedName name="ไม้แบบ60เปอร์เซ็นต์" localSheetId="3">#REF!</definedName>
    <definedName name="ไม้แบบ60เปอร์เซ็นต์" localSheetId="4">#REF!</definedName>
    <definedName name="ไม้แบบ60เปอร์เซ็นต์" localSheetId="71">#REF!</definedName>
    <definedName name="ไม้แบบ60เปอร์เซ็นต์" localSheetId="2">#REF!</definedName>
    <definedName name="ไม้แบบ60เปอร์เซ็นต์">#REF!</definedName>
    <definedName name="ไม้แบบ70เปอร์เซ็นต์" localSheetId="3">#REF!</definedName>
    <definedName name="ไม้แบบ70เปอร์เซ็นต์" localSheetId="4">#REF!</definedName>
    <definedName name="ไม้แบบ70เปอร์เซ็นต์" localSheetId="71">#REF!</definedName>
    <definedName name="ไม้แบบ70เปอร์เซ็นต์" localSheetId="2">#REF!</definedName>
    <definedName name="ไม้แบบ70เปอร์เซ็นต์">#REF!</definedName>
    <definedName name="ไม้แบบ80เปอร์เซ็นต์" localSheetId="3">#REF!</definedName>
    <definedName name="ไม้แบบ80เปอร์เซ็นต์" localSheetId="4">#REF!</definedName>
    <definedName name="ไม้แบบ80เปอร์เซ็นต์" localSheetId="71">#REF!</definedName>
    <definedName name="ไม้แบบ80เปอร์เซ็นต์" localSheetId="2">#REF!</definedName>
    <definedName name="ไม้แบบ80เปอร์เซ็นต์">#REF!</definedName>
    <definedName name="ไม้แบบไม่รวมขนส่ง" localSheetId="3">#REF!</definedName>
    <definedName name="ไม้แบบไม่รวมขนส่ง" localSheetId="4">#REF!</definedName>
    <definedName name="ไม้แบบไม่รวมขนส่ง" localSheetId="71">#REF!</definedName>
    <definedName name="ไม้แบบไม่รวมขนส่ง" localSheetId="2">#REF!</definedName>
    <definedName name="ไม้แบบไม่รวมขนส่ง">#REF!</definedName>
    <definedName name="ไม้คิ้ว" localSheetId="3">#REF!</definedName>
    <definedName name="ไม้คิ้ว" localSheetId="4">#REF!</definedName>
    <definedName name="ไม้คิ้ว" localSheetId="71">#REF!</definedName>
    <definedName name="ไม้คิ้ว" localSheetId="2">#REF!</definedName>
    <definedName name="ไม้คิ้ว">#REF!</definedName>
    <definedName name="ไม้คิ้วไม่รวมขนส่ง" localSheetId="3">#REF!</definedName>
    <definedName name="ไม้คิ้วไม่รวมขนส่ง" localSheetId="4">#REF!</definedName>
    <definedName name="ไม้คิ้วไม่รวมขนส่ง" localSheetId="71">#REF!</definedName>
    <definedName name="ไม้คิ้วไม่รวมขนส่ง" localSheetId="2">#REF!</definedName>
    <definedName name="ไม้คิ้วไม่รวมขนส่ง">#REF!</definedName>
    <definedName name="ก" localSheetId="3">#REF!</definedName>
    <definedName name="ก" localSheetId="4">#REF!</definedName>
    <definedName name="ก" localSheetId="71">#REF!</definedName>
    <definedName name="ก" localSheetId="2">#REF!</definedName>
    <definedName name="ก">#REF!</definedName>
    <definedName name="กกกกก">#REF!</definedName>
    <definedName name="ก่ออิฐมอญเต็มแผ่น" localSheetId="3">#REF!</definedName>
    <definedName name="ก่ออิฐมอญเต็มแผ่น" localSheetId="4">#REF!</definedName>
    <definedName name="ก่ออิฐมอญเต็มแผ่น" localSheetId="71">#REF!</definedName>
    <definedName name="ก่ออิฐมอญเต็มแผ่น" localSheetId="2">#REF!</definedName>
    <definedName name="ก่ออิฐมอญเต็มแผ่น">#REF!</definedName>
    <definedName name="ก่ออิฐมอญครึ่งแผ่น" localSheetId="3">#REF!</definedName>
    <definedName name="ก่ออิฐมอญครึ่งแผ่น" localSheetId="4">#REF!</definedName>
    <definedName name="ก่ออิฐมอญครึ่งแผ่น" localSheetId="71">#REF!</definedName>
    <definedName name="ก่ออิฐมอญครึ่งแผ่น" localSheetId="2">#REF!</definedName>
    <definedName name="ก่ออิฐมอญครึ่งแผ่น">#REF!</definedName>
    <definedName name="กาบหอยแครงแคระ" localSheetId="3">#REF!</definedName>
    <definedName name="กาบหอยแครงแคระ" localSheetId="4">#REF!</definedName>
    <definedName name="กาบหอยแครงแคระ" localSheetId="71">#REF!</definedName>
    <definedName name="กาบหอยแครงแคระ" localSheetId="2">#REF!</definedName>
    <definedName name="กาบหอยแครงแคระ">#REF!</definedName>
    <definedName name="กาบหอยแครงแคระ_" localSheetId="3">'[42]หมวด 10'!#REF!</definedName>
    <definedName name="กาบหอยแครงแคระ_" localSheetId="4">'[42]หมวด 10'!#REF!</definedName>
    <definedName name="กาบหอยแครงแคระ_" localSheetId="71">'[42]หมวด 10'!#REF!</definedName>
    <definedName name="กาบหอยแครงแคระ_" localSheetId="2">'[42]หมวด 10'!#REF!</definedName>
    <definedName name="กาบหอยแครงแคระ_">'[42]หมวด 10'!#REF!</definedName>
    <definedName name="ขนส่งเหล็ก" localSheetId="3">#REF!</definedName>
    <definedName name="ขนส่งเหล็ก" localSheetId="4">#REF!</definedName>
    <definedName name="ขนส่งเหล็ก" localSheetId="5">#REF!</definedName>
    <definedName name="ขนส่งเหล็ก" localSheetId="18">#REF!</definedName>
    <definedName name="ขนส่งเหล็ก" localSheetId="30">#REF!</definedName>
    <definedName name="ขนส่งเหล็ก" localSheetId="56">#REF!</definedName>
    <definedName name="ขนส่งเหล็ก" localSheetId="43">#REF!</definedName>
    <definedName name="ขนส่งเหล็ก" localSheetId="71">#REF!</definedName>
    <definedName name="ขนส่งเหล็ก" localSheetId="69">#REF!</definedName>
    <definedName name="ขนส่งเหล็ก" localSheetId="70">#REF!</definedName>
    <definedName name="ขนส่งเหล็ก" localSheetId="74">#REF!</definedName>
    <definedName name="ขนส่งเหล็ก" localSheetId="2">#REF!</definedName>
    <definedName name="ขนส่งเหล็ก">#REF!</definedName>
    <definedName name="ขนส่งแอสฟัลต์" localSheetId="3">#REF!</definedName>
    <definedName name="ขนส่งแอสฟัลต์" localSheetId="4">#REF!</definedName>
    <definedName name="ขนส่งแอสฟัลต์" localSheetId="71">#REF!</definedName>
    <definedName name="ขนส่งแอสฟัลต์" localSheetId="69">#REF!</definedName>
    <definedName name="ขนส่งแอสฟัลต์" localSheetId="70">#REF!</definedName>
    <definedName name="ขนส่งแอสฟัลต์" localSheetId="2">#REF!</definedName>
    <definedName name="ขนส่งแอสฟัลต์">#REF!</definedName>
    <definedName name="ขนส่งคอนกรีต" localSheetId="3">#REF!</definedName>
    <definedName name="ขนส่งคอนกรีต" localSheetId="4">#REF!</definedName>
    <definedName name="ขนส่งคอนกรีต" localSheetId="71">#REF!</definedName>
    <definedName name="ขนส่งคอนกรีต" localSheetId="69">#REF!</definedName>
    <definedName name="ขนส่งคอนกรีต" localSheetId="70">#REF!</definedName>
    <definedName name="ขนส่งคอนกรีต" localSheetId="2">#REF!</definedName>
    <definedName name="ขนส่งคอนกรีต">#REF!</definedName>
    <definedName name="ขนส่งทราย" localSheetId="3">#REF!</definedName>
    <definedName name="ขนส่งทราย" localSheetId="4">#REF!</definedName>
    <definedName name="ขนส่งทราย" localSheetId="71">#REF!</definedName>
    <definedName name="ขนส่งทราย" localSheetId="2">#REF!</definedName>
    <definedName name="ขนส่งทราย">#REF!</definedName>
    <definedName name="ขนส่งปูนซีเมนต์" localSheetId="3">#REF!</definedName>
    <definedName name="ขนส่งปูนซีเมนต์" localSheetId="4">#REF!</definedName>
    <definedName name="ขนส่งปูนซีเมนต์" localSheetId="71">#REF!</definedName>
    <definedName name="ขนส่งปูนซีเมนต์" localSheetId="2">#REF!</definedName>
    <definedName name="ขนส่งปูนซีเมนต์">#REF!</definedName>
    <definedName name="ขนส่งลูกรัง" localSheetId="3">#REF!</definedName>
    <definedName name="ขนส่งลูกรัง" localSheetId="4">#REF!</definedName>
    <definedName name="ขนส่งลูกรัง" localSheetId="71">#REF!</definedName>
    <definedName name="ขนส่งลูกรัง" localSheetId="2">#REF!</definedName>
    <definedName name="ขนส่งลูกรัง">#REF!</definedName>
    <definedName name="ขนส่งวัสดุในที่ก่อสร้าง_10ล้อ" localSheetId="3">#REF!</definedName>
    <definedName name="ขนส่งวัสดุในที่ก่อสร้าง_10ล้อ" localSheetId="4">#REF!</definedName>
    <definedName name="ขนส่งวัสดุในที่ก่อสร้าง_10ล้อ" localSheetId="71">#REF!</definedName>
    <definedName name="ขนส่งวัสดุในที่ก่อสร้าง_10ล้อ" localSheetId="2">#REF!</definedName>
    <definedName name="ขนส่งวัสดุในที่ก่อสร้าง_10ล้อ">#REF!</definedName>
    <definedName name="ขนส่งส่วนกลาง_10ล้อ" localSheetId="3">#REF!</definedName>
    <definedName name="ขนส่งส่วนกลาง_10ล้อ" localSheetId="4">#REF!</definedName>
    <definedName name="ขนส่งส่วนกลาง_10ล้อ" localSheetId="71">#REF!</definedName>
    <definedName name="ขนส่งส่วนกลาง_10ล้อ" localSheetId="2">#REF!</definedName>
    <definedName name="ขนส่งส่วนกลาง_10ล้อ">#REF!</definedName>
    <definedName name="ขนส่งส่วนกลาง_รถพ่วง" localSheetId="3">#REF!</definedName>
    <definedName name="ขนส่งส่วนกลาง_รถพ่วง" localSheetId="4">#REF!</definedName>
    <definedName name="ขนส่งส่วนกลาง_รถพ่วง" localSheetId="71">#REF!</definedName>
    <definedName name="ขนส่งส่วนกลาง_รถพ่วง" localSheetId="2">#REF!</definedName>
    <definedName name="ขนส่งส่วนกลาง_รถพ่วง">#REF!</definedName>
    <definedName name="ขนส่งหิน" localSheetId="3">#REF!</definedName>
    <definedName name="ขนส่งหิน" localSheetId="4">#REF!</definedName>
    <definedName name="ขนส่งหิน" localSheetId="71">#REF!</definedName>
    <definedName name="ขนส่งหิน" localSheetId="2">#REF!</definedName>
    <definedName name="ขนส่งหิน">#REF!</definedName>
    <definedName name="ขนาดโครงการ" localSheetId="69">[43]ราคาคอนกรีตต่อหน่วย!$B$3</definedName>
    <definedName name="ขนาดโครงการ">[44]ราคาคอนกรีตต่อหน่วย!$B$3</definedName>
    <definedName name="ขนาดโครงการ2" localSheetId="3">#REF!</definedName>
    <definedName name="ขนาดโครงการ2" localSheetId="4">#REF!</definedName>
    <definedName name="ขนาดโครงการ2" localSheetId="5">#REF!</definedName>
    <definedName name="ขนาดโครงการ2" localSheetId="18">#REF!</definedName>
    <definedName name="ขนาดโครงการ2" localSheetId="30">#REF!</definedName>
    <definedName name="ขนาดโครงการ2" localSheetId="56">#REF!</definedName>
    <definedName name="ขนาดโครงการ2" localSheetId="43">#REF!</definedName>
    <definedName name="ขนาดโครงการ2" localSheetId="71">#REF!</definedName>
    <definedName name="ขนาดโครงการ2" localSheetId="69">#REF!</definedName>
    <definedName name="ขนาดโครงการ2" localSheetId="70">#REF!</definedName>
    <definedName name="ขนาดโครงการ2" localSheetId="74">#REF!</definedName>
    <definedName name="ขนาดโครงการ2" localSheetId="2">#REF!</definedName>
    <definedName name="ขนาดโครงการ2">#REF!</definedName>
    <definedName name="ข้องอHDPEdai200" localSheetId="3">#REF!</definedName>
    <definedName name="ข้องอHDPEdai200" localSheetId="4">#REF!</definedName>
    <definedName name="ข้องอHDPEdai200" localSheetId="71">#REF!</definedName>
    <definedName name="ข้องอHDPEdai200" localSheetId="69">#REF!</definedName>
    <definedName name="ข้องอHDPEdai200" localSheetId="70">#REF!</definedName>
    <definedName name="ข้องอHDPEdai200" localSheetId="2">#REF!</definedName>
    <definedName name="ข้องอHDPEdai200">#REF!</definedName>
    <definedName name="ข้องอHDPEdai200ไม่รวมขนส่ง" localSheetId="3">#REF!</definedName>
    <definedName name="ข้องอHDPEdai200ไม่รวมขนส่ง" localSheetId="4">#REF!</definedName>
    <definedName name="ข้องอHDPEdai200ไม่รวมขนส่ง" localSheetId="71">#REF!</definedName>
    <definedName name="ข้องอHDPEdai200ไม่รวมขนส่ง" localSheetId="69">#REF!</definedName>
    <definedName name="ข้องอHDPEdai200ไม่รวมขนส่ง" localSheetId="70">#REF!</definedName>
    <definedName name="ข้องอHDPEdai200ไม่รวมขนส่ง" localSheetId="2">#REF!</definedName>
    <definedName name="ข้องอHDPEdai200ไม่รวมขนส่ง">#REF!</definedName>
    <definedName name="ข้องอHDPEdai250" localSheetId="3">#REF!</definedName>
    <definedName name="ข้องอHDPEdai250" localSheetId="4">#REF!</definedName>
    <definedName name="ข้องอHDPEdai250" localSheetId="71">#REF!</definedName>
    <definedName name="ข้องอHDPEdai250" localSheetId="2">#REF!</definedName>
    <definedName name="ข้องอHDPEdai250">#REF!</definedName>
    <definedName name="ข้องอHDPEdai250ไม่รวมขนส่ง" localSheetId="3">#REF!</definedName>
    <definedName name="ข้องอHDPEdai250ไม่รวมขนส่ง" localSheetId="4">#REF!</definedName>
    <definedName name="ข้องอHDPEdai250ไม่รวมขนส่ง" localSheetId="71">#REF!</definedName>
    <definedName name="ข้องอHDPEdai250ไม่รวมขนส่ง" localSheetId="2">#REF!</definedName>
    <definedName name="ข้องอHDPEdai250ไม่รวมขนส่ง">#REF!</definedName>
    <definedName name="ขุด_ขนดินคันทาง" localSheetId="3">#REF!</definedName>
    <definedName name="ขุด_ขนดินคันทาง" localSheetId="4">#REF!</definedName>
    <definedName name="ขุด_ขนดินคันทาง" localSheetId="71">#REF!</definedName>
    <definedName name="ขุด_ขนดินคันทาง" localSheetId="2">#REF!</definedName>
    <definedName name="ขุด_ขนดินคันทาง">#REF!</definedName>
    <definedName name="ขุด_ขนลูกรังรองพื้นทาง" localSheetId="3">#REF!</definedName>
    <definedName name="ขุด_ขนลูกรังรองพื้นทาง" localSheetId="4">#REF!</definedName>
    <definedName name="ขุด_ขนลูกรังรองพื้นทาง" localSheetId="71">#REF!</definedName>
    <definedName name="ขุด_ขนลูกรังรองพื้นทาง" localSheetId="2">#REF!</definedName>
    <definedName name="ขุด_ขนลูกรังรองพื้นทาง">#REF!</definedName>
    <definedName name="ขุดดิน">[7]FCalSH!$G$27</definedName>
    <definedName name="ขุดตัดดิน" localSheetId="3">#REF!</definedName>
    <definedName name="ขุดตัดดิน" localSheetId="4">#REF!</definedName>
    <definedName name="ขุดตัดดิน" localSheetId="71">#REF!</definedName>
    <definedName name="ขุดตัดดิน" localSheetId="69">#REF!</definedName>
    <definedName name="ขุดตัดดิน" localSheetId="70">#REF!</definedName>
    <definedName name="ขุดตัดดิน" localSheetId="74">#REF!</definedName>
    <definedName name="ขุดตัดดิน" localSheetId="2">#REF!</definedName>
    <definedName name="ขุดตัดดิน">#REF!</definedName>
    <definedName name="ขุดวัสดุไม่เหมาะสมและถมกลับ" localSheetId="3">#REF!</definedName>
    <definedName name="ขุดวัสดุไม่เหมาะสมและถมกลับ" localSheetId="4">#REF!</definedName>
    <definedName name="ขุดวัสดุไม่เหมาะสมและถมกลับ" localSheetId="71">#REF!</definedName>
    <definedName name="ขุดวัสดุไม่เหมาะสมและถมกลับ" localSheetId="69">#REF!</definedName>
    <definedName name="ขุดวัสดุไม่เหมาะสมและถมกลับ" localSheetId="70">#REF!</definedName>
    <definedName name="ขุดวัสดุไม่เหมาะสมและถมกลับ" localSheetId="2">#REF!</definedName>
    <definedName name="ขุดวัสดุไม่เหมาะสมและถมกลับ">#REF!</definedName>
    <definedName name="ค.1" localSheetId="3">#REF!</definedName>
    <definedName name="ค.1" localSheetId="4">#REF!</definedName>
    <definedName name="ค.1" localSheetId="71">#REF!</definedName>
    <definedName name="ค.1" localSheetId="69">#REF!</definedName>
    <definedName name="ค.1" localSheetId="70">#REF!</definedName>
    <definedName name="ค.1" localSheetId="2">#REF!</definedName>
    <definedName name="ค.1">#REF!</definedName>
    <definedName name="ค.2" localSheetId="3">#REF!</definedName>
    <definedName name="ค.2" localSheetId="4">#REF!</definedName>
    <definedName name="ค.2" localSheetId="71">#REF!</definedName>
    <definedName name="ค.2" localSheetId="2">#REF!</definedName>
    <definedName name="ค.2">#REF!</definedName>
    <definedName name="ค.3" localSheetId="3">#REF!</definedName>
    <definedName name="ค.3" localSheetId="4">#REF!</definedName>
    <definedName name="ค.3" localSheetId="71">#REF!</definedName>
    <definedName name="ค.3" localSheetId="2">#REF!</definedName>
    <definedName name="ค.3">#REF!</definedName>
    <definedName name="ค.4" localSheetId="3">#REF!</definedName>
    <definedName name="ค.4" localSheetId="4">#REF!</definedName>
    <definedName name="ค.4" localSheetId="71">#REF!</definedName>
    <definedName name="ค.4" localSheetId="2">#REF!</definedName>
    <definedName name="ค.4">#REF!</definedName>
    <definedName name="ค0" localSheetId="3">#REF!</definedName>
    <definedName name="ค0" localSheetId="4">#REF!</definedName>
    <definedName name="ค0" localSheetId="71">#REF!</definedName>
    <definedName name="ค0" localSheetId="2">#REF!</definedName>
    <definedName name="ค0">#REF!</definedName>
    <definedName name="ค1" localSheetId="3">#REF!</definedName>
    <definedName name="ค1" localSheetId="4">#REF!</definedName>
    <definedName name="ค1" localSheetId="71">#REF!</definedName>
    <definedName name="ค1" localSheetId="2">#REF!</definedName>
    <definedName name="ค1">#REF!</definedName>
    <definedName name="ค2" localSheetId="3">#REF!</definedName>
    <definedName name="ค2" localSheetId="4">#REF!</definedName>
    <definedName name="ค2" localSheetId="71">#REF!</definedName>
    <definedName name="ค2" localSheetId="2">#REF!</definedName>
    <definedName name="ค2">#REF!</definedName>
    <definedName name="ค3" localSheetId="3">#REF!</definedName>
    <definedName name="ค3" localSheetId="4">#REF!</definedName>
    <definedName name="ค3" localSheetId="71">#REF!</definedName>
    <definedName name="ค3" localSheetId="2">#REF!</definedName>
    <definedName name="ค3">#REF!</definedName>
    <definedName name="ค4" localSheetId="3">#REF!</definedName>
    <definedName name="ค4" localSheetId="4">#REF!</definedName>
    <definedName name="ค4" localSheetId="71">#REF!</definedName>
    <definedName name="ค4" localSheetId="2">#REF!</definedName>
    <definedName name="ค4">#REF!</definedName>
    <definedName name="คค0" localSheetId="3">#REF!</definedName>
    <definedName name="คค0" localSheetId="4">#REF!</definedName>
    <definedName name="คค0" localSheetId="71">#REF!</definedName>
    <definedName name="คค0" localSheetId="2">#REF!</definedName>
    <definedName name="คค0">#REF!</definedName>
    <definedName name="คค1" localSheetId="3">#REF!</definedName>
    <definedName name="คค1" localSheetId="4">#REF!</definedName>
    <definedName name="คค1" localSheetId="71">#REF!</definedName>
    <definedName name="คค1" localSheetId="2">#REF!</definedName>
    <definedName name="คค1">#REF!</definedName>
    <definedName name="คค2" localSheetId="3">#REF!</definedName>
    <definedName name="คค2" localSheetId="4">#REF!</definedName>
    <definedName name="คค2" localSheetId="71">#REF!</definedName>
    <definedName name="คค2" localSheetId="2">#REF!</definedName>
    <definedName name="คค2">#REF!</definedName>
    <definedName name="คค3" localSheetId="3">#REF!</definedName>
    <definedName name="คค3" localSheetId="4">#REF!</definedName>
    <definedName name="คค3" localSheetId="71">#REF!</definedName>
    <definedName name="คค3" localSheetId="2">#REF!</definedName>
    <definedName name="คค3">#REF!</definedName>
    <definedName name="คค4" localSheetId="3">#REF!</definedName>
    <definedName name="คค4" localSheetId="4">#REF!</definedName>
    <definedName name="คค4" localSheetId="71">#REF!</definedName>
    <definedName name="คค4" localSheetId="2">#REF!</definedName>
    <definedName name="คค4">#REF!</definedName>
    <definedName name="คอนกรีตผสม" localSheetId="3">#REF!</definedName>
    <definedName name="คอนกรีตผสม" localSheetId="4">#REF!</definedName>
    <definedName name="คอนกรีตผสม" localSheetId="71">#REF!</definedName>
    <definedName name="คอนกรีตผสม" localSheetId="2">#REF!</definedName>
    <definedName name="คอนกรีตผสม">#REF!</definedName>
    <definedName name="คอนกรีตผสม1" localSheetId="3">#REF!</definedName>
    <definedName name="คอนกรีตผสม1" localSheetId="4">#REF!</definedName>
    <definedName name="คอนกรีตผสม1" localSheetId="71">#REF!</definedName>
    <definedName name="คอนกรีตผสม1" localSheetId="2">#REF!</definedName>
    <definedName name="คอนกรีตผสม1">#REF!</definedName>
    <definedName name="คอนกรีตผสม180" localSheetId="3">#REF!</definedName>
    <definedName name="คอนกรีตผสม180" localSheetId="4">#REF!</definedName>
    <definedName name="คอนกรีตผสม180" localSheetId="71">#REF!</definedName>
    <definedName name="คอนกรีตผสม180" localSheetId="2">#REF!</definedName>
    <definedName name="คอนกรีตผสม180">#REF!</definedName>
    <definedName name="คอนกรีตผสม240" localSheetId="3">#REF!</definedName>
    <definedName name="คอนกรีตผสม240" localSheetId="4">#REF!</definedName>
    <definedName name="คอนกรีตผสม240" localSheetId="71">#REF!</definedName>
    <definedName name="คอนกรีตผสม240" localSheetId="2">#REF!</definedName>
    <definedName name="คอนกรีตผสม240">#REF!</definedName>
    <definedName name="คอนกรีตผสม3" localSheetId="3">#REF!</definedName>
    <definedName name="คอนกรีตผสม3" localSheetId="4">#REF!</definedName>
    <definedName name="คอนกรีตผสม3" localSheetId="71">#REF!</definedName>
    <definedName name="คอนกรีตผสม3" localSheetId="2">#REF!</definedName>
    <definedName name="คอนกรีตผสม3">#REF!</definedName>
    <definedName name="คอนกรีตผสม300" localSheetId="3">#REF!</definedName>
    <definedName name="คอนกรีตผสม300" localSheetId="4">#REF!</definedName>
    <definedName name="คอนกรีตผสม300" localSheetId="71">#REF!</definedName>
    <definedName name="คอนกรีตผสม300" localSheetId="2">#REF!</definedName>
    <definedName name="คอนกรีตผสม300">#REF!</definedName>
    <definedName name="คอนกรีตผสม5" localSheetId="3">#REF!</definedName>
    <definedName name="คอนกรีตผสม5" localSheetId="4">#REF!</definedName>
    <definedName name="คอนกรีตผสม5" localSheetId="71">#REF!</definedName>
    <definedName name="คอนกรีตผสม5" localSheetId="2">#REF!</definedName>
    <definedName name="คอนกรีตผสม5">#REF!</definedName>
    <definedName name="คอนกรีตผสมเสร็จ140cylinder" localSheetId="3">#REF!</definedName>
    <definedName name="คอนกรีตผสมเสร็จ140cylinder" localSheetId="4">#REF!</definedName>
    <definedName name="คอนกรีตผสมเสร็จ140cylinder" localSheetId="71">#REF!</definedName>
    <definedName name="คอนกรีตผสมเสร็จ140cylinder" localSheetId="2">#REF!</definedName>
    <definedName name="คอนกรีตผสมเสร็จ140cylinder">#REF!</definedName>
    <definedName name="คอนกรีตผสมเสร็จ180cylinder" localSheetId="3">#REF!</definedName>
    <definedName name="คอนกรีตผสมเสร็จ180cylinder" localSheetId="4">#REF!</definedName>
    <definedName name="คอนกรีตผสมเสร็จ180cylinder" localSheetId="71">#REF!</definedName>
    <definedName name="คอนกรีตผสมเสร็จ180cylinder" localSheetId="2">#REF!</definedName>
    <definedName name="คอนกรีตผสมเสร็จ180cylinder">#REF!</definedName>
    <definedName name="คอนกรีตผสมเสร็จ210cylinder" localSheetId="3">#REF!</definedName>
    <definedName name="คอนกรีตผสมเสร็จ210cylinder" localSheetId="4">#REF!</definedName>
    <definedName name="คอนกรีตผสมเสร็จ210cylinder" localSheetId="71">#REF!</definedName>
    <definedName name="คอนกรีตผสมเสร็จ210cylinder" localSheetId="2">#REF!</definedName>
    <definedName name="คอนกรีตผสมเสร็จ210cylinder">#REF!</definedName>
    <definedName name="คอนกรีตผสมเสร็จ240cylinder" localSheetId="3">#REF!</definedName>
    <definedName name="คอนกรีตผสมเสร็จ240cylinder" localSheetId="4">#REF!</definedName>
    <definedName name="คอนกรีตผสมเสร็จ240cylinder" localSheetId="71">#REF!</definedName>
    <definedName name="คอนกรีตผสมเสร็จ240cylinder" localSheetId="2">#REF!</definedName>
    <definedName name="คอนกรีตผสมเสร็จ240cylinder">#REF!</definedName>
    <definedName name="คอนกรีตผสมเสร็จ280cylinder" localSheetId="3">#REF!</definedName>
    <definedName name="คอนกรีตผสมเสร็จ280cylinder" localSheetId="4">#REF!</definedName>
    <definedName name="คอนกรีตผสมเสร็จ280cylinder" localSheetId="71">#REF!</definedName>
    <definedName name="คอนกรีตผสมเสร็จ280cylinder" localSheetId="2">#REF!</definedName>
    <definedName name="คอนกรีตผสมเสร็จ280cylinder">#REF!</definedName>
    <definedName name="คอนกรีตหยาบ">[7]FCalSH!$G$21</definedName>
    <definedName name="คอนกรีตหยาบCpac" localSheetId="3">#REF!</definedName>
    <definedName name="คอนกรีตหยาบCpac" localSheetId="4">#REF!</definedName>
    <definedName name="คอนกรีตหยาบCpac" localSheetId="71">#REF!</definedName>
    <definedName name="คอนกรีตหยาบCpac" localSheetId="69">#REF!</definedName>
    <definedName name="คอนกรีตหยาบCpac" localSheetId="70">#REF!</definedName>
    <definedName name="คอนกรีตหยาบCpac" localSheetId="74">#REF!</definedName>
    <definedName name="คอนกรีตหยาบCpac" localSheetId="2">#REF!</definedName>
    <definedName name="คอนกรีตหยาบCpac">#REF!</definedName>
    <definedName name="ค่าCLEARING_GRUBBING_เบา">'[5]2'!$J$7</definedName>
    <definedName name="ค่าCLEARING_GRUBBING_กลาง">'[5]2'!$J$10</definedName>
    <definedName name="ค่าCLEARING_GRUBBING_หนัก">'[5]2'!$J$13</definedName>
    <definedName name="ค่าDOUBLESURFACETREATMENT">'[5]4'!$J$51</definedName>
    <definedName name="ค่าEARTH_EXCAVATION">'[5]2'!$J$25</definedName>
    <definedName name="ค่าHARD_ROCK_EXCAVATION">'[5]2'!$J$44</definedName>
    <definedName name="ค่าPRIMECOAT">'[5]4'!$J$8</definedName>
    <definedName name="ค่าSANDEMBANKMENT">'[5]2'!$J$75</definedName>
    <definedName name="ค่าSINGLESURFACETREATMENT">'[5]4'!$J$42</definedName>
    <definedName name="ค่าSOFT_MATERIAL_EXCAVATION">'[5]2'!$J$54</definedName>
    <definedName name="ค่าSOFT_ROCK_EXCAVATION">'[5]2'!$J$36</definedName>
    <definedName name="ค่าSOILAGGREATESUBBASE">'[5]3'!$J$12</definedName>
    <definedName name="ค่าTACKCOAT">'[5]4'!$J$14</definedName>
    <definedName name="ค่าUNSUITABLE_MATERIAL_EXCAVATION">'[5]2'!$J$49</definedName>
    <definedName name="ค่าเทคอนกรีตโครงสร้าง" localSheetId="3">#REF!</definedName>
    <definedName name="ค่าเทคอนกรีตโครงสร้าง" localSheetId="4">#REF!</definedName>
    <definedName name="ค่าเทคอนกรีตโครงสร้าง" localSheetId="71">#REF!</definedName>
    <definedName name="ค่าเทคอนกรีตโครงสร้าง" localSheetId="69">#REF!</definedName>
    <definedName name="ค่าเทคอนกรีตโครงสร้าง" localSheetId="70">#REF!</definedName>
    <definedName name="ค่าเทคอนกรีตโครงสร้าง" localSheetId="74">#REF!</definedName>
    <definedName name="ค่าเทคอนกรีตโครงสร้าง" localSheetId="2">#REF!</definedName>
    <definedName name="ค่าเทคอนกรีตโครงสร้าง">#REF!</definedName>
    <definedName name="ค่าเทคอนกรีตหยาบ" localSheetId="3">#REF!</definedName>
    <definedName name="ค่าเทคอนกรีตหยาบ" localSheetId="4">#REF!</definedName>
    <definedName name="ค่าเทคอนกรีตหยาบ" localSheetId="71">#REF!</definedName>
    <definedName name="ค่าเทคอนกรีตหยาบ" localSheetId="69">#REF!</definedName>
    <definedName name="ค่าเทคอนกรีตหยาบ" localSheetId="70">#REF!</definedName>
    <definedName name="ค่าเทคอนกรีตหยาบ" localSheetId="2">#REF!</definedName>
    <definedName name="ค่าเทคอนกรีตหยาบ">#REF!</definedName>
    <definedName name="ค่าเสื่อมขุดรื้อคันทางเดิมผิวAC5ซม." localSheetId="3">#REF!</definedName>
    <definedName name="ค่าเสื่อมขุดรื้อคันทางเดิมผิวAC5ซม." localSheetId="4">#REF!</definedName>
    <definedName name="ค่าเสื่อมขุดรื้อคันทางเดิมผิวAC5ซม." localSheetId="71">#REF!</definedName>
    <definedName name="ค่าเสื่อมขุดรื้อคันทางเดิมผิวAC5ซม." localSheetId="69">#REF!</definedName>
    <definedName name="ค่าเสื่อมขุดรื้อคันทางเดิมผิวAC5ซม." localSheetId="70">#REF!</definedName>
    <definedName name="ค่าเสื่อมขุดรื้อคันทางเดิมผิวAC5ซม." localSheetId="2">#REF!</definedName>
    <definedName name="ค่าเสื่อมขุดรื้อคันทางเดิมผิวAC5ซม.">#REF!</definedName>
    <definedName name="ค่าเสื่อมขุดรื้อคันทางเดิมผิวคอนกรีต20ซม." localSheetId="3">#REF!</definedName>
    <definedName name="ค่าเสื่อมขุดรื้อคันทางเดิมผิวคอนกรีต20ซม." localSheetId="4">#REF!</definedName>
    <definedName name="ค่าเสื่อมขุดรื้อคันทางเดิมผิวคอนกรีต20ซม." localSheetId="71">#REF!</definedName>
    <definedName name="ค่าเสื่อมขุดรื้อคันทางเดิมผิวคอนกรีต20ซม." localSheetId="2">#REF!</definedName>
    <definedName name="ค่าเสื่อมขุดรื้อคันทางเดิมผิวคอนกรีต20ซม.">#REF!</definedName>
    <definedName name="ค่าเสื่อมขุดรื้อคันทางเดิมลูกรัง10ซม." localSheetId="3">#REF!</definedName>
    <definedName name="ค่าเสื่อมขุดรื้อคันทางเดิมลูกรัง10ซม." localSheetId="4">#REF!</definedName>
    <definedName name="ค่าเสื่อมขุดรื้อคันทางเดิมลูกรัง10ซม." localSheetId="71">#REF!</definedName>
    <definedName name="ค่าเสื่อมขุดรื้อคันทางเดิมลูกรัง10ซม." localSheetId="2">#REF!</definedName>
    <definedName name="ค่าเสื่อมขุดรื้อคันทางเดิมลูกรัง10ซม.">#REF!</definedName>
    <definedName name="ค่าเสื่อมขุดรื้อคันทางเดิมหินคลุก10ซม." localSheetId="3">#REF!</definedName>
    <definedName name="ค่าเสื่อมขุดรื้อคันทางเดิมหินคลุก10ซม." localSheetId="4">#REF!</definedName>
    <definedName name="ค่าเสื่อมขุดรื้อคันทางเดิมหินคลุก10ซม." localSheetId="71">#REF!</definedName>
    <definedName name="ค่าเสื่อมขุดรื้อคันทางเดิมหินคลุก10ซม." localSheetId="2">#REF!</definedName>
    <definedName name="ค่าเสื่อมขุดรื้อคันทางเดิมหินคลุก10ซม.">#REF!</definedName>
    <definedName name="ค่าเสื่อมค่าขนส่งคอนกรีต">'[10]ค่าดำเนินการ+ค่าเสื่อมราคา'!$I$57</definedName>
    <definedName name="ค่าเสื่อมค่าตัดรอยต่อคอนกรีตและหยอดยาง" localSheetId="3">#REF!</definedName>
    <definedName name="ค่าเสื่อมค่าตัดรอยต่อคอนกรีตและหยอดยาง" localSheetId="4">#REF!</definedName>
    <definedName name="ค่าเสื่อมค่าตัดรอยต่อคอนกรีตและหยอดยาง" localSheetId="5">#REF!</definedName>
    <definedName name="ค่าเสื่อมค่าตัดรอยต่อคอนกรีตและหยอดยาง" localSheetId="18">#REF!</definedName>
    <definedName name="ค่าเสื่อมค่าตัดรอยต่อคอนกรีตและหยอดยาง" localSheetId="30">#REF!</definedName>
    <definedName name="ค่าเสื่อมค่าตัดรอยต่อคอนกรีตและหยอดยาง" localSheetId="56">#REF!</definedName>
    <definedName name="ค่าเสื่อมค่าตัดรอยต่อคอนกรีตและหยอดยาง" localSheetId="43">#REF!</definedName>
    <definedName name="ค่าเสื่อมค่าตัดรอยต่อคอนกรีตและหยอดยาง" localSheetId="71">#REF!</definedName>
    <definedName name="ค่าเสื่อมค่าตัดรอยต่อคอนกรีตและหยอดยาง" localSheetId="69">#REF!</definedName>
    <definedName name="ค่าเสื่อมค่าตัดรอยต่อคอนกรีตและหยอดยาง" localSheetId="70">#REF!</definedName>
    <definedName name="ค่าเสื่อมค่าตัดรอยต่อคอนกรีตและหยอดยาง" localSheetId="74">#REF!</definedName>
    <definedName name="ค่าเสื่อมค่าตัดรอยต่อคอนกรีตและหยอดยาง" localSheetId="2">#REF!</definedName>
    <definedName name="ค่าเสื่อมค่าตัดรอยต่อคอนกรีตและหยอดยาง">#REF!</definedName>
    <definedName name="ค่าเสื่อมค่าบ่มวัสดุลูกรัง" localSheetId="3">#REF!</definedName>
    <definedName name="ค่าเสื่อมค่าบ่มวัสดุลูกรัง" localSheetId="4">#REF!</definedName>
    <definedName name="ค่าเสื่อมค่าบ่มวัสดุลูกรัง" localSheetId="71">#REF!</definedName>
    <definedName name="ค่าเสื่อมค่าบ่มวัสดุลูกรัง" localSheetId="69">#REF!</definedName>
    <definedName name="ค่าเสื่อมค่าบ่มวัสดุลูกรัง" localSheetId="70">#REF!</definedName>
    <definedName name="ค่าเสื่อมค่าบ่มวัสดุลูกรัง" localSheetId="2">#REF!</definedName>
    <definedName name="ค่าเสื่อมค่าบ่มวัสดุลูกรัง">#REF!</definedName>
    <definedName name="ค่าเสื่อมค่าบ่มวัสดุหินคลุก" localSheetId="3">#REF!</definedName>
    <definedName name="ค่าเสื่อมค่าบ่มวัสดุหินคลุก" localSheetId="4">#REF!</definedName>
    <definedName name="ค่าเสื่อมค่าบ่มวัสดุหินคลุก" localSheetId="71">#REF!</definedName>
    <definedName name="ค่าเสื่อมค่าบ่มวัสดุหินคลุก" localSheetId="69">#REF!</definedName>
    <definedName name="ค่าเสื่อมค่าบ่มวัสดุหินคลุก" localSheetId="70">#REF!</definedName>
    <definedName name="ค่าเสื่อมค่าบ่มวัสดุหินคลุก" localSheetId="2">#REF!</definedName>
    <definedName name="ค่าเสื่อมค่าบ่มวัสดุหินคลุก">#REF!</definedName>
    <definedName name="ค่าเสื่อมค่าปูผิวคอนกรีต" localSheetId="3">#REF!</definedName>
    <definedName name="ค่าเสื่อมค่าปูผิวคอนกรีต" localSheetId="4">#REF!</definedName>
    <definedName name="ค่าเสื่อมค่าปูผิวคอนกรีต" localSheetId="71">#REF!</definedName>
    <definedName name="ค่าเสื่อมค่าปูผิวคอนกรีต" localSheetId="2">#REF!</definedName>
    <definedName name="ค่าเสื่อมค่าปูผิวคอนกรีต">#REF!</definedName>
    <definedName name="ค่าเสื่อมค่าผสมวัสดุลูกรัง" localSheetId="3">#REF!</definedName>
    <definedName name="ค่าเสื่อมค่าผสมวัสดุลูกรัง" localSheetId="4">#REF!</definedName>
    <definedName name="ค่าเสื่อมค่าผสมวัสดุลูกรัง" localSheetId="71">#REF!</definedName>
    <definedName name="ค่าเสื่อมค่าผสมวัสดุลูกรัง" localSheetId="2">#REF!</definedName>
    <definedName name="ค่าเสื่อมค่าผสมวัสดุลูกรัง">#REF!</definedName>
    <definedName name="ค่าเสื่อมค่าหยอดยางรอยต่อคอนกรีต" localSheetId="3">#REF!</definedName>
    <definedName name="ค่าเสื่อมค่าหยอดยางรอยต่อคอนกรีต" localSheetId="4">#REF!</definedName>
    <definedName name="ค่าเสื่อมค่าหยอดยางรอยต่อคอนกรีต" localSheetId="71">#REF!</definedName>
    <definedName name="ค่าเสื่อมค่าหยอดยางรอยต่อคอนกรีต" localSheetId="2">#REF!</definedName>
    <definedName name="ค่าเสื่อมค่าหยอดยางรอยต่อคอนกรีต">#REF!</definedName>
    <definedName name="ค่าเสื่อมงานเคลือบหิน2ชั้น1.5" localSheetId="3">#REF!</definedName>
    <definedName name="ค่าเสื่อมงานเคลือบหิน2ชั้น1.5" localSheetId="4">#REF!</definedName>
    <definedName name="ค่าเสื่อมงานเคลือบหิน2ชั้น1.5" localSheetId="71">#REF!</definedName>
    <definedName name="ค่าเสื่อมงานเคลือบหิน2ชั้น1.5" localSheetId="2">#REF!</definedName>
    <definedName name="ค่าเสื่อมงานเคลือบหิน2ชั้น1.5">#REF!</definedName>
    <definedName name="ค่าเสื่อมงานเคลือบหิน2ชั้นเ3_4" localSheetId="3">#REF!</definedName>
    <definedName name="ค่าเสื่อมงานเคลือบหิน2ชั้นเ3_4" localSheetId="4">#REF!</definedName>
    <definedName name="ค่าเสื่อมงานเคลือบหิน2ชั้นเ3_4" localSheetId="71">#REF!</definedName>
    <definedName name="ค่าเสื่อมงานเคลือบหิน2ชั้นเ3_4" localSheetId="2">#REF!</definedName>
    <definedName name="ค่าเสื่อมงานเคลือบหิน2ชั้นเ3_4">#REF!</definedName>
    <definedName name="ค่าเสื่อมงานเคลือบหินชั้นเดียว0.5" localSheetId="3">#REF!</definedName>
    <definedName name="ค่าเสื่อมงานเคลือบหินชั้นเดียว0.5" localSheetId="4">#REF!</definedName>
    <definedName name="ค่าเสื่อมงานเคลือบหินชั้นเดียว0.5" localSheetId="71">#REF!</definedName>
    <definedName name="ค่าเสื่อมงานเคลือบหินชั้นเดียว0.5" localSheetId="2">#REF!</definedName>
    <definedName name="ค่าเสื่อมงานเคลือบหินชั้นเดียว0.5">#REF!</definedName>
    <definedName name="ค่าเสื่อมงานเคลือบหินชั้นเดียว3_4" localSheetId="3">#REF!</definedName>
    <definedName name="ค่าเสื่อมงานเคลือบหินชั้นเดียว3_4" localSheetId="4">#REF!</definedName>
    <definedName name="ค่าเสื่อมงานเคลือบหินชั้นเดียว3_4" localSheetId="71">#REF!</definedName>
    <definedName name="ค่าเสื่อมงานเคลือบหินชั้นเดียว3_4" localSheetId="2">#REF!</definedName>
    <definedName name="ค่าเสื่อมงานเคลือบหินชั้นเดียว3_4">#REF!</definedName>
    <definedName name="ค่าเสื่อมงานผิวทางแบบบาง2ชั้น1.5" localSheetId="3">#REF!</definedName>
    <definedName name="ค่าเสื่อมงานผิวทางแบบบาง2ชั้น1.5" localSheetId="4">#REF!</definedName>
    <definedName name="ค่าเสื่อมงานผิวทางแบบบาง2ชั้น1.5" localSheetId="71">#REF!</definedName>
    <definedName name="ค่าเสื่อมงานผิวทางแบบบาง2ชั้น1.5" localSheetId="2">#REF!</definedName>
    <definedName name="ค่าเสื่อมงานผิวทางแบบบาง2ชั้น1.5">#REF!</definedName>
    <definedName name="ค่าเสื่อมงานผิวทางแบบบาง2ชั้น3_4" localSheetId="3">#REF!</definedName>
    <definedName name="ค่าเสื่อมงานผิวทางแบบบาง2ชั้น3_4" localSheetId="4">#REF!</definedName>
    <definedName name="ค่าเสื่อมงานผิวทางแบบบาง2ชั้น3_4" localSheetId="71">#REF!</definedName>
    <definedName name="ค่าเสื่อมงานผิวทางแบบบาง2ชั้น3_4" localSheetId="2">#REF!</definedName>
    <definedName name="ค่าเสื่อมงานผิวทางแบบบาง2ชั้น3_4">#REF!</definedName>
    <definedName name="ค่าเสื่อมงานผิวทางแบบบางชั้นเดียว0.5" localSheetId="3">#REF!</definedName>
    <definedName name="ค่าเสื่อมงานผิวทางแบบบางชั้นเดียว0.5" localSheetId="4">#REF!</definedName>
    <definedName name="ค่าเสื่อมงานผิวทางแบบบางชั้นเดียว0.5" localSheetId="71">#REF!</definedName>
    <definedName name="ค่าเสื่อมงานผิวทางแบบบางชั้นเดียว0.5" localSheetId="2">#REF!</definedName>
    <definedName name="ค่าเสื่อมงานผิวทางแบบบางชั้นเดียว0.5">#REF!</definedName>
    <definedName name="ค่าเสื่อมงานผิวทางแบบบางชั้นเดียว3_4" localSheetId="3">#REF!</definedName>
    <definedName name="ค่าเสื่อมงานผิวทางแบบบางชั้นเดียว3_4" localSheetId="4">#REF!</definedName>
    <definedName name="ค่าเสื่อมงานผิวทางแบบบางชั้นเดียว3_4" localSheetId="71">#REF!</definedName>
    <definedName name="ค่าเสื่อมงานผิวทางแบบบางชั้นเดียว3_4" localSheetId="2">#REF!</definedName>
    <definedName name="ค่าเสื่อมงานผิวทางแบบบางชั้นเดียว3_4">#REF!</definedName>
    <definedName name="ค่าเสื่อมงานราดยางPrimeCoat" localSheetId="3">#REF!</definedName>
    <definedName name="ค่าเสื่อมงานราดยางPrimeCoat" localSheetId="4">#REF!</definedName>
    <definedName name="ค่าเสื่อมงานราดยางPrimeCoat" localSheetId="71">#REF!</definedName>
    <definedName name="ค่าเสื่อมงานราดยางPrimeCoat" localSheetId="2">#REF!</definedName>
    <definedName name="ค่าเสื่อมงานราดยางPrimeCoat">#REF!</definedName>
    <definedName name="ค่าเสื่อมงานราดยางTackCoat" localSheetId="3">#REF!</definedName>
    <definedName name="ค่าเสื่อมงานราดยางTackCoat" localSheetId="4">#REF!</definedName>
    <definedName name="ค่าเสื่อมงานราดยางTackCoat" localSheetId="71">#REF!</definedName>
    <definedName name="ค่าเสื่อมงานราดยางTackCoat" localSheetId="2">#REF!</definedName>
    <definedName name="ค่าเสื่อมงานราดยางTackCoat">#REF!</definedName>
    <definedName name="ค่าเสื่อมวัสดุคัดเลือกไหล่ทางบดทับ" localSheetId="3">#REF!</definedName>
    <definedName name="ค่าเสื่อมวัสดุคัดเลือกไหล่ทางบดทับ" localSheetId="4">#REF!</definedName>
    <definedName name="ค่าเสื่อมวัสดุคัดเลือกไหล่ทางบดทับ" localSheetId="71">#REF!</definedName>
    <definedName name="ค่าเสื่อมวัสดุคัดเลือกไหล่ทางบดทับ" localSheetId="2">#REF!</definedName>
    <definedName name="ค่าเสื่อมวัสดุคัดเลือกไหล่ทางบดทับ">#REF!</definedName>
    <definedName name="ค่าเสื่อมวัสดุคัดเลือกไหล่ทางผสม" localSheetId="3">#REF!</definedName>
    <definedName name="ค่าเสื่อมวัสดุคัดเลือกไหล่ทางผสม" localSheetId="4">#REF!</definedName>
    <definedName name="ค่าเสื่อมวัสดุคัดเลือกไหล่ทางผสม" localSheetId="71">#REF!</definedName>
    <definedName name="ค่าเสื่อมวัสดุคัดเลือกไหล่ทางผสม" localSheetId="2">#REF!</definedName>
    <definedName name="ค่าเสื่อมวัสดุคัดเลือกไหล่ทางผสม">#REF!</definedName>
    <definedName name="ค่าเสื่อมวัสดุคัดเลือกขุด_ขน" localSheetId="3">#REF!</definedName>
    <definedName name="ค่าเสื่อมวัสดุคัดเลือกขุด_ขน" localSheetId="4">#REF!</definedName>
    <definedName name="ค่าเสื่อมวัสดุคัดเลือกขุด_ขน" localSheetId="71">#REF!</definedName>
    <definedName name="ค่าเสื่อมวัสดุคัดเลือกขุด_ขน" localSheetId="2">#REF!</definedName>
    <definedName name="ค่าเสื่อมวัสดุคัดเลือกขุด_ขน">#REF!</definedName>
    <definedName name="ค่าเสื่อมวัสดุคัดเลือกบททับ" localSheetId="3">#REF!</definedName>
    <definedName name="ค่าเสื่อมวัสดุคัดเลือกบททับ" localSheetId="4">#REF!</definedName>
    <definedName name="ค่าเสื่อมวัสดุคัดเลือกบททับ" localSheetId="71">#REF!</definedName>
    <definedName name="ค่าเสื่อมวัสดุคัดเลือกบททับ" localSheetId="2">#REF!</definedName>
    <definedName name="ค่าเสื่อมวัสดุคัดเลือกบททับ">#REF!</definedName>
    <definedName name="ค่าเสื่อมหินคลุกตัดแต่งขั้นบันได" localSheetId="3">#REF!</definedName>
    <definedName name="ค่าเสื่อมหินคลุกตัดแต่งขั้นบันได" localSheetId="4">#REF!</definedName>
    <definedName name="ค่าเสื่อมหินคลุกตัดแต่งขั้นบันได" localSheetId="71">#REF!</definedName>
    <definedName name="ค่าเสื่อมหินคลุกตัดแต่งขั้นบันได" localSheetId="2">#REF!</definedName>
    <definedName name="ค่าเสื่อมหินคลุกตัดแต่งขั้นบันได">#REF!</definedName>
    <definedName name="ค่าเสื่อมหินคลุกบดทับ" localSheetId="3">#REF!</definedName>
    <definedName name="ค่าเสื่อมหินคลุกบดทับ" localSheetId="4">#REF!</definedName>
    <definedName name="ค่าเสื่อมหินคลุกบดทับ" localSheetId="71">#REF!</definedName>
    <definedName name="ค่าเสื่อมหินคลุกบดทับ" localSheetId="2">#REF!</definedName>
    <definedName name="ค่าเสื่อมหินคลุกบดทับ">#REF!</definedName>
    <definedName name="ค่าแบบข้าง" localSheetId="3">#REF!</definedName>
    <definedName name="ค่าแบบข้าง" localSheetId="4">#REF!</definedName>
    <definedName name="ค่าแบบข้าง" localSheetId="71">#REF!</definedName>
    <definedName name="ค่าแบบข้าง" localSheetId="2">#REF!</definedName>
    <definedName name="ค่าแบบข้าง">#REF!</definedName>
    <definedName name="ค่าแรงเหล็ก_light_lip_channel" localSheetId="3">#REF!</definedName>
    <definedName name="ค่าแรงเหล็ก_light_lip_channel" localSheetId="4">#REF!</definedName>
    <definedName name="ค่าแรงเหล็ก_light_lip_channel" localSheetId="71">#REF!</definedName>
    <definedName name="ค่าแรงเหล็ก_light_lip_channel" localSheetId="2">#REF!</definedName>
    <definedName name="ค่าแรงเหล็ก_light_lip_channel">#REF!</definedName>
    <definedName name="ค่าแรงไม้แบบ" localSheetId="3">#REF!</definedName>
    <definedName name="ค่าแรงไม้แบบ" localSheetId="4">#REF!</definedName>
    <definedName name="ค่าแรงไม้แบบ" localSheetId="71">#REF!</definedName>
    <definedName name="ค่าแรงไม้แบบ" localSheetId="2">#REF!</definedName>
    <definedName name="ค่าแรงไม้แบบ">#REF!</definedName>
    <definedName name="ค่าแรงดัดเหล็ก_ผูกเหล็ก" localSheetId="3">#REF!</definedName>
    <definedName name="ค่าแรงดัดเหล็ก_ผูกเหล็ก" localSheetId="4">#REF!</definedName>
    <definedName name="ค่าแรงดัดเหล็ก_ผูกเหล็ก" localSheetId="71">#REF!</definedName>
    <definedName name="ค่าแรงดัดเหล็ก_ผูกเหล็ก" localSheetId="2">#REF!</definedName>
    <definedName name="ค่าแรงดัดเหล็ก_ผูกเหล็ก">#REF!</definedName>
    <definedName name="ค่าขนทิ้ง_ตัน" localSheetId="3">#REF!</definedName>
    <definedName name="ค่าขนทิ้ง_ตัน" localSheetId="4">#REF!</definedName>
    <definedName name="ค่าขนทิ้ง_ตัน" localSheetId="71">#REF!</definedName>
    <definedName name="ค่าขนทิ้ง_ตัน" localSheetId="2">#REF!</definedName>
    <definedName name="ค่าขนทิ้ง_ตัน">#REF!</definedName>
    <definedName name="ค่าขนทิ้ง_ตัน_10ล้อ">'[10]ค่าขนส่ง-1'!$L$61</definedName>
    <definedName name="ค่าขนทิ้ง_ตัน_พ่วง">'[10]ค่าขนส่ง-1'!$L$78</definedName>
    <definedName name="ค่าขนทิ้ง_ลบม" localSheetId="3">#REF!</definedName>
    <definedName name="ค่าขนทิ้ง_ลบม" localSheetId="4">#REF!</definedName>
    <definedName name="ค่าขนทิ้ง_ลบม" localSheetId="5">#REF!</definedName>
    <definedName name="ค่าขนทิ้ง_ลบม" localSheetId="18">#REF!</definedName>
    <definedName name="ค่าขนทิ้ง_ลบม" localSheetId="30">#REF!</definedName>
    <definedName name="ค่าขนทิ้ง_ลบม" localSheetId="56">#REF!</definedName>
    <definedName name="ค่าขนทิ้ง_ลบม" localSheetId="43">#REF!</definedName>
    <definedName name="ค่าขนทิ้ง_ลบม" localSheetId="71">#REF!</definedName>
    <definedName name="ค่าขนทิ้ง_ลบม" localSheetId="69">#REF!</definedName>
    <definedName name="ค่าขนทิ้ง_ลบม" localSheetId="70">#REF!</definedName>
    <definedName name="ค่าขนทิ้ง_ลบม" localSheetId="74">#REF!</definedName>
    <definedName name="ค่าขนทิ้ง_ลบม" localSheetId="2">#REF!</definedName>
    <definedName name="ค่าขนทิ้ง_ลบม">#REF!</definedName>
    <definedName name="ค่าขนทิ้ง_ลบม_10ล้อ">'[10]ค่าขนส่ง-1'!$M$61</definedName>
    <definedName name="ค่าขนทิ้ง_ลบม_พ่วง">'[10]ค่าขนส่ง-1'!$M$78</definedName>
    <definedName name="ค่าขนทิ้ง1_10ล้อ">'[11]ค่าขนส่ง-1'!$L$59</definedName>
    <definedName name="ค่าขนทิ้ง1_พ่วง" localSheetId="3">#REF!</definedName>
    <definedName name="ค่าขนทิ้ง1_พ่วง" localSheetId="4">#REF!</definedName>
    <definedName name="ค่าขนทิ้ง1_พ่วง" localSheetId="5">#REF!</definedName>
    <definedName name="ค่าขนทิ้ง1_พ่วง" localSheetId="18">#REF!</definedName>
    <definedName name="ค่าขนทิ้ง1_พ่วง" localSheetId="30">#REF!</definedName>
    <definedName name="ค่าขนทิ้ง1_พ่วง" localSheetId="56">#REF!</definedName>
    <definedName name="ค่าขนทิ้ง1_พ่วง" localSheetId="43">#REF!</definedName>
    <definedName name="ค่าขนทิ้ง1_พ่วง" localSheetId="71">#REF!</definedName>
    <definedName name="ค่าขนทิ้ง1_พ่วง" localSheetId="69">#REF!</definedName>
    <definedName name="ค่าขนทิ้ง1_พ่วง" localSheetId="70">#REF!</definedName>
    <definedName name="ค่าขนทิ้ง1_พ่วง" localSheetId="74">#REF!</definedName>
    <definedName name="ค่าขนทิ้ง1_พ่วง" localSheetId="2">#REF!</definedName>
    <definedName name="ค่าขนทิ้ง1_พ่วง">#REF!</definedName>
    <definedName name="ค่าขนทิ้ง2_10ล้อ">'[11]ค่าขนส่ง-1'!$M$59</definedName>
    <definedName name="ค่าขนทิ้ง2_พ่วง" localSheetId="3">#REF!</definedName>
    <definedName name="ค่าขนทิ้ง2_พ่วง" localSheetId="4">#REF!</definedName>
    <definedName name="ค่าขนทิ้ง2_พ่วง" localSheetId="5">#REF!</definedName>
    <definedName name="ค่าขนทิ้ง2_พ่วง" localSheetId="18">#REF!</definedName>
    <definedName name="ค่าขนทิ้ง2_พ่วง" localSheetId="30">#REF!</definedName>
    <definedName name="ค่าขนทิ้ง2_พ่วง" localSheetId="56">#REF!</definedName>
    <definedName name="ค่าขนทิ้ง2_พ่วง" localSheetId="43">#REF!</definedName>
    <definedName name="ค่าขนทิ้ง2_พ่วง" localSheetId="71">#REF!</definedName>
    <definedName name="ค่าขนทิ้ง2_พ่วง" localSheetId="69">#REF!</definedName>
    <definedName name="ค่าขนทิ้ง2_พ่วง" localSheetId="70">#REF!</definedName>
    <definedName name="ค่าขนทิ้ง2_พ่วง" localSheetId="74">#REF!</definedName>
    <definedName name="ค่าขนทิ้ง2_พ่วง" localSheetId="2">#REF!</definedName>
    <definedName name="ค่าขนทิ้ง2_พ่วง">#REF!</definedName>
    <definedName name="ค่าขนส่ง" localSheetId="3">#REF!</definedName>
    <definedName name="ค่าขนส่ง" localSheetId="4">#REF!</definedName>
    <definedName name="ค่าขนส่ง" localSheetId="71">#REF!</definedName>
    <definedName name="ค่าขนส่ง" localSheetId="69">#REF!</definedName>
    <definedName name="ค่าขนส่ง" localSheetId="70">#REF!</definedName>
    <definedName name="ค่าขนส่ง" localSheetId="2">#REF!</definedName>
    <definedName name="ค่าขนส่ง">#REF!</definedName>
    <definedName name="ค่าขนส่ง_กทม_ตัน_10ล้อ">'[10]ค่าขนส่ง-1'!$L$63</definedName>
    <definedName name="ค่าขนส่ง_กทม_ตัน_พ่วง" localSheetId="3">#REF!</definedName>
    <definedName name="ค่าขนส่ง_กทม_ตัน_พ่วง" localSheetId="4">#REF!</definedName>
    <definedName name="ค่าขนส่ง_กทม_ตัน_พ่วง" localSheetId="5">#REF!</definedName>
    <definedName name="ค่าขนส่ง_กทม_ตัน_พ่วง" localSheetId="18">#REF!</definedName>
    <definedName name="ค่าขนส่ง_กทม_ตัน_พ่วง" localSheetId="30">#REF!</definedName>
    <definedName name="ค่าขนส่ง_กทม_ตัน_พ่วง" localSheetId="56">#REF!</definedName>
    <definedName name="ค่าขนส่ง_กทม_ตัน_พ่วง" localSheetId="43">#REF!</definedName>
    <definedName name="ค่าขนส่ง_กทม_ตัน_พ่วง" localSheetId="71">#REF!</definedName>
    <definedName name="ค่าขนส่ง_กทม_ตัน_พ่วง" localSheetId="69">#REF!</definedName>
    <definedName name="ค่าขนส่ง_กทม_ตัน_พ่วง" localSheetId="70">#REF!</definedName>
    <definedName name="ค่าขนส่ง_กทม_ตัน_พ่วง" localSheetId="74">#REF!</definedName>
    <definedName name="ค่าขนส่ง_กทม_ตัน_พ่วง" localSheetId="2">#REF!</definedName>
    <definedName name="ค่าขนส่ง_กทม_ตัน_พ่วง">#REF!</definedName>
    <definedName name="ค่าขนส่ง_กทม_ลบม_10ล้อ">'[10]ค่าขนส่ง-1'!$M$63</definedName>
    <definedName name="ค่าขนส่ง_กทม_ลบม_พ่วง" localSheetId="3">#REF!</definedName>
    <definedName name="ค่าขนส่ง_กทม_ลบม_พ่วง" localSheetId="4">#REF!</definedName>
    <definedName name="ค่าขนส่ง_กทม_ลบม_พ่วง" localSheetId="5">#REF!</definedName>
    <definedName name="ค่าขนส่ง_กทม_ลบม_พ่วง" localSheetId="18">#REF!</definedName>
    <definedName name="ค่าขนส่ง_กทม_ลบม_พ่วง" localSheetId="30">#REF!</definedName>
    <definedName name="ค่าขนส่ง_กทม_ลบม_พ่วง" localSheetId="56">#REF!</definedName>
    <definedName name="ค่าขนส่ง_กทม_ลบม_พ่วง" localSheetId="43">#REF!</definedName>
    <definedName name="ค่าขนส่ง_กทม_ลบม_พ่วง" localSheetId="71">#REF!</definedName>
    <definedName name="ค่าขนส่ง_กทม_ลบม_พ่วง" localSheetId="69">#REF!</definedName>
    <definedName name="ค่าขนส่ง_กทม_ลบม_พ่วง" localSheetId="70">#REF!</definedName>
    <definedName name="ค่าขนส่ง_กทม_ลบม_พ่วง" localSheetId="74">#REF!</definedName>
    <definedName name="ค่าขนส่ง_กทม_ลบม_พ่วง" localSheetId="2">#REF!</definedName>
    <definedName name="ค่าขนส่ง_กทม_ลบม_พ่วง">#REF!</definedName>
    <definedName name="ค่าขนส่ง10ล้อ">[10]ตารางค่าขนส่ง!$B$8:$C$208</definedName>
    <definedName name="ค่าขนส่งเหล็ก" localSheetId="3">#REF!</definedName>
    <definedName name="ค่าขนส่งเหล็ก" localSheetId="4">#REF!</definedName>
    <definedName name="ค่าขนส่งเหล็ก" localSheetId="5">#REF!</definedName>
    <definedName name="ค่าขนส่งเหล็ก" localSheetId="18">#REF!</definedName>
    <definedName name="ค่าขนส่งเหล็ก" localSheetId="30">#REF!</definedName>
    <definedName name="ค่าขนส่งเหล็ก" localSheetId="56">#REF!</definedName>
    <definedName name="ค่าขนส่งเหล็ก" localSheetId="43">#REF!</definedName>
    <definedName name="ค่าขนส่งเหล็ก" localSheetId="71">#REF!</definedName>
    <definedName name="ค่าขนส่งเหล็ก" localSheetId="69">#REF!</definedName>
    <definedName name="ค่าขนส่งเหล็ก" localSheetId="70">#REF!</definedName>
    <definedName name="ค่าขนส่งเหล็ก" localSheetId="74">#REF!</definedName>
    <definedName name="ค่าขนส่งเหล็ก" localSheetId="2">#REF!</definedName>
    <definedName name="ค่าขนส่งเหล็ก">#REF!</definedName>
    <definedName name="ค่าขนส่งเหล็ก_10ล้อ">'[11]ค่าขนส่ง-1'!$L$55</definedName>
    <definedName name="ค่าขนส่งเหล็ก_ตัน_10ล้อ">'[10]ค่าขนส่ง-1'!$L$57</definedName>
    <definedName name="ค่าขนส่งเหล็ก_ตัน_พ่วง">'[10]ค่าขนส่ง-1'!$L$74</definedName>
    <definedName name="ค่าขนส่งเหล็ก_พ่วง">'[11]ค่าขนส่ง-1'!$L$72</definedName>
    <definedName name="ค่าขนส่งเหล็ก_ลบม_10ล้อ" localSheetId="3">#REF!</definedName>
    <definedName name="ค่าขนส่งเหล็ก_ลบม_10ล้อ" localSheetId="4">#REF!</definedName>
    <definedName name="ค่าขนส่งเหล็ก_ลบม_10ล้อ" localSheetId="5">#REF!</definedName>
    <definedName name="ค่าขนส่งเหล็ก_ลบม_10ล้อ" localSheetId="18">#REF!</definedName>
    <definedName name="ค่าขนส่งเหล็ก_ลบม_10ล้อ" localSheetId="30">#REF!</definedName>
    <definedName name="ค่าขนส่งเหล็ก_ลบม_10ล้อ" localSheetId="56">#REF!</definedName>
    <definedName name="ค่าขนส่งเหล็ก_ลบม_10ล้อ" localSheetId="43">#REF!</definedName>
    <definedName name="ค่าขนส่งเหล็ก_ลบม_10ล้อ" localSheetId="71">#REF!</definedName>
    <definedName name="ค่าขนส่งเหล็ก_ลบม_10ล้อ" localSheetId="69">#REF!</definedName>
    <definedName name="ค่าขนส่งเหล็ก_ลบม_10ล้อ" localSheetId="70">#REF!</definedName>
    <definedName name="ค่าขนส่งเหล็ก_ลบม_10ล้อ" localSheetId="74">#REF!</definedName>
    <definedName name="ค่าขนส่งเหล็ก_ลบม_10ล้อ" localSheetId="2">#REF!</definedName>
    <definedName name="ค่าขนส่งเหล็ก_ลบม_10ล้อ">#REF!</definedName>
    <definedName name="ค่าขนส่งเหล็ก_ลบม_พ่วง" localSheetId="3">#REF!</definedName>
    <definedName name="ค่าขนส่งเหล็ก_ลบม_พ่วง" localSheetId="4">#REF!</definedName>
    <definedName name="ค่าขนส่งเหล็ก_ลบม_พ่วง" localSheetId="71">#REF!</definedName>
    <definedName name="ค่าขนส่งเหล็ก_ลบม_พ่วง" localSheetId="69">#REF!</definedName>
    <definedName name="ค่าขนส่งเหล็ก_ลบม_พ่วง" localSheetId="70">#REF!</definedName>
    <definedName name="ค่าขนส่งเหล็ก_ลบม_พ่วง" localSheetId="2">#REF!</definedName>
    <definedName name="ค่าขนส่งเหล็ก_ลบม_พ่วง">#REF!</definedName>
    <definedName name="ค่าขนส่งเหล็กเส้น" localSheetId="3">#REF!</definedName>
    <definedName name="ค่าขนส่งเหล็กเส้น" localSheetId="4">#REF!</definedName>
    <definedName name="ค่าขนส่งเหล็กเส้น" localSheetId="71">#REF!</definedName>
    <definedName name="ค่าขนส่งเหล็กเส้น" localSheetId="69">#REF!</definedName>
    <definedName name="ค่าขนส่งเหล็กเส้น" localSheetId="70">#REF!</definedName>
    <definedName name="ค่าขนส่งเหล็กเส้น" localSheetId="2">#REF!</definedName>
    <definedName name="ค่าขนส่งเหล็กเส้น">#REF!</definedName>
    <definedName name="ค่าขนส่งในแหล่งก่อสร้าง" localSheetId="3">#REF!</definedName>
    <definedName name="ค่าขนส่งในแหล่งก่อสร้าง" localSheetId="4">#REF!</definedName>
    <definedName name="ค่าขนส่งในแหล่งก่อสร้าง" localSheetId="71">#REF!</definedName>
    <definedName name="ค่าขนส่งในแหล่งก่อสร้าง" localSheetId="2">#REF!</definedName>
    <definedName name="ค่าขนส่งในแหล่งก่อสร้าง">#REF!</definedName>
    <definedName name="ค่าขนส่งคอนกรีต" localSheetId="3">#REF!</definedName>
    <definedName name="ค่าขนส่งคอนกรีต" localSheetId="4">#REF!</definedName>
    <definedName name="ค่าขนส่งคอนกรีต" localSheetId="71">#REF!</definedName>
    <definedName name="ค่าขนส่งคอนกรีต" localSheetId="2">#REF!</definedName>
    <definedName name="ค่าขนส่งคอนกรีต">#REF!</definedName>
    <definedName name="ค่าขนส่งคอนกรีต_10ล้อ">'[11]ค่าขนส่ง-1'!$M$54</definedName>
    <definedName name="ค่าขนส่งคอนกรีต_ตัน_10ล้อ" localSheetId="3">#REF!</definedName>
    <definedName name="ค่าขนส่งคอนกรีต_ตัน_10ล้อ" localSheetId="4">#REF!</definedName>
    <definedName name="ค่าขนส่งคอนกรีต_ตัน_10ล้อ" localSheetId="5">#REF!</definedName>
    <definedName name="ค่าขนส่งคอนกรีต_ตัน_10ล้อ" localSheetId="18">#REF!</definedName>
    <definedName name="ค่าขนส่งคอนกรีต_ตัน_10ล้อ" localSheetId="30">#REF!</definedName>
    <definedName name="ค่าขนส่งคอนกรีต_ตัน_10ล้อ" localSheetId="56">#REF!</definedName>
    <definedName name="ค่าขนส่งคอนกรีต_ตัน_10ล้อ" localSheetId="43">#REF!</definedName>
    <definedName name="ค่าขนส่งคอนกรีต_ตัน_10ล้อ" localSheetId="71">#REF!</definedName>
    <definedName name="ค่าขนส่งคอนกรีต_ตัน_10ล้อ" localSheetId="69">#REF!</definedName>
    <definedName name="ค่าขนส่งคอนกรีต_ตัน_10ล้อ" localSheetId="70">#REF!</definedName>
    <definedName name="ค่าขนส่งคอนกรีต_ตัน_10ล้อ" localSheetId="74">#REF!</definedName>
    <definedName name="ค่าขนส่งคอนกรีต_ตัน_10ล้อ" localSheetId="2">#REF!</definedName>
    <definedName name="ค่าขนส่งคอนกรีต_ตัน_10ล้อ">#REF!</definedName>
    <definedName name="ค่าขนส่งคอนกรีต_ตัน_พ่วง" localSheetId="3">#REF!</definedName>
    <definedName name="ค่าขนส่งคอนกรีต_ตัน_พ่วง" localSheetId="4">#REF!</definedName>
    <definedName name="ค่าขนส่งคอนกรีต_ตัน_พ่วง" localSheetId="71">#REF!</definedName>
    <definedName name="ค่าขนส่งคอนกรีต_ตัน_พ่วง" localSheetId="69">#REF!</definedName>
    <definedName name="ค่าขนส่งคอนกรีต_ตัน_พ่วง" localSheetId="70">#REF!</definedName>
    <definedName name="ค่าขนส่งคอนกรีต_ตัน_พ่วง" localSheetId="2">#REF!</definedName>
    <definedName name="ค่าขนส่งคอนกรีต_ตัน_พ่วง">#REF!</definedName>
    <definedName name="ค่าขนส่งคอนกรีต_พ่วง">'[11]ค่าขนส่ง-1'!$M$74</definedName>
    <definedName name="ค่าขนส่งคอนกรีต_ลบม_10ล้อ" localSheetId="3">#REF!</definedName>
    <definedName name="ค่าขนส่งคอนกรีต_ลบม_10ล้อ" localSheetId="4">#REF!</definedName>
    <definedName name="ค่าขนส่งคอนกรีต_ลบม_10ล้อ" localSheetId="5">#REF!</definedName>
    <definedName name="ค่าขนส่งคอนกรีต_ลบม_10ล้อ" localSheetId="18">#REF!</definedName>
    <definedName name="ค่าขนส่งคอนกรีต_ลบม_10ล้อ" localSheetId="30">#REF!</definedName>
    <definedName name="ค่าขนส่งคอนกรีต_ลบม_10ล้อ" localSheetId="56">#REF!</definedName>
    <definedName name="ค่าขนส่งคอนกรีต_ลบม_10ล้อ" localSheetId="43">#REF!</definedName>
    <definedName name="ค่าขนส่งคอนกรีต_ลบม_10ล้อ" localSheetId="71">#REF!</definedName>
    <definedName name="ค่าขนส่งคอนกรีต_ลบม_10ล้อ" localSheetId="69">#REF!</definedName>
    <definedName name="ค่าขนส่งคอนกรีต_ลบม_10ล้อ" localSheetId="70">#REF!</definedName>
    <definedName name="ค่าขนส่งคอนกรีต_ลบม_10ล้อ" localSheetId="74">#REF!</definedName>
    <definedName name="ค่าขนส่งคอนกรีต_ลบม_10ล้อ" localSheetId="2">#REF!</definedName>
    <definedName name="ค่าขนส่งคอนกรีต_ลบม_10ล้อ">#REF!</definedName>
    <definedName name="ค่าขนส่งคอนกรีต_ลบม_พ่วง" localSheetId="3">#REF!</definedName>
    <definedName name="ค่าขนส่งคอนกรีต_ลบม_พ่วง" localSheetId="4">#REF!</definedName>
    <definedName name="ค่าขนส่งคอนกรีต_ลบม_พ่วง" localSheetId="71">#REF!</definedName>
    <definedName name="ค่าขนส่งคอนกรีต_ลบม_พ่วง" localSheetId="69">#REF!</definedName>
    <definedName name="ค่าขนส่งคอนกรีต_ลบม_พ่วง" localSheetId="70">#REF!</definedName>
    <definedName name="ค่าขนส่งคอนกรีต_ลบม_พ่วง" localSheetId="2">#REF!</definedName>
    <definedName name="ค่าขนส่งคอนกรีต_ลบม_พ่วง">#REF!</definedName>
    <definedName name="ค่าขนส่งจากส่วนกลาง" localSheetId="3">#REF!</definedName>
    <definedName name="ค่าขนส่งจากส่วนกลาง" localSheetId="4">#REF!</definedName>
    <definedName name="ค่าขนส่งจากส่วนกลาง" localSheetId="71">#REF!</definedName>
    <definedName name="ค่าขนส่งจากส่วนกลาง" localSheetId="69">#REF!</definedName>
    <definedName name="ค่าขนส่งจากส่วนกลาง" localSheetId="70">#REF!</definedName>
    <definedName name="ค่าขนส่งจากส่วนกลาง" localSheetId="2">#REF!</definedName>
    <definedName name="ค่าขนส่งจากส่วนกลาง">#REF!</definedName>
    <definedName name="ค่าขนส่งดิน" localSheetId="3">#REF!</definedName>
    <definedName name="ค่าขนส่งดิน" localSheetId="4">#REF!</definedName>
    <definedName name="ค่าขนส่งดิน" localSheetId="71">#REF!</definedName>
    <definedName name="ค่าขนส่งดิน" localSheetId="2">#REF!</definedName>
    <definedName name="ค่าขนส่งดิน">#REF!</definedName>
    <definedName name="ค่าขนส่งดิน_10ล้อ">'[11]ค่าขนส่ง-1'!$M$51</definedName>
    <definedName name="ค่าขนส่งดิน_ตัน_10ล้อ" localSheetId="3">#REF!</definedName>
    <definedName name="ค่าขนส่งดิน_ตัน_10ล้อ" localSheetId="4">#REF!</definedName>
    <definedName name="ค่าขนส่งดิน_ตัน_10ล้อ" localSheetId="5">#REF!</definedName>
    <definedName name="ค่าขนส่งดิน_ตัน_10ล้อ" localSheetId="18">#REF!</definedName>
    <definedName name="ค่าขนส่งดิน_ตัน_10ล้อ" localSheetId="30">#REF!</definedName>
    <definedName name="ค่าขนส่งดิน_ตัน_10ล้อ" localSheetId="56">#REF!</definedName>
    <definedName name="ค่าขนส่งดิน_ตัน_10ล้อ" localSheetId="43">#REF!</definedName>
    <definedName name="ค่าขนส่งดิน_ตัน_10ล้อ" localSheetId="71">#REF!</definedName>
    <definedName name="ค่าขนส่งดิน_ตัน_10ล้อ" localSheetId="69">#REF!</definedName>
    <definedName name="ค่าขนส่งดิน_ตัน_10ล้อ" localSheetId="70">#REF!</definedName>
    <definedName name="ค่าขนส่งดิน_ตัน_10ล้อ" localSheetId="74">#REF!</definedName>
    <definedName name="ค่าขนส่งดิน_ตัน_10ล้อ" localSheetId="2">#REF!</definedName>
    <definedName name="ค่าขนส่งดิน_ตัน_10ล้อ">#REF!</definedName>
    <definedName name="ค่าขนส่งดิน_ตัน_พ่วง" localSheetId="3">#REF!</definedName>
    <definedName name="ค่าขนส่งดิน_ตัน_พ่วง" localSheetId="4">#REF!</definedName>
    <definedName name="ค่าขนส่งดิน_ตัน_พ่วง" localSheetId="71">#REF!</definedName>
    <definedName name="ค่าขนส่งดิน_ตัน_พ่วง" localSheetId="69">#REF!</definedName>
    <definedName name="ค่าขนส่งดิน_ตัน_พ่วง" localSheetId="70">#REF!</definedName>
    <definedName name="ค่าขนส่งดิน_ตัน_พ่วง" localSheetId="2">#REF!</definedName>
    <definedName name="ค่าขนส่งดิน_ตัน_พ่วง">#REF!</definedName>
    <definedName name="ค่าขนส่งดิน_พ่วง">'[11]ค่าขนส่ง-1'!$M$68</definedName>
    <definedName name="ค่าขนส่งดิน_ลบม_10ล้อ">'[10]ค่าขนส่ง-1'!$M$53</definedName>
    <definedName name="ค่าขนส่งดิน_ลบม_พ่วง">'[10]ค่าขนส่ง-1'!$M$70</definedName>
    <definedName name="ค่าขนส่งทราย" localSheetId="3">#REF!</definedName>
    <definedName name="ค่าขนส่งทราย" localSheetId="4">#REF!</definedName>
    <definedName name="ค่าขนส่งทราย" localSheetId="5">#REF!</definedName>
    <definedName name="ค่าขนส่งทราย" localSheetId="18">#REF!</definedName>
    <definedName name="ค่าขนส่งทราย" localSheetId="30">#REF!</definedName>
    <definedName name="ค่าขนส่งทราย" localSheetId="56">#REF!</definedName>
    <definedName name="ค่าขนส่งทราย" localSheetId="43">#REF!</definedName>
    <definedName name="ค่าขนส่งทราย" localSheetId="71">#REF!</definedName>
    <definedName name="ค่าขนส่งทราย" localSheetId="69">#REF!</definedName>
    <definedName name="ค่าขนส่งทราย" localSheetId="70">#REF!</definedName>
    <definedName name="ค่าขนส่งทราย" localSheetId="74">#REF!</definedName>
    <definedName name="ค่าขนส่งทราย" localSheetId="2">#REF!</definedName>
    <definedName name="ค่าขนส่งทราย">#REF!</definedName>
    <definedName name="ค่าขนส่งทราย_10ล้อ">'[11]ค่าขนส่ง-1'!$M$52</definedName>
    <definedName name="ค่าขนส่งทราย_ตัน_10ล้อ" localSheetId="3">#REF!</definedName>
    <definedName name="ค่าขนส่งทราย_ตัน_10ล้อ" localSheetId="4">#REF!</definedName>
    <definedName name="ค่าขนส่งทราย_ตัน_10ล้อ" localSheetId="5">#REF!</definedName>
    <definedName name="ค่าขนส่งทราย_ตัน_10ล้อ" localSheetId="18">#REF!</definedName>
    <definedName name="ค่าขนส่งทราย_ตัน_10ล้อ" localSheetId="30">#REF!</definedName>
    <definedName name="ค่าขนส่งทราย_ตัน_10ล้อ" localSheetId="56">#REF!</definedName>
    <definedName name="ค่าขนส่งทราย_ตัน_10ล้อ" localSheetId="43">#REF!</definedName>
    <definedName name="ค่าขนส่งทราย_ตัน_10ล้อ" localSheetId="71">#REF!</definedName>
    <definedName name="ค่าขนส่งทราย_ตัน_10ล้อ" localSheetId="69">#REF!</definedName>
    <definedName name="ค่าขนส่งทราย_ตัน_10ล้อ" localSheetId="70">#REF!</definedName>
    <definedName name="ค่าขนส่งทราย_ตัน_10ล้อ" localSheetId="74">#REF!</definedName>
    <definedName name="ค่าขนส่งทราย_ตัน_10ล้อ" localSheetId="2">#REF!</definedName>
    <definedName name="ค่าขนส่งทราย_ตัน_10ล้อ">#REF!</definedName>
    <definedName name="ค่าขนส่งทราย_ตัน_พ่วง" localSheetId="3">#REF!</definedName>
    <definedName name="ค่าขนส่งทราย_ตัน_พ่วง" localSheetId="4">#REF!</definedName>
    <definedName name="ค่าขนส่งทราย_ตัน_พ่วง" localSheetId="71">#REF!</definedName>
    <definedName name="ค่าขนส่งทราย_ตัน_พ่วง" localSheetId="69">#REF!</definedName>
    <definedName name="ค่าขนส่งทราย_ตัน_พ่วง" localSheetId="70">#REF!</definedName>
    <definedName name="ค่าขนส่งทราย_ตัน_พ่วง" localSheetId="2">#REF!</definedName>
    <definedName name="ค่าขนส่งทราย_ตัน_พ่วง">#REF!</definedName>
    <definedName name="ค่าขนส่งทราย_พ่วง">'[11]ค่าขนส่ง-1'!$M$69</definedName>
    <definedName name="ค่าขนส่งทราย_ลบม_10ล้อ">'[10]ค่าขนส่ง-1'!$M$54</definedName>
    <definedName name="ค่าขนส่งทราย_ลบม_พ่วง">'[10]ค่าขนส่ง-1'!$M$71</definedName>
    <definedName name="ค่าขนส่งท่อ_10ล้อ">'[11]ค่าขนส่ง-1'!$L$58</definedName>
    <definedName name="ค่าขนส่งท่อ_ตัน_10ล้อ">'[10]ค่าขนส่ง-1'!$L$60</definedName>
    <definedName name="ค่าขนส่งท่อ_ตัน_พ่วง">'[10]ค่าขนส่ง-1'!$L$77</definedName>
    <definedName name="ค่าขนส่งท่อ_พ่วง">'[11]ค่าขนส่ง-1'!$L$75</definedName>
    <definedName name="ค่าขนส่งท่อ_ลบม_10ล้อ" localSheetId="3">#REF!</definedName>
    <definedName name="ค่าขนส่งท่อ_ลบม_10ล้อ" localSheetId="4">#REF!</definedName>
    <definedName name="ค่าขนส่งท่อ_ลบม_10ล้อ" localSheetId="5">#REF!</definedName>
    <definedName name="ค่าขนส่งท่อ_ลบม_10ล้อ" localSheetId="18">#REF!</definedName>
    <definedName name="ค่าขนส่งท่อ_ลบม_10ล้อ" localSheetId="30">#REF!</definedName>
    <definedName name="ค่าขนส่งท่อ_ลบม_10ล้อ" localSheetId="56">#REF!</definedName>
    <definedName name="ค่าขนส่งท่อ_ลบม_10ล้อ" localSheetId="43">#REF!</definedName>
    <definedName name="ค่าขนส่งท่อ_ลบม_10ล้อ" localSheetId="71">#REF!</definedName>
    <definedName name="ค่าขนส่งท่อ_ลบม_10ล้อ" localSheetId="69">#REF!</definedName>
    <definedName name="ค่าขนส่งท่อ_ลบม_10ล้อ" localSheetId="70">#REF!</definedName>
    <definedName name="ค่าขนส่งท่อ_ลบม_10ล้อ" localSheetId="74">#REF!</definedName>
    <definedName name="ค่าขนส่งท่อ_ลบม_10ล้อ" localSheetId="2">#REF!</definedName>
    <definedName name="ค่าขนส่งท่อ_ลบม_10ล้อ">#REF!</definedName>
    <definedName name="ค่าขนส่งท่อ_ลบม_พ่วง" localSheetId="3">#REF!</definedName>
    <definedName name="ค่าขนส่งท่อ_ลบม_พ่วง" localSheetId="4">#REF!</definedName>
    <definedName name="ค่าขนส่งท่อ_ลบม_พ่วง" localSheetId="71">#REF!</definedName>
    <definedName name="ค่าขนส่งท่อ_ลบม_พ่วง" localSheetId="69">#REF!</definedName>
    <definedName name="ค่าขนส่งท่อ_ลบม_พ่วง" localSheetId="70">#REF!</definedName>
    <definedName name="ค่าขนส่งท่อ_ลบม_พ่วง" localSheetId="2">#REF!</definedName>
    <definedName name="ค่าขนส่งท่อ_ลบม_พ่วง">#REF!</definedName>
    <definedName name="ค่าขนส่งท่อและวัสดุอื่นๆ" localSheetId="3">#REF!</definedName>
    <definedName name="ค่าขนส่งท่อและวัสดุอื่นๆ" localSheetId="4">#REF!</definedName>
    <definedName name="ค่าขนส่งท่อและวัสดุอื่นๆ" localSheetId="71">#REF!</definedName>
    <definedName name="ค่าขนส่งท่อและวัสดุอื่นๆ" localSheetId="69">#REF!</definedName>
    <definedName name="ค่าขนส่งท่อและวัสดุอื่นๆ" localSheetId="70">#REF!</definedName>
    <definedName name="ค่าขนส่งท่อและวัสดุอื่นๆ" localSheetId="2">#REF!</definedName>
    <definedName name="ค่าขนส่งท่อและวัสดุอื่นๆ">#REF!</definedName>
    <definedName name="ค่าขนส่งท่อระบายน้ำและวัสดุอื่นๆ" localSheetId="3">#REF!</definedName>
    <definedName name="ค่าขนส่งท่อระบายน้ำและวัสดุอื่นๆ" localSheetId="4">#REF!</definedName>
    <definedName name="ค่าขนส่งท่อระบายน้ำและวัสดุอื่นๆ" localSheetId="71">#REF!</definedName>
    <definedName name="ค่าขนส่งท่อระบายน้ำและวัสดุอื่นๆ" localSheetId="2">#REF!</definedName>
    <definedName name="ค่าขนส่งท่อระบายน้ำและวัสดุอื่นๆ">#REF!</definedName>
    <definedName name="ค่าขนส่งบริเวณสถานที่ก่อสร้าง_ตัน" localSheetId="3">#REF!</definedName>
    <definedName name="ค่าขนส่งบริเวณสถานที่ก่อสร้าง_ตัน" localSheetId="4">#REF!</definedName>
    <definedName name="ค่าขนส่งบริเวณสถานที่ก่อสร้าง_ตัน" localSheetId="71">#REF!</definedName>
    <definedName name="ค่าขนส่งบริเวณสถานที่ก่อสร้าง_ตัน" localSheetId="2">#REF!</definedName>
    <definedName name="ค่าขนส่งบริเวณสถานที่ก่อสร้าง_ตัน">#REF!</definedName>
    <definedName name="ค่าขนส่งบริเวณสถานที่ก่อสร้าง_ลบม" localSheetId="3">#REF!</definedName>
    <definedName name="ค่าขนส่งบริเวณสถานที่ก่อสร้าง_ลบม" localSheetId="4">#REF!</definedName>
    <definedName name="ค่าขนส่งบริเวณสถานที่ก่อสร้าง_ลบม" localSheetId="71">#REF!</definedName>
    <definedName name="ค่าขนส่งบริเวณสถานที่ก่อสร้าง_ลบม" localSheetId="2">#REF!</definedName>
    <definedName name="ค่าขนส่งบริเวณสถานที่ก่อสร้าง_ลบม">#REF!</definedName>
    <definedName name="ค่าขนส่งปูน_10ล้อ">'[11]ค่าขนส่ง-1'!$L$57</definedName>
    <definedName name="ค่าขนส่งปูน_พ่วง">'[11]ค่าขนส่ง-1'!$L$74</definedName>
    <definedName name="ค่าขนส่งปูนซีเมนต์" localSheetId="3">#REF!</definedName>
    <definedName name="ค่าขนส่งปูนซีเมนต์" localSheetId="4">#REF!</definedName>
    <definedName name="ค่าขนส่งปูนซีเมนต์" localSheetId="5">#REF!</definedName>
    <definedName name="ค่าขนส่งปูนซีเมนต์" localSheetId="18">#REF!</definedName>
    <definedName name="ค่าขนส่งปูนซีเมนต์" localSheetId="30">#REF!</definedName>
    <definedName name="ค่าขนส่งปูนซีเมนต์" localSheetId="56">#REF!</definedName>
    <definedName name="ค่าขนส่งปูนซีเมนต์" localSheetId="43">#REF!</definedName>
    <definedName name="ค่าขนส่งปูนซีเมนต์" localSheetId="71">#REF!</definedName>
    <definedName name="ค่าขนส่งปูนซีเมนต์" localSheetId="69">#REF!</definedName>
    <definedName name="ค่าขนส่งปูนซีเมนต์" localSheetId="70">#REF!</definedName>
    <definedName name="ค่าขนส่งปูนซีเมนต์" localSheetId="74">#REF!</definedName>
    <definedName name="ค่าขนส่งปูนซีเมนต์" localSheetId="2">#REF!</definedName>
    <definedName name="ค่าขนส่งปูนซีเมนต์">#REF!</definedName>
    <definedName name="ค่าขนส่งปูนผง" localSheetId="3">#REF!</definedName>
    <definedName name="ค่าขนส่งปูนผง" localSheetId="4">#REF!</definedName>
    <definedName name="ค่าขนส่งปูนผง" localSheetId="71">#REF!</definedName>
    <definedName name="ค่าขนส่งปูนผง" localSheetId="69">#REF!</definedName>
    <definedName name="ค่าขนส่งปูนผง" localSheetId="70">#REF!</definedName>
    <definedName name="ค่าขนส่งปูนผง" localSheetId="2">#REF!</definedName>
    <definedName name="ค่าขนส่งปูนผง">#REF!</definedName>
    <definedName name="ค่าขนส่งปูนผง_ตัน_10ล้อ">'[10]ค่าขนส่ง-1'!$L$59</definedName>
    <definedName name="ค่าขนส่งปูนผง_ตัน_พ่วง">'[10]ค่าขนส่ง-1'!$L$76</definedName>
    <definedName name="ค่าขนส่งปูนผง_ลบม_10ล้อ" localSheetId="3">#REF!</definedName>
    <definedName name="ค่าขนส่งปูนผง_ลบม_10ล้อ" localSheetId="4">#REF!</definedName>
    <definedName name="ค่าขนส่งปูนผง_ลบม_10ล้อ" localSheetId="5">#REF!</definedName>
    <definedName name="ค่าขนส่งปูนผง_ลบม_10ล้อ" localSheetId="18">#REF!</definedName>
    <definedName name="ค่าขนส่งปูนผง_ลบม_10ล้อ" localSheetId="30">#REF!</definedName>
    <definedName name="ค่าขนส่งปูนผง_ลบม_10ล้อ" localSheetId="56">#REF!</definedName>
    <definedName name="ค่าขนส่งปูนผง_ลบม_10ล้อ" localSheetId="43">#REF!</definedName>
    <definedName name="ค่าขนส่งปูนผง_ลบม_10ล้อ" localSheetId="71">#REF!</definedName>
    <definedName name="ค่าขนส่งปูนผง_ลบม_10ล้อ" localSheetId="69">#REF!</definedName>
    <definedName name="ค่าขนส่งปูนผง_ลบม_10ล้อ" localSheetId="70">#REF!</definedName>
    <definedName name="ค่าขนส่งปูนผง_ลบม_10ล้อ" localSheetId="74">#REF!</definedName>
    <definedName name="ค่าขนส่งปูนผง_ลบม_10ล้อ" localSheetId="2">#REF!</definedName>
    <definedName name="ค่าขนส่งปูนผง_ลบม_10ล้อ">#REF!</definedName>
    <definedName name="ค่าขนส่งปูนผง_ลบม_พ่วง" localSheetId="3">#REF!</definedName>
    <definedName name="ค่าขนส่งปูนผง_ลบม_พ่วง" localSheetId="4">#REF!</definedName>
    <definedName name="ค่าขนส่งปูนผง_ลบม_พ่วง" localSheetId="71">#REF!</definedName>
    <definedName name="ค่าขนส่งปูนผง_ลบม_พ่วง" localSheetId="69">#REF!</definedName>
    <definedName name="ค่าขนส่งปูนผง_ลบม_พ่วง" localSheetId="70">#REF!</definedName>
    <definedName name="ค่าขนส่งปูนผง_ลบม_พ่วง" localSheetId="2">#REF!</definedName>
    <definedName name="ค่าขนส่งปูนผง_ลบม_พ่วง">#REF!</definedName>
    <definedName name="ค่าขนส่งยาง" localSheetId="3">#REF!</definedName>
    <definedName name="ค่าขนส่งยาง" localSheetId="4">#REF!</definedName>
    <definedName name="ค่าขนส่งยาง" localSheetId="71">#REF!</definedName>
    <definedName name="ค่าขนส่งยาง" localSheetId="69">#REF!</definedName>
    <definedName name="ค่าขนส่งยาง" localSheetId="70">#REF!</definedName>
    <definedName name="ค่าขนส่งยาง" localSheetId="2">#REF!</definedName>
    <definedName name="ค่าขนส่งยาง">#REF!</definedName>
    <definedName name="ค่าขนส่งยาง_10ล้อ">'[11]ค่าขนส่ง-1'!$L$56</definedName>
    <definedName name="ค่าขนส่งยาง_ตัน_10ล้อ">'[10]ค่าขนส่ง-1'!$L$58</definedName>
    <definedName name="ค่าขนส่งยาง_ตัน_พ่วง">'[10]ค่าขนส่ง-1'!$L$75</definedName>
    <definedName name="ค่าขนส่งยาง_พ่วง">'[11]ค่าขนส่ง-1'!$L$73</definedName>
    <definedName name="ค่าขนส่งยาง_ลบม_10ล้อ" localSheetId="3">#REF!</definedName>
    <definedName name="ค่าขนส่งยาง_ลบม_10ล้อ" localSheetId="4">#REF!</definedName>
    <definedName name="ค่าขนส่งยาง_ลบม_10ล้อ" localSheetId="5">#REF!</definedName>
    <definedName name="ค่าขนส่งยาง_ลบม_10ล้อ" localSheetId="18">#REF!</definedName>
    <definedName name="ค่าขนส่งยาง_ลบม_10ล้อ" localSheetId="30">#REF!</definedName>
    <definedName name="ค่าขนส่งยาง_ลบม_10ล้อ" localSheetId="56">#REF!</definedName>
    <definedName name="ค่าขนส่งยาง_ลบม_10ล้อ" localSheetId="43">#REF!</definedName>
    <definedName name="ค่าขนส่งยาง_ลบม_10ล้อ" localSheetId="71">#REF!</definedName>
    <definedName name="ค่าขนส่งยาง_ลบม_10ล้อ" localSheetId="69">#REF!</definedName>
    <definedName name="ค่าขนส่งยาง_ลบม_10ล้อ" localSheetId="70">#REF!</definedName>
    <definedName name="ค่าขนส่งยาง_ลบม_10ล้อ" localSheetId="74">#REF!</definedName>
    <definedName name="ค่าขนส่งยาง_ลบม_10ล้อ" localSheetId="2">#REF!</definedName>
    <definedName name="ค่าขนส่งยาง_ลบม_10ล้อ">#REF!</definedName>
    <definedName name="ค่าขนส่งยาง_ลบม_พ่วง" localSheetId="3">#REF!</definedName>
    <definedName name="ค่าขนส่งยาง_ลบม_พ่วง" localSheetId="4">#REF!</definedName>
    <definedName name="ค่าขนส่งยาง_ลบม_พ่วง" localSheetId="71">#REF!</definedName>
    <definedName name="ค่าขนส่งยาง_ลบม_พ่วง" localSheetId="69">#REF!</definedName>
    <definedName name="ค่าขนส่งยาง_ลบม_พ่วง" localSheetId="70">#REF!</definedName>
    <definedName name="ค่าขนส่งยาง_ลบม_พ่วง" localSheetId="2">#REF!</definedName>
    <definedName name="ค่าขนส่งยาง_ลบม_พ่วง">#REF!</definedName>
    <definedName name="ค่าขนส่งยางมะตอย" localSheetId="3">#REF!</definedName>
    <definedName name="ค่าขนส่งยางมะตอย" localSheetId="4">#REF!</definedName>
    <definedName name="ค่าขนส่งยางมะตอย" localSheetId="71">#REF!</definedName>
    <definedName name="ค่าขนส่งยางมะตอย" localSheetId="69">#REF!</definedName>
    <definedName name="ค่าขนส่งยางมะตอย" localSheetId="70">#REF!</definedName>
    <definedName name="ค่าขนส่งยางมะตอย" localSheetId="2">#REF!</definedName>
    <definedName name="ค่าขนส่งยางมะตอย">#REF!</definedName>
    <definedName name="ค่าขนส่งรถพ่วง">[10]ตารางค่าขนส่ง!$H$8:$I$208</definedName>
    <definedName name="ค่าขนส่งรอบโครงการ_ตัน_10ล้อ">'[10]ค่าขนส่ง-1'!$L$62</definedName>
    <definedName name="ค่าขนส่งรอบโครงการ_ตัน_พ่วง">'[10]ค่าขนส่ง-1'!$L$79</definedName>
    <definedName name="ค่าขนส่งรอบโครงการ_ลบม_10ล้อ">'[10]ค่าขนส่ง-1'!$M$62</definedName>
    <definedName name="ค่าขนส่งรอบโครงการ_ลบม_พ่วง">'[10]ค่าขนส่ง-1'!$M$79</definedName>
    <definedName name="ค่าขนส่งลูกรัง" localSheetId="3">#REF!</definedName>
    <definedName name="ค่าขนส่งลูกรัง" localSheetId="4">#REF!</definedName>
    <definedName name="ค่าขนส่งลูกรัง" localSheetId="5">#REF!</definedName>
    <definedName name="ค่าขนส่งลูกรัง" localSheetId="18">#REF!</definedName>
    <definedName name="ค่าขนส่งลูกรัง" localSheetId="30">#REF!</definedName>
    <definedName name="ค่าขนส่งลูกรัง" localSheetId="56">#REF!</definedName>
    <definedName name="ค่าขนส่งลูกรัง" localSheetId="43">#REF!</definedName>
    <definedName name="ค่าขนส่งลูกรัง" localSheetId="71">#REF!</definedName>
    <definedName name="ค่าขนส่งลูกรัง" localSheetId="69">#REF!</definedName>
    <definedName name="ค่าขนส่งลูกรัง" localSheetId="70">#REF!</definedName>
    <definedName name="ค่าขนส่งลูกรัง" localSheetId="74">#REF!</definedName>
    <definedName name="ค่าขนส่งลูกรัง" localSheetId="2">#REF!</definedName>
    <definedName name="ค่าขนส่งลูกรัง">#REF!</definedName>
    <definedName name="ค่าขนส่งวัสดุอื่นๆ" localSheetId="3">#REF!</definedName>
    <definedName name="ค่าขนส่งวัสดุอื่นๆ" localSheetId="4">#REF!</definedName>
    <definedName name="ค่าขนส่งวัสดุอื่นๆ" localSheetId="71">#REF!</definedName>
    <definedName name="ค่าขนส่งวัสดุอื่นๆ" localSheetId="69">#REF!</definedName>
    <definedName name="ค่าขนส่งวัสดุอื่นๆ" localSheetId="70">#REF!</definedName>
    <definedName name="ค่าขนส่งวัสดุอื่นๆ" localSheetId="2">#REF!</definedName>
    <definedName name="ค่าขนส่งวัสดุอื่นๆ">#REF!</definedName>
    <definedName name="ค่าขนส่งส่วนกลาง_ตัน" localSheetId="3">#REF!</definedName>
    <definedName name="ค่าขนส่งส่วนกลาง_ตัน" localSheetId="4">#REF!</definedName>
    <definedName name="ค่าขนส่งส่วนกลาง_ตัน" localSheetId="71">#REF!</definedName>
    <definedName name="ค่าขนส่งส่วนกลาง_ตัน" localSheetId="69">#REF!</definedName>
    <definedName name="ค่าขนส่งส่วนกลาง_ตัน" localSheetId="70">#REF!</definedName>
    <definedName name="ค่าขนส่งส่วนกลาง_ตัน" localSheetId="2">#REF!</definedName>
    <definedName name="ค่าขนส่งส่วนกลาง_ตัน">#REF!</definedName>
    <definedName name="ค่าขนส่งส่วนกลาง_ลบม" localSheetId="3">#REF!</definedName>
    <definedName name="ค่าขนส่งส่วนกลาง_ลบม" localSheetId="4">#REF!</definedName>
    <definedName name="ค่าขนส่งส่วนกลาง_ลบม" localSheetId="71">#REF!</definedName>
    <definedName name="ค่าขนส่งส่วนกลาง_ลบม" localSheetId="2">#REF!</definedName>
    <definedName name="ค่าขนส่งส่วนกลาง_ลบม">#REF!</definedName>
    <definedName name="ค่าขนส่งหิน" localSheetId="3">#REF!</definedName>
    <definedName name="ค่าขนส่งหิน" localSheetId="4">#REF!</definedName>
    <definedName name="ค่าขนส่งหิน" localSheetId="71">#REF!</definedName>
    <definedName name="ค่าขนส่งหิน" localSheetId="2">#REF!</definedName>
    <definedName name="ค่าขนส่งหิน">#REF!</definedName>
    <definedName name="ค่าขนส่งหิน_10ล้อ">'[11]ค่าขนส่ง-1'!$M$53</definedName>
    <definedName name="ค่าขนส่งหิน_ตัน_10ล้อ" localSheetId="3">#REF!</definedName>
    <definedName name="ค่าขนส่งหิน_ตัน_10ล้อ" localSheetId="4">#REF!</definedName>
    <definedName name="ค่าขนส่งหิน_ตัน_10ล้อ" localSheetId="5">#REF!</definedName>
    <definedName name="ค่าขนส่งหิน_ตัน_10ล้อ" localSheetId="18">#REF!</definedName>
    <definedName name="ค่าขนส่งหิน_ตัน_10ล้อ" localSheetId="30">#REF!</definedName>
    <definedName name="ค่าขนส่งหิน_ตัน_10ล้อ" localSheetId="56">#REF!</definedName>
    <definedName name="ค่าขนส่งหิน_ตัน_10ล้อ" localSheetId="43">#REF!</definedName>
    <definedName name="ค่าขนส่งหิน_ตัน_10ล้อ" localSheetId="71">#REF!</definedName>
    <definedName name="ค่าขนส่งหิน_ตัน_10ล้อ" localSheetId="69">#REF!</definedName>
    <definedName name="ค่าขนส่งหิน_ตัน_10ล้อ" localSheetId="70">#REF!</definedName>
    <definedName name="ค่าขนส่งหิน_ตัน_10ล้อ" localSheetId="74">#REF!</definedName>
    <definedName name="ค่าขนส่งหิน_ตัน_10ล้อ" localSheetId="2">#REF!</definedName>
    <definedName name="ค่าขนส่งหิน_ตัน_10ล้อ">#REF!</definedName>
    <definedName name="ค่าขนส่งหิน_ตัน_พ่วง" localSheetId="3">#REF!</definedName>
    <definedName name="ค่าขนส่งหิน_ตัน_พ่วง" localSheetId="4">#REF!</definedName>
    <definedName name="ค่าขนส่งหิน_ตัน_พ่วง" localSheetId="71">#REF!</definedName>
    <definedName name="ค่าขนส่งหิน_ตัน_พ่วง" localSheetId="69">#REF!</definedName>
    <definedName name="ค่าขนส่งหิน_ตัน_พ่วง" localSheetId="70">#REF!</definedName>
    <definedName name="ค่าขนส่งหิน_ตัน_พ่วง" localSheetId="2">#REF!</definedName>
    <definedName name="ค่าขนส่งหิน_ตัน_พ่วง">#REF!</definedName>
    <definedName name="ค่าขนส่งหิน_พ่วง">'[11]ค่าขนส่ง-1'!$M$70</definedName>
    <definedName name="ค่าขนส่งหิน_ลบม_10ล้อ">'[10]ค่าขนส่ง-1'!$M$55</definedName>
    <definedName name="ค่าขนส่งหิน_ลบม_พ่วง">'[10]ค่าขนส่ง-1'!$M$72</definedName>
    <definedName name="ค่างานเหล็ก" localSheetId="3">#REF!</definedName>
    <definedName name="ค่างานเหล็ก" localSheetId="4">#REF!</definedName>
    <definedName name="ค่างานเหล็ก" localSheetId="5">#REF!</definedName>
    <definedName name="ค่างานเหล็ก" localSheetId="18">#REF!</definedName>
    <definedName name="ค่างานเหล็ก" localSheetId="30">#REF!</definedName>
    <definedName name="ค่างานเหล็ก" localSheetId="56">#REF!</definedName>
    <definedName name="ค่างานเหล็ก" localSheetId="43">#REF!</definedName>
    <definedName name="ค่างานเหล็ก" localSheetId="71">#REF!</definedName>
    <definedName name="ค่างานเหล็ก" localSheetId="69">#REF!</definedName>
    <definedName name="ค่างานเหล็ก" localSheetId="70">#REF!</definedName>
    <definedName name="ค่างานเหล็ก" localSheetId="74">#REF!</definedName>
    <definedName name="ค่างานเหล็ก" localSheetId="2">#REF!</definedName>
    <definedName name="ค่างานเหล็ก">#REF!</definedName>
    <definedName name="ค่างานไม้แบบงานรางระบายน้ำ" localSheetId="3">#REF!</definedName>
    <definedName name="ค่างานไม้แบบงานรางระบายน้ำ" localSheetId="4">#REF!</definedName>
    <definedName name="ค่างานไม้แบบงานรางระบายน้ำ" localSheetId="71">#REF!</definedName>
    <definedName name="ค่างานไม้แบบงานรางระบายน้ำ" localSheetId="69">#REF!</definedName>
    <definedName name="ค่างานไม้แบบงานรางระบายน้ำ" localSheetId="70">#REF!</definedName>
    <definedName name="ค่างานไม้แบบงานรางระบายน้ำ" localSheetId="2">#REF!</definedName>
    <definedName name="ค่างานไม้แบบงานรางระบายน้ำ">#REF!</definedName>
    <definedName name="ค่างานไม้แบบทั่วไป" localSheetId="3">#REF!</definedName>
    <definedName name="ค่างานไม้แบบทั่วไป" localSheetId="4">#REF!</definedName>
    <definedName name="ค่างานไม้แบบทั่วไป" localSheetId="71">#REF!</definedName>
    <definedName name="ค่างานไม้แบบทั่วไป" localSheetId="69">#REF!</definedName>
    <definedName name="ค่างานไม้แบบทั่วไป" localSheetId="70">#REF!</definedName>
    <definedName name="ค่างานไม้แบบทั่วไป" localSheetId="2">#REF!</definedName>
    <definedName name="ค่างานไม้แบบทั่วไป">#REF!</definedName>
    <definedName name="ค่างานไม้แบบอย่างง่าย" localSheetId="3">#REF!</definedName>
    <definedName name="ค่างานไม้แบบอย่างง่าย" localSheetId="4">#REF!</definedName>
    <definedName name="ค่างานไม้แบบอย่างง่าย" localSheetId="71">#REF!</definedName>
    <definedName name="ค่างานไม้แบบอย่างง่าย" localSheetId="2">#REF!</definedName>
    <definedName name="ค่างานไม้แบบอย่างง่าย">#REF!</definedName>
    <definedName name="ค่าติดตั้งเครื่องผสม" localSheetId="3">#REF!</definedName>
    <definedName name="ค่าติดตั้งเครื่องผสม" localSheetId="4">#REF!</definedName>
    <definedName name="ค่าติดตั้งเครื่องผสม" localSheetId="71">#REF!</definedName>
    <definedName name="ค่าติดตั้งเครื่องผสม" localSheetId="2">#REF!</definedName>
    <definedName name="ค่าติดตั้งเครื่องผสม">#REF!</definedName>
    <definedName name="ค่าติดตั้งเครื่องผสมคอนกรีต" localSheetId="3">#REF!</definedName>
    <definedName name="ค่าติดตั้งเครื่องผสมคอนกรีต" localSheetId="4">#REF!</definedName>
    <definedName name="ค่าติดตั้งเครื่องผสมคอนกรีต" localSheetId="71">#REF!</definedName>
    <definedName name="ค่าติดตั้งเครื่องผสมคอนกรีต" localSheetId="2">#REF!</definedName>
    <definedName name="ค่าติดตั้งเครื่องผสมคอนกรีต">#REF!</definedName>
    <definedName name="คานขวาง_I_30" localSheetId="3">#REF!</definedName>
    <definedName name="คานขวาง_I_30" localSheetId="4">#REF!</definedName>
    <definedName name="คานขวาง_I_30" localSheetId="71">#REF!</definedName>
    <definedName name="คานขวาง_I_30" localSheetId="2">#REF!</definedName>
    <definedName name="คานขวาง_I_30">#REF!</definedName>
    <definedName name="คานขวาง_I20" localSheetId="3">#REF!</definedName>
    <definedName name="คานขวาง_I20" localSheetId="4">#REF!</definedName>
    <definedName name="คานขวาง_I20" localSheetId="71">#REF!</definedName>
    <definedName name="คานขวาง_I20" localSheetId="2">#REF!</definedName>
    <definedName name="คานขวาง_I20">#REF!</definedName>
    <definedName name="ค่าบ่มผิวทางคอนกรีต" localSheetId="3">#REF!</definedName>
    <definedName name="ค่าบ่มผิวทางคอนกรีต" localSheetId="4">#REF!</definedName>
    <definedName name="ค่าบ่มผิวทางคอนกรีต" localSheetId="71">#REF!</definedName>
    <definedName name="ค่าบ่มผิวทางคอนกรีต" localSheetId="2">#REF!</definedName>
    <definedName name="ค่าบ่มผิวทางคอนกรีต">#REF!</definedName>
    <definedName name="ค่าผสมคอนกรีต" localSheetId="3">#REF!</definedName>
    <definedName name="ค่าผสมคอนกรีต" localSheetId="4">#REF!</definedName>
    <definedName name="ค่าผสมคอนกรีต" localSheetId="71">#REF!</definedName>
    <definedName name="ค่าผสมคอนกรีต" localSheetId="2">#REF!</definedName>
    <definedName name="ค่าผสมคอนกรีต">#REF!</definedName>
    <definedName name="ค่าผสมวัสดุหินคลุก" localSheetId="3">#REF!</definedName>
    <definedName name="ค่าผสมวัสดุหินคลุก" localSheetId="4">#REF!</definedName>
    <definedName name="ค่าผสมวัสดุหินคลุก" localSheetId="71">#REF!</definedName>
    <definedName name="ค่าผสมวัสดุหินคลุก" localSheetId="2">#REF!</definedName>
    <definedName name="ค่าผสมวัสดุหินคลุก">#REF!</definedName>
    <definedName name="ค่าวางแผงเหล็ก" localSheetId="3">#REF!</definedName>
    <definedName name="ค่าวางแผงเหล็ก" localSheetId="4">#REF!</definedName>
    <definedName name="ค่าวางแผงเหล็ก" localSheetId="71">#REF!</definedName>
    <definedName name="ค่าวางแผงเหล็ก" localSheetId="2">#REF!</definedName>
    <definedName name="ค่าวางแผงเหล็ก">#REF!</definedName>
    <definedName name="งานBORROW_EXCAVATION" localSheetId="3">'[8]หมวด 2'!#REF!</definedName>
    <definedName name="งานBORROW_EXCAVATION" localSheetId="4">'[8]หมวด 2'!#REF!</definedName>
    <definedName name="งานBORROW_EXCAVATION" localSheetId="71">'[8]หมวด 2'!#REF!</definedName>
    <definedName name="งานBORROW_EXCAVATION" localSheetId="2">'[8]หมวด 2'!#REF!</definedName>
    <definedName name="งานBORROW_EXCAVATION">'[8]หมวด 2'!#REF!</definedName>
    <definedName name="งานCEMENT_MODIFIED_CRUSHED_ROCK_BASE" localSheetId="3">#REF!</definedName>
    <definedName name="งานCEMENT_MODIFIED_CRUSHED_ROCK_BASE" localSheetId="4">#REF!</definedName>
    <definedName name="งานCEMENT_MODIFIED_CRUSHED_ROCK_BASE" localSheetId="5">#REF!</definedName>
    <definedName name="งานCEMENT_MODIFIED_CRUSHED_ROCK_BASE" localSheetId="18">#REF!</definedName>
    <definedName name="งานCEMENT_MODIFIED_CRUSHED_ROCK_BASE" localSheetId="30">#REF!</definedName>
    <definedName name="งานCEMENT_MODIFIED_CRUSHED_ROCK_BASE" localSheetId="56">#REF!</definedName>
    <definedName name="งานCEMENT_MODIFIED_CRUSHED_ROCK_BASE" localSheetId="43">#REF!</definedName>
    <definedName name="งานCEMENT_MODIFIED_CRUSHED_ROCK_BASE" localSheetId="71">#REF!</definedName>
    <definedName name="งานCEMENT_MODIFIED_CRUSHED_ROCK_BASE" localSheetId="69">#REF!</definedName>
    <definedName name="งานCEMENT_MODIFIED_CRUSHED_ROCK_BASE" localSheetId="70">#REF!</definedName>
    <definedName name="งานCEMENT_MODIFIED_CRUSHED_ROCK_BASE" localSheetId="74">#REF!</definedName>
    <definedName name="งานCEMENT_MODIFIED_CRUSHED_ROCK_BASE" localSheetId="2">#REF!</definedName>
    <definedName name="งานCEMENT_MODIFIED_CRUSHED_ROCK_BASE">#REF!</definedName>
    <definedName name="งานCRUSHED_GRAVEL_AGGEGATE" localSheetId="3">#REF!</definedName>
    <definedName name="งานCRUSHED_GRAVEL_AGGEGATE" localSheetId="4">#REF!</definedName>
    <definedName name="งานCRUSHED_GRAVEL_AGGEGATE" localSheetId="71">#REF!</definedName>
    <definedName name="งานCRUSHED_GRAVEL_AGGEGATE" localSheetId="69">#REF!</definedName>
    <definedName name="งานCRUSHED_GRAVEL_AGGEGATE" localSheetId="70">#REF!</definedName>
    <definedName name="งานCRUSHED_GRAVEL_AGGEGATE" localSheetId="2">#REF!</definedName>
    <definedName name="งานCRUSHED_GRAVEL_AGGEGATE">#REF!</definedName>
    <definedName name="งานDRAINAGE_EXCAVATION" localSheetId="3">'[8]หมวด 2'!#REF!</definedName>
    <definedName name="งานDRAINAGE_EXCAVATION" localSheetId="4">'[8]หมวด 2'!#REF!</definedName>
    <definedName name="งานDRAINAGE_EXCAVATION" localSheetId="71">'[8]หมวด 2'!#REF!</definedName>
    <definedName name="งานDRAINAGE_EXCAVATION" localSheetId="69">'[8]หมวด 2'!#REF!</definedName>
    <definedName name="งานDRAINAGE_EXCAVATION" localSheetId="70">'[8]หมวด 2'!#REF!</definedName>
    <definedName name="งานDRAINAGE_EXCAVATION">'[8]หมวด 2'!#REF!</definedName>
    <definedName name="งานEARTH_EXCAVATION" localSheetId="3">'[8]หมวด 2'!#REF!</definedName>
    <definedName name="งานEARTH_EXCAVATION" localSheetId="4">'[8]หมวด 2'!#REF!</definedName>
    <definedName name="งานEARTH_EXCAVATION" localSheetId="71">'[8]หมวด 2'!#REF!</definedName>
    <definedName name="งานEARTH_EXCAVATION" localSheetId="69">'[8]หมวด 2'!#REF!</definedName>
    <definedName name="งานEARTH_EXCAVATION" localSheetId="70">'[8]หมวด 2'!#REF!</definedName>
    <definedName name="งานEARTH_EXCAVATION">'[8]หมวด 2'!#REF!</definedName>
    <definedName name="งานHARD_ROCK_EXCAVATION" localSheetId="3">'[8]หมวด 2'!#REF!</definedName>
    <definedName name="งานHARD_ROCK_EXCAVATION" localSheetId="4">'[8]หมวด 2'!#REF!</definedName>
    <definedName name="งานHARD_ROCK_EXCAVATION" localSheetId="71">'[8]หมวด 2'!#REF!</definedName>
    <definedName name="งานHARD_ROCK_EXCAVATION" localSheetId="70">'[8]หมวด 2'!#REF!</definedName>
    <definedName name="งานHARD_ROCK_EXCAVATION">'[8]หมวด 2'!#REF!</definedName>
    <definedName name="งานMUCK_EXCAVATION" localSheetId="3">'[8]หมวด 2'!#REF!</definedName>
    <definedName name="งานMUCK_EXCAVATION" localSheetId="4">'[8]หมวด 2'!#REF!</definedName>
    <definedName name="งานMUCK_EXCAVATION" localSheetId="71">'[8]หมวด 2'!#REF!</definedName>
    <definedName name="งานMUCK_EXCAVATION" localSheetId="70">'[8]หมวด 2'!#REF!</definedName>
    <definedName name="งานMUCK_EXCAVATION">'[8]หมวด 2'!#REF!</definedName>
    <definedName name="งานSOFT_ROCK_EXCAVATION" localSheetId="3">'[8]หมวด 2'!#REF!</definedName>
    <definedName name="งานSOFT_ROCK_EXCAVATION" localSheetId="4">'[8]หมวด 2'!#REF!</definedName>
    <definedName name="งานSOFT_ROCK_EXCAVATION" localSheetId="71">'[8]หมวด 2'!#REF!</definedName>
    <definedName name="งานSOFT_ROCK_EXCAVATION">'[8]หมวด 2'!#REF!</definedName>
    <definedName name="งานSOIL_AGGREGATE_SHOULDER" localSheetId="3">#REF!</definedName>
    <definedName name="งานSOIL_AGGREGATE_SHOULDER" localSheetId="4">#REF!</definedName>
    <definedName name="งานSOIL_AGGREGATE_SHOULDER" localSheetId="5">#REF!</definedName>
    <definedName name="งานSOIL_AGGREGATE_SHOULDER" localSheetId="18">#REF!</definedName>
    <definedName name="งานSOIL_AGGREGATE_SHOULDER" localSheetId="30">#REF!</definedName>
    <definedName name="งานSOIL_AGGREGATE_SHOULDER" localSheetId="56">#REF!</definedName>
    <definedName name="งานSOIL_AGGREGATE_SHOULDER" localSheetId="43">#REF!</definedName>
    <definedName name="งานSOIL_AGGREGATE_SHOULDER" localSheetId="71">#REF!</definedName>
    <definedName name="งานSOIL_AGGREGATE_SHOULDER" localSheetId="69">#REF!</definedName>
    <definedName name="งานSOIL_AGGREGATE_SHOULDER" localSheetId="70">#REF!</definedName>
    <definedName name="งานSOIL_AGGREGATE_SHOULDER" localSheetId="74">#REF!</definedName>
    <definedName name="งานSOIL_AGGREGATE_SHOULDER" localSheetId="2">#REF!</definedName>
    <definedName name="งานSOIL_AGGREGATE_SHOULDER">#REF!</definedName>
    <definedName name="งานSOIL_CEMENT_BASE" localSheetId="3">#REF!</definedName>
    <definedName name="งานSOIL_CEMENT_BASE" localSheetId="4">#REF!</definedName>
    <definedName name="งานSOIL_CEMENT_BASE" localSheetId="71">#REF!</definedName>
    <definedName name="งานSOIL_CEMENT_BASE" localSheetId="69">#REF!</definedName>
    <definedName name="งานSOIL_CEMENT_BASE" localSheetId="70">#REF!</definedName>
    <definedName name="งานSOIL_CEMENT_BASE" localSheetId="2">#REF!</definedName>
    <definedName name="งานSOIL_CEMENT_BASE">#REF!</definedName>
    <definedName name="งานUNCLASSIFIED_EXCAVATION" localSheetId="3">'[8]หมวด 2'!#REF!</definedName>
    <definedName name="งานUNCLASSIFIED_EXCAVATION" localSheetId="4">'[8]หมวด 2'!#REF!</definedName>
    <definedName name="งานUNCLASSIFIED_EXCAVATION" localSheetId="71">'[8]หมวด 2'!#REF!</definedName>
    <definedName name="งานUNCLASSIFIED_EXCAVATION" localSheetId="69">'[8]หมวด 2'!#REF!</definedName>
    <definedName name="งานUNCLASSIFIED_EXCAVATION" localSheetId="70">'[8]หมวด 2'!#REF!</definedName>
    <definedName name="งานUNCLASSIFIED_EXCAVATION">'[8]หมวด 2'!#REF!</definedName>
    <definedName name="งานUNSUITABLE_EXCAVATION" localSheetId="3">'[8]หมวด 2'!#REF!</definedName>
    <definedName name="งานUNSUITABLE_EXCAVATION" localSheetId="4">'[8]หมวด 2'!#REF!</definedName>
    <definedName name="งานUNSUITABLE_EXCAVATION" localSheetId="71">'[8]หมวด 2'!#REF!</definedName>
    <definedName name="งานUNSUITABLE_EXCAVATION" localSheetId="69">'[8]หมวด 2'!#REF!</definedName>
    <definedName name="งานUNSUITABLE_EXCAVATION" localSheetId="70">'[8]หมวด 2'!#REF!</definedName>
    <definedName name="งานUNSUITABLE_EXCAVATION">'[8]หมวด 2'!#REF!</definedName>
    <definedName name="งานเรียงหิน" localSheetId="3">#REF!</definedName>
    <definedName name="งานเรียงหิน" localSheetId="4">#REF!</definedName>
    <definedName name="งานเรียงหิน" localSheetId="5">#REF!</definedName>
    <definedName name="งานเรียงหิน" localSheetId="18">#REF!</definedName>
    <definedName name="งานเรียงหิน" localSheetId="30">#REF!</definedName>
    <definedName name="งานเรียงหิน" localSheetId="56">#REF!</definedName>
    <definedName name="งานเรียงหิน" localSheetId="43">#REF!</definedName>
    <definedName name="งานเรียงหิน" localSheetId="71">#REF!</definedName>
    <definedName name="งานเรียงหิน" localSheetId="69">#REF!</definedName>
    <definedName name="งานเรียงหิน" localSheetId="70">#REF!</definedName>
    <definedName name="งานเรียงหิน" localSheetId="74">#REF!</definedName>
    <definedName name="งานเรียงหิน" localSheetId="2">#REF!</definedName>
    <definedName name="งานเรียงหิน">#REF!</definedName>
    <definedName name="งานแผ่นผิวทางคอนกรีตเสริมเหล็ก" localSheetId="3">#REF!</definedName>
    <definedName name="งานแผ่นผิวทางคอนกรีตเสริมเหล็ก" localSheetId="4">#REF!</definedName>
    <definedName name="งานแผ่นผิวทางคอนกรีตเสริมเหล็ก" localSheetId="71">#REF!</definedName>
    <definedName name="งานแผ่นผิวทางคอนกรีตเสริมเหล็ก" localSheetId="69">#REF!</definedName>
    <definedName name="งานแผ่นผิวทางคอนกรีตเสริมเหล็ก" localSheetId="70">#REF!</definedName>
    <definedName name="งานแผ่นผิวทางคอนกรีตเสริมเหล็ก" localSheetId="2">#REF!</definedName>
    <definedName name="งานแผ่นผิวทางคอนกรีตเสริมเหล็ก">#REF!</definedName>
    <definedName name="งานโครงสร้างแท่นวางและกะบะต้นไม้" localSheetId="3">#REF!</definedName>
    <definedName name="งานโครงสร้างแท่นวางและกะบะต้นไม้" localSheetId="4">#REF!</definedName>
    <definedName name="งานโครงสร้างแท่นวางและกะบะต้นไม้" localSheetId="71">#REF!</definedName>
    <definedName name="งานโครงสร้างแท่นวางและกะบะต้นไม้" localSheetId="69">#REF!</definedName>
    <definedName name="งานโครงสร้างแท่นวางและกะบะต้นไม้" localSheetId="70">#REF!</definedName>
    <definedName name="งานโครงสร้างแท่นวางและกะบะต้นไม้" localSheetId="2">#REF!</definedName>
    <definedName name="งานโครงสร้างแท่นวางและกะบะต้นไม้">#REF!</definedName>
    <definedName name="งานกำแพงปลายท่อขนาด1_0.60ม." localSheetId="3">'[8]หมวด 6(2)'!#REF!</definedName>
    <definedName name="งานกำแพงปลายท่อขนาด1_0.60ม." localSheetId="4">'[8]หมวด 6(2)'!#REF!</definedName>
    <definedName name="งานกำแพงปลายท่อขนาด1_0.60ม." localSheetId="71">'[8]หมวด 6(2)'!#REF!</definedName>
    <definedName name="งานกำแพงปลายท่อขนาด1_0.60ม." localSheetId="69">'[8]หมวด 6(2)'!#REF!</definedName>
    <definedName name="งานกำแพงปลายท่อขนาด1_0.60ม." localSheetId="70">'[8]หมวด 6(2)'!#REF!</definedName>
    <definedName name="งานกำแพงปลายท่อขนาด1_0.60ม.">'[8]หมวด 6(2)'!#REF!</definedName>
    <definedName name="งานกำแพงปลายท่อขนาด1_0.80ม." localSheetId="3">'[8]หมวด 6(2)'!#REF!</definedName>
    <definedName name="งานกำแพงปลายท่อขนาด1_0.80ม." localSheetId="4">'[8]หมวด 6(2)'!#REF!</definedName>
    <definedName name="งานกำแพงปลายท่อขนาด1_0.80ม." localSheetId="71">'[8]หมวด 6(2)'!#REF!</definedName>
    <definedName name="งานกำแพงปลายท่อขนาด1_0.80ม." localSheetId="69">'[8]หมวด 6(2)'!#REF!</definedName>
    <definedName name="งานกำแพงปลายท่อขนาด1_0.80ม." localSheetId="70">'[8]หมวด 6(2)'!#REF!</definedName>
    <definedName name="งานกำแพงปลายท่อขนาด1_0.80ม.">'[8]หมวด 6(2)'!#REF!</definedName>
    <definedName name="งานกำแพงปลายท่อขนาด1_1.00ม." localSheetId="3">'[8]หมวด 6(2)'!#REF!</definedName>
    <definedName name="งานกำแพงปลายท่อขนาด1_1.00ม." localSheetId="4">'[8]หมวด 6(2)'!#REF!</definedName>
    <definedName name="งานกำแพงปลายท่อขนาด1_1.00ม." localSheetId="71">'[8]หมวด 6(2)'!#REF!</definedName>
    <definedName name="งานกำแพงปลายท่อขนาด1_1.00ม." localSheetId="69">'[8]หมวด 6(2)'!#REF!</definedName>
    <definedName name="งานกำแพงปลายท่อขนาด1_1.00ม." localSheetId="70">'[8]หมวด 6(2)'!#REF!</definedName>
    <definedName name="งานกำแพงปลายท่อขนาด1_1.00ม.">'[8]หมวด 6(2)'!#REF!</definedName>
    <definedName name="งานกำแพงปลายท่อขนาด1_1.20ม." localSheetId="3">'[8]หมวด 6(2)'!#REF!</definedName>
    <definedName name="งานกำแพงปลายท่อขนาด1_1.20ม." localSheetId="4">'[8]หมวด 6(2)'!#REF!</definedName>
    <definedName name="งานกำแพงปลายท่อขนาด1_1.20ม." localSheetId="71">'[8]หมวด 6(2)'!#REF!</definedName>
    <definedName name="งานกำแพงปลายท่อขนาด1_1.20ม." localSheetId="69">'[8]หมวด 6(2)'!#REF!</definedName>
    <definedName name="งานกำแพงปลายท่อขนาด1_1.20ม." localSheetId="70">'[8]หมวด 6(2)'!#REF!</definedName>
    <definedName name="งานกำแพงปลายท่อขนาด1_1.20ม.">'[8]หมวด 6(2)'!#REF!</definedName>
    <definedName name="งานกำแพงปลายท่อขนาด1_1.50ม." localSheetId="3">'[8]หมวด 6(2)'!#REF!</definedName>
    <definedName name="งานกำแพงปลายท่อขนาด1_1.50ม." localSheetId="4">'[8]หมวด 6(2)'!#REF!</definedName>
    <definedName name="งานกำแพงปลายท่อขนาด1_1.50ม." localSheetId="71">'[8]หมวด 6(2)'!#REF!</definedName>
    <definedName name="งานกำแพงปลายท่อขนาด1_1.50ม.">'[8]หมวด 6(2)'!#REF!</definedName>
    <definedName name="งานกำแพงปลายท่อขนาด2_0.60ม." localSheetId="3">'[8]หมวด 6(2)'!#REF!</definedName>
    <definedName name="งานกำแพงปลายท่อขนาด2_0.60ม." localSheetId="4">'[8]หมวด 6(2)'!#REF!</definedName>
    <definedName name="งานกำแพงปลายท่อขนาด2_0.60ม." localSheetId="71">'[8]หมวด 6(2)'!#REF!</definedName>
    <definedName name="งานกำแพงปลายท่อขนาด2_0.60ม.">'[8]หมวด 6(2)'!#REF!</definedName>
    <definedName name="งานกำแพงปลายท่อขนาด2_0.80ม." localSheetId="3">'[8]หมวด 6(2)'!#REF!</definedName>
    <definedName name="งานกำแพงปลายท่อขนาด2_0.80ม." localSheetId="4">'[8]หมวด 6(2)'!#REF!</definedName>
    <definedName name="งานกำแพงปลายท่อขนาด2_0.80ม." localSheetId="71">'[8]หมวด 6(2)'!#REF!</definedName>
    <definedName name="งานกำแพงปลายท่อขนาด2_0.80ม.">'[8]หมวด 6(2)'!#REF!</definedName>
    <definedName name="งานกำแพงปลายท่อขนาด2_1.00ม." localSheetId="3">'[8]หมวด 6(2)'!#REF!</definedName>
    <definedName name="งานกำแพงปลายท่อขนาด2_1.00ม." localSheetId="4">'[8]หมวด 6(2)'!#REF!</definedName>
    <definedName name="งานกำแพงปลายท่อขนาด2_1.00ม." localSheetId="71">'[8]หมวด 6(2)'!#REF!</definedName>
    <definedName name="งานกำแพงปลายท่อขนาด2_1.00ม.">'[8]หมวด 6(2)'!#REF!</definedName>
    <definedName name="งานกำแพงปลายท่อขนาด2_1.20ม." localSheetId="3">'[8]หมวด 6(2)'!#REF!</definedName>
    <definedName name="งานกำแพงปลายท่อขนาด2_1.20ม." localSheetId="4">'[8]หมวด 6(2)'!#REF!</definedName>
    <definedName name="งานกำแพงปลายท่อขนาด2_1.20ม." localSheetId="71">'[8]หมวด 6(2)'!#REF!</definedName>
    <definedName name="งานกำแพงปลายท่อขนาด2_1.20ม.">'[8]หมวด 6(2)'!#REF!</definedName>
    <definedName name="งานกำแพงปลายท่อขนาด2_1.50ม." localSheetId="3">'[8]หมวด 6(2)'!#REF!</definedName>
    <definedName name="งานกำแพงปลายท่อขนาด2_1.50ม." localSheetId="4">'[8]หมวด 6(2)'!#REF!</definedName>
    <definedName name="งานกำแพงปลายท่อขนาด2_1.50ม." localSheetId="71">'[8]หมวด 6(2)'!#REF!</definedName>
    <definedName name="งานกำแพงปลายท่อขนาด2_1.50ม.">'[8]หมวด 6(2)'!#REF!</definedName>
    <definedName name="งานกำแพงปลายท่อขนาด3_0.60ม." localSheetId="3">'[8]หมวด 6(2)'!#REF!</definedName>
    <definedName name="งานกำแพงปลายท่อขนาด3_0.60ม." localSheetId="4">'[8]หมวด 6(2)'!#REF!</definedName>
    <definedName name="งานกำแพงปลายท่อขนาด3_0.60ม." localSheetId="71">'[8]หมวด 6(2)'!#REF!</definedName>
    <definedName name="งานกำแพงปลายท่อขนาด3_0.60ม.">'[8]หมวด 6(2)'!#REF!</definedName>
    <definedName name="งานกำแพงปลายท่อขนาด3_0.80ม." localSheetId="3">'[8]หมวด 6(2)'!#REF!</definedName>
    <definedName name="งานกำแพงปลายท่อขนาด3_0.80ม." localSheetId="4">'[8]หมวด 6(2)'!#REF!</definedName>
    <definedName name="งานกำแพงปลายท่อขนาด3_0.80ม." localSheetId="71">'[8]หมวด 6(2)'!#REF!</definedName>
    <definedName name="งานกำแพงปลายท่อขนาด3_0.80ม.">'[8]หมวด 6(2)'!#REF!</definedName>
    <definedName name="งานกำแพงปลายท่อขนาด3_1.00ม." localSheetId="3">'[8]หมวด 6(2)'!#REF!</definedName>
    <definedName name="งานกำแพงปลายท่อขนาด3_1.00ม." localSheetId="4">'[8]หมวด 6(2)'!#REF!</definedName>
    <definedName name="งานกำแพงปลายท่อขนาด3_1.00ม." localSheetId="71">'[8]หมวด 6(2)'!#REF!</definedName>
    <definedName name="งานกำแพงปลายท่อขนาด3_1.00ม.">'[8]หมวด 6(2)'!#REF!</definedName>
    <definedName name="งานกำแพงปลายท่อขนาด3_1.20ม." localSheetId="3">'[8]หมวด 6(2)'!#REF!</definedName>
    <definedName name="งานกำแพงปลายท่อขนาด3_1.20ม." localSheetId="4">'[8]หมวด 6(2)'!#REF!</definedName>
    <definedName name="งานกำแพงปลายท่อขนาด3_1.20ม." localSheetId="71">'[8]หมวด 6(2)'!#REF!</definedName>
    <definedName name="งานกำแพงปลายท่อขนาด3_1.20ม.">'[8]หมวด 6(2)'!#REF!</definedName>
    <definedName name="งานกำแพงปลายท่อขนาด3_1.50ม." localSheetId="3">'[8]หมวด 6(2)'!#REF!</definedName>
    <definedName name="งานกำแพงปลายท่อขนาด3_1.50ม." localSheetId="4">'[8]หมวด 6(2)'!#REF!</definedName>
    <definedName name="งานกำแพงปลายท่อขนาด3_1.50ม." localSheetId="71">'[8]หมวด 6(2)'!#REF!</definedName>
    <definedName name="งานกำแพงปลายท่อขนาด3_1.50ม.">'[8]หมวด 6(2)'!#REF!</definedName>
    <definedName name="งานขุดคูระบายน้ำ" localSheetId="3">#REF!</definedName>
    <definedName name="งานขุดคูระบายน้ำ" localSheetId="4">#REF!</definedName>
    <definedName name="งานขุดคูระบายน้ำ" localSheetId="71">#REF!</definedName>
    <definedName name="งานขุดคูระบายน้ำ" localSheetId="69">#REF!</definedName>
    <definedName name="งานขุดคูระบายน้ำ" localSheetId="70">#REF!</definedName>
    <definedName name="งานขุดคูระบายน้ำ" localSheetId="74">#REF!</definedName>
    <definedName name="งานขุดคูระบายน้ำ" localSheetId="2">#REF!</definedName>
    <definedName name="งานขุดคูระบายน้ำ">#REF!</definedName>
    <definedName name="งานขุดบริเวณดินอ่อน" localSheetId="3">#REF!</definedName>
    <definedName name="งานขุดบริเวณดินอ่อน" localSheetId="4">#REF!</definedName>
    <definedName name="งานขุดบริเวณดินอ่อน" localSheetId="71">#REF!</definedName>
    <definedName name="งานขุดบริเวณดินอ่อน" localSheetId="69">#REF!</definedName>
    <definedName name="งานขุดบริเวณดินอ่อน" localSheetId="70">#REF!</definedName>
    <definedName name="งานขุดบริเวณดินอ่อน" localSheetId="2">#REF!</definedName>
    <definedName name="งานขุดบริเวณดินอ่อน">#REF!</definedName>
    <definedName name="งานดินคลุมผิวหนา10ซม." localSheetId="3">'[8]หมวด 6(2)'!#REF!</definedName>
    <definedName name="งานดินคลุมผิวหนา10ซม." localSheetId="4">'[8]หมวด 6(2)'!#REF!</definedName>
    <definedName name="งานดินคลุมผิวหนา10ซม." localSheetId="71">'[8]หมวด 6(2)'!#REF!</definedName>
    <definedName name="งานดินคลุมผิวหนา10ซม." localSheetId="69">'[8]หมวด 6(2)'!#REF!</definedName>
    <definedName name="งานดินคลุมผิวหนา10ซม." localSheetId="70">'[8]หมวด 6(2)'!#REF!</definedName>
    <definedName name="งานดินคลุมผิวหนา10ซม.">'[8]หมวด 6(2)'!#REF!</definedName>
    <definedName name="งานดินตัด" localSheetId="3">#REF!</definedName>
    <definedName name="งานดินตัด" localSheetId="4">#REF!</definedName>
    <definedName name="งานดินตัด" localSheetId="71">#REF!</definedName>
    <definedName name="งานดินตัด" localSheetId="69">#REF!</definedName>
    <definedName name="งานดินตัด" localSheetId="70">#REF!</definedName>
    <definedName name="งานดินตัด" localSheetId="74">#REF!</definedName>
    <definedName name="งานดินตัด" localSheetId="2">#REF!</definedName>
    <definedName name="งานดินตัด">#REF!</definedName>
    <definedName name="งานดินถม">'[5]2'!$J$64</definedName>
    <definedName name="งานดินถมที่เกาะกลางใต้ทางเท้าและกำแพงกันดิน" localSheetId="3">#REF!</definedName>
    <definedName name="งานดินถมที่เกาะกลางใต้ทางเท้าและกำแพงกันดิน" localSheetId="4">#REF!</definedName>
    <definedName name="งานดินถมที่เกาะกลางใต้ทางเท้าและกำแพงกันดิน" localSheetId="71">#REF!</definedName>
    <definedName name="งานดินถมที่เกาะกลางใต้ทางเท้าและกำแพงกันดิน" localSheetId="69">#REF!</definedName>
    <definedName name="งานดินถมที่เกาะกลางใต้ทางเท้าและกำแพงกันดิน" localSheetId="70">#REF!</definedName>
    <definedName name="งานดินถมที่เกาะกลางใต้ทางเท้าและกำแพงกันดิน" localSheetId="74">#REF!</definedName>
    <definedName name="งานดินถมที่เกาะกลางใต้ทางเท้าและกำแพงกันดิน" localSheetId="2">#REF!</definedName>
    <definedName name="งานดินถมที่เกาะกลางใต้ทางเท้าและกำแพงกันดิน">#REF!</definedName>
    <definedName name="งานตกแต่งทางสถาปัตยกรรมงานเคลื่อนย้ายซ่อมแซมและติดตั้งรูปปั้น" localSheetId="3">#REF!</definedName>
    <definedName name="งานตกแต่งทางสถาปัตยกรรมงานเคลื่อนย้ายซ่อมแซมและติดตั้งรูปปั้น" localSheetId="4">#REF!</definedName>
    <definedName name="งานตกแต่งทางสถาปัตยกรรมงานเคลื่อนย้ายซ่อมแซมและติดตั้งรูปปั้น" localSheetId="71">#REF!</definedName>
    <definedName name="งานตกแต่งทางสถาปัตยกรรมงานเคลื่อนย้ายซ่อมแซมและติดตั้งรูปปั้น" localSheetId="69">#REF!</definedName>
    <definedName name="งานตกแต่งทางสถาปัตยกรรมงานเคลื่อนย้ายซ่อมแซมและติดตั้งรูปปั้น" localSheetId="70">#REF!</definedName>
    <definedName name="งานตกแต่งทางสถาปัตยกรรมงานเคลื่อนย้ายซ่อมแซมและติดตั้งรูปปั้น" localSheetId="2">#REF!</definedName>
    <definedName name="งานตกแต่งทางสถาปัตยกรรมงานเคลื่อนย้ายซ่อมแซมและติดตั้งรูปปั้น">#REF!</definedName>
    <definedName name="งานตกแต่งทางสถาปัตยกรรมม้านิลมังกร" localSheetId="3">#REF!</definedName>
    <definedName name="งานตกแต่งทางสถาปัตยกรรมม้านิลมังกร" localSheetId="4">#REF!</definedName>
    <definedName name="งานตกแต่งทางสถาปัตยกรรมม้านิลมังกร" localSheetId="71">#REF!</definedName>
    <definedName name="งานตกแต่งทางสถาปัตยกรรมม้านิลมังกร" localSheetId="69">#REF!</definedName>
    <definedName name="งานตกแต่งทางสถาปัตยกรรมม้านิลมังกร" localSheetId="70">#REF!</definedName>
    <definedName name="งานตกแต่งทางสถาปัตยกรรมม้านิลมังกร" localSheetId="2">#REF!</definedName>
    <definedName name="งานตกแต่งทางสถาปัตยกรรมม้านิลมังกร">#REF!</definedName>
    <definedName name="งานถมดินคันทาง" localSheetId="3">#REF!</definedName>
    <definedName name="งานถมดินคันทาง" localSheetId="4">#REF!</definedName>
    <definedName name="งานถมดินคันทาง" localSheetId="71">#REF!</definedName>
    <definedName name="งานถมดินคันทาง" localSheetId="2">#REF!</definedName>
    <definedName name="งานถมดินคันทาง">#REF!</definedName>
    <definedName name="งานทรายถม" localSheetId="3">#REF!</definedName>
    <definedName name="งานทรายถม" localSheetId="4">#REF!</definedName>
    <definedName name="งานทรายถม" localSheetId="71">#REF!</definedName>
    <definedName name="งานทรายถม" localSheetId="2">#REF!</definedName>
    <definedName name="งานทรายถม">#REF!</definedName>
    <definedName name="งานทั่วไป">[45]ภูมิทัศน์!#REF!</definedName>
    <definedName name="งานบ่อพัก" localSheetId="3">'[8]หมวด 6(2)'!#REF!</definedName>
    <definedName name="งานบ่อพัก" localSheetId="4">'[8]หมวด 6(2)'!#REF!</definedName>
    <definedName name="งานบ่อพัก" localSheetId="71">'[8]หมวด 6(2)'!#REF!</definedName>
    <definedName name="งานบ่อพัก" localSheetId="2">'[8]หมวด 6(2)'!#REF!</definedName>
    <definedName name="งานบ่อพัก">'[8]หมวด 6(2)'!#REF!</definedName>
    <definedName name="งานบัวเชิงผนัง">[45]ภูมิทัศน์!#REF!</definedName>
    <definedName name="งานประตูหน้าต่าง">[45]ภูมิทัศน์!#REF!</definedName>
    <definedName name="งานปูแผ่นพื้นทางเท้า" localSheetId="3">'[8]หมวด 6(2)'!#REF!</definedName>
    <definedName name="งานปูแผ่นพื้นทางเท้า" localSheetId="4">'[8]หมวด 6(2)'!#REF!</definedName>
    <definedName name="งานปูแผ่นพื้นทางเท้า" localSheetId="71">'[8]หมวด 6(2)'!#REF!</definedName>
    <definedName name="งานปูแผ่นพื้นทางเท้า" localSheetId="2">'[8]หมวด 6(2)'!#REF!</definedName>
    <definedName name="งานปูแผ่นพื้นทางเท้า">'[8]หมวด 6(2)'!#REF!</definedName>
    <definedName name="งานปูบล็อกพื้นทางเท้าลายสี่เหลี่ยมผสม" localSheetId="3">#REF!</definedName>
    <definedName name="งานปูบล็อกพื้นทางเท้าลายสี่เหลี่ยมผสม" localSheetId="4">#REF!</definedName>
    <definedName name="งานปูบล็อกพื้นทางเท้าลายสี่เหลี่ยมผสม" localSheetId="71">#REF!</definedName>
    <definedName name="งานปูบล็อกพื้นทางเท้าลายสี่เหลี่ยมผสม" localSheetId="69">#REF!</definedName>
    <definedName name="งานปูบล็อกพื้นทางเท้าลายสี่เหลี่ยมผสม" localSheetId="70">#REF!</definedName>
    <definedName name="งานปูบล็อกพื้นทางเท้าลายสี่เหลี่ยมผสม" localSheetId="74">#REF!</definedName>
    <definedName name="งานปูบล็อกพื้นทางเท้าลายสี่เหลี่ยมผสม" localSheetId="2">#REF!</definedName>
    <definedName name="งานปูบล็อกพื้นทางเท้าลายสี่เหลี่ยมผสม">#REF!</definedName>
    <definedName name="งานผนัง" localSheetId="3">[45]ภูมิทัศน์!#REF!</definedName>
    <definedName name="งานผนัง" localSheetId="69">[45]ภูมิทัศน์!#REF!</definedName>
    <definedName name="งานผนัง">[45]ภูมิทัศน์!#REF!</definedName>
    <definedName name="งานผิวหินทรายกำแพงกันดิน" localSheetId="3">#REF!</definedName>
    <definedName name="งานผิวหินทรายกำแพงกันดิน" localSheetId="4">#REF!</definedName>
    <definedName name="งานผิวหินทรายกำแพงกันดิน" localSheetId="71">#REF!</definedName>
    <definedName name="งานผิวหินทรายกำแพงกันดิน" localSheetId="69">#REF!</definedName>
    <definedName name="งานผิวหินทรายกำแพงกันดิน" localSheetId="70">#REF!</definedName>
    <definedName name="งานผิวหินทรายกำแพงกันดิน" localSheetId="2">#REF!</definedName>
    <definedName name="งานผิวหินทรายกำแพงกันดิน">#REF!</definedName>
    <definedName name="งานฝ้าเพดาน" localSheetId="3">[45]ภูมิทัศน์!#REF!</definedName>
    <definedName name="งานฝ้าเพดาน" localSheetId="69">[45]ภูมิทัศน์!#REF!</definedName>
    <definedName name="งานฝ้าเพดาน">[45]ภูมิทัศน์!#REF!</definedName>
    <definedName name="งานพื้น" localSheetId="3">[45]ภูมิทัศน์!#REF!</definedName>
    <definedName name="งานพื้น" localSheetId="69">[45]ภูมิทัศน์!#REF!</definedName>
    <definedName name="งานพื้น">[45]ภูมิทัศน์!#REF!</definedName>
    <definedName name="งานภายนอก" localSheetId="3">#REF!</definedName>
    <definedName name="งานภายนอก" localSheetId="4">#REF!</definedName>
    <definedName name="งานภายนอก" localSheetId="71">#REF!</definedName>
    <definedName name="งานภายนอก" localSheetId="69">#REF!</definedName>
    <definedName name="งานภายนอก">#REF!</definedName>
    <definedName name="งานรองพื้นทางชนิดลูกรัง" localSheetId="3">#REF!</definedName>
    <definedName name="งานรองพื้นทางชนิดลูกรัง" localSheetId="4">#REF!</definedName>
    <definedName name="งานรองพื้นทางชนิดลูกรัง" localSheetId="71">#REF!</definedName>
    <definedName name="งานรองพื้นทางชนิดลูกรัง" localSheetId="69">#REF!</definedName>
    <definedName name="งานรองพื้นทางชนิดลูกรัง" localSheetId="70">#REF!</definedName>
    <definedName name="งานรองพื้นทางชนิดลูกรัง" localSheetId="2">#REF!</definedName>
    <definedName name="งานรองพื้นทางชนิดลูกรัง">#REF!</definedName>
    <definedName name="งานรองพื้นทางชนิดหินคลุก" localSheetId="3">#REF!</definedName>
    <definedName name="งานรองพื้นทางชนิดหินคลุก" localSheetId="4">#REF!</definedName>
    <definedName name="งานรองพื้นทางชนิดหินคลุก" localSheetId="71">#REF!</definedName>
    <definedName name="งานรองพื้นทางชนิดหินคลุก" localSheetId="2">#REF!</definedName>
    <definedName name="งานรองพื้นทางชนิดหินคลุก">#REF!</definedName>
    <definedName name="งานระบบไฟฟ้าแสงสว่าง" localSheetId="3">#REF!</definedName>
    <definedName name="งานระบบไฟฟ้าแสงสว่าง" localSheetId="4">#REF!</definedName>
    <definedName name="งานระบบไฟฟ้าแสงสว่าง" localSheetId="71">#REF!</definedName>
    <definedName name="งานระบบไฟฟ้าแสงสว่าง" localSheetId="2">#REF!</definedName>
    <definedName name="งานระบบไฟฟ้าแสงสว่าง">#REF!</definedName>
    <definedName name="งานระบบประปา" localSheetId="3">#REF!</definedName>
    <definedName name="งานระบบประปา" localSheetId="4">#REF!</definedName>
    <definedName name="งานระบบประปา" localSheetId="71">#REF!</definedName>
    <definedName name="งานระบบประปา" localSheetId="2">#REF!</definedName>
    <definedName name="งานระบบประปา">#REF!</definedName>
    <definedName name="งานระบบประปาสุขาภิบาลระบบกรองน้ำและระบบน้ำพุ" localSheetId="3">#REF!</definedName>
    <definedName name="งานระบบประปาสุขาภิบาลระบบกรองน้ำและระบบน้ำพุ" localSheetId="4">#REF!</definedName>
    <definedName name="งานระบบประปาสุขาภิบาลระบบกรองน้ำและระบบน้ำพุ" localSheetId="71">#REF!</definedName>
    <definedName name="งานระบบประปาสุขาภิบาลระบบกรองน้ำและระบบน้ำพุ" localSheetId="2">#REF!</definedName>
    <definedName name="งานระบบประปาสุขาภิบาลระบบกรองน้ำและระบบน้ำพุ">#REF!</definedName>
    <definedName name="งานรางระบายน้ำ_คสล.รูปตัววี" localSheetId="3">'[8]หมวด 6(2)'!#REF!</definedName>
    <definedName name="งานรางระบายน้ำ_คสล.รูปตัววี" localSheetId="4">'[8]หมวด 6(2)'!#REF!</definedName>
    <definedName name="งานรางระบายน้ำ_คสล.รูปตัววี" localSheetId="71">'[8]หมวด 6(2)'!#REF!</definedName>
    <definedName name="งานรางระบายน้ำ_คสล.รูปตัววี" localSheetId="2">'[8]หมวด 6(2)'!#REF!</definedName>
    <definedName name="งานรางระบายน้ำ_คสล.รูปตัววี">'[8]หมวด 6(2)'!#REF!</definedName>
    <definedName name="งานรื้อผิวจราจรลาดยาง" localSheetId="3">#REF!</definedName>
    <definedName name="งานรื้อผิวจราจรลาดยาง" localSheetId="4">#REF!</definedName>
    <definedName name="งานรื้อผิวจราจรลาดยาง" localSheetId="71">#REF!</definedName>
    <definedName name="งานรื้อผิวจราจรลาดยาง" localSheetId="69">#REF!</definedName>
    <definedName name="งานรื้อผิวจราจรลาดยาง" localSheetId="70">#REF!</definedName>
    <definedName name="งานรื้อผิวจราจรลาดยาง" localSheetId="74">#REF!</definedName>
    <definedName name="งานรื้อผิวจราจรลาดยาง" localSheetId="2">#REF!</definedName>
    <definedName name="งานรื้อผิวจราจรลาดยาง">#REF!</definedName>
    <definedName name="งานวัสดุคัดเลือก_ก" localSheetId="3">'[8]หมวด 2'!#REF!</definedName>
    <definedName name="งานวัสดุคัดเลือก_ก" localSheetId="4">'[8]หมวด 2'!#REF!</definedName>
    <definedName name="งานวัสดุคัดเลือก_ก" localSheetId="71">'[8]หมวด 2'!#REF!</definedName>
    <definedName name="งานวัสดุคัดเลือก_ก" localSheetId="69">'[8]หมวด 2'!#REF!</definedName>
    <definedName name="งานวัสดุคัดเลือก_ก" localSheetId="70">'[8]หมวด 2'!#REF!</definedName>
    <definedName name="งานวัสดุคัดเลือก_ก" localSheetId="74">'[8]หมวด 2'!#REF!</definedName>
    <definedName name="งานวัสดุคัดเลือก_ก" localSheetId="2">'[8]หมวด 2'!#REF!</definedName>
    <definedName name="งานวัสดุคัดเลือก_ก">'[8]หมวด 2'!#REF!</definedName>
    <definedName name="งานสถาปัตยกรรมห้องปั๊มน้ำ" localSheetId="3">#REF!</definedName>
    <definedName name="งานสถาปัตยกรรมห้องปั๊มน้ำ" localSheetId="4">#REF!</definedName>
    <definedName name="งานสถาปัตยกรรมห้องปั๊มน้ำ" localSheetId="5">#REF!</definedName>
    <definedName name="งานสถาปัตยกรรมห้องปั๊มน้ำ" localSheetId="18">#REF!</definedName>
    <definedName name="งานสถาปัตยกรรมห้องปั๊มน้ำ" localSheetId="30">#REF!</definedName>
    <definedName name="งานสถาปัตยกรรมห้องปั๊มน้ำ" localSheetId="56">#REF!</definedName>
    <definedName name="งานสถาปัตยกรรมห้องปั๊มน้ำ" localSheetId="43">#REF!</definedName>
    <definedName name="งานสถาปัตยกรรมห้องปั๊มน้ำ" localSheetId="71">#REF!</definedName>
    <definedName name="งานสถาปัตยกรรมห้องปั๊มน้ำ" localSheetId="69">#REF!</definedName>
    <definedName name="งานสถาปัตยกรรมห้องปั๊มน้ำ" localSheetId="70">#REF!</definedName>
    <definedName name="งานสถาปัตยกรรมห้องปั๊มน้ำ" localSheetId="74">#REF!</definedName>
    <definedName name="งานสถาปัตยกรรมห้องปั๊มน้ำ" localSheetId="2">#REF!</definedName>
    <definedName name="งานสถาปัตยกรรมห้องปั๊มน้ำ">#REF!</definedName>
    <definedName name="งานสะพานคอนกรีตเสริมเหล็ก" localSheetId="3">#REF!</definedName>
    <definedName name="งานสะพานคอนกรีตเสริมเหล็ก" localSheetId="4">#REF!</definedName>
    <definedName name="งานสะพานคอนกรีตเสริมเหล็ก" localSheetId="71">#REF!</definedName>
    <definedName name="งานสะพานคอนกรีตเสริมเหล็ก" localSheetId="69">#REF!</definedName>
    <definedName name="งานสะพานคอนกรีตเสริมเหล็ก" localSheetId="70">#REF!</definedName>
    <definedName name="งานสะพานคอนกรีตเสริมเหล็ก" localSheetId="2">#REF!</definedName>
    <definedName name="งานสะพานคอนกรีตเสริมเหล็ก">#REF!</definedName>
    <definedName name="งานสาธารณูปโภค" localSheetId="3">#REF!</definedName>
    <definedName name="งานสาธารณูปโภค" localSheetId="4">#REF!</definedName>
    <definedName name="งานสาธารณูปโภค" localSheetId="71">#REF!</definedName>
    <definedName name="งานสาธารณูปโภค" localSheetId="69">#REF!</definedName>
    <definedName name="งานสาธารณูปโภค" localSheetId="70">#REF!</definedName>
    <definedName name="งานสาธารณูปโภค" localSheetId="2">#REF!</definedName>
    <definedName name="งานสาธารณูปโภค">#REF!</definedName>
    <definedName name="งานสุขภัณฑ์">[45]ภูมิทัศน์!#REF!</definedName>
    <definedName name="งานหลังคา">[45]ภูมิทัศน์!#REF!</definedName>
    <definedName name="จัดสร้าง" localSheetId="3">#REF!</definedName>
    <definedName name="จัดสร้าง" localSheetId="4">#REF!</definedName>
    <definedName name="จัดสร้าง" localSheetId="71">#REF!</definedName>
    <definedName name="จัดสร้าง" localSheetId="69">#REF!</definedName>
    <definedName name="จัดสร้าง">#REF!</definedName>
    <definedName name="จำนวน1.2" localSheetId="3">#REF!</definedName>
    <definedName name="จำนวน1.2" localSheetId="4">#REF!</definedName>
    <definedName name="จำนวน1.2" localSheetId="71">#REF!</definedName>
    <definedName name="จำนวน1.2" localSheetId="69">#REF!</definedName>
    <definedName name="จำนวน1.2" localSheetId="2">#REF!</definedName>
    <definedName name="จำนวน1.2">#REF!</definedName>
    <definedName name="จำนวน1.3.1" localSheetId="3">#REF!</definedName>
    <definedName name="จำนวน1.3.1" localSheetId="4">#REF!</definedName>
    <definedName name="จำนวน1.3.1" localSheetId="71">#REF!</definedName>
    <definedName name="จำนวน1.3.1" localSheetId="2">#REF!</definedName>
    <definedName name="จำนวน1.3.1">#REF!</definedName>
    <definedName name="จำนวน1.3.2" localSheetId="3">#REF!</definedName>
    <definedName name="จำนวน1.3.2" localSheetId="4">#REF!</definedName>
    <definedName name="จำนวน1.3.2" localSheetId="71">#REF!</definedName>
    <definedName name="จำนวน1.3.2" localSheetId="2">#REF!</definedName>
    <definedName name="จำนวน1.3.2">#REF!</definedName>
    <definedName name="จำนวน1.3.3" localSheetId="3">#REF!</definedName>
    <definedName name="จำนวน1.3.3" localSheetId="4">#REF!</definedName>
    <definedName name="จำนวน1.3.3" localSheetId="71">#REF!</definedName>
    <definedName name="จำนวน1.3.3" localSheetId="2">#REF!</definedName>
    <definedName name="จำนวน1.3.3">#REF!</definedName>
    <definedName name="จำนวน1.3.4" localSheetId="3">#REF!</definedName>
    <definedName name="จำนวน1.3.4" localSheetId="4">#REF!</definedName>
    <definedName name="จำนวน1.3.4" localSheetId="71">#REF!</definedName>
    <definedName name="จำนวน1.3.4" localSheetId="2">#REF!</definedName>
    <definedName name="จำนวน1.3.4">#REF!</definedName>
    <definedName name="จำนวน1.4.1" localSheetId="3">#REF!</definedName>
    <definedName name="จำนวน1.4.1" localSheetId="4">#REF!</definedName>
    <definedName name="จำนวน1.4.1" localSheetId="71">#REF!</definedName>
    <definedName name="จำนวน1.4.1" localSheetId="2">#REF!</definedName>
    <definedName name="จำนวน1.4.1">#REF!</definedName>
    <definedName name="จำนวน1.4.2" localSheetId="3">#REF!</definedName>
    <definedName name="จำนวน1.4.2" localSheetId="4">#REF!</definedName>
    <definedName name="จำนวน1.4.2" localSheetId="71">#REF!</definedName>
    <definedName name="จำนวน1.4.2" localSheetId="2">#REF!</definedName>
    <definedName name="จำนวน1.4.2">#REF!</definedName>
    <definedName name="จำนวน1.4.3" localSheetId="3">#REF!</definedName>
    <definedName name="จำนวน1.4.3" localSheetId="4">#REF!</definedName>
    <definedName name="จำนวน1.4.3" localSheetId="71">#REF!</definedName>
    <definedName name="จำนวน1.4.3" localSheetId="2">#REF!</definedName>
    <definedName name="จำนวน1.4.3">#REF!</definedName>
    <definedName name="จำนวน1.5" localSheetId="3">#REF!</definedName>
    <definedName name="จำนวน1.5" localSheetId="4">#REF!</definedName>
    <definedName name="จำนวน1.5" localSheetId="71">#REF!</definedName>
    <definedName name="จำนวน1.5" localSheetId="2">#REF!</definedName>
    <definedName name="จำนวน1.5">#REF!</definedName>
    <definedName name="จำนวน1.6.1" localSheetId="3">#REF!</definedName>
    <definedName name="จำนวน1.6.1" localSheetId="4">#REF!</definedName>
    <definedName name="จำนวน1.6.1" localSheetId="71">#REF!</definedName>
    <definedName name="จำนวน1.6.1" localSheetId="2">#REF!</definedName>
    <definedName name="จำนวน1.6.1">#REF!</definedName>
    <definedName name="จำนวน1.6.2" localSheetId="3">#REF!</definedName>
    <definedName name="จำนวน1.6.2" localSheetId="4">#REF!</definedName>
    <definedName name="จำนวน1.6.2" localSheetId="71">#REF!</definedName>
    <definedName name="จำนวน1.6.2" localSheetId="2">#REF!</definedName>
    <definedName name="จำนวน1.6.2">#REF!</definedName>
    <definedName name="จำนวน2.1" localSheetId="3">#REF!</definedName>
    <definedName name="จำนวน2.1" localSheetId="4">#REF!</definedName>
    <definedName name="จำนวน2.1" localSheetId="71">#REF!</definedName>
    <definedName name="จำนวน2.1" localSheetId="2">#REF!</definedName>
    <definedName name="จำนวน2.1">#REF!</definedName>
    <definedName name="จำนวน2.2_1" localSheetId="3">#REF!</definedName>
    <definedName name="จำนวน2.2_1" localSheetId="4">#REF!</definedName>
    <definedName name="จำนวน2.2_1" localSheetId="71">#REF!</definedName>
    <definedName name="จำนวน2.2_1" localSheetId="2">#REF!</definedName>
    <definedName name="จำนวน2.2_1">#REF!</definedName>
    <definedName name="จำนวน2.2_2" localSheetId="3">#REF!</definedName>
    <definedName name="จำนวน2.2_2" localSheetId="4">#REF!</definedName>
    <definedName name="จำนวน2.2_2" localSheetId="71">#REF!</definedName>
    <definedName name="จำนวน2.2_2" localSheetId="2">#REF!</definedName>
    <definedName name="จำนวน2.2_2">#REF!</definedName>
    <definedName name="จำนวน2.2_3" localSheetId="3">#REF!</definedName>
    <definedName name="จำนวน2.2_3" localSheetId="4">#REF!</definedName>
    <definedName name="จำนวน2.2_3" localSheetId="71">#REF!</definedName>
    <definedName name="จำนวน2.2_3" localSheetId="2">#REF!</definedName>
    <definedName name="จำนวน2.2_3">#REF!</definedName>
    <definedName name="จำนวน2.2_4" localSheetId="3">#REF!</definedName>
    <definedName name="จำนวน2.2_4" localSheetId="4">#REF!</definedName>
    <definedName name="จำนวน2.2_4" localSheetId="71">#REF!</definedName>
    <definedName name="จำนวน2.2_4" localSheetId="2">#REF!</definedName>
    <definedName name="จำนวน2.2_4">#REF!</definedName>
    <definedName name="จำนวน2.2_5" localSheetId="3">#REF!</definedName>
    <definedName name="จำนวน2.2_5" localSheetId="4">#REF!</definedName>
    <definedName name="จำนวน2.2_5" localSheetId="71">#REF!</definedName>
    <definedName name="จำนวน2.2_5" localSheetId="2">#REF!</definedName>
    <definedName name="จำนวน2.2_5">#REF!</definedName>
    <definedName name="จำนวน2.3_1" localSheetId="3">#REF!</definedName>
    <definedName name="จำนวน2.3_1" localSheetId="4">#REF!</definedName>
    <definedName name="จำนวน2.3_1" localSheetId="71">#REF!</definedName>
    <definedName name="จำนวน2.3_1" localSheetId="2">#REF!</definedName>
    <definedName name="จำนวน2.3_1">#REF!</definedName>
    <definedName name="จำนวน2.3_10.1" localSheetId="3">#REF!</definedName>
    <definedName name="จำนวน2.3_10.1" localSheetId="4">#REF!</definedName>
    <definedName name="จำนวน2.3_10.1" localSheetId="71">#REF!</definedName>
    <definedName name="จำนวน2.3_10.1" localSheetId="2">#REF!</definedName>
    <definedName name="จำนวน2.3_10.1">#REF!</definedName>
    <definedName name="จำนวน2.3_10.2" localSheetId="3">#REF!</definedName>
    <definedName name="จำนวน2.3_10.2" localSheetId="4">#REF!</definedName>
    <definedName name="จำนวน2.3_10.2" localSheetId="71">#REF!</definedName>
    <definedName name="จำนวน2.3_10.2" localSheetId="2">#REF!</definedName>
    <definedName name="จำนวน2.3_10.2">#REF!</definedName>
    <definedName name="จำนวน2.3_2" localSheetId="3">#REF!</definedName>
    <definedName name="จำนวน2.3_2" localSheetId="4">#REF!</definedName>
    <definedName name="จำนวน2.3_2" localSheetId="71">#REF!</definedName>
    <definedName name="จำนวน2.3_2" localSheetId="2">#REF!</definedName>
    <definedName name="จำนวน2.3_2">#REF!</definedName>
    <definedName name="จำนวน2.3_3" localSheetId="3">#REF!</definedName>
    <definedName name="จำนวน2.3_3" localSheetId="4">#REF!</definedName>
    <definedName name="จำนวน2.3_3" localSheetId="71">#REF!</definedName>
    <definedName name="จำนวน2.3_3" localSheetId="2">#REF!</definedName>
    <definedName name="จำนวน2.3_3">#REF!</definedName>
    <definedName name="จำนวน2.3_4" localSheetId="3">#REF!</definedName>
    <definedName name="จำนวน2.3_4" localSheetId="4">#REF!</definedName>
    <definedName name="จำนวน2.3_4" localSheetId="71">#REF!</definedName>
    <definedName name="จำนวน2.3_4" localSheetId="2">#REF!</definedName>
    <definedName name="จำนวน2.3_4">#REF!</definedName>
    <definedName name="จำนวน2.3_5" localSheetId="3">#REF!</definedName>
    <definedName name="จำนวน2.3_5" localSheetId="4">#REF!</definedName>
    <definedName name="จำนวน2.3_5" localSheetId="71">#REF!</definedName>
    <definedName name="จำนวน2.3_5" localSheetId="2">#REF!</definedName>
    <definedName name="จำนวน2.3_5">#REF!</definedName>
    <definedName name="จำนวน2.3_6" localSheetId="3">#REF!</definedName>
    <definedName name="จำนวน2.3_6" localSheetId="4">#REF!</definedName>
    <definedName name="จำนวน2.3_6" localSheetId="71">#REF!</definedName>
    <definedName name="จำนวน2.3_6" localSheetId="2">#REF!</definedName>
    <definedName name="จำนวน2.3_6">#REF!</definedName>
    <definedName name="จำนวน2.3_7" localSheetId="3">#REF!</definedName>
    <definedName name="จำนวน2.3_7" localSheetId="4">#REF!</definedName>
    <definedName name="จำนวน2.3_7" localSheetId="71">#REF!</definedName>
    <definedName name="จำนวน2.3_7" localSheetId="2">#REF!</definedName>
    <definedName name="จำนวน2.3_7">#REF!</definedName>
    <definedName name="จำนวน2.3_8" localSheetId="3">#REF!</definedName>
    <definedName name="จำนวน2.3_8" localSheetId="4">#REF!</definedName>
    <definedName name="จำนวน2.3_8" localSheetId="71">#REF!</definedName>
    <definedName name="จำนวน2.3_8" localSheetId="2">#REF!</definedName>
    <definedName name="จำนวน2.3_8">#REF!</definedName>
    <definedName name="จำนวน2.3_9" localSheetId="3">#REF!</definedName>
    <definedName name="จำนวน2.3_9" localSheetId="4">#REF!</definedName>
    <definedName name="จำนวน2.3_9" localSheetId="71">#REF!</definedName>
    <definedName name="จำนวน2.3_9" localSheetId="2">#REF!</definedName>
    <definedName name="จำนวน2.3_9">#REF!</definedName>
    <definedName name="จำนวน2.4_1" localSheetId="3">#REF!</definedName>
    <definedName name="จำนวน2.4_1" localSheetId="4">#REF!</definedName>
    <definedName name="จำนวน2.4_1" localSheetId="71">#REF!</definedName>
    <definedName name="จำนวน2.4_1" localSheetId="2">#REF!</definedName>
    <definedName name="จำนวน2.4_1">#REF!</definedName>
    <definedName name="จำนวน2.4_2" localSheetId="3">#REF!</definedName>
    <definedName name="จำนวน2.4_2" localSheetId="4">#REF!</definedName>
    <definedName name="จำนวน2.4_2" localSheetId="71">#REF!</definedName>
    <definedName name="จำนวน2.4_2" localSheetId="2">#REF!</definedName>
    <definedName name="จำนวน2.4_2">#REF!</definedName>
    <definedName name="จำนวน3.1_1" localSheetId="3">#REF!</definedName>
    <definedName name="จำนวน3.1_1" localSheetId="4">#REF!</definedName>
    <definedName name="จำนวน3.1_1" localSheetId="71">#REF!</definedName>
    <definedName name="จำนวน3.1_1" localSheetId="2">#REF!</definedName>
    <definedName name="จำนวน3.1_1">#REF!</definedName>
    <definedName name="จำนวน3.1_2" localSheetId="3">#REF!</definedName>
    <definedName name="จำนวน3.1_2" localSheetId="4">#REF!</definedName>
    <definedName name="จำนวน3.1_2" localSheetId="71">#REF!</definedName>
    <definedName name="จำนวน3.1_2" localSheetId="2">#REF!</definedName>
    <definedName name="จำนวน3.1_2">#REF!</definedName>
    <definedName name="จำนวน3.2_1" localSheetId="3">#REF!</definedName>
    <definedName name="จำนวน3.2_1" localSheetId="4">#REF!</definedName>
    <definedName name="จำนวน3.2_1" localSheetId="71">#REF!</definedName>
    <definedName name="จำนวน3.2_1" localSheetId="2">#REF!</definedName>
    <definedName name="จำนวน3.2_1">#REF!</definedName>
    <definedName name="จำนวน3.2_2" localSheetId="3">#REF!</definedName>
    <definedName name="จำนวน3.2_2" localSheetId="4">#REF!</definedName>
    <definedName name="จำนวน3.2_2" localSheetId="71">#REF!</definedName>
    <definedName name="จำนวน3.2_2" localSheetId="2">#REF!</definedName>
    <definedName name="จำนวน3.2_2">#REF!</definedName>
    <definedName name="จำนวน3.2_3" localSheetId="3">#REF!</definedName>
    <definedName name="จำนวน3.2_3" localSheetId="4">#REF!</definedName>
    <definedName name="จำนวน3.2_3" localSheetId="71">#REF!</definedName>
    <definedName name="จำนวน3.2_3" localSheetId="2">#REF!</definedName>
    <definedName name="จำนวน3.2_3">#REF!</definedName>
    <definedName name="จำนวน3.2_4" localSheetId="3">#REF!</definedName>
    <definedName name="จำนวน3.2_4" localSheetId="4">#REF!</definedName>
    <definedName name="จำนวน3.2_4" localSheetId="71">#REF!</definedName>
    <definedName name="จำนวน3.2_4" localSheetId="2">#REF!</definedName>
    <definedName name="จำนวน3.2_4">#REF!</definedName>
    <definedName name="จำนวน3.3_1" localSheetId="3">#REF!</definedName>
    <definedName name="จำนวน3.3_1" localSheetId="4">#REF!</definedName>
    <definedName name="จำนวน3.3_1" localSheetId="71">#REF!</definedName>
    <definedName name="จำนวน3.3_1" localSheetId="2">#REF!</definedName>
    <definedName name="จำนวน3.3_1">#REF!</definedName>
    <definedName name="จำนวน3.4_1" localSheetId="3">#REF!</definedName>
    <definedName name="จำนวน3.4_1" localSheetId="4">#REF!</definedName>
    <definedName name="จำนวน3.4_1" localSheetId="71">#REF!</definedName>
    <definedName name="จำนวน3.4_1" localSheetId="2">#REF!</definedName>
    <definedName name="จำนวน3.4_1">#REF!</definedName>
    <definedName name="จำนวน3.4_2" localSheetId="3">#REF!</definedName>
    <definedName name="จำนวน3.4_2" localSheetId="4">#REF!</definedName>
    <definedName name="จำนวน3.4_2" localSheetId="71">#REF!</definedName>
    <definedName name="จำนวน3.4_2" localSheetId="2">#REF!</definedName>
    <definedName name="จำนวน3.4_2">#REF!</definedName>
    <definedName name="จำนวน3.5" localSheetId="3">#REF!</definedName>
    <definedName name="จำนวน3.5" localSheetId="4">#REF!</definedName>
    <definedName name="จำนวน3.5" localSheetId="71">#REF!</definedName>
    <definedName name="จำนวน3.5" localSheetId="2">#REF!</definedName>
    <definedName name="จำนวน3.5">#REF!</definedName>
    <definedName name="จำนวน3.6" localSheetId="3">#REF!</definedName>
    <definedName name="จำนวน3.6" localSheetId="4">#REF!</definedName>
    <definedName name="จำนวน3.6" localSheetId="71">#REF!</definedName>
    <definedName name="จำนวน3.6" localSheetId="2">#REF!</definedName>
    <definedName name="จำนวน3.6">#REF!</definedName>
    <definedName name="จำนวน3.7_1" localSheetId="3">#REF!</definedName>
    <definedName name="จำนวน3.7_1" localSheetId="4">#REF!</definedName>
    <definedName name="จำนวน3.7_1" localSheetId="71">#REF!</definedName>
    <definedName name="จำนวน3.7_1" localSheetId="2">#REF!</definedName>
    <definedName name="จำนวน3.7_1">#REF!</definedName>
    <definedName name="จำนวน3.7_2" localSheetId="3">#REF!</definedName>
    <definedName name="จำนวน3.7_2" localSheetId="4">#REF!</definedName>
    <definedName name="จำนวน3.7_2" localSheetId="71">#REF!</definedName>
    <definedName name="จำนวน3.7_2" localSheetId="2">#REF!</definedName>
    <definedName name="จำนวน3.7_2">#REF!</definedName>
    <definedName name="จำนวน4.1_1" localSheetId="3">#REF!</definedName>
    <definedName name="จำนวน4.1_1" localSheetId="4">#REF!</definedName>
    <definedName name="จำนวน4.1_1" localSheetId="71">#REF!</definedName>
    <definedName name="จำนวน4.1_1" localSheetId="2">#REF!</definedName>
    <definedName name="จำนวน4.1_1">#REF!</definedName>
    <definedName name="จำนวน4.1_2" localSheetId="3">#REF!</definedName>
    <definedName name="จำนวน4.1_2" localSheetId="4">#REF!</definedName>
    <definedName name="จำนวน4.1_2" localSheetId="71">#REF!</definedName>
    <definedName name="จำนวน4.1_2" localSheetId="2">#REF!</definedName>
    <definedName name="จำนวน4.1_2">#REF!</definedName>
    <definedName name="จำนวน4.2_1" localSheetId="3">#REF!</definedName>
    <definedName name="จำนวน4.2_1" localSheetId="4">#REF!</definedName>
    <definedName name="จำนวน4.2_1" localSheetId="71">#REF!</definedName>
    <definedName name="จำนวน4.2_1" localSheetId="2">#REF!</definedName>
    <definedName name="จำนวน4.2_1">#REF!</definedName>
    <definedName name="จำนวน4.2_2" localSheetId="3">#REF!</definedName>
    <definedName name="จำนวน4.2_2" localSheetId="4">#REF!</definedName>
    <definedName name="จำนวน4.2_2" localSheetId="71">#REF!</definedName>
    <definedName name="จำนวน4.2_2" localSheetId="2">#REF!</definedName>
    <definedName name="จำนวน4.2_2">#REF!</definedName>
    <definedName name="จำนวน4.3" localSheetId="3">#REF!</definedName>
    <definedName name="จำนวน4.3" localSheetId="4">#REF!</definedName>
    <definedName name="จำนวน4.3" localSheetId="71">#REF!</definedName>
    <definedName name="จำนวน4.3" localSheetId="2">#REF!</definedName>
    <definedName name="จำนวน4.3">#REF!</definedName>
    <definedName name="จำนวน4.4_1" localSheetId="3">#REF!</definedName>
    <definedName name="จำนวน4.4_1" localSheetId="4">#REF!</definedName>
    <definedName name="จำนวน4.4_1" localSheetId="71">#REF!</definedName>
    <definedName name="จำนวน4.4_1" localSheetId="2">#REF!</definedName>
    <definedName name="จำนวน4.4_1">#REF!</definedName>
    <definedName name="จำนวน4.4_2" localSheetId="3">#REF!</definedName>
    <definedName name="จำนวน4.4_2" localSheetId="4">#REF!</definedName>
    <definedName name="จำนวน4.4_2" localSheetId="71">#REF!</definedName>
    <definedName name="จำนวน4.4_2" localSheetId="2">#REF!</definedName>
    <definedName name="จำนวน4.4_2">#REF!</definedName>
    <definedName name="จำนวน4.4_3" localSheetId="3">#REF!</definedName>
    <definedName name="จำนวน4.4_3" localSheetId="4">#REF!</definedName>
    <definedName name="จำนวน4.4_3" localSheetId="71">#REF!</definedName>
    <definedName name="จำนวน4.4_3" localSheetId="2">#REF!</definedName>
    <definedName name="จำนวน4.4_3">#REF!</definedName>
    <definedName name="จำนวน4.4_4" localSheetId="3">#REF!</definedName>
    <definedName name="จำนวน4.4_4" localSheetId="4">#REF!</definedName>
    <definedName name="จำนวน4.4_4" localSheetId="71">#REF!</definedName>
    <definedName name="จำนวน4.4_4" localSheetId="2">#REF!</definedName>
    <definedName name="จำนวน4.4_4">#REF!</definedName>
    <definedName name="จำนวน4.4_5" localSheetId="3">#REF!</definedName>
    <definedName name="จำนวน4.4_5" localSheetId="4">#REF!</definedName>
    <definedName name="จำนวน4.4_5" localSheetId="71">#REF!</definedName>
    <definedName name="จำนวน4.4_5" localSheetId="2">#REF!</definedName>
    <definedName name="จำนวน4.4_5">#REF!</definedName>
    <definedName name="จำนวน4.4_6" localSheetId="3">#REF!</definedName>
    <definedName name="จำนวน4.4_6" localSheetId="4">#REF!</definedName>
    <definedName name="จำนวน4.4_6" localSheetId="71">#REF!</definedName>
    <definedName name="จำนวน4.4_6" localSheetId="2">#REF!</definedName>
    <definedName name="จำนวน4.4_6">#REF!</definedName>
    <definedName name="จำนวน4.4_7" localSheetId="3">#REF!</definedName>
    <definedName name="จำนวน4.4_7" localSheetId="4">#REF!</definedName>
    <definedName name="จำนวน4.4_7" localSheetId="71">#REF!</definedName>
    <definedName name="จำนวน4.4_7" localSheetId="2">#REF!</definedName>
    <definedName name="จำนวน4.4_7">#REF!</definedName>
    <definedName name="จำนวน4.5" localSheetId="3">#REF!</definedName>
    <definedName name="จำนวน4.5" localSheetId="4">#REF!</definedName>
    <definedName name="จำนวน4.5" localSheetId="71">#REF!</definedName>
    <definedName name="จำนวน4.5" localSheetId="2">#REF!</definedName>
    <definedName name="จำนวน4.5">#REF!</definedName>
    <definedName name="จำนวน4.6" localSheetId="3">#REF!</definedName>
    <definedName name="จำนวน4.6" localSheetId="4">#REF!</definedName>
    <definedName name="จำนวน4.6" localSheetId="71">#REF!</definedName>
    <definedName name="จำนวน4.6" localSheetId="2">#REF!</definedName>
    <definedName name="จำนวน4.6">#REF!</definedName>
    <definedName name="จำนวน4.7_1" localSheetId="3">#REF!</definedName>
    <definedName name="จำนวน4.7_1" localSheetId="4">#REF!</definedName>
    <definedName name="จำนวน4.7_1" localSheetId="71">#REF!</definedName>
    <definedName name="จำนวน4.7_1" localSheetId="2">#REF!</definedName>
    <definedName name="จำนวน4.7_1">#REF!</definedName>
    <definedName name="จำนวน4.7_2" localSheetId="3">#REF!</definedName>
    <definedName name="จำนวน4.7_2" localSheetId="4">#REF!</definedName>
    <definedName name="จำนวน4.7_2" localSheetId="71">#REF!</definedName>
    <definedName name="จำนวน4.7_2" localSheetId="2">#REF!</definedName>
    <definedName name="จำนวน4.7_2">#REF!</definedName>
    <definedName name="จำนวน4.7_3" localSheetId="3">#REF!</definedName>
    <definedName name="จำนวน4.7_3" localSheetId="4">#REF!</definedName>
    <definedName name="จำนวน4.7_3" localSheetId="71">#REF!</definedName>
    <definedName name="จำนวน4.7_3" localSheetId="2">#REF!</definedName>
    <definedName name="จำนวน4.7_3">#REF!</definedName>
    <definedName name="จำนวน4.8_1" localSheetId="3">#REF!</definedName>
    <definedName name="จำนวน4.8_1" localSheetId="4">#REF!</definedName>
    <definedName name="จำนวน4.8_1" localSheetId="71">#REF!</definedName>
    <definedName name="จำนวน4.8_1" localSheetId="2">#REF!</definedName>
    <definedName name="จำนวน4.8_1">#REF!</definedName>
    <definedName name="จำนวน4.8_2" localSheetId="3">#REF!</definedName>
    <definedName name="จำนวน4.8_2" localSheetId="4">#REF!</definedName>
    <definedName name="จำนวน4.8_2" localSheetId="71">#REF!</definedName>
    <definedName name="จำนวน4.8_2" localSheetId="2">#REF!</definedName>
    <definedName name="จำนวน4.8_2">#REF!</definedName>
    <definedName name="จำนวน4.9_1" localSheetId="3">#REF!</definedName>
    <definedName name="จำนวน4.9_1" localSheetId="4">#REF!</definedName>
    <definedName name="จำนวน4.9_1" localSheetId="71">#REF!</definedName>
    <definedName name="จำนวน4.9_1" localSheetId="2">#REF!</definedName>
    <definedName name="จำนวน4.9_1">#REF!</definedName>
    <definedName name="จำนวน4.9_2" localSheetId="3">#REF!</definedName>
    <definedName name="จำนวน4.9_2" localSheetId="4">#REF!</definedName>
    <definedName name="จำนวน4.9_2" localSheetId="71">#REF!</definedName>
    <definedName name="จำนวน4.9_2" localSheetId="2">#REF!</definedName>
    <definedName name="จำนวน4.9_2">#REF!</definedName>
    <definedName name="จำนวน4.9_3" localSheetId="3">#REF!</definedName>
    <definedName name="จำนวน4.9_3" localSheetId="4">#REF!</definedName>
    <definedName name="จำนวน4.9_3" localSheetId="71">#REF!</definedName>
    <definedName name="จำนวน4.9_3" localSheetId="2">#REF!</definedName>
    <definedName name="จำนวน4.9_3">#REF!</definedName>
    <definedName name="จำนวน4.9_4" localSheetId="3">#REF!</definedName>
    <definedName name="จำนวน4.9_4" localSheetId="4">#REF!</definedName>
    <definedName name="จำนวน4.9_4" localSheetId="71">#REF!</definedName>
    <definedName name="จำนวน4.9_4" localSheetId="2">#REF!</definedName>
    <definedName name="จำนวน4.9_4">#REF!</definedName>
    <definedName name="จำนวน4.9_5" localSheetId="3">#REF!</definedName>
    <definedName name="จำนวน4.9_5" localSheetId="4">#REF!</definedName>
    <definedName name="จำนวน4.9_5" localSheetId="71">#REF!</definedName>
    <definedName name="จำนวน4.9_5" localSheetId="2">#REF!</definedName>
    <definedName name="จำนวน4.9_5">#REF!</definedName>
    <definedName name="จำนวน4.9_6" localSheetId="3">#REF!</definedName>
    <definedName name="จำนวน4.9_6" localSheetId="4">#REF!</definedName>
    <definedName name="จำนวน4.9_6" localSheetId="71">#REF!</definedName>
    <definedName name="จำนวน4.9_6" localSheetId="2">#REF!</definedName>
    <definedName name="จำนวน4.9_6">#REF!</definedName>
    <definedName name="จำนวน4.9_7" localSheetId="3">#REF!</definedName>
    <definedName name="จำนวน4.9_7" localSheetId="4">#REF!</definedName>
    <definedName name="จำนวน4.9_7" localSheetId="71">#REF!</definedName>
    <definedName name="จำนวน4.9_7" localSheetId="2">#REF!</definedName>
    <definedName name="จำนวน4.9_7">#REF!</definedName>
    <definedName name="จำนวน5.1_1.1" localSheetId="3">#REF!</definedName>
    <definedName name="จำนวน5.1_1.1" localSheetId="4">#REF!</definedName>
    <definedName name="จำนวน5.1_1.1" localSheetId="71">#REF!</definedName>
    <definedName name="จำนวน5.1_1.1" localSheetId="2">#REF!</definedName>
    <definedName name="จำนวน5.1_1.1">#REF!</definedName>
    <definedName name="จำนวน5.1_1.2" localSheetId="3">#REF!</definedName>
    <definedName name="จำนวน5.1_1.2" localSheetId="4">#REF!</definedName>
    <definedName name="จำนวน5.1_1.2" localSheetId="71">#REF!</definedName>
    <definedName name="จำนวน5.1_1.2" localSheetId="2">#REF!</definedName>
    <definedName name="จำนวน5.1_1.2">#REF!</definedName>
    <definedName name="จำนวน5.1_1.3" localSheetId="3">#REF!</definedName>
    <definedName name="จำนวน5.1_1.3" localSheetId="4">#REF!</definedName>
    <definedName name="จำนวน5.1_1.3" localSheetId="71">#REF!</definedName>
    <definedName name="จำนวน5.1_1.3" localSheetId="2">#REF!</definedName>
    <definedName name="จำนวน5.1_1.3">#REF!</definedName>
    <definedName name="จำนวน5.1_1.4" localSheetId="3">#REF!</definedName>
    <definedName name="จำนวน5.1_1.4" localSheetId="4">#REF!</definedName>
    <definedName name="จำนวน5.1_1.4" localSheetId="71">#REF!</definedName>
    <definedName name="จำนวน5.1_1.4" localSheetId="2">#REF!</definedName>
    <definedName name="จำนวน5.1_1.4">#REF!</definedName>
    <definedName name="จำนวน5.1_1.5" localSheetId="3">#REF!</definedName>
    <definedName name="จำนวน5.1_1.5" localSheetId="4">#REF!</definedName>
    <definedName name="จำนวน5.1_1.5" localSheetId="71">#REF!</definedName>
    <definedName name="จำนวน5.1_1.5" localSheetId="2">#REF!</definedName>
    <definedName name="จำนวน5.1_1.5">#REF!</definedName>
    <definedName name="จำนวน5.1_1.6" localSheetId="3">#REF!</definedName>
    <definedName name="จำนวน5.1_1.6" localSheetId="4">#REF!</definedName>
    <definedName name="จำนวน5.1_1.6" localSheetId="71">#REF!</definedName>
    <definedName name="จำนวน5.1_1.6" localSheetId="2">#REF!</definedName>
    <definedName name="จำนวน5.1_1.6">#REF!</definedName>
    <definedName name="จำนวน5.1_2.1.1" localSheetId="3">#REF!</definedName>
    <definedName name="จำนวน5.1_2.1.1" localSheetId="4">#REF!</definedName>
    <definedName name="จำนวน5.1_2.1.1" localSheetId="71">#REF!</definedName>
    <definedName name="จำนวน5.1_2.1.1" localSheetId="2">#REF!</definedName>
    <definedName name="จำนวน5.1_2.1.1">#REF!</definedName>
    <definedName name="จำนวน5.1_2.1.2" localSheetId="3">#REF!</definedName>
    <definedName name="จำนวน5.1_2.1.2" localSheetId="4">#REF!</definedName>
    <definedName name="จำนวน5.1_2.1.2" localSheetId="71">#REF!</definedName>
    <definedName name="จำนวน5.1_2.1.2" localSheetId="2">#REF!</definedName>
    <definedName name="จำนวน5.1_2.1.2">#REF!</definedName>
    <definedName name="จำนวน5.1_2.2.1" localSheetId="3">#REF!</definedName>
    <definedName name="จำนวน5.1_2.2.1" localSheetId="4">#REF!</definedName>
    <definedName name="จำนวน5.1_2.2.1" localSheetId="71">#REF!</definedName>
    <definedName name="จำนวน5.1_2.2.1" localSheetId="2">#REF!</definedName>
    <definedName name="จำนวน5.1_2.2.1">#REF!</definedName>
    <definedName name="จำนวน5.1_2.2.2" localSheetId="3">#REF!</definedName>
    <definedName name="จำนวน5.1_2.2.2" localSheetId="4">#REF!</definedName>
    <definedName name="จำนวน5.1_2.2.2" localSheetId="71">#REF!</definedName>
    <definedName name="จำนวน5.1_2.2.2" localSheetId="2">#REF!</definedName>
    <definedName name="จำนวน5.1_2.2.2">#REF!</definedName>
    <definedName name="จำนวน5.1_3.1" localSheetId="3">#REF!</definedName>
    <definedName name="จำนวน5.1_3.1" localSheetId="4">#REF!</definedName>
    <definedName name="จำนวน5.1_3.1" localSheetId="71">#REF!</definedName>
    <definedName name="จำนวน5.1_3.1" localSheetId="2">#REF!</definedName>
    <definedName name="จำนวน5.1_3.1">#REF!</definedName>
    <definedName name="จำนวน5.1_3.2" localSheetId="3">#REF!</definedName>
    <definedName name="จำนวน5.1_3.2" localSheetId="4">#REF!</definedName>
    <definedName name="จำนวน5.1_3.2" localSheetId="71">#REF!</definedName>
    <definedName name="จำนวน5.1_3.2" localSheetId="2">#REF!</definedName>
    <definedName name="จำนวน5.1_3.2">#REF!</definedName>
    <definedName name="จำนวน5.1_4" localSheetId="3">#REF!</definedName>
    <definedName name="จำนวน5.1_4" localSheetId="4">#REF!</definedName>
    <definedName name="จำนวน5.1_4" localSheetId="71">#REF!</definedName>
    <definedName name="จำนวน5.1_4" localSheetId="2">#REF!</definedName>
    <definedName name="จำนวน5.1_4">#REF!</definedName>
    <definedName name="จำนวน5.1_5" localSheetId="3">#REF!</definedName>
    <definedName name="จำนวน5.1_5" localSheetId="4">#REF!</definedName>
    <definedName name="จำนวน5.1_5" localSheetId="71">#REF!</definedName>
    <definedName name="จำนวน5.1_5" localSheetId="2">#REF!</definedName>
    <definedName name="จำนวน5.1_5">#REF!</definedName>
    <definedName name="จำนวน5.1_6" localSheetId="3">#REF!</definedName>
    <definedName name="จำนวน5.1_6" localSheetId="4">#REF!</definedName>
    <definedName name="จำนวน5.1_6" localSheetId="71">#REF!</definedName>
    <definedName name="จำนวน5.1_6" localSheetId="2">#REF!</definedName>
    <definedName name="จำนวน5.1_6">#REF!</definedName>
    <definedName name="จำนวน5.1_7.1" localSheetId="3">#REF!</definedName>
    <definedName name="จำนวน5.1_7.1" localSheetId="4">#REF!</definedName>
    <definedName name="จำนวน5.1_7.1" localSheetId="71">#REF!</definedName>
    <definedName name="จำนวน5.1_7.1" localSheetId="2">#REF!</definedName>
    <definedName name="จำนวน5.1_7.1">#REF!</definedName>
    <definedName name="จำนวน5.1_7.2" localSheetId="3">#REF!</definedName>
    <definedName name="จำนวน5.1_7.2" localSheetId="4">#REF!</definedName>
    <definedName name="จำนวน5.1_7.2" localSheetId="71">#REF!</definedName>
    <definedName name="จำนวน5.1_7.2" localSheetId="2">#REF!</definedName>
    <definedName name="จำนวน5.1_7.2">#REF!</definedName>
    <definedName name="จำนวน5.2_1.1" localSheetId="3">#REF!</definedName>
    <definedName name="จำนวน5.2_1.1" localSheetId="4">#REF!</definedName>
    <definedName name="จำนวน5.2_1.1" localSheetId="71">#REF!</definedName>
    <definedName name="จำนวน5.2_1.1" localSheetId="2">#REF!</definedName>
    <definedName name="จำนวน5.2_1.1">#REF!</definedName>
    <definedName name="จำนวน5.2_1.2" localSheetId="3">#REF!</definedName>
    <definedName name="จำนวน5.2_1.2" localSheetId="4">#REF!</definedName>
    <definedName name="จำนวน5.2_1.2" localSheetId="71">#REF!</definedName>
    <definedName name="จำนวน5.2_1.2" localSheetId="2">#REF!</definedName>
    <definedName name="จำนวน5.2_1.2">#REF!</definedName>
    <definedName name="จำนวน5.2_1.3" localSheetId="3">#REF!</definedName>
    <definedName name="จำนวน5.2_1.3" localSheetId="4">#REF!</definedName>
    <definedName name="จำนวน5.2_1.3" localSheetId="71">#REF!</definedName>
    <definedName name="จำนวน5.2_1.3" localSheetId="2">#REF!</definedName>
    <definedName name="จำนวน5.2_1.3">#REF!</definedName>
    <definedName name="จำนวน5.2_1.4" localSheetId="3">#REF!</definedName>
    <definedName name="จำนวน5.2_1.4" localSheetId="4">#REF!</definedName>
    <definedName name="จำนวน5.2_1.4" localSheetId="71">#REF!</definedName>
    <definedName name="จำนวน5.2_1.4" localSheetId="2">#REF!</definedName>
    <definedName name="จำนวน5.2_1.4">#REF!</definedName>
    <definedName name="จำนวน5.2_1.5" localSheetId="3">#REF!</definedName>
    <definedName name="จำนวน5.2_1.5" localSheetId="4">#REF!</definedName>
    <definedName name="จำนวน5.2_1.5" localSheetId="71">#REF!</definedName>
    <definedName name="จำนวน5.2_1.5" localSheetId="2">#REF!</definedName>
    <definedName name="จำนวน5.2_1.5">#REF!</definedName>
    <definedName name="จำนวน5.2_1.6" localSheetId="3">#REF!</definedName>
    <definedName name="จำนวน5.2_1.6" localSheetId="4">#REF!</definedName>
    <definedName name="จำนวน5.2_1.6" localSheetId="71">#REF!</definedName>
    <definedName name="จำนวน5.2_1.6" localSheetId="2">#REF!</definedName>
    <definedName name="จำนวน5.2_1.6">#REF!</definedName>
    <definedName name="จำนวน5.2_2.1" localSheetId="3">#REF!</definedName>
    <definedName name="จำนวน5.2_2.1" localSheetId="4">#REF!</definedName>
    <definedName name="จำนวน5.2_2.1" localSheetId="71">#REF!</definedName>
    <definedName name="จำนวน5.2_2.1" localSheetId="2">#REF!</definedName>
    <definedName name="จำนวน5.2_2.1">#REF!</definedName>
    <definedName name="จำนวน5.2_2.2" localSheetId="3">#REF!</definedName>
    <definedName name="จำนวน5.2_2.2" localSheetId="4">#REF!</definedName>
    <definedName name="จำนวน5.2_2.2" localSheetId="71">#REF!</definedName>
    <definedName name="จำนวน5.2_2.2" localSheetId="2">#REF!</definedName>
    <definedName name="จำนวน5.2_2.2">#REF!</definedName>
    <definedName name="จำนวน5.2_2.3" localSheetId="3">#REF!</definedName>
    <definedName name="จำนวน5.2_2.3" localSheetId="4">#REF!</definedName>
    <definedName name="จำนวน5.2_2.3" localSheetId="71">#REF!</definedName>
    <definedName name="จำนวน5.2_2.3" localSheetId="2">#REF!</definedName>
    <definedName name="จำนวน5.2_2.3">#REF!</definedName>
    <definedName name="จำนวน5.2_2.4" localSheetId="3">#REF!</definedName>
    <definedName name="จำนวน5.2_2.4" localSheetId="4">#REF!</definedName>
    <definedName name="จำนวน5.2_2.4" localSheetId="71">#REF!</definedName>
    <definedName name="จำนวน5.2_2.4" localSheetId="2">#REF!</definedName>
    <definedName name="จำนวน5.2_2.4">#REF!</definedName>
    <definedName name="จำนวน5.2_2.5" localSheetId="3">#REF!</definedName>
    <definedName name="จำนวน5.2_2.5" localSheetId="4">#REF!</definedName>
    <definedName name="จำนวน5.2_2.5" localSheetId="71">#REF!</definedName>
    <definedName name="จำนวน5.2_2.5" localSheetId="2">#REF!</definedName>
    <definedName name="จำนวน5.2_2.5">#REF!</definedName>
    <definedName name="จำนวน5.2_2.6" localSheetId="3">#REF!</definedName>
    <definedName name="จำนวน5.2_2.6" localSheetId="4">#REF!</definedName>
    <definedName name="จำนวน5.2_2.6" localSheetId="71">#REF!</definedName>
    <definedName name="จำนวน5.2_2.6" localSheetId="2">#REF!</definedName>
    <definedName name="จำนวน5.2_2.6">#REF!</definedName>
    <definedName name="จำนวน5.2_3.1" localSheetId="3">#REF!</definedName>
    <definedName name="จำนวน5.2_3.1" localSheetId="4">#REF!</definedName>
    <definedName name="จำนวน5.2_3.1" localSheetId="71">#REF!</definedName>
    <definedName name="จำนวน5.2_3.1" localSheetId="2">#REF!</definedName>
    <definedName name="จำนวน5.2_3.1">#REF!</definedName>
    <definedName name="จำนวน5.2_3.2" localSheetId="3">#REF!</definedName>
    <definedName name="จำนวน5.2_3.2" localSheetId="4">#REF!</definedName>
    <definedName name="จำนวน5.2_3.2" localSheetId="71">#REF!</definedName>
    <definedName name="จำนวน5.2_3.2" localSheetId="2">#REF!</definedName>
    <definedName name="จำนวน5.2_3.2">#REF!</definedName>
    <definedName name="จำนวน5.3_100.2" localSheetId="3">#REF!</definedName>
    <definedName name="จำนวน5.3_100.2" localSheetId="4">#REF!</definedName>
    <definedName name="จำนวน5.3_100.2" localSheetId="71">#REF!</definedName>
    <definedName name="จำนวน5.3_100.2" localSheetId="2">#REF!</definedName>
    <definedName name="จำนวน5.3_100.2">#REF!</definedName>
    <definedName name="จำนวน5.3_100.3" localSheetId="3">#REF!</definedName>
    <definedName name="จำนวน5.3_100.3" localSheetId="4">#REF!</definedName>
    <definedName name="จำนวน5.3_100.3" localSheetId="71">#REF!</definedName>
    <definedName name="จำนวน5.3_100.3" localSheetId="2">#REF!</definedName>
    <definedName name="จำนวน5.3_100.3">#REF!</definedName>
    <definedName name="จำนวน5.3_120.2" localSheetId="3">#REF!</definedName>
    <definedName name="จำนวน5.3_120.2" localSheetId="4">#REF!</definedName>
    <definedName name="จำนวน5.3_120.2" localSheetId="71">#REF!</definedName>
    <definedName name="จำนวน5.3_120.2" localSheetId="2">#REF!</definedName>
    <definedName name="จำนวน5.3_120.2">#REF!</definedName>
    <definedName name="จำนวน5.3_120.3" localSheetId="3">#REF!</definedName>
    <definedName name="จำนวน5.3_120.3" localSheetId="4">#REF!</definedName>
    <definedName name="จำนวน5.3_120.3" localSheetId="71">#REF!</definedName>
    <definedName name="จำนวน5.3_120.3" localSheetId="2">#REF!</definedName>
    <definedName name="จำนวน5.3_120.3">#REF!</definedName>
    <definedName name="จำนวน5.3_150.2" localSheetId="3">#REF!</definedName>
    <definedName name="จำนวน5.3_150.2" localSheetId="4">#REF!</definedName>
    <definedName name="จำนวน5.3_150.2" localSheetId="71">#REF!</definedName>
    <definedName name="จำนวน5.3_150.2" localSheetId="2">#REF!</definedName>
    <definedName name="จำนวน5.3_150.2">#REF!</definedName>
    <definedName name="จำนวน5.3_150.3" localSheetId="3">#REF!</definedName>
    <definedName name="จำนวน5.3_150.3" localSheetId="4">#REF!</definedName>
    <definedName name="จำนวน5.3_150.3" localSheetId="71">#REF!</definedName>
    <definedName name="จำนวน5.3_150.3" localSheetId="2">#REF!</definedName>
    <definedName name="จำนวน5.3_150.3">#REF!</definedName>
    <definedName name="จำนวน5.3_30.2" localSheetId="3">#REF!</definedName>
    <definedName name="จำนวน5.3_30.2" localSheetId="4">#REF!</definedName>
    <definedName name="จำนวน5.3_30.2" localSheetId="71">#REF!</definedName>
    <definedName name="จำนวน5.3_30.2" localSheetId="2">#REF!</definedName>
    <definedName name="จำนวน5.3_30.2">#REF!</definedName>
    <definedName name="จำนวน5.3_30.3" localSheetId="3">#REF!</definedName>
    <definedName name="จำนวน5.3_30.3" localSheetId="4">#REF!</definedName>
    <definedName name="จำนวน5.3_30.3" localSheetId="71">#REF!</definedName>
    <definedName name="จำนวน5.3_30.3" localSheetId="2">#REF!</definedName>
    <definedName name="จำนวน5.3_30.3">#REF!</definedName>
    <definedName name="จำนวน5.3_40.2" localSheetId="3">#REF!</definedName>
    <definedName name="จำนวน5.3_40.2" localSheetId="4">#REF!</definedName>
    <definedName name="จำนวน5.3_40.2" localSheetId="71">#REF!</definedName>
    <definedName name="จำนวน5.3_40.2" localSheetId="2">#REF!</definedName>
    <definedName name="จำนวน5.3_40.2">#REF!</definedName>
    <definedName name="จำนวน5.3_40.3" localSheetId="3">#REF!</definedName>
    <definedName name="จำนวน5.3_40.3" localSheetId="4">#REF!</definedName>
    <definedName name="จำนวน5.3_40.3" localSheetId="71">#REF!</definedName>
    <definedName name="จำนวน5.3_40.3" localSheetId="2">#REF!</definedName>
    <definedName name="จำนวน5.3_40.3">#REF!</definedName>
    <definedName name="จำนวน5.3_60.2" localSheetId="3">#REF!</definedName>
    <definedName name="จำนวน5.3_60.2" localSheetId="4">#REF!</definedName>
    <definedName name="จำนวน5.3_60.2" localSheetId="71">#REF!</definedName>
    <definedName name="จำนวน5.3_60.2" localSheetId="2">#REF!</definedName>
    <definedName name="จำนวน5.3_60.2">#REF!</definedName>
    <definedName name="จำนวน5.3_60.3" localSheetId="3">#REF!</definedName>
    <definedName name="จำนวน5.3_60.3" localSheetId="4">#REF!</definedName>
    <definedName name="จำนวน5.3_60.3" localSheetId="71">#REF!</definedName>
    <definedName name="จำนวน5.3_60.3" localSheetId="2">#REF!</definedName>
    <definedName name="จำนวน5.3_60.3">#REF!</definedName>
    <definedName name="จำนวน5.3_80.2" localSheetId="3">#REF!</definedName>
    <definedName name="จำนวน5.3_80.2" localSheetId="4">#REF!</definedName>
    <definedName name="จำนวน5.3_80.2" localSheetId="71">#REF!</definedName>
    <definedName name="จำนวน5.3_80.2" localSheetId="2">#REF!</definedName>
    <definedName name="จำนวน5.3_80.2">#REF!</definedName>
    <definedName name="จำนวน5.3_80.3" localSheetId="3">#REF!</definedName>
    <definedName name="จำนวน5.3_80.3" localSheetId="4">#REF!</definedName>
    <definedName name="จำนวน5.3_80.3" localSheetId="71">#REF!</definedName>
    <definedName name="จำนวน5.3_80.3" localSheetId="2">#REF!</definedName>
    <definedName name="จำนวน5.3_80.3">#REF!</definedName>
    <definedName name="จำนวน6.1_1" localSheetId="3">#REF!</definedName>
    <definedName name="จำนวน6.1_1" localSheetId="4">#REF!</definedName>
    <definedName name="จำนวน6.1_1" localSheetId="71">#REF!</definedName>
    <definedName name="จำนวน6.1_1" localSheetId="2">#REF!</definedName>
    <definedName name="จำนวน6.1_1">#REF!</definedName>
    <definedName name="จำนวน6.1_10" localSheetId="3">#REF!</definedName>
    <definedName name="จำนวน6.1_10" localSheetId="4">#REF!</definedName>
    <definedName name="จำนวน6.1_10" localSheetId="71">#REF!</definedName>
    <definedName name="จำนวน6.1_10" localSheetId="2">#REF!</definedName>
    <definedName name="จำนวน6.1_10">#REF!</definedName>
    <definedName name="จำนวน6.1_11" localSheetId="3">#REF!</definedName>
    <definedName name="จำนวน6.1_11" localSheetId="4">#REF!</definedName>
    <definedName name="จำนวน6.1_11" localSheetId="71">#REF!</definedName>
    <definedName name="จำนวน6.1_11" localSheetId="2">#REF!</definedName>
    <definedName name="จำนวน6.1_11">#REF!</definedName>
    <definedName name="จำนวน6.1_12" localSheetId="3">#REF!</definedName>
    <definedName name="จำนวน6.1_12" localSheetId="4">#REF!</definedName>
    <definedName name="จำนวน6.1_12" localSheetId="71">#REF!</definedName>
    <definedName name="จำนวน6.1_12" localSheetId="2">#REF!</definedName>
    <definedName name="จำนวน6.1_12">#REF!</definedName>
    <definedName name="จำนวน6.1_13" localSheetId="3">#REF!</definedName>
    <definedName name="จำนวน6.1_13" localSheetId="4">#REF!</definedName>
    <definedName name="จำนวน6.1_13" localSheetId="71">#REF!</definedName>
    <definedName name="จำนวน6.1_13" localSheetId="2">#REF!</definedName>
    <definedName name="จำนวน6.1_13">#REF!</definedName>
    <definedName name="จำนวน6.1_14" localSheetId="3">#REF!</definedName>
    <definedName name="จำนวน6.1_14" localSheetId="4">#REF!</definedName>
    <definedName name="จำนวน6.1_14" localSheetId="71">#REF!</definedName>
    <definedName name="จำนวน6.1_14" localSheetId="2">#REF!</definedName>
    <definedName name="จำนวน6.1_14">#REF!</definedName>
    <definedName name="จำนวน6.1_15" localSheetId="3">#REF!</definedName>
    <definedName name="จำนวน6.1_15" localSheetId="4">#REF!</definedName>
    <definedName name="จำนวน6.1_15" localSheetId="71">#REF!</definedName>
    <definedName name="จำนวน6.1_15" localSheetId="2">#REF!</definedName>
    <definedName name="จำนวน6.1_15">#REF!</definedName>
    <definedName name="จำนวน6.1_16" localSheetId="3">#REF!</definedName>
    <definedName name="จำนวน6.1_16" localSheetId="4">#REF!</definedName>
    <definedName name="จำนวน6.1_16" localSheetId="71">#REF!</definedName>
    <definedName name="จำนวน6.1_16" localSheetId="2">#REF!</definedName>
    <definedName name="จำนวน6.1_16">#REF!</definedName>
    <definedName name="จำนวน6.1_17" localSheetId="3">#REF!</definedName>
    <definedName name="จำนวน6.1_17" localSheetId="4">#REF!</definedName>
    <definedName name="จำนวน6.1_17" localSheetId="71">#REF!</definedName>
    <definedName name="จำนวน6.1_17" localSheetId="2">#REF!</definedName>
    <definedName name="จำนวน6.1_17">#REF!</definedName>
    <definedName name="จำนวน6.1_18" localSheetId="3">#REF!</definedName>
    <definedName name="จำนวน6.1_18" localSheetId="4">#REF!</definedName>
    <definedName name="จำนวน6.1_18" localSheetId="71">#REF!</definedName>
    <definedName name="จำนวน6.1_18" localSheetId="2">#REF!</definedName>
    <definedName name="จำนวน6.1_18">#REF!</definedName>
    <definedName name="จำนวน6.1_19" localSheetId="3">#REF!</definedName>
    <definedName name="จำนวน6.1_19" localSheetId="4">#REF!</definedName>
    <definedName name="จำนวน6.1_19" localSheetId="71">#REF!</definedName>
    <definedName name="จำนวน6.1_19" localSheetId="2">#REF!</definedName>
    <definedName name="จำนวน6.1_19">#REF!</definedName>
    <definedName name="จำนวน6.1_2" localSheetId="3">#REF!</definedName>
    <definedName name="จำนวน6.1_2" localSheetId="4">#REF!</definedName>
    <definedName name="จำนวน6.1_2" localSheetId="71">#REF!</definedName>
    <definedName name="จำนวน6.1_2" localSheetId="2">#REF!</definedName>
    <definedName name="จำนวน6.1_2">#REF!</definedName>
    <definedName name="จำนวน6.1_20" localSheetId="3">#REF!</definedName>
    <definedName name="จำนวน6.1_20" localSheetId="4">#REF!</definedName>
    <definedName name="จำนวน6.1_20" localSheetId="71">#REF!</definedName>
    <definedName name="จำนวน6.1_20" localSheetId="2">#REF!</definedName>
    <definedName name="จำนวน6.1_20">#REF!</definedName>
    <definedName name="จำนวน6.1_3" localSheetId="3">#REF!</definedName>
    <definedName name="จำนวน6.1_3" localSheetId="4">#REF!</definedName>
    <definedName name="จำนวน6.1_3" localSheetId="71">#REF!</definedName>
    <definedName name="จำนวน6.1_3" localSheetId="2">#REF!</definedName>
    <definedName name="จำนวน6.1_3">#REF!</definedName>
    <definedName name="จำนวน6.1_4.1" localSheetId="3">#REF!</definedName>
    <definedName name="จำนวน6.1_4.1" localSheetId="4">#REF!</definedName>
    <definedName name="จำนวน6.1_4.1" localSheetId="71">#REF!</definedName>
    <definedName name="จำนวน6.1_4.1" localSheetId="2">#REF!</definedName>
    <definedName name="จำนวน6.1_4.1">#REF!</definedName>
    <definedName name="จำนวน6.1_4.2" localSheetId="3">#REF!</definedName>
    <definedName name="จำนวน6.1_4.2" localSheetId="4">#REF!</definedName>
    <definedName name="จำนวน6.1_4.2" localSheetId="71">#REF!</definedName>
    <definedName name="จำนวน6.1_4.2" localSheetId="2">#REF!</definedName>
    <definedName name="จำนวน6.1_4.2">#REF!</definedName>
    <definedName name="จำนวน6.1_5" localSheetId="3">#REF!</definedName>
    <definedName name="จำนวน6.1_5" localSheetId="4">#REF!</definedName>
    <definedName name="จำนวน6.1_5" localSheetId="71">#REF!</definedName>
    <definedName name="จำนวน6.1_5" localSheetId="2">#REF!</definedName>
    <definedName name="จำนวน6.1_5">#REF!</definedName>
    <definedName name="จำนวน6.1_6" localSheetId="3">#REF!</definedName>
    <definedName name="จำนวน6.1_6" localSheetId="4">#REF!</definedName>
    <definedName name="จำนวน6.1_6" localSheetId="71">#REF!</definedName>
    <definedName name="จำนวน6.1_6" localSheetId="2">#REF!</definedName>
    <definedName name="จำนวน6.1_6">#REF!</definedName>
    <definedName name="จำนวน6.1_7" localSheetId="3">#REF!</definedName>
    <definedName name="จำนวน6.1_7" localSheetId="4">#REF!</definedName>
    <definedName name="จำนวน6.1_7" localSheetId="71">#REF!</definedName>
    <definedName name="จำนวน6.1_7" localSheetId="2">#REF!</definedName>
    <definedName name="จำนวน6.1_7">#REF!</definedName>
    <definedName name="จำนวน6.1_8" localSheetId="3">#REF!</definedName>
    <definedName name="จำนวน6.1_8" localSheetId="4">#REF!</definedName>
    <definedName name="จำนวน6.1_8" localSheetId="71">#REF!</definedName>
    <definedName name="จำนวน6.1_8" localSheetId="2">#REF!</definedName>
    <definedName name="จำนวน6.1_8">#REF!</definedName>
    <definedName name="จำนวน6.1_9" localSheetId="3">#REF!</definedName>
    <definedName name="จำนวน6.1_9" localSheetId="4">#REF!</definedName>
    <definedName name="จำนวน6.1_9" localSheetId="71">#REF!</definedName>
    <definedName name="จำนวน6.1_9" localSheetId="2">#REF!</definedName>
    <definedName name="จำนวน6.1_9">#REF!</definedName>
    <definedName name="จำนวน6.10_1" localSheetId="3">#REF!</definedName>
    <definedName name="จำนวน6.10_1" localSheetId="4">#REF!</definedName>
    <definedName name="จำนวน6.10_1" localSheetId="71">#REF!</definedName>
    <definedName name="จำนวน6.10_1" localSheetId="2">#REF!</definedName>
    <definedName name="จำนวน6.10_1">#REF!</definedName>
    <definedName name="จำนวน6.10_2" localSheetId="3">#REF!</definedName>
    <definedName name="จำนวน6.10_2" localSheetId="4">#REF!</definedName>
    <definedName name="จำนวน6.10_2" localSheetId="71">#REF!</definedName>
    <definedName name="จำนวน6.10_2" localSheetId="2">#REF!</definedName>
    <definedName name="จำนวน6.10_2">#REF!</definedName>
    <definedName name="จำนวน6.10_3" localSheetId="3">#REF!</definedName>
    <definedName name="จำนวน6.10_3" localSheetId="4">#REF!</definedName>
    <definedName name="จำนวน6.10_3" localSheetId="71">#REF!</definedName>
    <definedName name="จำนวน6.10_3" localSheetId="2">#REF!</definedName>
    <definedName name="จำนวน6.10_3">#REF!</definedName>
    <definedName name="จำนวน6.10_4.1" localSheetId="3">#REF!</definedName>
    <definedName name="จำนวน6.10_4.1" localSheetId="4">#REF!</definedName>
    <definedName name="จำนวน6.10_4.1" localSheetId="71">#REF!</definedName>
    <definedName name="จำนวน6.10_4.1" localSheetId="2">#REF!</definedName>
    <definedName name="จำนวน6.10_4.1">#REF!</definedName>
    <definedName name="จำนวน6.10_4.2" localSheetId="3">#REF!</definedName>
    <definedName name="จำนวน6.10_4.2" localSheetId="4">#REF!</definedName>
    <definedName name="จำนวน6.10_4.2" localSheetId="71">#REF!</definedName>
    <definedName name="จำนวน6.10_4.2" localSheetId="2">#REF!</definedName>
    <definedName name="จำนวน6.10_4.2">#REF!</definedName>
    <definedName name="จำนวน6.10_4.3" localSheetId="3">#REF!</definedName>
    <definedName name="จำนวน6.10_4.3" localSheetId="4">#REF!</definedName>
    <definedName name="จำนวน6.10_4.3" localSheetId="71">#REF!</definedName>
    <definedName name="จำนวน6.10_4.3" localSheetId="2">#REF!</definedName>
    <definedName name="จำนวน6.10_4.3">#REF!</definedName>
    <definedName name="จำนวน6.10_5" localSheetId="3">#REF!</definedName>
    <definedName name="จำนวน6.10_5" localSheetId="4">#REF!</definedName>
    <definedName name="จำนวน6.10_5" localSheetId="71">#REF!</definedName>
    <definedName name="จำนวน6.10_5" localSheetId="2">#REF!</definedName>
    <definedName name="จำนวน6.10_5">#REF!</definedName>
    <definedName name="จำนวน6.10_6" localSheetId="3">#REF!</definedName>
    <definedName name="จำนวน6.10_6" localSheetId="4">#REF!</definedName>
    <definedName name="จำนวน6.10_6" localSheetId="71">#REF!</definedName>
    <definedName name="จำนวน6.10_6" localSheetId="2">#REF!</definedName>
    <definedName name="จำนวน6.10_6">#REF!</definedName>
    <definedName name="จำนวน6.11_1" localSheetId="3">#REF!</definedName>
    <definedName name="จำนวน6.11_1" localSheetId="4">#REF!</definedName>
    <definedName name="จำนวน6.11_1" localSheetId="71">#REF!</definedName>
    <definedName name="จำนวน6.11_1" localSheetId="2">#REF!</definedName>
    <definedName name="จำนวน6.11_1">#REF!</definedName>
    <definedName name="จำนวน6.11_2.1" localSheetId="3">#REF!</definedName>
    <definedName name="จำนวน6.11_2.1" localSheetId="4">#REF!</definedName>
    <definedName name="จำนวน6.11_2.1" localSheetId="71">#REF!</definedName>
    <definedName name="จำนวน6.11_2.1" localSheetId="2">#REF!</definedName>
    <definedName name="จำนวน6.11_2.1">#REF!</definedName>
    <definedName name="จำนวน6.11_2.2" localSheetId="3">#REF!</definedName>
    <definedName name="จำนวน6.11_2.2" localSheetId="4">#REF!</definedName>
    <definedName name="จำนวน6.11_2.2" localSheetId="71">#REF!</definedName>
    <definedName name="จำนวน6.11_2.2" localSheetId="2">#REF!</definedName>
    <definedName name="จำนวน6.11_2.2">#REF!</definedName>
    <definedName name="จำนวน6.11_2.3" localSheetId="3">#REF!</definedName>
    <definedName name="จำนวน6.11_2.3" localSheetId="4">#REF!</definedName>
    <definedName name="จำนวน6.11_2.3" localSheetId="71">#REF!</definedName>
    <definedName name="จำนวน6.11_2.3" localSheetId="2">#REF!</definedName>
    <definedName name="จำนวน6.11_2.3">#REF!</definedName>
    <definedName name="จำนวน6.11_3.1" localSheetId="3">#REF!</definedName>
    <definedName name="จำนวน6.11_3.1" localSheetId="4">#REF!</definedName>
    <definedName name="จำนวน6.11_3.1" localSheetId="71">#REF!</definedName>
    <definedName name="จำนวน6.11_3.1" localSheetId="2">#REF!</definedName>
    <definedName name="จำนวน6.11_3.1">#REF!</definedName>
    <definedName name="จำนวน6.11_3.2" localSheetId="3">#REF!</definedName>
    <definedName name="จำนวน6.11_3.2" localSheetId="4">#REF!</definedName>
    <definedName name="จำนวน6.11_3.2" localSheetId="71">#REF!</definedName>
    <definedName name="จำนวน6.11_3.2" localSheetId="2">#REF!</definedName>
    <definedName name="จำนวน6.11_3.2">#REF!</definedName>
    <definedName name="จำนวน6.11_4.1" localSheetId="3">#REF!</definedName>
    <definedName name="จำนวน6.11_4.1" localSheetId="4">#REF!</definedName>
    <definedName name="จำนวน6.11_4.1" localSheetId="71">#REF!</definedName>
    <definedName name="จำนวน6.11_4.1" localSheetId="2">#REF!</definedName>
    <definedName name="จำนวน6.11_4.1">#REF!</definedName>
    <definedName name="จำนวน6.11_4.2" localSheetId="3">#REF!</definedName>
    <definedName name="จำนวน6.11_4.2" localSheetId="4">#REF!</definedName>
    <definedName name="จำนวน6.11_4.2" localSheetId="71">#REF!</definedName>
    <definedName name="จำนวน6.11_4.2" localSheetId="2">#REF!</definedName>
    <definedName name="จำนวน6.11_4.2">#REF!</definedName>
    <definedName name="จำนวน6.11_4.3" localSheetId="3">#REF!</definedName>
    <definedName name="จำนวน6.11_4.3" localSheetId="4">#REF!</definedName>
    <definedName name="จำนวน6.11_4.3" localSheetId="71">#REF!</definedName>
    <definedName name="จำนวน6.11_4.3" localSheetId="2">#REF!</definedName>
    <definedName name="จำนวน6.11_4.3">#REF!</definedName>
    <definedName name="จำนวน6.11_5.1" localSheetId="3">#REF!</definedName>
    <definedName name="จำนวน6.11_5.1" localSheetId="4">#REF!</definedName>
    <definedName name="จำนวน6.11_5.1" localSheetId="71">#REF!</definedName>
    <definedName name="จำนวน6.11_5.1" localSheetId="2">#REF!</definedName>
    <definedName name="จำนวน6.11_5.1">#REF!</definedName>
    <definedName name="จำนวน6.11_5.2" localSheetId="3">#REF!</definedName>
    <definedName name="จำนวน6.11_5.2" localSheetId="4">#REF!</definedName>
    <definedName name="จำนวน6.11_5.2" localSheetId="71">#REF!</definedName>
    <definedName name="จำนวน6.11_5.2" localSheetId="2">#REF!</definedName>
    <definedName name="จำนวน6.11_5.2">#REF!</definedName>
    <definedName name="จำนวน6.11_6.1" localSheetId="3">#REF!</definedName>
    <definedName name="จำนวน6.11_6.1" localSheetId="4">#REF!</definedName>
    <definedName name="จำนวน6.11_6.1" localSheetId="71">#REF!</definedName>
    <definedName name="จำนวน6.11_6.1" localSheetId="2">#REF!</definedName>
    <definedName name="จำนวน6.11_6.1">#REF!</definedName>
    <definedName name="จำนวน6.11_6.2" localSheetId="3">#REF!</definedName>
    <definedName name="จำนวน6.11_6.2" localSheetId="4">#REF!</definedName>
    <definedName name="จำนวน6.11_6.2" localSheetId="71">#REF!</definedName>
    <definedName name="จำนวน6.11_6.2" localSheetId="2">#REF!</definedName>
    <definedName name="จำนวน6.11_6.2">#REF!</definedName>
    <definedName name="จำนวน6.11_7" localSheetId="3">#REF!</definedName>
    <definedName name="จำนวน6.11_7" localSheetId="4">#REF!</definedName>
    <definedName name="จำนวน6.11_7" localSheetId="71">#REF!</definedName>
    <definedName name="จำนวน6.11_7" localSheetId="2">#REF!</definedName>
    <definedName name="จำนวน6.11_7">#REF!</definedName>
    <definedName name="จำนวน6.11_8" localSheetId="3">#REF!</definedName>
    <definedName name="จำนวน6.11_8" localSheetId="4">#REF!</definedName>
    <definedName name="จำนวน6.11_8" localSheetId="71">#REF!</definedName>
    <definedName name="จำนวน6.11_8" localSheetId="2">#REF!</definedName>
    <definedName name="จำนวน6.11_8">#REF!</definedName>
    <definedName name="จำนวน6.12_1" localSheetId="3">#REF!</definedName>
    <definedName name="จำนวน6.12_1" localSheetId="4">#REF!</definedName>
    <definedName name="จำนวน6.12_1" localSheetId="71">#REF!</definedName>
    <definedName name="จำนวน6.12_1" localSheetId="2">#REF!</definedName>
    <definedName name="จำนวน6.12_1">#REF!</definedName>
    <definedName name="จำนวน6.12_10.1" localSheetId="3">#REF!</definedName>
    <definedName name="จำนวน6.12_10.1" localSheetId="4">#REF!</definedName>
    <definedName name="จำนวน6.12_10.1" localSheetId="71">#REF!</definedName>
    <definedName name="จำนวน6.12_10.1" localSheetId="2">#REF!</definedName>
    <definedName name="จำนวน6.12_10.1">#REF!</definedName>
    <definedName name="จำนวน6.12_10.2" localSheetId="3">#REF!</definedName>
    <definedName name="จำนวน6.12_10.2" localSheetId="4">#REF!</definedName>
    <definedName name="จำนวน6.12_10.2" localSheetId="71">#REF!</definedName>
    <definedName name="จำนวน6.12_10.2" localSheetId="2">#REF!</definedName>
    <definedName name="จำนวน6.12_10.2">#REF!</definedName>
    <definedName name="จำนวน6.12_10.3" localSheetId="3">#REF!</definedName>
    <definedName name="จำนวน6.12_10.3" localSheetId="4">#REF!</definedName>
    <definedName name="จำนวน6.12_10.3" localSheetId="71">#REF!</definedName>
    <definedName name="จำนวน6.12_10.3" localSheetId="2">#REF!</definedName>
    <definedName name="จำนวน6.12_10.3">#REF!</definedName>
    <definedName name="จำนวน6.12_11.1" localSheetId="3">#REF!</definedName>
    <definedName name="จำนวน6.12_11.1" localSheetId="4">#REF!</definedName>
    <definedName name="จำนวน6.12_11.1" localSheetId="71">#REF!</definedName>
    <definedName name="จำนวน6.12_11.1" localSheetId="2">#REF!</definedName>
    <definedName name="จำนวน6.12_11.1">#REF!</definedName>
    <definedName name="จำนวน6.12_11.2" localSheetId="3">#REF!</definedName>
    <definedName name="จำนวน6.12_11.2" localSheetId="4">#REF!</definedName>
    <definedName name="จำนวน6.12_11.2" localSheetId="71">#REF!</definedName>
    <definedName name="จำนวน6.12_11.2" localSheetId="2">#REF!</definedName>
    <definedName name="จำนวน6.12_11.2">#REF!</definedName>
    <definedName name="จำนวน6.12_11.3" localSheetId="3">#REF!</definedName>
    <definedName name="จำนวน6.12_11.3" localSheetId="4">#REF!</definedName>
    <definedName name="จำนวน6.12_11.3" localSheetId="71">#REF!</definedName>
    <definedName name="จำนวน6.12_11.3" localSheetId="2">#REF!</definedName>
    <definedName name="จำนวน6.12_11.3">#REF!</definedName>
    <definedName name="จำนวน6.12_2" localSheetId="3">#REF!</definedName>
    <definedName name="จำนวน6.12_2" localSheetId="4">#REF!</definedName>
    <definedName name="จำนวน6.12_2" localSheetId="71">#REF!</definedName>
    <definedName name="จำนวน6.12_2" localSheetId="2">#REF!</definedName>
    <definedName name="จำนวน6.12_2">#REF!</definedName>
    <definedName name="จำนวน6.12_3" localSheetId="3">#REF!</definedName>
    <definedName name="จำนวน6.12_3" localSheetId="4">#REF!</definedName>
    <definedName name="จำนวน6.12_3" localSheetId="71">#REF!</definedName>
    <definedName name="จำนวน6.12_3" localSheetId="2">#REF!</definedName>
    <definedName name="จำนวน6.12_3">#REF!</definedName>
    <definedName name="จำนวน6.12_4" localSheetId="3">#REF!</definedName>
    <definedName name="จำนวน6.12_4" localSheetId="4">#REF!</definedName>
    <definedName name="จำนวน6.12_4" localSheetId="71">#REF!</definedName>
    <definedName name="จำนวน6.12_4" localSheetId="2">#REF!</definedName>
    <definedName name="จำนวน6.12_4">#REF!</definedName>
    <definedName name="จำนวน6.12_5.1" localSheetId="3">#REF!</definedName>
    <definedName name="จำนวน6.12_5.1" localSheetId="4">#REF!</definedName>
    <definedName name="จำนวน6.12_5.1" localSheetId="71">#REF!</definedName>
    <definedName name="จำนวน6.12_5.1" localSheetId="2">#REF!</definedName>
    <definedName name="จำนวน6.12_5.1">#REF!</definedName>
    <definedName name="จำนวน6.12_5.2" localSheetId="3">#REF!</definedName>
    <definedName name="จำนวน6.12_5.2" localSheetId="4">#REF!</definedName>
    <definedName name="จำนวน6.12_5.2" localSheetId="71">#REF!</definedName>
    <definedName name="จำนวน6.12_5.2" localSheetId="2">#REF!</definedName>
    <definedName name="จำนวน6.12_5.2">#REF!</definedName>
    <definedName name="จำนวน6.12_5.3" localSheetId="3">#REF!</definedName>
    <definedName name="จำนวน6.12_5.3" localSheetId="4">#REF!</definedName>
    <definedName name="จำนวน6.12_5.3" localSheetId="71">#REF!</definedName>
    <definedName name="จำนวน6.12_5.3" localSheetId="2">#REF!</definedName>
    <definedName name="จำนวน6.12_5.3">#REF!</definedName>
    <definedName name="จำนวน6.12_6" localSheetId="3">#REF!</definedName>
    <definedName name="จำนวน6.12_6" localSheetId="4">#REF!</definedName>
    <definedName name="จำนวน6.12_6" localSheetId="71">#REF!</definedName>
    <definedName name="จำนวน6.12_6" localSheetId="2">#REF!</definedName>
    <definedName name="จำนวน6.12_6">#REF!</definedName>
    <definedName name="จำนวน6.12_7" localSheetId="3">#REF!</definedName>
    <definedName name="จำนวน6.12_7" localSheetId="4">#REF!</definedName>
    <definedName name="จำนวน6.12_7" localSheetId="71">#REF!</definedName>
    <definedName name="จำนวน6.12_7" localSheetId="2">#REF!</definedName>
    <definedName name="จำนวน6.12_7">#REF!</definedName>
    <definedName name="จำนวน6.12_8" localSheetId="3">#REF!</definedName>
    <definedName name="จำนวน6.12_8" localSheetId="4">#REF!</definedName>
    <definedName name="จำนวน6.12_8" localSheetId="71">#REF!</definedName>
    <definedName name="จำนวน6.12_8" localSheetId="2">#REF!</definedName>
    <definedName name="จำนวน6.12_8">#REF!</definedName>
    <definedName name="จำนวน6.12_9" localSheetId="3">#REF!</definedName>
    <definedName name="จำนวน6.12_9" localSheetId="4">#REF!</definedName>
    <definedName name="จำนวน6.12_9" localSheetId="71">#REF!</definedName>
    <definedName name="จำนวน6.12_9" localSheetId="2">#REF!</definedName>
    <definedName name="จำนวน6.12_9">#REF!</definedName>
    <definedName name="จำนวน6.13_1.1" localSheetId="3">#REF!</definedName>
    <definedName name="จำนวน6.13_1.1" localSheetId="4">#REF!</definedName>
    <definedName name="จำนวน6.13_1.1" localSheetId="71">#REF!</definedName>
    <definedName name="จำนวน6.13_1.1" localSheetId="2">#REF!</definedName>
    <definedName name="จำนวน6.13_1.1">#REF!</definedName>
    <definedName name="จำนวน6.13_1.2" localSheetId="3">#REF!</definedName>
    <definedName name="จำนวน6.13_1.2" localSheetId="4">#REF!</definedName>
    <definedName name="จำนวน6.13_1.2" localSheetId="71">#REF!</definedName>
    <definedName name="จำนวน6.13_1.2" localSheetId="2">#REF!</definedName>
    <definedName name="จำนวน6.13_1.2">#REF!</definedName>
    <definedName name="จำนวน6.13_2.1" localSheetId="3">#REF!</definedName>
    <definedName name="จำนวน6.13_2.1" localSheetId="4">#REF!</definedName>
    <definedName name="จำนวน6.13_2.1" localSheetId="71">#REF!</definedName>
    <definedName name="จำนวน6.13_2.1" localSheetId="2">#REF!</definedName>
    <definedName name="จำนวน6.13_2.1">#REF!</definedName>
    <definedName name="จำนวน6.13_2.2" localSheetId="3">#REF!</definedName>
    <definedName name="จำนวน6.13_2.2" localSheetId="4">#REF!</definedName>
    <definedName name="จำนวน6.13_2.2" localSheetId="71">#REF!</definedName>
    <definedName name="จำนวน6.13_2.2" localSheetId="2">#REF!</definedName>
    <definedName name="จำนวน6.13_2.2">#REF!</definedName>
    <definedName name="จำนวน6.14_1.1" localSheetId="3">#REF!</definedName>
    <definedName name="จำนวน6.14_1.1" localSheetId="4">#REF!</definedName>
    <definedName name="จำนวน6.14_1.1" localSheetId="71">#REF!</definedName>
    <definedName name="จำนวน6.14_1.1" localSheetId="2">#REF!</definedName>
    <definedName name="จำนวน6.14_1.1">#REF!</definedName>
    <definedName name="จำนวน6.14_1.2" localSheetId="3">#REF!</definedName>
    <definedName name="จำนวน6.14_1.2" localSheetId="4">#REF!</definedName>
    <definedName name="จำนวน6.14_1.2" localSheetId="71">#REF!</definedName>
    <definedName name="จำนวน6.14_1.2" localSheetId="2">#REF!</definedName>
    <definedName name="จำนวน6.14_1.2">#REF!</definedName>
    <definedName name="จำนวน6.14_2.1" localSheetId="3">#REF!</definedName>
    <definedName name="จำนวน6.14_2.1" localSheetId="4">#REF!</definedName>
    <definedName name="จำนวน6.14_2.1" localSheetId="71">#REF!</definedName>
    <definedName name="จำนวน6.14_2.1" localSheetId="2">#REF!</definedName>
    <definedName name="จำนวน6.14_2.1">#REF!</definedName>
    <definedName name="จำนวน6.14_2.2" localSheetId="3">#REF!</definedName>
    <definedName name="จำนวน6.14_2.2" localSheetId="4">#REF!</definedName>
    <definedName name="จำนวน6.14_2.2" localSheetId="71">#REF!</definedName>
    <definedName name="จำนวน6.14_2.2" localSheetId="2">#REF!</definedName>
    <definedName name="จำนวน6.14_2.2">#REF!</definedName>
    <definedName name="จำนวน6.15_1.1" localSheetId="3">#REF!</definedName>
    <definedName name="จำนวน6.15_1.1" localSheetId="4">#REF!</definedName>
    <definedName name="จำนวน6.15_1.1" localSheetId="71">#REF!</definedName>
    <definedName name="จำนวน6.15_1.1" localSheetId="2">#REF!</definedName>
    <definedName name="จำนวน6.15_1.1">#REF!</definedName>
    <definedName name="จำนวน6.15_1.2" localSheetId="3">#REF!</definedName>
    <definedName name="จำนวน6.15_1.2" localSheetId="4">#REF!</definedName>
    <definedName name="จำนวน6.15_1.2" localSheetId="71">#REF!</definedName>
    <definedName name="จำนวน6.15_1.2" localSheetId="2">#REF!</definedName>
    <definedName name="จำนวน6.15_1.2">#REF!</definedName>
    <definedName name="จำนวน6.15_2.1" localSheetId="3">#REF!</definedName>
    <definedName name="จำนวน6.15_2.1" localSheetId="4">#REF!</definedName>
    <definedName name="จำนวน6.15_2.1" localSheetId="71">#REF!</definedName>
    <definedName name="จำนวน6.15_2.1" localSheetId="2">#REF!</definedName>
    <definedName name="จำนวน6.15_2.1">#REF!</definedName>
    <definedName name="จำนวน6.15_2.2" localSheetId="3">#REF!</definedName>
    <definedName name="จำนวน6.15_2.2" localSheetId="4">#REF!</definedName>
    <definedName name="จำนวน6.15_2.2" localSheetId="71">#REF!</definedName>
    <definedName name="จำนวน6.15_2.2" localSheetId="2">#REF!</definedName>
    <definedName name="จำนวน6.15_2.2">#REF!</definedName>
    <definedName name="จำนวน6.15_3.1" localSheetId="3">#REF!</definedName>
    <definedName name="จำนวน6.15_3.1" localSheetId="4">#REF!</definedName>
    <definedName name="จำนวน6.15_3.1" localSheetId="71">#REF!</definedName>
    <definedName name="จำนวน6.15_3.1" localSheetId="2">#REF!</definedName>
    <definedName name="จำนวน6.15_3.1">#REF!</definedName>
    <definedName name="จำนวน6.15_3.2" localSheetId="3">#REF!</definedName>
    <definedName name="จำนวน6.15_3.2" localSheetId="4">#REF!</definedName>
    <definedName name="จำนวน6.15_3.2" localSheetId="71">#REF!</definedName>
    <definedName name="จำนวน6.15_3.2" localSheetId="2">#REF!</definedName>
    <definedName name="จำนวน6.15_3.2">#REF!</definedName>
    <definedName name="จำนวน6.15_4.1" localSheetId="3">#REF!</definedName>
    <definedName name="จำนวน6.15_4.1" localSheetId="4">#REF!</definedName>
    <definedName name="จำนวน6.15_4.1" localSheetId="71">#REF!</definedName>
    <definedName name="จำนวน6.15_4.1" localSheetId="2">#REF!</definedName>
    <definedName name="จำนวน6.15_4.1">#REF!</definedName>
    <definedName name="จำนวน6.15_4.2" localSheetId="3">#REF!</definedName>
    <definedName name="จำนวน6.15_4.2" localSheetId="4">#REF!</definedName>
    <definedName name="จำนวน6.15_4.2" localSheetId="71">#REF!</definedName>
    <definedName name="จำนวน6.15_4.2" localSheetId="2">#REF!</definedName>
    <definedName name="จำนวน6.15_4.2">#REF!</definedName>
    <definedName name="จำนวน6.15_5.1" localSheetId="3">#REF!</definedName>
    <definedName name="จำนวน6.15_5.1" localSheetId="4">#REF!</definedName>
    <definedName name="จำนวน6.15_5.1" localSheetId="71">#REF!</definedName>
    <definedName name="จำนวน6.15_5.1" localSheetId="2">#REF!</definedName>
    <definedName name="จำนวน6.15_5.1">#REF!</definedName>
    <definedName name="จำนวน6.15_5.2" localSheetId="3">#REF!</definedName>
    <definedName name="จำนวน6.15_5.2" localSheetId="4">#REF!</definedName>
    <definedName name="จำนวน6.15_5.2" localSheetId="71">#REF!</definedName>
    <definedName name="จำนวน6.15_5.2" localSheetId="2">#REF!</definedName>
    <definedName name="จำนวน6.15_5.2">#REF!</definedName>
    <definedName name="จำนวน6.15_6" localSheetId="3">#REF!</definedName>
    <definedName name="จำนวน6.15_6" localSheetId="4">#REF!</definedName>
    <definedName name="จำนวน6.15_6" localSheetId="71">#REF!</definedName>
    <definedName name="จำนวน6.15_6" localSheetId="2">#REF!</definedName>
    <definedName name="จำนวน6.15_6">#REF!</definedName>
    <definedName name="จำนวน6.15_7" localSheetId="3">#REF!</definedName>
    <definedName name="จำนวน6.15_7" localSheetId="4">#REF!</definedName>
    <definedName name="จำนวน6.15_7" localSheetId="71">#REF!</definedName>
    <definedName name="จำนวน6.15_7" localSheetId="2">#REF!</definedName>
    <definedName name="จำนวน6.15_7">#REF!</definedName>
    <definedName name="จำนวน6.16" localSheetId="3">#REF!</definedName>
    <definedName name="จำนวน6.16" localSheetId="4">#REF!</definedName>
    <definedName name="จำนวน6.16" localSheetId="71">#REF!</definedName>
    <definedName name="จำนวน6.16" localSheetId="2">#REF!</definedName>
    <definedName name="จำนวน6.16">#REF!</definedName>
    <definedName name="จำนวน6.17_1" localSheetId="3">#REF!</definedName>
    <definedName name="จำนวน6.17_1" localSheetId="4">#REF!</definedName>
    <definedName name="จำนวน6.17_1" localSheetId="71">#REF!</definedName>
    <definedName name="จำนวน6.17_1" localSheetId="2">#REF!</definedName>
    <definedName name="จำนวน6.17_1">#REF!</definedName>
    <definedName name="จำนวน6.17_10" localSheetId="3">#REF!</definedName>
    <definedName name="จำนวน6.17_10" localSheetId="4">#REF!</definedName>
    <definedName name="จำนวน6.17_10" localSheetId="71">#REF!</definedName>
    <definedName name="จำนวน6.17_10" localSheetId="2">#REF!</definedName>
    <definedName name="จำนวน6.17_10">#REF!</definedName>
    <definedName name="จำนวน6.17_11" localSheetId="3">#REF!</definedName>
    <definedName name="จำนวน6.17_11" localSheetId="4">#REF!</definedName>
    <definedName name="จำนวน6.17_11" localSheetId="71">#REF!</definedName>
    <definedName name="จำนวน6.17_11" localSheetId="2">#REF!</definedName>
    <definedName name="จำนวน6.17_11">#REF!</definedName>
    <definedName name="จำนวน6.17_12" localSheetId="3">#REF!</definedName>
    <definedName name="จำนวน6.17_12" localSheetId="4">#REF!</definedName>
    <definedName name="จำนวน6.17_12" localSheetId="71">#REF!</definedName>
    <definedName name="จำนวน6.17_12" localSheetId="2">#REF!</definedName>
    <definedName name="จำนวน6.17_12">#REF!</definedName>
    <definedName name="จำนวน6.17_2" localSheetId="3">#REF!</definedName>
    <definedName name="จำนวน6.17_2" localSheetId="4">#REF!</definedName>
    <definedName name="จำนวน6.17_2" localSheetId="71">#REF!</definedName>
    <definedName name="จำนวน6.17_2" localSheetId="2">#REF!</definedName>
    <definedName name="จำนวน6.17_2">#REF!</definedName>
    <definedName name="จำนวน6.17_3" localSheetId="3">#REF!</definedName>
    <definedName name="จำนวน6.17_3" localSheetId="4">#REF!</definedName>
    <definedName name="จำนวน6.17_3" localSheetId="71">#REF!</definedName>
    <definedName name="จำนวน6.17_3" localSheetId="2">#REF!</definedName>
    <definedName name="จำนวน6.17_3">#REF!</definedName>
    <definedName name="จำนวน6.17_4" localSheetId="3">#REF!</definedName>
    <definedName name="จำนวน6.17_4" localSheetId="4">#REF!</definedName>
    <definedName name="จำนวน6.17_4" localSheetId="71">#REF!</definedName>
    <definedName name="จำนวน6.17_4" localSheetId="2">#REF!</definedName>
    <definedName name="จำนวน6.17_4">#REF!</definedName>
    <definedName name="จำนวน6.17_5" localSheetId="3">#REF!</definedName>
    <definedName name="จำนวน6.17_5" localSheetId="4">#REF!</definedName>
    <definedName name="จำนวน6.17_5" localSheetId="71">#REF!</definedName>
    <definedName name="จำนวน6.17_5" localSheetId="2">#REF!</definedName>
    <definedName name="จำนวน6.17_5">#REF!</definedName>
    <definedName name="จำนวน6.17_6" localSheetId="3">#REF!</definedName>
    <definedName name="จำนวน6.17_6" localSheetId="4">#REF!</definedName>
    <definedName name="จำนวน6.17_6" localSheetId="71">#REF!</definedName>
    <definedName name="จำนวน6.17_6" localSheetId="2">#REF!</definedName>
    <definedName name="จำนวน6.17_6">#REF!</definedName>
    <definedName name="จำนวน6.17_7" localSheetId="3">#REF!</definedName>
    <definedName name="จำนวน6.17_7" localSheetId="4">#REF!</definedName>
    <definedName name="จำนวน6.17_7" localSheetId="71">#REF!</definedName>
    <definedName name="จำนวน6.17_7" localSheetId="2">#REF!</definedName>
    <definedName name="จำนวน6.17_7">#REF!</definedName>
    <definedName name="จำนวน6.17_8" localSheetId="3">#REF!</definedName>
    <definedName name="จำนวน6.17_8" localSheetId="4">#REF!</definedName>
    <definedName name="จำนวน6.17_8" localSheetId="71">#REF!</definedName>
    <definedName name="จำนวน6.17_8" localSheetId="2">#REF!</definedName>
    <definedName name="จำนวน6.17_8">#REF!</definedName>
    <definedName name="จำนวน6.17_9" localSheetId="3">#REF!</definedName>
    <definedName name="จำนวน6.17_9" localSheetId="4">#REF!</definedName>
    <definedName name="จำนวน6.17_9" localSheetId="71">#REF!</definedName>
    <definedName name="จำนวน6.17_9" localSheetId="2">#REF!</definedName>
    <definedName name="จำนวน6.17_9">#REF!</definedName>
    <definedName name="จำนวน6.18_1.1" localSheetId="3">#REF!</definedName>
    <definedName name="จำนวน6.18_1.1" localSheetId="4">#REF!</definedName>
    <definedName name="จำนวน6.18_1.1" localSheetId="71">#REF!</definedName>
    <definedName name="จำนวน6.18_1.1" localSheetId="2">#REF!</definedName>
    <definedName name="จำนวน6.18_1.1">#REF!</definedName>
    <definedName name="จำนวน6.18_1.2" localSheetId="3">#REF!</definedName>
    <definedName name="จำนวน6.18_1.2" localSheetId="4">#REF!</definedName>
    <definedName name="จำนวน6.18_1.2" localSheetId="71">#REF!</definedName>
    <definedName name="จำนวน6.18_1.2" localSheetId="2">#REF!</definedName>
    <definedName name="จำนวน6.18_1.2">#REF!</definedName>
    <definedName name="จำนวน6.18_1.3" localSheetId="3">#REF!</definedName>
    <definedName name="จำนวน6.18_1.3" localSheetId="4">#REF!</definedName>
    <definedName name="จำนวน6.18_1.3" localSheetId="71">#REF!</definedName>
    <definedName name="จำนวน6.18_1.3" localSheetId="2">#REF!</definedName>
    <definedName name="จำนวน6.18_1.3">#REF!</definedName>
    <definedName name="จำนวน6.18_2" localSheetId="3">#REF!</definedName>
    <definedName name="จำนวน6.18_2" localSheetId="4">#REF!</definedName>
    <definedName name="จำนวน6.18_2" localSheetId="71">#REF!</definedName>
    <definedName name="จำนวน6.18_2" localSheetId="2">#REF!</definedName>
    <definedName name="จำนวน6.18_2">#REF!</definedName>
    <definedName name="จำนวน6.18_3" localSheetId="3">#REF!</definedName>
    <definedName name="จำนวน6.18_3" localSheetId="4">#REF!</definedName>
    <definedName name="จำนวน6.18_3" localSheetId="71">#REF!</definedName>
    <definedName name="จำนวน6.18_3" localSheetId="2">#REF!</definedName>
    <definedName name="จำนวน6.18_3">#REF!</definedName>
    <definedName name="จำนวน6.18_4.1" localSheetId="3">#REF!</definedName>
    <definedName name="จำนวน6.18_4.1" localSheetId="4">#REF!</definedName>
    <definedName name="จำนวน6.18_4.1" localSheetId="71">#REF!</definedName>
    <definedName name="จำนวน6.18_4.1" localSheetId="2">#REF!</definedName>
    <definedName name="จำนวน6.18_4.1">#REF!</definedName>
    <definedName name="จำนวน6.18_4.2" localSheetId="3">#REF!</definedName>
    <definedName name="จำนวน6.18_4.2" localSheetId="4">#REF!</definedName>
    <definedName name="จำนวน6.18_4.2" localSheetId="71">#REF!</definedName>
    <definedName name="จำนวน6.18_4.2" localSheetId="2">#REF!</definedName>
    <definedName name="จำนวน6.18_4.2">#REF!</definedName>
    <definedName name="จำนวน6.18_4.3" localSheetId="3">#REF!</definedName>
    <definedName name="จำนวน6.18_4.3" localSheetId="4">#REF!</definedName>
    <definedName name="จำนวน6.18_4.3" localSheetId="71">#REF!</definedName>
    <definedName name="จำนวน6.18_4.3" localSheetId="2">#REF!</definedName>
    <definedName name="จำนวน6.18_4.3">#REF!</definedName>
    <definedName name="จำนวน6.18_5" localSheetId="3">#REF!</definedName>
    <definedName name="จำนวน6.18_5" localSheetId="4">#REF!</definedName>
    <definedName name="จำนวน6.18_5" localSheetId="71">#REF!</definedName>
    <definedName name="จำนวน6.18_5" localSheetId="2">#REF!</definedName>
    <definedName name="จำนวน6.18_5">#REF!</definedName>
    <definedName name="จำนวน6.19_1" localSheetId="3">#REF!</definedName>
    <definedName name="จำนวน6.19_1" localSheetId="4">#REF!</definedName>
    <definedName name="จำนวน6.19_1" localSheetId="71">#REF!</definedName>
    <definedName name="จำนวน6.19_1" localSheetId="2">#REF!</definedName>
    <definedName name="จำนวน6.19_1">#REF!</definedName>
    <definedName name="จำนวน6.19_2" localSheetId="3">#REF!</definedName>
    <definedName name="จำนวน6.19_2" localSheetId="4">#REF!</definedName>
    <definedName name="จำนวน6.19_2" localSheetId="71">#REF!</definedName>
    <definedName name="จำนวน6.19_2" localSheetId="2">#REF!</definedName>
    <definedName name="จำนวน6.19_2">#REF!</definedName>
    <definedName name="จำนวน6.19_3" localSheetId="3">#REF!</definedName>
    <definedName name="จำนวน6.19_3" localSheetId="4">#REF!</definedName>
    <definedName name="จำนวน6.19_3" localSheetId="71">#REF!</definedName>
    <definedName name="จำนวน6.19_3" localSheetId="2">#REF!</definedName>
    <definedName name="จำนวน6.19_3">#REF!</definedName>
    <definedName name="จำนวน6.19_4" localSheetId="3">#REF!</definedName>
    <definedName name="จำนวน6.19_4" localSheetId="4">#REF!</definedName>
    <definedName name="จำนวน6.19_4" localSheetId="71">#REF!</definedName>
    <definedName name="จำนวน6.19_4" localSheetId="2">#REF!</definedName>
    <definedName name="จำนวน6.19_4">#REF!</definedName>
    <definedName name="จำนวน6.2_1" localSheetId="3">#REF!</definedName>
    <definedName name="จำนวน6.2_1" localSheetId="4">#REF!</definedName>
    <definedName name="จำนวน6.2_1" localSheetId="71">#REF!</definedName>
    <definedName name="จำนวน6.2_1" localSheetId="2">#REF!</definedName>
    <definedName name="จำนวน6.2_1">#REF!</definedName>
    <definedName name="จำนวน6.2_2" localSheetId="3">#REF!</definedName>
    <definedName name="จำนวน6.2_2" localSheetId="4">#REF!</definedName>
    <definedName name="จำนวน6.2_2" localSheetId="71">#REF!</definedName>
    <definedName name="จำนวน6.2_2" localSheetId="2">#REF!</definedName>
    <definedName name="จำนวน6.2_2">#REF!</definedName>
    <definedName name="จำนวน6.3_1.1" localSheetId="3">#REF!</definedName>
    <definedName name="จำนวน6.3_1.1" localSheetId="4">#REF!</definedName>
    <definedName name="จำนวน6.3_1.1" localSheetId="71">#REF!</definedName>
    <definedName name="จำนวน6.3_1.1" localSheetId="2">#REF!</definedName>
    <definedName name="จำนวน6.3_1.1">#REF!</definedName>
    <definedName name="จำนวน6.3_1.2" localSheetId="3">#REF!</definedName>
    <definedName name="จำนวน6.3_1.2" localSheetId="4">#REF!</definedName>
    <definedName name="จำนวน6.3_1.2" localSheetId="71">#REF!</definedName>
    <definedName name="จำนวน6.3_1.2" localSheetId="2">#REF!</definedName>
    <definedName name="จำนวน6.3_1.2">#REF!</definedName>
    <definedName name="จำนวน6.3_1.3" localSheetId="3">#REF!</definedName>
    <definedName name="จำนวน6.3_1.3" localSheetId="4">#REF!</definedName>
    <definedName name="จำนวน6.3_1.3" localSheetId="71">#REF!</definedName>
    <definedName name="จำนวน6.3_1.3" localSheetId="2">#REF!</definedName>
    <definedName name="จำนวน6.3_1.3">#REF!</definedName>
    <definedName name="จำนวน6.3_1.4" localSheetId="3">#REF!</definedName>
    <definedName name="จำนวน6.3_1.4" localSheetId="4">#REF!</definedName>
    <definedName name="จำนวน6.3_1.4" localSheetId="71">#REF!</definedName>
    <definedName name="จำนวน6.3_1.4" localSheetId="2">#REF!</definedName>
    <definedName name="จำนวน6.3_1.4">#REF!</definedName>
    <definedName name="จำนวน6.3_1.5" localSheetId="3">#REF!</definedName>
    <definedName name="จำนวน6.3_1.5" localSheetId="4">#REF!</definedName>
    <definedName name="จำนวน6.3_1.5" localSheetId="71">#REF!</definedName>
    <definedName name="จำนวน6.3_1.5" localSheetId="2">#REF!</definedName>
    <definedName name="จำนวน6.3_1.5">#REF!</definedName>
    <definedName name="จำนวน6.3_1.6" localSheetId="3">#REF!</definedName>
    <definedName name="จำนวน6.3_1.6" localSheetId="4">#REF!</definedName>
    <definedName name="จำนวน6.3_1.6" localSheetId="71">#REF!</definedName>
    <definedName name="จำนวน6.3_1.6" localSheetId="2">#REF!</definedName>
    <definedName name="จำนวน6.3_1.6">#REF!</definedName>
    <definedName name="จำนวน6.3_1.7" localSheetId="3">#REF!</definedName>
    <definedName name="จำนวน6.3_1.7" localSheetId="4">#REF!</definedName>
    <definedName name="จำนวน6.3_1.7" localSheetId="71">#REF!</definedName>
    <definedName name="จำนวน6.3_1.7" localSheetId="2">#REF!</definedName>
    <definedName name="จำนวน6.3_1.7">#REF!</definedName>
    <definedName name="จำนวน6.3_10" localSheetId="3">#REF!</definedName>
    <definedName name="จำนวน6.3_10" localSheetId="4">#REF!</definedName>
    <definedName name="จำนวน6.3_10" localSheetId="71">#REF!</definedName>
    <definedName name="จำนวน6.3_10" localSheetId="2">#REF!</definedName>
    <definedName name="จำนวน6.3_10">#REF!</definedName>
    <definedName name="จำนวน6.3_11" localSheetId="3">#REF!</definedName>
    <definedName name="จำนวน6.3_11" localSheetId="4">#REF!</definedName>
    <definedName name="จำนวน6.3_11" localSheetId="71">#REF!</definedName>
    <definedName name="จำนวน6.3_11" localSheetId="2">#REF!</definedName>
    <definedName name="จำนวน6.3_11">#REF!</definedName>
    <definedName name="จำนวน6.3_12.1" localSheetId="3">#REF!</definedName>
    <definedName name="จำนวน6.3_12.1" localSheetId="4">#REF!</definedName>
    <definedName name="จำนวน6.3_12.1" localSheetId="71">#REF!</definedName>
    <definedName name="จำนวน6.3_12.1" localSheetId="2">#REF!</definedName>
    <definedName name="จำนวน6.3_12.1">#REF!</definedName>
    <definedName name="จำนวน6.3_12.2" localSheetId="3">#REF!</definedName>
    <definedName name="จำนวน6.3_12.2" localSheetId="4">#REF!</definedName>
    <definedName name="จำนวน6.3_12.2" localSheetId="71">#REF!</definedName>
    <definedName name="จำนวน6.3_12.2" localSheetId="2">#REF!</definedName>
    <definedName name="จำนวน6.3_12.2">#REF!</definedName>
    <definedName name="จำนวน6.3_12.3" localSheetId="3">#REF!</definedName>
    <definedName name="จำนวน6.3_12.3" localSheetId="4">#REF!</definedName>
    <definedName name="จำนวน6.3_12.3" localSheetId="71">#REF!</definedName>
    <definedName name="จำนวน6.3_12.3" localSheetId="2">#REF!</definedName>
    <definedName name="จำนวน6.3_12.3">#REF!</definedName>
    <definedName name="จำนวน6.3_13.1" localSheetId="3">#REF!</definedName>
    <definedName name="จำนวน6.3_13.1" localSheetId="4">#REF!</definedName>
    <definedName name="จำนวน6.3_13.1" localSheetId="71">#REF!</definedName>
    <definedName name="จำนวน6.3_13.1" localSheetId="2">#REF!</definedName>
    <definedName name="จำนวน6.3_13.1">#REF!</definedName>
    <definedName name="จำนวน6.3_13.2" localSheetId="3">#REF!</definedName>
    <definedName name="จำนวน6.3_13.2" localSheetId="4">#REF!</definedName>
    <definedName name="จำนวน6.3_13.2" localSheetId="71">#REF!</definedName>
    <definedName name="จำนวน6.3_13.2" localSheetId="2">#REF!</definedName>
    <definedName name="จำนวน6.3_13.2">#REF!</definedName>
    <definedName name="จำนวน6.3_14.1" localSheetId="3">#REF!</definedName>
    <definedName name="จำนวน6.3_14.1" localSheetId="4">#REF!</definedName>
    <definedName name="จำนวน6.3_14.1" localSheetId="71">#REF!</definedName>
    <definedName name="จำนวน6.3_14.1" localSheetId="2">#REF!</definedName>
    <definedName name="จำนวน6.3_14.1">#REF!</definedName>
    <definedName name="จำนวน6.3_14.2" localSheetId="3">#REF!</definedName>
    <definedName name="จำนวน6.3_14.2" localSheetId="4">#REF!</definedName>
    <definedName name="จำนวน6.3_14.2" localSheetId="71">#REF!</definedName>
    <definedName name="จำนวน6.3_14.2" localSheetId="2">#REF!</definedName>
    <definedName name="จำนวน6.3_14.2">#REF!</definedName>
    <definedName name="จำนวน6.3_14.3" localSheetId="3">#REF!</definedName>
    <definedName name="จำนวน6.3_14.3" localSheetId="4">#REF!</definedName>
    <definedName name="จำนวน6.3_14.3" localSheetId="71">#REF!</definedName>
    <definedName name="จำนวน6.3_14.3" localSheetId="2">#REF!</definedName>
    <definedName name="จำนวน6.3_14.3">#REF!</definedName>
    <definedName name="จำนวน6.3_14.4.1" localSheetId="3">#REF!</definedName>
    <definedName name="จำนวน6.3_14.4.1" localSheetId="4">#REF!</definedName>
    <definedName name="จำนวน6.3_14.4.1" localSheetId="71">#REF!</definedName>
    <definedName name="จำนวน6.3_14.4.1" localSheetId="2">#REF!</definedName>
    <definedName name="จำนวน6.3_14.4.1">#REF!</definedName>
    <definedName name="จำนวน6.3_14.5.1" localSheetId="3">#REF!</definedName>
    <definedName name="จำนวน6.3_14.5.1" localSheetId="4">#REF!</definedName>
    <definedName name="จำนวน6.3_14.5.1" localSheetId="71">#REF!</definedName>
    <definedName name="จำนวน6.3_14.5.1" localSheetId="2">#REF!</definedName>
    <definedName name="จำนวน6.3_14.5.1">#REF!</definedName>
    <definedName name="จำนวน6.3_14.5.2" localSheetId="3">#REF!</definedName>
    <definedName name="จำนวน6.3_14.5.2" localSheetId="4">#REF!</definedName>
    <definedName name="จำนวน6.3_14.5.2" localSheetId="71">#REF!</definedName>
    <definedName name="จำนวน6.3_14.5.2" localSheetId="2">#REF!</definedName>
    <definedName name="จำนวน6.3_14.5.2">#REF!</definedName>
    <definedName name="จำนวน6.3_14.5.3" localSheetId="3">#REF!</definedName>
    <definedName name="จำนวน6.3_14.5.3" localSheetId="4">#REF!</definedName>
    <definedName name="จำนวน6.3_14.5.3" localSheetId="71">#REF!</definedName>
    <definedName name="จำนวน6.3_14.5.3" localSheetId="2">#REF!</definedName>
    <definedName name="จำนวน6.3_14.5.3">#REF!</definedName>
    <definedName name="จำนวน6.3_2" localSheetId="3">#REF!</definedName>
    <definedName name="จำนวน6.3_2" localSheetId="4">#REF!</definedName>
    <definedName name="จำนวน6.3_2" localSheetId="71">#REF!</definedName>
    <definedName name="จำนวน6.3_2" localSheetId="2">#REF!</definedName>
    <definedName name="จำนวน6.3_2">#REF!</definedName>
    <definedName name="จำนวน6.3_3.1" localSheetId="3">#REF!</definedName>
    <definedName name="จำนวน6.3_3.1" localSheetId="4">#REF!</definedName>
    <definedName name="จำนวน6.3_3.1" localSheetId="71">#REF!</definedName>
    <definedName name="จำนวน6.3_3.1" localSheetId="2">#REF!</definedName>
    <definedName name="จำนวน6.3_3.1">#REF!</definedName>
    <definedName name="จำนวน6.3_3.2" localSheetId="3">#REF!</definedName>
    <definedName name="จำนวน6.3_3.2" localSheetId="4">#REF!</definedName>
    <definedName name="จำนวน6.3_3.2" localSheetId="71">#REF!</definedName>
    <definedName name="จำนวน6.3_3.2" localSheetId="2">#REF!</definedName>
    <definedName name="จำนวน6.3_3.2">#REF!</definedName>
    <definedName name="จำนวน6.3_4" localSheetId="3">#REF!</definedName>
    <definedName name="จำนวน6.3_4" localSheetId="4">#REF!</definedName>
    <definedName name="จำนวน6.3_4" localSheetId="71">#REF!</definedName>
    <definedName name="จำนวน6.3_4" localSheetId="2">#REF!</definedName>
    <definedName name="จำนวน6.3_4">#REF!</definedName>
    <definedName name="จำนวน6.3_5.1" localSheetId="3">#REF!</definedName>
    <definedName name="จำนวน6.3_5.1" localSheetId="4">#REF!</definedName>
    <definedName name="จำนวน6.3_5.1" localSheetId="71">#REF!</definedName>
    <definedName name="จำนวน6.3_5.1" localSheetId="2">#REF!</definedName>
    <definedName name="จำนวน6.3_5.1">#REF!</definedName>
    <definedName name="จำนวน6.3_5.2" localSheetId="3">#REF!</definedName>
    <definedName name="จำนวน6.3_5.2" localSheetId="4">#REF!</definedName>
    <definedName name="จำนวน6.3_5.2" localSheetId="71">#REF!</definedName>
    <definedName name="จำนวน6.3_5.2" localSheetId="2">#REF!</definedName>
    <definedName name="จำนวน6.3_5.2">#REF!</definedName>
    <definedName name="จำนวน6.3_6.1.1" localSheetId="3">#REF!</definedName>
    <definedName name="จำนวน6.3_6.1.1" localSheetId="4">#REF!</definedName>
    <definedName name="จำนวน6.3_6.1.1" localSheetId="71">#REF!</definedName>
    <definedName name="จำนวน6.3_6.1.1" localSheetId="2">#REF!</definedName>
    <definedName name="จำนวน6.3_6.1.1">#REF!</definedName>
    <definedName name="จำนวน6.3_6.2.1" localSheetId="3">#REF!</definedName>
    <definedName name="จำนวน6.3_6.2.1" localSheetId="4">#REF!</definedName>
    <definedName name="จำนวน6.3_6.2.1" localSheetId="71">#REF!</definedName>
    <definedName name="จำนวน6.3_6.2.1" localSheetId="2">#REF!</definedName>
    <definedName name="จำนวน6.3_6.2.1">#REF!</definedName>
    <definedName name="จำนวน6.3_7" localSheetId="3">#REF!</definedName>
    <definedName name="จำนวน6.3_7" localSheetId="4">#REF!</definedName>
    <definedName name="จำนวน6.3_7" localSheetId="71">#REF!</definedName>
    <definedName name="จำนวน6.3_7" localSheetId="2">#REF!</definedName>
    <definedName name="จำนวน6.3_7">#REF!</definedName>
    <definedName name="จำนวน6.3_8.1" localSheetId="3">#REF!</definedName>
    <definedName name="จำนวน6.3_8.1" localSheetId="4">#REF!</definedName>
    <definedName name="จำนวน6.3_8.1" localSheetId="71">#REF!</definedName>
    <definedName name="จำนวน6.3_8.1" localSheetId="2">#REF!</definedName>
    <definedName name="จำนวน6.3_8.1">#REF!</definedName>
    <definedName name="จำนวน6.3_8.2" localSheetId="3">#REF!</definedName>
    <definedName name="จำนวน6.3_8.2" localSheetId="4">#REF!</definedName>
    <definedName name="จำนวน6.3_8.2" localSheetId="71">#REF!</definedName>
    <definedName name="จำนวน6.3_8.2" localSheetId="2">#REF!</definedName>
    <definedName name="จำนวน6.3_8.2">#REF!</definedName>
    <definedName name="จำนวน6.3_8.3" localSheetId="3">#REF!</definedName>
    <definedName name="จำนวน6.3_8.3" localSheetId="4">#REF!</definedName>
    <definedName name="จำนวน6.3_8.3" localSheetId="71">#REF!</definedName>
    <definedName name="จำนวน6.3_8.3" localSheetId="2">#REF!</definedName>
    <definedName name="จำนวน6.3_8.3">#REF!</definedName>
    <definedName name="จำนวน6.3_9" localSheetId="3">#REF!</definedName>
    <definedName name="จำนวน6.3_9" localSheetId="4">#REF!</definedName>
    <definedName name="จำนวน6.3_9" localSheetId="71">#REF!</definedName>
    <definedName name="จำนวน6.3_9" localSheetId="2">#REF!</definedName>
    <definedName name="จำนวน6.3_9">#REF!</definedName>
    <definedName name="จำนวน6.4_1" localSheetId="3">#REF!</definedName>
    <definedName name="จำนวน6.4_1" localSheetId="4">#REF!</definedName>
    <definedName name="จำนวน6.4_1" localSheetId="71">#REF!</definedName>
    <definedName name="จำนวน6.4_1" localSheetId="2">#REF!</definedName>
    <definedName name="จำนวน6.4_1">#REF!</definedName>
    <definedName name="จำนวน6.4_2" localSheetId="3">#REF!</definedName>
    <definedName name="จำนวน6.4_2" localSheetId="4">#REF!</definedName>
    <definedName name="จำนวน6.4_2" localSheetId="71">#REF!</definedName>
    <definedName name="จำนวน6.4_2" localSheetId="2">#REF!</definedName>
    <definedName name="จำนวน6.4_2">#REF!</definedName>
    <definedName name="จำนวน6.4_3" localSheetId="3">#REF!</definedName>
    <definedName name="จำนวน6.4_3" localSheetId="4">#REF!</definedName>
    <definedName name="จำนวน6.4_3" localSheetId="71">#REF!</definedName>
    <definedName name="จำนวน6.4_3" localSheetId="2">#REF!</definedName>
    <definedName name="จำนวน6.4_3">#REF!</definedName>
    <definedName name="จำนวน6.4_4" localSheetId="3">#REF!</definedName>
    <definedName name="จำนวน6.4_4" localSheetId="4">#REF!</definedName>
    <definedName name="จำนวน6.4_4" localSheetId="71">#REF!</definedName>
    <definedName name="จำนวน6.4_4" localSheetId="2">#REF!</definedName>
    <definedName name="จำนวน6.4_4">#REF!</definedName>
    <definedName name="จำนวน6.4_5.1" localSheetId="3">#REF!</definedName>
    <definedName name="จำนวน6.4_5.1" localSheetId="4">#REF!</definedName>
    <definedName name="จำนวน6.4_5.1" localSheetId="71">#REF!</definedName>
    <definedName name="จำนวน6.4_5.1" localSheetId="2">#REF!</definedName>
    <definedName name="จำนวน6.4_5.1">#REF!</definedName>
    <definedName name="จำนวน6.4_5.2" localSheetId="3">#REF!</definedName>
    <definedName name="จำนวน6.4_5.2" localSheetId="4">#REF!</definedName>
    <definedName name="จำนวน6.4_5.2" localSheetId="71">#REF!</definedName>
    <definedName name="จำนวน6.4_5.2" localSheetId="2">#REF!</definedName>
    <definedName name="จำนวน6.4_5.2">#REF!</definedName>
    <definedName name="จำนวน6.4_5.3" localSheetId="3">#REF!</definedName>
    <definedName name="จำนวน6.4_5.3" localSheetId="4">#REF!</definedName>
    <definedName name="จำนวน6.4_5.3" localSheetId="71">#REF!</definedName>
    <definedName name="จำนวน6.4_5.3" localSheetId="2">#REF!</definedName>
    <definedName name="จำนวน6.4_5.3">#REF!</definedName>
    <definedName name="จำนวน6.4_5.4" localSheetId="3">#REF!</definedName>
    <definedName name="จำนวน6.4_5.4" localSheetId="4">#REF!</definedName>
    <definedName name="จำนวน6.4_5.4" localSheetId="71">#REF!</definedName>
    <definedName name="จำนวน6.4_5.4" localSheetId="2">#REF!</definedName>
    <definedName name="จำนวน6.4_5.4">#REF!</definedName>
    <definedName name="จำนวน6.4_6.1" localSheetId="3">#REF!</definedName>
    <definedName name="จำนวน6.4_6.1" localSheetId="4">#REF!</definedName>
    <definedName name="จำนวน6.4_6.1" localSheetId="71">#REF!</definedName>
    <definedName name="จำนวน6.4_6.1" localSheetId="2">#REF!</definedName>
    <definedName name="จำนวน6.4_6.1">#REF!</definedName>
    <definedName name="จำนวน6.4_6.2" localSheetId="3">#REF!</definedName>
    <definedName name="จำนวน6.4_6.2" localSheetId="4">#REF!</definedName>
    <definedName name="จำนวน6.4_6.2" localSheetId="71">#REF!</definedName>
    <definedName name="จำนวน6.4_6.2" localSheetId="2">#REF!</definedName>
    <definedName name="จำนวน6.4_6.2">#REF!</definedName>
    <definedName name="จำนวน6.4_6.3" localSheetId="3">#REF!</definedName>
    <definedName name="จำนวน6.4_6.3" localSheetId="4">#REF!</definedName>
    <definedName name="จำนวน6.4_6.3" localSheetId="71">#REF!</definedName>
    <definedName name="จำนวน6.4_6.3" localSheetId="2">#REF!</definedName>
    <definedName name="จำนวน6.4_6.3">#REF!</definedName>
    <definedName name="จำนวน6.4_6.4" localSheetId="3">#REF!</definedName>
    <definedName name="จำนวน6.4_6.4" localSheetId="4">#REF!</definedName>
    <definedName name="จำนวน6.4_6.4" localSheetId="71">#REF!</definedName>
    <definedName name="จำนวน6.4_6.4" localSheetId="2">#REF!</definedName>
    <definedName name="จำนวน6.4_6.4">#REF!</definedName>
    <definedName name="จำนวน6.4_6.5" localSheetId="3">#REF!</definedName>
    <definedName name="จำนวน6.4_6.5" localSheetId="4">#REF!</definedName>
    <definedName name="จำนวน6.4_6.5" localSheetId="71">#REF!</definedName>
    <definedName name="จำนวน6.4_6.5" localSheetId="2">#REF!</definedName>
    <definedName name="จำนวน6.4_6.5">#REF!</definedName>
    <definedName name="จำนวน6.5_1" localSheetId="3">#REF!</definedName>
    <definedName name="จำนวน6.5_1" localSheetId="4">#REF!</definedName>
    <definedName name="จำนวน6.5_1" localSheetId="71">#REF!</definedName>
    <definedName name="จำนวน6.5_1" localSheetId="2">#REF!</definedName>
    <definedName name="จำนวน6.5_1">#REF!</definedName>
    <definedName name="จำนวน6.5_2" localSheetId="3">#REF!</definedName>
    <definedName name="จำนวน6.5_2" localSheetId="4">#REF!</definedName>
    <definedName name="จำนวน6.5_2" localSheetId="71">#REF!</definedName>
    <definedName name="จำนวน6.5_2" localSheetId="2">#REF!</definedName>
    <definedName name="จำนวน6.5_2">#REF!</definedName>
    <definedName name="จำนวน6.6_1" localSheetId="3">#REF!</definedName>
    <definedName name="จำนวน6.6_1" localSheetId="4">#REF!</definedName>
    <definedName name="จำนวน6.6_1" localSheetId="71">#REF!</definedName>
    <definedName name="จำนวน6.6_1" localSheetId="2">#REF!</definedName>
    <definedName name="จำนวน6.6_1">#REF!</definedName>
    <definedName name="จำนวน6.6_2" localSheetId="3">#REF!</definedName>
    <definedName name="จำนวน6.6_2" localSheetId="4">#REF!</definedName>
    <definedName name="จำนวน6.6_2" localSheetId="71">#REF!</definedName>
    <definedName name="จำนวน6.6_2" localSheetId="2">#REF!</definedName>
    <definedName name="จำนวน6.6_2">#REF!</definedName>
    <definedName name="จำนวน6.7_1" localSheetId="3">#REF!</definedName>
    <definedName name="จำนวน6.7_1" localSheetId="4">#REF!</definedName>
    <definedName name="จำนวน6.7_1" localSheetId="71">#REF!</definedName>
    <definedName name="จำนวน6.7_1" localSheetId="2">#REF!</definedName>
    <definedName name="จำนวน6.7_1">#REF!</definedName>
    <definedName name="จำนวน6.7_2" localSheetId="3">#REF!</definedName>
    <definedName name="จำนวน6.7_2" localSheetId="4">#REF!</definedName>
    <definedName name="จำนวน6.7_2" localSheetId="71">#REF!</definedName>
    <definedName name="จำนวน6.7_2" localSheetId="2">#REF!</definedName>
    <definedName name="จำนวน6.7_2">#REF!</definedName>
    <definedName name="จำนวน6.8_1.1" localSheetId="3">#REF!</definedName>
    <definedName name="จำนวน6.8_1.1" localSheetId="4">#REF!</definedName>
    <definedName name="จำนวน6.8_1.1" localSheetId="71">#REF!</definedName>
    <definedName name="จำนวน6.8_1.1" localSheetId="2">#REF!</definedName>
    <definedName name="จำนวน6.8_1.1">#REF!</definedName>
    <definedName name="จำนวน6.8_1.2" localSheetId="3">#REF!</definedName>
    <definedName name="จำนวน6.8_1.2" localSheetId="4">#REF!</definedName>
    <definedName name="จำนวน6.8_1.2" localSheetId="71">#REF!</definedName>
    <definedName name="จำนวน6.8_1.2" localSheetId="2">#REF!</definedName>
    <definedName name="จำนวน6.8_1.2">#REF!</definedName>
    <definedName name="จำนวน6.8_2" localSheetId="3">#REF!</definedName>
    <definedName name="จำนวน6.8_2" localSheetId="4">#REF!</definedName>
    <definedName name="จำนวน6.8_2" localSheetId="71">#REF!</definedName>
    <definedName name="จำนวน6.8_2" localSheetId="2">#REF!</definedName>
    <definedName name="จำนวน6.8_2">#REF!</definedName>
    <definedName name="จำนวน6.8_3" localSheetId="3">#REF!</definedName>
    <definedName name="จำนวน6.8_3" localSheetId="4">#REF!</definedName>
    <definedName name="จำนวน6.8_3" localSheetId="71">#REF!</definedName>
    <definedName name="จำนวน6.8_3" localSheetId="2">#REF!</definedName>
    <definedName name="จำนวน6.8_3">#REF!</definedName>
    <definedName name="จำนวน6.9_1" localSheetId="3">#REF!</definedName>
    <definedName name="จำนวน6.9_1" localSheetId="4">#REF!</definedName>
    <definedName name="จำนวน6.9_1" localSheetId="71">#REF!</definedName>
    <definedName name="จำนวน6.9_1" localSheetId="2">#REF!</definedName>
    <definedName name="จำนวน6.9_1">#REF!</definedName>
    <definedName name="จำนวน6.9_2" localSheetId="3">#REF!</definedName>
    <definedName name="จำนวน6.9_2" localSheetId="4">#REF!</definedName>
    <definedName name="จำนวน6.9_2" localSheetId="71">#REF!</definedName>
    <definedName name="จำนวน6.9_2" localSheetId="2">#REF!</definedName>
    <definedName name="จำนวน6.9_2">#REF!</definedName>
    <definedName name="ชื่อโครงการ" localSheetId="69">[43]ราคาคอนกรีตต่อหน่วย!$A$2</definedName>
    <definedName name="ชื่อโครงการ">[44]ราคาคอนกรีตต่อหน่วย!$A$2</definedName>
    <definedName name="ดด" localSheetId="3">#REF!</definedName>
    <definedName name="ดด" localSheetId="71">#REF!</definedName>
    <definedName name="ดด" localSheetId="69">#REF!</definedName>
    <definedName name="ดด">#REF!</definedName>
    <definedName name="ดาดคอนกรีต" localSheetId="3">#REF!</definedName>
    <definedName name="ดาดคอนกรีต" localSheetId="4">#REF!</definedName>
    <definedName name="ดาดคอนกรีต" localSheetId="5">#REF!</definedName>
    <definedName name="ดาดคอนกรีต" localSheetId="18">#REF!</definedName>
    <definedName name="ดาดคอนกรีต" localSheetId="30">#REF!</definedName>
    <definedName name="ดาดคอนกรีต" localSheetId="56">#REF!</definedName>
    <definedName name="ดาดคอนกรีต" localSheetId="43">#REF!</definedName>
    <definedName name="ดาดคอนกรีต" localSheetId="71">#REF!</definedName>
    <definedName name="ดาดคอนกรีต" localSheetId="69">#REF!</definedName>
    <definedName name="ดาดคอนกรีต" localSheetId="70">#REF!</definedName>
    <definedName name="ดาดคอนกรีต" localSheetId="74">#REF!</definedName>
    <definedName name="ดาดคอนกรีต" localSheetId="2">#REF!</definedName>
    <definedName name="ดาดคอนกรีต">#REF!</definedName>
    <definedName name="ดิน_ขุดตัก" localSheetId="3">#REF!</definedName>
    <definedName name="ดิน_ขุดตัก" localSheetId="4">#REF!</definedName>
    <definedName name="ดิน_ขุดตัก" localSheetId="71">#REF!</definedName>
    <definedName name="ดิน_ขุดตัก" localSheetId="69">#REF!</definedName>
    <definedName name="ดิน_ขุดตัก" localSheetId="70">#REF!</definedName>
    <definedName name="ดิน_ขุดตัก" localSheetId="2">#REF!</definedName>
    <definedName name="ดิน_ขุดตัก">#REF!</definedName>
    <definedName name="ดิน_ดันตัก" localSheetId="3">#REF!</definedName>
    <definedName name="ดิน_ดันตัก" localSheetId="4">#REF!</definedName>
    <definedName name="ดิน_ดันตัก" localSheetId="71">#REF!</definedName>
    <definedName name="ดิน_ดันตัก" localSheetId="69">#REF!</definedName>
    <definedName name="ดิน_ดันตัก" localSheetId="70">#REF!</definedName>
    <definedName name="ดิน_ดันตัก" localSheetId="2">#REF!</definedName>
    <definedName name="ดิน_ดันตัก">#REF!</definedName>
    <definedName name="ดินตัด" localSheetId="3">#REF!</definedName>
    <definedName name="ดินตัด" localSheetId="4">#REF!</definedName>
    <definedName name="ดินตัด" localSheetId="71">#REF!</definedName>
    <definedName name="ดินตัด" localSheetId="2">#REF!</definedName>
    <definedName name="ดินตัด">#REF!</definedName>
    <definedName name="ดินถมไม่รวมขนส่ง" localSheetId="3">#REF!</definedName>
    <definedName name="ดินถมไม่รวมขนส่ง" localSheetId="4">#REF!</definedName>
    <definedName name="ดินถมไม่รวมขนส่ง" localSheetId="71">#REF!</definedName>
    <definedName name="ดินถมไม่รวมขนส่ง" localSheetId="2">#REF!</definedName>
    <definedName name="ดินถมไม่รวมขนส่ง">#REF!</definedName>
    <definedName name="ดินปลูกต้นไม้">[46]ราคาต้นไม้!$H$21</definedName>
    <definedName name="ดินลูกรัง" localSheetId="3">#REF!</definedName>
    <definedName name="ดินลูกรัง" localSheetId="4">#REF!</definedName>
    <definedName name="ดินลูกรัง" localSheetId="5">#REF!</definedName>
    <definedName name="ดินลูกรัง" localSheetId="18">#REF!</definedName>
    <definedName name="ดินลูกรัง" localSheetId="30">#REF!</definedName>
    <definedName name="ดินลูกรัง" localSheetId="56">#REF!</definedName>
    <definedName name="ดินลูกรัง" localSheetId="43">#REF!</definedName>
    <definedName name="ดินลูกรัง" localSheetId="71">#REF!</definedName>
    <definedName name="ดินลูกรัง" localSheetId="69">#REF!</definedName>
    <definedName name="ดินลูกรัง" localSheetId="70">#REF!</definedName>
    <definedName name="ดินลูกรัง" localSheetId="74">#REF!</definedName>
    <definedName name="ดินลูกรัง" localSheetId="2">#REF!</definedName>
    <definedName name="ดินลูกรัง">#REF!</definedName>
    <definedName name="ดินลูกรังไม่รวมขนส่ง" localSheetId="3">#REF!</definedName>
    <definedName name="ดินลูกรังไม่รวมขนส่ง" localSheetId="4">#REF!</definedName>
    <definedName name="ดินลูกรังไม่รวมขนส่ง" localSheetId="71">#REF!</definedName>
    <definedName name="ดินลูกรังไม่รวมขนส่ง" localSheetId="69">#REF!</definedName>
    <definedName name="ดินลูกรังไม่รวมขนส่ง" localSheetId="70">#REF!</definedName>
    <definedName name="ดินลูกรังไม่รวมขนส่ง" localSheetId="2">#REF!</definedName>
    <definedName name="ดินลูกรังไม่รวมขนส่ง">#REF!</definedName>
    <definedName name="ต้น_เข็ม" localSheetId="3">#REF!</definedName>
    <definedName name="ต้น_เข็ม" localSheetId="4">#REF!</definedName>
    <definedName name="ต้น_เข็ม" localSheetId="71">#REF!</definedName>
    <definedName name="ต้น_เข็ม" localSheetId="69">#REF!</definedName>
    <definedName name="ต้น_เข็ม" localSheetId="70">#REF!</definedName>
    <definedName name="ต้น_เข็ม" localSheetId="2">#REF!</definedName>
    <definedName name="ต้น_เข็ม">#REF!</definedName>
    <definedName name="ต้น_เสม็ดขาว" localSheetId="3">#REF!</definedName>
    <definedName name="ต้น_เสม็ดขาว" localSheetId="4">#REF!</definedName>
    <definedName name="ต้น_เสม็ดขาว" localSheetId="71">#REF!</definedName>
    <definedName name="ต้น_เสม็ดขาว" localSheetId="2">#REF!</definedName>
    <definedName name="ต้น_เสม็ดขาว">#REF!</definedName>
    <definedName name="ต้น_โพทะเล" localSheetId="3">#REF!</definedName>
    <definedName name="ต้น_โพทะเล" localSheetId="4">#REF!</definedName>
    <definedName name="ต้น_โพทะเล" localSheetId="71">#REF!</definedName>
    <definedName name="ต้น_โพทะเล" localSheetId="2">#REF!</definedName>
    <definedName name="ต้น_โพทะเล">#REF!</definedName>
    <definedName name="ต้น_ก้ามกุ้งสีทอง" localSheetId="3">#REF!</definedName>
    <definedName name="ต้น_ก้ามกุ้งสีทอง" localSheetId="4">#REF!</definedName>
    <definedName name="ต้น_ก้ามกุ้งสีทอง" localSheetId="71">#REF!</definedName>
    <definedName name="ต้น_ก้ามกุ้งสีทอง" localSheetId="2">#REF!</definedName>
    <definedName name="ต้น_ก้ามกุ้งสีทอง">#REF!</definedName>
    <definedName name="ต้น_จั๋ง" localSheetId="3">#REF!</definedName>
    <definedName name="ต้น_จั๋ง" localSheetId="4">#REF!</definedName>
    <definedName name="ต้น_จั๋ง" localSheetId="71">#REF!</definedName>
    <definedName name="ต้น_จั๋ง" localSheetId="2">#REF!</definedName>
    <definedName name="ต้น_จั๋ง">#REF!</definedName>
    <definedName name="ต้น_ชมพูพันธ์ทิพย์" localSheetId="3">#REF!</definedName>
    <definedName name="ต้น_ชมพูพันธ์ทิพย์" localSheetId="4">#REF!</definedName>
    <definedName name="ต้น_ชมพูพันธ์ทิพย์" localSheetId="71">#REF!</definedName>
    <definedName name="ต้น_ชมพูพันธ์ทิพย์" localSheetId="2">#REF!</definedName>
    <definedName name="ต้น_ชมพูพันธ์ทิพย์">#REF!</definedName>
    <definedName name="ต้น_บานบุรีเหลือง" localSheetId="3">#REF!</definedName>
    <definedName name="ต้น_บานบุรีเหลือง" localSheetId="4">#REF!</definedName>
    <definedName name="ต้น_บานบุรีเหลือง" localSheetId="71">#REF!</definedName>
    <definedName name="ต้น_บานบุรีเหลือง" localSheetId="2">#REF!</definedName>
    <definedName name="ต้น_บานบุรีเหลือง">#REF!</definedName>
    <definedName name="ต้น_มะพร้าว" localSheetId="3">#REF!</definedName>
    <definedName name="ต้น_มะพร้าว" localSheetId="4">#REF!</definedName>
    <definedName name="ต้น_มะพร้าว" localSheetId="71">#REF!</definedName>
    <definedName name="ต้น_มะพร้าว" localSheetId="2">#REF!</definedName>
    <definedName name="ต้น_มะพร้าว">#REF!</definedName>
    <definedName name="ต้น_สังกรณี" localSheetId="3">#REF!</definedName>
    <definedName name="ต้น_สังกรณี" localSheetId="4">#REF!</definedName>
    <definedName name="ต้น_สังกรณี" localSheetId="71">#REF!</definedName>
    <definedName name="ต้น_สังกรณี" localSheetId="2">#REF!</definedName>
    <definedName name="ต้น_สังกรณี">#REF!</definedName>
    <definedName name="ต้น_หมากเขียว" localSheetId="3">#REF!</definedName>
    <definedName name="ต้น_หมากเขียว" localSheetId="4">#REF!</definedName>
    <definedName name="ต้น_หมากเขียว" localSheetId="71">#REF!</definedName>
    <definedName name="ต้น_หมากเขียว" localSheetId="2">#REF!</definedName>
    <definedName name="ต้น_หมากเขียว">#REF!</definedName>
    <definedName name="ต้น_หางนกยูงฝรั่ง" localSheetId="3">#REF!</definedName>
    <definedName name="ต้น_หางนกยูงฝรั่ง" localSheetId="4">#REF!</definedName>
    <definedName name="ต้น_หางนกยูงฝรั่ง" localSheetId="71">#REF!</definedName>
    <definedName name="ต้น_หางนกยูงฝรั่ง" localSheetId="2">#REF!</definedName>
    <definedName name="ต้น_หางนกยูงฝรั่ง">#REF!</definedName>
    <definedName name="ต้น_อะเมซอน" localSheetId="3">#REF!</definedName>
    <definedName name="ต้น_อะเมซอน" localSheetId="4">#REF!</definedName>
    <definedName name="ต้น_อะเมซอน" localSheetId="71">#REF!</definedName>
    <definedName name="ต้น_อะเมซอน" localSheetId="2">#REF!</definedName>
    <definedName name="ต้น_อะเมซอน">#REF!</definedName>
    <definedName name="ต้นลีลาวดีขาว" localSheetId="3">#REF!</definedName>
    <definedName name="ต้นลีลาวดีขาว" localSheetId="4">#REF!</definedName>
    <definedName name="ต้นลีลาวดีขาว" localSheetId="71">#REF!</definedName>
    <definedName name="ต้นลีลาวดีขาว" localSheetId="2">#REF!</definedName>
    <definedName name="ต้นลีลาวดีขาว">#REF!</definedName>
    <definedName name="ต้นลีลาวดีชมพู" localSheetId="3">#REF!</definedName>
    <definedName name="ต้นลีลาวดีชมพู" localSheetId="4">#REF!</definedName>
    <definedName name="ต้นลีลาวดีชมพู" localSheetId="71">#REF!</definedName>
    <definedName name="ต้นลีลาวดีชมพู" localSheetId="2">#REF!</definedName>
    <definedName name="ต้นลีลาวดีชมพู">#REF!</definedName>
    <definedName name="ตะปู" localSheetId="3">#REF!</definedName>
    <definedName name="ตะปู" localSheetId="4">#REF!</definedName>
    <definedName name="ตะปู" localSheetId="71">#REF!</definedName>
    <definedName name="ตะปู" localSheetId="2">#REF!</definedName>
    <definedName name="ตะปู">#REF!</definedName>
    <definedName name="ตะปูไม่รวมขนส่ง" localSheetId="3">#REF!</definedName>
    <definedName name="ตะปูไม่รวมขนส่ง" localSheetId="4">#REF!</definedName>
    <definedName name="ตะปูไม่รวมขนส่ง" localSheetId="71">#REF!</definedName>
    <definedName name="ตะปูไม่รวมขนส่ง" localSheetId="2">#REF!</definedName>
    <definedName name="ตะปูไม่รวมขนส่ง">#REF!</definedName>
    <definedName name="ต่าแรงงานถมดินคันทาง" localSheetId="3">'[8]หมวด 2'!#REF!</definedName>
    <definedName name="ต่าแรงงานถมดินคันทาง" localSheetId="4">'[8]หมวด 2'!#REF!</definedName>
    <definedName name="ต่าแรงงานถมดินคันทาง" localSheetId="71">'[8]หมวด 2'!#REF!</definedName>
    <definedName name="ต่าแรงงานถมดินคันทาง" localSheetId="2">'[8]หมวด 2'!#REF!</definedName>
    <definedName name="ต่าแรงงานถมดินคันทาง">'[8]หมวด 2'!#REF!</definedName>
    <definedName name="ตารางขนส่ง" localSheetId="3">#REF!</definedName>
    <definedName name="ตารางขนส่ง" localSheetId="4">#REF!</definedName>
    <definedName name="ตารางขนส่ง" localSheetId="5">#REF!</definedName>
    <definedName name="ตารางขนส่ง" localSheetId="18">#REF!</definedName>
    <definedName name="ตารางขนส่ง" localSheetId="30">#REF!</definedName>
    <definedName name="ตารางขนส่ง" localSheetId="56">#REF!</definedName>
    <definedName name="ตารางขนส่ง" localSheetId="43">#REF!</definedName>
    <definedName name="ตารางขนส่ง" localSheetId="71">#REF!</definedName>
    <definedName name="ตารางขนส่ง" localSheetId="69">#REF!</definedName>
    <definedName name="ตารางขนส่ง" localSheetId="70">#REF!</definedName>
    <definedName name="ตารางขนส่ง" localSheetId="74">#REF!</definedName>
    <definedName name="ตารางขนส่ง" localSheetId="2">#REF!</definedName>
    <definedName name="ตารางขนส่ง">#REF!</definedName>
    <definedName name="ตารางค่าขนส่งท่อ_คสล" localSheetId="3">#REF!</definedName>
    <definedName name="ตารางค่าขนส่งท่อ_คสล" localSheetId="4">#REF!</definedName>
    <definedName name="ตารางค่าขนส่งท่อ_คสล" localSheetId="71">#REF!</definedName>
    <definedName name="ตารางค่าขนส่งท่อ_คสล" localSheetId="69">#REF!</definedName>
    <definedName name="ตารางค่าขนส่งท่อ_คสล" localSheetId="70">#REF!</definedName>
    <definedName name="ตารางค่าขนส่งท่อ_คสล" localSheetId="2">#REF!</definedName>
    <definedName name="ตารางค่าขนส่งท่อ_คสล">#REF!</definedName>
    <definedName name="ถางป่าเบา" localSheetId="3">#REF!</definedName>
    <definedName name="ถางป่าเบา" localSheetId="4">#REF!</definedName>
    <definedName name="ถางป่าเบา" localSheetId="71">#REF!</definedName>
    <definedName name="ถางป่าเบา" localSheetId="69">#REF!</definedName>
    <definedName name="ถางป่าเบา" localSheetId="70">#REF!</definedName>
    <definedName name="ถางป่าเบา" localSheetId="2">#REF!</definedName>
    <definedName name="ถางป่าเบา">#REF!</definedName>
    <definedName name="ถางป่ากลาง" localSheetId="3">#REF!</definedName>
    <definedName name="ถางป่ากลาง" localSheetId="4">#REF!</definedName>
    <definedName name="ถางป่ากลาง" localSheetId="71">#REF!</definedName>
    <definedName name="ถางป่ากลาง" localSheetId="2">#REF!</definedName>
    <definedName name="ถางป่ากลาง">#REF!</definedName>
    <definedName name="ถางป่าหนัก" localSheetId="3">#REF!</definedName>
    <definedName name="ถางป่าหนัก" localSheetId="4">#REF!</definedName>
    <definedName name="ถางป่าหนัก" localSheetId="71">#REF!</definedName>
    <definedName name="ถางป่าหนัก" localSheetId="2">#REF!</definedName>
    <definedName name="ถางป่าหนัก">#REF!</definedName>
    <definedName name="ถุงดิน" localSheetId="3">#REF!</definedName>
    <definedName name="ถุงดิน" localSheetId="4">#REF!</definedName>
    <definedName name="ถุงดิน" localSheetId="71">#REF!</definedName>
    <definedName name="ถุงดิน" localSheetId="2">#REF!</definedName>
    <definedName name="ถุงดิน">#REF!</definedName>
    <definedName name="ทรายบดอัดแน่น">'[5]2'!$J$143</definedName>
    <definedName name="ทรายผสม" localSheetId="3">#REF!</definedName>
    <definedName name="ทรายผสม" localSheetId="4">#REF!</definedName>
    <definedName name="ทรายผสม" localSheetId="71">#REF!</definedName>
    <definedName name="ทรายผสม" localSheetId="69">#REF!</definedName>
    <definedName name="ทรายผสม" localSheetId="70">#REF!</definedName>
    <definedName name="ทรายผสม" localSheetId="74">#REF!</definedName>
    <definedName name="ทรายผสม" localSheetId="2">#REF!</definedName>
    <definedName name="ทรายผสม">#REF!</definedName>
    <definedName name="ทรายรองคอนกรีต" localSheetId="3">#REF!</definedName>
    <definedName name="ทรายรองคอนกรีต" localSheetId="4">#REF!</definedName>
    <definedName name="ทรายรองคอนกรีต" localSheetId="71">#REF!</definedName>
    <definedName name="ทรายรองคอนกรีต" localSheetId="69">#REF!</definedName>
    <definedName name="ทรายรองคอนกรีต" localSheetId="70">#REF!</definedName>
    <definedName name="ทรายรองคอนกรีต" localSheetId="2">#REF!</definedName>
    <definedName name="ทรายรองคอนกรีต">#REF!</definedName>
    <definedName name="ทรายละเอียด" localSheetId="3">#REF!</definedName>
    <definedName name="ทรายละเอียด" localSheetId="4">#REF!</definedName>
    <definedName name="ทรายละเอียด" localSheetId="71">#REF!</definedName>
    <definedName name="ทรายละเอียด" localSheetId="69">#REF!</definedName>
    <definedName name="ทรายละเอียด" localSheetId="70">#REF!</definedName>
    <definedName name="ทรายละเอียด" localSheetId="2">#REF!</definedName>
    <definedName name="ทรายละเอียด">#REF!</definedName>
    <definedName name="ทรายละเอียดไม่รวมขนส่ง" localSheetId="3">#REF!</definedName>
    <definedName name="ทรายละเอียดไม่รวมขนส่ง" localSheetId="4">#REF!</definedName>
    <definedName name="ทรายละเอียดไม่รวมขนส่ง" localSheetId="71">#REF!</definedName>
    <definedName name="ทรายละเอียดไม่รวมขนส่ง" localSheetId="2">#REF!</definedName>
    <definedName name="ทรายละเอียดไม่รวมขนส่ง">#REF!</definedName>
    <definedName name="ทรายหยาบ" localSheetId="3">#REF!</definedName>
    <definedName name="ทรายหยาบ" localSheetId="4">#REF!</definedName>
    <definedName name="ทรายหยาบ" localSheetId="71">#REF!</definedName>
    <definedName name="ทรายหยาบ" localSheetId="2">#REF!</definedName>
    <definedName name="ทรายหยาบ">#REF!</definedName>
    <definedName name="ทรายหยาบไม่รวมขนส่ง" localSheetId="3">#REF!</definedName>
    <definedName name="ทรายหยาบไม่รวมขนส่ง" localSheetId="4">#REF!</definedName>
    <definedName name="ทรายหยาบไม่รวมขนส่ง" localSheetId="71">#REF!</definedName>
    <definedName name="ทรายหยาบไม่รวมขนส่ง" localSheetId="2">#REF!</definedName>
    <definedName name="ทรายหยาบไม่รวมขนส่ง">#REF!</definedName>
    <definedName name="ท่อHDPEdai200" localSheetId="3">#REF!</definedName>
    <definedName name="ท่อHDPEdai200" localSheetId="4">#REF!</definedName>
    <definedName name="ท่อHDPEdai200" localSheetId="71">#REF!</definedName>
    <definedName name="ท่อHDPEdai200" localSheetId="2">#REF!</definedName>
    <definedName name="ท่อHDPEdai200">#REF!</definedName>
    <definedName name="ท่อHDPEdai200ไม่รวมขนส่ง" localSheetId="3">#REF!</definedName>
    <definedName name="ท่อHDPEdai200ไม่รวมขนส่ง" localSheetId="4">#REF!</definedName>
    <definedName name="ท่อHDPEdai200ไม่รวมขนส่ง" localSheetId="71">#REF!</definedName>
    <definedName name="ท่อHDPEdai200ไม่รวมขนส่ง" localSheetId="2">#REF!</definedName>
    <definedName name="ท่อHDPEdai200ไม่รวมขนส่ง">#REF!</definedName>
    <definedName name="ท่อHDPEdai250" localSheetId="3">#REF!</definedName>
    <definedName name="ท่อHDPEdai250" localSheetId="4">#REF!</definedName>
    <definedName name="ท่อHDPEdai250" localSheetId="71">#REF!</definedName>
    <definedName name="ท่อHDPEdai250" localSheetId="2">#REF!</definedName>
    <definedName name="ท่อHDPEdai250">#REF!</definedName>
    <definedName name="ท่อHDPEdai250ไม่รวมขนส่ง" localSheetId="3">#REF!</definedName>
    <definedName name="ท่อHDPEdai250ไม่รวมขนส่ง" localSheetId="4">#REF!</definedName>
    <definedName name="ท่อHDPEdai250ไม่รวมขนส่ง" localSheetId="71">#REF!</definedName>
    <definedName name="ท่อHDPEdai250ไม่รวมขนส่ง" localSheetId="2">#REF!</definedName>
    <definedName name="ท่อHDPEdai250ไม่รวมขนส่ง">#REF!</definedName>
    <definedName name="ท่อPVC6นิ้ว" localSheetId="3">#REF!</definedName>
    <definedName name="ท่อPVC6นิ้ว" localSheetId="4">#REF!</definedName>
    <definedName name="ท่อPVC6นิ้ว" localSheetId="71">#REF!</definedName>
    <definedName name="ท่อPVC6นิ้ว" localSheetId="2">#REF!</definedName>
    <definedName name="ท่อPVC6นิ้ว">#REF!</definedName>
    <definedName name="ท่อPVCชั้น5dia1.5" localSheetId="3">#REF!</definedName>
    <definedName name="ท่อPVCชั้น5dia1.5" localSheetId="4">#REF!</definedName>
    <definedName name="ท่อPVCชั้น5dia1.5" localSheetId="71">#REF!</definedName>
    <definedName name="ท่อPVCชั้น5dia1.5" localSheetId="2">#REF!</definedName>
    <definedName name="ท่อPVCชั้น5dia1.5">#REF!</definedName>
    <definedName name="ท่อPVCชั้น5dia1.5ไม่รวมขนส่ง" localSheetId="3">#REF!</definedName>
    <definedName name="ท่อPVCชั้น5dia1.5ไม่รวมขนส่ง" localSheetId="4">#REF!</definedName>
    <definedName name="ท่อPVCชั้น5dia1.5ไม่รวมขนส่ง" localSheetId="71">#REF!</definedName>
    <definedName name="ท่อPVCชั้น5dia1.5ไม่รวมขนส่ง" localSheetId="2">#REF!</definedName>
    <definedName name="ท่อPVCชั้น5dia1.5ไม่รวมขนส่ง">#REF!</definedName>
    <definedName name="ท่อPVCชั้น5dia2" localSheetId="3">#REF!</definedName>
    <definedName name="ท่อPVCชั้น5dia2" localSheetId="4">#REF!</definedName>
    <definedName name="ท่อPVCชั้น5dia2" localSheetId="71">#REF!</definedName>
    <definedName name="ท่อPVCชั้น5dia2" localSheetId="2">#REF!</definedName>
    <definedName name="ท่อPVCชั้น5dia2">#REF!</definedName>
    <definedName name="ท่อPVCชั้น5dia2ไม่รวมขนส่ง" localSheetId="3">#REF!</definedName>
    <definedName name="ท่อPVCชั้น5dia2ไม่รวมขนส่ง" localSheetId="4">#REF!</definedName>
    <definedName name="ท่อPVCชั้น5dia2ไม่รวมขนส่ง" localSheetId="71">#REF!</definedName>
    <definedName name="ท่อPVCชั้น5dia2ไม่รวมขนส่ง" localSheetId="2">#REF!</definedName>
    <definedName name="ท่อPVCชั้น5dia2ไม่รวมขนส่ง">#REF!</definedName>
    <definedName name="ท่อPVCชั้น5dia3" localSheetId="3">#REF!</definedName>
    <definedName name="ท่อPVCชั้น5dia3" localSheetId="4">#REF!</definedName>
    <definedName name="ท่อPVCชั้น5dia3" localSheetId="71">#REF!</definedName>
    <definedName name="ท่อPVCชั้น5dia3" localSheetId="2">#REF!</definedName>
    <definedName name="ท่อPVCชั้น5dia3">#REF!</definedName>
    <definedName name="ท่อPVCชั้น5dia3ไม่รวมขนส่ง" localSheetId="3">#REF!</definedName>
    <definedName name="ท่อPVCชั้น5dia3ไม่รวมขนส่ง" localSheetId="4">#REF!</definedName>
    <definedName name="ท่อPVCชั้น5dia3ไม่รวมขนส่ง" localSheetId="71">#REF!</definedName>
    <definedName name="ท่อPVCชั้น5dia3ไม่รวมขนส่ง" localSheetId="2">#REF!</definedName>
    <definedName name="ท่อPVCชั้น5dia3ไม่รวมขนส่ง">#REF!</definedName>
    <definedName name="ท่อPVCชั้น8.5dia2" localSheetId="3">#REF!</definedName>
    <definedName name="ท่อPVCชั้น8.5dia2" localSheetId="4">#REF!</definedName>
    <definedName name="ท่อPVCชั้น8.5dia2" localSheetId="71">#REF!</definedName>
    <definedName name="ท่อPVCชั้น8.5dia2" localSheetId="2">#REF!</definedName>
    <definedName name="ท่อPVCชั้น8.5dia2">#REF!</definedName>
    <definedName name="ท่อPVCชั้น8.5dia2ไม่รวมขนส่ง" localSheetId="3">#REF!</definedName>
    <definedName name="ท่อPVCชั้น8.5dia2ไม่รวมขนส่ง" localSheetId="4">#REF!</definedName>
    <definedName name="ท่อPVCชั้น8.5dia2ไม่รวมขนส่ง" localSheetId="71">#REF!</definedName>
    <definedName name="ท่อPVCชั้น8.5dia2ไม่รวมขนส่ง" localSheetId="2">#REF!</definedName>
    <definedName name="ท่อPVCชั้น8.5dia2ไม่รวมขนส่ง">#REF!</definedName>
    <definedName name="ท่อPVCชั้น8.5dia3" localSheetId="3">#REF!</definedName>
    <definedName name="ท่อPVCชั้น8.5dia3" localSheetId="4">#REF!</definedName>
    <definedName name="ท่อPVCชั้น8.5dia3" localSheetId="71">#REF!</definedName>
    <definedName name="ท่อPVCชั้น8.5dia3" localSheetId="2">#REF!</definedName>
    <definedName name="ท่อPVCชั้น8.5dia3">#REF!</definedName>
    <definedName name="ท่อPVCชั้น8.5dia3ไม่รวมขนส่ง" localSheetId="3">#REF!</definedName>
    <definedName name="ท่อPVCชั้น8.5dia3ไม่รวมขนส่ง" localSheetId="4">#REF!</definedName>
    <definedName name="ท่อPVCชั้น8.5dia3ไม่รวมขนส่ง" localSheetId="71">#REF!</definedName>
    <definedName name="ท่อPVCชั้น8.5dia3ไม่รวมขนส่ง" localSheetId="2">#REF!</definedName>
    <definedName name="ท่อPVCชั้น8.5dia3ไม่รวมขนส่ง">#REF!</definedName>
    <definedName name="ท่อPVCชั้น8.5dia4" localSheetId="3">#REF!</definedName>
    <definedName name="ท่อPVCชั้น8.5dia4" localSheetId="4">#REF!</definedName>
    <definedName name="ท่อPVCชั้น8.5dia4" localSheetId="71">#REF!</definedName>
    <definedName name="ท่อPVCชั้น8.5dia4" localSheetId="2">#REF!</definedName>
    <definedName name="ท่อPVCชั้น8.5dia4">#REF!</definedName>
    <definedName name="ท่อPVCชั้น8.5dia4ไม่รวมขนส่ง" localSheetId="3">#REF!</definedName>
    <definedName name="ท่อPVCชั้น8.5dia4ไม่รวมขนส่ง" localSheetId="4">#REF!</definedName>
    <definedName name="ท่อPVCชั้น8.5dia4ไม่รวมขนส่ง" localSheetId="71">#REF!</definedName>
    <definedName name="ท่อPVCชั้น8.5dia4ไม่รวมขนส่ง" localSheetId="2">#REF!</definedName>
    <definedName name="ท่อPVCชั้น8.5dia4ไม่รวมขนส่ง">#REF!</definedName>
    <definedName name="ท่อเดี่ยว_0.8_skew0" localSheetId="3">#REF!</definedName>
    <definedName name="ท่อเดี่ยว_0.8_skew0" localSheetId="4">#REF!</definedName>
    <definedName name="ท่อเดี่ยว_0.8_skew0" localSheetId="71">#REF!</definedName>
    <definedName name="ท่อเดี่ยว_0.8_skew0" localSheetId="2">#REF!</definedName>
    <definedName name="ท่อเดี่ยว_0.8_skew0">#REF!</definedName>
    <definedName name="ท่อเหล็กอาบสังกะสีdia2" localSheetId="3">#REF!</definedName>
    <definedName name="ท่อเหล็กอาบสังกะสีdia2" localSheetId="4">#REF!</definedName>
    <definedName name="ท่อเหล็กอาบสังกะสีdia2" localSheetId="71">#REF!</definedName>
    <definedName name="ท่อเหล็กอาบสังกะสีdia2" localSheetId="2">#REF!</definedName>
    <definedName name="ท่อเหล็กอาบสังกะสีdia2">#REF!</definedName>
    <definedName name="ท่อเหล็กอาบสังกะสีdia2ไม่รวมขนส่ง" localSheetId="3">#REF!</definedName>
    <definedName name="ท่อเหล็กอาบสังกะสีdia2ไม่รวมขนส่ง" localSheetId="4">#REF!</definedName>
    <definedName name="ท่อเหล็กอาบสังกะสีdia2ไม่รวมขนส่ง" localSheetId="71">#REF!</definedName>
    <definedName name="ท่อเหล็กอาบสังกะสีdia2ไม่รวมขนส่ง" localSheetId="2">#REF!</definedName>
    <definedName name="ท่อเหล็กอาบสังกะสีdia2ไม่รวมขนส่ง">#REF!</definedName>
    <definedName name="ท่อเหล็กอาบสังกะสีdia3" localSheetId="3">#REF!</definedName>
    <definedName name="ท่อเหล็กอาบสังกะสีdia3" localSheetId="4">#REF!</definedName>
    <definedName name="ท่อเหล็กอาบสังกะสีdia3" localSheetId="71">#REF!</definedName>
    <definedName name="ท่อเหล็กอาบสังกะสีdia3" localSheetId="2">#REF!</definedName>
    <definedName name="ท่อเหล็กอาบสังกะสีdia3">#REF!</definedName>
    <definedName name="ท่อเหล็กอาบสังกะสีdia3ไม่รวมขนส่ง" localSheetId="3">#REF!</definedName>
    <definedName name="ท่อเหล็กอาบสังกะสีdia3ไม่รวมขนส่ง" localSheetId="4">#REF!</definedName>
    <definedName name="ท่อเหล็กอาบสังกะสีdia3ไม่รวมขนส่ง" localSheetId="71">#REF!</definedName>
    <definedName name="ท่อเหล็กอาบสังกะสีdia3ไม่รวมขนส่ง" localSheetId="2">#REF!</definedName>
    <definedName name="ท่อเหล็กอาบสังกะสีdia3ไม่รวมขนส่ง">#REF!</definedName>
    <definedName name="ท่อเหล็กอาบสังกะสีdia4" localSheetId="3">#REF!</definedName>
    <definedName name="ท่อเหล็กอาบสังกะสีdia4" localSheetId="4">#REF!</definedName>
    <definedName name="ท่อเหล็กอาบสังกะสีdia4" localSheetId="71">#REF!</definedName>
    <definedName name="ท่อเหล็กอาบสังกะสีdia4" localSheetId="2">#REF!</definedName>
    <definedName name="ท่อเหล็กอาบสังกะสีdia4">#REF!</definedName>
    <definedName name="ท่อเหล็กอาบสังกะสีdia4ไม่รวมขนส่ง" localSheetId="3">#REF!</definedName>
    <definedName name="ท่อเหล็กอาบสังกะสีdia4ไม่รวมขนส่ง" localSheetId="4">#REF!</definedName>
    <definedName name="ท่อเหล็กอาบสังกะสีdia4ไม่รวมขนส่ง" localSheetId="71">#REF!</definedName>
    <definedName name="ท่อเหล็กอาบสังกะสีdia4ไม่รวมขนส่ง" localSheetId="2">#REF!</definedName>
    <definedName name="ท่อเหล็กอาบสังกะสีdia4ไม่รวมขนส่ง">#REF!</definedName>
    <definedName name="ท่อและอื่นๆในอำเภอเมือง" localSheetId="3">#REF!</definedName>
    <definedName name="ท่อและอื่นๆในอำเภอเมือง" localSheetId="4">#REF!</definedName>
    <definedName name="ท่อและอื่นๆในอำเภอเมือง" localSheetId="71">#REF!</definedName>
    <definedName name="ท่อและอื่นๆในอำเภอเมือง" localSheetId="2">#REF!</definedName>
    <definedName name="ท่อและอื่นๆในอำเภอเมือง">#REF!</definedName>
    <definedName name="ท่อคสล.ขนาดเส้นผ่านศูนย์กลาง0.60ม" localSheetId="3">'[8]หมวด 6(2)'!#REF!</definedName>
    <definedName name="ท่อคสล.ขนาดเส้นผ่านศูนย์กลาง0.60ม" localSheetId="4">'[8]หมวด 6(2)'!#REF!</definedName>
    <definedName name="ท่อคสล.ขนาดเส้นผ่านศูนย์กลาง0.60ม" localSheetId="71">'[8]หมวด 6(2)'!#REF!</definedName>
    <definedName name="ท่อคสล.ขนาดเส้นผ่านศูนย์กลาง0.60ม" localSheetId="2">'[8]หมวด 6(2)'!#REF!</definedName>
    <definedName name="ท่อคสล.ขนาดเส้นผ่านศูนย์กลาง0.60ม">'[8]หมวด 6(2)'!#REF!</definedName>
    <definedName name="ท่อคู่_0.8_skew0" localSheetId="3">#REF!</definedName>
    <definedName name="ท่อคู่_0.8_skew0" localSheetId="4">#REF!</definedName>
    <definedName name="ท่อคู่_0.8_skew0" localSheetId="71">#REF!</definedName>
    <definedName name="ท่อคู่_0.8_skew0" localSheetId="69">#REF!</definedName>
    <definedName name="ท่อคู่_0.8_skew0" localSheetId="70">#REF!</definedName>
    <definedName name="ท่อคู่_0.8_skew0" localSheetId="74">#REF!</definedName>
    <definedName name="ท่อคู่_0.8_skew0" localSheetId="2">#REF!</definedName>
    <definedName name="ท่อคู่_0.8_skew0">#REF!</definedName>
    <definedName name="ท่อคู่_0.8_skew15" localSheetId="3">#REF!</definedName>
    <definedName name="ท่อคู่_0.8_skew15" localSheetId="4">#REF!</definedName>
    <definedName name="ท่อคู่_0.8_skew15" localSheetId="71">#REF!</definedName>
    <definedName name="ท่อคู่_0.8_skew15" localSheetId="69">#REF!</definedName>
    <definedName name="ท่อคู่_0.8_skew15" localSheetId="70">#REF!</definedName>
    <definedName name="ท่อคู่_0.8_skew15" localSheetId="2">#REF!</definedName>
    <definedName name="ท่อคู่_0.8_skew15">#REF!</definedName>
    <definedName name="ท่อคู่_1.0_skew0" localSheetId="3">#REF!</definedName>
    <definedName name="ท่อคู่_1.0_skew0" localSheetId="4">#REF!</definedName>
    <definedName name="ท่อคู่_1.0_skew0" localSheetId="71">#REF!</definedName>
    <definedName name="ท่อคู่_1.0_skew0" localSheetId="69">#REF!</definedName>
    <definedName name="ท่อคู่_1.0_skew0" localSheetId="70">#REF!</definedName>
    <definedName name="ท่อคู่_1.0_skew0" localSheetId="2">#REF!</definedName>
    <definedName name="ท่อคู่_1.0_skew0">#REF!</definedName>
    <definedName name="ท่อคู่_1.0_skew30" localSheetId="3">#REF!</definedName>
    <definedName name="ท่อคู่_1.0_skew30" localSheetId="4">#REF!</definedName>
    <definedName name="ท่อคู่_1.0_skew30" localSheetId="71">#REF!</definedName>
    <definedName name="ท่อคู่_1.0_skew30" localSheetId="2">#REF!</definedName>
    <definedName name="ท่อคู่_1.0_skew30">#REF!</definedName>
    <definedName name="ท่อคู่_1.2_skew0" localSheetId="3">#REF!</definedName>
    <definedName name="ท่อคู่_1.2_skew0" localSheetId="4">#REF!</definedName>
    <definedName name="ท่อคู่_1.2_skew0" localSheetId="71">#REF!</definedName>
    <definedName name="ท่อคู่_1.2_skew0" localSheetId="2">#REF!</definedName>
    <definedName name="ท่อคู่_1.2_skew0">#REF!</definedName>
    <definedName name="ท่อคู่_1.2_skew15" localSheetId="3">#REF!</definedName>
    <definedName name="ท่อคู่_1.2_skew15" localSheetId="4">#REF!</definedName>
    <definedName name="ท่อคู่_1.2_skew15" localSheetId="71">#REF!</definedName>
    <definedName name="ท่อคู่_1.2_skew15" localSheetId="2">#REF!</definedName>
    <definedName name="ท่อคู่_1.2_skew15">#REF!</definedName>
    <definedName name="ท่อคู่_1.2_skew45" localSheetId="3">#REF!</definedName>
    <definedName name="ท่อคู่_1.2_skew45" localSheetId="4">#REF!</definedName>
    <definedName name="ท่อคู่_1.2_skew45" localSheetId="71">#REF!</definedName>
    <definedName name="ท่อคู่_1.2_skew45" localSheetId="2">#REF!</definedName>
    <definedName name="ท่อคู่_1.2_skew45">#REF!</definedName>
    <definedName name="ท่อน้ำคอนกรีตdia0.4" localSheetId="3">#REF!</definedName>
    <definedName name="ท่อน้ำคอนกรีตdia0.4" localSheetId="4">#REF!</definedName>
    <definedName name="ท่อน้ำคอนกรีตdia0.4" localSheetId="71">#REF!</definedName>
    <definedName name="ท่อน้ำคอนกรีตdia0.4" localSheetId="2">#REF!</definedName>
    <definedName name="ท่อน้ำคอนกรีตdia0.4">#REF!</definedName>
    <definedName name="ท่อน้ำคอนกรีตdia0.4ไม่รวมขนส่ง" localSheetId="3">#REF!</definedName>
    <definedName name="ท่อน้ำคอนกรีตdia0.4ไม่รวมขนส่ง" localSheetId="4">#REF!</definedName>
    <definedName name="ท่อน้ำคอนกรีตdia0.4ไม่รวมขนส่ง" localSheetId="71">#REF!</definedName>
    <definedName name="ท่อน้ำคอนกรีตdia0.4ไม่รวมขนส่ง" localSheetId="2">#REF!</definedName>
    <definedName name="ท่อน้ำคอนกรีตdia0.4ไม่รวมขนส่ง">#REF!</definedName>
    <definedName name="ท่อน้ำคอนกรีตdia0.6" localSheetId="3">#REF!</definedName>
    <definedName name="ท่อน้ำคอนกรีตdia0.6" localSheetId="4">#REF!</definedName>
    <definedName name="ท่อน้ำคอนกรีตdia0.6" localSheetId="71">#REF!</definedName>
    <definedName name="ท่อน้ำคอนกรีตdia0.6" localSheetId="2">#REF!</definedName>
    <definedName name="ท่อน้ำคอนกรีตdia0.6">#REF!</definedName>
    <definedName name="ท่อน้ำคอนกรีตdia0.6ไม่รวมขนส่ง" localSheetId="3">#REF!</definedName>
    <definedName name="ท่อน้ำคอนกรีตdia0.6ไม่รวมขนส่ง" localSheetId="4">#REF!</definedName>
    <definedName name="ท่อน้ำคอนกรีตdia0.6ไม่รวมขนส่ง" localSheetId="71">#REF!</definedName>
    <definedName name="ท่อน้ำคอนกรีตdia0.6ไม่รวมขนส่ง" localSheetId="2">#REF!</definedName>
    <definedName name="ท่อน้ำคอนกรีตdia0.6ไม่รวมขนส่ง">#REF!</definedName>
    <definedName name="ท่อน้ำคอนกรีตdia0.8" localSheetId="3">#REF!</definedName>
    <definedName name="ท่อน้ำคอนกรีตdia0.8" localSheetId="4">#REF!</definedName>
    <definedName name="ท่อน้ำคอนกรีตdia0.8" localSheetId="71">#REF!</definedName>
    <definedName name="ท่อน้ำคอนกรีตdia0.8" localSheetId="2">#REF!</definedName>
    <definedName name="ท่อน้ำคอนกรีตdia0.8">#REF!</definedName>
    <definedName name="ท่อน้ำคอนกรีตdia0.8ไม่รวมขนส่ง" localSheetId="3">#REF!</definedName>
    <definedName name="ท่อน้ำคอนกรีตdia0.8ไม่รวมขนส่ง" localSheetId="4">#REF!</definedName>
    <definedName name="ท่อน้ำคอนกรีตdia0.8ไม่รวมขนส่ง" localSheetId="71">#REF!</definedName>
    <definedName name="ท่อน้ำคอนกรีตdia0.8ไม่รวมขนส่ง" localSheetId="2">#REF!</definedName>
    <definedName name="ท่อน้ำคอนกรีตdia0.8ไม่รวมขนส่ง">#REF!</definedName>
    <definedName name="ท่อน้ำคอนกรีตdia1.0" localSheetId="3">#REF!</definedName>
    <definedName name="ท่อน้ำคอนกรีตdia1.0" localSheetId="4">#REF!</definedName>
    <definedName name="ท่อน้ำคอนกรีตdia1.0" localSheetId="71">#REF!</definedName>
    <definedName name="ท่อน้ำคอนกรีตdia1.0" localSheetId="2">#REF!</definedName>
    <definedName name="ท่อน้ำคอนกรีตdia1.0">#REF!</definedName>
    <definedName name="ท่อน้ำคอนกรีตdia1.0ไม่รวมขนส่ง" localSheetId="3">#REF!</definedName>
    <definedName name="ท่อน้ำคอนกรีตdia1.0ไม่รวมขนส่ง" localSheetId="4">#REF!</definedName>
    <definedName name="ท่อน้ำคอนกรีตdia1.0ไม่รวมขนส่ง" localSheetId="71">#REF!</definedName>
    <definedName name="ท่อน้ำคอนกรีตdia1.0ไม่รวมขนส่ง" localSheetId="2">#REF!</definedName>
    <definedName name="ท่อน้ำคอนกรีตdia1.0ไม่รวมขนส่ง">#REF!</definedName>
    <definedName name="ท่อน้ำคอนกรีตdia1.2" localSheetId="3">#REF!</definedName>
    <definedName name="ท่อน้ำคอนกรีตdia1.2" localSheetId="4">#REF!</definedName>
    <definedName name="ท่อน้ำคอนกรีตdia1.2" localSheetId="71">#REF!</definedName>
    <definedName name="ท่อน้ำคอนกรีตdia1.2" localSheetId="2">#REF!</definedName>
    <definedName name="ท่อน้ำคอนกรีตdia1.2">#REF!</definedName>
    <definedName name="ท่อน้ำคอนกรีตdia1.2ไม่รวมขนส่ง" localSheetId="3">#REF!</definedName>
    <definedName name="ท่อน้ำคอนกรีตdia1.2ไม่รวมขนส่ง" localSheetId="4">#REF!</definedName>
    <definedName name="ท่อน้ำคอนกรีตdia1.2ไม่รวมขนส่ง" localSheetId="71">#REF!</definedName>
    <definedName name="ท่อน้ำคอนกรีตdia1.2ไม่รวมขนส่ง" localSheetId="2">#REF!</definedName>
    <definedName name="ท่อน้ำคอนกรีตdia1.2ไม่รวมขนส่ง">#REF!</definedName>
    <definedName name="ท่อน้ำคอนกรีตอัดแรงdia0.8" localSheetId="3">#REF!</definedName>
    <definedName name="ท่อน้ำคอนกรีตอัดแรงdia0.8" localSheetId="4">#REF!</definedName>
    <definedName name="ท่อน้ำคอนกรีตอัดแรงdia0.8" localSheetId="71">#REF!</definedName>
    <definedName name="ท่อน้ำคอนกรีตอัดแรงdia0.8" localSheetId="2">#REF!</definedName>
    <definedName name="ท่อน้ำคอนกรีตอัดแรงdia0.8">#REF!</definedName>
    <definedName name="ท่อน้ำคอนกรีตอัดแรงdia0.8ไม่รวมขนส่ง" localSheetId="3">#REF!</definedName>
    <definedName name="ท่อน้ำคอนกรีตอัดแรงdia0.8ไม่รวมขนส่ง" localSheetId="4">#REF!</definedName>
    <definedName name="ท่อน้ำคอนกรีตอัดแรงdia0.8ไม่รวมขนส่ง" localSheetId="71">#REF!</definedName>
    <definedName name="ท่อน้ำคอนกรีตอัดแรงdia0.8ไม่รวมขนส่ง" localSheetId="2">#REF!</definedName>
    <definedName name="ท่อน้ำคอนกรีตอัดแรงdia0.8ไม่รวมขนส่ง">#REF!</definedName>
    <definedName name="ท่อน้ำคอนกรีตอัดแรงdia1.0" localSheetId="3">#REF!</definedName>
    <definedName name="ท่อน้ำคอนกรีตอัดแรงdia1.0" localSheetId="4">#REF!</definedName>
    <definedName name="ท่อน้ำคอนกรีตอัดแรงdia1.0" localSheetId="71">#REF!</definedName>
    <definedName name="ท่อน้ำคอนกรีตอัดแรงdia1.0" localSheetId="2">#REF!</definedName>
    <definedName name="ท่อน้ำคอนกรีตอัดแรงdia1.0">#REF!</definedName>
    <definedName name="ท่อน้ำคอนกรีตอัดแรงdia1.0ไม่รวมขนส่ง" localSheetId="3">#REF!</definedName>
    <definedName name="ท่อน้ำคอนกรีตอัดแรงdia1.0ไม่รวมขนส่ง" localSheetId="4">#REF!</definedName>
    <definedName name="ท่อน้ำคอนกรีตอัดแรงdia1.0ไม่รวมขนส่ง" localSheetId="71">#REF!</definedName>
    <definedName name="ท่อน้ำคอนกรีตอัดแรงdia1.0ไม่รวมขนส่ง" localSheetId="2">#REF!</definedName>
    <definedName name="ท่อน้ำคอนกรีตอัดแรงdia1.0ไม่รวมขนส่ง">#REF!</definedName>
    <definedName name="ทับหลังทรายล้าง" localSheetId="3">'[39]unit cost'!#REF!</definedName>
    <definedName name="ทับหลังทรายล้าง" localSheetId="4">'[39]unit cost'!#REF!</definedName>
    <definedName name="ทับหลังทรายล้าง" localSheetId="71">'[39]unit cost'!#REF!</definedName>
    <definedName name="ทับหลังทรายล้าง" localSheetId="2">'[39]unit cost'!#REF!</definedName>
    <definedName name="ทับหลังทรายล้าง">'[39]unit cost'!#REF!</definedName>
    <definedName name="ทับหลังทรายล้าง0.10ม." localSheetId="3">#REF!</definedName>
    <definedName name="ทับหลังทรายล้าง0.10ม." localSheetId="4">#REF!</definedName>
    <definedName name="ทับหลังทรายล้าง0.10ม." localSheetId="5">#REF!</definedName>
    <definedName name="ทับหลังทรายล้าง0.10ม." localSheetId="18">#REF!</definedName>
    <definedName name="ทับหลังทรายล้าง0.10ม." localSheetId="30">#REF!</definedName>
    <definedName name="ทับหลังทรายล้าง0.10ม." localSheetId="56">#REF!</definedName>
    <definedName name="ทับหลังทรายล้าง0.10ม." localSheetId="43">#REF!</definedName>
    <definedName name="ทับหลังทรายล้าง0.10ม." localSheetId="71">#REF!</definedName>
    <definedName name="ทับหลังทรายล้าง0.10ม." localSheetId="69">#REF!</definedName>
    <definedName name="ทับหลังทรายล้าง0.10ม." localSheetId="70">#REF!</definedName>
    <definedName name="ทับหลังทรายล้าง0.10ม." localSheetId="74">#REF!</definedName>
    <definedName name="ทับหลังทรายล้าง0.10ม." localSheetId="2">#REF!</definedName>
    <definedName name="ทับหลังทรายล้าง0.10ม.">#REF!</definedName>
    <definedName name="ทับหลังทรายล้าง0.20ม." localSheetId="3">#REF!</definedName>
    <definedName name="ทับหลังทรายล้าง0.20ม." localSheetId="4">#REF!</definedName>
    <definedName name="ทับหลังทรายล้าง0.20ม." localSheetId="71">#REF!</definedName>
    <definedName name="ทับหลังทรายล้าง0.20ม." localSheetId="69">#REF!</definedName>
    <definedName name="ทับหลังทรายล้าง0.20ม." localSheetId="70">#REF!</definedName>
    <definedName name="ทับหลังทรายล้าง0.20ม." localSheetId="2">#REF!</definedName>
    <definedName name="ทับหลังทรายล้าง0.20ม.">#REF!</definedName>
    <definedName name="ทาสี_สีเหลือง" localSheetId="3">#REF!</definedName>
    <definedName name="ทาสี_สีเหลือง" localSheetId="4">#REF!</definedName>
    <definedName name="ทาสี_สีเหลือง" localSheetId="71">#REF!</definedName>
    <definedName name="ทาสี_สีเหลือง" localSheetId="69">#REF!</definedName>
    <definedName name="ทาสี_สีเหลือง" localSheetId="70">#REF!</definedName>
    <definedName name="ทาสี_สีเหลือง" localSheetId="2">#REF!</definedName>
    <definedName name="ทาสี_สีเหลือง">#REF!</definedName>
    <definedName name="ทาสี_สีขาว" localSheetId="3">#REF!</definedName>
    <definedName name="ทาสี_สีขาว" localSheetId="4">#REF!</definedName>
    <definedName name="ทาสี_สีขาว" localSheetId="71">#REF!</definedName>
    <definedName name="ทาสี_สีขาว" localSheetId="2">#REF!</definedName>
    <definedName name="ทาสี_สีขาว">#REF!</definedName>
    <definedName name="ทาสีกันสนิม" localSheetId="3">#REF!</definedName>
    <definedName name="ทาสีกันสนิม" localSheetId="4">#REF!</definedName>
    <definedName name="ทาสีกันสนิม" localSheetId="71">#REF!</definedName>
    <definedName name="ทาสีกันสนิม" localSheetId="2">#REF!</definedName>
    <definedName name="ทาสีกันสนิม">#REF!</definedName>
    <definedName name="นวลน้อย">'[5]6'!$J$3004</definedName>
    <definedName name="น๊อตหัวกลมdia12" localSheetId="3">#REF!</definedName>
    <definedName name="น๊อตหัวกลมdia12" localSheetId="4">#REF!</definedName>
    <definedName name="น๊อตหัวกลมdia12" localSheetId="71">#REF!</definedName>
    <definedName name="น๊อตหัวกลมdia12" localSheetId="69">#REF!</definedName>
    <definedName name="น๊อตหัวกลมdia12" localSheetId="70">#REF!</definedName>
    <definedName name="น๊อตหัวกลมdia12" localSheetId="74">#REF!</definedName>
    <definedName name="น๊อตหัวกลมdia12" localSheetId="2">#REF!</definedName>
    <definedName name="น๊อตหัวกลมdia12">#REF!</definedName>
    <definedName name="น๊อตหัวกลมdia12ไม่รวมขนส่ง" localSheetId="3">#REF!</definedName>
    <definedName name="น๊อตหัวกลมdia12ไม่รวมขนส่ง" localSheetId="4">#REF!</definedName>
    <definedName name="น๊อตหัวกลมdia12ไม่รวมขนส่ง" localSheetId="71">#REF!</definedName>
    <definedName name="น๊อตหัวกลมdia12ไม่รวมขนส่ง" localSheetId="69">#REF!</definedName>
    <definedName name="น๊อตหัวกลมdia12ไม่รวมขนส่ง" localSheetId="70">#REF!</definedName>
    <definedName name="น๊อตหัวกลมdia12ไม่รวมขนส่ง" localSheetId="2">#REF!</definedName>
    <definedName name="น๊อตหัวกลมdia12ไม่รวมขนส่ง">#REF!</definedName>
    <definedName name="น๊อตหัวกลมdia25" localSheetId="3">#REF!</definedName>
    <definedName name="น๊อตหัวกลมdia25" localSheetId="4">#REF!</definedName>
    <definedName name="น๊อตหัวกลมdia25" localSheetId="71">#REF!</definedName>
    <definedName name="น๊อตหัวกลมdia25" localSheetId="69">#REF!</definedName>
    <definedName name="น๊อตหัวกลมdia25" localSheetId="70">#REF!</definedName>
    <definedName name="น๊อตหัวกลมdia25" localSheetId="2">#REF!</definedName>
    <definedName name="น๊อตหัวกลมdia25">#REF!</definedName>
    <definedName name="น๊อตหัวกลมdia25ไม่รวมขนส่ง" localSheetId="3">#REF!</definedName>
    <definedName name="น๊อตหัวกลมdia25ไม่รวมขนส่ง" localSheetId="4">#REF!</definedName>
    <definedName name="น๊อตหัวกลมdia25ไม่รวมขนส่ง" localSheetId="71">#REF!</definedName>
    <definedName name="น๊อตหัวกลมdia25ไม่รวมขนส่ง" localSheetId="2">#REF!</definedName>
    <definedName name="น๊อตหัวกลมdia25ไม่รวมขนส่ง">#REF!</definedName>
    <definedName name="น๊อตหัวกลมdia9" localSheetId="3">#REF!</definedName>
    <definedName name="น๊อตหัวกลมdia9" localSheetId="4">#REF!</definedName>
    <definedName name="น๊อตหัวกลมdia9" localSheetId="71">#REF!</definedName>
    <definedName name="น๊อตหัวกลมdia9" localSheetId="2">#REF!</definedName>
    <definedName name="น๊อตหัวกลมdia9">#REF!</definedName>
    <definedName name="น๊อตหัวกลมdia9ไม่รวมขนส่ง" localSheetId="3">#REF!</definedName>
    <definedName name="น๊อตหัวกลมdia9ไม่รวมขนส่ง" localSheetId="4">#REF!</definedName>
    <definedName name="น๊อตหัวกลมdia9ไม่รวมขนส่ง" localSheetId="71">#REF!</definedName>
    <definedName name="น๊อตหัวกลมdia9ไม่รวมขนส่ง" localSheetId="2">#REF!</definedName>
    <definedName name="น๊อตหัวกลมdia9ไม่รวมขนส่ง">#REF!</definedName>
    <definedName name="น้ำมัน2">[10]รายละเอียดโครงการ!$B$29</definedName>
    <definedName name="น้ำมัน3">[10]รายละเอียดโครงการ!$B$35</definedName>
    <definedName name="น้ำยากันซึม" localSheetId="3">#REF!</definedName>
    <definedName name="น้ำยากันซึม" localSheetId="4">#REF!</definedName>
    <definedName name="น้ำยากันซึม" localSheetId="71">#REF!</definedName>
    <definedName name="น้ำยากันซึม" localSheetId="69">#REF!</definedName>
    <definedName name="น้ำยากันซึม" localSheetId="70">#REF!</definedName>
    <definedName name="น้ำยากันซึม" localSheetId="74">#REF!</definedName>
    <definedName name="น้ำยากันซึม" localSheetId="2">#REF!</definedName>
    <definedName name="น้ำยากันซึม">#REF!</definedName>
    <definedName name="บ_ต" localSheetId="3">#REF!</definedName>
    <definedName name="บ_ต" localSheetId="4">#REF!</definedName>
    <definedName name="บ_ต" localSheetId="71">#REF!</definedName>
    <definedName name="บ_ต" localSheetId="69">#REF!</definedName>
    <definedName name="บ_ต" localSheetId="70">#REF!</definedName>
    <definedName name="บ_ต" localSheetId="2">#REF!</definedName>
    <definedName name="บ_ต">#REF!</definedName>
    <definedName name="บดทับดินคันทาง" localSheetId="3">#REF!</definedName>
    <definedName name="บดทับดินคันทาง" localSheetId="4">#REF!</definedName>
    <definedName name="บดทับดินคันทาง" localSheetId="71">#REF!</definedName>
    <definedName name="บดทับดินคันทาง" localSheetId="69">#REF!</definedName>
    <definedName name="บดทับดินคันทาง" localSheetId="70">#REF!</definedName>
    <definedName name="บดทับดินคันทาง" localSheetId="2">#REF!</definedName>
    <definedName name="บดทับดินคันทาง">#REF!</definedName>
    <definedName name="บล๊อกแก้ว" localSheetId="3">#REF!</definedName>
    <definedName name="บล๊อกแก้ว" localSheetId="4">#REF!</definedName>
    <definedName name="บล๊อกแก้ว" localSheetId="71">#REF!</definedName>
    <definedName name="บล๊อกแก้ว" localSheetId="2">#REF!</definedName>
    <definedName name="บล๊อกแก้ว">#REF!</definedName>
    <definedName name="บุษบาฮาวาย" localSheetId="3">#REF!</definedName>
    <definedName name="บุษบาฮาวาย" localSheetId="4">#REF!</definedName>
    <definedName name="บุษบาฮาวาย" localSheetId="71">#REF!</definedName>
    <definedName name="บุษบาฮาวาย" localSheetId="2">#REF!</definedName>
    <definedName name="บุษบาฮาวาย">#REF!</definedName>
    <definedName name="ป" localSheetId="3">#REF!</definedName>
    <definedName name="ป" localSheetId="4">#REF!</definedName>
    <definedName name="ป" localSheetId="71">#REF!</definedName>
    <definedName name="ป" localSheetId="2">#REF!</definedName>
    <definedName name="ป">#REF!</definedName>
    <definedName name="ปก32" localSheetId="3" hidden="1">{"'SUMMATION'!$B$2:$I$2"}</definedName>
    <definedName name="ปก32" localSheetId="4" hidden="1">{"'SUMMATION'!$B$2:$I$2"}</definedName>
    <definedName name="ปก32" localSheetId="71" hidden="1">{"'SUMMATION'!$B$2:$I$2"}</definedName>
    <definedName name="ปก32" localSheetId="69" hidden="1">{"'SUMMATION'!$B$2:$I$2"}</definedName>
    <definedName name="ปก32" hidden="1">{"'SUMMATION'!$B$2:$I$2"}</definedName>
    <definedName name="ปลูกหญ้าแบบพ่นเมล็ด" localSheetId="3">'[8]หมวด 6(2)'!#REF!</definedName>
    <definedName name="ปลูกหญ้าแบบพ่นเมล็ด" localSheetId="4">'[8]หมวด 6(2)'!#REF!</definedName>
    <definedName name="ปลูกหญ้าแบบพ่นเมล็ด" localSheetId="71">'[8]หมวด 6(2)'!#REF!</definedName>
    <definedName name="ปลูกหญ้าแบบพ่นเมล็ด" localSheetId="2">'[8]หมวด 6(2)'!#REF!</definedName>
    <definedName name="ปลูกหญ้าแบบพ่นเมล็ด">'[8]หมวด 6(2)'!#REF!</definedName>
    <definedName name="ปลูกหญ้าปูแผ่น" localSheetId="3">'[8]หมวด 6(2)'!#REF!</definedName>
    <definedName name="ปลูกหญ้าปูแผ่น" localSheetId="4">'[8]หมวด 6(2)'!#REF!</definedName>
    <definedName name="ปลูกหญ้าปูแผ่น" localSheetId="71">'[8]หมวด 6(2)'!#REF!</definedName>
    <definedName name="ปลูกหญ้าปูแผ่น" localSheetId="2">'[8]หมวด 6(2)'!#REF!</definedName>
    <definedName name="ปลูกหญ้าปูแผ่น">'[8]หมวด 6(2)'!#REF!</definedName>
    <definedName name="ปลูกหญ้าปูแผ่น_" localSheetId="3">#REF!</definedName>
    <definedName name="ปลูกหญ้าปูแผ่น_" localSheetId="4">#REF!</definedName>
    <definedName name="ปลูกหญ้าปูแผ่น_" localSheetId="71">#REF!</definedName>
    <definedName name="ปลูกหญ้าปูแผ่น_" localSheetId="69">#REF!</definedName>
    <definedName name="ปลูกหญ้าปูแผ่น_" localSheetId="70">#REF!</definedName>
    <definedName name="ปลูกหญ้าปูแผ่น_" localSheetId="74">#REF!</definedName>
    <definedName name="ปลูกหญ้าปูแผ่น_" localSheetId="2">#REF!</definedName>
    <definedName name="ปลูกหญ้าปูแผ่น_">#REF!</definedName>
    <definedName name="ปากช่อง_Interchange" localSheetId="3">[12]Summary!#REF!</definedName>
    <definedName name="ปากช่อง_Interchange" localSheetId="4">[12]Summary!#REF!</definedName>
    <definedName name="ปากช่อง_Interchange" localSheetId="71">[12]Summary!#REF!</definedName>
    <definedName name="ปากช่อง_Interchange" localSheetId="69">[12]Summary!#REF!</definedName>
    <definedName name="ปากช่อง_Interchange" localSheetId="70">[12]Summary!#REF!</definedName>
    <definedName name="ปากช่อง_Interchange" localSheetId="74">[12]Summary!#REF!</definedName>
    <definedName name="ปากช่อง_Interchange" localSheetId="2">[12]Summary!#REF!</definedName>
    <definedName name="ปากช่อง_Interchange">[12]Summary!#REF!</definedName>
    <definedName name="ปาล์มขวด" localSheetId="3">#REF!</definedName>
    <definedName name="ปาล์มขวด" localSheetId="4">#REF!</definedName>
    <definedName name="ปาล์มขวด" localSheetId="71">#REF!</definedName>
    <definedName name="ปาล์มขวด" localSheetId="69">#REF!</definedName>
    <definedName name="ปาล์มขวด" localSheetId="70">#REF!</definedName>
    <definedName name="ปาล์มขวด" localSheetId="74">#REF!</definedName>
    <definedName name="ปาล์มขวด" localSheetId="2">#REF!</definedName>
    <definedName name="ปาล์มขวด">#REF!</definedName>
    <definedName name="ปาล์มขวด_" localSheetId="3">'[42]หมวด 10'!#REF!</definedName>
    <definedName name="ปาล์มขวด_" localSheetId="4">'[42]หมวด 10'!#REF!</definedName>
    <definedName name="ปาล์มขวด_" localSheetId="71">'[42]หมวด 10'!#REF!</definedName>
    <definedName name="ปาล์มขวด_" localSheetId="69">'[42]หมวด 10'!#REF!</definedName>
    <definedName name="ปาล์มขวด_" localSheetId="70">'[42]หมวด 10'!#REF!</definedName>
    <definedName name="ปาล์มขวด_" localSheetId="74">'[42]หมวด 10'!#REF!</definedName>
    <definedName name="ปาล์มขวด_" localSheetId="2">'[42]หมวด 10'!#REF!</definedName>
    <definedName name="ปาล์มขวด_">'[42]หมวด 10'!#REF!</definedName>
    <definedName name="ปาล์มน้ำมัน" localSheetId="3">#REF!</definedName>
    <definedName name="ปาล์มน้ำมัน" localSheetId="4">#REF!</definedName>
    <definedName name="ปาล์มน้ำมัน" localSheetId="5">#REF!</definedName>
    <definedName name="ปาล์มน้ำมัน" localSheetId="18">#REF!</definedName>
    <definedName name="ปาล์มน้ำมัน" localSheetId="30">#REF!</definedName>
    <definedName name="ปาล์มน้ำมัน" localSheetId="56">#REF!</definedName>
    <definedName name="ปาล์มน้ำมัน" localSheetId="43">#REF!</definedName>
    <definedName name="ปาล์มน้ำมัน" localSheetId="71">#REF!</definedName>
    <definedName name="ปาล์มน้ำมัน" localSheetId="69">#REF!</definedName>
    <definedName name="ปาล์มน้ำมัน" localSheetId="70">#REF!</definedName>
    <definedName name="ปาล์มน้ำมัน" localSheetId="74">#REF!</definedName>
    <definedName name="ปาล์มน้ำมัน" localSheetId="2">#REF!</definedName>
    <definedName name="ปาล์มน้ำมัน">#REF!</definedName>
    <definedName name="ปาล์มฟ๊อกเทล" localSheetId="3">#REF!</definedName>
    <definedName name="ปาล์มฟ๊อกเทล" localSheetId="4">#REF!</definedName>
    <definedName name="ปาล์มฟ๊อกเทล" localSheetId="71">#REF!</definedName>
    <definedName name="ปาล์มฟ๊อกเทล" localSheetId="69">#REF!</definedName>
    <definedName name="ปาล์มฟ๊อกเทล" localSheetId="70">#REF!</definedName>
    <definedName name="ปาล์มฟ๊อกเทล" localSheetId="2">#REF!</definedName>
    <definedName name="ปาล์มฟ๊อกเทล">#REF!</definedName>
    <definedName name="ปาล์มยักษ์" localSheetId="3">#REF!</definedName>
    <definedName name="ปาล์มยักษ์" localSheetId="4">#REF!</definedName>
    <definedName name="ปาล์มยักษ์" localSheetId="71">#REF!</definedName>
    <definedName name="ปาล์มยักษ์" localSheetId="69">#REF!</definedName>
    <definedName name="ปาล์มยักษ์" localSheetId="70">#REF!</definedName>
    <definedName name="ปาล์มยักษ์" localSheetId="2">#REF!</definedName>
    <definedName name="ปาล์มยักษ์">#REF!</definedName>
    <definedName name="ปาล์มสิบสองปันนา" localSheetId="3">#REF!</definedName>
    <definedName name="ปาล์มสิบสองปันนา" localSheetId="4">#REF!</definedName>
    <definedName name="ปาล์มสิบสองปันนา" localSheetId="71">#REF!</definedName>
    <definedName name="ปาล์มสิบสองปันนา" localSheetId="2">#REF!</definedName>
    <definedName name="ปาล์มสิบสองปันนา">#REF!</definedName>
    <definedName name="ปาล์มสิบสองปันนา_" localSheetId="3">'[42]หมวด 10'!#REF!</definedName>
    <definedName name="ปาล์มสิบสองปันนา_" localSheetId="4">'[42]หมวด 10'!#REF!</definedName>
    <definedName name="ปาล์มสิบสองปันนา_" localSheetId="71">'[42]หมวด 10'!#REF!</definedName>
    <definedName name="ปาล์มสิบสองปันนา_" localSheetId="2">'[42]หมวด 10'!#REF!</definedName>
    <definedName name="ปาล์มสิบสองปันนา_">'[42]หมวด 10'!#REF!</definedName>
    <definedName name="ปูนขาว" localSheetId="3">#REF!</definedName>
    <definedName name="ปูนขาว" localSheetId="4">#REF!</definedName>
    <definedName name="ปูนขาว" localSheetId="5">#REF!</definedName>
    <definedName name="ปูนขาว" localSheetId="18">#REF!</definedName>
    <definedName name="ปูนขาว" localSheetId="30">#REF!</definedName>
    <definedName name="ปูนขาว" localSheetId="56">#REF!</definedName>
    <definedName name="ปูนขาว" localSheetId="43">#REF!</definedName>
    <definedName name="ปูนขาว" localSheetId="71">#REF!</definedName>
    <definedName name="ปูนขาว" localSheetId="69">#REF!</definedName>
    <definedName name="ปูนขาว" localSheetId="70">#REF!</definedName>
    <definedName name="ปูนขาว" localSheetId="74">#REF!</definedName>
    <definedName name="ปูนขาว" localSheetId="2">#REF!</definedName>
    <definedName name="ปูนขาว">#REF!</definedName>
    <definedName name="ปูนขาวไม่รวมขนส่ง" localSheetId="3">#REF!</definedName>
    <definedName name="ปูนขาวไม่รวมขนส่ง" localSheetId="4">#REF!</definedName>
    <definedName name="ปูนขาวไม่รวมขนส่ง" localSheetId="71">#REF!</definedName>
    <definedName name="ปูนขาวไม่รวมขนส่ง" localSheetId="69">#REF!</definedName>
    <definedName name="ปูนขาวไม่รวมขนส่ง" localSheetId="70">#REF!</definedName>
    <definedName name="ปูนขาวไม่รวมขนส่ง" localSheetId="2">#REF!</definedName>
    <definedName name="ปูนขาวไม่รวมขนส่ง">#REF!</definedName>
    <definedName name="ปูนซีเมนต์ผสม" localSheetId="3">#REF!</definedName>
    <definedName name="ปูนซีเมนต์ผสม" localSheetId="4">#REF!</definedName>
    <definedName name="ปูนซีเมนต์ผสม" localSheetId="71">#REF!</definedName>
    <definedName name="ปูนซีเมนต์ผสม" localSheetId="69">#REF!</definedName>
    <definedName name="ปูนซีเมนต์ผสม" localSheetId="70">#REF!</definedName>
    <definedName name="ปูนซีเมนต์ผสม" localSheetId="2">#REF!</definedName>
    <definedName name="ปูนซีเมนต์ผสม">#REF!</definedName>
    <definedName name="ปูนซีเมนต์ผสมไม่รวมขนส่ง" localSheetId="3">#REF!</definedName>
    <definedName name="ปูนซีเมนต์ผสมไม่รวมขนส่ง" localSheetId="4">#REF!</definedName>
    <definedName name="ปูนซีเมนต์ผสมไม่รวมขนส่ง" localSheetId="71">#REF!</definedName>
    <definedName name="ปูนซีเมนต์ผสมไม่รวมขนส่ง" localSheetId="2">#REF!</definedName>
    <definedName name="ปูนซีเมนต์ผสมไม่รวมขนส่ง">#REF!</definedName>
    <definedName name="ปูนทรายผนังหนา1.5ซม." localSheetId="3">#REF!</definedName>
    <definedName name="ปูนทรายผนังหนา1.5ซม." localSheetId="4">#REF!</definedName>
    <definedName name="ปูนทรายผนังหนา1.5ซม." localSheetId="71">#REF!</definedName>
    <definedName name="ปูนทรายผนังหนา1.5ซม." localSheetId="2">#REF!</definedName>
    <definedName name="ปูนทรายผนังหนา1.5ซม.">#REF!</definedName>
    <definedName name="ปูนทรายพื้นผิวขัดมันผสมกันซึม" localSheetId="3">#REF!</definedName>
    <definedName name="ปูนทรายพื้นผิวขัดมันผสมกันซึม" localSheetId="4">#REF!</definedName>
    <definedName name="ปูนทรายพื้นผิวขัดมันผสมกันซึม" localSheetId="71">#REF!</definedName>
    <definedName name="ปูนทรายพื้นผิวขัดมันผสมกันซึม" localSheetId="2">#REF!</definedName>
    <definedName name="ปูนทรายพื้นผิวขัดมันผสมกันซึม">#REF!</definedName>
    <definedName name="ปูนทรายพื้นผิวซีเมนต์ขัดมัน" localSheetId="3">#REF!</definedName>
    <definedName name="ปูนทรายพื้นผิวซีเมนต์ขัดมัน" localSheetId="4">#REF!</definedName>
    <definedName name="ปูนทรายพื้นผิวซีเมนต์ขัดมัน" localSheetId="71">#REF!</definedName>
    <definedName name="ปูนทรายพื้นผิวซีเมนต์ขัดมัน" localSheetId="2">#REF!</definedName>
    <definedName name="ปูนทรายพื้นผิวซีเมนต์ขัดมัน">#REF!</definedName>
    <definedName name="ปูนทรายรองพื้น3ซม." localSheetId="3">#REF!</definedName>
    <definedName name="ปูนทรายรองพื้น3ซม." localSheetId="4">#REF!</definedName>
    <definedName name="ปูนทรายรองพื้น3ซม." localSheetId="71">#REF!</definedName>
    <definedName name="ปูนทรายรองพื้น3ซม." localSheetId="2">#REF!</definedName>
    <definedName name="ปูนทรายรองพื้น3ซม.">#REF!</definedName>
    <definedName name="ปูนผสม" localSheetId="3">#REF!</definedName>
    <definedName name="ปูนผสม" localSheetId="4">#REF!</definedName>
    <definedName name="ปูนผสม" localSheetId="71">#REF!</definedName>
    <definedName name="ปูนผสม" localSheetId="2">#REF!</definedName>
    <definedName name="ปูนผสม">#REF!</definedName>
    <definedName name="ปูนผสมไม่รวมขนส่ง" localSheetId="3">#REF!</definedName>
    <definedName name="ปูนผสมไม่รวมขนส่ง" localSheetId="4">#REF!</definedName>
    <definedName name="ปูนผสมไม่รวมขนส่ง" localSheetId="71">#REF!</definedName>
    <definedName name="ปูนผสมไม่รวมขนส่ง" localSheetId="2">#REF!</definedName>
    <definedName name="ปูนผสมไม่รวมขนส่ง">#REF!</definedName>
    <definedName name="ผ" localSheetId="3">#REF!</definedName>
    <definedName name="ผ" localSheetId="4">#REF!</definedName>
    <definedName name="ผ" localSheetId="71">#REF!</definedName>
    <definedName name="ผ" localSheetId="2">#REF!</definedName>
    <definedName name="ผ">#REF!</definedName>
    <definedName name="ผนังแกรนิตดำไทย" localSheetId="3">#REF!</definedName>
    <definedName name="ผนังแกรนิตดำไทย" localSheetId="4">#REF!</definedName>
    <definedName name="ผนังแกรนิตดำไทย" localSheetId="71">#REF!</definedName>
    <definedName name="ผนังแกรนิตดำไทย" localSheetId="2">#REF!</definedName>
    <definedName name="ผนังแกรนิตดำไทย">#REF!</definedName>
    <definedName name="ผนังกรุแกรนิตโต้สีครีม12x24นิ้ว" localSheetId="3">#REF!</definedName>
    <definedName name="ผนังกรุแกรนิตโต้สีครีม12x24นิ้ว" localSheetId="4">#REF!</definedName>
    <definedName name="ผนังกรุแกรนิตโต้สีครีม12x24นิ้ว" localSheetId="71">#REF!</definedName>
    <definedName name="ผนังกรุแกรนิตโต้สีครีม12x24นิ้ว" localSheetId="2">#REF!</definedName>
    <definedName name="ผนังกรุแกรนิตโต้สีครีม12x24นิ้ว">#REF!</definedName>
    <definedName name="ผนังกรุไม้ฝา3นิ้วx8นิ้วx4ม.ตีชิดโครงทางตั้ง" localSheetId="3">#REF!</definedName>
    <definedName name="ผนังกรุไม้ฝา3นิ้วx8นิ้วx4ม.ตีชิดโครงทางตั้ง" localSheetId="4">#REF!</definedName>
    <definedName name="ผนังกรุไม้ฝา3นิ้วx8นิ้วx4ม.ตีชิดโครงทางตั้ง" localSheetId="71">#REF!</definedName>
    <definedName name="ผนังกรุไม้ฝา3นิ้วx8นิ้วx4ม.ตีชิดโครงทางตั้ง" localSheetId="2">#REF!</definedName>
    <definedName name="ผนังกรุไม้ฝา3นิ้วx8นิ้วx4ม.ตีชิดโครงทางตั้ง">#REF!</definedName>
    <definedName name="ผนังกรุไม้อัดซีเมนต์ภายนอกโครงเคร่าเหล็กชุบสังกะสีพร้อมติดตั้ง" localSheetId="3">#REF!</definedName>
    <definedName name="ผนังกรุไม้อัดซีเมนต์ภายนอกโครงเคร่าเหล็กชุบสังกะสีพร้อมติดตั้ง" localSheetId="4">#REF!</definedName>
    <definedName name="ผนังกรุไม้อัดซีเมนต์ภายนอกโครงเคร่าเหล็กชุบสังกะสีพร้อมติดตั้ง" localSheetId="71">#REF!</definedName>
    <definedName name="ผนังกรุไม้อัดซีเมนต์ภายนอกโครงเคร่าเหล็กชุบสังกะสีพร้อมติดตั้ง" localSheetId="2">#REF!</definedName>
    <definedName name="ผนังกรุไม้อัดซีเมนต์ภายนอกโครงเคร่าเหล็กชุบสังกะสีพร้อมติดตั้ง">#REF!</definedName>
    <definedName name="ผนังกรุกระเบื้องเซรามิค12x12นิ้วกาวซีเมนต์" localSheetId="3">#REF!</definedName>
    <definedName name="ผนังกรุกระเบื้องเซรามิค12x12นิ้วกาวซีเมนต์" localSheetId="4">#REF!</definedName>
    <definedName name="ผนังกรุกระเบื้องเซรามิค12x12นิ้วกาวซีเมนต์" localSheetId="71">#REF!</definedName>
    <definedName name="ผนังกรุกระเบื้องเซรามิค12x12นิ้วกาวซีเมนต์" localSheetId="2">#REF!</definedName>
    <definedName name="ผนังกรุกระเบื้องเซรามิค12x12นิ้วกาวซีเมนต์">#REF!</definedName>
    <definedName name="ผนังกรุกระเบื้องเซรามิค8x8นิ้ว" localSheetId="3">#REF!</definedName>
    <definedName name="ผนังกรุกระเบื้องเซรามิค8x8นิ้ว" localSheetId="4">#REF!</definedName>
    <definedName name="ผนังกรุกระเบื้องเซรามิค8x8นิ้ว" localSheetId="71">#REF!</definedName>
    <definedName name="ผนังกรุกระเบื้องเซรามิค8x8นิ้ว" localSheetId="2">#REF!</definedName>
    <definedName name="ผนังกรุกระเบื้องเซรามิค8x8นิ้ว">#REF!</definedName>
    <definedName name="ผนังกรุกระเบื้องเซรามิคสีเรียบ12x12นิ้ว" localSheetId="3">#REF!</definedName>
    <definedName name="ผนังกรุกระเบื้องเซรามิคสีเรียบ12x12นิ้ว" localSheetId="4">#REF!</definedName>
    <definedName name="ผนังกรุกระเบื้องเซรามิคสีเรียบ12x12นิ้ว" localSheetId="71">#REF!</definedName>
    <definedName name="ผนังกรุกระเบื้องเซรามิคสีเรียบ12x12นิ้ว" localSheetId="2">#REF!</definedName>
    <definedName name="ผนังกรุกระเบื้องเซรามิคสีเรียบ12x12นิ้ว">#REF!</definedName>
    <definedName name="ผนังกรุหินกาบ8x8นิ้ว" localSheetId="3">#REF!</definedName>
    <definedName name="ผนังกรุหินกาบ8x8นิ้ว" localSheetId="4">#REF!</definedName>
    <definedName name="ผนังกรุหินกาบ8x8นิ้ว" localSheetId="71">#REF!</definedName>
    <definedName name="ผนังกรุหินกาบ8x8นิ้ว" localSheetId="2">#REF!</definedName>
    <definedName name="ผนังกรุหินกาบ8x8นิ้ว">#REF!</definedName>
    <definedName name="ผนังกรุหินกาบผสมสี8x8นิ้ว" localSheetId="3">#REF!</definedName>
    <definedName name="ผนังกรุหินกาบผสมสี8x8นิ้ว" localSheetId="4">#REF!</definedName>
    <definedName name="ผนังกรุหินกาบผสมสี8x8นิ้ว" localSheetId="71">#REF!</definedName>
    <definedName name="ผนังกรุหินกาบผสมสี8x8นิ้ว" localSheetId="2">#REF!</definedName>
    <definedName name="ผนังกรุหินกาบผสมสี8x8นิ้ว">#REF!</definedName>
    <definedName name="ผนังกรุหินทราย4x12นิ้ว" localSheetId="3">#REF!</definedName>
    <definedName name="ผนังกรุหินทราย4x12นิ้ว" localSheetId="4">#REF!</definedName>
    <definedName name="ผนังกรุหินทราย4x12นิ้ว" localSheetId="71">#REF!</definedName>
    <definedName name="ผนังกรุหินทราย4x12นิ้ว" localSheetId="2">#REF!</definedName>
    <definedName name="ผนังกรุหินทราย4x12นิ้ว">#REF!</definedName>
    <definedName name="ผนังกรุหินทรายโมเสก" localSheetId="3">#REF!</definedName>
    <definedName name="ผนังกรุหินทรายโมเสก" localSheetId="4">#REF!</definedName>
    <definedName name="ผนังกรุหินทรายโมเสก" localSheetId="71">#REF!</definedName>
    <definedName name="ผนังกรุหินทรายโมเสก" localSheetId="2">#REF!</definedName>
    <definedName name="ผนังกรุหินทรายโมเสก">#REF!</definedName>
    <definedName name="ผนังฉาบเรียบเซาะร่อง" localSheetId="3">#REF!</definedName>
    <definedName name="ผนังฉาบเรียบเซาะร่อง" localSheetId="4">#REF!</definedName>
    <definedName name="ผนังฉาบเรียบเซาะร่อง" localSheetId="71">#REF!</definedName>
    <definedName name="ผนังฉาบเรียบเซาะร่อง" localSheetId="2">#REF!</definedName>
    <definedName name="ผนังฉาบเรียบเซาะร่อง">#REF!</definedName>
    <definedName name="ผนังฉาบผิวเรียบ" localSheetId="3">#REF!</definedName>
    <definedName name="ผนังฉาบผิวเรียบ" localSheetId="4">#REF!</definedName>
    <definedName name="ผนังฉาบผิวเรียบ" localSheetId="71">#REF!</definedName>
    <definedName name="ผนังฉาบผิวเรียบ" localSheetId="2">#REF!</definedName>
    <definedName name="ผนังฉาบผิวเรียบ">#REF!</definedName>
    <definedName name="ผนังฉาบผิวเรียบขัดมัน" localSheetId="3">#REF!</definedName>
    <definedName name="ผนังฉาบผิวเรียบขัดมัน" localSheetId="4">#REF!</definedName>
    <definedName name="ผนังฉาบผิวเรียบขัดมัน" localSheetId="71">#REF!</definedName>
    <definedName name="ผนังฉาบผิวเรียบขัดมัน" localSheetId="2">#REF!</definedName>
    <definedName name="ผนังฉาบผิวเรียบขัดมัน">#REF!</definedName>
    <definedName name="ผนังฉาบผิวเรียบขัดมันกันซึม" localSheetId="3">#REF!</definedName>
    <definedName name="ผนังฉาบผิวเรียบขัดมันกันซึม" localSheetId="4">#REF!</definedName>
    <definedName name="ผนังฉาบผิวเรียบขัดมันกันซึม" localSheetId="71">#REF!</definedName>
    <definedName name="ผนังฉาบผิวเรียบขัดมันกันซึม" localSheetId="2">#REF!</definedName>
    <definedName name="ผนังฉาบผิวเรียบขัดมันกันซึม">#REF!</definedName>
    <definedName name="ผนังผิวกรวดล้าง" localSheetId="3">#REF!</definedName>
    <definedName name="ผนังผิวกรวดล้าง" localSheetId="4">#REF!</definedName>
    <definedName name="ผนังผิวกรวดล้าง" localSheetId="71">#REF!</definedName>
    <definedName name="ผนังผิวกรวดล้าง" localSheetId="2">#REF!</definedName>
    <definedName name="ผนังผิวกรวดล้าง">#REF!</definedName>
    <definedName name="ผนังผิวทรายล้าง" localSheetId="3">#REF!</definedName>
    <definedName name="ผนังผิวทรายล้าง" localSheetId="4">#REF!</definedName>
    <definedName name="ผนังผิวทรายล้าง" localSheetId="71">#REF!</definedName>
    <definedName name="ผนังผิวทรายล้าง" localSheetId="2">#REF!</definedName>
    <definedName name="ผนังผิวทรายล้าง">#REF!</definedName>
    <definedName name="ผนังยิปซั่มบอร์ดลดเสียงสะท้อนโครงเหล็กชุบสังกะสีพร้อมติดตั้ง" localSheetId="3">#REF!</definedName>
    <definedName name="ผนังยิปซั่มบอร์ดลดเสียงสะท้อนโครงเหล็กชุบสังกะสีพร้อมติดตั้ง" localSheetId="4">#REF!</definedName>
    <definedName name="ผนังยิปซั่มบอร์ดลดเสียงสะท้อนโครงเหล็กชุบสังกะสีพร้อมติดตั้ง" localSheetId="71">#REF!</definedName>
    <definedName name="ผนังยิปซั่มบอร์ดลดเสียงสะท้อนโครงเหล็กชุบสังกะสีพร้อมติดตั้ง" localSheetId="2">#REF!</definedName>
    <definedName name="ผนังยิปซั่มบอร์ดลดเสียงสะท้อนโครงเหล็กชุบสังกะสีพร้อมติดตั้ง">#REF!</definedName>
    <definedName name="ผสมหินคลุก_งานพื้นทาง" localSheetId="3">#REF!</definedName>
    <definedName name="ผสมหินคลุก_งานพื้นทาง" localSheetId="4">#REF!</definedName>
    <definedName name="ผสมหินคลุก_งานพื้นทาง" localSheetId="71">#REF!</definedName>
    <definedName name="ผสมหินคลุก_งานพื้นทาง" localSheetId="2">#REF!</definedName>
    <definedName name="ผสมหินคลุก_งานพื้นทาง">#REF!</definedName>
    <definedName name="ผักบุ้งทะเล" localSheetId="3">#REF!</definedName>
    <definedName name="ผักบุ้งทะเล" localSheetId="4">#REF!</definedName>
    <definedName name="ผักบุ้งทะเล" localSheetId="71">#REF!</definedName>
    <definedName name="ผักบุ้งทะเล" localSheetId="2">#REF!</definedName>
    <definedName name="ผักบุ้งทะเล">#REF!</definedName>
    <definedName name="ฝ้าฉาบเรียบท้องพื้น" localSheetId="3">#REF!</definedName>
    <definedName name="ฝ้าฉาบเรียบท้องพื้น" localSheetId="4">#REF!</definedName>
    <definedName name="ฝ้าฉาบเรียบท้องพื้น" localSheetId="71">#REF!</definedName>
    <definedName name="ฝ้าฉาบเรียบท้องพื้น" localSheetId="2">#REF!</definedName>
    <definedName name="ฝ้าฉาบเรียบท้องพื้น">#REF!</definedName>
    <definedName name="ฝ้ายิปซั่ม9มม.โครงเคร่าเหล็กชุบรวมค่าแรง" localSheetId="3">#REF!</definedName>
    <definedName name="ฝ้ายิปซั่ม9มม.โครงเคร่าเหล็กชุบรวมค่าแรง" localSheetId="4">#REF!</definedName>
    <definedName name="ฝ้ายิปซั่ม9มม.โครงเคร่าเหล็กชุบรวมค่าแรง" localSheetId="71">#REF!</definedName>
    <definedName name="ฝ้ายิปซั่ม9มม.โครงเคร่าเหล็กชุบรวมค่าแรง" localSheetId="2">#REF!</definedName>
    <definedName name="ฝ้ายิปซั่ม9มม.โครงเคร่าเหล็กชุบรวมค่าแรง">#REF!</definedName>
    <definedName name="ฝ้ายิปซั่มกันชื้นหนา9มม.โครงเคร่าเหล็กชุบสังกะสีรวมค่าแรง" localSheetId="3">#REF!</definedName>
    <definedName name="ฝ้ายิปซั่มกันชื้นหนา9มม.โครงเคร่าเหล็กชุบสังกะสีรวมค่าแรง" localSheetId="4">#REF!</definedName>
    <definedName name="ฝ้ายิปซั่มกันชื้นหนา9มม.โครงเคร่าเหล็กชุบสังกะสีรวมค่าแรง" localSheetId="71">#REF!</definedName>
    <definedName name="ฝ้ายิปซั่มกันชื้นหนา9มม.โครงเคร่าเหล็กชุบสังกะสีรวมค่าแรง" localSheetId="2">#REF!</definedName>
    <definedName name="ฝ้ายิปซั่มกันชื้นหนา9มม.โครงเคร่าเหล็กชุบสังกะสีรวมค่าแรง">#REF!</definedName>
    <definedName name="ฝ้ายิปซัมหนา9มม.ดัดโค้งโครงเคร่าเหล็กชุบสังกะสีรวมค่าแรง" localSheetId="3">#REF!</definedName>
    <definedName name="ฝ้ายิปซัมหนา9มม.ดัดโค้งโครงเคร่าเหล็กชุบสังกะสีรวมค่าแรง" localSheetId="4">#REF!</definedName>
    <definedName name="ฝ้ายิปซัมหนา9มม.ดัดโค้งโครงเคร่าเหล็กชุบสังกะสีรวมค่าแรง" localSheetId="71">#REF!</definedName>
    <definedName name="ฝ้ายิปซัมหนา9มม.ดัดโค้งโครงเคร่าเหล็กชุบสังกะสีรวมค่าแรง" localSheetId="2">#REF!</definedName>
    <definedName name="ฝ้ายิปซัมหนา9มม.ดัดโค้งโครงเคร่าเหล็กชุบสังกะสีรวมค่าแรง">#REF!</definedName>
    <definedName name="พลับพลึงตีนเป็ด" localSheetId="3">#REF!</definedName>
    <definedName name="พลับพลึงตีนเป็ด" localSheetId="4">#REF!</definedName>
    <definedName name="พลับพลึงตีนเป็ด" localSheetId="71">#REF!</definedName>
    <definedName name="พลับพลึงตีนเป็ด" localSheetId="2">#REF!</definedName>
    <definedName name="พลับพลึงตีนเป็ด">#REF!</definedName>
    <definedName name="พลับพลึงหางหนู" localSheetId="3">#REF!</definedName>
    <definedName name="พลับพลึงหางหนู" localSheetId="4">#REF!</definedName>
    <definedName name="พลับพลึงหางหนู" localSheetId="71">#REF!</definedName>
    <definedName name="พลับพลึงหางหนู" localSheetId="2">#REF!</definedName>
    <definedName name="พลับพลึงหางหนู">#REF!</definedName>
    <definedName name="พลาสติก_0.07" localSheetId="3">#REF!</definedName>
    <definedName name="พลาสติก_0.07" localSheetId="4">#REF!</definedName>
    <definedName name="พลาสติก_0.07" localSheetId="71">#REF!</definedName>
    <definedName name="พลาสติก_0.07" localSheetId="2">#REF!</definedName>
    <definedName name="พลาสติก_0.07">#REF!</definedName>
    <definedName name="พลาสติก_0.10" localSheetId="3">#REF!</definedName>
    <definedName name="พลาสติก_0.10" localSheetId="4">#REF!</definedName>
    <definedName name="พลาสติก_0.10" localSheetId="71">#REF!</definedName>
    <definedName name="พลาสติก_0.10" localSheetId="2">#REF!</definedName>
    <definedName name="พลาสติก_0.10">#REF!</definedName>
    <definedName name="พลาสติก_0.15" localSheetId="3">#REF!</definedName>
    <definedName name="พลาสติก_0.15" localSheetId="4">#REF!</definedName>
    <definedName name="พลาสติก_0.15" localSheetId="71">#REF!</definedName>
    <definedName name="พลาสติก_0.15" localSheetId="2">#REF!</definedName>
    <definedName name="พลาสติก_0.15">#REF!</definedName>
    <definedName name="พลูฉลุ" localSheetId="3">#REF!</definedName>
    <definedName name="พลูฉลุ" localSheetId="4">#REF!</definedName>
    <definedName name="พลูฉลุ" localSheetId="71">#REF!</definedName>
    <definedName name="พลูฉลุ" localSheetId="2">#REF!</definedName>
    <definedName name="พลูฉลุ">#REF!</definedName>
    <definedName name="พื้นแกรนิตโต้สีครีม12x12นิ้ว" localSheetId="3">#REF!</definedName>
    <definedName name="พื้นแกรนิตโต้สีครีม12x12นิ้ว" localSheetId="4">#REF!</definedName>
    <definedName name="พื้นแกรนิตโต้สีครีม12x12นิ้ว" localSheetId="71">#REF!</definedName>
    <definedName name="พื้นแกรนิตโต้สีครีม12x12นิ้ว" localSheetId="2">#REF!</definedName>
    <definedName name="พื้นแกรนิตโต้สีครีม12x12นิ้ว">#REF!</definedName>
    <definedName name="พื้นแกรนิตดำไทยขัดด้าน0.30x0.30ม.หนา2ซม." localSheetId="3">#REF!</definedName>
    <definedName name="พื้นแกรนิตดำไทยขัดด้าน0.30x0.30ม.หนา2ซม." localSheetId="4">#REF!</definedName>
    <definedName name="พื้นแกรนิตดำไทยขัดด้าน0.30x0.30ม.หนา2ซม." localSheetId="71">#REF!</definedName>
    <definedName name="พื้นแกรนิตดำไทยขัดด้าน0.30x0.30ม.หนา2ซม." localSheetId="2">#REF!</definedName>
    <definedName name="พื้นแกรนิตดำไทยขัดด้าน0.30x0.30ม.หนา2ซม.">#REF!</definedName>
    <definedName name="พื้นแกรนิตดำไทยขัดมัน0.30x0.30ม.หนา2ซม." localSheetId="3">#REF!</definedName>
    <definedName name="พื้นแกรนิตดำไทยขัดมัน0.30x0.30ม.หนา2ซม." localSheetId="4">#REF!</definedName>
    <definedName name="พื้นแกรนิตดำไทยขัดมัน0.30x0.30ม.หนา2ซม." localSheetId="71">#REF!</definedName>
    <definedName name="พื้นแกรนิตดำไทยขัดมัน0.30x0.30ม.หนา2ซม." localSheetId="2">#REF!</definedName>
    <definedName name="พื้นแกรนิตดำไทยขัดมัน0.30x0.30ม.หนา2ซม.">#REF!</definedName>
    <definedName name="พื้นแกรนิตดำไทยผิวด้าน0.60x1.20ม.หนา2ซม." localSheetId="3">#REF!</definedName>
    <definedName name="พื้นแกรนิตดำไทยผิวด้าน0.60x1.20ม.หนา2ซม." localSheetId="4">#REF!</definedName>
    <definedName name="พื้นแกรนิตดำไทยผิวด้าน0.60x1.20ม.หนา2ซม." localSheetId="71">#REF!</definedName>
    <definedName name="พื้นแกรนิตดำไทยผิวด้าน0.60x1.20ม.หนา2ซม." localSheetId="2">#REF!</definedName>
    <definedName name="พื้นแกรนิตดำไทยผิวด้าน0.60x1.20ม.หนา2ซม.">#REF!</definedName>
    <definedName name="พื้นไฟเบอร์ซีเมนต์หนา15มม.บนตงไม้และปูทับด้วยไม้สำเร็จรูปหนา1นิ้ว" localSheetId="3">#REF!</definedName>
    <definedName name="พื้นไฟเบอร์ซีเมนต์หนา15มม.บนตงไม้และปูทับด้วยไม้สำเร็จรูปหนา1นิ้ว" localSheetId="4">#REF!</definedName>
    <definedName name="พื้นไฟเบอร์ซีเมนต์หนา15มม.บนตงไม้และปูทับด้วยไม้สำเร็จรูปหนา1นิ้ว" localSheetId="71">#REF!</definedName>
    <definedName name="พื้นไฟเบอร์ซีเมนต์หนา15มม.บนตงไม้และปูทับด้วยไม้สำเร็จรูปหนา1นิ้ว" localSheetId="2">#REF!</definedName>
    <definedName name="พื้นไฟเบอร์ซีเมนต์หนา15มม.บนตงไม้และปูทับด้วยไม้สำเร็จรูปหนา1นิ้ว">#REF!</definedName>
    <definedName name="พื้นกระเบื้องเซรามิคมีลวดลาย12x12นิ้ว" localSheetId="3">#REF!</definedName>
    <definedName name="พื้นกระเบื้องเซรามิคมีลวดลาย12x12นิ้ว" localSheetId="4">#REF!</definedName>
    <definedName name="พื้นกระเบื้องเซรามิคมีลวดลาย12x12นิ้ว" localSheetId="71">#REF!</definedName>
    <definedName name="พื้นกระเบื้องเซรามิคมีลวดลาย12x12นิ้ว" localSheetId="2">#REF!</definedName>
    <definedName name="พื้นกระเบื้องเซรามิคมีลวดลาย12x12นิ้ว">#REF!</definedName>
    <definedName name="พื้นทรายล้าง" localSheetId="3">#REF!</definedName>
    <definedName name="พื้นทรายล้าง" localSheetId="4">#REF!</definedName>
    <definedName name="พื้นทรายล้าง" localSheetId="71">#REF!</definedName>
    <definedName name="พื้นทรายล้าง" localSheetId="2">#REF!</definedName>
    <definedName name="พื้นทรายล้าง">#REF!</definedName>
    <definedName name="พื้นทำผิวกรวดล้าง" localSheetId="3">#REF!</definedName>
    <definedName name="พื้นทำผิวกรวดล้าง" localSheetId="4">#REF!</definedName>
    <definedName name="พื้นทำผิวกรวดล้าง" localSheetId="71">#REF!</definedName>
    <definedName name="พื้นทำผิวกรวดล้าง" localSheetId="2">#REF!</definedName>
    <definedName name="พื้นทำผิวกรวดล้าง">#REF!</definedName>
    <definedName name="พื้นทำผิวทรายล้าง" localSheetId="3">#REF!</definedName>
    <definedName name="พื้นทำผิวทรายล้าง" localSheetId="4">#REF!</definedName>
    <definedName name="พื้นทำผิวทรายล้าง" localSheetId="71">#REF!</definedName>
    <definedName name="พื้นทำผิวทรายล้าง" localSheetId="2">#REF!</definedName>
    <definedName name="พื้นทำผิวทรายล้าง">#REF!</definedName>
    <definedName name="พื้นปูกระเบื้องเซรามิคสีเรียบ8x8นิ้ว" localSheetId="3">#REF!</definedName>
    <definedName name="พื้นปูกระเบื้องเซรามิคสีเรียบ8x8นิ้ว" localSheetId="4">#REF!</definedName>
    <definedName name="พื้นปูกระเบื้องเซรามิคสีเรียบ8x8นิ้ว" localSheetId="71">#REF!</definedName>
    <definedName name="พื้นปูกระเบื้องเซรามิคสีเรียบ8x8นิ้ว" localSheetId="2">#REF!</definedName>
    <definedName name="พื้นปูกระเบื้องเซรามิคสีเรียบ8x8นิ้ว">#REF!</definedName>
    <definedName name="พื้นปูกระเบื้องสีเรียบ12x12นิ้ว" localSheetId="3">#REF!</definedName>
    <definedName name="พื้นปูกระเบื้องสีเรียบ12x12นิ้ว" localSheetId="4">#REF!</definedName>
    <definedName name="พื้นปูกระเบื้องสีเรียบ12x12นิ้ว" localSheetId="71">#REF!</definedName>
    <definedName name="พื้นปูกระเบื้องสีเรียบ12x12นิ้ว" localSheetId="2">#REF!</definedName>
    <definedName name="พื้นปูกระเบื้องสีเรียบ12x12นิ้ว">#REF!</definedName>
    <definedName name="พื้นสะพานคอนกรีตช่วง_20_เมตร" localSheetId="3">#REF!</definedName>
    <definedName name="พื้นสะพานคอนกรีตช่วง_20_เมตร" localSheetId="4">#REF!</definedName>
    <definedName name="พื้นสะพานคอนกรีตช่วง_20_เมตร" localSheetId="71">#REF!</definedName>
    <definedName name="พื้นสะพานคอนกรีตช่วง_20_เมตร" localSheetId="2">#REF!</definedName>
    <definedName name="พื้นสะพานคอนกรีตช่วง_20_เมตร">#REF!</definedName>
    <definedName name="พื้นสะพานคอนกรีตช่วง30เมตร" localSheetId="3">#REF!</definedName>
    <definedName name="พื้นสะพานคอนกรีตช่วง30เมตร" localSheetId="4">#REF!</definedName>
    <definedName name="พื้นสะพานคอนกรีตช่วง30เมตร" localSheetId="71">#REF!</definedName>
    <definedName name="พื้นสะพานคอนกรีตช่วง30เมตร" localSheetId="2">#REF!</definedName>
    <definedName name="พื้นสะพานคอนกรีตช่วง30เมตร">#REF!</definedName>
    <definedName name="พื้นหินขัดสีเลือดหมู" localSheetId="3">#REF!</definedName>
    <definedName name="พื้นหินขัดสีเลือดหมู" localSheetId="4">#REF!</definedName>
    <definedName name="พื้นหินขัดสีเลือดหมู" localSheetId="71">#REF!</definedName>
    <definedName name="พื้นหินขัดสีเลือดหมู" localSheetId="2">#REF!</definedName>
    <definedName name="พื้นหินขัดสีเลือดหมู">#REF!</definedName>
    <definedName name="พื้นหินขัดสีเหลืองชมพู" localSheetId="3">#REF!</definedName>
    <definedName name="พื้นหินขัดสีเหลืองชมพู" localSheetId="4">#REF!</definedName>
    <definedName name="พื้นหินขัดสีเหลืองชมพู" localSheetId="71">#REF!</definedName>
    <definedName name="พื้นหินขัดสีเหลืองชมพู" localSheetId="2">#REF!</definedName>
    <definedName name="พื้นหินขัดสีเหลืองชมพู">#REF!</definedName>
    <definedName name="พื้นหินขัดสีขาวดำ" localSheetId="3">#REF!</definedName>
    <definedName name="พื้นหินขัดสีขาวดำ" localSheetId="4">#REF!</definedName>
    <definedName name="พื้นหินขัดสีขาวดำ" localSheetId="71">#REF!</definedName>
    <definedName name="พื้นหินขัดสีขาวดำ" localSheetId="2">#REF!</definedName>
    <definedName name="พื้นหินขัดสีขาวดำ">#REF!</definedName>
    <definedName name="ฟ700">[35]LITF!#REF!</definedName>
    <definedName name="มอนต่า" localSheetId="3">#REF!</definedName>
    <definedName name="มอนต่า" localSheetId="4">#REF!</definedName>
    <definedName name="มอนต่า" localSheetId="71">#REF!</definedName>
    <definedName name="มอนต่า" localSheetId="69">#REF!</definedName>
    <definedName name="มอนต่า" localSheetId="74">#REF!</definedName>
    <definedName name="มอนต่า" localSheetId="2">#REF!</definedName>
    <definedName name="มอนต่า">#REF!</definedName>
    <definedName name="ม้านั่งก่ออิฐขัดมันtopหินอ่อนขนาด0.5x2.75ม." localSheetId="3">#REF!</definedName>
    <definedName name="ม้านั่งก่ออิฐขัดมันtopหินอ่อนขนาด0.5x2.75ม." localSheetId="4">#REF!</definedName>
    <definedName name="ม้านั่งก่ออิฐขัดมันtopหินอ่อนขนาด0.5x2.75ม." localSheetId="71">#REF!</definedName>
    <definedName name="ม้านั่งก่ออิฐขัดมันtopหินอ่อนขนาด0.5x2.75ม." localSheetId="2">#REF!</definedName>
    <definedName name="ม้านั่งก่ออิฐขัดมันtopหินอ่อนขนาด0.5x2.75ม.">#REF!</definedName>
    <definedName name="ย" localSheetId="3">#REF!</definedName>
    <definedName name="ย" localSheetId="4">#REF!</definedName>
    <definedName name="ย" localSheetId="71">#REF!</definedName>
    <definedName name="ย" localSheetId="2">#REF!</definedName>
    <definedName name="ย">#REF!</definedName>
    <definedName name="ย้ายหมุดกวี" localSheetId="3">#REF!</definedName>
    <definedName name="ย้ายหมุดกวี" localSheetId="4">#REF!</definedName>
    <definedName name="ย้ายหมุดกวี" localSheetId="71">#REF!</definedName>
    <definedName name="ย้ายหมุดกวี" localSheetId="2">#REF!</definedName>
    <definedName name="ย้ายหมุดกวี">#REF!</definedName>
    <definedName name="รถขนเหล็ก" localSheetId="3">#REF!</definedName>
    <definedName name="รถขนเหล็ก" localSheetId="4">#REF!</definedName>
    <definedName name="รถขนเหล็ก" localSheetId="71">#REF!</definedName>
    <definedName name="รถขนเหล็ก" localSheetId="2">#REF!</definedName>
    <definedName name="รถขนเหล็ก">#REF!</definedName>
    <definedName name="รถขนท่อ" localSheetId="3">#REF!</definedName>
    <definedName name="รถขนท่อ" localSheetId="4">#REF!</definedName>
    <definedName name="รถขนท่อ" localSheetId="71">#REF!</definedName>
    <definedName name="รถขนท่อ" localSheetId="2">#REF!</definedName>
    <definedName name="รถขนท่อ">#REF!</definedName>
    <definedName name="รถขนทิ้ง1" localSheetId="3">#REF!</definedName>
    <definedName name="รถขนทิ้ง1" localSheetId="4">#REF!</definedName>
    <definedName name="รถขนทิ้ง1" localSheetId="71">#REF!</definedName>
    <definedName name="รถขนทิ้ง1" localSheetId="2">#REF!</definedName>
    <definedName name="รถขนทิ้ง1">#REF!</definedName>
    <definedName name="รถขนทิ้ง2" localSheetId="3">#REF!</definedName>
    <definedName name="รถขนทิ้ง2" localSheetId="4">#REF!</definedName>
    <definedName name="รถขนทิ้ง2" localSheetId="71">#REF!</definedName>
    <definedName name="รถขนทิ้ง2" localSheetId="2">#REF!</definedName>
    <definedName name="รถขนทิ้ง2">#REF!</definedName>
    <definedName name="รถขนปูน" localSheetId="3">#REF!</definedName>
    <definedName name="รถขนปูน" localSheetId="4">#REF!</definedName>
    <definedName name="รถขนปูน" localSheetId="71">#REF!</definedName>
    <definedName name="รถขนปูน" localSheetId="2">#REF!</definedName>
    <definedName name="รถขนปูน">#REF!</definedName>
    <definedName name="รถขนยาง" localSheetId="3">#REF!</definedName>
    <definedName name="รถขนยาง" localSheetId="4">#REF!</definedName>
    <definedName name="รถขนยาง" localSheetId="71">#REF!</definedName>
    <definedName name="รถขนยาง" localSheetId="2">#REF!</definedName>
    <definedName name="รถขนยาง">#REF!</definedName>
    <definedName name="รถขนวัสดุรอบโครงการ1" localSheetId="3">#REF!</definedName>
    <definedName name="รถขนวัสดุรอบโครงการ1" localSheetId="4">#REF!</definedName>
    <definedName name="รถขนวัสดุรอบโครงการ1" localSheetId="71">#REF!</definedName>
    <definedName name="รถขนวัสดุรอบโครงการ1" localSheetId="2">#REF!</definedName>
    <definedName name="รถขนวัสดุรอบโครงการ1">#REF!</definedName>
    <definedName name="รถขนวัสดุรอบโครงการ2" localSheetId="3">#REF!</definedName>
    <definedName name="รถขนวัสดุรอบโครงการ2" localSheetId="4">#REF!</definedName>
    <definedName name="รถขนวัสดุรอบโครงการ2" localSheetId="71">#REF!</definedName>
    <definedName name="รถขนวัสดุรอบโครงการ2" localSheetId="2">#REF!</definedName>
    <definedName name="รถขนวัสดุรอบโครงการ2">#REF!</definedName>
    <definedName name="รถขนหิน" localSheetId="3">#REF!</definedName>
    <definedName name="รถขนหิน" localSheetId="4">#REF!</definedName>
    <definedName name="รถขนหิน" localSheetId="71">#REF!</definedName>
    <definedName name="รถขนหิน" localSheetId="2">#REF!</definedName>
    <definedName name="รถขนหิน">#REF!</definedName>
    <definedName name="รถขนอื่นๆ1" localSheetId="3">#REF!</definedName>
    <definedName name="รถขนอื่นๆ1" localSheetId="4">#REF!</definedName>
    <definedName name="รถขนอื่นๆ1" localSheetId="71">#REF!</definedName>
    <definedName name="รถขนอื่นๆ1" localSheetId="2">#REF!</definedName>
    <definedName name="รถขนอื่นๆ1">#REF!</definedName>
    <definedName name="รถขนอื่นๆ2" localSheetId="3">#REF!</definedName>
    <definedName name="รถขนอื่นๆ2" localSheetId="4">#REF!</definedName>
    <definedName name="รถขนอื่นๆ2" localSheetId="71">#REF!</definedName>
    <definedName name="รถขนอื่นๆ2" localSheetId="2">#REF!</definedName>
    <definedName name="รถขนอื่นๆ2">#REF!</definedName>
    <definedName name="รวมงานเบ็ดเตล็ด" localSheetId="3">#REF!</definedName>
    <definedName name="รวมงานเบ็ดเตล็ด" localSheetId="4">#REF!</definedName>
    <definedName name="รวมงานเบ็ดเตล็ด" localSheetId="71">#REF!</definedName>
    <definedName name="รวมงานเบ็ดเตล็ด" localSheetId="2">#REF!</definedName>
    <definedName name="รวมงานเบ็ดเตล็ด">#REF!</definedName>
    <definedName name="รวมงานโครงสร้างทาง" localSheetId="3">#REF!</definedName>
    <definedName name="รวมงานโครงสร้างทาง" localSheetId="4">#REF!</definedName>
    <definedName name="รวมงานโครงสร้างทาง" localSheetId="71">#REF!</definedName>
    <definedName name="รวมงานโครงสร้างทาง" localSheetId="2">#REF!</definedName>
    <definedName name="รวมงานโครงสร้างทาง">#REF!</definedName>
    <definedName name="รวมงานดิน" localSheetId="3">#REF!</definedName>
    <definedName name="รวมงานดิน" localSheetId="4">#REF!</definedName>
    <definedName name="รวมงานดิน" localSheetId="71">#REF!</definedName>
    <definedName name="รวมงานดิน" localSheetId="2">#REF!</definedName>
    <definedName name="รวมงานดิน">#REF!</definedName>
    <definedName name="รวมงานดินย่อย_ยอดยกไป" localSheetId="3">[47]BOQ!#REF!</definedName>
    <definedName name="รวมงานดินย่อย_ยอดยกไป" localSheetId="4">[47]BOQ!#REF!</definedName>
    <definedName name="รวมงานดินย่อย_ยอดยกไป" localSheetId="71">[47]BOQ!#REF!</definedName>
    <definedName name="รวมงานดินย่อย_ยอดยกไป" localSheetId="2">[47]BOQ!#REF!</definedName>
    <definedName name="รวมงานดินย่อย_ยอดยกไป">[47]BOQ!#REF!</definedName>
    <definedName name="รวมงานระบบไฟฟ้าแสงสว่าง" localSheetId="3">#REF!</definedName>
    <definedName name="รวมงานระบบไฟฟ้าแสงสว่าง" localSheetId="4">#REF!</definedName>
    <definedName name="รวมงานระบบไฟฟ้าแสงสว่าง" localSheetId="5">#REF!</definedName>
    <definedName name="รวมงานระบบไฟฟ้าแสงสว่าง" localSheetId="18">#REF!</definedName>
    <definedName name="รวมงานระบบไฟฟ้าแสงสว่าง" localSheetId="30">#REF!</definedName>
    <definedName name="รวมงานระบบไฟฟ้าแสงสว่าง" localSheetId="56">#REF!</definedName>
    <definedName name="รวมงานระบบไฟฟ้าแสงสว่าง" localSheetId="43">#REF!</definedName>
    <definedName name="รวมงานระบบไฟฟ้าแสงสว่าง" localSheetId="71">#REF!</definedName>
    <definedName name="รวมงานระบบไฟฟ้าแสงสว่าง" localSheetId="69">#REF!</definedName>
    <definedName name="รวมงานระบบไฟฟ้าแสงสว่าง" localSheetId="70">#REF!</definedName>
    <definedName name="รวมงานระบบไฟฟ้าแสงสว่าง" localSheetId="74">#REF!</definedName>
    <definedName name="รวมงานระบบไฟฟ้าแสงสว่าง" localSheetId="2">#REF!</definedName>
    <definedName name="รวมงานระบบไฟฟ้าแสงสว่าง">#REF!</definedName>
    <definedName name="รวมงานระบบประปา" localSheetId="3">#REF!</definedName>
    <definedName name="รวมงานระบบประปา" localSheetId="4">#REF!</definedName>
    <definedName name="รวมงานระบบประปา" localSheetId="71">#REF!</definedName>
    <definedName name="รวมงานระบบประปา" localSheetId="69">#REF!</definedName>
    <definedName name="รวมงานระบบประปา" localSheetId="70">#REF!</definedName>
    <definedName name="รวมงานระบบประปา" localSheetId="2">#REF!</definedName>
    <definedName name="รวมงานระบบประปา">#REF!</definedName>
    <definedName name="รวมงานสาธารณูปโภค" localSheetId="3">#REF!</definedName>
    <definedName name="รวมงานสาธารณูปโภค" localSheetId="4">#REF!</definedName>
    <definedName name="รวมงานสาธารณูปโภค" localSheetId="71">#REF!</definedName>
    <definedName name="รวมงานสาธารณูปโภค" localSheetId="69">#REF!</definedName>
    <definedName name="รวมงานสาธารณูปโภค" localSheetId="70">#REF!</definedName>
    <definedName name="รวมงานสาธารณูปโภค" localSheetId="2">#REF!</definedName>
    <definedName name="รวมงานสาธารณูปโภค">#REF!</definedName>
    <definedName name="รวมภูมิทัศน์ReatAreaKM.122" localSheetId="3">#REF!</definedName>
    <definedName name="รวมภูมิทัศน์ReatAreaKM.122" localSheetId="4">#REF!</definedName>
    <definedName name="รวมภูมิทัศน์ReatAreaKM.122" localSheetId="71">#REF!</definedName>
    <definedName name="รวมภูมิทัศน์ReatAreaKM.122" localSheetId="2">#REF!</definedName>
    <definedName name="รวมภูมิทัศน์ReatAreaKM.122">#REF!</definedName>
    <definedName name="รวมย่อยงานเบ็ดเตล็ด_ยอดยกไป" localSheetId="3">[47]BOQ!#REF!</definedName>
    <definedName name="รวมย่อยงานเบ็ดเตล็ด_ยอดยกไป" localSheetId="4">[47]BOQ!#REF!</definedName>
    <definedName name="รวมย่อยงานเบ็ดเตล็ด_ยอดยกไป" localSheetId="71">[47]BOQ!#REF!</definedName>
    <definedName name="รวมย่อยงานเบ็ดเตล็ด_ยอดยกไป" localSheetId="2">[47]BOQ!#REF!</definedName>
    <definedName name="รวมย่อยงานเบ็ดเตล็ด_ยอดยกไป">[47]BOQ!#REF!</definedName>
    <definedName name="รวมย่อยงานเบ็ดเตล็ด_ยอดยกไป_4" localSheetId="3">[47]BOQ!#REF!</definedName>
    <definedName name="รวมย่อยงานเบ็ดเตล็ด_ยอดยกไป_4" localSheetId="4">[47]BOQ!#REF!</definedName>
    <definedName name="รวมย่อยงานเบ็ดเตล็ด_ยอดยกไป_4" localSheetId="71">[47]BOQ!#REF!</definedName>
    <definedName name="รวมย่อยงานเบ็ดเตล็ด_ยอดยกไป_4" localSheetId="2">[47]BOQ!#REF!</definedName>
    <definedName name="รวมย่อยงานเบ็ดเตล็ด_ยอดยกไป_4">[47]BOQ!#REF!</definedName>
    <definedName name="รวมย่อยงานโครงสร้างทาง_ยอดยกไป" localSheetId="3">[47]BOQ!#REF!</definedName>
    <definedName name="รวมย่อยงานโครงสร้างทาง_ยอดยกไป" localSheetId="4">[47]BOQ!#REF!</definedName>
    <definedName name="รวมย่อยงานโครงสร้างทาง_ยอดยกไป" localSheetId="71">[47]BOQ!#REF!</definedName>
    <definedName name="รวมย่อยงานโครงสร้างทาง_ยอดยกไป">[47]BOQ!#REF!</definedName>
    <definedName name="รวมย่อยงานระบบไฟฟ้าแสงสว่างอาคารAFL_1" localSheetId="3">#REF!</definedName>
    <definedName name="รวมย่อยงานระบบไฟฟ้าแสงสว่างอาคารAFL_1" localSheetId="4">#REF!</definedName>
    <definedName name="รวมย่อยงานระบบไฟฟ้าแสงสว่างอาคารAFL_1" localSheetId="5">#REF!</definedName>
    <definedName name="รวมย่อยงานระบบไฟฟ้าแสงสว่างอาคารAFL_1" localSheetId="18">#REF!</definedName>
    <definedName name="รวมย่อยงานระบบไฟฟ้าแสงสว่างอาคารAFL_1" localSheetId="30">#REF!</definedName>
    <definedName name="รวมย่อยงานระบบไฟฟ้าแสงสว่างอาคารAFL_1" localSheetId="56">#REF!</definedName>
    <definedName name="รวมย่อยงานระบบไฟฟ้าแสงสว่างอาคารAFL_1" localSheetId="43">#REF!</definedName>
    <definedName name="รวมย่อยงานระบบไฟฟ้าแสงสว่างอาคารAFL_1" localSheetId="71">#REF!</definedName>
    <definedName name="รวมย่อยงานระบบไฟฟ้าแสงสว่างอาคารAFL_1" localSheetId="69">#REF!</definedName>
    <definedName name="รวมย่อยงานระบบไฟฟ้าแสงสว่างอาคารAFL_1" localSheetId="70">#REF!</definedName>
    <definedName name="รวมย่อยงานระบบไฟฟ้าแสงสว่างอาคารAFL_1" localSheetId="74">#REF!</definedName>
    <definedName name="รวมย่อยงานระบบไฟฟ้าแสงสว่างอาคารAFL_1" localSheetId="2">#REF!</definedName>
    <definedName name="รวมย่อยงานระบบไฟฟ้าแสงสว่างอาคารAFL_1">#REF!</definedName>
    <definedName name="รวมย่อยงานระบบไฟฟ้าแสงสว่างอาคารAFL_2" localSheetId="3">#REF!</definedName>
    <definedName name="รวมย่อยงานระบบไฟฟ้าแสงสว่างอาคารAFL_2" localSheetId="4">#REF!</definedName>
    <definedName name="รวมย่อยงานระบบไฟฟ้าแสงสว่างอาคารAFL_2" localSheetId="71">#REF!</definedName>
    <definedName name="รวมย่อยงานระบบไฟฟ้าแสงสว่างอาคารAFL_2" localSheetId="69">#REF!</definedName>
    <definedName name="รวมย่อยงานระบบไฟฟ้าแสงสว่างอาคารAFL_2" localSheetId="70">#REF!</definedName>
    <definedName name="รวมย่อยงานระบบไฟฟ้าแสงสว่างอาคารAFL_2" localSheetId="2">#REF!</definedName>
    <definedName name="รวมย่อยงานระบบไฟฟ้าแสงสว่างอาคารAFL_2">#REF!</definedName>
    <definedName name="รวมย่อยงานระบบไฟฟ้าสนามบิน1" localSheetId="3">#REF!</definedName>
    <definedName name="รวมย่อยงานระบบไฟฟ้าสนามบิน1" localSheetId="4">#REF!</definedName>
    <definedName name="รวมย่อยงานระบบไฟฟ้าสนามบิน1" localSheetId="71">#REF!</definedName>
    <definedName name="รวมย่อยงานระบบไฟฟ้าสนามบิน1" localSheetId="69">#REF!</definedName>
    <definedName name="รวมย่อยงานระบบไฟฟ้าสนามบิน1" localSheetId="70">#REF!</definedName>
    <definedName name="รวมย่อยงานระบบไฟฟ้าสนามบิน1" localSheetId="2">#REF!</definedName>
    <definedName name="รวมย่อยงานระบบไฟฟ้าสนามบิน1">#REF!</definedName>
    <definedName name="รวมย่อยงานระบบไฟฟ้าสนามบิน2" localSheetId="3">#REF!</definedName>
    <definedName name="รวมย่อยงานระบบไฟฟ้าสนามบิน2" localSheetId="4">#REF!</definedName>
    <definedName name="รวมย่อยงานระบบไฟฟ้าสนามบิน2" localSheetId="71">#REF!</definedName>
    <definedName name="รวมย่อยงานระบบไฟฟ้าสนามบิน2" localSheetId="2">#REF!</definedName>
    <definedName name="รวมย่อยงานระบบไฟฟ้าสนามบิน2">#REF!</definedName>
    <definedName name="รวมย่อยงานระบบไฟฟ้าสนามบิน3" localSheetId="3">#REF!</definedName>
    <definedName name="รวมย่อยงานระบบไฟฟ้าสนามบิน3" localSheetId="4">#REF!</definedName>
    <definedName name="รวมย่อยงานระบบไฟฟ้าสนามบิน3" localSheetId="71">#REF!</definedName>
    <definedName name="รวมย่อยงานระบบไฟฟ้าสนามบิน3" localSheetId="2">#REF!</definedName>
    <definedName name="รวมย่อยงานระบบไฟฟ้าสนามบิน3">#REF!</definedName>
    <definedName name="รวมย่อยงานระบบไฟฟ้าสนามบิน4" localSheetId="3">#REF!</definedName>
    <definedName name="รวมย่อยงานระบบไฟฟ้าสนามบิน4" localSheetId="4">#REF!</definedName>
    <definedName name="รวมย่อยงานระบบไฟฟ้าสนามบิน4" localSheetId="71">#REF!</definedName>
    <definedName name="รวมย่อยงานระบบไฟฟ้าสนามบิน4" localSheetId="2">#REF!</definedName>
    <definedName name="รวมย่อยงานระบบไฟฟ้าสนามบิน4">#REF!</definedName>
    <definedName name="รวมย่อยงานระบบไฟฟ้าสนามบิน5" localSheetId="3">#REF!</definedName>
    <definedName name="รวมย่อยงานระบบไฟฟ้าสนามบิน5" localSheetId="4">#REF!</definedName>
    <definedName name="รวมย่อยงานระบบไฟฟ้าสนามบิน5" localSheetId="71">#REF!</definedName>
    <definedName name="รวมย่อยงานระบบไฟฟ้าสนามบิน5" localSheetId="2">#REF!</definedName>
    <definedName name="รวมย่อยงานระบบไฟฟ้าสนามบิน5">#REF!</definedName>
    <definedName name="รวมย่อยงานระบบไฟฟ้าสนามบิน6" localSheetId="3">#REF!</definedName>
    <definedName name="รวมย่อยงานระบบไฟฟ้าสนามบิน6" localSheetId="4">#REF!</definedName>
    <definedName name="รวมย่อยงานระบบไฟฟ้าสนามบิน6" localSheetId="71">#REF!</definedName>
    <definedName name="รวมย่อยงานระบบไฟฟ้าสนามบิน6" localSheetId="2">#REF!</definedName>
    <definedName name="รวมย่อยงานระบบไฟฟ้าสนามบิน6">#REF!</definedName>
    <definedName name="รวมย่อยงานระบบประปา1" localSheetId="3">#REF!</definedName>
    <definedName name="รวมย่อยงานระบบประปา1" localSheetId="4">#REF!</definedName>
    <definedName name="รวมย่อยงานระบบประปา1" localSheetId="71">#REF!</definedName>
    <definedName name="รวมย่อยงานระบบประปา1" localSheetId="2">#REF!</definedName>
    <definedName name="รวมย่อยงานระบบประปา1">#REF!</definedName>
    <definedName name="รวมย่อยงานระบบประปา10" localSheetId="3">#REF!</definedName>
    <definedName name="รวมย่อยงานระบบประปา10" localSheetId="4">#REF!</definedName>
    <definedName name="รวมย่อยงานระบบประปา10" localSheetId="71">#REF!</definedName>
    <definedName name="รวมย่อยงานระบบประปา10" localSheetId="2">#REF!</definedName>
    <definedName name="รวมย่อยงานระบบประปา10">#REF!</definedName>
    <definedName name="รวมย่อยงานระบบประปา11" localSheetId="3">#REF!</definedName>
    <definedName name="รวมย่อยงานระบบประปา11" localSheetId="4">#REF!</definedName>
    <definedName name="รวมย่อยงานระบบประปา11" localSheetId="71">#REF!</definedName>
    <definedName name="รวมย่อยงานระบบประปา11" localSheetId="2">#REF!</definedName>
    <definedName name="รวมย่อยงานระบบประปา11">#REF!</definedName>
    <definedName name="รวมย่อยงานระบบประปา2" localSheetId="3">#REF!</definedName>
    <definedName name="รวมย่อยงานระบบประปา2" localSheetId="4">#REF!</definedName>
    <definedName name="รวมย่อยงานระบบประปา2" localSheetId="71">#REF!</definedName>
    <definedName name="รวมย่อยงานระบบประปา2" localSheetId="2">#REF!</definedName>
    <definedName name="รวมย่อยงานระบบประปา2">#REF!</definedName>
    <definedName name="รวมย่อยงานระบบประปา3" localSheetId="3">#REF!</definedName>
    <definedName name="รวมย่อยงานระบบประปา3" localSheetId="4">#REF!</definedName>
    <definedName name="รวมย่อยงานระบบประปา3" localSheetId="71">#REF!</definedName>
    <definedName name="รวมย่อยงานระบบประปา3" localSheetId="2">#REF!</definedName>
    <definedName name="รวมย่อยงานระบบประปา3">#REF!</definedName>
    <definedName name="รวมย่อยงานระบบประปา4" localSheetId="3">#REF!</definedName>
    <definedName name="รวมย่อยงานระบบประปา4" localSheetId="4">#REF!</definedName>
    <definedName name="รวมย่อยงานระบบประปา4" localSheetId="71">#REF!</definedName>
    <definedName name="รวมย่อยงานระบบประปา4" localSheetId="2">#REF!</definedName>
    <definedName name="รวมย่อยงานระบบประปา4">#REF!</definedName>
    <definedName name="รวมย่อยงานระบบประปา5" localSheetId="3">#REF!</definedName>
    <definedName name="รวมย่อยงานระบบประปา5" localSheetId="4">#REF!</definedName>
    <definedName name="รวมย่อยงานระบบประปา5" localSheetId="71">#REF!</definedName>
    <definedName name="รวมย่อยงานระบบประปา5" localSheetId="2">#REF!</definedName>
    <definedName name="รวมย่อยงานระบบประปา5">#REF!</definedName>
    <definedName name="รวมย่อยงานระบบประปา6" localSheetId="3">#REF!</definedName>
    <definedName name="รวมย่อยงานระบบประปา6" localSheetId="4">#REF!</definedName>
    <definedName name="รวมย่อยงานระบบประปา6" localSheetId="71">#REF!</definedName>
    <definedName name="รวมย่อยงานระบบประปา6" localSheetId="2">#REF!</definedName>
    <definedName name="รวมย่อยงานระบบประปา6">#REF!</definedName>
    <definedName name="รวมย่อยงานระบบประปา7" localSheetId="3">#REF!</definedName>
    <definedName name="รวมย่อยงานระบบประปา7" localSheetId="4">#REF!</definedName>
    <definedName name="รวมย่อยงานระบบประปา7" localSheetId="71">#REF!</definedName>
    <definedName name="รวมย่อยงานระบบประปา7" localSheetId="2">#REF!</definedName>
    <definedName name="รวมย่อยงานระบบประปา7">#REF!</definedName>
    <definedName name="รวมย่อยงานระบบประปา8" localSheetId="3">#REF!</definedName>
    <definedName name="รวมย่อยงานระบบประปา8" localSheetId="4">#REF!</definedName>
    <definedName name="รวมย่อยงานระบบประปา8" localSheetId="71">#REF!</definedName>
    <definedName name="รวมย่อยงานระบบประปา8" localSheetId="2">#REF!</definedName>
    <definedName name="รวมย่อยงานระบบประปา8">#REF!</definedName>
    <definedName name="รวมย่อยงานระบบประปา9" localSheetId="3">#REF!</definedName>
    <definedName name="รวมย่อยงานระบบประปา9" localSheetId="4">#REF!</definedName>
    <definedName name="รวมย่อยงานระบบประปา9" localSheetId="71">#REF!</definedName>
    <definedName name="รวมย่อยงานระบบประปา9" localSheetId="2">#REF!</definedName>
    <definedName name="รวมย่อยงานระบบประปา9">#REF!</definedName>
    <definedName name="รวมย่อยราคางานเบ็ดเตล็ด1" localSheetId="3">#REF!</definedName>
    <definedName name="รวมย่อยราคางานเบ็ดเตล็ด1" localSheetId="4">#REF!</definedName>
    <definedName name="รวมย่อยราคางานเบ็ดเตล็ด1" localSheetId="71">#REF!</definedName>
    <definedName name="รวมย่อยราคางานเบ็ดเตล็ด1" localSheetId="2">#REF!</definedName>
    <definedName name="รวมย่อยราคางานเบ็ดเตล็ด1">#REF!</definedName>
    <definedName name="รวมย่อยราคางานเบ็ดเตล็ด2" localSheetId="3">#REF!</definedName>
    <definedName name="รวมย่อยราคางานเบ็ดเตล็ด2" localSheetId="4">#REF!</definedName>
    <definedName name="รวมย่อยราคางานเบ็ดเตล็ด2" localSheetId="71">#REF!</definedName>
    <definedName name="รวมย่อยราคางานเบ็ดเตล็ด2" localSheetId="2">#REF!</definedName>
    <definedName name="รวมย่อยราคางานเบ็ดเตล็ด2">#REF!</definedName>
    <definedName name="รวมราคา_I_30_ทั้งหมด" localSheetId="3">#REF!</definedName>
    <definedName name="รวมราคา_I_30_ทั้งหมด" localSheetId="4">#REF!</definedName>
    <definedName name="รวมราคา_I_30_ทั้งหมด" localSheetId="71">#REF!</definedName>
    <definedName name="รวมราคา_I_30_ทั้งหมด" localSheetId="2">#REF!</definedName>
    <definedName name="รวมราคา_I_30_ทั้งหมด">#REF!</definedName>
    <definedName name="รวมราคางานเบ็ดเตล็ด" localSheetId="3">#REF!</definedName>
    <definedName name="รวมราคางานเบ็ดเตล็ด" localSheetId="4">#REF!</definedName>
    <definedName name="รวมราคางานเบ็ดเตล็ด" localSheetId="71">#REF!</definedName>
    <definedName name="รวมราคางานเบ็ดเตล็ด" localSheetId="2">#REF!</definedName>
    <definedName name="รวมราคางานเบ็ดเตล็ด">#REF!</definedName>
    <definedName name="รวมราคางานโครงสร้าง" localSheetId="3">#REF!</definedName>
    <definedName name="รวมราคางานโครงสร้าง" localSheetId="4">#REF!</definedName>
    <definedName name="รวมราคางานโครงสร้าง" localSheetId="71">#REF!</definedName>
    <definedName name="รวมราคางานโครงสร้าง" localSheetId="2">#REF!</definedName>
    <definedName name="รวมราคางานโครงสร้าง">#REF!</definedName>
    <definedName name="รวมราคางานโครงสรางทาง" localSheetId="3">#REF!</definedName>
    <definedName name="รวมราคางานโครงสรางทาง" localSheetId="4">#REF!</definedName>
    <definedName name="รวมราคางานโครงสรางทาง" localSheetId="71">#REF!</definedName>
    <definedName name="รวมราคางานโครงสรางทาง" localSheetId="2">#REF!</definedName>
    <definedName name="รวมราคางานโครงสรางทาง">#REF!</definedName>
    <definedName name="รวมราคางานดิน" localSheetId="3">#REF!</definedName>
    <definedName name="รวมราคางานดิน" localSheetId="4">#REF!</definedName>
    <definedName name="รวมราคางานดิน" localSheetId="71">#REF!</definedName>
    <definedName name="รวมราคางานดิน" localSheetId="2">#REF!</definedName>
    <definedName name="รวมราคางานดิน">#REF!</definedName>
    <definedName name="รวมราคางานทั่วไป" localSheetId="3">#REF!</definedName>
    <definedName name="รวมราคางานทั่วไป" localSheetId="4">#REF!</definedName>
    <definedName name="รวมราคางานทั่วไป" localSheetId="71">#REF!</definedName>
    <definedName name="รวมราคางานทั่วไป" localSheetId="2">#REF!</definedName>
    <definedName name="รวมราคางานทั่วไป">#REF!</definedName>
    <definedName name="รวมศาลาA" localSheetId="3">#REF!</definedName>
    <definedName name="รวมศาลาA" localSheetId="4">#REF!</definedName>
    <definedName name="รวมศาลาA" localSheetId="71">#REF!</definedName>
    <definedName name="รวมศาลาA" localSheetId="2">#REF!</definedName>
    <definedName name="รวมศาลาA">#REF!</definedName>
    <definedName name="รวมหมวด1" localSheetId="3">#REF!</definedName>
    <definedName name="รวมหมวด1" localSheetId="4">#REF!</definedName>
    <definedName name="รวมหมวด1" localSheetId="71">#REF!</definedName>
    <definedName name="รวมหมวด1" localSheetId="2">#REF!</definedName>
    <definedName name="รวมหมวด1">#REF!</definedName>
    <definedName name="รวมหมวด10" localSheetId="3">#REF!</definedName>
    <definedName name="รวมหมวด10" localSheetId="4">#REF!</definedName>
    <definedName name="รวมหมวด10" localSheetId="71">#REF!</definedName>
    <definedName name="รวมหมวด10" localSheetId="2">#REF!</definedName>
    <definedName name="รวมหมวด10">#REF!</definedName>
    <definedName name="รวมหมวด10คูณ_factorF" localSheetId="3">#REF!</definedName>
    <definedName name="รวมหมวด10คูณ_factorF" localSheetId="4">#REF!</definedName>
    <definedName name="รวมหมวด10คูณ_factorF" localSheetId="71">#REF!</definedName>
    <definedName name="รวมหมวด10คูณ_factorF" localSheetId="2">#REF!</definedName>
    <definedName name="รวมหมวด10คูณ_factorF">#REF!</definedName>
    <definedName name="รวมหมวด1คูณ_factorF" localSheetId="3">#REF!</definedName>
    <definedName name="รวมหมวด1คูณ_factorF" localSheetId="4">#REF!</definedName>
    <definedName name="รวมหมวด1คูณ_factorF" localSheetId="71">#REF!</definedName>
    <definedName name="รวมหมวด1คูณ_factorF" localSheetId="2">#REF!</definedName>
    <definedName name="รวมหมวด1คูณ_factorF">#REF!</definedName>
    <definedName name="รวมหมวด2" localSheetId="3">#REF!</definedName>
    <definedName name="รวมหมวด2" localSheetId="4">#REF!</definedName>
    <definedName name="รวมหมวด2" localSheetId="71">#REF!</definedName>
    <definedName name="รวมหมวด2" localSheetId="2">#REF!</definedName>
    <definedName name="รวมหมวด2">#REF!</definedName>
    <definedName name="รวมหมวด2คูณ_factorF" localSheetId="3">#REF!</definedName>
    <definedName name="รวมหมวด2คูณ_factorF" localSheetId="4">#REF!</definedName>
    <definedName name="รวมหมวด2คูณ_factorF" localSheetId="71">#REF!</definedName>
    <definedName name="รวมหมวด2คูณ_factorF" localSheetId="2">#REF!</definedName>
    <definedName name="รวมหมวด2คูณ_factorF">#REF!</definedName>
    <definedName name="รวมหมวด3" localSheetId="3">#REF!</definedName>
    <definedName name="รวมหมวด3" localSheetId="4">#REF!</definedName>
    <definedName name="รวมหมวด3" localSheetId="71">#REF!</definedName>
    <definedName name="รวมหมวด3" localSheetId="2">#REF!</definedName>
    <definedName name="รวมหมวด3">#REF!</definedName>
    <definedName name="รวมหมวด3คูณ_factorF" localSheetId="3">#REF!</definedName>
    <definedName name="รวมหมวด3คูณ_factorF" localSheetId="4">#REF!</definedName>
    <definedName name="รวมหมวด3คูณ_factorF" localSheetId="71">#REF!</definedName>
    <definedName name="รวมหมวด3คูณ_factorF" localSheetId="2">#REF!</definedName>
    <definedName name="รวมหมวด3คูณ_factorF">#REF!</definedName>
    <definedName name="รวมหมวด5" localSheetId="3">#REF!</definedName>
    <definedName name="รวมหมวด5" localSheetId="4">#REF!</definedName>
    <definedName name="รวมหมวด5" localSheetId="71">#REF!</definedName>
    <definedName name="รวมหมวด5" localSheetId="2">#REF!</definedName>
    <definedName name="รวมหมวด5">#REF!</definedName>
    <definedName name="รวมหมวด6" localSheetId="3">#REF!</definedName>
    <definedName name="รวมหมวด6" localSheetId="4">#REF!</definedName>
    <definedName name="รวมหมวด6" localSheetId="71">#REF!</definedName>
    <definedName name="รวมหมวด6" localSheetId="2">#REF!</definedName>
    <definedName name="รวมหมวด6">#REF!</definedName>
    <definedName name="รวมหมวด6คูณ_factorF" localSheetId="3">#REF!</definedName>
    <definedName name="รวมหมวด6คูณ_factorF" localSheetId="4">#REF!</definedName>
    <definedName name="รวมหมวด6คูณ_factorF" localSheetId="71">#REF!</definedName>
    <definedName name="รวมหมวด6คูณ_factorF" localSheetId="2">#REF!</definedName>
    <definedName name="รวมหมวด6คูณ_factorF">#REF!</definedName>
    <definedName name="รวมหมวด7" localSheetId="3">#REF!</definedName>
    <definedName name="รวมหมวด7" localSheetId="4">#REF!</definedName>
    <definedName name="รวมหมวด7" localSheetId="71">#REF!</definedName>
    <definedName name="รวมหมวด7" localSheetId="2">#REF!</definedName>
    <definedName name="รวมหมวด7">#REF!</definedName>
    <definedName name="รวมหมวด7คูณ_factorF" localSheetId="3">#REF!</definedName>
    <definedName name="รวมหมวด7คูณ_factorF" localSheetId="4">#REF!</definedName>
    <definedName name="รวมหมวด7คูณ_factorF" localSheetId="71">#REF!</definedName>
    <definedName name="รวมหมวด7คูณ_factorF" localSheetId="2">#REF!</definedName>
    <definedName name="รวมหมวด7คูณ_factorF">#REF!</definedName>
    <definedName name="รวมหมวด8" localSheetId="3">#REF!</definedName>
    <definedName name="รวมหมวด8" localSheetId="4">#REF!</definedName>
    <definedName name="รวมหมวด8" localSheetId="71">#REF!</definedName>
    <definedName name="รวมหมวด8" localSheetId="2">#REF!</definedName>
    <definedName name="รวมหมวด8">#REF!</definedName>
    <definedName name="รวมหมวด8คูณ_factorF" localSheetId="3">#REF!</definedName>
    <definedName name="รวมหมวด8คูณ_factorF" localSheetId="4">#REF!</definedName>
    <definedName name="รวมหมวด8คูณ_factorF" localSheetId="71">#REF!</definedName>
    <definedName name="รวมหมวด8คูณ_factorF" localSheetId="2">#REF!</definedName>
    <definedName name="รวมหมวด8คูณ_factorF">#REF!</definedName>
    <definedName name="รวมหมวด9" localSheetId="3">#REF!</definedName>
    <definedName name="รวมหมวด9" localSheetId="4">#REF!</definedName>
    <definedName name="รวมหมวด9" localSheetId="71">#REF!</definedName>
    <definedName name="รวมหมวด9" localSheetId="2">#REF!</definedName>
    <definedName name="รวมหมวด9">#REF!</definedName>
    <definedName name="รวมหมวด9คูณ_factorF" localSheetId="3">#REF!</definedName>
    <definedName name="รวมหมวด9คูณ_factorF" localSheetId="4">#REF!</definedName>
    <definedName name="รวมหมวด9คูณ_factorF" localSheetId="71">#REF!</definedName>
    <definedName name="รวมหมวด9คูณ_factorF" localSheetId="2">#REF!</definedName>
    <definedName name="รวมหมวด9คูณ_factorF">#REF!</definedName>
    <definedName name="รวมอาคาร1" localSheetId="3">[40]ปร.5!#REF!</definedName>
    <definedName name="รวมอาคาร1" localSheetId="4">[40]ปร.5!#REF!</definedName>
    <definedName name="รวมอาคาร1" localSheetId="71">[40]ปร.5!#REF!</definedName>
    <definedName name="รวมอาคาร1" localSheetId="2">[40]ปร.5!#REF!</definedName>
    <definedName name="รวมอาคาร1">[40]ปร.5!#REF!</definedName>
    <definedName name="รวมอาคาร10" localSheetId="3">#REF!</definedName>
    <definedName name="รวมอาคาร10" localSheetId="4">#REF!</definedName>
    <definedName name="รวมอาคาร10" localSheetId="5">#REF!</definedName>
    <definedName name="รวมอาคาร10" localSheetId="18">#REF!</definedName>
    <definedName name="รวมอาคาร10" localSheetId="30">#REF!</definedName>
    <definedName name="รวมอาคาร10" localSheetId="56">#REF!</definedName>
    <definedName name="รวมอาคาร10" localSheetId="43">#REF!</definedName>
    <definedName name="รวมอาคาร10" localSheetId="71">#REF!</definedName>
    <definedName name="รวมอาคาร10" localSheetId="69">#REF!</definedName>
    <definedName name="รวมอาคาร10" localSheetId="70">#REF!</definedName>
    <definedName name="รวมอาคาร10" localSheetId="74">#REF!</definedName>
    <definedName name="รวมอาคาร10" localSheetId="2">#REF!</definedName>
    <definedName name="รวมอาคาร10">#REF!</definedName>
    <definedName name="รวมอาคาร11" localSheetId="3">#REF!</definedName>
    <definedName name="รวมอาคาร11" localSheetId="4">#REF!</definedName>
    <definedName name="รวมอาคาร11" localSheetId="71">#REF!</definedName>
    <definedName name="รวมอาคาร11" localSheetId="69">#REF!</definedName>
    <definedName name="รวมอาคาร11" localSheetId="70">#REF!</definedName>
    <definedName name="รวมอาคาร11" localSheetId="2">#REF!</definedName>
    <definedName name="รวมอาคาร11">#REF!</definedName>
    <definedName name="รวมอาคาร12" localSheetId="3">#REF!</definedName>
    <definedName name="รวมอาคาร12" localSheetId="4">#REF!</definedName>
    <definedName name="รวมอาคาร12" localSheetId="71">#REF!</definedName>
    <definedName name="รวมอาคาร12" localSheetId="69">#REF!</definedName>
    <definedName name="รวมอาคาร12" localSheetId="70">#REF!</definedName>
    <definedName name="รวมอาคาร12" localSheetId="2">#REF!</definedName>
    <definedName name="รวมอาคาร12">#REF!</definedName>
    <definedName name="รวมอาคาร13" localSheetId="3">#REF!</definedName>
    <definedName name="รวมอาคาร13" localSheetId="4">#REF!</definedName>
    <definedName name="รวมอาคาร13" localSheetId="71">#REF!</definedName>
    <definedName name="รวมอาคาร13" localSheetId="2">#REF!</definedName>
    <definedName name="รวมอาคาร13">#REF!</definedName>
    <definedName name="รวมอาคาร14" localSheetId="3">#REF!</definedName>
    <definedName name="รวมอาคาร14" localSheetId="4">#REF!</definedName>
    <definedName name="รวมอาคาร14" localSheetId="71">#REF!</definedName>
    <definedName name="รวมอาคาร14" localSheetId="2">#REF!</definedName>
    <definedName name="รวมอาคาร14">#REF!</definedName>
    <definedName name="รวมอาคาร15" localSheetId="3">#REF!</definedName>
    <definedName name="รวมอาคาร15" localSheetId="4">#REF!</definedName>
    <definedName name="รวมอาคาร15" localSheetId="71">#REF!</definedName>
    <definedName name="รวมอาคาร15" localSheetId="2">#REF!</definedName>
    <definedName name="รวมอาคาร15">#REF!</definedName>
    <definedName name="รวมอาคาร16" localSheetId="3">#REF!</definedName>
    <definedName name="รวมอาคาร16" localSheetId="4">#REF!</definedName>
    <definedName name="รวมอาคาร16" localSheetId="71">#REF!</definedName>
    <definedName name="รวมอาคาร16" localSheetId="2">#REF!</definedName>
    <definedName name="รวมอาคาร16">#REF!</definedName>
    <definedName name="รวมอาคาร17" localSheetId="3">#REF!</definedName>
    <definedName name="รวมอาคาร17" localSheetId="4">#REF!</definedName>
    <definedName name="รวมอาคาร17" localSheetId="71">#REF!</definedName>
    <definedName name="รวมอาคาร17" localSheetId="2">#REF!</definedName>
    <definedName name="รวมอาคาร17">#REF!</definedName>
    <definedName name="รวมอาคาร18" localSheetId="3">#REF!</definedName>
    <definedName name="รวมอาคาร18" localSheetId="4">#REF!</definedName>
    <definedName name="รวมอาคาร18" localSheetId="71">#REF!</definedName>
    <definedName name="รวมอาคาร18" localSheetId="2">#REF!</definedName>
    <definedName name="รวมอาคาร18">#REF!</definedName>
    <definedName name="รวมอาคาร19" localSheetId="3">#REF!</definedName>
    <definedName name="รวมอาคาร19" localSheetId="4">#REF!</definedName>
    <definedName name="รวมอาคาร19" localSheetId="71">#REF!</definedName>
    <definedName name="รวมอาคาร19" localSheetId="2">#REF!</definedName>
    <definedName name="รวมอาคาร19">#REF!</definedName>
    <definedName name="รวมอาคาร20" localSheetId="3">#REF!</definedName>
    <definedName name="รวมอาคาร20" localSheetId="4">#REF!</definedName>
    <definedName name="รวมอาคาร20" localSheetId="71">#REF!</definedName>
    <definedName name="รวมอาคาร20" localSheetId="2">#REF!</definedName>
    <definedName name="รวมอาคาร20">#REF!</definedName>
    <definedName name="รวมอาคาร21" localSheetId="3">#REF!</definedName>
    <definedName name="รวมอาคาร21" localSheetId="4">#REF!</definedName>
    <definedName name="รวมอาคาร21" localSheetId="71">#REF!</definedName>
    <definedName name="รวมอาคาร21" localSheetId="2">#REF!</definedName>
    <definedName name="รวมอาคาร21">#REF!</definedName>
    <definedName name="รวมอาคาร22" localSheetId="3">#REF!</definedName>
    <definedName name="รวมอาคาร22" localSheetId="4">#REF!</definedName>
    <definedName name="รวมอาคาร22" localSheetId="71">#REF!</definedName>
    <definedName name="รวมอาคาร22" localSheetId="2">#REF!</definedName>
    <definedName name="รวมอาคาร22">#REF!</definedName>
    <definedName name="รวมอาคาร23" localSheetId="3">#REF!</definedName>
    <definedName name="รวมอาคาร23" localSheetId="4">#REF!</definedName>
    <definedName name="รวมอาคาร23" localSheetId="71">#REF!</definedName>
    <definedName name="รวมอาคาร23" localSheetId="2">#REF!</definedName>
    <definedName name="รวมอาคาร23">#REF!</definedName>
    <definedName name="รวมอาคาร3" localSheetId="3">#REF!</definedName>
    <definedName name="รวมอาคาร3" localSheetId="4">#REF!</definedName>
    <definedName name="รวมอาคาร3" localSheetId="71">#REF!</definedName>
    <definedName name="รวมอาคาร3" localSheetId="2">#REF!</definedName>
    <definedName name="รวมอาคาร3">#REF!</definedName>
    <definedName name="รวมอาคาร4" localSheetId="3">#REF!</definedName>
    <definedName name="รวมอาคาร4" localSheetId="4">#REF!</definedName>
    <definedName name="รวมอาคาร4" localSheetId="71">#REF!</definedName>
    <definedName name="รวมอาคาร4" localSheetId="2">#REF!</definedName>
    <definedName name="รวมอาคาร4">#REF!</definedName>
    <definedName name="รวมอาคาร5" localSheetId="3">#REF!</definedName>
    <definedName name="รวมอาคาร5" localSheetId="4">#REF!</definedName>
    <definedName name="รวมอาคาร5" localSheetId="71">#REF!</definedName>
    <definedName name="รวมอาคาร5" localSheetId="2">#REF!</definedName>
    <definedName name="รวมอาคาร5">#REF!</definedName>
    <definedName name="รวมอาคาร6" localSheetId="3">#REF!</definedName>
    <definedName name="รวมอาคาร6" localSheetId="4">#REF!</definedName>
    <definedName name="รวมอาคาร6" localSheetId="71">#REF!</definedName>
    <definedName name="รวมอาคาร6" localSheetId="2">#REF!</definedName>
    <definedName name="รวมอาคาร6">#REF!</definedName>
    <definedName name="รวมอาคาร7" localSheetId="3">#REF!</definedName>
    <definedName name="รวมอาคาร7" localSheetId="4">#REF!</definedName>
    <definedName name="รวมอาคาร7" localSheetId="71">#REF!</definedName>
    <definedName name="รวมอาคาร7" localSheetId="2">#REF!</definedName>
    <definedName name="รวมอาคาร7">#REF!</definedName>
    <definedName name="รองพื้นทางชนิดหินคลุก" localSheetId="3">#REF!</definedName>
    <definedName name="รองพื้นทางชนิดหินคลุก" localSheetId="4">#REF!</definedName>
    <definedName name="รองพื้นทางชนิดหินคลุก" localSheetId="71">#REF!</definedName>
    <definedName name="รองพื้นทางชนิดหินคลุก" localSheetId="2">#REF!</definedName>
    <definedName name="รองพื้นทางชนิดหินคลุก">#REF!</definedName>
    <definedName name="ระแนง2x4นิ้วพร้อมโครงขนาด0.8x3.0ม." localSheetId="3">#REF!</definedName>
    <definedName name="ระแนง2x4นิ้วพร้อมโครงขนาด0.8x3.0ม." localSheetId="4">#REF!</definedName>
    <definedName name="ระแนง2x4นิ้วพร้อมโครงขนาด0.8x3.0ม." localSheetId="71">#REF!</definedName>
    <definedName name="ระแนง2x4นิ้วพร้อมโครงขนาด0.8x3.0ม." localSheetId="2">#REF!</definedName>
    <definedName name="ระแนง2x4นิ้วพร้อมโครงขนาด0.8x3.0ม.">#REF!</definedName>
    <definedName name="ระแนงไม้2x4นิ้วระยะเรียง1.0ม." localSheetId="3">#REF!</definedName>
    <definedName name="ระแนงไม้2x4นิ้วระยะเรียง1.0ม." localSheetId="4">#REF!</definedName>
    <definedName name="ระแนงไม้2x4นิ้วระยะเรียง1.0ม." localSheetId="71">#REF!</definedName>
    <definedName name="ระแนงไม้2x4นิ้วระยะเรียง1.0ม." localSheetId="2">#REF!</definedName>
    <definedName name="ระแนงไม้2x4นิ้วระยะเรียง1.0ม.">#REF!</definedName>
    <definedName name="ระแนงไม้เทียม1.5x3นิ้วพร้อมโครง2x4นิ้วขนาด0.8x2.8ม." localSheetId="3">#REF!</definedName>
    <definedName name="ระแนงไม้เทียม1.5x3นิ้วพร้อมโครง2x4นิ้วขนาด0.8x2.8ม." localSheetId="4">#REF!</definedName>
    <definedName name="ระแนงไม้เทียม1.5x3นิ้วพร้อมโครง2x4นิ้วขนาด0.8x2.8ม." localSheetId="71">#REF!</definedName>
    <definedName name="ระแนงไม้เทียม1.5x3นิ้วพร้อมโครง2x4นิ้วขนาด0.8x2.8ม." localSheetId="2">#REF!</definedName>
    <definedName name="ระแนงไม้เทียม1.5x3นิ้วพร้อมโครง2x4นิ้วขนาด0.8x2.8ม.">#REF!</definedName>
    <definedName name="ระแนงไม้เทียม1.5x3นิ้วพร้อมโครงไม้เทียม2x4นิ้ว" localSheetId="3">'[39]unit cost'!#REF!</definedName>
    <definedName name="ระแนงไม้เทียม1.5x3นิ้วพร้อมโครงไม้เทียม2x4นิ้ว" localSheetId="4">'[39]unit cost'!#REF!</definedName>
    <definedName name="ระแนงไม้เทียม1.5x3นิ้วพร้อมโครงไม้เทียม2x4นิ้ว" localSheetId="71">'[39]unit cost'!#REF!</definedName>
    <definedName name="ระแนงไม้เทียม1.5x3นิ้วพร้อมโครงไม้เทียม2x4นิ้ว" localSheetId="2">'[39]unit cost'!#REF!</definedName>
    <definedName name="ระแนงไม้เทียม1.5x3นิ้วพร้อมโครงไม้เทียม2x4นิ้ว">'[39]unit cost'!#REF!</definedName>
    <definedName name="ระแนงไม้เทียม1.5x3นิ้ววางบนคานและจันทัน" localSheetId="3">#REF!</definedName>
    <definedName name="ระแนงไม้เทียม1.5x3นิ้ววางบนคานและจันทัน" localSheetId="4">#REF!</definedName>
    <definedName name="ระแนงไม้เทียม1.5x3นิ้ววางบนคานและจันทัน" localSheetId="5">#REF!</definedName>
    <definedName name="ระแนงไม้เทียม1.5x3นิ้ววางบนคานและจันทัน" localSheetId="18">#REF!</definedName>
    <definedName name="ระแนงไม้เทียม1.5x3นิ้ววางบนคานและจันทัน" localSheetId="30">#REF!</definedName>
    <definedName name="ระแนงไม้เทียม1.5x3นิ้ววางบนคานและจันทัน" localSheetId="56">#REF!</definedName>
    <definedName name="ระแนงไม้เทียม1.5x3นิ้ววางบนคานและจันทัน" localSheetId="43">#REF!</definedName>
    <definedName name="ระแนงไม้เทียม1.5x3นิ้ววางบนคานและจันทัน" localSheetId="71">#REF!</definedName>
    <definedName name="ระแนงไม้เทียม1.5x3นิ้ววางบนคานและจันทัน" localSheetId="69">#REF!</definedName>
    <definedName name="ระแนงไม้เทียม1.5x3นิ้ววางบนคานและจันทัน" localSheetId="70">#REF!</definedName>
    <definedName name="ระแนงไม้เทียม1.5x3นิ้ววางบนคานและจันทัน" localSheetId="74">#REF!</definedName>
    <definedName name="ระแนงไม้เทียม1.5x3นิ้ววางบนคานและจันทัน" localSheetId="2">#REF!</definedName>
    <definedName name="ระแนงไม้เทียม1.5x3นิ้ววางบนคานและจันทัน">#REF!</definedName>
    <definedName name="ระแนงไม้เทียม1.5x4นิ้วพร้อมโครงไม้เทียมขนาด0.80x2.90ม." localSheetId="3">#REF!</definedName>
    <definedName name="ระแนงไม้เทียม1.5x4นิ้วพร้อมโครงไม้เทียมขนาด0.80x2.90ม." localSheetId="4">#REF!</definedName>
    <definedName name="ระแนงไม้เทียม1.5x4นิ้วพร้อมโครงไม้เทียมขนาด0.80x2.90ม." localSheetId="71">#REF!</definedName>
    <definedName name="ระแนงไม้เทียม1.5x4นิ้วพร้อมโครงไม้เทียมขนาด0.80x2.90ม." localSheetId="69">#REF!</definedName>
    <definedName name="ระแนงไม้เทียม1.5x4นิ้วพร้อมโครงไม้เทียมขนาด0.80x2.90ม." localSheetId="70">#REF!</definedName>
    <definedName name="ระแนงไม้เทียม1.5x4นิ้วพร้อมโครงไม้เทียมขนาด0.80x2.90ม." localSheetId="2">#REF!</definedName>
    <definedName name="ระแนงไม้เทียม1.5x4นิ้วพร้อมโครงไม้เทียมขนาด0.80x2.90ม.">#REF!</definedName>
    <definedName name="ระแนงไม้เทียม1.5x4นิ้วระยะเรียง0.1ม." localSheetId="3">#REF!</definedName>
    <definedName name="ระแนงไม้เทียม1.5x4นิ้วระยะเรียง0.1ม." localSheetId="4">#REF!</definedName>
    <definedName name="ระแนงไม้เทียม1.5x4นิ้วระยะเรียง0.1ม." localSheetId="71">#REF!</definedName>
    <definedName name="ระแนงไม้เทียม1.5x4นิ้วระยะเรียง0.1ม." localSheetId="69">#REF!</definedName>
    <definedName name="ระแนงไม้เทียม1.5x4นิ้วระยะเรียง0.1ม." localSheetId="70">#REF!</definedName>
    <definedName name="ระแนงไม้เทียม1.5x4นิ้วระยะเรียง0.1ม." localSheetId="2">#REF!</definedName>
    <definedName name="ระแนงไม้เทียม1.5x4นิ้วระยะเรียง0.1ม.">#REF!</definedName>
    <definedName name="ระแนงไม้เทียม2x4นิ้วโครง4x4นิ้วขนาด1.1x7.6ม." localSheetId="3">#REF!</definedName>
    <definedName name="ระแนงไม้เทียม2x4นิ้วโครง4x4นิ้วขนาด1.1x7.6ม." localSheetId="4">#REF!</definedName>
    <definedName name="ระแนงไม้เทียม2x4นิ้วโครง4x4นิ้วขนาด1.1x7.6ม." localSheetId="71">#REF!</definedName>
    <definedName name="ระแนงไม้เทียม2x4นิ้วโครง4x4นิ้วขนาด1.1x7.6ม." localSheetId="2">#REF!</definedName>
    <definedName name="ระแนงไม้เทียม2x4นิ้วโครง4x4นิ้วขนาด1.1x7.6ม.">#REF!</definedName>
    <definedName name="ระแนงไม้เทียม2x4นิ้วพร้อมโครง2x4นิ้วขนาด0.95x2.2ม." localSheetId="3">#REF!</definedName>
    <definedName name="ระแนงไม้เทียม2x4นิ้วพร้อมโครง2x4นิ้วขนาด0.95x2.2ม." localSheetId="4">#REF!</definedName>
    <definedName name="ระแนงไม้เทียม2x4นิ้วพร้อมโครง2x4นิ้วขนาด0.95x2.2ม." localSheetId="71">#REF!</definedName>
    <definedName name="ระแนงไม้เทียม2x4นิ้วพร้อมโครง2x4นิ้วขนาด0.95x2.2ม." localSheetId="2">#REF!</definedName>
    <definedName name="ระแนงไม้เทียม2x4นิ้วพร้อมโครง2x4นิ้วขนาด0.95x2.2ม.">#REF!</definedName>
    <definedName name="ระแนงไม้เทียม2x4นิ้วระยะเรียง0.50ม." localSheetId="3">#REF!</definedName>
    <definedName name="ระแนงไม้เทียม2x4นิ้วระยะเรียง0.50ม." localSheetId="4">#REF!</definedName>
    <definedName name="ระแนงไม้เทียม2x4นิ้วระยะเรียง0.50ม." localSheetId="71">#REF!</definedName>
    <definedName name="ระแนงไม้เทียม2x4นิ้วระยะเรียง0.50ม." localSheetId="2">#REF!</definedName>
    <definedName name="ระแนงไม้เทียม2x4นิ้วระยะเรียง0.50ม.">#REF!</definedName>
    <definedName name="ระยะเหล็กเส้น" localSheetId="3">#REF!</definedName>
    <definedName name="ระยะเหล็กเส้น" localSheetId="4">#REF!</definedName>
    <definedName name="ระยะเหล็กเส้น" localSheetId="71">#REF!</definedName>
    <definedName name="ระยะเหล็กเส้น" localSheetId="2">#REF!</definedName>
    <definedName name="ระยะเหล็กเส้น">#REF!</definedName>
    <definedName name="ระยะแอสฟัลท์" localSheetId="3">#REF!</definedName>
    <definedName name="ระยะแอสฟัลท์" localSheetId="4">#REF!</definedName>
    <definedName name="ระยะแอสฟัลท์" localSheetId="71">#REF!</definedName>
    <definedName name="ระยะแอสฟัลท์" localSheetId="2">#REF!</definedName>
    <definedName name="ระยะแอสฟัลท์">#REF!</definedName>
    <definedName name="ระยะขนทิ้ง1" localSheetId="3">#REF!</definedName>
    <definedName name="ระยะขนทิ้ง1" localSheetId="4">#REF!</definedName>
    <definedName name="ระยะขนทิ้ง1" localSheetId="71">#REF!</definedName>
    <definedName name="ระยะขนทิ้ง1" localSheetId="2">#REF!</definedName>
    <definedName name="ระยะขนทิ้ง1">#REF!</definedName>
    <definedName name="ระยะขนส่งเหล็ก" localSheetId="3">#REF!</definedName>
    <definedName name="ระยะขนส่งเหล็ก" localSheetId="4">#REF!</definedName>
    <definedName name="ระยะขนส่งเหล็ก" localSheetId="71">#REF!</definedName>
    <definedName name="ระยะขนส่งเหล็ก" localSheetId="2">#REF!</definedName>
    <definedName name="ระยะขนส่งเหล็ก">#REF!</definedName>
    <definedName name="ระยะขนส่งคอนกรีต" localSheetId="3">#REF!</definedName>
    <definedName name="ระยะขนส่งคอนกรีต" localSheetId="4">#REF!</definedName>
    <definedName name="ระยะขนส่งคอนกรีต" localSheetId="71">#REF!</definedName>
    <definedName name="ระยะขนส่งคอนกรีต" localSheetId="2">#REF!</definedName>
    <definedName name="ระยะขนส่งคอนกรีต">#REF!</definedName>
    <definedName name="ระยะขนส่งดิน" localSheetId="3">#REF!</definedName>
    <definedName name="ระยะขนส่งดิน" localSheetId="4">#REF!</definedName>
    <definedName name="ระยะขนส่งดิน" localSheetId="71">#REF!</definedName>
    <definedName name="ระยะขนส่งดิน" localSheetId="2">#REF!</definedName>
    <definedName name="ระยะขนส่งดิน">#REF!</definedName>
    <definedName name="ระยะขนส่งทราย" localSheetId="3">#REF!</definedName>
    <definedName name="ระยะขนส่งทราย" localSheetId="4">#REF!</definedName>
    <definedName name="ระยะขนส่งทราย" localSheetId="71">#REF!</definedName>
    <definedName name="ระยะขนส่งทราย" localSheetId="2">#REF!</definedName>
    <definedName name="ระยะขนส่งทราย">#REF!</definedName>
    <definedName name="ระยะขนส่งท่อ" localSheetId="3">#REF!</definedName>
    <definedName name="ระยะขนส่งท่อ" localSheetId="4">#REF!</definedName>
    <definedName name="ระยะขนส่งท่อ" localSheetId="71">#REF!</definedName>
    <definedName name="ระยะขนส่งท่อ" localSheetId="2">#REF!</definedName>
    <definedName name="ระยะขนส่งท่อ">#REF!</definedName>
    <definedName name="ระยะขนส่งปูนผง" localSheetId="3">#REF!</definedName>
    <definedName name="ระยะขนส่งปูนผง" localSheetId="4">#REF!</definedName>
    <definedName name="ระยะขนส่งปูนผง" localSheetId="71">#REF!</definedName>
    <definedName name="ระยะขนส่งปูนผง" localSheetId="2">#REF!</definedName>
    <definedName name="ระยะขนส่งปูนผง">#REF!</definedName>
    <definedName name="ระยะขนส่งยางมะตอย" localSheetId="3">#REF!</definedName>
    <definedName name="ระยะขนส่งยางมะตอย" localSheetId="4">#REF!</definedName>
    <definedName name="ระยะขนส่งยางมะตอย" localSheetId="71">#REF!</definedName>
    <definedName name="ระยะขนส่งยางมะตอย" localSheetId="2">#REF!</definedName>
    <definedName name="ระยะขนส่งยางมะตอย">#REF!</definedName>
    <definedName name="ระยะขนส่งส่วนกลาง1" localSheetId="3">#REF!</definedName>
    <definedName name="ระยะขนส่งส่วนกลาง1" localSheetId="4">#REF!</definedName>
    <definedName name="ระยะขนส่งส่วนกลาง1" localSheetId="71">#REF!</definedName>
    <definedName name="ระยะขนส่งส่วนกลาง1" localSheetId="2">#REF!</definedName>
    <definedName name="ระยะขนส่งส่วนกลาง1">#REF!</definedName>
    <definedName name="ระยะขนส่งส่วนกลาง2" localSheetId="3">#REF!</definedName>
    <definedName name="ระยะขนส่งส่วนกลาง2" localSheetId="4">#REF!</definedName>
    <definedName name="ระยะขนส่งส่วนกลาง2" localSheetId="71">#REF!</definedName>
    <definedName name="ระยะขนส่งส่วนกลาง2" localSheetId="2">#REF!</definedName>
    <definedName name="ระยะขนส่งส่วนกลาง2">#REF!</definedName>
    <definedName name="ระยะขนส่งหิน" localSheetId="3">#REF!</definedName>
    <definedName name="ระยะขนส่งหิน" localSheetId="4">#REF!</definedName>
    <definedName name="ระยะขนส่งหิน" localSheetId="71">#REF!</definedName>
    <definedName name="ระยะขนส่งหิน" localSheetId="2">#REF!</definedName>
    <definedName name="ระยะขนส่งหิน">#REF!</definedName>
    <definedName name="ระยะดินตัด" localSheetId="3">#REF!</definedName>
    <definedName name="ระยะดินตัด" localSheetId="4">#REF!</definedName>
    <definedName name="ระยะดินตัด" localSheetId="71">#REF!</definedName>
    <definedName name="ระยะดินตัด" localSheetId="2">#REF!</definedName>
    <definedName name="ระยะดินตัด">#REF!</definedName>
    <definedName name="ระยะดินถม" localSheetId="3">#REF!</definedName>
    <definedName name="ระยะดินถม" localSheetId="4">#REF!</definedName>
    <definedName name="ระยะดินถม" localSheetId="71">#REF!</definedName>
    <definedName name="ระยะดินถม" localSheetId="2">#REF!</definedName>
    <definedName name="ระยะดินถม">#REF!</definedName>
    <definedName name="ระยะทรายถม" localSheetId="3">#REF!</definedName>
    <definedName name="ระยะทรายถม" localSheetId="4">#REF!</definedName>
    <definedName name="ระยะทรายถม" localSheetId="71">#REF!</definedName>
    <definedName name="ระยะทรายถม" localSheetId="2">#REF!</definedName>
    <definedName name="ระยะทรายถม">#REF!</definedName>
    <definedName name="ระยะทรายหยาบ" localSheetId="3">#REF!</definedName>
    <definedName name="ระยะทรายหยาบ" localSheetId="4">#REF!</definedName>
    <definedName name="ระยะทรายหยาบ" localSheetId="71">#REF!</definedName>
    <definedName name="ระยะทรายหยาบ" localSheetId="2">#REF!</definedName>
    <definedName name="ระยะทรายหยาบ">#REF!</definedName>
    <definedName name="ระยะทางขนส่งคอนกรีต" localSheetId="3">#REF!</definedName>
    <definedName name="ระยะทางขนส่งคอนกรีต" localSheetId="4">#REF!</definedName>
    <definedName name="ระยะทางขนส่งคอนกรีต" localSheetId="71">#REF!</definedName>
    <definedName name="ระยะทางขนส่งคอนกรีต" localSheetId="2">#REF!</definedName>
    <definedName name="ระยะทางขนส่งคอนกรีต">#REF!</definedName>
    <definedName name="ระยะปูนต์" localSheetId="3">#REF!</definedName>
    <definedName name="ระยะปูนต์" localSheetId="4">#REF!</definedName>
    <definedName name="ระยะปูนต์" localSheetId="71">#REF!</definedName>
    <definedName name="ระยะปูนต์" localSheetId="2">#REF!</definedName>
    <definedName name="ระยะปูนต์">#REF!</definedName>
    <definedName name="ระยะลูกรัง" localSheetId="3">#REF!</definedName>
    <definedName name="ระยะลูกรัง" localSheetId="4">#REF!</definedName>
    <definedName name="ระยะลูกรัง" localSheetId="71">#REF!</definedName>
    <definedName name="ระยะลูกรัง" localSheetId="2">#REF!</definedName>
    <definedName name="ระยะลูกรัง">#REF!</definedName>
    <definedName name="ระยะวัสดุคัดเลือก" localSheetId="3">#REF!</definedName>
    <definedName name="ระยะวัสดุคัดเลือก" localSheetId="4">#REF!</definedName>
    <definedName name="ระยะวัสดุคัดเลือก" localSheetId="71">#REF!</definedName>
    <definedName name="ระยะวัสดุคัดเลือก" localSheetId="2">#REF!</definedName>
    <definedName name="ระยะวัสดุคัดเลือก">#REF!</definedName>
    <definedName name="ระยะหิน12" localSheetId="3">#REF!</definedName>
    <definedName name="ระยะหิน12" localSheetId="4">#REF!</definedName>
    <definedName name="ระยะหิน12" localSheetId="71">#REF!</definedName>
    <definedName name="ระยะหิน12" localSheetId="2">#REF!</definedName>
    <definedName name="ระยะหิน12">#REF!</definedName>
    <definedName name="ระยะหินคลุก" localSheetId="3">#REF!</definedName>
    <definedName name="ระยะหินคลุก" localSheetId="4">#REF!</definedName>
    <definedName name="ระยะหินคลุก" localSheetId="71">#REF!</definedName>
    <definedName name="ระยะหินคลุก" localSheetId="2">#REF!</definedName>
    <definedName name="ระยะหินคลุก">#REF!</definedName>
    <definedName name="ระยะหินผสม" localSheetId="3">#REF!</definedName>
    <definedName name="ระยะหินผสม" localSheetId="4">#REF!</definedName>
    <definedName name="ระยะหินผสม" localSheetId="71">#REF!</definedName>
    <definedName name="ระยะหินผสม" localSheetId="2">#REF!</definedName>
    <definedName name="ระยะหินผสม">#REF!</definedName>
    <definedName name="ราคาPOLYFELTGEOTETEXTILES_TS500" localSheetId="3">#REF!</definedName>
    <definedName name="ราคาPOLYFELTGEOTETEXTILES_TS500" localSheetId="4">#REF!</definedName>
    <definedName name="ราคาPOLYFELTGEOTETEXTILES_TS500" localSheetId="71">#REF!</definedName>
    <definedName name="ราคาPOLYFELTGEOTETEXTILES_TS500" localSheetId="2">#REF!</definedName>
    <definedName name="ราคาPOLYFELTGEOTETEXTILES_TS500">#REF!</definedName>
    <definedName name="ราคาเข็ม0.40X0.40ต่อเมตร" localSheetId="3">#REF!</definedName>
    <definedName name="ราคาเข็ม0.40X0.40ต่อเมตร" localSheetId="4">#REF!</definedName>
    <definedName name="ราคาเข็ม0.40X0.40ต่อเมตร" localSheetId="71">#REF!</definedName>
    <definedName name="ราคาเข็ม0.40X0.40ต่อเมตร" localSheetId="2">#REF!</definedName>
    <definedName name="ราคาเข็ม0.40X0.40ต่อเมตร">#REF!</definedName>
    <definedName name="ราคาเข็ม0.50X0.50ต่อเมตร" localSheetId="3">#REF!</definedName>
    <definedName name="ราคาเข็ม0.50X0.50ต่อเมตร" localSheetId="4">#REF!</definedName>
    <definedName name="ราคาเข็ม0.50X0.50ต่อเมตร" localSheetId="71">#REF!</definedName>
    <definedName name="ราคาเข็ม0.50X0.50ต่อเมตร" localSheetId="2">#REF!</definedName>
    <definedName name="ราคาเข็ม0.50X0.50ต่อเมตร">#REF!</definedName>
    <definedName name="ราคาเหล็กC150x65x20x3.2มม." localSheetId="3">#REF!</definedName>
    <definedName name="ราคาเหล็กC150x65x20x3.2มม." localSheetId="4">#REF!</definedName>
    <definedName name="ราคาเหล็กC150x65x20x3.2มม." localSheetId="71">#REF!</definedName>
    <definedName name="ราคาเหล็กC150x65x20x3.2มม." localSheetId="2">#REF!</definedName>
    <definedName name="ราคาเหล็กC150x65x20x3.2มม.">#REF!</definedName>
    <definedName name="ราคาเหล็กC150x75x25x3.2มม." localSheetId="3">#REF!</definedName>
    <definedName name="ราคาเหล็กC150x75x25x3.2มม." localSheetId="4">#REF!</definedName>
    <definedName name="ราคาเหล็กC150x75x25x3.2มม." localSheetId="71">#REF!</definedName>
    <definedName name="ราคาเหล็กC150x75x25x3.2มม." localSheetId="2">#REF!</definedName>
    <definedName name="ราคาเหล็กC150x75x25x3.2มม.">#REF!</definedName>
    <definedName name="ราคาเหล็กC150x75x25x4มม." localSheetId="3">#REF!</definedName>
    <definedName name="ราคาเหล็กC150x75x25x4มม." localSheetId="4">#REF!</definedName>
    <definedName name="ราคาเหล็กC150x75x25x4มม." localSheetId="71">#REF!</definedName>
    <definedName name="ราคาเหล็กC150x75x25x4มม." localSheetId="2">#REF!</definedName>
    <definedName name="ราคาเหล็กC150x75x25x4มม.">#REF!</definedName>
    <definedName name="ราคาเหล็กC200x75x25x3.2มม." localSheetId="3">#REF!</definedName>
    <definedName name="ราคาเหล็กC200x75x25x3.2มม." localSheetId="4">#REF!</definedName>
    <definedName name="ราคาเหล็กC200x75x25x3.2มม." localSheetId="71">#REF!</definedName>
    <definedName name="ราคาเหล็กC200x75x25x3.2มม." localSheetId="2">#REF!</definedName>
    <definedName name="ราคาเหล็กC200x75x25x3.2มม.">#REF!</definedName>
    <definedName name="ราคาเหล็กC200x75x25x4.5มม." localSheetId="3">#REF!</definedName>
    <definedName name="ราคาเหล็กC200x75x25x4.5มม." localSheetId="4">#REF!</definedName>
    <definedName name="ราคาเหล็กC200x75x25x4.5มม." localSheetId="71">#REF!</definedName>
    <definedName name="ราคาเหล็กC200x75x25x4.5มม." localSheetId="2">#REF!</definedName>
    <definedName name="ราคาเหล็กC200x75x25x4.5มม.">#REF!</definedName>
    <definedName name="ราคาเหล็กC200x75x25x4มม." localSheetId="3">#REF!</definedName>
    <definedName name="ราคาเหล็กC200x75x25x4มม." localSheetId="4">#REF!</definedName>
    <definedName name="ราคาเหล็กC200x75x25x4มม." localSheetId="71">#REF!</definedName>
    <definedName name="ราคาเหล็กC200x75x25x4มม." localSheetId="2">#REF!</definedName>
    <definedName name="ราคาเหล็กC200x75x25x4มม.">#REF!</definedName>
    <definedName name="ราคาเหล็กL50x50x6มม." localSheetId="3">#REF!</definedName>
    <definedName name="ราคาเหล็กL50x50x6มม." localSheetId="4">#REF!</definedName>
    <definedName name="ราคาเหล็กL50x50x6มม." localSheetId="71">#REF!</definedName>
    <definedName name="ราคาเหล็กL50x50x6มม." localSheetId="2">#REF!</definedName>
    <definedName name="ราคาเหล็กL50x50x6มม.">#REF!</definedName>
    <definedName name="ราคาเหล็กWF100x100x6x8มม." localSheetId="3">#REF!</definedName>
    <definedName name="ราคาเหล็กWF100x100x6x8มม." localSheetId="4">#REF!</definedName>
    <definedName name="ราคาเหล็กWF100x100x6x8มม." localSheetId="71">#REF!</definedName>
    <definedName name="ราคาเหล็กWF100x100x6x8มม." localSheetId="2">#REF!</definedName>
    <definedName name="ราคาเหล็กWF100x100x6x8มม.">#REF!</definedName>
    <definedName name="ราคาเหล็กเส้น" localSheetId="3">#REF!</definedName>
    <definedName name="ราคาเหล็กเส้น" localSheetId="4">#REF!</definedName>
    <definedName name="ราคาเหล็กเส้น" localSheetId="71">#REF!</definedName>
    <definedName name="ราคาเหล็กเส้น" localSheetId="2">#REF!</definedName>
    <definedName name="ราคาเหล็กเส้น">#REF!</definedName>
    <definedName name="ราคาเหล็กเส้นกลมSR24RB12">[8]ราคาวัสดุ!$D$48</definedName>
    <definedName name="ราคาเหล็กเส้นกลมSR24RB15">[8]ราคาวัสดุ!$D$49</definedName>
    <definedName name="ราคาเหล็กเส้นกลมSR24RB19">[8]ราคาวัสดุ!$D$50</definedName>
    <definedName name="ราคาเหล็กเส้นกลมSR24RB25">[8]ราคาวัสดุ!$D$51</definedName>
    <definedName name="ราคาเหล็กเส้นกลมSR24RB6">[8]ราคาวัสดุ!$D$46</definedName>
    <definedName name="ราคาเหล็กเส้นกลมSR24RB9">[8]ราคาวัสดุ!$D$47</definedName>
    <definedName name="ราคาเหล็กกล่อง1.5x1.5x1.2" localSheetId="3">#REF!</definedName>
    <definedName name="ราคาเหล็กกล่อง1.5x1.5x1.2" localSheetId="4">#REF!</definedName>
    <definedName name="ราคาเหล็กกล่อง1.5x1.5x1.2" localSheetId="5">#REF!</definedName>
    <definedName name="ราคาเหล็กกล่อง1.5x1.5x1.2" localSheetId="18">#REF!</definedName>
    <definedName name="ราคาเหล็กกล่อง1.5x1.5x1.2" localSheetId="30">#REF!</definedName>
    <definedName name="ราคาเหล็กกล่อง1.5x1.5x1.2" localSheetId="56">#REF!</definedName>
    <definedName name="ราคาเหล็กกล่อง1.5x1.5x1.2" localSheetId="43">#REF!</definedName>
    <definedName name="ราคาเหล็กกล่อง1.5x1.5x1.2" localSheetId="71">#REF!</definedName>
    <definedName name="ราคาเหล็กกล่อง1.5x1.5x1.2" localSheetId="69">#REF!</definedName>
    <definedName name="ราคาเหล็กกล่อง1.5x1.5x1.2" localSheetId="70">#REF!</definedName>
    <definedName name="ราคาเหล็กกล่อง1.5x1.5x1.2" localSheetId="74">#REF!</definedName>
    <definedName name="ราคาเหล็กกล่อง1.5x1.5x1.2" localSheetId="2">#REF!</definedName>
    <definedName name="ราคาเหล็กกล่อง1.5x1.5x1.2">#REF!</definedName>
    <definedName name="ราคาเหล็กกล่อง1.5x1.5x1.8" localSheetId="3">#REF!</definedName>
    <definedName name="ราคาเหล็กกล่อง1.5x1.5x1.8" localSheetId="4">#REF!</definedName>
    <definedName name="ราคาเหล็กกล่อง1.5x1.5x1.8" localSheetId="71">#REF!</definedName>
    <definedName name="ราคาเหล็กกล่อง1.5x1.5x1.8" localSheetId="69">#REF!</definedName>
    <definedName name="ราคาเหล็กกล่อง1.5x1.5x1.8" localSheetId="70">#REF!</definedName>
    <definedName name="ราคาเหล็กกล่อง1.5x1.5x1.8" localSheetId="2">#REF!</definedName>
    <definedName name="ราคาเหล็กกล่อง1.5x1.5x1.8">#REF!</definedName>
    <definedName name="ราคาเหล็กกล่อง100x50x3.2" localSheetId="3">#REF!</definedName>
    <definedName name="ราคาเหล็กกล่อง100x50x3.2" localSheetId="4">#REF!</definedName>
    <definedName name="ราคาเหล็กกล่อง100x50x3.2" localSheetId="71">#REF!</definedName>
    <definedName name="ราคาเหล็กกล่อง100x50x3.2" localSheetId="69">#REF!</definedName>
    <definedName name="ราคาเหล็กกล่อง100x50x3.2" localSheetId="70">#REF!</definedName>
    <definedName name="ราคาเหล็กกล่อง100x50x3.2" localSheetId="2">#REF!</definedName>
    <definedName name="ราคาเหล็กกล่อง100x50x3.2">#REF!</definedName>
    <definedName name="ราคาเหล็กกล่อง125x75x3.2" localSheetId="3">#REF!</definedName>
    <definedName name="ราคาเหล็กกล่อง125x75x3.2" localSheetId="4">#REF!</definedName>
    <definedName name="ราคาเหล็กกล่อง125x75x3.2" localSheetId="71">#REF!</definedName>
    <definedName name="ราคาเหล็กกล่อง125x75x3.2" localSheetId="2">#REF!</definedName>
    <definedName name="ราคาเหล็กกล่อง125x75x3.2">#REF!</definedName>
    <definedName name="ราคาเหล็กข้ออ้อยSD40DB12">[8]ราคาวัสดุ!$D$53</definedName>
    <definedName name="ราคาเหล็กข้ออ้อยSD40DB16">[8]ราคาวัสดุ!$D$54</definedName>
    <definedName name="ราคาเหล็กข้ออ้อยSD40DB20">[8]ราคาวัสดุ!$D$55</definedName>
    <definedName name="ราคาเหล็กข้ออ้อยSD40DB25">[8]ราคาวัสดุ!$D$56</definedName>
    <definedName name="ราคาเหล็กข้ออ้อยSD40DB28">[8]ราคาวัสดุ!$D$57</definedName>
    <definedName name="ราคาเหล็กฉาก" localSheetId="3">#REF!</definedName>
    <definedName name="ราคาเหล็กฉาก" localSheetId="4">#REF!</definedName>
    <definedName name="ราคาเหล็กฉาก" localSheetId="5">#REF!</definedName>
    <definedName name="ราคาเหล็กฉาก" localSheetId="18">#REF!</definedName>
    <definedName name="ราคาเหล็กฉาก" localSheetId="30">#REF!</definedName>
    <definedName name="ราคาเหล็กฉาก" localSheetId="56">#REF!</definedName>
    <definedName name="ราคาเหล็กฉาก" localSheetId="43">#REF!</definedName>
    <definedName name="ราคาเหล็กฉาก" localSheetId="71">#REF!</definedName>
    <definedName name="ราคาเหล็กฉาก" localSheetId="69">#REF!</definedName>
    <definedName name="ราคาเหล็กฉาก" localSheetId="70">#REF!</definedName>
    <definedName name="ราคาเหล็กฉาก" localSheetId="74">#REF!</definedName>
    <definedName name="ราคาเหล็กฉาก" localSheetId="2">#REF!</definedName>
    <definedName name="ราคาเหล็กฉาก">#REF!</definedName>
    <definedName name="ราคาเหล็กตัวซีหนา2.3มม.ยาว6เมตร" localSheetId="3">#REF!</definedName>
    <definedName name="ราคาเหล็กตัวซีหนา2.3มม.ยาว6เมตร" localSheetId="4">#REF!</definedName>
    <definedName name="ราคาเหล็กตัวซีหนา2.3มม.ยาว6เมตร" localSheetId="71">#REF!</definedName>
    <definedName name="ราคาเหล็กตัวซีหนา2.3มม.ยาว6เมตร" localSheetId="69">#REF!</definedName>
    <definedName name="ราคาเหล็กตัวซีหนา2.3มม.ยาว6เมตร" localSheetId="70">#REF!</definedName>
    <definedName name="ราคาเหล็กตัวซีหนา2.3มม.ยาว6เมตร" localSheetId="2">#REF!</definedName>
    <definedName name="ราคาเหล็กตัวซีหนา2.3มม.ยาว6เมตร">#REF!</definedName>
    <definedName name="ราคาเหล็กตัวซีหนา2.3มม.ยาว6เมตร100" localSheetId="3">#REF!</definedName>
    <definedName name="ราคาเหล็กตัวซีหนา2.3มม.ยาว6เมตร100" localSheetId="4">#REF!</definedName>
    <definedName name="ราคาเหล็กตัวซีหนา2.3มม.ยาว6เมตร100" localSheetId="71">#REF!</definedName>
    <definedName name="ราคาเหล็กตัวซีหนา2.3มม.ยาว6เมตร100" localSheetId="69">#REF!</definedName>
    <definedName name="ราคาเหล็กตัวซีหนา2.3มม.ยาว6เมตร100" localSheetId="70">#REF!</definedName>
    <definedName name="ราคาเหล็กตัวซีหนา2.3มม.ยาว6เมตร100" localSheetId="2">#REF!</definedName>
    <definedName name="ราคาเหล็กตัวซีหนา2.3มม.ยาว6เมตร100">#REF!</definedName>
    <definedName name="ราคาเหล็กตัวซีหนา2.3มม.ยาว6เมตร125" localSheetId="3">#REF!</definedName>
    <definedName name="ราคาเหล็กตัวซีหนา2.3มม.ยาว6เมตร125" localSheetId="4">#REF!</definedName>
    <definedName name="ราคาเหล็กตัวซีหนา2.3มม.ยาว6เมตร125" localSheetId="71">#REF!</definedName>
    <definedName name="ราคาเหล็กตัวซีหนา2.3มม.ยาว6เมตร125" localSheetId="2">#REF!</definedName>
    <definedName name="ราคาเหล็กตัวซีหนา2.3มม.ยาว6เมตร125">#REF!</definedName>
    <definedName name="ราคาเหล็กตัวซีหนา3.2มม.ยาว6เมตร" localSheetId="3">#REF!</definedName>
    <definedName name="ราคาเหล็กตัวซีหนา3.2มม.ยาว6เมตร" localSheetId="4">#REF!</definedName>
    <definedName name="ราคาเหล็กตัวซีหนา3.2มม.ยาว6เมตร" localSheetId="71">#REF!</definedName>
    <definedName name="ราคาเหล็กตัวซีหนา3.2มม.ยาว6เมตร" localSheetId="2">#REF!</definedName>
    <definedName name="ราคาเหล็กตัวซีหนา3.2มม.ยาว6เมตร">#REF!</definedName>
    <definedName name="ราคาเหล็กตัวซีหนา3.2มม.ยาว6เมตร100" localSheetId="3">#REF!</definedName>
    <definedName name="ราคาเหล็กตัวซีหนา3.2มม.ยาว6เมตร100" localSheetId="4">#REF!</definedName>
    <definedName name="ราคาเหล็กตัวซีหนา3.2มม.ยาว6เมตร100" localSheetId="71">#REF!</definedName>
    <definedName name="ราคาเหล็กตัวซีหนา3.2มม.ยาว6เมตร100" localSheetId="2">#REF!</definedName>
    <definedName name="ราคาเหล็กตัวซีหนา3.2มม.ยาว6เมตร100">#REF!</definedName>
    <definedName name="ราคาเหล็กตัวซีหนา3.2มม.ยาว6เมตร125" localSheetId="3">#REF!</definedName>
    <definedName name="ราคาเหล็กตัวซีหนา3.2มม.ยาว6เมตร125" localSheetId="4">#REF!</definedName>
    <definedName name="ราคาเหล็กตัวซีหนา3.2มม.ยาว6เมตร125" localSheetId="71">#REF!</definedName>
    <definedName name="ราคาเหล็กตัวซีหนา3.2มม.ยาว6เมตร125" localSheetId="2">#REF!</definedName>
    <definedName name="ราคาเหล็กตัวซีหนา3.2มม.ยาว6เมตร125">#REF!</definedName>
    <definedName name="ราคาเหล็กรูปตัวเอช" localSheetId="3">#REF!</definedName>
    <definedName name="ราคาเหล็กรูปตัวเอช" localSheetId="4">#REF!</definedName>
    <definedName name="ราคาเหล็กรูปตัวเอช" localSheetId="71">#REF!</definedName>
    <definedName name="ราคาเหล็กรูปตัวเอช" localSheetId="2">#REF!</definedName>
    <definedName name="ราคาเหล็กรูปตัวเอช">#REF!</definedName>
    <definedName name="ราคาเหล็กรูปตัวไอ" localSheetId="3">#REF!</definedName>
    <definedName name="ราคาเหล็กรูปตัวไอ" localSheetId="4">#REF!</definedName>
    <definedName name="ราคาเหล็กรูปตัวไอ" localSheetId="71">#REF!</definedName>
    <definedName name="ราคาเหล็กรูปตัวไอ" localSheetId="2">#REF!</definedName>
    <definedName name="ราคาเหล็กรูปตัวไอ">#REF!</definedName>
    <definedName name="ราคาแผ่นใยไม้อัดแข็ง4มม." localSheetId="3">#REF!</definedName>
    <definedName name="ราคาแผ่นใยไม้อัดแข็ง4มม." localSheetId="4">#REF!</definedName>
    <definedName name="ราคาแผ่นใยไม้อัดแข็ง4มม." localSheetId="71">#REF!</definedName>
    <definedName name="ราคาแผ่นใยไม้อัดแข็ง4มม." localSheetId="2">#REF!</definedName>
    <definedName name="ราคาแผ่นใยไม้อัดแข็ง4มม.">#REF!</definedName>
    <definedName name="ราคาแผ่นใยไม้อัดแข็ง6มม." localSheetId="3">#REF!</definedName>
    <definedName name="ราคาแผ่นใยไม้อัดแข็ง6มม." localSheetId="4">#REF!</definedName>
    <definedName name="ราคาแผ่นใยไม้อัดแข็ง6มม." localSheetId="71">#REF!</definedName>
    <definedName name="ราคาแผ่นใยไม้อัดแข็ง6มม." localSheetId="2">#REF!</definedName>
    <definedName name="ราคาแผ่นใยไม้อัดแข็ง6มม.">#REF!</definedName>
    <definedName name="ราคาแอสฟัลท์" localSheetId="3">#REF!</definedName>
    <definedName name="ราคาแอสฟัลท์" localSheetId="4">#REF!</definedName>
    <definedName name="ราคาแอสฟัลท์" localSheetId="71">#REF!</definedName>
    <definedName name="ราคาแอสฟัลท์" localSheetId="2">#REF!</definedName>
    <definedName name="ราคาแอสฟัลท์">#REF!</definedName>
    <definedName name="ราคาแอสฟัลท์เปเปอร์" localSheetId="3">#REF!</definedName>
    <definedName name="ราคาแอสฟัลท์เปเปอร์" localSheetId="4">#REF!</definedName>
    <definedName name="ราคาแอสฟัลท์เปเปอร์" localSheetId="71">#REF!</definedName>
    <definedName name="ราคาแอสฟัลท์เปเปอร์" localSheetId="2">#REF!</definedName>
    <definedName name="ราคาแอสฟัลท์เปเปอร์">#REF!</definedName>
    <definedName name="ราคากระเบื้องแผ่นเรียบ4มม." localSheetId="3">#REF!</definedName>
    <definedName name="ราคากระเบื้องแผ่นเรียบ4มม." localSheetId="4">#REF!</definedName>
    <definedName name="ราคากระเบื้องแผ่นเรียบ4มม." localSheetId="71">#REF!</definedName>
    <definedName name="ราคากระเบื้องแผ่นเรียบ4มม." localSheetId="2">#REF!</definedName>
    <definedName name="ราคากระเบื้องแผ่นเรียบ4มม.">#REF!</definedName>
    <definedName name="ราคากระเบื้องแผ่นเรียบ6มม." localSheetId="3">#REF!</definedName>
    <definedName name="ราคากระเบื้องแผ่นเรียบ6มม." localSheetId="4">#REF!</definedName>
    <definedName name="ราคากระเบื้องแผ่นเรียบ6มม." localSheetId="71">#REF!</definedName>
    <definedName name="ราคากระเบื้องแผ่นเรียบ6มม." localSheetId="2">#REF!</definedName>
    <definedName name="ราคากระเบื้องแผ่นเรียบ6มม.">#REF!</definedName>
    <definedName name="ราคากระดาษชานอ้อย10มม." localSheetId="3">#REF!</definedName>
    <definedName name="ราคากระดาษชานอ้อย10มม." localSheetId="4">#REF!</definedName>
    <definedName name="ราคากระดาษชานอ้อย10มม." localSheetId="71">#REF!</definedName>
    <definedName name="ราคากระดาษชานอ้อย10มม." localSheetId="2">#REF!</definedName>
    <definedName name="ราคากระดาษชานอ้อย10มม.">#REF!</definedName>
    <definedName name="ราคากระดาษชานอ้อย12มม." localSheetId="3">#REF!</definedName>
    <definedName name="ราคากระดาษชานอ้อย12มม." localSheetId="4">#REF!</definedName>
    <definedName name="ราคากระดาษชานอ้อย12มม." localSheetId="71">#REF!</definedName>
    <definedName name="ราคากระดาษชานอ้อย12มม." localSheetId="2">#REF!</definedName>
    <definedName name="ราคากระดาษชานอ้อย12มม.">#REF!</definedName>
    <definedName name="ราคากระดาษชานอ้อย20มม." localSheetId="3">#REF!</definedName>
    <definedName name="ราคากระดาษชานอ้อย20มม." localSheetId="4">#REF!</definedName>
    <definedName name="ราคากระดาษชานอ้อย20มม." localSheetId="71">#REF!</definedName>
    <definedName name="ราคากระดาษชานอ้อย20มม." localSheetId="2">#REF!</definedName>
    <definedName name="ราคากระดาษชานอ้อย20มม.">#REF!</definedName>
    <definedName name="ราคากระดาษชานอ้อย25มม." localSheetId="3">#REF!</definedName>
    <definedName name="ราคากระดาษชานอ้อย25มม." localSheetId="4">#REF!</definedName>
    <definedName name="ราคากระดาษชานอ้อย25มม." localSheetId="71">#REF!</definedName>
    <definedName name="ราคากระดาษชานอ้อย25มม." localSheetId="2">#REF!</definedName>
    <definedName name="ราคากระดาษชานอ้อย25มม.">#REF!</definedName>
    <definedName name="ราคาคอนกรีต150">[14]unitcost!$Q$512</definedName>
    <definedName name="ราคาค่าขนส่งคอนกรีต" localSheetId="3">#REF!</definedName>
    <definedName name="ราคาค่าขนส่งคอนกรีต" localSheetId="4">#REF!</definedName>
    <definedName name="ราคาค่าขนส่งคอนกรีต" localSheetId="5">#REF!</definedName>
    <definedName name="ราคาค่าขนส่งคอนกรีต" localSheetId="18">#REF!</definedName>
    <definedName name="ราคาค่าขนส่งคอนกรีต" localSheetId="30">#REF!</definedName>
    <definedName name="ราคาค่าขนส่งคอนกรีต" localSheetId="56">#REF!</definedName>
    <definedName name="ราคาค่าขนส่งคอนกรีต" localSheetId="43">#REF!</definedName>
    <definedName name="ราคาค่าขนส่งคอนกรีต" localSheetId="71">#REF!</definedName>
    <definedName name="ราคาค่าขนส่งคอนกรีต" localSheetId="69">#REF!</definedName>
    <definedName name="ราคาค่าขนส่งคอนกรีต" localSheetId="70">#REF!</definedName>
    <definedName name="ราคาค่าขนส่งคอนกรีต" localSheetId="74">#REF!</definedName>
    <definedName name="ราคาค่าขนส่งคอนกรีต" localSheetId="2">#REF!</definedName>
    <definedName name="ราคาค่าขนส่งคอนกรีต">#REF!</definedName>
    <definedName name="ราคาดินตัด" localSheetId="3">#REF!</definedName>
    <definedName name="ราคาดินตัด" localSheetId="4">#REF!</definedName>
    <definedName name="ราคาดินตัด" localSheetId="71">#REF!</definedName>
    <definedName name="ราคาดินตัด" localSheetId="69">#REF!</definedName>
    <definedName name="ราคาดินตัด" localSheetId="70">#REF!</definedName>
    <definedName name="ราคาดินตัด" localSheetId="2">#REF!</definedName>
    <definedName name="ราคาดินตัด">#REF!</definedName>
    <definedName name="ราคาดินถม" localSheetId="3">#REF!</definedName>
    <definedName name="ราคาดินถม" localSheetId="4">#REF!</definedName>
    <definedName name="ราคาดินถม" localSheetId="71">#REF!</definedName>
    <definedName name="ราคาดินถม" localSheetId="69">#REF!</definedName>
    <definedName name="ราคาดินถม" localSheetId="70">#REF!</definedName>
    <definedName name="ราคาดินถม" localSheetId="2">#REF!</definedName>
    <definedName name="ราคาดินถม">#REF!</definedName>
    <definedName name="ราคาต่อหน่วย1.1" localSheetId="3">#REF!</definedName>
    <definedName name="ราคาต่อหน่วย1.1" localSheetId="4">#REF!</definedName>
    <definedName name="ราคาต่อหน่วย1.1" localSheetId="71">#REF!</definedName>
    <definedName name="ราคาต่อหน่วย1.1" localSheetId="2">#REF!</definedName>
    <definedName name="ราคาต่อหน่วย1.1">#REF!</definedName>
    <definedName name="ราคาต่อหน่วย1.2" localSheetId="3">#REF!</definedName>
    <definedName name="ราคาต่อหน่วย1.2" localSheetId="4">#REF!</definedName>
    <definedName name="ราคาต่อหน่วย1.2" localSheetId="71">#REF!</definedName>
    <definedName name="ราคาต่อหน่วย1.2" localSheetId="2">#REF!</definedName>
    <definedName name="ราคาต่อหน่วย1.2">#REF!</definedName>
    <definedName name="ราคาต่อหน่วย1.3" localSheetId="3">#REF!</definedName>
    <definedName name="ราคาต่อหน่วย1.3" localSheetId="4">#REF!</definedName>
    <definedName name="ราคาต่อหน่วย1.3" localSheetId="71">#REF!</definedName>
    <definedName name="ราคาต่อหน่วย1.3" localSheetId="2">#REF!</definedName>
    <definedName name="ราคาต่อหน่วย1.3">#REF!</definedName>
    <definedName name="ราคาต่อหน่วย1.3.1" localSheetId="3">#REF!</definedName>
    <definedName name="ราคาต่อหน่วย1.3.1" localSheetId="4">#REF!</definedName>
    <definedName name="ราคาต่อหน่วย1.3.1" localSheetId="71">#REF!</definedName>
    <definedName name="ราคาต่อหน่วย1.3.1" localSheetId="2">#REF!</definedName>
    <definedName name="ราคาต่อหน่วย1.3.1">#REF!</definedName>
    <definedName name="ราคาต่อหน่วย1.3.2" localSheetId="3">#REF!</definedName>
    <definedName name="ราคาต่อหน่วย1.3.2" localSheetId="4">#REF!</definedName>
    <definedName name="ราคาต่อหน่วย1.3.2" localSheetId="71">#REF!</definedName>
    <definedName name="ราคาต่อหน่วย1.3.2" localSheetId="2">#REF!</definedName>
    <definedName name="ราคาต่อหน่วย1.3.2">#REF!</definedName>
    <definedName name="ราคาต่อหน่วย1.3.3" localSheetId="3">#REF!</definedName>
    <definedName name="ราคาต่อหน่วย1.3.3" localSheetId="4">#REF!</definedName>
    <definedName name="ราคาต่อหน่วย1.3.3" localSheetId="71">#REF!</definedName>
    <definedName name="ราคาต่อหน่วย1.3.3" localSheetId="2">#REF!</definedName>
    <definedName name="ราคาต่อหน่วย1.3.3">#REF!</definedName>
    <definedName name="ราคาต่อหน่วย1.3.4" localSheetId="3">#REF!</definedName>
    <definedName name="ราคาต่อหน่วย1.3.4" localSheetId="4">#REF!</definedName>
    <definedName name="ราคาต่อหน่วย1.3.4" localSheetId="71">#REF!</definedName>
    <definedName name="ราคาต่อหน่วย1.3.4" localSheetId="2">#REF!</definedName>
    <definedName name="ราคาต่อหน่วย1.3.4">#REF!</definedName>
    <definedName name="ราคาต่อหน่วย1.4" localSheetId="3">#REF!</definedName>
    <definedName name="ราคาต่อหน่วย1.4" localSheetId="4">#REF!</definedName>
    <definedName name="ราคาต่อหน่วย1.4" localSheetId="71">#REF!</definedName>
    <definedName name="ราคาต่อหน่วย1.4" localSheetId="2">#REF!</definedName>
    <definedName name="ราคาต่อหน่วย1.4">#REF!</definedName>
    <definedName name="ราคาต่อหน่วย1.4.1" localSheetId="3">#REF!</definedName>
    <definedName name="ราคาต่อหน่วย1.4.1" localSheetId="4">#REF!</definedName>
    <definedName name="ราคาต่อหน่วย1.4.1" localSheetId="71">#REF!</definedName>
    <definedName name="ราคาต่อหน่วย1.4.1" localSheetId="2">#REF!</definedName>
    <definedName name="ราคาต่อหน่วย1.4.1">#REF!</definedName>
    <definedName name="ราคาต่อหน่วย1.4.2" localSheetId="3">#REF!</definedName>
    <definedName name="ราคาต่อหน่วย1.4.2" localSheetId="4">#REF!</definedName>
    <definedName name="ราคาต่อหน่วย1.4.2" localSheetId="71">#REF!</definedName>
    <definedName name="ราคาต่อหน่วย1.4.2" localSheetId="2">#REF!</definedName>
    <definedName name="ราคาต่อหน่วย1.4.2">#REF!</definedName>
    <definedName name="ราคาต่อหน่วย1.4.3" localSheetId="3">#REF!</definedName>
    <definedName name="ราคาต่อหน่วย1.4.3" localSheetId="4">#REF!</definedName>
    <definedName name="ราคาต่อหน่วย1.4.3" localSheetId="71">#REF!</definedName>
    <definedName name="ราคาต่อหน่วย1.4.3" localSheetId="2">#REF!</definedName>
    <definedName name="ราคาต่อหน่วย1.4.3">#REF!</definedName>
    <definedName name="ราคาต่อหน่วย1.5" localSheetId="3">#REF!</definedName>
    <definedName name="ราคาต่อหน่วย1.5" localSheetId="4">#REF!</definedName>
    <definedName name="ราคาต่อหน่วย1.5" localSheetId="71">#REF!</definedName>
    <definedName name="ราคาต่อหน่วย1.5" localSheetId="2">#REF!</definedName>
    <definedName name="ราคาต่อหน่วย1.5">#REF!</definedName>
    <definedName name="ราคาต่อหน่วย1.6" localSheetId="3">#REF!</definedName>
    <definedName name="ราคาต่อหน่วย1.6" localSheetId="4">#REF!</definedName>
    <definedName name="ราคาต่อหน่วย1.6" localSheetId="71">#REF!</definedName>
    <definedName name="ราคาต่อหน่วย1.6" localSheetId="2">#REF!</definedName>
    <definedName name="ราคาต่อหน่วย1.6">#REF!</definedName>
    <definedName name="ราคาต่อหน่วย1.6.1" localSheetId="3">#REF!</definedName>
    <definedName name="ราคาต่อหน่วย1.6.1" localSheetId="4">#REF!</definedName>
    <definedName name="ราคาต่อหน่วย1.6.1" localSheetId="71">#REF!</definedName>
    <definedName name="ราคาต่อหน่วย1.6.1" localSheetId="2">#REF!</definedName>
    <definedName name="ราคาต่อหน่วย1.6.1">#REF!</definedName>
    <definedName name="ราคาต่อหน่วย1.6.2" localSheetId="3">#REF!</definedName>
    <definedName name="ราคาต่อหน่วย1.6.2" localSheetId="4">#REF!</definedName>
    <definedName name="ราคาต่อหน่วย1.6.2" localSheetId="71">#REF!</definedName>
    <definedName name="ราคาต่อหน่วย1.6.2" localSheetId="2">#REF!</definedName>
    <definedName name="ราคาต่อหน่วย1.6.2">#REF!</definedName>
    <definedName name="ราคาต่อหน่วย2.1" localSheetId="3">#REF!</definedName>
    <definedName name="ราคาต่อหน่วย2.1" localSheetId="4">#REF!</definedName>
    <definedName name="ราคาต่อหน่วย2.1" localSheetId="71">#REF!</definedName>
    <definedName name="ราคาต่อหน่วย2.1" localSheetId="2">#REF!</definedName>
    <definedName name="ราคาต่อหน่วย2.1">#REF!</definedName>
    <definedName name="ราคาต่อหน่วย2.2_1" localSheetId="3">#REF!</definedName>
    <definedName name="ราคาต่อหน่วย2.2_1" localSheetId="4">#REF!</definedName>
    <definedName name="ราคาต่อหน่วย2.2_1" localSheetId="71">#REF!</definedName>
    <definedName name="ราคาต่อหน่วย2.2_1" localSheetId="2">#REF!</definedName>
    <definedName name="ราคาต่อหน่วย2.2_1">#REF!</definedName>
    <definedName name="ราคาต่อหน่วย2.2_2" localSheetId="3">#REF!</definedName>
    <definedName name="ราคาต่อหน่วย2.2_2" localSheetId="4">#REF!</definedName>
    <definedName name="ราคาต่อหน่วย2.2_2" localSheetId="71">#REF!</definedName>
    <definedName name="ราคาต่อหน่วย2.2_2" localSheetId="2">#REF!</definedName>
    <definedName name="ราคาต่อหน่วย2.2_2">#REF!</definedName>
    <definedName name="ราคาต่อหน่วย2.2_3" localSheetId="3">#REF!</definedName>
    <definedName name="ราคาต่อหน่วย2.2_3" localSheetId="4">#REF!</definedName>
    <definedName name="ราคาต่อหน่วย2.2_3" localSheetId="71">#REF!</definedName>
    <definedName name="ราคาต่อหน่วย2.2_3" localSheetId="2">#REF!</definedName>
    <definedName name="ราคาต่อหน่วย2.2_3">#REF!</definedName>
    <definedName name="ราคาต่อหน่วย2.2_4" localSheetId="3">#REF!</definedName>
    <definedName name="ราคาต่อหน่วย2.2_4" localSheetId="4">#REF!</definedName>
    <definedName name="ราคาต่อหน่วย2.2_4" localSheetId="71">#REF!</definedName>
    <definedName name="ราคาต่อหน่วย2.2_4" localSheetId="2">#REF!</definedName>
    <definedName name="ราคาต่อหน่วย2.2_4">#REF!</definedName>
    <definedName name="ราคาต่อหน่วย2.2_5" localSheetId="3">#REF!</definedName>
    <definedName name="ราคาต่อหน่วย2.2_5" localSheetId="4">#REF!</definedName>
    <definedName name="ราคาต่อหน่วย2.2_5" localSheetId="71">#REF!</definedName>
    <definedName name="ราคาต่อหน่วย2.2_5" localSheetId="2">#REF!</definedName>
    <definedName name="ราคาต่อหน่วย2.2_5">#REF!</definedName>
    <definedName name="ราคาต่อหน่วย2.3_1" localSheetId="3">#REF!</definedName>
    <definedName name="ราคาต่อหน่วย2.3_1" localSheetId="4">#REF!</definedName>
    <definedName name="ราคาต่อหน่วย2.3_1" localSheetId="71">#REF!</definedName>
    <definedName name="ราคาต่อหน่วย2.3_1" localSheetId="2">#REF!</definedName>
    <definedName name="ราคาต่อหน่วย2.3_1">#REF!</definedName>
    <definedName name="ราคาต่อหน่วย2.3_10.1" localSheetId="3">#REF!</definedName>
    <definedName name="ราคาต่อหน่วย2.3_10.1" localSheetId="4">#REF!</definedName>
    <definedName name="ราคาต่อหน่วย2.3_10.1" localSheetId="71">#REF!</definedName>
    <definedName name="ราคาต่อหน่วย2.3_10.1" localSheetId="2">#REF!</definedName>
    <definedName name="ราคาต่อหน่วย2.3_10.1">#REF!</definedName>
    <definedName name="ราคาต่อหน่วย2.3_10.2" localSheetId="3">#REF!</definedName>
    <definedName name="ราคาต่อหน่วย2.3_10.2" localSheetId="4">#REF!</definedName>
    <definedName name="ราคาต่อหน่วย2.3_10.2" localSheetId="71">#REF!</definedName>
    <definedName name="ราคาต่อหน่วย2.3_10.2" localSheetId="2">#REF!</definedName>
    <definedName name="ราคาต่อหน่วย2.3_10.2">#REF!</definedName>
    <definedName name="ราคาต่อหน่วย2.3_2" localSheetId="3">#REF!</definedName>
    <definedName name="ราคาต่อหน่วย2.3_2" localSheetId="4">#REF!</definedName>
    <definedName name="ราคาต่อหน่วย2.3_2" localSheetId="71">#REF!</definedName>
    <definedName name="ราคาต่อหน่วย2.3_2" localSheetId="2">#REF!</definedName>
    <definedName name="ราคาต่อหน่วย2.3_2">#REF!</definedName>
    <definedName name="ราคาต่อหน่วย2.3_3" localSheetId="3">#REF!</definedName>
    <definedName name="ราคาต่อหน่วย2.3_3" localSheetId="4">#REF!</definedName>
    <definedName name="ราคาต่อหน่วย2.3_3" localSheetId="71">#REF!</definedName>
    <definedName name="ราคาต่อหน่วย2.3_3" localSheetId="2">#REF!</definedName>
    <definedName name="ราคาต่อหน่วย2.3_3">#REF!</definedName>
    <definedName name="ราคาต่อหน่วย2.3_4" localSheetId="3">#REF!</definedName>
    <definedName name="ราคาต่อหน่วย2.3_4" localSheetId="4">#REF!</definedName>
    <definedName name="ราคาต่อหน่วย2.3_4" localSheetId="71">#REF!</definedName>
    <definedName name="ราคาต่อหน่วย2.3_4" localSheetId="2">#REF!</definedName>
    <definedName name="ราคาต่อหน่วย2.3_4">#REF!</definedName>
    <definedName name="ราคาต่อหน่วย2.3_5" localSheetId="3">#REF!</definedName>
    <definedName name="ราคาต่อหน่วย2.3_5" localSheetId="4">#REF!</definedName>
    <definedName name="ราคาต่อหน่วย2.3_5" localSheetId="71">#REF!</definedName>
    <definedName name="ราคาต่อหน่วย2.3_5" localSheetId="2">#REF!</definedName>
    <definedName name="ราคาต่อหน่วย2.3_5">#REF!</definedName>
    <definedName name="ราคาต่อหน่วย2.3_6" localSheetId="3">#REF!</definedName>
    <definedName name="ราคาต่อหน่วย2.3_6" localSheetId="4">#REF!</definedName>
    <definedName name="ราคาต่อหน่วย2.3_6" localSheetId="71">#REF!</definedName>
    <definedName name="ราคาต่อหน่วย2.3_6" localSheetId="2">#REF!</definedName>
    <definedName name="ราคาต่อหน่วย2.3_6">#REF!</definedName>
    <definedName name="ราคาต่อหน่วย2.3_7" localSheetId="3">#REF!</definedName>
    <definedName name="ราคาต่อหน่วย2.3_7" localSheetId="4">#REF!</definedName>
    <definedName name="ราคาต่อหน่วย2.3_7" localSheetId="71">#REF!</definedName>
    <definedName name="ราคาต่อหน่วย2.3_7" localSheetId="2">#REF!</definedName>
    <definedName name="ราคาต่อหน่วย2.3_7">#REF!</definedName>
    <definedName name="ราคาต่อหน่วย2.3_8" localSheetId="3">#REF!</definedName>
    <definedName name="ราคาต่อหน่วย2.3_8" localSheetId="4">#REF!</definedName>
    <definedName name="ราคาต่อหน่วย2.3_8" localSheetId="71">#REF!</definedName>
    <definedName name="ราคาต่อหน่วย2.3_8" localSheetId="2">#REF!</definedName>
    <definedName name="ราคาต่อหน่วย2.3_8">#REF!</definedName>
    <definedName name="ราคาต่อหน่วย2.3_9" localSheetId="3">#REF!</definedName>
    <definedName name="ราคาต่อหน่วย2.3_9" localSheetId="4">#REF!</definedName>
    <definedName name="ราคาต่อหน่วย2.3_9" localSheetId="71">#REF!</definedName>
    <definedName name="ราคาต่อหน่วย2.3_9" localSheetId="2">#REF!</definedName>
    <definedName name="ราคาต่อหน่วย2.3_9">#REF!</definedName>
    <definedName name="ราคาต่อหน่วย2.4_1" localSheetId="3">#REF!</definedName>
    <definedName name="ราคาต่อหน่วย2.4_1" localSheetId="4">#REF!</definedName>
    <definedName name="ราคาต่อหน่วย2.4_1" localSheetId="71">#REF!</definedName>
    <definedName name="ราคาต่อหน่วย2.4_1" localSheetId="2">#REF!</definedName>
    <definedName name="ราคาต่อหน่วย2.4_1">#REF!</definedName>
    <definedName name="ราคาต่อหน่วย2.4_2" localSheetId="3">#REF!</definedName>
    <definedName name="ราคาต่อหน่วย2.4_2" localSheetId="4">#REF!</definedName>
    <definedName name="ราคาต่อหน่วย2.4_2" localSheetId="71">#REF!</definedName>
    <definedName name="ราคาต่อหน่วย2.4_2" localSheetId="2">#REF!</definedName>
    <definedName name="ราคาต่อหน่วย2.4_2">#REF!</definedName>
    <definedName name="ราคาต่อหน่วย3.1_1" localSheetId="3">#REF!</definedName>
    <definedName name="ราคาต่อหน่วย3.1_1" localSheetId="4">#REF!</definedName>
    <definedName name="ราคาต่อหน่วย3.1_1" localSheetId="71">#REF!</definedName>
    <definedName name="ราคาต่อหน่วย3.1_1" localSheetId="2">#REF!</definedName>
    <definedName name="ราคาต่อหน่วย3.1_1">#REF!</definedName>
    <definedName name="ราคาต่อหน่วย3.1_2" localSheetId="3">#REF!</definedName>
    <definedName name="ราคาต่อหน่วย3.1_2" localSheetId="4">#REF!</definedName>
    <definedName name="ราคาต่อหน่วย3.1_2" localSheetId="71">#REF!</definedName>
    <definedName name="ราคาต่อหน่วย3.1_2" localSheetId="2">#REF!</definedName>
    <definedName name="ราคาต่อหน่วย3.1_2">#REF!</definedName>
    <definedName name="ราคาต่อหน่วย3.2_1" localSheetId="3">#REF!</definedName>
    <definedName name="ราคาต่อหน่วย3.2_1" localSheetId="4">#REF!</definedName>
    <definedName name="ราคาต่อหน่วย3.2_1" localSheetId="71">#REF!</definedName>
    <definedName name="ราคาต่อหน่วย3.2_1" localSheetId="2">#REF!</definedName>
    <definedName name="ราคาต่อหน่วย3.2_1">#REF!</definedName>
    <definedName name="ราคาต่อหน่วย3.2_2" localSheetId="3">#REF!</definedName>
    <definedName name="ราคาต่อหน่วย3.2_2" localSheetId="4">#REF!</definedName>
    <definedName name="ราคาต่อหน่วย3.2_2" localSheetId="71">#REF!</definedName>
    <definedName name="ราคาต่อหน่วย3.2_2" localSheetId="2">#REF!</definedName>
    <definedName name="ราคาต่อหน่วย3.2_2">#REF!</definedName>
    <definedName name="ราคาต่อหน่วย3.2_3" localSheetId="3">#REF!</definedName>
    <definedName name="ราคาต่อหน่วย3.2_3" localSheetId="4">#REF!</definedName>
    <definedName name="ราคาต่อหน่วย3.2_3" localSheetId="71">#REF!</definedName>
    <definedName name="ราคาต่อหน่วย3.2_3" localSheetId="2">#REF!</definedName>
    <definedName name="ราคาต่อหน่วย3.2_3">#REF!</definedName>
    <definedName name="ราคาต่อหน่วย3.2_4" localSheetId="3">#REF!</definedName>
    <definedName name="ราคาต่อหน่วย3.2_4" localSheetId="4">#REF!</definedName>
    <definedName name="ราคาต่อหน่วย3.2_4" localSheetId="71">#REF!</definedName>
    <definedName name="ราคาต่อหน่วย3.2_4" localSheetId="2">#REF!</definedName>
    <definedName name="ราคาต่อหน่วย3.2_4">#REF!</definedName>
    <definedName name="ราคาต่อหน่วย3.3_1" localSheetId="3">#REF!</definedName>
    <definedName name="ราคาต่อหน่วย3.3_1" localSheetId="4">#REF!</definedName>
    <definedName name="ราคาต่อหน่วย3.3_1" localSheetId="71">#REF!</definedName>
    <definedName name="ราคาต่อหน่วย3.3_1" localSheetId="2">#REF!</definedName>
    <definedName name="ราคาต่อหน่วย3.3_1">#REF!</definedName>
    <definedName name="ราคาต่อหน่วย3.4_1" localSheetId="3">#REF!</definedName>
    <definedName name="ราคาต่อหน่วย3.4_1" localSheetId="4">#REF!</definedName>
    <definedName name="ราคาต่อหน่วย3.4_1" localSheetId="71">#REF!</definedName>
    <definedName name="ราคาต่อหน่วย3.4_1" localSheetId="2">#REF!</definedName>
    <definedName name="ราคาต่อหน่วย3.4_1">#REF!</definedName>
    <definedName name="ราคาต่อหน่วย3.4_2" localSheetId="3">#REF!</definedName>
    <definedName name="ราคาต่อหน่วย3.4_2" localSheetId="4">#REF!</definedName>
    <definedName name="ราคาต่อหน่วย3.4_2" localSheetId="71">#REF!</definedName>
    <definedName name="ราคาต่อหน่วย3.4_2" localSheetId="2">#REF!</definedName>
    <definedName name="ราคาต่อหน่วย3.4_2">#REF!</definedName>
    <definedName name="ราคาต่อหน่วย3.5" localSheetId="3">#REF!</definedName>
    <definedName name="ราคาต่อหน่วย3.5" localSheetId="4">#REF!</definedName>
    <definedName name="ราคาต่อหน่วย3.5" localSheetId="71">#REF!</definedName>
    <definedName name="ราคาต่อหน่วย3.5" localSheetId="2">#REF!</definedName>
    <definedName name="ราคาต่อหน่วย3.5">#REF!</definedName>
    <definedName name="ราคาต่อหน่วย3.6" localSheetId="3">#REF!</definedName>
    <definedName name="ราคาต่อหน่วย3.6" localSheetId="4">#REF!</definedName>
    <definedName name="ราคาต่อหน่วย3.6" localSheetId="71">#REF!</definedName>
    <definedName name="ราคาต่อหน่วย3.6" localSheetId="2">#REF!</definedName>
    <definedName name="ราคาต่อหน่วย3.6">#REF!</definedName>
    <definedName name="ราคาต่อหน่วย3.7_1" localSheetId="3">#REF!</definedName>
    <definedName name="ราคาต่อหน่วย3.7_1" localSheetId="4">#REF!</definedName>
    <definedName name="ราคาต่อหน่วย3.7_1" localSheetId="71">#REF!</definedName>
    <definedName name="ราคาต่อหน่วย3.7_1" localSheetId="2">#REF!</definedName>
    <definedName name="ราคาต่อหน่วย3.7_1">#REF!</definedName>
    <definedName name="ราคาต่อหน่วย3.7_2" localSheetId="3">#REF!</definedName>
    <definedName name="ราคาต่อหน่วย3.7_2" localSheetId="4">#REF!</definedName>
    <definedName name="ราคาต่อหน่วย3.7_2" localSheetId="71">#REF!</definedName>
    <definedName name="ราคาต่อหน่วย3.7_2" localSheetId="2">#REF!</definedName>
    <definedName name="ราคาต่อหน่วย3.7_2">#REF!</definedName>
    <definedName name="ราคาต่อหน่วย4.1_1" localSheetId="3">#REF!</definedName>
    <definedName name="ราคาต่อหน่วย4.1_1" localSheetId="4">#REF!</definedName>
    <definedName name="ราคาต่อหน่วย4.1_1" localSheetId="71">#REF!</definedName>
    <definedName name="ราคาต่อหน่วย4.1_1" localSheetId="2">#REF!</definedName>
    <definedName name="ราคาต่อหน่วย4.1_1">#REF!</definedName>
    <definedName name="ราคาต่อหน่วย4.1_2" localSheetId="3">#REF!</definedName>
    <definedName name="ราคาต่อหน่วย4.1_2" localSheetId="4">#REF!</definedName>
    <definedName name="ราคาต่อหน่วย4.1_2" localSheetId="71">#REF!</definedName>
    <definedName name="ราคาต่อหน่วย4.1_2" localSheetId="2">#REF!</definedName>
    <definedName name="ราคาต่อหน่วย4.1_2">#REF!</definedName>
    <definedName name="ราคาต่อหน่วย4.2_1" localSheetId="3">#REF!</definedName>
    <definedName name="ราคาต่อหน่วย4.2_1" localSheetId="4">#REF!</definedName>
    <definedName name="ราคาต่อหน่วย4.2_1" localSheetId="71">#REF!</definedName>
    <definedName name="ราคาต่อหน่วย4.2_1" localSheetId="2">#REF!</definedName>
    <definedName name="ราคาต่อหน่วย4.2_1">#REF!</definedName>
    <definedName name="ราคาต่อหน่วย4.2_2" localSheetId="3">#REF!</definedName>
    <definedName name="ราคาต่อหน่วย4.2_2" localSheetId="4">#REF!</definedName>
    <definedName name="ราคาต่อหน่วย4.2_2" localSheetId="71">#REF!</definedName>
    <definedName name="ราคาต่อหน่วย4.2_2" localSheetId="2">#REF!</definedName>
    <definedName name="ราคาต่อหน่วย4.2_2">#REF!</definedName>
    <definedName name="ราคาต่อหน่วย4.3" localSheetId="3">#REF!</definedName>
    <definedName name="ราคาต่อหน่วย4.3" localSheetId="4">#REF!</definedName>
    <definedName name="ราคาต่อหน่วย4.3" localSheetId="71">#REF!</definedName>
    <definedName name="ราคาต่อหน่วย4.3" localSheetId="2">#REF!</definedName>
    <definedName name="ราคาต่อหน่วย4.3">#REF!</definedName>
    <definedName name="ราคาต่อหน่วย4.4_1" localSheetId="3">#REF!</definedName>
    <definedName name="ราคาต่อหน่วย4.4_1" localSheetId="4">#REF!</definedName>
    <definedName name="ราคาต่อหน่วย4.4_1" localSheetId="71">#REF!</definedName>
    <definedName name="ราคาต่อหน่วย4.4_1" localSheetId="2">#REF!</definedName>
    <definedName name="ราคาต่อหน่วย4.4_1">#REF!</definedName>
    <definedName name="ราคาต่อหน่วย4.4_2" localSheetId="3">#REF!</definedName>
    <definedName name="ราคาต่อหน่วย4.4_2" localSheetId="4">#REF!</definedName>
    <definedName name="ราคาต่อหน่วย4.4_2" localSheetId="71">#REF!</definedName>
    <definedName name="ราคาต่อหน่วย4.4_2" localSheetId="2">#REF!</definedName>
    <definedName name="ราคาต่อหน่วย4.4_2">#REF!</definedName>
    <definedName name="ราคาต่อหน่วย4.4_3" localSheetId="3">#REF!</definedName>
    <definedName name="ราคาต่อหน่วย4.4_3" localSheetId="4">#REF!</definedName>
    <definedName name="ราคาต่อหน่วย4.4_3" localSheetId="71">#REF!</definedName>
    <definedName name="ราคาต่อหน่วย4.4_3" localSheetId="2">#REF!</definedName>
    <definedName name="ราคาต่อหน่วย4.4_3">#REF!</definedName>
    <definedName name="ราคาต่อหน่วย4.4_4" localSheetId="3">#REF!</definedName>
    <definedName name="ราคาต่อหน่วย4.4_4" localSheetId="4">#REF!</definedName>
    <definedName name="ราคาต่อหน่วย4.4_4" localSheetId="71">#REF!</definedName>
    <definedName name="ราคาต่อหน่วย4.4_4" localSheetId="2">#REF!</definedName>
    <definedName name="ราคาต่อหน่วย4.4_4">#REF!</definedName>
    <definedName name="ราคาต่อหน่วย4.4_5" localSheetId="3">#REF!</definedName>
    <definedName name="ราคาต่อหน่วย4.4_5" localSheetId="4">#REF!</definedName>
    <definedName name="ราคาต่อหน่วย4.4_5" localSheetId="71">#REF!</definedName>
    <definedName name="ราคาต่อหน่วย4.4_5" localSheetId="2">#REF!</definedName>
    <definedName name="ราคาต่อหน่วย4.4_5">#REF!</definedName>
    <definedName name="ราคาต่อหน่วย4.4_6" localSheetId="3">#REF!</definedName>
    <definedName name="ราคาต่อหน่วย4.4_6" localSheetId="4">#REF!</definedName>
    <definedName name="ราคาต่อหน่วย4.4_6" localSheetId="71">#REF!</definedName>
    <definedName name="ราคาต่อหน่วย4.4_6" localSheetId="2">#REF!</definedName>
    <definedName name="ราคาต่อหน่วย4.4_6">#REF!</definedName>
    <definedName name="ราคาต่อหน่วย4.4_7" localSheetId="3">#REF!</definedName>
    <definedName name="ราคาต่อหน่วย4.4_7" localSheetId="4">#REF!</definedName>
    <definedName name="ราคาต่อหน่วย4.4_7" localSheetId="71">#REF!</definedName>
    <definedName name="ราคาต่อหน่วย4.4_7" localSheetId="2">#REF!</definedName>
    <definedName name="ราคาต่อหน่วย4.4_7">#REF!</definedName>
    <definedName name="ราคาต่อหน่วย4.5" localSheetId="3">#REF!</definedName>
    <definedName name="ราคาต่อหน่วย4.5" localSheetId="4">#REF!</definedName>
    <definedName name="ราคาต่อหน่วย4.5" localSheetId="71">#REF!</definedName>
    <definedName name="ราคาต่อหน่วย4.5" localSheetId="2">#REF!</definedName>
    <definedName name="ราคาต่อหน่วย4.5">#REF!</definedName>
    <definedName name="ราคาต่อหน่วย4.6" localSheetId="3">#REF!</definedName>
    <definedName name="ราคาต่อหน่วย4.6" localSheetId="4">#REF!</definedName>
    <definedName name="ราคาต่อหน่วย4.6" localSheetId="71">#REF!</definedName>
    <definedName name="ราคาต่อหน่วย4.6" localSheetId="2">#REF!</definedName>
    <definedName name="ราคาต่อหน่วย4.6">#REF!</definedName>
    <definedName name="ราคาต่อหน่วย4.7_1" localSheetId="3">#REF!</definedName>
    <definedName name="ราคาต่อหน่วย4.7_1" localSheetId="4">#REF!</definedName>
    <definedName name="ราคาต่อหน่วย4.7_1" localSheetId="71">#REF!</definedName>
    <definedName name="ราคาต่อหน่วย4.7_1" localSheetId="2">#REF!</definedName>
    <definedName name="ราคาต่อหน่วย4.7_1">#REF!</definedName>
    <definedName name="ราคาต่อหน่วย4.7_2" localSheetId="3">#REF!</definedName>
    <definedName name="ราคาต่อหน่วย4.7_2" localSheetId="4">#REF!</definedName>
    <definedName name="ราคาต่อหน่วย4.7_2" localSheetId="71">#REF!</definedName>
    <definedName name="ราคาต่อหน่วย4.7_2" localSheetId="2">#REF!</definedName>
    <definedName name="ราคาต่อหน่วย4.7_2">#REF!</definedName>
    <definedName name="ราคาต่อหน่วย4.7_3" localSheetId="3">#REF!</definedName>
    <definedName name="ราคาต่อหน่วย4.7_3" localSheetId="4">#REF!</definedName>
    <definedName name="ราคาต่อหน่วย4.7_3" localSheetId="71">#REF!</definedName>
    <definedName name="ราคาต่อหน่วย4.7_3" localSheetId="2">#REF!</definedName>
    <definedName name="ราคาต่อหน่วย4.7_3">#REF!</definedName>
    <definedName name="ราคาต่อหน่วย4.8_1" localSheetId="3">#REF!</definedName>
    <definedName name="ราคาต่อหน่วย4.8_1" localSheetId="4">#REF!</definedName>
    <definedName name="ราคาต่อหน่วย4.8_1" localSheetId="71">#REF!</definedName>
    <definedName name="ราคาต่อหน่วย4.8_1" localSheetId="2">#REF!</definedName>
    <definedName name="ราคาต่อหน่วย4.8_1">#REF!</definedName>
    <definedName name="ราคาต่อหน่วย4.8_2" localSheetId="3">#REF!</definedName>
    <definedName name="ราคาต่อหน่วย4.8_2" localSheetId="4">#REF!</definedName>
    <definedName name="ราคาต่อหน่วย4.8_2" localSheetId="71">#REF!</definedName>
    <definedName name="ราคาต่อหน่วย4.8_2" localSheetId="2">#REF!</definedName>
    <definedName name="ราคาต่อหน่วย4.8_2">#REF!</definedName>
    <definedName name="ราคาต่อหน่วย4.9_1" localSheetId="3">#REF!</definedName>
    <definedName name="ราคาต่อหน่วย4.9_1" localSheetId="4">#REF!</definedName>
    <definedName name="ราคาต่อหน่วย4.9_1" localSheetId="71">#REF!</definedName>
    <definedName name="ราคาต่อหน่วย4.9_1" localSheetId="2">#REF!</definedName>
    <definedName name="ราคาต่อหน่วย4.9_1">#REF!</definedName>
    <definedName name="ราคาต่อหน่วย4.9_2" localSheetId="3">#REF!</definedName>
    <definedName name="ราคาต่อหน่วย4.9_2" localSheetId="4">#REF!</definedName>
    <definedName name="ราคาต่อหน่วย4.9_2" localSheetId="71">#REF!</definedName>
    <definedName name="ราคาต่อหน่วย4.9_2" localSheetId="2">#REF!</definedName>
    <definedName name="ราคาต่อหน่วย4.9_2">#REF!</definedName>
    <definedName name="ราคาต่อหน่วย4.9_3" localSheetId="3">#REF!</definedName>
    <definedName name="ราคาต่อหน่วย4.9_3" localSheetId="4">#REF!</definedName>
    <definedName name="ราคาต่อหน่วย4.9_3" localSheetId="71">#REF!</definedName>
    <definedName name="ราคาต่อหน่วย4.9_3" localSheetId="2">#REF!</definedName>
    <definedName name="ราคาต่อหน่วย4.9_3">#REF!</definedName>
    <definedName name="ราคาต่อหน่วย4.9_4" localSheetId="3">#REF!</definedName>
    <definedName name="ราคาต่อหน่วย4.9_4" localSheetId="4">#REF!</definedName>
    <definedName name="ราคาต่อหน่วย4.9_4" localSheetId="71">#REF!</definedName>
    <definedName name="ราคาต่อหน่วย4.9_4" localSheetId="2">#REF!</definedName>
    <definedName name="ราคาต่อหน่วย4.9_4">#REF!</definedName>
    <definedName name="ราคาต่อหน่วย4.9_5" localSheetId="3">#REF!</definedName>
    <definedName name="ราคาต่อหน่วย4.9_5" localSheetId="4">#REF!</definedName>
    <definedName name="ราคาต่อหน่วย4.9_5" localSheetId="71">#REF!</definedName>
    <definedName name="ราคาต่อหน่วย4.9_5" localSheetId="2">#REF!</definedName>
    <definedName name="ราคาต่อหน่วย4.9_5">#REF!</definedName>
    <definedName name="ราคาต่อหน่วย4.9_6" localSheetId="3">#REF!</definedName>
    <definedName name="ราคาต่อหน่วย4.9_6" localSheetId="4">#REF!</definedName>
    <definedName name="ราคาต่อหน่วย4.9_6" localSheetId="71">#REF!</definedName>
    <definedName name="ราคาต่อหน่วย4.9_6" localSheetId="2">#REF!</definedName>
    <definedName name="ราคาต่อหน่วย4.9_6">#REF!</definedName>
    <definedName name="ราคาต่อหน่วย4.9_7" localSheetId="3">#REF!</definedName>
    <definedName name="ราคาต่อหน่วย4.9_7" localSheetId="4">#REF!</definedName>
    <definedName name="ราคาต่อหน่วย4.9_7" localSheetId="71">#REF!</definedName>
    <definedName name="ราคาต่อหน่วย4.9_7" localSheetId="2">#REF!</definedName>
    <definedName name="ราคาต่อหน่วย4.9_7">#REF!</definedName>
    <definedName name="ราคาต่อหน่วย5.1_1.1" localSheetId="3">#REF!</definedName>
    <definedName name="ราคาต่อหน่วย5.1_1.1" localSheetId="4">#REF!</definedName>
    <definedName name="ราคาต่อหน่วย5.1_1.1" localSheetId="71">#REF!</definedName>
    <definedName name="ราคาต่อหน่วย5.1_1.1" localSheetId="2">#REF!</definedName>
    <definedName name="ราคาต่อหน่วย5.1_1.1">#REF!</definedName>
    <definedName name="ราคาต่อหน่วย5.1_1.2" localSheetId="3">#REF!</definedName>
    <definedName name="ราคาต่อหน่วย5.1_1.2" localSheetId="4">#REF!</definedName>
    <definedName name="ราคาต่อหน่วย5.1_1.2" localSheetId="71">#REF!</definedName>
    <definedName name="ราคาต่อหน่วย5.1_1.2" localSheetId="2">#REF!</definedName>
    <definedName name="ราคาต่อหน่วย5.1_1.2">#REF!</definedName>
    <definedName name="ราคาต่อหน่วย5.1_1.3" localSheetId="3">#REF!</definedName>
    <definedName name="ราคาต่อหน่วย5.1_1.3" localSheetId="4">#REF!</definedName>
    <definedName name="ราคาต่อหน่วย5.1_1.3" localSheetId="71">#REF!</definedName>
    <definedName name="ราคาต่อหน่วย5.1_1.3" localSheetId="2">#REF!</definedName>
    <definedName name="ราคาต่อหน่วย5.1_1.3">#REF!</definedName>
    <definedName name="ราคาต่อหน่วย5.1_1.4" localSheetId="3">#REF!</definedName>
    <definedName name="ราคาต่อหน่วย5.1_1.4" localSheetId="4">#REF!</definedName>
    <definedName name="ราคาต่อหน่วย5.1_1.4" localSheetId="71">#REF!</definedName>
    <definedName name="ราคาต่อหน่วย5.1_1.4" localSheetId="2">#REF!</definedName>
    <definedName name="ราคาต่อหน่วย5.1_1.4">#REF!</definedName>
    <definedName name="ราคาต่อหน่วย5.1_1.5" localSheetId="3">#REF!</definedName>
    <definedName name="ราคาต่อหน่วย5.1_1.5" localSheetId="4">#REF!</definedName>
    <definedName name="ราคาต่อหน่วย5.1_1.5" localSheetId="71">#REF!</definedName>
    <definedName name="ราคาต่อหน่วย5.1_1.5" localSheetId="2">#REF!</definedName>
    <definedName name="ราคาต่อหน่วย5.1_1.5">#REF!</definedName>
    <definedName name="ราคาต่อหน่วย5.1_1.6" localSheetId="3">#REF!</definedName>
    <definedName name="ราคาต่อหน่วย5.1_1.6" localSheetId="4">#REF!</definedName>
    <definedName name="ราคาต่อหน่วย5.1_1.6" localSheetId="71">#REF!</definedName>
    <definedName name="ราคาต่อหน่วย5.1_1.6" localSheetId="2">#REF!</definedName>
    <definedName name="ราคาต่อหน่วย5.1_1.6">#REF!</definedName>
    <definedName name="ราคาต่อหน่วย5.1_2.1.1" localSheetId="3">#REF!</definedName>
    <definedName name="ราคาต่อหน่วย5.1_2.1.1" localSheetId="4">#REF!</definedName>
    <definedName name="ราคาต่อหน่วย5.1_2.1.1" localSheetId="71">#REF!</definedName>
    <definedName name="ราคาต่อหน่วย5.1_2.1.1" localSheetId="2">#REF!</definedName>
    <definedName name="ราคาต่อหน่วย5.1_2.1.1">#REF!</definedName>
    <definedName name="ราคาต่อหน่วย5.1_2.1.2" localSheetId="3">#REF!</definedName>
    <definedName name="ราคาต่อหน่วย5.1_2.1.2" localSheetId="4">#REF!</definedName>
    <definedName name="ราคาต่อหน่วย5.1_2.1.2" localSheetId="71">#REF!</definedName>
    <definedName name="ราคาต่อหน่วย5.1_2.1.2" localSheetId="2">#REF!</definedName>
    <definedName name="ราคาต่อหน่วย5.1_2.1.2">#REF!</definedName>
    <definedName name="ราคาต่อหน่วย5.1_2.2.1" localSheetId="3">#REF!</definedName>
    <definedName name="ราคาต่อหน่วย5.1_2.2.1" localSheetId="4">#REF!</definedName>
    <definedName name="ราคาต่อหน่วย5.1_2.2.1" localSheetId="71">#REF!</definedName>
    <definedName name="ราคาต่อหน่วย5.1_2.2.1" localSheetId="2">#REF!</definedName>
    <definedName name="ราคาต่อหน่วย5.1_2.2.1">#REF!</definedName>
    <definedName name="ราคาต่อหน่วย5.1_2.2.2" localSheetId="3">#REF!</definedName>
    <definedName name="ราคาต่อหน่วย5.1_2.2.2" localSheetId="4">#REF!</definedName>
    <definedName name="ราคาต่อหน่วย5.1_2.2.2" localSheetId="71">#REF!</definedName>
    <definedName name="ราคาต่อหน่วย5.1_2.2.2" localSheetId="2">#REF!</definedName>
    <definedName name="ราคาต่อหน่วย5.1_2.2.2">#REF!</definedName>
    <definedName name="ราคาต่อหน่วย5.1_3.1" localSheetId="3">#REF!</definedName>
    <definedName name="ราคาต่อหน่วย5.1_3.1" localSheetId="4">#REF!</definedName>
    <definedName name="ราคาต่อหน่วย5.1_3.1" localSheetId="71">#REF!</definedName>
    <definedName name="ราคาต่อหน่วย5.1_3.1" localSheetId="2">#REF!</definedName>
    <definedName name="ราคาต่อหน่วย5.1_3.1">#REF!</definedName>
    <definedName name="ราคาต่อหน่วย5.1_3.2" localSheetId="3">#REF!</definedName>
    <definedName name="ราคาต่อหน่วย5.1_3.2" localSheetId="4">#REF!</definedName>
    <definedName name="ราคาต่อหน่วย5.1_3.2" localSheetId="71">#REF!</definedName>
    <definedName name="ราคาต่อหน่วย5.1_3.2" localSheetId="2">#REF!</definedName>
    <definedName name="ราคาต่อหน่วย5.1_3.2">#REF!</definedName>
    <definedName name="ราคาต่อหน่วย5.1_4" localSheetId="3">#REF!</definedName>
    <definedName name="ราคาต่อหน่วย5.1_4" localSheetId="4">#REF!</definedName>
    <definedName name="ราคาต่อหน่วย5.1_4" localSheetId="71">#REF!</definedName>
    <definedName name="ราคาต่อหน่วย5.1_4" localSheetId="2">#REF!</definedName>
    <definedName name="ราคาต่อหน่วย5.1_4">#REF!</definedName>
    <definedName name="ราคาต่อหน่วย5.1_5" localSheetId="3">#REF!</definedName>
    <definedName name="ราคาต่อหน่วย5.1_5" localSheetId="4">#REF!</definedName>
    <definedName name="ราคาต่อหน่วย5.1_5" localSheetId="71">#REF!</definedName>
    <definedName name="ราคาต่อหน่วย5.1_5" localSheetId="2">#REF!</definedName>
    <definedName name="ราคาต่อหน่วย5.1_5">#REF!</definedName>
    <definedName name="ราคาต่อหน่วย5.1_6" localSheetId="3">#REF!</definedName>
    <definedName name="ราคาต่อหน่วย5.1_6" localSheetId="4">#REF!</definedName>
    <definedName name="ราคาต่อหน่วย5.1_6" localSheetId="71">#REF!</definedName>
    <definedName name="ราคาต่อหน่วย5.1_6" localSheetId="2">#REF!</definedName>
    <definedName name="ราคาต่อหน่วย5.1_6">#REF!</definedName>
    <definedName name="ราคาต่อหน่วย5.1_7.1" localSheetId="3">#REF!</definedName>
    <definedName name="ราคาต่อหน่วย5.1_7.1" localSheetId="4">#REF!</definedName>
    <definedName name="ราคาต่อหน่วย5.1_7.1" localSheetId="71">#REF!</definedName>
    <definedName name="ราคาต่อหน่วย5.1_7.1" localSheetId="2">#REF!</definedName>
    <definedName name="ราคาต่อหน่วย5.1_7.1">#REF!</definedName>
    <definedName name="ราคาต่อหน่วย5.1_7.2" localSheetId="3">#REF!</definedName>
    <definedName name="ราคาต่อหน่วย5.1_7.2" localSheetId="4">#REF!</definedName>
    <definedName name="ราคาต่อหน่วย5.1_7.2" localSheetId="71">#REF!</definedName>
    <definedName name="ราคาต่อหน่วย5.1_7.2" localSheetId="2">#REF!</definedName>
    <definedName name="ราคาต่อหน่วย5.1_7.2">#REF!</definedName>
    <definedName name="ราคาต่อหน่วย5.2_1.1" localSheetId="3">#REF!</definedName>
    <definedName name="ราคาต่อหน่วย5.2_1.1" localSheetId="4">#REF!</definedName>
    <definedName name="ราคาต่อหน่วย5.2_1.1" localSheetId="71">#REF!</definedName>
    <definedName name="ราคาต่อหน่วย5.2_1.1" localSheetId="2">#REF!</definedName>
    <definedName name="ราคาต่อหน่วย5.2_1.1">#REF!</definedName>
    <definedName name="ราคาต่อหน่วย5.2_1.2" localSheetId="3">#REF!</definedName>
    <definedName name="ราคาต่อหน่วย5.2_1.2" localSheetId="4">#REF!</definedName>
    <definedName name="ราคาต่อหน่วย5.2_1.2" localSheetId="71">#REF!</definedName>
    <definedName name="ราคาต่อหน่วย5.2_1.2" localSheetId="2">#REF!</definedName>
    <definedName name="ราคาต่อหน่วย5.2_1.2">#REF!</definedName>
    <definedName name="ราคาต่อหน่วย5.2_1.3" localSheetId="3">#REF!</definedName>
    <definedName name="ราคาต่อหน่วย5.2_1.3" localSheetId="4">#REF!</definedName>
    <definedName name="ราคาต่อหน่วย5.2_1.3" localSheetId="71">#REF!</definedName>
    <definedName name="ราคาต่อหน่วย5.2_1.3" localSheetId="2">#REF!</definedName>
    <definedName name="ราคาต่อหน่วย5.2_1.3">#REF!</definedName>
    <definedName name="ราคาต่อหน่วย5.2_1.4" localSheetId="3">#REF!</definedName>
    <definedName name="ราคาต่อหน่วย5.2_1.4" localSheetId="4">#REF!</definedName>
    <definedName name="ราคาต่อหน่วย5.2_1.4" localSheetId="71">#REF!</definedName>
    <definedName name="ราคาต่อหน่วย5.2_1.4" localSheetId="2">#REF!</definedName>
    <definedName name="ราคาต่อหน่วย5.2_1.4">#REF!</definedName>
    <definedName name="ราคาต่อหน่วย5.2_1.5" localSheetId="3">#REF!</definedName>
    <definedName name="ราคาต่อหน่วย5.2_1.5" localSheetId="4">#REF!</definedName>
    <definedName name="ราคาต่อหน่วย5.2_1.5" localSheetId="71">#REF!</definedName>
    <definedName name="ราคาต่อหน่วย5.2_1.5" localSheetId="2">#REF!</definedName>
    <definedName name="ราคาต่อหน่วย5.2_1.5">#REF!</definedName>
    <definedName name="ราคาต่อหน่วย5.2_1.6" localSheetId="3">#REF!</definedName>
    <definedName name="ราคาต่อหน่วย5.2_1.6" localSheetId="4">#REF!</definedName>
    <definedName name="ราคาต่อหน่วย5.2_1.6" localSheetId="71">#REF!</definedName>
    <definedName name="ราคาต่อหน่วย5.2_1.6" localSheetId="2">#REF!</definedName>
    <definedName name="ราคาต่อหน่วย5.2_1.6">#REF!</definedName>
    <definedName name="ราคาต่อหน่วย5.2_2.1" localSheetId="3">#REF!</definedName>
    <definedName name="ราคาต่อหน่วย5.2_2.1" localSheetId="4">#REF!</definedName>
    <definedName name="ราคาต่อหน่วย5.2_2.1" localSheetId="71">#REF!</definedName>
    <definedName name="ราคาต่อหน่วย5.2_2.1" localSheetId="2">#REF!</definedName>
    <definedName name="ราคาต่อหน่วย5.2_2.1">#REF!</definedName>
    <definedName name="ราคาต่อหน่วย5.2_2.2" localSheetId="3">#REF!</definedName>
    <definedName name="ราคาต่อหน่วย5.2_2.2" localSheetId="4">#REF!</definedName>
    <definedName name="ราคาต่อหน่วย5.2_2.2" localSheetId="71">#REF!</definedName>
    <definedName name="ราคาต่อหน่วย5.2_2.2" localSheetId="2">#REF!</definedName>
    <definedName name="ราคาต่อหน่วย5.2_2.2">#REF!</definedName>
    <definedName name="ราคาต่อหน่วย5.2_2.3" localSheetId="3">#REF!</definedName>
    <definedName name="ราคาต่อหน่วย5.2_2.3" localSheetId="4">#REF!</definedName>
    <definedName name="ราคาต่อหน่วย5.2_2.3" localSheetId="71">#REF!</definedName>
    <definedName name="ราคาต่อหน่วย5.2_2.3" localSheetId="2">#REF!</definedName>
    <definedName name="ราคาต่อหน่วย5.2_2.3">#REF!</definedName>
    <definedName name="ราคาต่อหน่วย5.2_2.4" localSheetId="3">#REF!</definedName>
    <definedName name="ราคาต่อหน่วย5.2_2.4" localSheetId="4">#REF!</definedName>
    <definedName name="ราคาต่อหน่วย5.2_2.4" localSheetId="71">#REF!</definedName>
    <definedName name="ราคาต่อหน่วย5.2_2.4" localSheetId="2">#REF!</definedName>
    <definedName name="ราคาต่อหน่วย5.2_2.4">#REF!</definedName>
    <definedName name="ราคาต่อหน่วย5.2_2.5" localSheetId="3">#REF!</definedName>
    <definedName name="ราคาต่อหน่วย5.2_2.5" localSheetId="4">#REF!</definedName>
    <definedName name="ราคาต่อหน่วย5.2_2.5" localSheetId="71">#REF!</definedName>
    <definedName name="ราคาต่อหน่วย5.2_2.5" localSheetId="2">#REF!</definedName>
    <definedName name="ราคาต่อหน่วย5.2_2.5">#REF!</definedName>
    <definedName name="ราคาต่อหน่วย5.2_2.6" localSheetId="3">#REF!</definedName>
    <definedName name="ราคาต่อหน่วย5.2_2.6" localSheetId="4">#REF!</definedName>
    <definedName name="ราคาต่อหน่วย5.2_2.6" localSheetId="71">#REF!</definedName>
    <definedName name="ราคาต่อหน่วย5.2_2.6" localSheetId="2">#REF!</definedName>
    <definedName name="ราคาต่อหน่วย5.2_2.6">#REF!</definedName>
    <definedName name="ราคาต่อหน่วย5.2_3.1" localSheetId="3">#REF!</definedName>
    <definedName name="ราคาต่อหน่วย5.2_3.1" localSheetId="4">#REF!</definedName>
    <definedName name="ราคาต่อหน่วย5.2_3.1" localSheetId="71">#REF!</definedName>
    <definedName name="ราคาต่อหน่วย5.2_3.1" localSheetId="2">#REF!</definedName>
    <definedName name="ราคาต่อหน่วย5.2_3.1">#REF!</definedName>
    <definedName name="ราคาต่อหน่วย5.2_3.2" localSheetId="3">#REF!</definedName>
    <definedName name="ราคาต่อหน่วย5.2_3.2" localSheetId="4">#REF!</definedName>
    <definedName name="ราคาต่อหน่วย5.2_3.2" localSheetId="71">#REF!</definedName>
    <definedName name="ราคาต่อหน่วย5.2_3.2" localSheetId="2">#REF!</definedName>
    <definedName name="ราคาต่อหน่วย5.2_3.2">#REF!</definedName>
    <definedName name="ราคาต่อหน่วย5.3_100.2" localSheetId="3">#REF!</definedName>
    <definedName name="ราคาต่อหน่วย5.3_100.2" localSheetId="4">#REF!</definedName>
    <definedName name="ราคาต่อหน่วย5.3_100.2" localSheetId="71">#REF!</definedName>
    <definedName name="ราคาต่อหน่วย5.3_100.2" localSheetId="2">#REF!</definedName>
    <definedName name="ราคาต่อหน่วย5.3_100.2">#REF!</definedName>
    <definedName name="ราคาต่อหน่วย5.3_100.3" localSheetId="3">#REF!</definedName>
    <definedName name="ราคาต่อหน่วย5.3_100.3" localSheetId="4">#REF!</definedName>
    <definedName name="ราคาต่อหน่วย5.3_100.3" localSheetId="71">#REF!</definedName>
    <definedName name="ราคาต่อหน่วย5.3_100.3" localSheetId="2">#REF!</definedName>
    <definedName name="ราคาต่อหน่วย5.3_100.3">#REF!</definedName>
    <definedName name="ราคาต่อหน่วย5.3_120.2" localSheetId="3">#REF!</definedName>
    <definedName name="ราคาต่อหน่วย5.3_120.2" localSheetId="4">#REF!</definedName>
    <definedName name="ราคาต่อหน่วย5.3_120.2" localSheetId="71">#REF!</definedName>
    <definedName name="ราคาต่อหน่วย5.3_120.2" localSheetId="2">#REF!</definedName>
    <definedName name="ราคาต่อหน่วย5.3_120.2">#REF!</definedName>
    <definedName name="ราคาต่อหน่วย5.3_120.3" localSheetId="3">#REF!</definedName>
    <definedName name="ราคาต่อหน่วย5.3_120.3" localSheetId="4">#REF!</definedName>
    <definedName name="ราคาต่อหน่วย5.3_120.3" localSheetId="71">#REF!</definedName>
    <definedName name="ราคาต่อหน่วย5.3_120.3" localSheetId="2">#REF!</definedName>
    <definedName name="ราคาต่อหน่วย5.3_120.3">#REF!</definedName>
    <definedName name="ราคาต่อหน่วย5.3_150.2" localSheetId="3">#REF!</definedName>
    <definedName name="ราคาต่อหน่วย5.3_150.2" localSheetId="4">#REF!</definedName>
    <definedName name="ราคาต่อหน่วย5.3_150.2" localSheetId="71">#REF!</definedName>
    <definedName name="ราคาต่อหน่วย5.3_150.2" localSheetId="2">#REF!</definedName>
    <definedName name="ราคาต่อหน่วย5.3_150.2">#REF!</definedName>
    <definedName name="ราคาต่อหน่วย5.3_150.3" localSheetId="3">#REF!</definedName>
    <definedName name="ราคาต่อหน่วย5.3_150.3" localSheetId="4">#REF!</definedName>
    <definedName name="ราคาต่อหน่วย5.3_150.3" localSheetId="71">#REF!</definedName>
    <definedName name="ราคาต่อหน่วย5.3_150.3" localSheetId="2">#REF!</definedName>
    <definedName name="ราคาต่อหน่วย5.3_150.3">#REF!</definedName>
    <definedName name="ราคาต่อหน่วย5.3_30.2" localSheetId="3">#REF!</definedName>
    <definedName name="ราคาต่อหน่วย5.3_30.2" localSheetId="4">#REF!</definedName>
    <definedName name="ราคาต่อหน่วย5.3_30.2" localSheetId="71">#REF!</definedName>
    <definedName name="ราคาต่อหน่วย5.3_30.2" localSheetId="2">#REF!</definedName>
    <definedName name="ราคาต่อหน่วย5.3_30.2">#REF!</definedName>
    <definedName name="ราคาต่อหน่วย5.3_30.3" localSheetId="3">#REF!</definedName>
    <definedName name="ราคาต่อหน่วย5.3_30.3" localSheetId="4">#REF!</definedName>
    <definedName name="ราคาต่อหน่วย5.3_30.3" localSheetId="71">#REF!</definedName>
    <definedName name="ราคาต่อหน่วย5.3_30.3" localSheetId="2">#REF!</definedName>
    <definedName name="ราคาต่อหน่วย5.3_30.3">#REF!</definedName>
    <definedName name="ราคาต่อหน่วย5.3_40.2" localSheetId="3">#REF!</definedName>
    <definedName name="ราคาต่อหน่วย5.3_40.2" localSheetId="4">#REF!</definedName>
    <definedName name="ราคาต่อหน่วย5.3_40.2" localSheetId="71">#REF!</definedName>
    <definedName name="ราคาต่อหน่วย5.3_40.2" localSheetId="2">#REF!</definedName>
    <definedName name="ราคาต่อหน่วย5.3_40.2">#REF!</definedName>
    <definedName name="ราคาต่อหน่วย5.3_40.3" localSheetId="3">#REF!</definedName>
    <definedName name="ราคาต่อหน่วย5.3_40.3" localSheetId="4">#REF!</definedName>
    <definedName name="ราคาต่อหน่วย5.3_40.3" localSheetId="71">#REF!</definedName>
    <definedName name="ราคาต่อหน่วย5.3_40.3" localSheetId="2">#REF!</definedName>
    <definedName name="ราคาต่อหน่วย5.3_40.3">#REF!</definedName>
    <definedName name="ราคาต่อหน่วย5.3_60.2" localSheetId="3">#REF!</definedName>
    <definedName name="ราคาต่อหน่วย5.3_60.2" localSheetId="4">#REF!</definedName>
    <definedName name="ราคาต่อหน่วย5.3_60.2" localSheetId="71">#REF!</definedName>
    <definedName name="ราคาต่อหน่วย5.3_60.2" localSheetId="2">#REF!</definedName>
    <definedName name="ราคาต่อหน่วย5.3_60.2">#REF!</definedName>
    <definedName name="ราคาต่อหน่วย5.3_60.3" localSheetId="3">#REF!</definedName>
    <definedName name="ราคาต่อหน่วย5.3_60.3" localSheetId="4">#REF!</definedName>
    <definedName name="ราคาต่อหน่วย5.3_60.3" localSheetId="71">#REF!</definedName>
    <definedName name="ราคาต่อหน่วย5.3_60.3" localSheetId="2">#REF!</definedName>
    <definedName name="ราคาต่อหน่วย5.3_60.3">#REF!</definedName>
    <definedName name="ราคาต่อหน่วย5.3_80.2" localSheetId="3">#REF!</definedName>
    <definedName name="ราคาต่อหน่วย5.3_80.2" localSheetId="4">#REF!</definedName>
    <definedName name="ราคาต่อหน่วย5.3_80.2" localSheetId="71">#REF!</definedName>
    <definedName name="ราคาต่อหน่วย5.3_80.2" localSheetId="2">#REF!</definedName>
    <definedName name="ราคาต่อหน่วย5.3_80.2">#REF!</definedName>
    <definedName name="ราคาต่อหน่วย5.3_80.3" localSheetId="3">#REF!</definedName>
    <definedName name="ราคาต่อหน่วย5.3_80.3" localSheetId="4">#REF!</definedName>
    <definedName name="ราคาต่อหน่วย5.3_80.3" localSheetId="71">#REF!</definedName>
    <definedName name="ราคาต่อหน่วย5.3_80.3" localSheetId="2">#REF!</definedName>
    <definedName name="ราคาต่อหน่วย5.3_80.3">#REF!</definedName>
    <definedName name="ราคาต่อหน่วย6.1_1" localSheetId="3">#REF!</definedName>
    <definedName name="ราคาต่อหน่วย6.1_1" localSheetId="4">#REF!</definedName>
    <definedName name="ราคาต่อหน่วย6.1_1" localSheetId="71">#REF!</definedName>
    <definedName name="ราคาต่อหน่วย6.1_1" localSheetId="2">#REF!</definedName>
    <definedName name="ราคาต่อหน่วย6.1_1">#REF!</definedName>
    <definedName name="ราคาต่อหน่วย6.1_10" localSheetId="3">#REF!</definedName>
    <definedName name="ราคาต่อหน่วย6.1_10" localSheetId="4">#REF!</definedName>
    <definedName name="ราคาต่อหน่วย6.1_10" localSheetId="71">#REF!</definedName>
    <definedName name="ราคาต่อหน่วย6.1_10" localSheetId="2">#REF!</definedName>
    <definedName name="ราคาต่อหน่วย6.1_10">#REF!</definedName>
    <definedName name="ราคาต่อหน่วย6.1_11" localSheetId="3">#REF!</definedName>
    <definedName name="ราคาต่อหน่วย6.1_11" localSheetId="4">#REF!</definedName>
    <definedName name="ราคาต่อหน่วย6.1_11" localSheetId="71">#REF!</definedName>
    <definedName name="ราคาต่อหน่วย6.1_11" localSheetId="2">#REF!</definedName>
    <definedName name="ราคาต่อหน่วย6.1_11">#REF!</definedName>
    <definedName name="ราคาต่อหน่วย6.1_12" localSheetId="3">#REF!</definedName>
    <definedName name="ราคาต่อหน่วย6.1_12" localSheetId="4">#REF!</definedName>
    <definedName name="ราคาต่อหน่วย6.1_12" localSheetId="71">#REF!</definedName>
    <definedName name="ราคาต่อหน่วย6.1_12" localSheetId="2">#REF!</definedName>
    <definedName name="ราคาต่อหน่วย6.1_12">#REF!</definedName>
    <definedName name="ราคาต่อหน่วย6.1_13" localSheetId="3">#REF!</definedName>
    <definedName name="ราคาต่อหน่วย6.1_13" localSheetId="4">#REF!</definedName>
    <definedName name="ราคาต่อหน่วย6.1_13" localSheetId="71">#REF!</definedName>
    <definedName name="ราคาต่อหน่วย6.1_13" localSheetId="2">#REF!</definedName>
    <definedName name="ราคาต่อหน่วย6.1_13">#REF!</definedName>
    <definedName name="ราคาต่อหน่วย6.1_14" localSheetId="3">#REF!</definedName>
    <definedName name="ราคาต่อหน่วย6.1_14" localSheetId="4">#REF!</definedName>
    <definedName name="ราคาต่อหน่วย6.1_14" localSheetId="71">#REF!</definedName>
    <definedName name="ราคาต่อหน่วย6.1_14" localSheetId="2">#REF!</definedName>
    <definedName name="ราคาต่อหน่วย6.1_14">#REF!</definedName>
    <definedName name="ราคาต่อหน่วย6.1_15" localSheetId="3">#REF!</definedName>
    <definedName name="ราคาต่อหน่วย6.1_15" localSheetId="4">#REF!</definedName>
    <definedName name="ราคาต่อหน่วย6.1_15" localSheetId="71">#REF!</definedName>
    <definedName name="ราคาต่อหน่วย6.1_15" localSheetId="2">#REF!</definedName>
    <definedName name="ราคาต่อหน่วย6.1_15">#REF!</definedName>
    <definedName name="ราคาต่อหน่วย6.1_16" localSheetId="3">#REF!</definedName>
    <definedName name="ราคาต่อหน่วย6.1_16" localSheetId="4">#REF!</definedName>
    <definedName name="ราคาต่อหน่วย6.1_16" localSheetId="71">#REF!</definedName>
    <definedName name="ราคาต่อหน่วย6.1_16" localSheetId="2">#REF!</definedName>
    <definedName name="ราคาต่อหน่วย6.1_16">#REF!</definedName>
    <definedName name="ราคาต่อหน่วย6.1_17" localSheetId="3">#REF!</definedName>
    <definedName name="ราคาต่อหน่วย6.1_17" localSheetId="4">#REF!</definedName>
    <definedName name="ราคาต่อหน่วย6.1_17" localSheetId="71">#REF!</definedName>
    <definedName name="ราคาต่อหน่วย6.1_17" localSheetId="2">#REF!</definedName>
    <definedName name="ราคาต่อหน่วย6.1_17">#REF!</definedName>
    <definedName name="ราคาต่อหน่วย6.1_18" localSheetId="3">#REF!</definedName>
    <definedName name="ราคาต่อหน่วย6.1_18" localSheetId="4">#REF!</definedName>
    <definedName name="ราคาต่อหน่วย6.1_18" localSheetId="71">#REF!</definedName>
    <definedName name="ราคาต่อหน่วย6.1_18" localSheetId="2">#REF!</definedName>
    <definedName name="ราคาต่อหน่วย6.1_18">#REF!</definedName>
    <definedName name="ราคาต่อหน่วย6.1_19" localSheetId="3">#REF!</definedName>
    <definedName name="ราคาต่อหน่วย6.1_19" localSheetId="4">#REF!</definedName>
    <definedName name="ราคาต่อหน่วย6.1_19" localSheetId="71">#REF!</definedName>
    <definedName name="ราคาต่อหน่วย6.1_19" localSheetId="2">#REF!</definedName>
    <definedName name="ราคาต่อหน่วย6.1_19">#REF!</definedName>
    <definedName name="ราคาต่อหน่วย6.1_2" localSheetId="3">#REF!</definedName>
    <definedName name="ราคาต่อหน่วย6.1_2" localSheetId="4">#REF!</definedName>
    <definedName name="ราคาต่อหน่วย6.1_2" localSheetId="71">#REF!</definedName>
    <definedName name="ราคาต่อหน่วย6.1_2" localSheetId="2">#REF!</definedName>
    <definedName name="ราคาต่อหน่วย6.1_2">#REF!</definedName>
    <definedName name="ราคาต่อหน่วย6.1_20" localSheetId="3">#REF!</definedName>
    <definedName name="ราคาต่อหน่วย6.1_20" localSheetId="4">#REF!</definedName>
    <definedName name="ราคาต่อหน่วย6.1_20" localSheetId="71">#REF!</definedName>
    <definedName name="ราคาต่อหน่วย6.1_20" localSheetId="2">#REF!</definedName>
    <definedName name="ราคาต่อหน่วย6.1_20">#REF!</definedName>
    <definedName name="ราคาต่อหน่วย6.1_3" localSheetId="3">#REF!</definedName>
    <definedName name="ราคาต่อหน่วย6.1_3" localSheetId="4">#REF!</definedName>
    <definedName name="ราคาต่อหน่วย6.1_3" localSheetId="71">#REF!</definedName>
    <definedName name="ราคาต่อหน่วย6.1_3" localSheetId="2">#REF!</definedName>
    <definedName name="ราคาต่อหน่วย6.1_3">#REF!</definedName>
    <definedName name="ราคาต่อหน่วย6.1_4.1" localSheetId="3">#REF!</definedName>
    <definedName name="ราคาต่อหน่วย6.1_4.1" localSheetId="4">#REF!</definedName>
    <definedName name="ราคาต่อหน่วย6.1_4.1" localSheetId="71">#REF!</definedName>
    <definedName name="ราคาต่อหน่วย6.1_4.1" localSheetId="2">#REF!</definedName>
    <definedName name="ราคาต่อหน่วย6.1_4.1">#REF!</definedName>
    <definedName name="ราคาต่อหน่วย6.1_4.2" localSheetId="3">#REF!</definedName>
    <definedName name="ราคาต่อหน่วย6.1_4.2" localSheetId="4">#REF!</definedName>
    <definedName name="ราคาต่อหน่วย6.1_4.2" localSheetId="71">#REF!</definedName>
    <definedName name="ราคาต่อหน่วย6.1_4.2" localSheetId="2">#REF!</definedName>
    <definedName name="ราคาต่อหน่วย6.1_4.2">#REF!</definedName>
    <definedName name="ราคาต่อหน่วย6.1_5" localSheetId="3">#REF!</definedName>
    <definedName name="ราคาต่อหน่วย6.1_5" localSheetId="4">#REF!</definedName>
    <definedName name="ราคาต่อหน่วย6.1_5" localSheetId="71">#REF!</definedName>
    <definedName name="ราคาต่อหน่วย6.1_5" localSheetId="2">#REF!</definedName>
    <definedName name="ราคาต่อหน่วย6.1_5">#REF!</definedName>
    <definedName name="ราคาต่อหน่วย6.1_6" localSheetId="3">#REF!</definedName>
    <definedName name="ราคาต่อหน่วย6.1_6" localSheetId="4">#REF!</definedName>
    <definedName name="ราคาต่อหน่วย6.1_6" localSheetId="71">#REF!</definedName>
    <definedName name="ราคาต่อหน่วย6.1_6" localSheetId="2">#REF!</definedName>
    <definedName name="ราคาต่อหน่วย6.1_6">#REF!</definedName>
    <definedName name="ราคาต่อหน่วย6.1_7" localSheetId="3">#REF!</definedName>
    <definedName name="ราคาต่อหน่วย6.1_7" localSheetId="4">#REF!</definedName>
    <definedName name="ราคาต่อหน่วย6.1_7" localSheetId="71">#REF!</definedName>
    <definedName name="ราคาต่อหน่วย6.1_7" localSheetId="2">#REF!</definedName>
    <definedName name="ราคาต่อหน่วย6.1_7">#REF!</definedName>
    <definedName name="ราคาต่อหน่วย6.1_8" localSheetId="3">#REF!</definedName>
    <definedName name="ราคาต่อหน่วย6.1_8" localSheetId="4">#REF!</definedName>
    <definedName name="ราคาต่อหน่วย6.1_8" localSheetId="71">#REF!</definedName>
    <definedName name="ราคาต่อหน่วย6.1_8" localSheetId="2">#REF!</definedName>
    <definedName name="ราคาต่อหน่วย6.1_8">#REF!</definedName>
    <definedName name="ราคาต่อหน่วย6.1_9" localSheetId="3">#REF!</definedName>
    <definedName name="ราคาต่อหน่วย6.1_9" localSheetId="4">#REF!</definedName>
    <definedName name="ราคาต่อหน่วย6.1_9" localSheetId="71">#REF!</definedName>
    <definedName name="ราคาต่อหน่วย6.1_9" localSheetId="2">#REF!</definedName>
    <definedName name="ราคาต่อหน่วย6.1_9">#REF!</definedName>
    <definedName name="ราคาต่อหน่วย6.10_1" localSheetId="3">#REF!</definedName>
    <definedName name="ราคาต่อหน่วย6.10_1" localSheetId="4">#REF!</definedName>
    <definedName name="ราคาต่อหน่วย6.10_1" localSheetId="71">#REF!</definedName>
    <definedName name="ราคาต่อหน่วย6.10_1" localSheetId="2">#REF!</definedName>
    <definedName name="ราคาต่อหน่วย6.10_1">#REF!</definedName>
    <definedName name="ราคาต่อหน่วย6.10_2" localSheetId="3">#REF!</definedName>
    <definedName name="ราคาต่อหน่วย6.10_2" localSheetId="4">#REF!</definedName>
    <definedName name="ราคาต่อหน่วย6.10_2" localSheetId="71">#REF!</definedName>
    <definedName name="ราคาต่อหน่วย6.10_2" localSheetId="2">#REF!</definedName>
    <definedName name="ราคาต่อหน่วย6.10_2">#REF!</definedName>
    <definedName name="ราคาต่อหน่วย6.10_3" localSheetId="3">#REF!</definedName>
    <definedName name="ราคาต่อหน่วย6.10_3" localSheetId="4">#REF!</definedName>
    <definedName name="ราคาต่อหน่วย6.10_3" localSheetId="71">#REF!</definedName>
    <definedName name="ราคาต่อหน่วย6.10_3" localSheetId="2">#REF!</definedName>
    <definedName name="ราคาต่อหน่วย6.10_3">#REF!</definedName>
    <definedName name="ราคาต่อหน่วย6.10_4.1" localSheetId="3">#REF!</definedName>
    <definedName name="ราคาต่อหน่วย6.10_4.1" localSheetId="4">#REF!</definedName>
    <definedName name="ราคาต่อหน่วย6.10_4.1" localSheetId="71">#REF!</definedName>
    <definedName name="ราคาต่อหน่วย6.10_4.1" localSheetId="2">#REF!</definedName>
    <definedName name="ราคาต่อหน่วย6.10_4.1">#REF!</definedName>
    <definedName name="ราคาต่อหน่วย6.10_4.2" localSheetId="3">#REF!</definedName>
    <definedName name="ราคาต่อหน่วย6.10_4.2" localSheetId="4">#REF!</definedName>
    <definedName name="ราคาต่อหน่วย6.10_4.2" localSheetId="71">#REF!</definedName>
    <definedName name="ราคาต่อหน่วย6.10_4.2" localSheetId="2">#REF!</definedName>
    <definedName name="ราคาต่อหน่วย6.10_4.2">#REF!</definedName>
    <definedName name="ราคาต่อหน่วย6.10_4.3" localSheetId="3">#REF!</definedName>
    <definedName name="ราคาต่อหน่วย6.10_4.3" localSheetId="4">#REF!</definedName>
    <definedName name="ราคาต่อหน่วย6.10_4.3" localSheetId="71">#REF!</definedName>
    <definedName name="ราคาต่อหน่วย6.10_4.3" localSheetId="2">#REF!</definedName>
    <definedName name="ราคาต่อหน่วย6.10_4.3">#REF!</definedName>
    <definedName name="ราคาต่อหน่วย6.10_5" localSheetId="3">#REF!</definedName>
    <definedName name="ราคาต่อหน่วย6.10_5" localSheetId="4">#REF!</definedName>
    <definedName name="ราคาต่อหน่วย6.10_5" localSheetId="71">#REF!</definedName>
    <definedName name="ราคาต่อหน่วย6.10_5" localSheetId="2">#REF!</definedName>
    <definedName name="ราคาต่อหน่วย6.10_5">#REF!</definedName>
    <definedName name="ราคาต่อหน่วย6.10_6" localSheetId="3">#REF!</definedName>
    <definedName name="ราคาต่อหน่วย6.10_6" localSheetId="4">#REF!</definedName>
    <definedName name="ราคาต่อหน่วย6.10_6" localSheetId="71">#REF!</definedName>
    <definedName name="ราคาต่อหน่วย6.10_6" localSheetId="2">#REF!</definedName>
    <definedName name="ราคาต่อหน่วย6.10_6">#REF!</definedName>
    <definedName name="ราคาต่อหน่วย6.11_1" localSheetId="3">#REF!</definedName>
    <definedName name="ราคาต่อหน่วย6.11_1" localSheetId="4">#REF!</definedName>
    <definedName name="ราคาต่อหน่วย6.11_1" localSheetId="71">#REF!</definedName>
    <definedName name="ราคาต่อหน่วย6.11_1" localSheetId="2">#REF!</definedName>
    <definedName name="ราคาต่อหน่วย6.11_1">#REF!</definedName>
    <definedName name="ราคาต่อหน่วย6.11_2.1" localSheetId="3">#REF!</definedName>
    <definedName name="ราคาต่อหน่วย6.11_2.1" localSheetId="4">#REF!</definedName>
    <definedName name="ราคาต่อหน่วย6.11_2.1" localSheetId="71">#REF!</definedName>
    <definedName name="ราคาต่อหน่วย6.11_2.1" localSheetId="2">#REF!</definedName>
    <definedName name="ราคาต่อหน่วย6.11_2.1">#REF!</definedName>
    <definedName name="ราคาต่อหน่วย6.11_2.2" localSheetId="3">#REF!</definedName>
    <definedName name="ราคาต่อหน่วย6.11_2.2" localSheetId="4">#REF!</definedName>
    <definedName name="ราคาต่อหน่วย6.11_2.2" localSheetId="71">#REF!</definedName>
    <definedName name="ราคาต่อหน่วย6.11_2.2" localSheetId="2">#REF!</definedName>
    <definedName name="ราคาต่อหน่วย6.11_2.2">#REF!</definedName>
    <definedName name="ราคาต่อหน่วย6.11_2.3" localSheetId="3">#REF!</definedName>
    <definedName name="ราคาต่อหน่วย6.11_2.3" localSheetId="4">#REF!</definedName>
    <definedName name="ราคาต่อหน่วย6.11_2.3" localSheetId="71">#REF!</definedName>
    <definedName name="ราคาต่อหน่วย6.11_2.3" localSheetId="2">#REF!</definedName>
    <definedName name="ราคาต่อหน่วย6.11_2.3">#REF!</definedName>
    <definedName name="ราคาต่อหน่วย6.11_3.1" localSheetId="3">#REF!</definedName>
    <definedName name="ราคาต่อหน่วย6.11_3.1" localSheetId="4">#REF!</definedName>
    <definedName name="ราคาต่อหน่วย6.11_3.1" localSheetId="71">#REF!</definedName>
    <definedName name="ราคาต่อหน่วย6.11_3.1" localSheetId="2">#REF!</definedName>
    <definedName name="ราคาต่อหน่วย6.11_3.1">#REF!</definedName>
    <definedName name="ราคาต่อหน่วย6.11_3.2" localSheetId="3">#REF!</definedName>
    <definedName name="ราคาต่อหน่วย6.11_3.2" localSheetId="4">#REF!</definedName>
    <definedName name="ราคาต่อหน่วย6.11_3.2" localSheetId="71">#REF!</definedName>
    <definedName name="ราคาต่อหน่วย6.11_3.2" localSheetId="2">#REF!</definedName>
    <definedName name="ราคาต่อหน่วย6.11_3.2">#REF!</definedName>
    <definedName name="ราคาต่อหน่วย6.11_4.1" localSheetId="3">#REF!</definedName>
    <definedName name="ราคาต่อหน่วย6.11_4.1" localSheetId="4">#REF!</definedName>
    <definedName name="ราคาต่อหน่วย6.11_4.1" localSheetId="71">#REF!</definedName>
    <definedName name="ราคาต่อหน่วย6.11_4.1" localSheetId="2">#REF!</definedName>
    <definedName name="ราคาต่อหน่วย6.11_4.1">#REF!</definedName>
    <definedName name="ราคาต่อหน่วย6.11_4.2" localSheetId="3">#REF!</definedName>
    <definedName name="ราคาต่อหน่วย6.11_4.2" localSheetId="4">#REF!</definedName>
    <definedName name="ราคาต่อหน่วย6.11_4.2" localSheetId="71">#REF!</definedName>
    <definedName name="ราคาต่อหน่วย6.11_4.2" localSheetId="2">#REF!</definedName>
    <definedName name="ราคาต่อหน่วย6.11_4.2">#REF!</definedName>
    <definedName name="ราคาต่อหน่วย6.11_4.3" localSheetId="3">#REF!</definedName>
    <definedName name="ราคาต่อหน่วย6.11_4.3" localSheetId="4">#REF!</definedName>
    <definedName name="ราคาต่อหน่วย6.11_4.3" localSheetId="71">#REF!</definedName>
    <definedName name="ราคาต่อหน่วย6.11_4.3" localSheetId="2">#REF!</definedName>
    <definedName name="ราคาต่อหน่วย6.11_4.3">#REF!</definedName>
    <definedName name="ราคาต่อหน่วย6.11_5.1" localSheetId="3">#REF!</definedName>
    <definedName name="ราคาต่อหน่วย6.11_5.1" localSheetId="4">#REF!</definedName>
    <definedName name="ราคาต่อหน่วย6.11_5.1" localSheetId="71">#REF!</definedName>
    <definedName name="ราคาต่อหน่วย6.11_5.1" localSheetId="2">#REF!</definedName>
    <definedName name="ราคาต่อหน่วย6.11_5.1">#REF!</definedName>
    <definedName name="ราคาต่อหน่วย6.11_5.2" localSheetId="3">#REF!</definedName>
    <definedName name="ราคาต่อหน่วย6.11_5.2" localSheetId="4">#REF!</definedName>
    <definedName name="ราคาต่อหน่วย6.11_5.2" localSheetId="71">#REF!</definedName>
    <definedName name="ราคาต่อหน่วย6.11_5.2" localSheetId="2">#REF!</definedName>
    <definedName name="ราคาต่อหน่วย6.11_5.2">#REF!</definedName>
    <definedName name="ราคาต่อหน่วย6.11_6.1" localSheetId="3">#REF!</definedName>
    <definedName name="ราคาต่อหน่วย6.11_6.1" localSheetId="4">#REF!</definedName>
    <definedName name="ราคาต่อหน่วย6.11_6.1" localSheetId="71">#REF!</definedName>
    <definedName name="ราคาต่อหน่วย6.11_6.1" localSheetId="2">#REF!</definedName>
    <definedName name="ราคาต่อหน่วย6.11_6.1">#REF!</definedName>
    <definedName name="ราคาต่อหน่วย6.11_6.2" localSheetId="3">#REF!</definedName>
    <definedName name="ราคาต่อหน่วย6.11_6.2" localSheetId="4">#REF!</definedName>
    <definedName name="ราคาต่อหน่วย6.11_6.2" localSheetId="71">#REF!</definedName>
    <definedName name="ราคาต่อหน่วย6.11_6.2" localSheetId="2">#REF!</definedName>
    <definedName name="ราคาต่อหน่วย6.11_6.2">#REF!</definedName>
    <definedName name="ราคาต่อหน่วย6.11_7" localSheetId="3">#REF!</definedName>
    <definedName name="ราคาต่อหน่วย6.11_7" localSheetId="4">#REF!</definedName>
    <definedName name="ราคาต่อหน่วย6.11_7" localSheetId="71">#REF!</definedName>
    <definedName name="ราคาต่อหน่วย6.11_7" localSheetId="2">#REF!</definedName>
    <definedName name="ราคาต่อหน่วย6.11_7">#REF!</definedName>
    <definedName name="ราคาต่อหน่วย6.11_8" localSheetId="3">#REF!</definedName>
    <definedName name="ราคาต่อหน่วย6.11_8" localSheetId="4">#REF!</definedName>
    <definedName name="ราคาต่อหน่วย6.11_8" localSheetId="71">#REF!</definedName>
    <definedName name="ราคาต่อหน่วย6.11_8" localSheetId="2">#REF!</definedName>
    <definedName name="ราคาต่อหน่วย6.11_8">#REF!</definedName>
    <definedName name="ราคาต่อหน่วย6.12_1" localSheetId="3">#REF!</definedName>
    <definedName name="ราคาต่อหน่วย6.12_1" localSheetId="4">#REF!</definedName>
    <definedName name="ราคาต่อหน่วย6.12_1" localSheetId="71">#REF!</definedName>
    <definedName name="ราคาต่อหน่วย6.12_1" localSheetId="2">#REF!</definedName>
    <definedName name="ราคาต่อหน่วย6.12_1">#REF!</definedName>
    <definedName name="ราคาต่อหน่วย6.12_10.1" localSheetId="3">#REF!</definedName>
    <definedName name="ราคาต่อหน่วย6.12_10.1" localSheetId="4">#REF!</definedName>
    <definedName name="ราคาต่อหน่วย6.12_10.1" localSheetId="71">#REF!</definedName>
    <definedName name="ราคาต่อหน่วย6.12_10.1" localSheetId="2">#REF!</definedName>
    <definedName name="ราคาต่อหน่วย6.12_10.1">#REF!</definedName>
    <definedName name="ราคาต่อหน่วย6.12_10.2" localSheetId="3">#REF!</definedName>
    <definedName name="ราคาต่อหน่วย6.12_10.2" localSheetId="4">#REF!</definedName>
    <definedName name="ราคาต่อหน่วย6.12_10.2" localSheetId="71">#REF!</definedName>
    <definedName name="ราคาต่อหน่วย6.12_10.2" localSheetId="2">#REF!</definedName>
    <definedName name="ราคาต่อหน่วย6.12_10.2">#REF!</definedName>
    <definedName name="ราคาต่อหน่วย6.12_10.3" localSheetId="3">#REF!</definedName>
    <definedName name="ราคาต่อหน่วย6.12_10.3" localSheetId="4">#REF!</definedName>
    <definedName name="ราคาต่อหน่วย6.12_10.3" localSheetId="71">#REF!</definedName>
    <definedName name="ราคาต่อหน่วย6.12_10.3" localSheetId="2">#REF!</definedName>
    <definedName name="ราคาต่อหน่วย6.12_10.3">#REF!</definedName>
    <definedName name="ราคาต่อหน่วย6.12_11.1" localSheetId="3">#REF!</definedName>
    <definedName name="ราคาต่อหน่วย6.12_11.1" localSheetId="4">#REF!</definedName>
    <definedName name="ราคาต่อหน่วย6.12_11.1" localSheetId="71">#REF!</definedName>
    <definedName name="ราคาต่อหน่วย6.12_11.1" localSheetId="2">#REF!</definedName>
    <definedName name="ราคาต่อหน่วย6.12_11.1">#REF!</definedName>
    <definedName name="ราคาต่อหน่วย6.12_11.2" localSheetId="3">#REF!</definedName>
    <definedName name="ราคาต่อหน่วย6.12_11.2" localSheetId="4">#REF!</definedName>
    <definedName name="ราคาต่อหน่วย6.12_11.2" localSheetId="71">#REF!</definedName>
    <definedName name="ราคาต่อหน่วย6.12_11.2" localSheetId="2">#REF!</definedName>
    <definedName name="ราคาต่อหน่วย6.12_11.2">#REF!</definedName>
    <definedName name="ราคาต่อหน่วย6.12_11.3" localSheetId="3">#REF!</definedName>
    <definedName name="ราคาต่อหน่วย6.12_11.3" localSheetId="4">#REF!</definedName>
    <definedName name="ราคาต่อหน่วย6.12_11.3" localSheetId="71">#REF!</definedName>
    <definedName name="ราคาต่อหน่วย6.12_11.3" localSheetId="2">#REF!</definedName>
    <definedName name="ราคาต่อหน่วย6.12_11.3">#REF!</definedName>
    <definedName name="ราคาต่อหน่วย6.12_2" localSheetId="3">#REF!</definedName>
    <definedName name="ราคาต่อหน่วย6.12_2" localSheetId="4">#REF!</definedName>
    <definedName name="ราคาต่อหน่วย6.12_2" localSheetId="71">#REF!</definedName>
    <definedName name="ราคาต่อหน่วย6.12_2" localSheetId="2">#REF!</definedName>
    <definedName name="ราคาต่อหน่วย6.12_2">#REF!</definedName>
    <definedName name="ราคาต่อหน่วย6.12_3" localSheetId="3">#REF!</definedName>
    <definedName name="ราคาต่อหน่วย6.12_3" localSheetId="4">#REF!</definedName>
    <definedName name="ราคาต่อหน่วย6.12_3" localSheetId="71">#REF!</definedName>
    <definedName name="ราคาต่อหน่วย6.12_3" localSheetId="2">#REF!</definedName>
    <definedName name="ราคาต่อหน่วย6.12_3">#REF!</definedName>
    <definedName name="ราคาต่อหน่วย6.12_4" localSheetId="3">#REF!</definedName>
    <definedName name="ราคาต่อหน่วย6.12_4" localSheetId="4">#REF!</definedName>
    <definedName name="ราคาต่อหน่วย6.12_4" localSheetId="71">#REF!</definedName>
    <definedName name="ราคาต่อหน่วย6.12_4" localSheetId="2">#REF!</definedName>
    <definedName name="ราคาต่อหน่วย6.12_4">#REF!</definedName>
    <definedName name="ราคาต่อหน่วย6.12_5.1" localSheetId="3">#REF!</definedName>
    <definedName name="ราคาต่อหน่วย6.12_5.1" localSheetId="4">#REF!</definedName>
    <definedName name="ราคาต่อหน่วย6.12_5.1" localSheetId="71">#REF!</definedName>
    <definedName name="ราคาต่อหน่วย6.12_5.1" localSheetId="2">#REF!</definedName>
    <definedName name="ราคาต่อหน่วย6.12_5.1">#REF!</definedName>
    <definedName name="ราคาต่อหน่วย6.12_5.2" localSheetId="3">#REF!</definedName>
    <definedName name="ราคาต่อหน่วย6.12_5.2" localSheetId="4">#REF!</definedName>
    <definedName name="ราคาต่อหน่วย6.12_5.2" localSheetId="71">#REF!</definedName>
    <definedName name="ราคาต่อหน่วย6.12_5.2" localSheetId="2">#REF!</definedName>
    <definedName name="ราคาต่อหน่วย6.12_5.2">#REF!</definedName>
    <definedName name="ราคาต่อหน่วย6.12_5.3" localSheetId="3">#REF!</definedName>
    <definedName name="ราคาต่อหน่วย6.12_5.3" localSheetId="4">#REF!</definedName>
    <definedName name="ราคาต่อหน่วย6.12_5.3" localSheetId="71">#REF!</definedName>
    <definedName name="ราคาต่อหน่วย6.12_5.3" localSheetId="2">#REF!</definedName>
    <definedName name="ราคาต่อหน่วย6.12_5.3">#REF!</definedName>
    <definedName name="ราคาต่อหน่วย6.12_6" localSheetId="3">#REF!</definedName>
    <definedName name="ราคาต่อหน่วย6.12_6" localSheetId="4">#REF!</definedName>
    <definedName name="ราคาต่อหน่วย6.12_6" localSheetId="71">#REF!</definedName>
    <definedName name="ราคาต่อหน่วย6.12_6" localSheetId="2">#REF!</definedName>
    <definedName name="ราคาต่อหน่วย6.12_6">#REF!</definedName>
    <definedName name="ราคาต่อหน่วย6.12_7" localSheetId="3">#REF!</definedName>
    <definedName name="ราคาต่อหน่วย6.12_7" localSheetId="4">#REF!</definedName>
    <definedName name="ราคาต่อหน่วย6.12_7" localSheetId="71">#REF!</definedName>
    <definedName name="ราคาต่อหน่วย6.12_7" localSheetId="2">#REF!</definedName>
    <definedName name="ราคาต่อหน่วย6.12_7">#REF!</definedName>
    <definedName name="ราคาต่อหน่วย6.12_8" localSheetId="3">#REF!</definedName>
    <definedName name="ราคาต่อหน่วย6.12_8" localSheetId="4">#REF!</definedName>
    <definedName name="ราคาต่อหน่วย6.12_8" localSheetId="71">#REF!</definedName>
    <definedName name="ราคาต่อหน่วย6.12_8" localSheetId="2">#REF!</definedName>
    <definedName name="ราคาต่อหน่วย6.12_8">#REF!</definedName>
    <definedName name="ราคาต่อหน่วย6.12_9" localSheetId="3">#REF!</definedName>
    <definedName name="ราคาต่อหน่วย6.12_9" localSheetId="4">#REF!</definedName>
    <definedName name="ราคาต่อหน่วย6.12_9" localSheetId="71">#REF!</definedName>
    <definedName name="ราคาต่อหน่วย6.12_9" localSheetId="2">#REF!</definedName>
    <definedName name="ราคาต่อหน่วย6.12_9">#REF!</definedName>
    <definedName name="ราคาต่อหน่วย6.13_1.1" localSheetId="3">#REF!</definedName>
    <definedName name="ราคาต่อหน่วย6.13_1.1" localSheetId="4">#REF!</definedName>
    <definedName name="ราคาต่อหน่วย6.13_1.1" localSheetId="71">#REF!</definedName>
    <definedName name="ราคาต่อหน่วย6.13_1.1" localSheetId="2">#REF!</definedName>
    <definedName name="ราคาต่อหน่วย6.13_1.1">#REF!</definedName>
    <definedName name="ราคาต่อหน่วย6.13_1.2" localSheetId="3">#REF!</definedName>
    <definedName name="ราคาต่อหน่วย6.13_1.2" localSheetId="4">#REF!</definedName>
    <definedName name="ราคาต่อหน่วย6.13_1.2" localSheetId="71">#REF!</definedName>
    <definedName name="ราคาต่อหน่วย6.13_1.2" localSheetId="2">#REF!</definedName>
    <definedName name="ราคาต่อหน่วย6.13_1.2">#REF!</definedName>
    <definedName name="ราคาต่อหน่วย6.13_2.1" localSheetId="3">#REF!</definedName>
    <definedName name="ราคาต่อหน่วย6.13_2.1" localSheetId="4">#REF!</definedName>
    <definedName name="ราคาต่อหน่วย6.13_2.1" localSheetId="71">#REF!</definedName>
    <definedName name="ราคาต่อหน่วย6.13_2.1" localSheetId="2">#REF!</definedName>
    <definedName name="ราคาต่อหน่วย6.13_2.1">#REF!</definedName>
    <definedName name="ราคาต่อหน่วย6.13_2.2" localSheetId="3">#REF!</definedName>
    <definedName name="ราคาต่อหน่วย6.13_2.2" localSheetId="4">#REF!</definedName>
    <definedName name="ราคาต่อหน่วย6.13_2.2" localSheetId="71">#REF!</definedName>
    <definedName name="ราคาต่อหน่วย6.13_2.2" localSheetId="2">#REF!</definedName>
    <definedName name="ราคาต่อหน่วย6.13_2.2">#REF!</definedName>
    <definedName name="ราคาต่อหน่วย6.14_1.1" localSheetId="3">#REF!</definedName>
    <definedName name="ราคาต่อหน่วย6.14_1.1" localSheetId="4">#REF!</definedName>
    <definedName name="ราคาต่อหน่วย6.14_1.1" localSheetId="71">#REF!</definedName>
    <definedName name="ราคาต่อหน่วย6.14_1.1" localSheetId="2">#REF!</definedName>
    <definedName name="ราคาต่อหน่วย6.14_1.1">#REF!</definedName>
    <definedName name="ราคาต่อหน่วย6.14_1.2" localSheetId="3">#REF!</definedName>
    <definedName name="ราคาต่อหน่วย6.14_1.2" localSheetId="4">#REF!</definedName>
    <definedName name="ราคาต่อหน่วย6.14_1.2" localSheetId="71">#REF!</definedName>
    <definedName name="ราคาต่อหน่วย6.14_1.2" localSheetId="2">#REF!</definedName>
    <definedName name="ราคาต่อหน่วย6.14_1.2">#REF!</definedName>
    <definedName name="ราคาต่อหน่วย6.14_2.1" localSheetId="3">#REF!</definedName>
    <definedName name="ราคาต่อหน่วย6.14_2.1" localSheetId="4">#REF!</definedName>
    <definedName name="ราคาต่อหน่วย6.14_2.1" localSheetId="71">#REF!</definedName>
    <definedName name="ราคาต่อหน่วย6.14_2.1" localSheetId="2">#REF!</definedName>
    <definedName name="ราคาต่อหน่วย6.14_2.1">#REF!</definedName>
    <definedName name="ราคาต่อหน่วย6.14_2.2" localSheetId="3">#REF!</definedName>
    <definedName name="ราคาต่อหน่วย6.14_2.2" localSheetId="4">#REF!</definedName>
    <definedName name="ราคาต่อหน่วย6.14_2.2" localSheetId="71">#REF!</definedName>
    <definedName name="ราคาต่อหน่วย6.14_2.2" localSheetId="2">#REF!</definedName>
    <definedName name="ราคาต่อหน่วย6.14_2.2">#REF!</definedName>
    <definedName name="ราคาต่อหน่วย6.15_1.1" localSheetId="3">#REF!</definedName>
    <definedName name="ราคาต่อหน่วย6.15_1.1" localSheetId="4">#REF!</definedName>
    <definedName name="ราคาต่อหน่วย6.15_1.1" localSheetId="71">#REF!</definedName>
    <definedName name="ราคาต่อหน่วย6.15_1.1" localSheetId="2">#REF!</definedName>
    <definedName name="ราคาต่อหน่วย6.15_1.1">#REF!</definedName>
    <definedName name="ราคาต่อหน่วย6.15_1.2" localSheetId="3">#REF!</definedName>
    <definedName name="ราคาต่อหน่วย6.15_1.2" localSheetId="4">#REF!</definedName>
    <definedName name="ราคาต่อหน่วย6.15_1.2" localSheetId="71">#REF!</definedName>
    <definedName name="ราคาต่อหน่วย6.15_1.2" localSheetId="2">#REF!</definedName>
    <definedName name="ราคาต่อหน่วย6.15_1.2">#REF!</definedName>
    <definedName name="ราคาต่อหน่วย6.15_2.1" localSheetId="3">#REF!</definedName>
    <definedName name="ราคาต่อหน่วย6.15_2.1" localSheetId="4">#REF!</definedName>
    <definedName name="ราคาต่อหน่วย6.15_2.1" localSheetId="71">#REF!</definedName>
    <definedName name="ราคาต่อหน่วย6.15_2.1" localSheetId="2">#REF!</definedName>
    <definedName name="ราคาต่อหน่วย6.15_2.1">#REF!</definedName>
    <definedName name="ราคาต่อหน่วย6.15_2.2" localSheetId="3">#REF!</definedName>
    <definedName name="ราคาต่อหน่วย6.15_2.2" localSheetId="4">#REF!</definedName>
    <definedName name="ราคาต่อหน่วย6.15_2.2" localSheetId="71">#REF!</definedName>
    <definedName name="ราคาต่อหน่วย6.15_2.2" localSheetId="2">#REF!</definedName>
    <definedName name="ราคาต่อหน่วย6.15_2.2">#REF!</definedName>
    <definedName name="ราคาต่อหน่วย6.15_3.1" localSheetId="3">#REF!</definedName>
    <definedName name="ราคาต่อหน่วย6.15_3.1" localSheetId="4">#REF!</definedName>
    <definedName name="ราคาต่อหน่วย6.15_3.1" localSheetId="71">#REF!</definedName>
    <definedName name="ราคาต่อหน่วย6.15_3.1" localSheetId="2">#REF!</definedName>
    <definedName name="ราคาต่อหน่วย6.15_3.1">#REF!</definedName>
    <definedName name="ราคาต่อหน่วย6.15_3.2" localSheetId="3">#REF!</definedName>
    <definedName name="ราคาต่อหน่วย6.15_3.2" localSheetId="4">#REF!</definedName>
    <definedName name="ราคาต่อหน่วย6.15_3.2" localSheetId="71">#REF!</definedName>
    <definedName name="ราคาต่อหน่วย6.15_3.2" localSheetId="2">#REF!</definedName>
    <definedName name="ราคาต่อหน่วย6.15_3.2">#REF!</definedName>
    <definedName name="ราคาต่อหน่วย6.15_4.1" localSheetId="3">#REF!</definedName>
    <definedName name="ราคาต่อหน่วย6.15_4.1" localSheetId="4">#REF!</definedName>
    <definedName name="ราคาต่อหน่วย6.15_4.1" localSheetId="71">#REF!</definedName>
    <definedName name="ราคาต่อหน่วย6.15_4.1" localSheetId="2">#REF!</definedName>
    <definedName name="ราคาต่อหน่วย6.15_4.1">#REF!</definedName>
    <definedName name="ราคาต่อหน่วย6.15_4.2" localSheetId="3">#REF!</definedName>
    <definedName name="ราคาต่อหน่วย6.15_4.2" localSheetId="4">#REF!</definedName>
    <definedName name="ราคาต่อหน่วย6.15_4.2" localSheetId="71">#REF!</definedName>
    <definedName name="ราคาต่อหน่วย6.15_4.2" localSheetId="2">#REF!</definedName>
    <definedName name="ราคาต่อหน่วย6.15_4.2">#REF!</definedName>
    <definedName name="ราคาต่อหน่วย6.15_5.1" localSheetId="3">#REF!</definedName>
    <definedName name="ราคาต่อหน่วย6.15_5.1" localSheetId="4">#REF!</definedName>
    <definedName name="ราคาต่อหน่วย6.15_5.1" localSheetId="71">#REF!</definedName>
    <definedName name="ราคาต่อหน่วย6.15_5.1" localSheetId="2">#REF!</definedName>
    <definedName name="ราคาต่อหน่วย6.15_5.1">#REF!</definedName>
    <definedName name="ราคาต่อหน่วย6.15_5.2" localSheetId="3">#REF!</definedName>
    <definedName name="ราคาต่อหน่วย6.15_5.2" localSheetId="4">#REF!</definedName>
    <definedName name="ราคาต่อหน่วย6.15_5.2" localSheetId="71">#REF!</definedName>
    <definedName name="ราคาต่อหน่วย6.15_5.2" localSheetId="2">#REF!</definedName>
    <definedName name="ราคาต่อหน่วย6.15_5.2">#REF!</definedName>
    <definedName name="ราคาต่อหน่วย6.15_6" localSheetId="3">#REF!</definedName>
    <definedName name="ราคาต่อหน่วย6.15_6" localSheetId="4">#REF!</definedName>
    <definedName name="ราคาต่อหน่วย6.15_6" localSheetId="71">#REF!</definedName>
    <definedName name="ราคาต่อหน่วย6.15_6" localSheetId="2">#REF!</definedName>
    <definedName name="ราคาต่อหน่วย6.15_6">#REF!</definedName>
    <definedName name="ราคาต่อหน่วย6.15_7" localSheetId="3">#REF!</definedName>
    <definedName name="ราคาต่อหน่วย6.15_7" localSheetId="4">#REF!</definedName>
    <definedName name="ราคาต่อหน่วย6.15_7" localSheetId="71">#REF!</definedName>
    <definedName name="ราคาต่อหน่วย6.15_7" localSheetId="2">#REF!</definedName>
    <definedName name="ราคาต่อหน่วย6.15_7">#REF!</definedName>
    <definedName name="ราคาต่อหน่วย6.16" localSheetId="3">#REF!</definedName>
    <definedName name="ราคาต่อหน่วย6.16" localSheetId="4">#REF!</definedName>
    <definedName name="ราคาต่อหน่วย6.16" localSheetId="71">#REF!</definedName>
    <definedName name="ราคาต่อหน่วย6.16" localSheetId="2">#REF!</definedName>
    <definedName name="ราคาต่อหน่วย6.16">#REF!</definedName>
    <definedName name="ราคาต่อหน่วย6.17_1" localSheetId="3">#REF!</definedName>
    <definedName name="ราคาต่อหน่วย6.17_1" localSheetId="4">#REF!</definedName>
    <definedName name="ราคาต่อหน่วย6.17_1" localSheetId="71">#REF!</definedName>
    <definedName name="ราคาต่อหน่วย6.17_1" localSheetId="2">#REF!</definedName>
    <definedName name="ราคาต่อหน่วย6.17_1">#REF!</definedName>
    <definedName name="ราคาต่อหน่วย6.17_10" localSheetId="3">#REF!</definedName>
    <definedName name="ราคาต่อหน่วย6.17_10" localSheetId="4">#REF!</definedName>
    <definedName name="ราคาต่อหน่วย6.17_10" localSheetId="71">#REF!</definedName>
    <definedName name="ราคาต่อหน่วย6.17_10" localSheetId="2">#REF!</definedName>
    <definedName name="ราคาต่อหน่วย6.17_10">#REF!</definedName>
    <definedName name="ราคาต่อหน่วย6.17_11" localSheetId="3">#REF!</definedName>
    <definedName name="ราคาต่อหน่วย6.17_11" localSheetId="4">#REF!</definedName>
    <definedName name="ราคาต่อหน่วย6.17_11" localSheetId="71">#REF!</definedName>
    <definedName name="ราคาต่อหน่วย6.17_11" localSheetId="2">#REF!</definedName>
    <definedName name="ราคาต่อหน่วย6.17_11">#REF!</definedName>
    <definedName name="ราคาต่อหน่วย6.17_12" localSheetId="3">#REF!</definedName>
    <definedName name="ราคาต่อหน่วย6.17_12" localSheetId="4">#REF!</definedName>
    <definedName name="ราคาต่อหน่วย6.17_12" localSheetId="71">#REF!</definedName>
    <definedName name="ราคาต่อหน่วย6.17_12" localSheetId="2">#REF!</definedName>
    <definedName name="ราคาต่อหน่วย6.17_12">#REF!</definedName>
    <definedName name="ราคาต่อหน่วย6.17_2" localSheetId="3">#REF!</definedName>
    <definedName name="ราคาต่อหน่วย6.17_2" localSheetId="4">#REF!</definedName>
    <definedName name="ราคาต่อหน่วย6.17_2" localSheetId="71">#REF!</definedName>
    <definedName name="ราคาต่อหน่วย6.17_2" localSheetId="2">#REF!</definedName>
    <definedName name="ราคาต่อหน่วย6.17_2">#REF!</definedName>
    <definedName name="ราคาต่อหน่วย6.17_3" localSheetId="3">#REF!</definedName>
    <definedName name="ราคาต่อหน่วย6.17_3" localSheetId="4">#REF!</definedName>
    <definedName name="ราคาต่อหน่วย6.17_3" localSheetId="71">#REF!</definedName>
    <definedName name="ราคาต่อหน่วย6.17_3" localSheetId="2">#REF!</definedName>
    <definedName name="ราคาต่อหน่วย6.17_3">#REF!</definedName>
    <definedName name="ราคาต่อหน่วย6.17_4" localSheetId="3">#REF!</definedName>
    <definedName name="ราคาต่อหน่วย6.17_4" localSheetId="4">#REF!</definedName>
    <definedName name="ราคาต่อหน่วย6.17_4" localSheetId="71">#REF!</definedName>
    <definedName name="ราคาต่อหน่วย6.17_4" localSheetId="2">#REF!</definedName>
    <definedName name="ราคาต่อหน่วย6.17_4">#REF!</definedName>
    <definedName name="ราคาต่อหน่วย6.17_5" localSheetId="3">#REF!</definedName>
    <definedName name="ราคาต่อหน่วย6.17_5" localSheetId="4">#REF!</definedName>
    <definedName name="ราคาต่อหน่วย6.17_5" localSheetId="71">#REF!</definedName>
    <definedName name="ราคาต่อหน่วย6.17_5" localSheetId="2">#REF!</definedName>
    <definedName name="ราคาต่อหน่วย6.17_5">#REF!</definedName>
    <definedName name="ราคาต่อหน่วย6.17_6" localSheetId="3">#REF!</definedName>
    <definedName name="ราคาต่อหน่วย6.17_6" localSheetId="4">#REF!</definedName>
    <definedName name="ราคาต่อหน่วย6.17_6" localSheetId="71">#REF!</definedName>
    <definedName name="ราคาต่อหน่วย6.17_6" localSheetId="2">#REF!</definedName>
    <definedName name="ราคาต่อหน่วย6.17_6">#REF!</definedName>
    <definedName name="ราคาต่อหน่วย6.17_7" localSheetId="3">#REF!</definedName>
    <definedName name="ราคาต่อหน่วย6.17_7" localSheetId="4">#REF!</definedName>
    <definedName name="ราคาต่อหน่วย6.17_7" localSheetId="71">#REF!</definedName>
    <definedName name="ราคาต่อหน่วย6.17_7" localSheetId="2">#REF!</definedName>
    <definedName name="ราคาต่อหน่วย6.17_7">#REF!</definedName>
    <definedName name="ราคาต่อหน่วย6.17_8" localSheetId="3">#REF!</definedName>
    <definedName name="ราคาต่อหน่วย6.17_8" localSheetId="4">#REF!</definedName>
    <definedName name="ราคาต่อหน่วย6.17_8" localSheetId="71">#REF!</definedName>
    <definedName name="ราคาต่อหน่วย6.17_8" localSheetId="2">#REF!</definedName>
    <definedName name="ราคาต่อหน่วย6.17_8">#REF!</definedName>
    <definedName name="ราคาต่อหน่วย6.17_9" localSheetId="3">#REF!</definedName>
    <definedName name="ราคาต่อหน่วย6.17_9" localSheetId="4">#REF!</definedName>
    <definedName name="ราคาต่อหน่วย6.17_9" localSheetId="71">#REF!</definedName>
    <definedName name="ราคาต่อหน่วย6.17_9" localSheetId="2">#REF!</definedName>
    <definedName name="ราคาต่อหน่วย6.17_9">#REF!</definedName>
    <definedName name="ราคาต่อหน่วย6.18_1.1" localSheetId="3">#REF!</definedName>
    <definedName name="ราคาต่อหน่วย6.18_1.1" localSheetId="4">#REF!</definedName>
    <definedName name="ราคาต่อหน่วย6.18_1.1" localSheetId="71">#REF!</definedName>
    <definedName name="ราคาต่อหน่วย6.18_1.1" localSheetId="2">#REF!</definedName>
    <definedName name="ราคาต่อหน่วย6.18_1.1">#REF!</definedName>
    <definedName name="ราคาต่อหน่วย6.18_1.2" localSheetId="3">#REF!</definedName>
    <definedName name="ราคาต่อหน่วย6.18_1.2" localSheetId="4">#REF!</definedName>
    <definedName name="ราคาต่อหน่วย6.18_1.2" localSheetId="71">#REF!</definedName>
    <definedName name="ราคาต่อหน่วย6.18_1.2" localSheetId="2">#REF!</definedName>
    <definedName name="ราคาต่อหน่วย6.18_1.2">#REF!</definedName>
    <definedName name="ราคาต่อหน่วย6.18_1.3" localSheetId="3">#REF!</definedName>
    <definedName name="ราคาต่อหน่วย6.18_1.3" localSheetId="4">#REF!</definedName>
    <definedName name="ราคาต่อหน่วย6.18_1.3" localSheetId="71">#REF!</definedName>
    <definedName name="ราคาต่อหน่วย6.18_1.3" localSheetId="2">#REF!</definedName>
    <definedName name="ราคาต่อหน่วย6.18_1.3">#REF!</definedName>
    <definedName name="ราคาต่อหน่วย6.18_2" localSheetId="3">#REF!</definedName>
    <definedName name="ราคาต่อหน่วย6.18_2" localSheetId="4">#REF!</definedName>
    <definedName name="ราคาต่อหน่วย6.18_2" localSheetId="71">#REF!</definedName>
    <definedName name="ราคาต่อหน่วย6.18_2" localSheetId="2">#REF!</definedName>
    <definedName name="ราคาต่อหน่วย6.18_2">#REF!</definedName>
    <definedName name="ราคาต่อหน่วย6.18_3" localSheetId="3">#REF!</definedName>
    <definedName name="ราคาต่อหน่วย6.18_3" localSheetId="4">#REF!</definedName>
    <definedName name="ราคาต่อหน่วย6.18_3" localSheetId="71">#REF!</definedName>
    <definedName name="ราคาต่อหน่วย6.18_3" localSheetId="2">#REF!</definedName>
    <definedName name="ราคาต่อหน่วย6.18_3">#REF!</definedName>
    <definedName name="ราคาต่อหน่วย6.18_4.1" localSheetId="3">#REF!</definedName>
    <definedName name="ราคาต่อหน่วย6.18_4.1" localSheetId="4">#REF!</definedName>
    <definedName name="ราคาต่อหน่วย6.18_4.1" localSheetId="71">#REF!</definedName>
    <definedName name="ราคาต่อหน่วย6.18_4.1" localSheetId="2">#REF!</definedName>
    <definedName name="ราคาต่อหน่วย6.18_4.1">#REF!</definedName>
    <definedName name="ราคาต่อหน่วย6.18_4.2" localSheetId="3">#REF!</definedName>
    <definedName name="ราคาต่อหน่วย6.18_4.2" localSheetId="4">#REF!</definedName>
    <definedName name="ราคาต่อหน่วย6.18_4.2" localSheetId="71">#REF!</definedName>
    <definedName name="ราคาต่อหน่วย6.18_4.2" localSheetId="2">#REF!</definedName>
    <definedName name="ราคาต่อหน่วย6.18_4.2">#REF!</definedName>
    <definedName name="ราคาต่อหน่วย6.18_4.3" localSheetId="3">#REF!</definedName>
    <definedName name="ราคาต่อหน่วย6.18_4.3" localSheetId="4">#REF!</definedName>
    <definedName name="ราคาต่อหน่วย6.18_4.3" localSheetId="71">#REF!</definedName>
    <definedName name="ราคาต่อหน่วย6.18_4.3" localSheetId="2">#REF!</definedName>
    <definedName name="ราคาต่อหน่วย6.18_4.3">#REF!</definedName>
    <definedName name="ราคาต่อหน่วย6.18_5" localSheetId="3">#REF!</definedName>
    <definedName name="ราคาต่อหน่วย6.18_5" localSheetId="4">#REF!</definedName>
    <definedName name="ราคาต่อหน่วย6.18_5" localSheetId="71">#REF!</definedName>
    <definedName name="ราคาต่อหน่วย6.18_5" localSheetId="2">#REF!</definedName>
    <definedName name="ราคาต่อหน่วย6.18_5">#REF!</definedName>
    <definedName name="ราคาต่อหน่วย6.19_1" localSheetId="3">#REF!</definedName>
    <definedName name="ราคาต่อหน่วย6.19_1" localSheetId="4">#REF!</definedName>
    <definedName name="ราคาต่อหน่วย6.19_1" localSheetId="71">#REF!</definedName>
    <definedName name="ราคาต่อหน่วย6.19_1" localSheetId="2">#REF!</definedName>
    <definedName name="ราคาต่อหน่วย6.19_1">#REF!</definedName>
    <definedName name="ราคาต่อหน่วย6.19_2" localSheetId="3">#REF!</definedName>
    <definedName name="ราคาต่อหน่วย6.19_2" localSheetId="4">#REF!</definedName>
    <definedName name="ราคาต่อหน่วย6.19_2" localSheetId="71">#REF!</definedName>
    <definedName name="ราคาต่อหน่วย6.19_2" localSheetId="2">#REF!</definedName>
    <definedName name="ราคาต่อหน่วย6.19_2">#REF!</definedName>
    <definedName name="ราคาต่อหน่วย6.19_3" localSheetId="3">#REF!</definedName>
    <definedName name="ราคาต่อหน่วย6.19_3" localSheetId="4">#REF!</definedName>
    <definedName name="ราคาต่อหน่วย6.19_3" localSheetId="71">#REF!</definedName>
    <definedName name="ราคาต่อหน่วย6.19_3" localSheetId="2">#REF!</definedName>
    <definedName name="ราคาต่อหน่วย6.19_3">#REF!</definedName>
    <definedName name="ราคาต่อหน่วย6.19_4" localSheetId="3">#REF!</definedName>
    <definedName name="ราคาต่อหน่วย6.19_4" localSheetId="4">#REF!</definedName>
    <definedName name="ราคาต่อหน่วย6.19_4" localSheetId="71">#REF!</definedName>
    <definedName name="ราคาต่อหน่วย6.19_4" localSheetId="2">#REF!</definedName>
    <definedName name="ราคาต่อหน่วย6.19_4">#REF!</definedName>
    <definedName name="ราคาต่อหน่วย6.2_1" localSheetId="3">#REF!</definedName>
    <definedName name="ราคาต่อหน่วย6.2_1" localSheetId="4">#REF!</definedName>
    <definedName name="ราคาต่อหน่วย6.2_1" localSheetId="71">#REF!</definedName>
    <definedName name="ราคาต่อหน่วย6.2_1" localSheetId="2">#REF!</definedName>
    <definedName name="ราคาต่อหน่วย6.2_1">#REF!</definedName>
    <definedName name="ราคาต่อหน่วย6.2_2" localSheetId="3">#REF!</definedName>
    <definedName name="ราคาต่อหน่วย6.2_2" localSheetId="4">#REF!</definedName>
    <definedName name="ราคาต่อหน่วย6.2_2" localSheetId="71">#REF!</definedName>
    <definedName name="ราคาต่อหน่วย6.2_2" localSheetId="2">#REF!</definedName>
    <definedName name="ราคาต่อหน่วย6.2_2">#REF!</definedName>
    <definedName name="ราคาต่อหน่วย6.3_1.1" localSheetId="3">#REF!</definedName>
    <definedName name="ราคาต่อหน่วย6.3_1.1" localSheetId="4">#REF!</definedName>
    <definedName name="ราคาต่อหน่วย6.3_1.1" localSheetId="71">#REF!</definedName>
    <definedName name="ราคาต่อหน่วย6.3_1.1" localSheetId="2">#REF!</definedName>
    <definedName name="ราคาต่อหน่วย6.3_1.1">#REF!</definedName>
    <definedName name="ราคาต่อหน่วย6.3_1.2" localSheetId="3">#REF!</definedName>
    <definedName name="ราคาต่อหน่วย6.3_1.2" localSheetId="4">#REF!</definedName>
    <definedName name="ราคาต่อหน่วย6.3_1.2" localSheetId="71">#REF!</definedName>
    <definedName name="ราคาต่อหน่วย6.3_1.2" localSheetId="2">#REF!</definedName>
    <definedName name="ราคาต่อหน่วย6.3_1.2">#REF!</definedName>
    <definedName name="ราคาต่อหน่วย6.3_1.3" localSheetId="3">#REF!</definedName>
    <definedName name="ราคาต่อหน่วย6.3_1.3" localSheetId="4">#REF!</definedName>
    <definedName name="ราคาต่อหน่วย6.3_1.3" localSheetId="71">#REF!</definedName>
    <definedName name="ราคาต่อหน่วย6.3_1.3" localSheetId="2">#REF!</definedName>
    <definedName name="ราคาต่อหน่วย6.3_1.3">#REF!</definedName>
    <definedName name="ราคาต่อหน่วย6.3_1.4" localSheetId="3">#REF!</definedName>
    <definedName name="ราคาต่อหน่วย6.3_1.4" localSheetId="4">#REF!</definedName>
    <definedName name="ราคาต่อหน่วย6.3_1.4" localSheetId="71">#REF!</definedName>
    <definedName name="ราคาต่อหน่วย6.3_1.4" localSheetId="2">#REF!</definedName>
    <definedName name="ราคาต่อหน่วย6.3_1.4">#REF!</definedName>
    <definedName name="ราคาต่อหน่วย6.3_1.5" localSheetId="3">#REF!</definedName>
    <definedName name="ราคาต่อหน่วย6.3_1.5" localSheetId="4">#REF!</definedName>
    <definedName name="ราคาต่อหน่วย6.3_1.5" localSheetId="71">#REF!</definedName>
    <definedName name="ราคาต่อหน่วย6.3_1.5" localSheetId="2">#REF!</definedName>
    <definedName name="ราคาต่อหน่วย6.3_1.5">#REF!</definedName>
    <definedName name="ราคาต่อหน่วย6.3_1.6" localSheetId="3">#REF!</definedName>
    <definedName name="ราคาต่อหน่วย6.3_1.6" localSheetId="4">#REF!</definedName>
    <definedName name="ราคาต่อหน่วย6.3_1.6" localSheetId="71">#REF!</definedName>
    <definedName name="ราคาต่อหน่วย6.3_1.6" localSheetId="2">#REF!</definedName>
    <definedName name="ราคาต่อหน่วย6.3_1.6">#REF!</definedName>
    <definedName name="ราคาต่อหน่วย6.3_1.7" localSheetId="3">#REF!</definedName>
    <definedName name="ราคาต่อหน่วย6.3_1.7" localSheetId="4">#REF!</definedName>
    <definedName name="ราคาต่อหน่วย6.3_1.7" localSheetId="71">#REF!</definedName>
    <definedName name="ราคาต่อหน่วย6.3_1.7" localSheetId="2">#REF!</definedName>
    <definedName name="ราคาต่อหน่วย6.3_1.7">#REF!</definedName>
    <definedName name="ราคาต่อหน่วย6.3_10" localSheetId="3">#REF!</definedName>
    <definedName name="ราคาต่อหน่วย6.3_10" localSheetId="4">#REF!</definedName>
    <definedName name="ราคาต่อหน่วย6.3_10" localSheetId="71">#REF!</definedName>
    <definedName name="ราคาต่อหน่วย6.3_10" localSheetId="2">#REF!</definedName>
    <definedName name="ราคาต่อหน่วย6.3_10">#REF!</definedName>
    <definedName name="ราคาต่อหน่วย6.3_11" localSheetId="3">#REF!</definedName>
    <definedName name="ราคาต่อหน่วย6.3_11" localSheetId="4">#REF!</definedName>
    <definedName name="ราคาต่อหน่วย6.3_11" localSheetId="71">#REF!</definedName>
    <definedName name="ราคาต่อหน่วย6.3_11" localSheetId="2">#REF!</definedName>
    <definedName name="ราคาต่อหน่วย6.3_11">#REF!</definedName>
    <definedName name="ราคาต่อหน่วย6.3_12.1" localSheetId="3">#REF!</definedName>
    <definedName name="ราคาต่อหน่วย6.3_12.1" localSheetId="4">#REF!</definedName>
    <definedName name="ราคาต่อหน่วย6.3_12.1" localSheetId="71">#REF!</definedName>
    <definedName name="ราคาต่อหน่วย6.3_12.1" localSheetId="2">#REF!</definedName>
    <definedName name="ราคาต่อหน่วย6.3_12.1">#REF!</definedName>
    <definedName name="ราคาต่อหน่วย6.3_12.2" localSheetId="3">#REF!</definedName>
    <definedName name="ราคาต่อหน่วย6.3_12.2" localSheetId="4">#REF!</definedName>
    <definedName name="ราคาต่อหน่วย6.3_12.2" localSheetId="71">#REF!</definedName>
    <definedName name="ราคาต่อหน่วย6.3_12.2" localSheetId="2">#REF!</definedName>
    <definedName name="ราคาต่อหน่วย6.3_12.2">#REF!</definedName>
    <definedName name="ราคาต่อหน่วย6.3_12.3" localSheetId="3">#REF!</definedName>
    <definedName name="ราคาต่อหน่วย6.3_12.3" localSheetId="4">#REF!</definedName>
    <definedName name="ราคาต่อหน่วย6.3_12.3" localSheetId="71">#REF!</definedName>
    <definedName name="ราคาต่อหน่วย6.3_12.3" localSheetId="2">#REF!</definedName>
    <definedName name="ราคาต่อหน่วย6.3_12.3">#REF!</definedName>
    <definedName name="ราคาต่อหน่วย6.3_13.1" localSheetId="3">#REF!</definedName>
    <definedName name="ราคาต่อหน่วย6.3_13.1" localSheetId="4">#REF!</definedName>
    <definedName name="ราคาต่อหน่วย6.3_13.1" localSheetId="71">#REF!</definedName>
    <definedName name="ราคาต่อหน่วย6.3_13.1" localSheetId="2">#REF!</definedName>
    <definedName name="ราคาต่อหน่วย6.3_13.1">#REF!</definedName>
    <definedName name="ราคาต่อหน่วย6.3_13.2" localSheetId="3">#REF!</definedName>
    <definedName name="ราคาต่อหน่วย6.3_13.2" localSheetId="4">#REF!</definedName>
    <definedName name="ราคาต่อหน่วย6.3_13.2" localSheetId="71">#REF!</definedName>
    <definedName name="ราคาต่อหน่วย6.3_13.2" localSheetId="2">#REF!</definedName>
    <definedName name="ราคาต่อหน่วย6.3_13.2">#REF!</definedName>
    <definedName name="ราคาต่อหน่วย6.3_14.1" localSheetId="3">#REF!</definedName>
    <definedName name="ราคาต่อหน่วย6.3_14.1" localSheetId="4">#REF!</definedName>
    <definedName name="ราคาต่อหน่วย6.3_14.1" localSheetId="71">#REF!</definedName>
    <definedName name="ราคาต่อหน่วย6.3_14.1" localSheetId="2">#REF!</definedName>
    <definedName name="ราคาต่อหน่วย6.3_14.1">#REF!</definedName>
    <definedName name="ราคาต่อหน่วย6.3_14.2" localSheetId="3">#REF!</definedName>
    <definedName name="ราคาต่อหน่วย6.3_14.2" localSheetId="4">#REF!</definedName>
    <definedName name="ราคาต่อหน่วย6.3_14.2" localSheetId="71">#REF!</definedName>
    <definedName name="ราคาต่อหน่วย6.3_14.2" localSheetId="2">#REF!</definedName>
    <definedName name="ราคาต่อหน่วย6.3_14.2">#REF!</definedName>
    <definedName name="ราคาต่อหน่วย6.3_14.3" localSheetId="3">#REF!</definedName>
    <definedName name="ราคาต่อหน่วย6.3_14.3" localSheetId="4">#REF!</definedName>
    <definedName name="ราคาต่อหน่วย6.3_14.3" localSheetId="71">#REF!</definedName>
    <definedName name="ราคาต่อหน่วย6.3_14.3" localSheetId="2">#REF!</definedName>
    <definedName name="ราคาต่อหน่วย6.3_14.3">#REF!</definedName>
    <definedName name="ราคาต่อหน่วย6.3_14.4.1" localSheetId="3">#REF!</definedName>
    <definedName name="ราคาต่อหน่วย6.3_14.4.1" localSheetId="4">#REF!</definedName>
    <definedName name="ราคาต่อหน่วย6.3_14.4.1" localSheetId="71">#REF!</definedName>
    <definedName name="ราคาต่อหน่วย6.3_14.4.1" localSheetId="2">#REF!</definedName>
    <definedName name="ราคาต่อหน่วย6.3_14.4.1">#REF!</definedName>
    <definedName name="ราคาต่อหน่วย6.3_14.5.1" localSheetId="3">#REF!</definedName>
    <definedName name="ราคาต่อหน่วย6.3_14.5.1" localSheetId="4">#REF!</definedName>
    <definedName name="ราคาต่อหน่วย6.3_14.5.1" localSheetId="71">#REF!</definedName>
    <definedName name="ราคาต่อหน่วย6.3_14.5.1" localSheetId="2">#REF!</definedName>
    <definedName name="ราคาต่อหน่วย6.3_14.5.1">#REF!</definedName>
    <definedName name="ราคาต่อหน่วย6.3_14.5.2" localSheetId="3">#REF!</definedName>
    <definedName name="ราคาต่อหน่วย6.3_14.5.2" localSheetId="4">#REF!</definedName>
    <definedName name="ราคาต่อหน่วย6.3_14.5.2" localSheetId="71">#REF!</definedName>
    <definedName name="ราคาต่อหน่วย6.3_14.5.2" localSheetId="2">#REF!</definedName>
    <definedName name="ราคาต่อหน่วย6.3_14.5.2">#REF!</definedName>
    <definedName name="ราคาต่อหน่วย6.3_14.5.3" localSheetId="3">#REF!</definedName>
    <definedName name="ราคาต่อหน่วย6.3_14.5.3" localSheetId="4">#REF!</definedName>
    <definedName name="ราคาต่อหน่วย6.3_14.5.3" localSheetId="71">#REF!</definedName>
    <definedName name="ราคาต่อหน่วย6.3_14.5.3" localSheetId="2">#REF!</definedName>
    <definedName name="ราคาต่อหน่วย6.3_14.5.3">#REF!</definedName>
    <definedName name="ราคาต่อหน่วย6.3_2" localSheetId="3">#REF!</definedName>
    <definedName name="ราคาต่อหน่วย6.3_2" localSheetId="4">#REF!</definedName>
    <definedName name="ราคาต่อหน่วย6.3_2" localSheetId="71">#REF!</definedName>
    <definedName name="ราคาต่อหน่วย6.3_2" localSheetId="2">#REF!</definedName>
    <definedName name="ราคาต่อหน่วย6.3_2">#REF!</definedName>
    <definedName name="ราคาต่อหน่วย6.3_3.1" localSheetId="3">#REF!</definedName>
    <definedName name="ราคาต่อหน่วย6.3_3.1" localSheetId="4">#REF!</definedName>
    <definedName name="ราคาต่อหน่วย6.3_3.1" localSheetId="71">#REF!</definedName>
    <definedName name="ราคาต่อหน่วย6.3_3.1" localSheetId="2">#REF!</definedName>
    <definedName name="ราคาต่อหน่วย6.3_3.1">#REF!</definedName>
    <definedName name="ราคาต่อหน่วย6.3_3.2" localSheetId="3">#REF!</definedName>
    <definedName name="ราคาต่อหน่วย6.3_3.2" localSheetId="4">#REF!</definedName>
    <definedName name="ราคาต่อหน่วย6.3_3.2" localSheetId="71">#REF!</definedName>
    <definedName name="ราคาต่อหน่วย6.3_3.2" localSheetId="2">#REF!</definedName>
    <definedName name="ราคาต่อหน่วย6.3_3.2">#REF!</definedName>
    <definedName name="ราคาต่อหน่วย6.3_4" localSheetId="3">#REF!</definedName>
    <definedName name="ราคาต่อหน่วย6.3_4" localSheetId="4">#REF!</definedName>
    <definedName name="ราคาต่อหน่วย6.3_4" localSheetId="71">#REF!</definedName>
    <definedName name="ราคาต่อหน่วย6.3_4" localSheetId="2">#REF!</definedName>
    <definedName name="ราคาต่อหน่วย6.3_4">#REF!</definedName>
    <definedName name="ราคาต่อหน่วย6.3_5.1" localSheetId="3">#REF!</definedName>
    <definedName name="ราคาต่อหน่วย6.3_5.1" localSheetId="4">#REF!</definedName>
    <definedName name="ราคาต่อหน่วย6.3_5.1" localSheetId="71">#REF!</definedName>
    <definedName name="ราคาต่อหน่วย6.3_5.1" localSheetId="2">#REF!</definedName>
    <definedName name="ราคาต่อหน่วย6.3_5.1">#REF!</definedName>
    <definedName name="ราคาต่อหน่วย6.3_5.2" localSheetId="3">#REF!</definedName>
    <definedName name="ราคาต่อหน่วย6.3_5.2" localSheetId="4">#REF!</definedName>
    <definedName name="ราคาต่อหน่วย6.3_5.2" localSheetId="71">#REF!</definedName>
    <definedName name="ราคาต่อหน่วย6.3_5.2" localSheetId="2">#REF!</definedName>
    <definedName name="ราคาต่อหน่วย6.3_5.2">#REF!</definedName>
    <definedName name="ราคาต่อหน่วย6.3_6.1.1" localSheetId="3">#REF!</definedName>
    <definedName name="ราคาต่อหน่วย6.3_6.1.1" localSheetId="4">#REF!</definedName>
    <definedName name="ราคาต่อหน่วย6.3_6.1.1" localSheetId="71">#REF!</definedName>
    <definedName name="ราคาต่อหน่วย6.3_6.1.1" localSheetId="2">#REF!</definedName>
    <definedName name="ราคาต่อหน่วย6.3_6.1.1">#REF!</definedName>
    <definedName name="ราคาต่อหน่วย6.3_6.2.1" localSheetId="3">#REF!</definedName>
    <definedName name="ราคาต่อหน่วย6.3_6.2.1" localSheetId="4">#REF!</definedName>
    <definedName name="ราคาต่อหน่วย6.3_6.2.1" localSheetId="71">#REF!</definedName>
    <definedName name="ราคาต่อหน่วย6.3_6.2.1" localSheetId="2">#REF!</definedName>
    <definedName name="ราคาต่อหน่วย6.3_6.2.1">#REF!</definedName>
    <definedName name="ราคาต่อหน่วย6.3_7" localSheetId="3">#REF!</definedName>
    <definedName name="ราคาต่อหน่วย6.3_7" localSheetId="4">#REF!</definedName>
    <definedName name="ราคาต่อหน่วย6.3_7" localSheetId="71">#REF!</definedName>
    <definedName name="ราคาต่อหน่วย6.3_7" localSheetId="2">#REF!</definedName>
    <definedName name="ราคาต่อหน่วย6.3_7">#REF!</definedName>
    <definedName name="ราคาต่อหน่วย6.3_8.1" localSheetId="3">#REF!</definedName>
    <definedName name="ราคาต่อหน่วย6.3_8.1" localSheetId="4">#REF!</definedName>
    <definedName name="ราคาต่อหน่วย6.3_8.1" localSheetId="71">#REF!</definedName>
    <definedName name="ราคาต่อหน่วย6.3_8.1" localSheetId="2">#REF!</definedName>
    <definedName name="ราคาต่อหน่วย6.3_8.1">#REF!</definedName>
    <definedName name="ราคาต่อหน่วย6.3_8.2" localSheetId="3">#REF!</definedName>
    <definedName name="ราคาต่อหน่วย6.3_8.2" localSheetId="4">#REF!</definedName>
    <definedName name="ราคาต่อหน่วย6.3_8.2" localSheetId="71">#REF!</definedName>
    <definedName name="ราคาต่อหน่วย6.3_8.2" localSheetId="2">#REF!</definedName>
    <definedName name="ราคาต่อหน่วย6.3_8.2">#REF!</definedName>
    <definedName name="ราคาต่อหน่วย6.3_8.3" localSheetId="3">#REF!</definedName>
    <definedName name="ราคาต่อหน่วย6.3_8.3" localSheetId="4">#REF!</definedName>
    <definedName name="ราคาต่อหน่วย6.3_8.3" localSheetId="71">#REF!</definedName>
    <definedName name="ราคาต่อหน่วย6.3_8.3" localSheetId="2">#REF!</definedName>
    <definedName name="ราคาต่อหน่วย6.3_8.3">#REF!</definedName>
    <definedName name="ราคาต่อหน่วย6.3_9" localSheetId="3">#REF!</definedName>
    <definedName name="ราคาต่อหน่วย6.3_9" localSheetId="4">#REF!</definedName>
    <definedName name="ราคาต่อหน่วย6.3_9" localSheetId="71">#REF!</definedName>
    <definedName name="ราคาต่อหน่วย6.3_9" localSheetId="2">#REF!</definedName>
    <definedName name="ราคาต่อหน่วย6.3_9">#REF!</definedName>
    <definedName name="ราคาต่อหน่วย6.4_1" localSheetId="3">#REF!</definedName>
    <definedName name="ราคาต่อหน่วย6.4_1" localSheetId="4">#REF!</definedName>
    <definedName name="ราคาต่อหน่วย6.4_1" localSheetId="71">#REF!</definedName>
    <definedName name="ราคาต่อหน่วย6.4_1" localSheetId="2">#REF!</definedName>
    <definedName name="ราคาต่อหน่วย6.4_1">#REF!</definedName>
    <definedName name="ราคาต่อหน่วย6.4_2" localSheetId="3">#REF!</definedName>
    <definedName name="ราคาต่อหน่วย6.4_2" localSheetId="4">#REF!</definedName>
    <definedName name="ราคาต่อหน่วย6.4_2" localSheetId="71">#REF!</definedName>
    <definedName name="ราคาต่อหน่วย6.4_2" localSheetId="2">#REF!</definedName>
    <definedName name="ราคาต่อหน่วย6.4_2">#REF!</definedName>
    <definedName name="ราคาต่อหน่วย6.4_3" localSheetId="3">#REF!</definedName>
    <definedName name="ราคาต่อหน่วย6.4_3" localSheetId="4">#REF!</definedName>
    <definedName name="ราคาต่อหน่วย6.4_3" localSheetId="71">#REF!</definedName>
    <definedName name="ราคาต่อหน่วย6.4_3" localSheetId="2">#REF!</definedName>
    <definedName name="ราคาต่อหน่วย6.4_3">#REF!</definedName>
    <definedName name="ราคาต่อหน่วย6.4_4" localSheetId="3">#REF!</definedName>
    <definedName name="ราคาต่อหน่วย6.4_4" localSheetId="4">#REF!</definedName>
    <definedName name="ราคาต่อหน่วย6.4_4" localSheetId="71">#REF!</definedName>
    <definedName name="ราคาต่อหน่วย6.4_4" localSheetId="2">#REF!</definedName>
    <definedName name="ราคาต่อหน่วย6.4_4">#REF!</definedName>
    <definedName name="ราคาต่อหน่วย6.4_5.1" localSheetId="3">#REF!</definedName>
    <definedName name="ราคาต่อหน่วย6.4_5.1" localSheetId="4">#REF!</definedName>
    <definedName name="ราคาต่อหน่วย6.4_5.1" localSheetId="71">#REF!</definedName>
    <definedName name="ราคาต่อหน่วย6.4_5.1" localSheetId="2">#REF!</definedName>
    <definedName name="ราคาต่อหน่วย6.4_5.1">#REF!</definedName>
    <definedName name="ราคาต่อหน่วย6.4_5.2" localSheetId="3">#REF!</definedName>
    <definedName name="ราคาต่อหน่วย6.4_5.2" localSheetId="4">#REF!</definedName>
    <definedName name="ราคาต่อหน่วย6.4_5.2" localSheetId="71">#REF!</definedName>
    <definedName name="ราคาต่อหน่วย6.4_5.2" localSheetId="2">#REF!</definedName>
    <definedName name="ราคาต่อหน่วย6.4_5.2">#REF!</definedName>
    <definedName name="ราคาต่อหน่วย6.4_5.3" localSheetId="3">#REF!</definedName>
    <definedName name="ราคาต่อหน่วย6.4_5.3" localSheetId="4">#REF!</definedName>
    <definedName name="ราคาต่อหน่วย6.4_5.3" localSheetId="71">#REF!</definedName>
    <definedName name="ราคาต่อหน่วย6.4_5.3" localSheetId="2">#REF!</definedName>
    <definedName name="ราคาต่อหน่วย6.4_5.3">#REF!</definedName>
    <definedName name="ราคาต่อหน่วย6.4_5.4" localSheetId="3">#REF!</definedName>
    <definedName name="ราคาต่อหน่วย6.4_5.4" localSheetId="4">#REF!</definedName>
    <definedName name="ราคาต่อหน่วย6.4_5.4" localSheetId="71">#REF!</definedName>
    <definedName name="ราคาต่อหน่วย6.4_5.4" localSheetId="2">#REF!</definedName>
    <definedName name="ราคาต่อหน่วย6.4_5.4">#REF!</definedName>
    <definedName name="ราคาต่อหน่วย6.4_6.1" localSheetId="3">#REF!</definedName>
    <definedName name="ราคาต่อหน่วย6.4_6.1" localSheetId="4">#REF!</definedName>
    <definedName name="ราคาต่อหน่วย6.4_6.1" localSheetId="71">#REF!</definedName>
    <definedName name="ราคาต่อหน่วย6.4_6.1" localSheetId="2">#REF!</definedName>
    <definedName name="ราคาต่อหน่วย6.4_6.1">#REF!</definedName>
    <definedName name="ราคาต่อหน่วย6.4_6.2" localSheetId="3">#REF!</definedName>
    <definedName name="ราคาต่อหน่วย6.4_6.2" localSheetId="4">#REF!</definedName>
    <definedName name="ราคาต่อหน่วย6.4_6.2" localSheetId="71">#REF!</definedName>
    <definedName name="ราคาต่อหน่วย6.4_6.2" localSheetId="2">#REF!</definedName>
    <definedName name="ราคาต่อหน่วย6.4_6.2">#REF!</definedName>
    <definedName name="ราคาต่อหน่วย6.4_6.3" localSheetId="3">#REF!</definedName>
    <definedName name="ราคาต่อหน่วย6.4_6.3" localSheetId="4">#REF!</definedName>
    <definedName name="ราคาต่อหน่วย6.4_6.3" localSheetId="71">#REF!</definedName>
    <definedName name="ราคาต่อหน่วย6.4_6.3" localSheetId="2">#REF!</definedName>
    <definedName name="ราคาต่อหน่วย6.4_6.3">#REF!</definedName>
    <definedName name="ราคาต่อหน่วย6.4_6.4" localSheetId="3">#REF!</definedName>
    <definedName name="ราคาต่อหน่วย6.4_6.4" localSheetId="4">#REF!</definedName>
    <definedName name="ราคาต่อหน่วย6.4_6.4" localSheetId="71">#REF!</definedName>
    <definedName name="ราคาต่อหน่วย6.4_6.4" localSheetId="2">#REF!</definedName>
    <definedName name="ราคาต่อหน่วย6.4_6.4">#REF!</definedName>
    <definedName name="ราคาต่อหน่วย6.4_6.5" localSheetId="3">#REF!</definedName>
    <definedName name="ราคาต่อหน่วย6.4_6.5" localSheetId="4">#REF!</definedName>
    <definedName name="ราคาต่อหน่วย6.4_6.5" localSheetId="71">#REF!</definedName>
    <definedName name="ราคาต่อหน่วย6.4_6.5" localSheetId="2">#REF!</definedName>
    <definedName name="ราคาต่อหน่วย6.4_6.5">#REF!</definedName>
    <definedName name="ราคาต่อหน่วย6.5_1" localSheetId="3">#REF!</definedName>
    <definedName name="ราคาต่อหน่วย6.5_1" localSheetId="4">#REF!</definedName>
    <definedName name="ราคาต่อหน่วย6.5_1" localSheetId="71">#REF!</definedName>
    <definedName name="ราคาต่อหน่วย6.5_1" localSheetId="2">#REF!</definedName>
    <definedName name="ราคาต่อหน่วย6.5_1">#REF!</definedName>
    <definedName name="ราคาต่อหน่วย6.5_2" localSheetId="3">#REF!</definedName>
    <definedName name="ราคาต่อหน่วย6.5_2" localSheetId="4">#REF!</definedName>
    <definedName name="ราคาต่อหน่วย6.5_2" localSheetId="71">#REF!</definedName>
    <definedName name="ราคาต่อหน่วย6.5_2" localSheetId="2">#REF!</definedName>
    <definedName name="ราคาต่อหน่วย6.5_2">#REF!</definedName>
    <definedName name="ราคาต่อหน่วย6.6_1" localSheetId="3">#REF!</definedName>
    <definedName name="ราคาต่อหน่วย6.6_1" localSheetId="4">#REF!</definedName>
    <definedName name="ราคาต่อหน่วย6.6_1" localSheetId="71">#REF!</definedName>
    <definedName name="ราคาต่อหน่วย6.6_1" localSheetId="2">#REF!</definedName>
    <definedName name="ราคาต่อหน่วย6.6_1">#REF!</definedName>
    <definedName name="ราคาต่อหน่วย6.6_2" localSheetId="3">#REF!</definedName>
    <definedName name="ราคาต่อหน่วย6.6_2" localSheetId="4">#REF!</definedName>
    <definedName name="ราคาต่อหน่วย6.6_2" localSheetId="71">#REF!</definedName>
    <definedName name="ราคาต่อหน่วย6.6_2" localSheetId="2">#REF!</definedName>
    <definedName name="ราคาต่อหน่วย6.6_2">#REF!</definedName>
    <definedName name="ราคาต่อหน่วย6.7_1" localSheetId="3">#REF!</definedName>
    <definedName name="ราคาต่อหน่วย6.7_1" localSheetId="4">#REF!</definedName>
    <definedName name="ราคาต่อหน่วย6.7_1" localSheetId="71">#REF!</definedName>
    <definedName name="ราคาต่อหน่วย6.7_1" localSheetId="2">#REF!</definedName>
    <definedName name="ราคาต่อหน่วย6.7_1">#REF!</definedName>
    <definedName name="ราคาต่อหน่วย6.7_2" localSheetId="3">#REF!</definedName>
    <definedName name="ราคาต่อหน่วย6.7_2" localSheetId="4">#REF!</definedName>
    <definedName name="ราคาต่อหน่วย6.7_2" localSheetId="71">#REF!</definedName>
    <definedName name="ราคาต่อหน่วย6.7_2" localSheetId="2">#REF!</definedName>
    <definedName name="ราคาต่อหน่วย6.7_2">#REF!</definedName>
    <definedName name="ราคาต่อหน่วย6.8_1.1" localSheetId="3">#REF!</definedName>
    <definedName name="ราคาต่อหน่วย6.8_1.1" localSheetId="4">#REF!</definedName>
    <definedName name="ราคาต่อหน่วย6.8_1.1" localSheetId="71">#REF!</definedName>
    <definedName name="ราคาต่อหน่วย6.8_1.1" localSheetId="2">#REF!</definedName>
    <definedName name="ราคาต่อหน่วย6.8_1.1">#REF!</definedName>
    <definedName name="ราคาต่อหน่วย6.8_1.2" localSheetId="3">#REF!</definedName>
    <definedName name="ราคาต่อหน่วย6.8_1.2" localSheetId="4">#REF!</definedName>
    <definedName name="ราคาต่อหน่วย6.8_1.2" localSheetId="71">#REF!</definedName>
    <definedName name="ราคาต่อหน่วย6.8_1.2" localSheetId="2">#REF!</definedName>
    <definedName name="ราคาต่อหน่วย6.8_1.2">#REF!</definedName>
    <definedName name="ราคาต่อหน่วย6.8_1.3" localSheetId="3">#REF!</definedName>
    <definedName name="ราคาต่อหน่วย6.8_1.3" localSheetId="4">#REF!</definedName>
    <definedName name="ราคาต่อหน่วย6.8_1.3" localSheetId="71">#REF!</definedName>
    <definedName name="ราคาต่อหน่วย6.8_1.3" localSheetId="2">#REF!</definedName>
    <definedName name="ราคาต่อหน่วย6.8_1.3">#REF!</definedName>
    <definedName name="ราคาต่อหน่วย6.8_2" localSheetId="3">#REF!</definedName>
    <definedName name="ราคาต่อหน่วย6.8_2" localSheetId="4">#REF!</definedName>
    <definedName name="ราคาต่อหน่วย6.8_2" localSheetId="71">#REF!</definedName>
    <definedName name="ราคาต่อหน่วย6.8_2" localSheetId="2">#REF!</definedName>
    <definedName name="ราคาต่อหน่วย6.8_2">#REF!</definedName>
    <definedName name="ราคาต่อหน่วย6.9_1" localSheetId="3">#REF!</definedName>
    <definedName name="ราคาต่อหน่วย6.9_1" localSheetId="4">#REF!</definedName>
    <definedName name="ราคาต่อหน่วย6.9_1" localSheetId="71">#REF!</definedName>
    <definedName name="ราคาต่อหน่วย6.9_1" localSheetId="2">#REF!</definedName>
    <definedName name="ราคาต่อหน่วย6.9_1">#REF!</definedName>
    <definedName name="ราคาต่อหน่วย6.9_2" localSheetId="3">#REF!</definedName>
    <definedName name="ราคาต่อหน่วย6.9_2" localSheetId="4">#REF!</definedName>
    <definedName name="ราคาต่อหน่วย6.9_2" localSheetId="71">#REF!</definedName>
    <definedName name="ราคาต่อหน่วย6.9_2" localSheetId="2">#REF!</definedName>
    <definedName name="ราคาต่อหน่วย6.9_2">#REF!</definedName>
    <definedName name="ราคาทรายถม" localSheetId="3">#REF!</definedName>
    <definedName name="ราคาทรายถม" localSheetId="4">#REF!</definedName>
    <definedName name="ราคาทรายถม" localSheetId="71">#REF!</definedName>
    <definedName name="ราคาทรายถม" localSheetId="2">#REF!</definedName>
    <definedName name="ราคาทรายถม">#REF!</definedName>
    <definedName name="ราคาทรายหยาบ" localSheetId="3">#REF!</definedName>
    <definedName name="ราคาทรายหยาบ" localSheetId="4">#REF!</definedName>
    <definedName name="ราคาทรายหยาบ" localSheetId="71">#REF!</definedName>
    <definedName name="ราคาทรายหยาบ" localSheetId="2">#REF!</definedName>
    <definedName name="ราคาทรายหยาบ">#REF!</definedName>
    <definedName name="ราคาท่อเหล็ก1.5x3.2" localSheetId="3">#REF!</definedName>
    <definedName name="ราคาท่อเหล็ก1.5x3.2" localSheetId="4">#REF!</definedName>
    <definedName name="ราคาท่อเหล็ก1.5x3.2" localSheetId="71">#REF!</definedName>
    <definedName name="ราคาท่อเหล็ก1.5x3.2" localSheetId="2">#REF!</definedName>
    <definedName name="ราคาท่อเหล็ก1.5x3.2">#REF!</definedName>
    <definedName name="ราคาท่อเหล็ก2x4" localSheetId="3">#REF!</definedName>
    <definedName name="ราคาท่อเหล็ก2x4" localSheetId="4">#REF!</definedName>
    <definedName name="ราคาท่อเหล็ก2x4" localSheetId="71">#REF!</definedName>
    <definedName name="ราคาท่อเหล็ก2x4" localSheetId="2">#REF!</definedName>
    <definedName name="ราคาท่อเหล็ก2x4">#REF!</definedName>
    <definedName name="ราคาท่อเหล็ก3x3.2" localSheetId="3">#REF!</definedName>
    <definedName name="ราคาท่อเหล็ก3x3.2" localSheetId="4">#REF!</definedName>
    <definedName name="ราคาท่อเหล็ก3x3.2" localSheetId="71">#REF!</definedName>
    <definedName name="ราคาท่อเหล็ก3x3.2" localSheetId="2">#REF!</definedName>
    <definedName name="ราคาท่อเหล็ก3x3.2">#REF!</definedName>
    <definedName name="ราคาท่อเหล็ก4x4" localSheetId="3">#REF!</definedName>
    <definedName name="ราคาท่อเหล็ก4x4" localSheetId="4">#REF!</definedName>
    <definedName name="ราคาท่อเหล็ก4x4" localSheetId="71">#REF!</definedName>
    <definedName name="ราคาท่อเหล็ก4x4" localSheetId="2">#REF!</definedName>
    <definedName name="ราคาท่อเหล็ก4x4">#REF!</definedName>
    <definedName name="ราคาท่อกลวงชุบกัลวาไนซ์1.5x1.5x3.2mm" localSheetId="3">#REF!</definedName>
    <definedName name="ราคาท่อกลวงชุบกัลวาไนซ์1.5x1.5x3.2mm" localSheetId="4">#REF!</definedName>
    <definedName name="ราคาท่อกลวงชุบกัลวาไนซ์1.5x1.5x3.2mm" localSheetId="71">#REF!</definedName>
    <definedName name="ราคาท่อกลวงชุบกัลวาไนซ์1.5x1.5x3.2mm" localSheetId="2">#REF!</definedName>
    <definedName name="ราคาท่อกลวงชุบกัลวาไนซ์1.5x1.5x3.2mm">#REF!</definedName>
    <definedName name="ราคาท่อกลวงชุบกัลวาไนซ์50x50x3.2mm." localSheetId="3">#REF!</definedName>
    <definedName name="ราคาท่อกลวงชุบกัลวาไนซ์50x50x3.2mm." localSheetId="4">#REF!</definedName>
    <definedName name="ราคาท่อกลวงชุบกัลวาไนซ์50x50x3.2mm." localSheetId="71">#REF!</definedName>
    <definedName name="ราคาท่อกลวงชุบกัลวาไนซ์50x50x3.2mm." localSheetId="2">#REF!</definedName>
    <definedName name="ราคาท่อกลวงชุบกัลวาไนซ์50x50x3.2mm.">#REF!</definedName>
    <definedName name="ราคาน้ำมันโซล่า14.00_14.99_บาท_ลิตร" localSheetId="3">#REF!</definedName>
    <definedName name="ราคาน้ำมันโซล่า14.00_14.99_บาท_ลิตร" localSheetId="4">#REF!</definedName>
    <definedName name="ราคาน้ำมันโซล่า14.00_14.99_บาท_ลิตร" localSheetId="71">#REF!</definedName>
    <definedName name="ราคาน้ำมันโซล่า14.00_14.99_บาท_ลิตร" localSheetId="2">#REF!</definedName>
    <definedName name="ราคาน้ำมันโซล่า14.00_14.99_บาท_ลิตร">#REF!</definedName>
    <definedName name="ราคาปูนซีเมนต์ขาว" localSheetId="3">#REF!</definedName>
    <definedName name="ราคาปูนซีเมนต์ขาว" localSheetId="4">#REF!</definedName>
    <definedName name="ราคาปูนซีเมนต์ขาว" localSheetId="71">#REF!</definedName>
    <definedName name="ราคาปูนซีเมนต์ขาว" localSheetId="2">#REF!</definedName>
    <definedName name="ราคาปูนซีเมนต์ขาว">#REF!</definedName>
    <definedName name="ราคาปูนต์" localSheetId="3">#REF!</definedName>
    <definedName name="ราคาปูนต์" localSheetId="4">#REF!</definedName>
    <definedName name="ราคาปูนต์" localSheetId="71">#REF!</definedName>
    <definedName name="ราคาปูนต์" localSheetId="2">#REF!</definedName>
    <definedName name="ราคาปูนต์">#REF!</definedName>
    <definedName name="ราคาลวดเหล็กอัดแรงชนิดเดี่ยว">[8]ราคาวัสดุ!$D$62</definedName>
    <definedName name="ราคาลูกรัง" localSheetId="3">#REF!</definedName>
    <definedName name="ราคาลูกรัง" localSheetId="4">#REF!</definedName>
    <definedName name="ราคาลูกรัง" localSheetId="5">#REF!</definedName>
    <definedName name="ราคาลูกรัง" localSheetId="18">#REF!</definedName>
    <definedName name="ราคาลูกรัง" localSheetId="30">#REF!</definedName>
    <definedName name="ราคาลูกรัง" localSheetId="56">#REF!</definedName>
    <definedName name="ราคาลูกรัง" localSheetId="43">#REF!</definedName>
    <definedName name="ราคาลูกรัง" localSheetId="71">#REF!</definedName>
    <definedName name="ราคาลูกรัง" localSheetId="69">#REF!</definedName>
    <definedName name="ราคาลูกรัง" localSheetId="70">#REF!</definedName>
    <definedName name="ราคาลูกรัง" localSheetId="74">#REF!</definedName>
    <definedName name="ราคาลูกรัง" localSheetId="2">#REF!</definedName>
    <definedName name="ราคาลูกรัง">#REF!</definedName>
    <definedName name="ราคาวัสดุคัดเลือก" localSheetId="3">#REF!</definedName>
    <definedName name="ราคาวัสดุคัดเลือก" localSheetId="4">#REF!</definedName>
    <definedName name="ราคาวัสดุคัดเลือก" localSheetId="71">#REF!</definedName>
    <definedName name="ราคาวัสดุคัดเลือก" localSheetId="69">#REF!</definedName>
    <definedName name="ราคาวัสดุคัดเลือก" localSheetId="70">#REF!</definedName>
    <definedName name="ราคาวัสดุคัดเลือก" localSheetId="2">#REF!</definedName>
    <definedName name="ราคาวัสดุคัดเลือก">#REF!</definedName>
    <definedName name="ราคาสีเทอโมพลาสติก18ลิตร" localSheetId="3">#REF!</definedName>
    <definedName name="ราคาสีเทอโมพลาสติก18ลิตร" localSheetId="4">#REF!</definedName>
    <definedName name="ราคาสีเทอโมพลาสติก18ลิตร" localSheetId="71">#REF!</definedName>
    <definedName name="ราคาสีเทอโมพลาสติก18ลิตร" localSheetId="69">#REF!</definedName>
    <definedName name="ราคาสีเทอโมพลาสติก18ลิตร" localSheetId="70">#REF!</definedName>
    <definedName name="ราคาสีเทอโมพลาสติก18ลิตร" localSheetId="2">#REF!</definedName>
    <definedName name="ราคาสีเทอโมพลาสติก18ลิตร">#REF!</definedName>
    <definedName name="ราคาสีเทอโมพลาสติก3.785ลิตร" localSheetId="3">#REF!</definedName>
    <definedName name="ราคาสีเทอโมพลาสติก3.785ลิตร" localSheetId="4">#REF!</definedName>
    <definedName name="ราคาสีเทอโมพลาสติก3.785ลิตร" localSheetId="71">#REF!</definedName>
    <definedName name="ราคาสีเทอโมพลาสติก3.785ลิตร" localSheetId="2">#REF!</definedName>
    <definedName name="ราคาสีเทอโมพลาสติก3.785ลิตร">#REF!</definedName>
    <definedName name="ราคาหิน12" localSheetId="3">#REF!</definedName>
    <definedName name="ราคาหิน12" localSheetId="4">#REF!</definedName>
    <definedName name="ราคาหิน12" localSheetId="71">#REF!</definedName>
    <definedName name="ราคาหิน12" localSheetId="2">#REF!</definedName>
    <definedName name="ราคาหิน12">#REF!</definedName>
    <definedName name="ราคาหินเกล็ดสีเลือดหมู" localSheetId="3">#REF!</definedName>
    <definedName name="ราคาหินเกล็ดสีเลือดหมู" localSheetId="4">#REF!</definedName>
    <definedName name="ราคาหินเกล็ดสีเลือดหมู" localSheetId="71">#REF!</definedName>
    <definedName name="ราคาหินเกล็ดสีเลือดหมู" localSheetId="2">#REF!</definedName>
    <definedName name="ราคาหินเกล็ดสีเลือดหมู">#REF!</definedName>
    <definedName name="ราคาหินเกล็ดสีเหลือง_ชมพู" localSheetId="3">#REF!</definedName>
    <definedName name="ราคาหินเกล็ดสีเหลือง_ชมพู" localSheetId="4">#REF!</definedName>
    <definedName name="ราคาหินเกล็ดสีเหลือง_ชมพู" localSheetId="71">#REF!</definedName>
    <definedName name="ราคาหินเกล็ดสีเหลือง_ชมพู" localSheetId="2">#REF!</definedName>
    <definedName name="ราคาหินเกล็ดสีเหลือง_ชมพู">#REF!</definedName>
    <definedName name="ราคาหินเกล็ดสีดำ_ขาว" localSheetId="3">#REF!</definedName>
    <definedName name="ราคาหินเกล็ดสีดำ_ขาว" localSheetId="4">#REF!</definedName>
    <definedName name="ราคาหินเกล็ดสีดำ_ขาว" localSheetId="71">#REF!</definedName>
    <definedName name="ราคาหินเกล็ดสีดำ_ขาว" localSheetId="2">#REF!</definedName>
    <definedName name="ราคาหินเกล็ดสีดำ_ขาว">#REF!</definedName>
    <definedName name="ราคาหินแกรนิตสีเทาขาว" localSheetId="3">#REF!</definedName>
    <definedName name="ราคาหินแกรนิตสีเทาขาว" localSheetId="4">#REF!</definedName>
    <definedName name="ราคาหินแกรนิตสีเทาขาว" localSheetId="71">#REF!</definedName>
    <definedName name="ราคาหินแกรนิตสีเทาขาว" localSheetId="2">#REF!</definedName>
    <definedName name="ราคาหินแกรนิตสีเทาขาว">#REF!</definedName>
    <definedName name="ราคาหินคลุก" localSheetId="3">#REF!</definedName>
    <definedName name="ราคาหินคลุก" localSheetId="4">#REF!</definedName>
    <definedName name="ราคาหินคลุก" localSheetId="71">#REF!</definedName>
    <definedName name="ราคาหินคลุก" localSheetId="2">#REF!</definedName>
    <definedName name="ราคาหินคลุก">#REF!</definedName>
    <definedName name="ราคาหินผสม" localSheetId="3">#REF!</definedName>
    <definedName name="ราคาหินผสม" localSheetId="4">#REF!</definedName>
    <definedName name="ราคาหินผสม" localSheetId="71">#REF!</definedName>
    <definedName name="ราคาหินผสม" localSheetId="2">#REF!</definedName>
    <definedName name="ราคาหินผสม">#REF!</definedName>
    <definedName name="รางระบายน้ำ" localSheetId="3">#REF!</definedName>
    <definedName name="รางระบายน้ำ" localSheetId="4">#REF!</definedName>
    <definedName name="รางระบายน้ำ" localSheetId="71">#REF!</definedName>
    <definedName name="รางระบายน้ำ" localSheetId="2">#REF!</definedName>
    <definedName name="รางระบายน้ำ">#REF!</definedName>
    <definedName name="รางระบายน้ำบนลาดดินตัด" localSheetId="3">#REF!</definedName>
    <definedName name="รางระบายน้ำบนลาดดินตัด" localSheetId="4">#REF!</definedName>
    <definedName name="รางระบายน้ำบนลาดดินตัด" localSheetId="71">#REF!</definedName>
    <definedName name="รางระบายน้ำบนลาดดินตัด" localSheetId="2">#REF!</definedName>
    <definedName name="รางระบายน้ำบนลาดดินตัด">#REF!</definedName>
    <definedName name="ราวบันไดเหล็ก1.5นิ้วตามแบบอาคาร22" localSheetId="3">#REF!</definedName>
    <definedName name="ราวบันไดเหล็ก1.5นิ้วตามแบบอาคาร22" localSheetId="4">#REF!</definedName>
    <definedName name="ราวบันไดเหล็ก1.5นิ้วตามแบบอาคาร22" localSheetId="71">#REF!</definedName>
    <definedName name="ราวบันไดเหล็ก1.5นิ้วตามแบบอาคาร22" localSheetId="2">#REF!</definedName>
    <definedName name="ราวบันไดเหล็ก1.5นิ้วตามแบบอาคาร22">#REF!</definedName>
    <definedName name="ราวบันไดเหล็ก1.5นิ้วทาสี" localSheetId="3">#REF!</definedName>
    <definedName name="ราวบันไดเหล็ก1.5นิ้วทาสี" localSheetId="4">#REF!</definedName>
    <definedName name="ราวบันไดเหล็ก1.5นิ้วทาสี" localSheetId="71">#REF!</definedName>
    <definedName name="ราวบันไดเหล็ก1.5นิ้วทาสี" localSheetId="2">#REF!</definedName>
    <definedName name="ราวบันไดเหล็ก1.5นิ้วทาสี">#REF!</definedName>
    <definedName name="รื้อถนนคอนกรีต">'[5]1'!$J$24</definedName>
    <definedName name="รื้อถนนลาดยาง">'[5]1'!$J$13</definedName>
    <definedName name="รื้อสะพานคอนกรีต">'[5]1'!$J$36</definedName>
    <definedName name="รูป_สี่เหลี่ยมคางหมู_ขนาด3.0x0.5ม." localSheetId="3">'[8]หมวด 6(2)'!#REF!</definedName>
    <definedName name="รูป_สี่เหลี่ยมคางหมู_ขนาด3.0x0.5ม." localSheetId="4">'[8]หมวด 6(2)'!#REF!</definedName>
    <definedName name="รูป_สี่เหลี่ยมคางหมู_ขนาด3.0x0.5ม." localSheetId="71">'[8]หมวด 6(2)'!#REF!</definedName>
    <definedName name="รูป_สี่เหลี่ยมคางหมู_ขนาด3.0x0.5ม." localSheetId="69">'[8]หมวด 6(2)'!#REF!</definedName>
    <definedName name="รูป_สี่เหลี่ยมคางหมู_ขนาด3.0x0.5ม." localSheetId="70">'[8]หมวด 6(2)'!#REF!</definedName>
    <definedName name="รูป_สี่เหลี่ยมคางหมู_ขนาด3.0x0.5ม." localSheetId="74">'[8]หมวด 6(2)'!#REF!</definedName>
    <definedName name="รูป_สี่เหลี่ยมคางหมู_ขนาด3.0x0.5ม." localSheetId="2">'[8]หมวด 6(2)'!#REF!</definedName>
    <definedName name="รูป_สี่เหลี่ยมคางหมู_ขนาด3.0x0.5ม.">'[8]หมวด 6(2)'!#REF!</definedName>
    <definedName name="รูป_สี่เหลี่ยมคางหมู_ขนาด4.0x1.0ม." localSheetId="3">'[8]หมวด 6(2)'!#REF!</definedName>
    <definedName name="รูป_สี่เหลี่ยมคางหมู_ขนาด4.0x1.0ม." localSheetId="4">'[8]หมวด 6(2)'!#REF!</definedName>
    <definedName name="รูป_สี่เหลี่ยมคางหมู_ขนาด4.0x1.0ม." localSheetId="71">'[8]หมวด 6(2)'!#REF!</definedName>
    <definedName name="รูป_สี่เหลี่ยมคางหมู_ขนาด4.0x1.0ม." localSheetId="69">'[8]หมวด 6(2)'!#REF!</definedName>
    <definedName name="รูป_สี่เหลี่ยมคางหมู_ขนาด4.0x1.0ม." localSheetId="70">'[8]หมวด 6(2)'!#REF!</definedName>
    <definedName name="รูป_สี่เหลี่ยมคางหมู_ขนาด4.0x1.0ม." localSheetId="74">'[8]หมวด 6(2)'!#REF!</definedName>
    <definedName name="รูป_สี่เหลี่ยมคางหมู_ขนาด4.0x1.0ม.">'[8]หมวด 6(2)'!#REF!</definedName>
    <definedName name="รูป_สี่เหลี่ยมคางหมู_ขนาด6.0x1.0ม." localSheetId="3">'[8]หมวด 6(2)'!#REF!</definedName>
    <definedName name="รูป_สี่เหลี่ยมคางหมู_ขนาด6.0x1.0ม." localSheetId="4">'[8]หมวด 6(2)'!#REF!</definedName>
    <definedName name="รูป_สี่เหลี่ยมคางหมู_ขนาด6.0x1.0ม." localSheetId="71">'[8]หมวด 6(2)'!#REF!</definedName>
    <definedName name="รูป_สี่เหลี่ยมคางหมู_ขนาด6.0x1.0ม." localSheetId="69">'[8]หมวด 6(2)'!#REF!</definedName>
    <definedName name="รูป_สี่เหลี่ยมคางหมู_ขนาด6.0x1.0ม." localSheetId="70">'[8]หมวด 6(2)'!#REF!</definedName>
    <definedName name="รูป_สี่เหลี่ยมคางหมู_ขนาด6.0x1.0ม.">'[8]หมวด 6(2)'!#REF!</definedName>
    <definedName name="ล" localSheetId="3">#REF!</definedName>
    <definedName name="ล" localSheetId="4">#REF!</definedName>
    <definedName name="ล" localSheetId="71">#REF!</definedName>
    <definedName name="ล" localSheetId="69">#REF!</definedName>
    <definedName name="ล" localSheetId="70">#REF!</definedName>
    <definedName name="ล" localSheetId="74">#REF!</definedName>
    <definedName name="ล" localSheetId="2">#REF!</definedName>
    <definedName name="ล">#REF!</definedName>
    <definedName name="ลบ.ม." localSheetId="3">#REF!</definedName>
    <definedName name="ลบ.ม." localSheetId="4">#REF!</definedName>
    <definedName name="ลบ.ม." localSheetId="71">#REF!</definedName>
    <definedName name="ลบ.ม." localSheetId="69">#REF!</definedName>
    <definedName name="ลบ.ม." localSheetId="70">#REF!</definedName>
    <definedName name="ลบ.ม." localSheetId="2">#REF!</definedName>
    <definedName name="ลบ.ม.">#REF!</definedName>
    <definedName name="ลวดผูกเหล็ก" localSheetId="3">#REF!</definedName>
    <definedName name="ลวดผูกเหล็ก" localSheetId="4">#REF!</definedName>
    <definedName name="ลวดผูกเหล็ก" localSheetId="71">#REF!</definedName>
    <definedName name="ลวดผูกเหล็ก" localSheetId="69">#REF!</definedName>
    <definedName name="ลวดผูกเหล็ก" localSheetId="70">#REF!</definedName>
    <definedName name="ลวดผูกเหล็ก" localSheetId="2">#REF!</definedName>
    <definedName name="ลวดผูกเหล็ก">#REF!</definedName>
    <definedName name="ลวดผูกเหล็กไม่รวมขนส่ง" localSheetId="3">#REF!</definedName>
    <definedName name="ลวดผูกเหล็กไม่รวมขนส่ง" localSheetId="4">#REF!</definedName>
    <definedName name="ลวดผูกเหล็กไม่รวมขนส่ง" localSheetId="71">#REF!</definedName>
    <definedName name="ลวดผูกเหล็กไม่รวมขนส่ง" localSheetId="2">#REF!</definedName>
    <definedName name="ลวดผูกเหล็กไม่รวมขนส่ง">#REF!</definedName>
    <definedName name="ลาดACบนPrimeCoat" localSheetId="3">#REF!</definedName>
    <definedName name="ลาดACบนPrimeCoat" localSheetId="4">#REF!</definedName>
    <definedName name="ลาดACบนPrimeCoat" localSheetId="71">#REF!</definedName>
    <definedName name="ลาดACบนPrimeCoat" localSheetId="2">#REF!</definedName>
    <definedName name="ลาดACบนPrimeCoat">#REF!</definedName>
    <definedName name="ลาดACบนTackCoat" localSheetId="3">#REF!</definedName>
    <definedName name="ลาดACบนTackCoat" localSheetId="4">#REF!</definedName>
    <definedName name="ลาดACบนTackCoat" localSheetId="71">#REF!</definedName>
    <definedName name="ลาดACบนTackCoat" localSheetId="2">#REF!</definedName>
    <definedName name="ลาดACบนTackCoat">#REF!</definedName>
    <definedName name="ลีลาวดีขาว" localSheetId="3">#REF!</definedName>
    <definedName name="ลีลาวดีขาว" localSheetId="4">#REF!</definedName>
    <definedName name="ลีลาวดีขาว" localSheetId="71">#REF!</definedName>
    <definedName name="ลีลาวดีขาว" localSheetId="2">#REF!</definedName>
    <definedName name="ลีลาวดีขาว">#REF!</definedName>
    <definedName name="ลีลาวดีชมพู" localSheetId="3">#REF!</definedName>
    <definedName name="ลีลาวดีชมพู" localSheetId="4">#REF!</definedName>
    <definedName name="ลีลาวดีชมพู" localSheetId="71">#REF!</definedName>
    <definedName name="ลีลาวดีชมพู" localSheetId="2">#REF!</definedName>
    <definedName name="ลีลาวดีชมพู">#REF!</definedName>
    <definedName name="ลูกนอนไม้เนื้อแข็ง2x10นิ้ว" localSheetId="3">#REF!</definedName>
    <definedName name="ลูกนอนไม้เนื้อแข็ง2x10นิ้ว" localSheetId="4">#REF!</definedName>
    <definedName name="ลูกนอนไม้เนื้อแข็ง2x10นิ้ว" localSheetId="71">#REF!</definedName>
    <definedName name="ลูกนอนไม้เนื้อแข็ง2x10นิ้ว" localSheetId="2">#REF!</definedName>
    <definedName name="ลูกนอนไม้เนื้อแข็ง2x10นิ้ว">#REF!</definedName>
    <definedName name="ว" localSheetId="3">#REF!</definedName>
    <definedName name="ว" localSheetId="4">#REF!</definedName>
    <definedName name="ว" localSheetId="71">#REF!</definedName>
    <definedName name="ว" localSheetId="2">#REF!</definedName>
    <definedName name="ว">#REF!</definedName>
    <definedName name="วววววววว">#REF!</definedName>
    <definedName name="ววววววววว">#REF!</definedName>
    <definedName name="ศาลปกครอง">#REF!</definedName>
    <definedName name="สกัดหัวเสาเข็ม">[7]FCalSH!$G$20</definedName>
    <definedName name="สถานที่">[5]รายละเอียดโครงการ!$B$9</definedName>
    <definedName name="สนประดิพัทธ์" localSheetId="3">#REF!</definedName>
    <definedName name="สนประดิพัทธ์" localSheetId="4">#REF!</definedName>
    <definedName name="สนประดิพัทธ์" localSheetId="5">#REF!</definedName>
    <definedName name="สนประดิพัทธ์" localSheetId="18">#REF!</definedName>
    <definedName name="สนประดิพัทธ์" localSheetId="30">#REF!</definedName>
    <definedName name="สนประดิพัทธ์" localSheetId="56">#REF!</definedName>
    <definedName name="สนประดิพัทธ์" localSheetId="43">#REF!</definedName>
    <definedName name="สนประดิพัทธ์" localSheetId="71">#REF!</definedName>
    <definedName name="สนประดิพัทธ์" localSheetId="69">#REF!</definedName>
    <definedName name="สนประดิพัทธ์" localSheetId="70">#REF!</definedName>
    <definedName name="สนประดิพัทธ์" localSheetId="74">#REF!</definedName>
    <definedName name="สนประดิพัทธ์" localSheetId="2">#REF!</definedName>
    <definedName name="สนประดิพัทธ์">#REF!</definedName>
    <definedName name="สนประดิพัทธ์_" localSheetId="3">'[42]หมวด 10'!#REF!</definedName>
    <definedName name="สนประดิพัทธ์_" localSheetId="4">'[42]หมวด 10'!#REF!</definedName>
    <definedName name="สนประดิพัทธ์_" localSheetId="5">'[42]หมวด 10'!#REF!</definedName>
    <definedName name="สนประดิพัทธ์_" localSheetId="18">'[42]หมวด 10'!#REF!</definedName>
    <definedName name="สนประดิพัทธ์_" localSheetId="30">'[42]หมวด 10'!#REF!</definedName>
    <definedName name="สนประดิพัทธ์_" localSheetId="56">'[42]หมวด 10'!#REF!</definedName>
    <definedName name="สนประดิพัทธ์_" localSheetId="43">'[42]หมวด 10'!#REF!</definedName>
    <definedName name="สนประดิพัทธ์_" localSheetId="71">'[42]หมวด 10'!#REF!</definedName>
    <definedName name="สนประดิพัทธ์_" localSheetId="69">'[42]หมวด 10'!#REF!</definedName>
    <definedName name="สนประดิพัทธ์_" localSheetId="70">'[42]หมวด 10'!#REF!</definedName>
    <definedName name="สนประดิพัทธ์_" localSheetId="74">'[42]หมวด 10'!#REF!</definedName>
    <definedName name="สนประดิพัทธ์_" localSheetId="2">'[42]หมวด 10'!#REF!</definedName>
    <definedName name="สนประดิพัทธ์_">'[42]หมวด 10'!#REF!</definedName>
    <definedName name="สรุปaccess_road" localSheetId="3">[12]Summary!#REF!</definedName>
    <definedName name="สรุปaccess_road" localSheetId="4">[12]Summary!#REF!</definedName>
    <definedName name="สรุปaccess_road" localSheetId="71">[12]Summary!#REF!</definedName>
    <definedName name="สรุปaccess_road" localSheetId="69">[12]Summary!#REF!</definedName>
    <definedName name="สรุปaccess_road" localSheetId="74">[12]Summary!#REF!</definedName>
    <definedName name="สรุปaccess_road" localSheetId="2">[12]Summary!#REF!</definedName>
    <definedName name="สรุปaccess_road">[12]Summary!#REF!</definedName>
    <definedName name="สรุปCrossing_load" localSheetId="3">[12]Summary!#REF!</definedName>
    <definedName name="สรุปCrossing_load" localSheetId="4">[12]Summary!#REF!</definedName>
    <definedName name="สรุปCrossing_load" localSheetId="71">[12]Summary!#REF!</definedName>
    <definedName name="สรุปCrossing_load">[12]Summary!#REF!</definedName>
    <definedName name="สรุปLOCAL_ROAD" localSheetId="3">[12]Summary!#REF!</definedName>
    <definedName name="สรุปLOCAL_ROAD" localSheetId="4">[12]Summary!#REF!</definedName>
    <definedName name="สรุปLOCAL_ROAD" localSheetId="71">[12]Summary!#REF!</definedName>
    <definedName name="สรุปLOCAL_ROAD">[12]Summary!#REF!</definedName>
    <definedName name="สรุปoverpass" localSheetId="3">[12]Summary!#REF!</definedName>
    <definedName name="สรุปoverpass" localSheetId="4">[12]Summary!#REF!</definedName>
    <definedName name="สรุปoverpass" localSheetId="71">[12]Summary!#REF!</definedName>
    <definedName name="สรุปoverpass">[12]Summary!#REF!</definedName>
    <definedName name="สรุปservice_road" localSheetId="3">[12]Summary!#REF!</definedName>
    <definedName name="สรุปservice_road" localSheetId="4">[12]Summary!#REF!</definedName>
    <definedName name="สรุปservice_road" localSheetId="71">[12]Summary!#REF!</definedName>
    <definedName name="สรุปservice_road">[12]Summary!#REF!</definedName>
    <definedName name="สรุปเข็มท่าเทียบเรือ" localSheetId="3">#REF!</definedName>
    <definedName name="สรุปเข็มท่าเทียบเรือ" localSheetId="4">#REF!</definedName>
    <definedName name="สรุปเข็มท่าเทียบเรือ" localSheetId="71">#REF!</definedName>
    <definedName name="สรุปเข็มท่าเทียบเรือ" localSheetId="69">#REF!</definedName>
    <definedName name="สรุปเข็มท่าเทียบเรือ" localSheetId="70">#REF!</definedName>
    <definedName name="สรุปเข็มท่าเทียบเรือ" localSheetId="74">#REF!</definedName>
    <definedName name="สรุปเข็มท่าเทียบเรือ" localSheetId="2">#REF!</definedName>
    <definedName name="สรุปเข็มท่าเทียบเรือ">#REF!</definedName>
    <definedName name="สรุปโครงสร้างท่าเทียบเรือ" localSheetId="3">#REF!</definedName>
    <definedName name="สรุปโครงสร้างท่าเทียบเรือ" localSheetId="4">#REF!</definedName>
    <definedName name="สรุปโครงสร้างท่าเทียบเรือ" localSheetId="71">#REF!</definedName>
    <definedName name="สรุปโครงสร้างท่าเทียบเรือ" localSheetId="69">#REF!</definedName>
    <definedName name="สรุปโครงสร้างท่าเทียบเรือ" localSheetId="70">#REF!</definedName>
    <definedName name="สรุปโครงสร้างท่าเทียบเรือ" localSheetId="2">#REF!</definedName>
    <definedName name="สรุปโครงสร้างท่าเทียบเรือ">#REF!</definedName>
    <definedName name="สรุปไฟฟ้าท่าเทียบเรือ" localSheetId="3">#REF!</definedName>
    <definedName name="สรุปไฟฟ้าท่าเทียบเรือ" localSheetId="4">#REF!</definedName>
    <definedName name="สรุปไฟฟ้าท่าเทียบเรือ" localSheetId="71">#REF!</definedName>
    <definedName name="สรุปไฟฟ้าท่าเทียบเรือ" localSheetId="69">#REF!</definedName>
    <definedName name="สรุปไฟฟ้าท่าเทียบเรือ" localSheetId="70">#REF!</definedName>
    <definedName name="สรุปไฟฟ้าท่าเทียบเรือ" localSheetId="2">#REF!</definedName>
    <definedName name="สรุปไฟฟ้าท่าเทียบเรือ">#REF!</definedName>
    <definedName name="สรุปศาลาB" localSheetId="3">#REF!</definedName>
    <definedName name="สรุปศาลาB" localSheetId="4">#REF!</definedName>
    <definedName name="สรุปศาลาB" localSheetId="71">#REF!</definedName>
    <definedName name="สรุปศาลาB" localSheetId="2">#REF!</definedName>
    <definedName name="สรุปศาลาB">#REF!</definedName>
    <definedName name="สรุปสถาปัตยกรรมท่าเทียบเรือ" localSheetId="3">#REF!</definedName>
    <definedName name="สรุปสถาปัตยกรรมท่าเทียบเรือ" localSheetId="4">#REF!</definedName>
    <definedName name="สรุปสถาปัตยกรรมท่าเทียบเรือ" localSheetId="71">#REF!</definedName>
    <definedName name="สรุปสถาปัตยกรรมท่าเทียบเรือ" localSheetId="2">#REF!</definedName>
    <definedName name="สรุปสถาปัตยกรรมท่าเทียบเรือ">#REF!</definedName>
    <definedName name="สรุปสุขาภิบาลท่าเทียบเรือ" localSheetId="3">#REF!</definedName>
    <definedName name="สรุปสุขาภิบาลท่าเทียบเรือ" localSheetId="4">#REF!</definedName>
    <definedName name="สรุปสุขาภิบาลท่าเทียบเรือ" localSheetId="71">#REF!</definedName>
    <definedName name="สรุปสุขาภิบาลท่าเทียบเรือ" localSheetId="2">#REF!</definedName>
    <definedName name="สรุปสุขาภิบาลท่าเทียบเรือ">#REF!</definedName>
    <definedName name="สะพาน" localSheetId="3">#REF!</definedName>
    <definedName name="สะพาน" localSheetId="4">#REF!</definedName>
    <definedName name="สะพาน" localSheetId="71">#REF!</definedName>
    <definedName name="สะพาน" localSheetId="2">#REF!</definedName>
    <definedName name="สะพาน">#REF!</definedName>
    <definedName name="สะพาน_28_218.200" localSheetId="3">'[10]5-2'!#REF!</definedName>
    <definedName name="สะพาน_28_218.200" localSheetId="4">'[10]5-2'!#REF!</definedName>
    <definedName name="สะพาน_28_218.200" localSheetId="71">'[10]5-2'!#REF!</definedName>
    <definedName name="สะพาน_28_218.200" localSheetId="2">'[10]5-2'!#REF!</definedName>
    <definedName name="สะพาน_28_218.200">'[10]5-2'!#REF!</definedName>
    <definedName name="สะพาน3_803.600">'[5]5-2'!$J$34</definedName>
    <definedName name="สีเทอโมพลาสติก" localSheetId="3">#REF!</definedName>
    <definedName name="สีเทอโมพลาสติก" localSheetId="4">#REF!</definedName>
    <definedName name="สีเทอโมพลาสติก" localSheetId="5">#REF!</definedName>
    <definedName name="สีเทอโมพลาสติก" localSheetId="18">#REF!</definedName>
    <definedName name="สีเทอโมพลาสติก" localSheetId="30">#REF!</definedName>
    <definedName name="สีเทอโมพลาสติก" localSheetId="56">#REF!</definedName>
    <definedName name="สีเทอโมพลาสติก" localSheetId="43">#REF!</definedName>
    <definedName name="สีเทอโมพลาสติก" localSheetId="71">#REF!</definedName>
    <definedName name="สีเทอโมพลาสติก" localSheetId="69">#REF!</definedName>
    <definedName name="สีเทอโมพลาสติก" localSheetId="70">#REF!</definedName>
    <definedName name="สีเทอโมพลาสติก" localSheetId="74">#REF!</definedName>
    <definedName name="สีเทอโมพลาสติก" localSheetId="2">#REF!</definedName>
    <definedName name="สีเทอโมพลาสติก">#REF!</definedName>
    <definedName name="สีผสมAC" localSheetId="3">#REF!</definedName>
    <definedName name="สีผสมAC" localSheetId="4">#REF!</definedName>
    <definedName name="สีผสมAC" localSheetId="71">#REF!</definedName>
    <definedName name="สีผสมAC" localSheetId="69">#REF!</definedName>
    <definedName name="สีผสมAC" localSheetId="70">#REF!</definedName>
    <definedName name="สีผสมAC" localSheetId="2">#REF!</definedName>
    <definedName name="สีผสมAC">#REF!</definedName>
    <definedName name="สีผสมACไม่รวมขนส่ง" localSheetId="3">#REF!</definedName>
    <definedName name="สีผสมACไม่รวมขนส่ง" localSheetId="4">#REF!</definedName>
    <definedName name="สีผสมACไม่รวมขนส่ง" localSheetId="71">#REF!</definedName>
    <definedName name="สีผสมACไม่รวมขนส่ง" localSheetId="69">#REF!</definedName>
    <definedName name="สีผสมACไม่รวมขนส่ง" localSheetId="70">#REF!</definedName>
    <definedName name="สีผสมACไม่รวมขนส่ง" localSheetId="2">#REF!</definedName>
    <definedName name="สีผสมACไม่รวมขนส่ง">#REF!</definedName>
    <definedName name="สีอะคริลิกภายใน" localSheetId="3">#REF!</definedName>
    <definedName name="สีอะคริลิกภายใน" localSheetId="4">#REF!</definedName>
    <definedName name="สีอะคริลิกภายใน" localSheetId="71">#REF!</definedName>
    <definedName name="สีอะคริลิกภายใน" localSheetId="2">#REF!</definedName>
    <definedName name="สีอะคริลิกภายใน">#REF!</definedName>
    <definedName name="สีอะครีลิกภายนอก" localSheetId="3">#REF!</definedName>
    <definedName name="สีอะครีลิกภายนอก" localSheetId="4">#REF!</definedName>
    <definedName name="สีอะครีลิกภายนอก" localSheetId="71">#REF!</definedName>
    <definedName name="สีอะครีลิกภายนอก" localSheetId="2">#REF!</definedName>
    <definedName name="สีอะครีลิกภายนอก">#REF!</definedName>
    <definedName name="หยาบ" localSheetId="3">#REF!</definedName>
    <definedName name="หยาบ" localSheetId="4">#REF!</definedName>
    <definedName name="หยาบ" localSheetId="71">#REF!</definedName>
    <definedName name="หยาบ" localSheetId="2">#REF!</definedName>
    <definedName name="หยาบ">#REF!</definedName>
    <definedName name="หห" localSheetId="3">#REF!</definedName>
    <definedName name="หห" localSheetId="4">#REF!</definedName>
    <definedName name="หห" localSheetId="71">#REF!</definedName>
    <definedName name="หห" localSheetId="2">#REF!</definedName>
    <definedName name="หห">#REF!</definedName>
    <definedName name="หินriprap">[48]ราคาวัสดุ!$F$28</definedName>
    <definedName name="หินsingle" localSheetId="3">#REF!</definedName>
    <definedName name="หินsingle" localSheetId="4">#REF!</definedName>
    <definedName name="หินsingle" localSheetId="5">#REF!</definedName>
    <definedName name="หินsingle" localSheetId="18">#REF!</definedName>
    <definedName name="หินsingle" localSheetId="30">#REF!</definedName>
    <definedName name="หินsingle" localSheetId="56">#REF!</definedName>
    <definedName name="หินsingle" localSheetId="43">#REF!</definedName>
    <definedName name="หินsingle" localSheetId="71">#REF!</definedName>
    <definedName name="หินsingle" localSheetId="69">#REF!</definedName>
    <definedName name="หินsingle" localSheetId="70">#REF!</definedName>
    <definedName name="หินsingle" localSheetId="74">#REF!</definedName>
    <definedName name="หินsingle" localSheetId="2">#REF!</definedName>
    <definedName name="หินsingle">#REF!</definedName>
    <definedName name="หินเกร็ด" localSheetId="3">#REF!</definedName>
    <definedName name="หินเกร็ด" localSheetId="4">#REF!</definedName>
    <definedName name="หินเกร็ด" localSheetId="71">#REF!</definedName>
    <definedName name="หินเกร็ด" localSheetId="69">#REF!</definedName>
    <definedName name="หินเกร็ด" localSheetId="70">#REF!</definedName>
    <definedName name="หินเกร็ด" localSheetId="2">#REF!</definedName>
    <definedName name="หินเกร็ด">#REF!</definedName>
    <definedName name="หินเกร็ดไม่รวมขนส่ง" localSheetId="3">#REF!</definedName>
    <definedName name="หินเกร็ดไม่รวมขนส่ง" localSheetId="4">#REF!</definedName>
    <definedName name="หินเกร็ดไม่รวมขนส่ง" localSheetId="71">#REF!</definedName>
    <definedName name="หินเกร็ดไม่รวมขนส่ง" localSheetId="69">#REF!</definedName>
    <definedName name="หินเกร็ดไม่รวมขนส่ง" localSheetId="70">#REF!</definedName>
    <definedName name="หินเกร็ดไม่รวมขนส่ง" localSheetId="2">#REF!</definedName>
    <definedName name="หินเกร็ดไม่รวมขนส่ง">#REF!</definedName>
    <definedName name="หินเกล็ด" localSheetId="3">#REF!</definedName>
    <definedName name="หินเกล็ด" localSheetId="4">#REF!</definedName>
    <definedName name="หินเกล็ด" localSheetId="71">#REF!</definedName>
    <definedName name="หินเกล็ด" localSheetId="2">#REF!</definedName>
    <definedName name="หินเกล็ด">#REF!</definedName>
    <definedName name="หินแกรนิตดำ" localSheetId="3">#REF!</definedName>
    <definedName name="หินแกรนิตดำ" localSheetId="4">#REF!</definedName>
    <definedName name="หินแกรนิตดำ" localSheetId="71">#REF!</definedName>
    <definedName name="หินแกรนิตดำ" localSheetId="2">#REF!</definedName>
    <definedName name="หินแกรนิตดำ">#REF!</definedName>
    <definedName name="หินแข็ง_ดันตัก" localSheetId="3">#REF!</definedName>
    <definedName name="หินแข็ง_ดันตัก" localSheetId="4">#REF!</definedName>
    <definedName name="หินแข็ง_ดันตัก" localSheetId="71">#REF!</definedName>
    <definedName name="หินแข็ง_ดันตัก" localSheetId="2">#REF!</definedName>
    <definedName name="หินแข็ง_ดันตัก">#REF!</definedName>
    <definedName name="หินแข็ง_ระเบิด" localSheetId="3">#REF!</definedName>
    <definedName name="หินแข็ง_ระเบิด" localSheetId="4">#REF!</definedName>
    <definedName name="หินแข็ง_ระเบิด" localSheetId="71">#REF!</definedName>
    <definedName name="หินแข็ง_ระเบิด" localSheetId="2">#REF!</definedName>
    <definedName name="หินแข็ง_ระเบิด">#REF!</definedName>
    <definedName name="หินแอสฟัลท์" localSheetId="3">#REF!</definedName>
    <definedName name="หินแอสฟัลท์" localSheetId="4">#REF!</definedName>
    <definedName name="หินแอสฟัลท์" localSheetId="71">#REF!</definedName>
    <definedName name="หินแอสฟัลท์" localSheetId="2">#REF!</definedName>
    <definedName name="หินแอสฟัลท์">#REF!</definedName>
    <definedName name="หินโม่ผสมคอนกรีต" localSheetId="3">#REF!</definedName>
    <definedName name="หินโม่ผสมคอนกรีต" localSheetId="4">#REF!</definedName>
    <definedName name="หินโม่ผสมคอนกรีต" localSheetId="71">#REF!</definedName>
    <definedName name="หินโม่ผสมคอนกรีต" localSheetId="2">#REF!</definedName>
    <definedName name="หินโม่ผสมคอนกรีต">#REF!</definedName>
    <definedName name="หินโม่ผสมคอนกรีตไม่รวมขนส่ง" localSheetId="3">#REF!</definedName>
    <definedName name="หินโม่ผสมคอนกรีตไม่รวมขนส่ง" localSheetId="4">#REF!</definedName>
    <definedName name="หินโม่ผสมคอนกรีตไม่รวมขนส่ง" localSheetId="71">#REF!</definedName>
    <definedName name="หินโม่ผสมคอนกรีตไม่รวมขนส่ง" localSheetId="2">#REF!</definedName>
    <definedName name="หินโม่ผสมคอนกรีตไม่รวมขนส่ง">#REF!</definedName>
    <definedName name="หินใหญ่" localSheetId="3">#REF!</definedName>
    <definedName name="หินใหญ่" localSheetId="4">#REF!</definedName>
    <definedName name="หินใหญ่" localSheetId="71">#REF!</definedName>
    <definedName name="หินใหญ่" localSheetId="2">#REF!</definedName>
    <definedName name="หินใหญ่">#REF!</definedName>
    <definedName name="หินใหญ่ไม่รวมขนส่ง" localSheetId="3">#REF!</definedName>
    <definedName name="หินใหญ่ไม่รวมขนส่ง" localSheetId="4">#REF!</definedName>
    <definedName name="หินใหญ่ไม่รวมขนส่ง" localSheetId="71">#REF!</definedName>
    <definedName name="หินใหญ่ไม่รวมขนส่ง" localSheetId="2">#REF!</definedName>
    <definedName name="หินใหญ่ไม่รวมขนส่ง">#REF!</definedName>
    <definedName name="หินคละ" localSheetId="3">#REF!</definedName>
    <definedName name="หินคละ" localSheetId="4">#REF!</definedName>
    <definedName name="หินคละ" localSheetId="71">#REF!</definedName>
    <definedName name="หินคละ" localSheetId="2">#REF!</definedName>
    <definedName name="หินคละ">#REF!</definedName>
    <definedName name="หินคละไม่รวมขนส่ง" localSheetId="3">#REF!</definedName>
    <definedName name="หินคละไม่รวมขนส่ง" localSheetId="4">#REF!</definedName>
    <definedName name="หินคละไม่รวมขนส่ง" localSheetId="71">#REF!</definedName>
    <definedName name="หินคละไม่รวมขนส่ง" localSheetId="2">#REF!</definedName>
    <definedName name="หินคละไม่รวมขนส่ง">#REF!</definedName>
    <definedName name="หินผสม" localSheetId="3">#REF!</definedName>
    <definedName name="หินผสม" localSheetId="4">#REF!</definedName>
    <definedName name="หินผสม" localSheetId="71">#REF!</definedName>
    <definedName name="หินผสม" localSheetId="2">#REF!</definedName>
    <definedName name="หินผสม">#REF!</definedName>
    <definedName name="หินผุ_ขุดตัก" localSheetId="3">#REF!</definedName>
    <definedName name="หินผุ_ขุดตัก" localSheetId="4">#REF!</definedName>
    <definedName name="หินผุ_ขุดตัก" localSheetId="71">#REF!</definedName>
    <definedName name="หินผุ_ขุดตัก" localSheetId="2">#REF!</definedName>
    <definedName name="หินผุ_ขุดตัก">#REF!</definedName>
    <definedName name="หินผุ_ดันตัก" localSheetId="3">#REF!</definedName>
    <definedName name="หินผุ_ดันตัก" localSheetId="4">#REF!</definedName>
    <definedName name="หินผุ_ดันตัก" localSheetId="71">#REF!</definedName>
    <definedName name="หินผุ_ดันตัก" localSheetId="2">#REF!</definedName>
    <definedName name="หินผุ_ดันตัก">#REF!</definedName>
    <definedName name="หินฝุ่น" localSheetId="3">#REF!</definedName>
    <definedName name="หินฝุ่น" localSheetId="4">#REF!</definedName>
    <definedName name="หินฝุ่น" localSheetId="71">#REF!</definedName>
    <definedName name="หินฝุ่น" localSheetId="2">#REF!</definedName>
    <definedName name="หินฝุ่น">#REF!</definedName>
    <definedName name="หินฝุ่นไม่รวมขนส่ง" localSheetId="3">#REF!</definedName>
    <definedName name="หินฝุ่นไม่รวมขนส่ง" localSheetId="4">#REF!</definedName>
    <definedName name="หินฝุ่นไม่รวมขนส่ง" localSheetId="71">#REF!</definedName>
    <definedName name="หินฝุ่นไม่รวมขนส่ง" localSheetId="2">#REF!</definedName>
    <definedName name="หินฝุ่นไม่รวมขนส่ง">#REF!</definedName>
    <definedName name="หินย่อยเบอร์1" localSheetId="3">#REF!</definedName>
    <definedName name="หินย่อยเบอร์1" localSheetId="4">#REF!</definedName>
    <definedName name="หินย่อยเบอร์1" localSheetId="71">#REF!</definedName>
    <definedName name="หินย่อยเบอร์1" localSheetId="2">#REF!</definedName>
    <definedName name="หินย่อยเบอร์1">#REF!</definedName>
    <definedName name="หินย่อยเบอร์1ไม่รวมขนส่ง" localSheetId="3">#REF!</definedName>
    <definedName name="หินย่อยเบอร์1ไม่รวมขนส่ง" localSheetId="4">#REF!</definedName>
    <definedName name="หินย่อยเบอร์1ไม่รวมขนส่ง" localSheetId="71">#REF!</definedName>
    <definedName name="หินย่อยเบอร์1ไม่รวมขนส่ง" localSheetId="2">#REF!</definedName>
    <definedName name="หินย่อยเบอร์1ไม่รวมขนส่ง">#REF!</definedName>
    <definedName name="หินย่อยเบอร์2" localSheetId="3">#REF!</definedName>
    <definedName name="หินย่อยเบอร์2" localSheetId="4">#REF!</definedName>
    <definedName name="หินย่อยเบอร์2" localSheetId="71">#REF!</definedName>
    <definedName name="หินย่อยเบอร์2" localSheetId="2">#REF!</definedName>
    <definedName name="หินย่อยเบอร์2">#REF!</definedName>
    <definedName name="หินย่อยเบอร์2ไม่รวมขนส่ง" localSheetId="3">#REF!</definedName>
    <definedName name="หินย่อยเบอร์2ไม่รวมขนส่ง" localSheetId="4">#REF!</definedName>
    <definedName name="หินย่อยเบอร์2ไม่รวมขนส่ง" localSheetId="71">#REF!</definedName>
    <definedName name="หินย่อยเบอร์2ไม่รวมขนส่ง" localSheetId="2">#REF!</definedName>
    <definedName name="หินย่อยเบอร์2ไม่รวมขนส่ง">#REF!</definedName>
    <definedName name="อินทผาลัมใบเงิน" localSheetId="3">#REF!</definedName>
    <definedName name="อินทผาลัมใบเงิน" localSheetId="4">#REF!</definedName>
    <definedName name="อินทผาลัมใบเงิน" localSheetId="71">#REF!</definedName>
    <definedName name="อินทผาลัมใบเงิน" localSheetId="2">#REF!</definedName>
    <definedName name="อินทผาลัมใบเงิน">#REF!</definedName>
    <definedName name="อินทผาลัมใบเงิน_" localSheetId="3">'[42]หมวด 10'!#REF!</definedName>
    <definedName name="อินทผาลัมใบเงิน_" localSheetId="4">'[42]หมวด 10'!#REF!</definedName>
    <definedName name="อินทผาลัมใบเงิน_" localSheetId="71">'[42]หมวด 10'!#REF!</definedName>
    <definedName name="อินทผาลัมใบเงิน_" localSheetId="2">'[42]หมวด 10'!#REF!</definedName>
    <definedName name="อินทผาลัมใบเงิน_">'[42]หมวด 10'!#REF!</definedName>
    <definedName name="านรื้อผิวจราจรคอนกรีต" localSheetId="3">#REF!</definedName>
    <definedName name="านรื้อผิวจราจรคอนกรีต" localSheetId="4">#REF!</definedName>
    <definedName name="านรื้อผิวจราจรคอนกรีต" localSheetId="5">#REF!</definedName>
    <definedName name="านรื้อผิวจราจรคอนกรีต" localSheetId="18">#REF!</definedName>
    <definedName name="านรื้อผิวจราจรคอนกรีต" localSheetId="30">#REF!</definedName>
    <definedName name="านรื้อผิวจราจรคอนกรีต" localSheetId="56">#REF!</definedName>
    <definedName name="านรื้อผิวจราจรคอนกรีต" localSheetId="43">#REF!</definedName>
    <definedName name="านรื้อผิวจราจรคอนกรีต" localSheetId="71">#REF!</definedName>
    <definedName name="านรื้อผิวจราจรคอนกรีต" localSheetId="69">#REF!</definedName>
    <definedName name="านรื้อผิวจราจรคอนกรีต" localSheetId="70">#REF!</definedName>
    <definedName name="านรื้อผิวจราจรคอนกรีต" localSheetId="74">#REF!</definedName>
    <definedName name="านรื้อผิวจราจรคอนกรีต" localSheetId="2">#REF!</definedName>
    <definedName name="านรื้อผิวจราจรคอนกรี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5" i="284" l="1"/>
  <c r="B155" i="786"/>
  <c r="G144" i="786"/>
  <c r="I144" i="786" s="1"/>
  <c r="J144" i="786" s="1"/>
  <c r="J143" i="786"/>
  <c r="K143" i="786" s="1"/>
  <c r="H143" i="786"/>
  <c r="J140" i="786"/>
  <c r="H140" i="786"/>
  <c r="K140" i="786" s="1"/>
  <c r="J139" i="786"/>
  <c r="H139" i="786"/>
  <c r="G141" i="786" s="1"/>
  <c r="I137" i="786"/>
  <c r="J137" i="786" s="1"/>
  <c r="K137" i="786" s="1"/>
  <c r="H137" i="786"/>
  <c r="K136" i="786"/>
  <c r="J136" i="786"/>
  <c r="I136" i="786"/>
  <c r="H136" i="786"/>
  <c r="K134" i="786"/>
  <c r="J134" i="786"/>
  <c r="I134" i="786"/>
  <c r="H134" i="786"/>
  <c r="I133" i="786"/>
  <c r="J133" i="786" s="1"/>
  <c r="H133" i="786"/>
  <c r="B130" i="786"/>
  <c r="J126" i="786"/>
  <c r="K126" i="786" s="1"/>
  <c r="H126" i="786"/>
  <c r="K125" i="786"/>
  <c r="J125" i="786"/>
  <c r="H125" i="786"/>
  <c r="O123" i="786"/>
  <c r="K123" i="786"/>
  <c r="J123" i="786"/>
  <c r="H123" i="786"/>
  <c r="G124" i="786" s="1"/>
  <c r="K122" i="786"/>
  <c r="J122" i="786"/>
  <c r="H122" i="786"/>
  <c r="O120" i="786"/>
  <c r="J120" i="786"/>
  <c r="K120" i="786" s="1"/>
  <c r="H120" i="786"/>
  <c r="G121" i="786" s="1"/>
  <c r="K118" i="786"/>
  <c r="J118" i="786"/>
  <c r="H118" i="786"/>
  <c r="J117" i="786"/>
  <c r="H117" i="786"/>
  <c r="K117" i="786" s="1"/>
  <c r="J116" i="786"/>
  <c r="H116" i="786"/>
  <c r="K116" i="786" s="1"/>
  <c r="J115" i="786"/>
  <c r="K115" i="786" s="1"/>
  <c r="H115" i="786"/>
  <c r="K114" i="786"/>
  <c r="J114" i="786"/>
  <c r="H114" i="786"/>
  <c r="J113" i="786"/>
  <c r="H113" i="786"/>
  <c r="K113" i="786" s="1"/>
  <c r="J112" i="786"/>
  <c r="G112" i="786"/>
  <c r="H112" i="786" s="1"/>
  <c r="K112" i="786" s="1"/>
  <c r="K111" i="786"/>
  <c r="J111" i="786"/>
  <c r="H111" i="786"/>
  <c r="K110" i="786"/>
  <c r="J110" i="786"/>
  <c r="H110" i="786"/>
  <c r="J109" i="786"/>
  <c r="H109" i="786"/>
  <c r="K109" i="786" s="1"/>
  <c r="J108" i="786"/>
  <c r="H108" i="786"/>
  <c r="K108" i="786" s="1"/>
  <c r="J107" i="786"/>
  <c r="H107" i="786"/>
  <c r="K107" i="786" s="1"/>
  <c r="K106" i="786"/>
  <c r="J106" i="786"/>
  <c r="H106" i="786"/>
  <c r="J105" i="786"/>
  <c r="H105" i="786"/>
  <c r="K105" i="786" s="1"/>
  <c r="J104" i="786"/>
  <c r="H104" i="786"/>
  <c r="K104" i="786" s="1"/>
  <c r="J103" i="786"/>
  <c r="H103" i="786"/>
  <c r="K103" i="786" s="1"/>
  <c r="K102" i="786"/>
  <c r="J102" i="786"/>
  <c r="H102" i="786"/>
  <c r="J101" i="786"/>
  <c r="H101" i="786"/>
  <c r="K101" i="786" s="1"/>
  <c r="B99" i="786"/>
  <c r="J95" i="786"/>
  <c r="H95" i="786"/>
  <c r="K95" i="786" s="1"/>
  <c r="J94" i="786"/>
  <c r="H94" i="786"/>
  <c r="K94" i="786" s="1"/>
  <c r="J93" i="786"/>
  <c r="H93" i="786"/>
  <c r="K93" i="786" s="1"/>
  <c r="K92" i="786"/>
  <c r="J92" i="786"/>
  <c r="H92" i="786"/>
  <c r="J91" i="786"/>
  <c r="H91" i="786"/>
  <c r="K91" i="786" s="1"/>
  <c r="J90" i="786"/>
  <c r="H90" i="786"/>
  <c r="K90" i="786" s="1"/>
  <c r="K89" i="786"/>
  <c r="J89" i="786"/>
  <c r="H89" i="786"/>
  <c r="K88" i="786"/>
  <c r="J88" i="786"/>
  <c r="H88" i="786"/>
  <c r="J87" i="786"/>
  <c r="H87" i="786"/>
  <c r="K87" i="786" s="1"/>
  <c r="J86" i="786"/>
  <c r="H86" i="786"/>
  <c r="K86" i="786" s="1"/>
  <c r="J85" i="786"/>
  <c r="H85" i="786"/>
  <c r="K85" i="786" s="1"/>
  <c r="K84" i="786"/>
  <c r="J84" i="786"/>
  <c r="H84" i="786"/>
  <c r="J83" i="786"/>
  <c r="H83" i="786"/>
  <c r="K83" i="786" s="1"/>
  <c r="J82" i="786"/>
  <c r="H82" i="786"/>
  <c r="K82" i="786" s="1"/>
  <c r="K81" i="786"/>
  <c r="J81" i="786"/>
  <c r="H81" i="786"/>
  <c r="K80" i="786"/>
  <c r="J80" i="786"/>
  <c r="H80" i="786"/>
  <c r="J79" i="786"/>
  <c r="H79" i="786"/>
  <c r="K79" i="786" s="1"/>
  <c r="J78" i="786"/>
  <c r="H78" i="786"/>
  <c r="K78" i="786" s="1"/>
  <c r="J77" i="786"/>
  <c r="H77" i="786"/>
  <c r="K77" i="786" s="1"/>
  <c r="K76" i="786"/>
  <c r="J76" i="786"/>
  <c r="H76" i="786"/>
  <c r="J75" i="786"/>
  <c r="H75" i="786"/>
  <c r="B73" i="786"/>
  <c r="J68" i="786"/>
  <c r="K68" i="786" s="1"/>
  <c r="H68" i="786"/>
  <c r="J67" i="786"/>
  <c r="K67" i="786" s="1"/>
  <c r="H67" i="786"/>
  <c r="K66" i="786"/>
  <c r="J66" i="786"/>
  <c r="H66" i="786"/>
  <c r="J65" i="786"/>
  <c r="H65" i="786"/>
  <c r="K65" i="786" s="1"/>
  <c r="J64" i="786"/>
  <c r="K64" i="786" s="1"/>
  <c r="H64" i="786"/>
  <c r="J63" i="786"/>
  <c r="K63" i="786" s="1"/>
  <c r="H63" i="786"/>
  <c r="K62" i="786"/>
  <c r="J62" i="786"/>
  <c r="H62" i="786"/>
  <c r="J61" i="786"/>
  <c r="H61" i="786"/>
  <c r="B58" i="786"/>
  <c r="J52" i="786"/>
  <c r="H52" i="786"/>
  <c r="K52" i="786" s="1"/>
  <c r="J51" i="786"/>
  <c r="H51" i="786"/>
  <c r="G50" i="786"/>
  <c r="H50" i="786" s="1"/>
  <c r="O49" i="786"/>
  <c r="K49" i="786"/>
  <c r="J49" i="786"/>
  <c r="H49" i="786"/>
  <c r="J48" i="786"/>
  <c r="H48" i="786"/>
  <c r="I47" i="786"/>
  <c r="J47" i="786" s="1"/>
  <c r="H47" i="786"/>
  <c r="G47" i="786"/>
  <c r="O46" i="786"/>
  <c r="K46" i="786"/>
  <c r="J46" i="786"/>
  <c r="H46" i="786"/>
  <c r="J45" i="786"/>
  <c r="H45" i="786"/>
  <c r="B43" i="786"/>
  <c r="O37" i="786"/>
  <c r="J37" i="786"/>
  <c r="H37" i="786"/>
  <c r="G38" i="786" s="1"/>
  <c r="H38" i="786" s="1"/>
  <c r="J36" i="786"/>
  <c r="H36" i="786"/>
  <c r="B34" i="786"/>
  <c r="B17" i="786"/>
  <c r="A17" i="786"/>
  <c r="B16" i="786"/>
  <c r="A16" i="786"/>
  <c r="B15" i="786"/>
  <c r="A15" i="786"/>
  <c r="B14" i="786"/>
  <c r="A14" i="786"/>
  <c r="B13" i="786"/>
  <c r="A13" i="786"/>
  <c r="B12" i="786"/>
  <c r="A12" i="786"/>
  <c r="B418" i="785"/>
  <c r="K416" i="785"/>
  <c r="K414" i="785"/>
  <c r="J414" i="785"/>
  <c r="H414" i="785"/>
  <c r="G415" i="785" s="1"/>
  <c r="I411" i="785"/>
  <c r="J411" i="785" s="1"/>
  <c r="G411" i="785"/>
  <c r="H411" i="785" s="1"/>
  <c r="J410" i="785"/>
  <c r="H410" i="785"/>
  <c r="K410" i="785" s="1"/>
  <c r="J409" i="785"/>
  <c r="H409" i="785"/>
  <c r="K409" i="785" s="1"/>
  <c r="I407" i="785"/>
  <c r="J407" i="785" s="1"/>
  <c r="H407" i="785"/>
  <c r="K407" i="785" s="1"/>
  <c r="J406" i="785"/>
  <c r="K406" i="785" s="1"/>
  <c r="I406" i="785"/>
  <c r="H406" i="785"/>
  <c r="I404" i="785"/>
  <c r="J404" i="785" s="1"/>
  <c r="H404" i="785"/>
  <c r="K404" i="785" s="1"/>
  <c r="I403" i="785"/>
  <c r="J403" i="785" s="1"/>
  <c r="H403" i="785"/>
  <c r="K403" i="785" s="1"/>
  <c r="G403" i="785"/>
  <c r="K399" i="785"/>
  <c r="I399" i="785"/>
  <c r="J399" i="785" s="1"/>
  <c r="H399" i="785"/>
  <c r="J398" i="785"/>
  <c r="I398" i="785"/>
  <c r="H398" i="785"/>
  <c r="K398" i="785" s="1"/>
  <c r="I397" i="785"/>
  <c r="J397" i="785" s="1"/>
  <c r="H397" i="785"/>
  <c r="B394" i="785"/>
  <c r="O382" i="785"/>
  <c r="K382" i="785"/>
  <c r="J382" i="785"/>
  <c r="H382" i="785"/>
  <c r="G383" i="785" s="1"/>
  <c r="E382" i="785"/>
  <c r="J379" i="785"/>
  <c r="H379" i="785"/>
  <c r="G377" i="785"/>
  <c r="H377" i="785" s="1"/>
  <c r="K377" i="785" s="1"/>
  <c r="G376" i="785"/>
  <c r="H376" i="785" s="1"/>
  <c r="K376" i="785" s="1"/>
  <c r="H375" i="785"/>
  <c r="K375" i="785" s="1"/>
  <c r="G375" i="785"/>
  <c r="G374" i="785"/>
  <c r="H374" i="785" s="1"/>
  <c r="K374" i="785" s="1"/>
  <c r="K373" i="785"/>
  <c r="G373" i="785"/>
  <c r="H373" i="785" s="1"/>
  <c r="J372" i="785"/>
  <c r="H372" i="785"/>
  <c r="K372" i="785" s="1"/>
  <c r="G372" i="785"/>
  <c r="J367" i="785"/>
  <c r="I367" i="785"/>
  <c r="H367" i="785"/>
  <c r="K367" i="785" s="1"/>
  <c r="K366" i="785"/>
  <c r="J366" i="785"/>
  <c r="I366" i="785"/>
  <c r="H366" i="785"/>
  <c r="I365" i="785"/>
  <c r="J365" i="785" s="1"/>
  <c r="H365" i="785"/>
  <c r="B362" i="785"/>
  <c r="J360" i="785"/>
  <c r="K360" i="785" s="1"/>
  <c r="H360" i="785"/>
  <c r="K359" i="785"/>
  <c r="J359" i="785"/>
  <c r="H359" i="785"/>
  <c r="O357" i="785"/>
  <c r="K357" i="785"/>
  <c r="J357" i="785"/>
  <c r="H357" i="785"/>
  <c r="G358" i="785" s="1"/>
  <c r="K356" i="785"/>
  <c r="J356" i="785"/>
  <c r="H356" i="785"/>
  <c r="O353" i="785"/>
  <c r="E353" i="785"/>
  <c r="H353" i="785" s="1"/>
  <c r="O352" i="785"/>
  <c r="E352" i="785"/>
  <c r="J352" i="785" s="1"/>
  <c r="J351" i="785"/>
  <c r="H351" i="785"/>
  <c r="K351" i="785" s="1"/>
  <c r="J350" i="785"/>
  <c r="I350" i="785"/>
  <c r="H350" i="785"/>
  <c r="K350" i="785" s="1"/>
  <c r="J349" i="785"/>
  <c r="H349" i="785"/>
  <c r="K349" i="785" s="1"/>
  <c r="J348" i="785"/>
  <c r="H348" i="785"/>
  <c r="K348" i="785" s="1"/>
  <c r="B346" i="785"/>
  <c r="O339" i="785"/>
  <c r="E339" i="785"/>
  <c r="J339" i="785" s="1"/>
  <c r="O336" i="785"/>
  <c r="K335" i="785"/>
  <c r="G334" i="785"/>
  <c r="H334" i="785" s="1"/>
  <c r="J333" i="785"/>
  <c r="H333" i="785"/>
  <c r="K333" i="785" s="1"/>
  <c r="E333" i="785"/>
  <c r="K330" i="785"/>
  <c r="H330" i="785"/>
  <c r="E330" i="785"/>
  <c r="E329" i="785"/>
  <c r="H329" i="785" s="1"/>
  <c r="J328" i="785"/>
  <c r="K328" i="785" s="1"/>
  <c r="H328" i="785"/>
  <c r="J327" i="785"/>
  <c r="K327" i="785" s="1"/>
  <c r="H327" i="785"/>
  <c r="I326" i="785"/>
  <c r="J326" i="785" s="1"/>
  <c r="H326" i="785"/>
  <c r="K326" i="785" s="1"/>
  <c r="J324" i="785"/>
  <c r="H324" i="785"/>
  <c r="B322" i="785"/>
  <c r="E320" i="785"/>
  <c r="J320" i="785" s="1"/>
  <c r="J319" i="785"/>
  <c r="H319" i="785"/>
  <c r="K319" i="785" s="1"/>
  <c r="G318" i="785"/>
  <c r="H318" i="785" s="1"/>
  <c r="O317" i="785"/>
  <c r="J317" i="785"/>
  <c r="H317" i="785"/>
  <c r="K317" i="785" s="1"/>
  <c r="J316" i="785"/>
  <c r="H316" i="785"/>
  <c r="O314" i="785"/>
  <c r="J314" i="785"/>
  <c r="H314" i="785"/>
  <c r="G315" i="785" s="1"/>
  <c r="G312" i="785"/>
  <c r="H312" i="785" s="1"/>
  <c r="J311" i="785"/>
  <c r="H311" i="785"/>
  <c r="K311" i="785" s="1"/>
  <c r="J310" i="785"/>
  <c r="H310" i="785"/>
  <c r="K310" i="785" s="1"/>
  <c r="J309" i="785"/>
  <c r="H309" i="785"/>
  <c r="K309" i="785" s="1"/>
  <c r="K308" i="785"/>
  <c r="J308" i="785"/>
  <c r="H308" i="785"/>
  <c r="J307" i="785"/>
  <c r="H307" i="785"/>
  <c r="K307" i="785" s="1"/>
  <c r="J306" i="785"/>
  <c r="H306" i="785"/>
  <c r="K306" i="785" s="1"/>
  <c r="J305" i="785"/>
  <c r="H305" i="785"/>
  <c r="K305" i="785" s="1"/>
  <c r="K304" i="785"/>
  <c r="J304" i="785"/>
  <c r="H304" i="785"/>
  <c r="J303" i="785"/>
  <c r="H303" i="785"/>
  <c r="K303" i="785" s="1"/>
  <c r="J302" i="785"/>
  <c r="G302" i="785"/>
  <c r="H302" i="785" s="1"/>
  <c r="K302" i="785" s="1"/>
  <c r="J301" i="785"/>
  <c r="H301" i="785"/>
  <c r="K301" i="785" s="1"/>
  <c r="J300" i="785"/>
  <c r="K300" i="785" s="1"/>
  <c r="H300" i="785"/>
  <c r="J299" i="785"/>
  <c r="H299" i="785"/>
  <c r="K299" i="785" s="1"/>
  <c r="J298" i="785"/>
  <c r="H298" i="785"/>
  <c r="K298" i="785" s="1"/>
  <c r="J297" i="785"/>
  <c r="H297" i="785"/>
  <c r="K297" i="785" s="1"/>
  <c r="J296" i="785"/>
  <c r="K296" i="785" s="1"/>
  <c r="H296" i="785"/>
  <c r="J295" i="785"/>
  <c r="H295" i="785"/>
  <c r="K295" i="785" s="1"/>
  <c r="J294" i="785"/>
  <c r="H294" i="785"/>
  <c r="K294" i="785" s="1"/>
  <c r="J293" i="785"/>
  <c r="H293" i="785"/>
  <c r="K293" i="785" s="1"/>
  <c r="J292" i="785"/>
  <c r="K292" i="785" s="1"/>
  <c r="H292" i="785"/>
  <c r="J291" i="785"/>
  <c r="H291" i="785"/>
  <c r="K291" i="785" s="1"/>
  <c r="J290" i="785"/>
  <c r="H290" i="785"/>
  <c r="K290" i="785" s="1"/>
  <c r="I289" i="785"/>
  <c r="J289" i="785" s="1"/>
  <c r="G289" i="785"/>
  <c r="H289" i="785" s="1"/>
  <c r="B287" i="785"/>
  <c r="K281" i="785"/>
  <c r="J281" i="785"/>
  <c r="H281" i="785"/>
  <c r="J280" i="785"/>
  <c r="H280" i="785"/>
  <c r="K280" i="785" s="1"/>
  <c r="J279" i="785"/>
  <c r="H279" i="785"/>
  <c r="K279" i="785" s="1"/>
  <c r="J278" i="785"/>
  <c r="H278" i="785"/>
  <c r="K278" i="785" s="1"/>
  <c r="J277" i="785"/>
  <c r="H277" i="785"/>
  <c r="K277" i="785" s="1"/>
  <c r="J276" i="785"/>
  <c r="H276" i="785"/>
  <c r="K276" i="785" s="1"/>
  <c r="J275" i="785"/>
  <c r="H275" i="785"/>
  <c r="K275" i="785" s="1"/>
  <c r="J274" i="785"/>
  <c r="H274" i="785"/>
  <c r="K274" i="785" s="1"/>
  <c r="J273" i="785"/>
  <c r="H273" i="785"/>
  <c r="K273" i="785" s="1"/>
  <c r="J272" i="785"/>
  <c r="H272" i="785"/>
  <c r="K272" i="785" s="1"/>
  <c r="J271" i="785"/>
  <c r="H271" i="785"/>
  <c r="K271" i="785" s="1"/>
  <c r="J270" i="785"/>
  <c r="H270" i="785"/>
  <c r="K270" i="785" s="1"/>
  <c r="K269" i="785"/>
  <c r="J269" i="785"/>
  <c r="H269" i="785"/>
  <c r="J268" i="785"/>
  <c r="H268" i="785"/>
  <c r="K268" i="785" s="1"/>
  <c r="J267" i="785"/>
  <c r="H267" i="785"/>
  <c r="K267" i="785" s="1"/>
  <c r="J266" i="785"/>
  <c r="H266" i="785"/>
  <c r="K266" i="785" s="1"/>
  <c r="K265" i="785"/>
  <c r="J265" i="785"/>
  <c r="H265" i="785"/>
  <c r="J264" i="785"/>
  <c r="H264" i="785"/>
  <c r="K264" i="785" s="1"/>
  <c r="J263" i="785"/>
  <c r="H263" i="785"/>
  <c r="K263" i="785" s="1"/>
  <c r="J262" i="785"/>
  <c r="H262" i="785"/>
  <c r="K262" i="785" s="1"/>
  <c r="J261" i="785"/>
  <c r="H261" i="785"/>
  <c r="B259" i="785"/>
  <c r="G254" i="785"/>
  <c r="I253" i="785"/>
  <c r="J253" i="785" s="1"/>
  <c r="G253" i="785"/>
  <c r="H253" i="785" s="1"/>
  <c r="B250" i="785"/>
  <c r="J244" i="785"/>
  <c r="H244" i="785"/>
  <c r="K244" i="785" s="1"/>
  <c r="K243" i="785"/>
  <c r="J243" i="785"/>
  <c r="H243" i="785"/>
  <c r="J242" i="785"/>
  <c r="H242" i="785"/>
  <c r="K242" i="785" s="1"/>
  <c r="J241" i="785"/>
  <c r="H241" i="785"/>
  <c r="K241" i="785" s="1"/>
  <c r="J240" i="785"/>
  <c r="H240" i="785"/>
  <c r="K240" i="785" s="1"/>
  <c r="J239" i="785"/>
  <c r="H239" i="785"/>
  <c r="K239" i="785" s="1"/>
  <c r="J238" i="785"/>
  <c r="H238" i="785"/>
  <c r="K238" i="785" s="1"/>
  <c r="J237" i="785"/>
  <c r="H237" i="785"/>
  <c r="K237" i="785" s="1"/>
  <c r="J236" i="785"/>
  <c r="J250" i="785" s="1"/>
  <c r="J17" i="785" s="1"/>
  <c r="H236" i="785"/>
  <c r="B233" i="785"/>
  <c r="K231" i="785"/>
  <c r="J228" i="785"/>
  <c r="H228" i="785"/>
  <c r="K228" i="785" s="1"/>
  <c r="J227" i="785"/>
  <c r="H227" i="785"/>
  <c r="G226" i="785"/>
  <c r="H226" i="785" s="1"/>
  <c r="O225" i="785"/>
  <c r="J225" i="785"/>
  <c r="H225" i="785"/>
  <c r="K225" i="785" s="1"/>
  <c r="O224" i="785"/>
  <c r="K224" i="785"/>
  <c r="J224" i="785"/>
  <c r="H224" i="785"/>
  <c r="J223" i="785"/>
  <c r="H223" i="785"/>
  <c r="O221" i="785"/>
  <c r="J221" i="785"/>
  <c r="K221" i="785" s="1"/>
  <c r="H221" i="785"/>
  <c r="O220" i="785"/>
  <c r="J220" i="785"/>
  <c r="K220" i="785" s="1"/>
  <c r="H220" i="785"/>
  <c r="O219" i="785"/>
  <c r="J219" i="785"/>
  <c r="H219" i="785"/>
  <c r="K219" i="785" s="1"/>
  <c r="O218" i="785"/>
  <c r="J218" i="785"/>
  <c r="K218" i="785" s="1"/>
  <c r="H218" i="785"/>
  <c r="G222" i="785" s="1"/>
  <c r="J217" i="785"/>
  <c r="H217" i="785"/>
  <c r="B215" i="785"/>
  <c r="K214" i="785"/>
  <c r="K213" i="785"/>
  <c r="J210" i="785"/>
  <c r="K210" i="785" s="1"/>
  <c r="H210" i="785"/>
  <c r="J209" i="785"/>
  <c r="H209" i="785"/>
  <c r="O208" i="785"/>
  <c r="J208" i="785"/>
  <c r="H208" i="785"/>
  <c r="K208" i="785" s="1"/>
  <c r="O207" i="785"/>
  <c r="J207" i="785"/>
  <c r="H207" i="785"/>
  <c r="K207" i="785" s="1"/>
  <c r="O206" i="785"/>
  <c r="J206" i="785"/>
  <c r="H206" i="785"/>
  <c r="O205" i="785"/>
  <c r="J205" i="785"/>
  <c r="H205" i="785"/>
  <c r="K205" i="785" s="1"/>
  <c r="B202" i="785"/>
  <c r="K201" i="785"/>
  <c r="H201" i="785"/>
  <c r="K200" i="785"/>
  <c r="H200" i="785"/>
  <c r="H199" i="785"/>
  <c r="K199" i="785" s="1"/>
  <c r="H198" i="785"/>
  <c r="K198" i="785" s="1"/>
  <c r="K197" i="785"/>
  <c r="J197" i="785"/>
  <c r="H197" i="785"/>
  <c r="K196" i="785"/>
  <c r="H196" i="785"/>
  <c r="H195" i="785"/>
  <c r="K195" i="785" s="1"/>
  <c r="K194" i="785"/>
  <c r="H194" i="785"/>
  <c r="K193" i="785"/>
  <c r="H193" i="785"/>
  <c r="J192" i="785"/>
  <c r="K192" i="785" s="1"/>
  <c r="H192" i="785"/>
  <c r="H190" i="785"/>
  <c r="K190" i="785" s="1"/>
  <c r="K189" i="785"/>
  <c r="H189" i="785"/>
  <c r="K188" i="785"/>
  <c r="H188" i="785"/>
  <c r="H187" i="785"/>
  <c r="K187" i="785" s="1"/>
  <c r="J186" i="785"/>
  <c r="H186" i="785"/>
  <c r="K186" i="785" s="1"/>
  <c r="H185" i="785"/>
  <c r="K185" i="785" s="1"/>
  <c r="K184" i="785"/>
  <c r="H184" i="785"/>
  <c r="H183" i="785"/>
  <c r="K183" i="785" s="1"/>
  <c r="K182" i="785"/>
  <c r="H182" i="785"/>
  <c r="J181" i="785"/>
  <c r="J202" i="785" s="1"/>
  <c r="J14" i="785" s="1"/>
  <c r="H181" i="785"/>
  <c r="K181" i="785" s="1"/>
  <c r="B178" i="785"/>
  <c r="K177" i="785"/>
  <c r="I177" i="785"/>
  <c r="J177" i="785" s="1"/>
  <c r="H177" i="785"/>
  <c r="H176" i="785"/>
  <c r="K176" i="785" s="1"/>
  <c r="H175" i="785"/>
  <c r="K175" i="785" s="1"/>
  <c r="K174" i="785"/>
  <c r="H174" i="785"/>
  <c r="H173" i="785"/>
  <c r="K173" i="785" s="1"/>
  <c r="K172" i="785"/>
  <c r="H172" i="785"/>
  <c r="K171" i="785"/>
  <c r="H171" i="785"/>
  <c r="H170" i="785"/>
  <c r="K170" i="785" s="1"/>
  <c r="H169" i="785"/>
  <c r="K169" i="785" s="1"/>
  <c r="K168" i="785"/>
  <c r="H168" i="785"/>
  <c r="H167" i="785"/>
  <c r="K167" i="785" s="1"/>
  <c r="K166" i="785"/>
  <c r="H166" i="785"/>
  <c r="K165" i="785"/>
  <c r="H165" i="785"/>
  <c r="H164" i="785"/>
  <c r="K164" i="785" s="1"/>
  <c r="H163" i="785"/>
  <c r="K163" i="785" s="1"/>
  <c r="K162" i="785"/>
  <c r="H162" i="785"/>
  <c r="H161" i="785"/>
  <c r="K161" i="785" s="1"/>
  <c r="K160" i="785"/>
  <c r="H160" i="785"/>
  <c r="K159" i="785"/>
  <c r="H159" i="785"/>
  <c r="H158" i="785"/>
  <c r="K158" i="785" s="1"/>
  <c r="H157" i="785"/>
  <c r="K157" i="785" s="1"/>
  <c r="K156" i="785"/>
  <c r="K155" i="785"/>
  <c r="J153" i="785"/>
  <c r="I153" i="785"/>
  <c r="H153" i="785"/>
  <c r="K153" i="785" s="1"/>
  <c r="K152" i="785"/>
  <c r="H152" i="785"/>
  <c r="H151" i="785"/>
  <c r="K151" i="785" s="1"/>
  <c r="H150" i="785"/>
  <c r="K150" i="785" s="1"/>
  <c r="K149" i="785"/>
  <c r="H149" i="785"/>
  <c r="H148" i="785"/>
  <c r="K148" i="785" s="1"/>
  <c r="K147" i="785"/>
  <c r="H147" i="785"/>
  <c r="K146" i="785"/>
  <c r="H146" i="785"/>
  <c r="H145" i="785"/>
  <c r="K145" i="785" s="1"/>
  <c r="H144" i="785"/>
  <c r="K144" i="785" s="1"/>
  <c r="K143" i="785"/>
  <c r="H143" i="785"/>
  <c r="H142" i="785"/>
  <c r="K142" i="785" s="1"/>
  <c r="K141" i="785"/>
  <c r="H141" i="785"/>
  <c r="K140" i="785"/>
  <c r="H140" i="785"/>
  <c r="H139" i="785"/>
  <c r="K139" i="785" s="1"/>
  <c r="H138" i="785"/>
  <c r="K138" i="785" s="1"/>
  <c r="K137" i="785"/>
  <c r="H137" i="785"/>
  <c r="H136" i="785"/>
  <c r="K136" i="785" s="1"/>
  <c r="K135" i="785"/>
  <c r="H135" i="785"/>
  <c r="K134" i="785"/>
  <c r="H134" i="785"/>
  <c r="H133" i="785"/>
  <c r="K133" i="785" s="1"/>
  <c r="K132" i="785"/>
  <c r="K131" i="785"/>
  <c r="I130" i="785"/>
  <c r="J130" i="785" s="1"/>
  <c r="H130" i="785"/>
  <c r="K130" i="785" s="1"/>
  <c r="K129" i="785"/>
  <c r="H129" i="785"/>
  <c r="K128" i="785"/>
  <c r="H128" i="785"/>
  <c r="H127" i="785"/>
  <c r="K127" i="785" s="1"/>
  <c r="H126" i="785"/>
  <c r="K126" i="785" s="1"/>
  <c r="K125" i="785"/>
  <c r="H124" i="785"/>
  <c r="K124" i="785" s="1"/>
  <c r="H123" i="785"/>
  <c r="K123" i="785" s="1"/>
  <c r="H122" i="785"/>
  <c r="K122" i="785" s="1"/>
  <c r="K121" i="785"/>
  <c r="H121" i="785"/>
  <c r="K120" i="785"/>
  <c r="H120" i="785"/>
  <c r="H119" i="785"/>
  <c r="K119" i="785" s="1"/>
  <c r="H118" i="785"/>
  <c r="K118" i="785" s="1"/>
  <c r="K117" i="785"/>
  <c r="H117" i="785"/>
  <c r="H116" i="785"/>
  <c r="K116" i="785" s="1"/>
  <c r="K115" i="785"/>
  <c r="H115" i="785"/>
  <c r="K114" i="785"/>
  <c r="H114" i="785"/>
  <c r="H113" i="785"/>
  <c r="K113" i="785" s="1"/>
  <c r="H112" i="785"/>
  <c r="K112" i="785" s="1"/>
  <c r="K111" i="785"/>
  <c r="H111" i="785"/>
  <c r="H110" i="785"/>
  <c r="K110" i="785" s="1"/>
  <c r="K109" i="785"/>
  <c r="H109" i="785"/>
  <c r="K108" i="785"/>
  <c r="K107" i="785"/>
  <c r="J106" i="785"/>
  <c r="J178" i="785" s="1"/>
  <c r="J13" i="785" s="1"/>
  <c r="I106" i="785"/>
  <c r="H106" i="785"/>
  <c r="K106" i="785" s="1"/>
  <c r="H105" i="785"/>
  <c r="K105" i="785" s="1"/>
  <c r="H104" i="785"/>
  <c r="K104" i="785" s="1"/>
  <c r="K103" i="785"/>
  <c r="H103" i="785"/>
  <c r="K102" i="785"/>
  <c r="H102" i="785"/>
  <c r="K101" i="785"/>
  <c r="K100" i="785"/>
  <c r="H100" i="785"/>
  <c r="H99" i="785"/>
  <c r="K99" i="785" s="1"/>
  <c r="K98" i="785"/>
  <c r="H98" i="785"/>
  <c r="K97" i="785"/>
  <c r="H97" i="785"/>
  <c r="H96" i="785"/>
  <c r="K96" i="785" s="1"/>
  <c r="H95" i="785"/>
  <c r="K95" i="785" s="1"/>
  <c r="K94" i="785"/>
  <c r="H94" i="785"/>
  <c r="H93" i="785"/>
  <c r="K93" i="785" s="1"/>
  <c r="K92" i="785"/>
  <c r="H92" i="785"/>
  <c r="K91" i="785"/>
  <c r="H91" i="785"/>
  <c r="H90" i="785"/>
  <c r="K90" i="785" s="1"/>
  <c r="H89" i="785"/>
  <c r="K89" i="785" s="1"/>
  <c r="K88" i="785"/>
  <c r="H88" i="785"/>
  <c r="H87" i="785"/>
  <c r="K87" i="785" s="1"/>
  <c r="K86" i="785"/>
  <c r="H86" i="785"/>
  <c r="K85" i="785"/>
  <c r="K84" i="785"/>
  <c r="B82" i="785"/>
  <c r="I74" i="785"/>
  <c r="J74" i="785" s="1"/>
  <c r="H74" i="785"/>
  <c r="K74" i="785" s="1"/>
  <c r="K73" i="785"/>
  <c r="H73" i="785"/>
  <c r="K72" i="785"/>
  <c r="H72" i="785"/>
  <c r="H71" i="785"/>
  <c r="K71" i="785" s="1"/>
  <c r="H70" i="785"/>
  <c r="K70" i="785" s="1"/>
  <c r="K69" i="785"/>
  <c r="H69" i="785"/>
  <c r="H68" i="785"/>
  <c r="K68" i="785" s="1"/>
  <c r="K67" i="785"/>
  <c r="H67" i="785"/>
  <c r="K66" i="785"/>
  <c r="H66" i="785"/>
  <c r="H65" i="785"/>
  <c r="K65" i="785" s="1"/>
  <c r="H64" i="785"/>
  <c r="K64" i="785" s="1"/>
  <c r="K63" i="785"/>
  <c r="H63" i="785"/>
  <c r="H62" i="785"/>
  <c r="K62" i="785" s="1"/>
  <c r="K61" i="785"/>
  <c r="H61" i="785"/>
  <c r="K60" i="785"/>
  <c r="H60" i="785"/>
  <c r="H59" i="785"/>
  <c r="K59" i="785" s="1"/>
  <c r="H58" i="785"/>
  <c r="K58" i="785" s="1"/>
  <c r="K57" i="785"/>
  <c r="H57" i="785"/>
  <c r="J54" i="785"/>
  <c r="J82" i="785" s="1"/>
  <c r="J12" i="785" s="1"/>
  <c r="I54" i="785"/>
  <c r="H54" i="785"/>
  <c r="K54" i="785" s="1"/>
  <c r="K53" i="785"/>
  <c r="H53" i="785"/>
  <c r="H52" i="785"/>
  <c r="K52" i="785" s="1"/>
  <c r="H51" i="785"/>
  <c r="K51" i="785" s="1"/>
  <c r="K50" i="785"/>
  <c r="H50" i="785"/>
  <c r="H49" i="785"/>
  <c r="K49" i="785" s="1"/>
  <c r="K48" i="785"/>
  <c r="H48" i="785"/>
  <c r="K47" i="785"/>
  <c r="H47" i="785"/>
  <c r="H46" i="785"/>
  <c r="K46" i="785" s="1"/>
  <c r="H45" i="785"/>
  <c r="K45" i="785" s="1"/>
  <c r="K44" i="785"/>
  <c r="H44" i="785"/>
  <c r="H43" i="785"/>
  <c r="K43" i="785" s="1"/>
  <c r="K42" i="785"/>
  <c r="H42" i="785"/>
  <c r="K41" i="785"/>
  <c r="H41" i="785"/>
  <c r="H40" i="785"/>
  <c r="K40" i="785" s="1"/>
  <c r="H39" i="785"/>
  <c r="K39" i="785" s="1"/>
  <c r="K38" i="785"/>
  <c r="H38" i="785"/>
  <c r="H82" i="785" s="1"/>
  <c r="H12" i="785" s="1"/>
  <c r="B34" i="785"/>
  <c r="B24" i="785"/>
  <c r="A24" i="785"/>
  <c r="B23" i="785"/>
  <c r="A23" i="785"/>
  <c r="B22" i="785"/>
  <c r="A22" i="785"/>
  <c r="B21" i="785"/>
  <c r="A21" i="785"/>
  <c r="B20" i="785"/>
  <c r="A20" i="785"/>
  <c r="B19" i="785"/>
  <c r="A19" i="785"/>
  <c r="B18" i="785"/>
  <c r="A18" i="785"/>
  <c r="B17" i="785"/>
  <c r="A17" i="785"/>
  <c r="B16" i="785"/>
  <c r="A16" i="785"/>
  <c r="B15" i="785"/>
  <c r="A15" i="785"/>
  <c r="B14" i="785"/>
  <c r="A14" i="785"/>
  <c r="B13" i="785"/>
  <c r="A13" i="785"/>
  <c r="B12" i="785"/>
  <c r="A12" i="785"/>
  <c r="B466" i="784"/>
  <c r="O459" i="784"/>
  <c r="E459" i="784"/>
  <c r="J459" i="784" s="1"/>
  <c r="J456" i="784"/>
  <c r="H456" i="784"/>
  <c r="K456" i="784" s="1"/>
  <c r="K454" i="784"/>
  <c r="J454" i="784"/>
  <c r="H454" i="784"/>
  <c r="J453" i="784"/>
  <c r="H453" i="784"/>
  <c r="K453" i="784" s="1"/>
  <c r="B451" i="784"/>
  <c r="I445" i="784"/>
  <c r="J445" i="784" s="1"/>
  <c r="G445" i="784"/>
  <c r="H445" i="784" s="1"/>
  <c r="J444" i="784"/>
  <c r="H444" i="784"/>
  <c r="K444" i="784" s="1"/>
  <c r="J439" i="784"/>
  <c r="K439" i="784" s="1"/>
  <c r="H439" i="784"/>
  <c r="G440" i="784" s="1"/>
  <c r="K438" i="784"/>
  <c r="J438" i="784"/>
  <c r="H438" i="784"/>
  <c r="I436" i="784"/>
  <c r="J436" i="784" s="1"/>
  <c r="H436" i="784"/>
  <c r="I435" i="784"/>
  <c r="J435" i="784" s="1"/>
  <c r="H435" i="784"/>
  <c r="J433" i="784"/>
  <c r="K433" i="784" s="1"/>
  <c r="I433" i="784"/>
  <c r="H433" i="784"/>
  <c r="I432" i="784"/>
  <c r="J432" i="784" s="1"/>
  <c r="H432" i="784"/>
  <c r="K432" i="784" s="1"/>
  <c r="G432" i="784"/>
  <c r="I428" i="784"/>
  <c r="J428" i="784" s="1"/>
  <c r="H428" i="784"/>
  <c r="K427" i="784"/>
  <c r="J427" i="784"/>
  <c r="I427" i="784"/>
  <c r="H427" i="784"/>
  <c r="I426" i="784"/>
  <c r="J426" i="784" s="1"/>
  <c r="H426" i="784"/>
  <c r="B423" i="784"/>
  <c r="O420" i="784"/>
  <c r="E420" i="784"/>
  <c r="J417" i="784"/>
  <c r="H417" i="784"/>
  <c r="G418" i="784" s="1"/>
  <c r="H418" i="784" s="1"/>
  <c r="G415" i="784"/>
  <c r="H415" i="784" s="1"/>
  <c r="K415" i="784" s="1"/>
  <c r="H414" i="784"/>
  <c r="G414" i="784"/>
  <c r="K413" i="784"/>
  <c r="H413" i="784"/>
  <c r="G413" i="784"/>
  <c r="G412" i="784"/>
  <c r="H412" i="784" s="1"/>
  <c r="K412" i="784" s="1"/>
  <c r="G411" i="784"/>
  <c r="H411" i="784" s="1"/>
  <c r="K411" i="784" s="1"/>
  <c r="J410" i="784"/>
  <c r="G410" i="784"/>
  <c r="H410" i="784" s="1"/>
  <c r="K410" i="784" s="1"/>
  <c r="I406" i="784"/>
  <c r="J406" i="784" s="1"/>
  <c r="K406" i="784" s="1"/>
  <c r="H406" i="784"/>
  <c r="J405" i="784"/>
  <c r="K405" i="784" s="1"/>
  <c r="I405" i="784"/>
  <c r="H405" i="784"/>
  <c r="J404" i="784"/>
  <c r="K404" i="784" s="1"/>
  <c r="I404" i="784"/>
  <c r="H404" i="784"/>
  <c r="B401" i="784"/>
  <c r="J399" i="784"/>
  <c r="K399" i="784" s="1"/>
  <c r="H399" i="784"/>
  <c r="J398" i="784"/>
  <c r="H398" i="784"/>
  <c r="O396" i="784"/>
  <c r="J396" i="784"/>
  <c r="H396" i="784"/>
  <c r="G397" i="784" s="1"/>
  <c r="J395" i="784"/>
  <c r="H395" i="784"/>
  <c r="K395" i="784" s="1"/>
  <c r="O392" i="784"/>
  <c r="J392" i="784"/>
  <c r="E392" i="784"/>
  <c r="H392" i="784" s="1"/>
  <c r="K392" i="784" s="1"/>
  <c r="O391" i="784"/>
  <c r="J391" i="784"/>
  <c r="H391" i="784"/>
  <c r="E391" i="784"/>
  <c r="J390" i="784"/>
  <c r="H390" i="784"/>
  <c r="K390" i="784" s="1"/>
  <c r="J389" i="784"/>
  <c r="I389" i="784"/>
  <c r="H389" i="784"/>
  <c r="K389" i="784" s="1"/>
  <c r="J388" i="784"/>
  <c r="K388" i="784" s="1"/>
  <c r="H388" i="784"/>
  <c r="K387" i="784"/>
  <c r="J387" i="784"/>
  <c r="H387" i="784"/>
  <c r="B385" i="784"/>
  <c r="I380" i="784"/>
  <c r="J380" i="784" s="1"/>
  <c r="H380" i="784"/>
  <c r="K380" i="784" s="1"/>
  <c r="G380" i="784"/>
  <c r="O379" i="784"/>
  <c r="H379" i="784"/>
  <c r="K379" i="784" s="1"/>
  <c r="E379" i="784"/>
  <c r="J379" i="784" s="1"/>
  <c r="O376" i="784"/>
  <c r="J376" i="784"/>
  <c r="J373" i="784"/>
  <c r="H373" i="784"/>
  <c r="E373" i="784"/>
  <c r="E376" i="784" s="1"/>
  <c r="H376" i="784" s="1"/>
  <c r="G377" i="784" s="1"/>
  <c r="K370" i="784"/>
  <c r="H370" i="784"/>
  <c r="E370" i="784"/>
  <c r="E369" i="784"/>
  <c r="H369" i="784" s="1"/>
  <c r="K369" i="784" s="1"/>
  <c r="K368" i="784"/>
  <c r="J368" i="784"/>
  <c r="H368" i="784"/>
  <c r="J367" i="784"/>
  <c r="K367" i="784" s="1"/>
  <c r="H367" i="784"/>
  <c r="I366" i="784"/>
  <c r="J366" i="784" s="1"/>
  <c r="K366" i="784" s="1"/>
  <c r="H366" i="784"/>
  <c r="J364" i="784"/>
  <c r="H364" i="784"/>
  <c r="B362" i="784"/>
  <c r="K355" i="784"/>
  <c r="J355" i="784"/>
  <c r="H355" i="784"/>
  <c r="J354" i="784"/>
  <c r="K354" i="784" s="1"/>
  <c r="H354" i="784"/>
  <c r="G353" i="784"/>
  <c r="O352" i="784"/>
  <c r="J352" i="784"/>
  <c r="K352" i="784" s="1"/>
  <c r="H352" i="784"/>
  <c r="J351" i="784"/>
  <c r="H351" i="784"/>
  <c r="K351" i="784" s="1"/>
  <c r="G350" i="784"/>
  <c r="O349" i="784"/>
  <c r="J349" i="784"/>
  <c r="K349" i="784" s="1"/>
  <c r="H349" i="784"/>
  <c r="G347" i="784"/>
  <c r="J346" i="784"/>
  <c r="H346" i="784"/>
  <c r="K346" i="784" s="1"/>
  <c r="J345" i="784"/>
  <c r="H345" i="784"/>
  <c r="K345" i="784" s="1"/>
  <c r="K344" i="784"/>
  <c r="J344" i="784"/>
  <c r="H344" i="784"/>
  <c r="J343" i="784"/>
  <c r="H343" i="784"/>
  <c r="K343" i="784" s="1"/>
  <c r="J342" i="784"/>
  <c r="H342" i="784"/>
  <c r="K342" i="784" s="1"/>
  <c r="J341" i="784"/>
  <c r="H341" i="784"/>
  <c r="K341" i="784" s="1"/>
  <c r="J340" i="784"/>
  <c r="H340" i="784"/>
  <c r="K340" i="784" s="1"/>
  <c r="J339" i="784"/>
  <c r="H339" i="784"/>
  <c r="K339" i="784" s="1"/>
  <c r="J338" i="784"/>
  <c r="H338" i="784"/>
  <c r="J337" i="784"/>
  <c r="H337" i="784"/>
  <c r="K337" i="784" s="1"/>
  <c r="G337" i="784"/>
  <c r="J336" i="784"/>
  <c r="H336" i="784"/>
  <c r="K336" i="784" s="1"/>
  <c r="K335" i="784"/>
  <c r="J335" i="784"/>
  <c r="H335" i="784"/>
  <c r="J334" i="784"/>
  <c r="K334" i="784" s="1"/>
  <c r="H334" i="784"/>
  <c r="J333" i="784"/>
  <c r="K333" i="784" s="1"/>
  <c r="H333" i="784"/>
  <c r="J332" i="784"/>
  <c r="H332" i="784"/>
  <c r="K332" i="784" s="1"/>
  <c r="J331" i="784"/>
  <c r="H331" i="784"/>
  <c r="K331" i="784" s="1"/>
  <c r="J330" i="784"/>
  <c r="H330" i="784"/>
  <c r="K330" i="784" s="1"/>
  <c r="J329" i="784"/>
  <c r="K329" i="784" s="1"/>
  <c r="H329" i="784"/>
  <c r="J328" i="784"/>
  <c r="H328" i="784"/>
  <c r="K328" i="784" s="1"/>
  <c r="J327" i="784"/>
  <c r="H327" i="784"/>
  <c r="K327" i="784" s="1"/>
  <c r="J326" i="784"/>
  <c r="H326" i="784"/>
  <c r="K326" i="784" s="1"/>
  <c r="K325" i="784"/>
  <c r="J325" i="784"/>
  <c r="H325" i="784"/>
  <c r="G324" i="784"/>
  <c r="I324" i="784" s="1"/>
  <c r="J324" i="784" s="1"/>
  <c r="B322" i="784"/>
  <c r="J314" i="784"/>
  <c r="H314" i="784"/>
  <c r="K314" i="784" s="1"/>
  <c r="J313" i="784"/>
  <c r="H313" i="784"/>
  <c r="K313" i="784" s="1"/>
  <c r="K312" i="784"/>
  <c r="J312" i="784"/>
  <c r="H312" i="784"/>
  <c r="J311" i="784"/>
  <c r="H311" i="784"/>
  <c r="K311" i="784" s="1"/>
  <c r="J310" i="784"/>
  <c r="H310" i="784"/>
  <c r="K309" i="784"/>
  <c r="J309" i="784"/>
  <c r="H309" i="784"/>
  <c r="J308" i="784"/>
  <c r="H308" i="784"/>
  <c r="K308" i="784" s="1"/>
  <c r="J307" i="784"/>
  <c r="H307" i="784"/>
  <c r="K307" i="784" s="1"/>
  <c r="J306" i="784"/>
  <c r="H306" i="784"/>
  <c r="J305" i="784"/>
  <c r="H305" i="784"/>
  <c r="J304" i="784"/>
  <c r="H304" i="784"/>
  <c r="K304" i="784" s="1"/>
  <c r="K303" i="784"/>
  <c r="J303" i="784"/>
  <c r="H303" i="784"/>
  <c r="J302" i="784"/>
  <c r="H302" i="784"/>
  <c r="K302" i="784" s="1"/>
  <c r="J301" i="784"/>
  <c r="H301" i="784"/>
  <c r="K301" i="784" s="1"/>
  <c r="K300" i="784"/>
  <c r="J300" i="784"/>
  <c r="H300" i="784"/>
  <c r="K299" i="784"/>
  <c r="J299" i="784"/>
  <c r="H299" i="784"/>
  <c r="J298" i="784"/>
  <c r="H298" i="784"/>
  <c r="K297" i="784"/>
  <c r="J297" i="784"/>
  <c r="H297" i="784"/>
  <c r="J296" i="784"/>
  <c r="K296" i="784" s="1"/>
  <c r="H296" i="784"/>
  <c r="J295" i="784"/>
  <c r="H295" i="784"/>
  <c r="K295" i="784" s="1"/>
  <c r="J294" i="784"/>
  <c r="H294" i="784"/>
  <c r="M293" i="784"/>
  <c r="N293" i="784" s="1"/>
  <c r="H292" i="784"/>
  <c r="H18" i="784" s="1"/>
  <c r="B292" i="784"/>
  <c r="I287" i="784"/>
  <c r="J287" i="784" s="1"/>
  <c r="H287" i="784"/>
  <c r="K287" i="784" s="1"/>
  <c r="G287" i="784"/>
  <c r="I286" i="784"/>
  <c r="J286" i="784" s="1"/>
  <c r="H286" i="784"/>
  <c r="G286" i="784"/>
  <c r="J283" i="784"/>
  <c r="J17" i="784" s="1"/>
  <c r="B283" i="784"/>
  <c r="J278" i="784"/>
  <c r="K278" i="784" s="1"/>
  <c r="H278" i="784"/>
  <c r="J277" i="784"/>
  <c r="H277" i="784"/>
  <c r="K277" i="784" s="1"/>
  <c r="J276" i="784"/>
  <c r="H276" i="784"/>
  <c r="K276" i="784" s="1"/>
  <c r="N275" i="784"/>
  <c r="M275" i="784"/>
  <c r="J275" i="784"/>
  <c r="H275" i="784"/>
  <c r="K275" i="784" s="1"/>
  <c r="J274" i="784"/>
  <c r="H274" i="784"/>
  <c r="K274" i="784" s="1"/>
  <c r="K273" i="784"/>
  <c r="J273" i="784"/>
  <c r="H273" i="784"/>
  <c r="N272" i="784"/>
  <c r="M272" i="784"/>
  <c r="J272" i="784"/>
  <c r="H272" i="784"/>
  <c r="K272" i="784" s="1"/>
  <c r="N271" i="784"/>
  <c r="M271" i="784"/>
  <c r="J271" i="784"/>
  <c r="H271" i="784"/>
  <c r="K271" i="784" s="1"/>
  <c r="J270" i="784"/>
  <c r="H270" i="784"/>
  <c r="K270" i="784" s="1"/>
  <c r="N269" i="784"/>
  <c r="M269" i="784"/>
  <c r="J269" i="784"/>
  <c r="H269" i="784"/>
  <c r="K269" i="784" s="1"/>
  <c r="B266" i="784"/>
  <c r="N263" i="784"/>
  <c r="M263" i="784"/>
  <c r="J263" i="784"/>
  <c r="K263" i="784" s="1"/>
  <c r="H263" i="784"/>
  <c r="J262" i="784"/>
  <c r="H262" i="784"/>
  <c r="O260" i="784"/>
  <c r="J260" i="784"/>
  <c r="H260" i="784"/>
  <c r="K260" i="784" s="1"/>
  <c r="O259" i="784"/>
  <c r="J259" i="784"/>
  <c r="H259" i="784"/>
  <c r="K259" i="784" s="1"/>
  <c r="J258" i="784"/>
  <c r="H258" i="784"/>
  <c r="G257" i="784"/>
  <c r="O256" i="784"/>
  <c r="J256" i="784"/>
  <c r="H256" i="784"/>
  <c r="K256" i="784" s="1"/>
  <c r="O255" i="784"/>
  <c r="J255" i="784"/>
  <c r="H255" i="784"/>
  <c r="K255" i="784" s="1"/>
  <c r="O254" i="784"/>
  <c r="J254" i="784"/>
  <c r="H254" i="784"/>
  <c r="K254" i="784" s="1"/>
  <c r="O253" i="784"/>
  <c r="J253" i="784"/>
  <c r="H253" i="784"/>
  <c r="J252" i="784"/>
  <c r="H252" i="784"/>
  <c r="B250" i="784"/>
  <c r="I249" i="784"/>
  <c r="J249" i="784" s="1"/>
  <c r="J248" i="784"/>
  <c r="K248" i="784" s="1"/>
  <c r="H248" i="784"/>
  <c r="N247" i="784"/>
  <c r="M247" i="784"/>
  <c r="K247" i="784"/>
  <c r="J247" i="784"/>
  <c r="H247" i="784"/>
  <c r="J246" i="784"/>
  <c r="H246" i="784"/>
  <c r="O245" i="784"/>
  <c r="J245" i="784"/>
  <c r="H245" i="784"/>
  <c r="K245" i="784" s="1"/>
  <c r="O244" i="784"/>
  <c r="J244" i="784"/>
  <c r="H244" i="784"/>
  <c r="K244" i="784" s="1"/>
  <c r="O243" i="784"/>
  <c r="J243" i="784"/>
  <c r="H243" i="784"/>
  <c r="O242" i="784"/>
  <c r="J242" i="784"/>
  <c r="H242" i="784"/>
  <c r="G249" i="784" s="1"/>
  <c r="H249" i="784" s="1"/>
  <c r="B239" i="784"/>
  <c r="K238" i="784"/>
  <c r="K237" i="784"/>
  <c r="H236" i="784"/>
  <c r="K236" i="784" s="1"/>
  <c r="H235" i="784"/>
  <c r="K235" i="784" s="1"/>
  <c r="H234" i="784"/>
  <c r="K234" i="784" s="1"/>
  <c r="H233" i="784"/>
  <c r="K233" i="784" s="1"/>
  <c r="K232" i="784"/>
  <c r="K231" i="784"/>
  <c r="H231" i="784"/>
  <c r="H230" i="784"/>
  <c r="K230" i="784" s="1"/>
  <c r="K229" i="784"/>
  <c r="H229" i="784"/>
  <c r="H228" i="784"/>
  <c r="K228" i="784" s="1"/>
  <c r="K227" i="784"/>
  <c r="H225" i="784"/>
  <c r="K225" i="784" s="1"/>
  <c r="H224" i="784"/>
  <c r="K224" i="784" s="1"/>
  <c r="K223" i="784"/>
  <c r="H223" i="784"/>
  <c r="H222" i="784"/>
  <c r="K222" i="784" s="1"/>
  <c r="K221" i="784"/>
  <c r="K220" i="784"/>
  <c r="H219" i="784"/>
  <c r="K219" i="784" s="1"/>
  <c r="H218" i="784"/>
  <c r="K218" i="784" s="1"/>
  <c r="H217" i="784"/>
  <c r="K217" i="784" s="1"/>
  <c r="J216" i="784"/>
  <c r="H216" i="784"/>
  <c r="K216" i="784" s="1"/>
  <c r="K215" i="784"/>
  <c r="H215" i="784"/>
  <c r="K214" i="784"/>
  <c r="H213" i="784"/>
  <c r="K213" i="784" s="1"/>
  <c r="H212" i="784"/>
  <c r="K212" i="784" s="1"/>
  <c r="J211" i="784"/>
  <c r="J239" i="784" s="1"/>
  <c r="J14" i="784" s="1"/>
  <c r="H211" i="784"/>
  <c r="B208" i="784"/>
  <c r="I203" i="784"/>
  <c r="J203" i="784" s="1"/>
  <c r="K203" i="784" s="1"/>
  <c r="H203" i="784"/>
  <c r="K201" i="784"/>
  <c r="H201" i="784"/>
  <c r="K200" i="784"/>
  <c r="H200" i="784"/>
  <c r="H199" i="784"/>
  <c r="K199" i="784" s="1"/>
  <c r="K198" i="784"/>
  <c r="H198" i="784"/>
  <c r="H197" i="784"/>
  <c r="K197" i="784" s="1"/>
  <c r="K196" i="784"/>
  <c r="H196" i="784"/>
  <c r="K195" i="784"/>
  <c r="H195" i="784"/>
  <c r="K194" i="784"/>
  <c r="H194" i="784"/>
  <c r="H193" i="784"/>
  <c r="K193" i="784" s="1"/>
  <c r="K192" i="784"/>
  <c r="H192" i="784"/>
  <c r="H191" i="784"/>
  <c r="K191" i="784" s="1"/>
  <c r="K190" i="784"/>
  <c r="H190" i="784"/>
  <c r="K189" i="784"/>
  <c r="H189" i="784"/>
  <c r="K188" i="784"/>
  <c r="H188" i="784"/>
  <c r="H187" i="784"/>
  <c r="K187" i="784" s="1"/>
  <c r="K186" i="784"/>
  <c r="H186" i="784"/>
  <c r="H185" i="784"/>
  <c r="K185" i="784" s="1"/>
  <c r="K184" i="784"/>
  <c r="H184" i="784"/>
  <c r="K183" i="784"/>
  <c r="H183" i="784"/>
  <c r="K182" i="784"/>
  <c r="H182" i="784"/>
  <c r="K181" i="784"/>
  <c r="K180" i="784"/>
  <c r="I179" i="784"/>
  <c r="J179" i="784" s="1"/>
  <c r="K179" i="784" s="1"/>
  <c r="H179" i="784"/>
  <c r="K178" i="784"/>
  <c r="H178" i="784"/>
  <c r="K177" i="784"/>
  <c r="H177" i="784"/>
  <c r="K176" i="784"/>
  <c r="H176" i="784"/>
  <c r="H175" i="784"/>
  <c r="K175" i="784" s="1"/>
  <c r="K174" i="784"/>
  <c r="H174" i="784"/>
  <c r="H173" i="784"/>
  <c r="K173" i="784" s="1"/>
  <c r="K172" i="784"/>
  <c r="H172" i="784"/>
  <c r="K171" i="784"/>
  <c r="H171" i="784"/>
  <c r="K170" i="784"/>
  <c r="H170" i="784"/>
  <c r="H169" i="784"/>
  <c r="K169" i="784" s="1"/>
  <c r="K168" i="784"/>
  <c r="H168" i="784"/>
  <c r="H167" i="784"/>
  <c r="K167" i="784" s="1"/>
  <c r="K166" i="784"/>
  <c r="H166" i="784"/>
  <c r="K165" i="784"/>
  <c r="H165" i="784"/>
  <c r="K164" i="784"/>
  <c r="H164" i="784"/>
  <c r="H163" i="784"/>
  <c r="K163" i="784" s="1"/>
  <c r="K162" i="784"/>
  <c r="H162" i="784"/>
  <c r="H161" i="784"/>
  <c r="K161" i="784" s="1"/>
  <c r="K160" i="784"/>
  <c r="H160" i="784"/>
  <c r="K159" i="784"/>
  <c r="H159" i="784"/>
  <c r="K158" i="784"/>
  <c r="H158" i="784"/>
  <c r="K157" i="784"/>
  <c r="K156" i="784"/>
  <c r="K155" i="784"/>
  <c r="I155" i="784"/>
  <c r="J155" i="784" s="1"/>
  <c r="J208" i="784" s="1"/>
  <c r="J13" i="784" s="1"/>
  <c r="H155" i="784"/>
  <c r="K154" i="784"/>
  <c r="H154" i="784"/>
  <c r="K153" i="784"/>
  <c r="H153" i="784"/>
  <c r="K152" i="784"/>
  <c r="H152" i="784"/>
  <c r="H151" i="784"/>
  <c r="K151" i="784" s="1"/>
  <c r="K150" i="784"/>
  <c r="H150" i="784"/>
  <c r="H149" i="784"/>
  <c r="K149" i="784" s="1"/>
  <c r="K148" i="784"/>
  <c r="H148" i="784"/>
  <c r="K147" i="784"/>
  <c r="H147" i="784"/>
  <c r="K146" i="784"/>
  <c r="H146" i="784"/>
  <c r="H145" i="784"/>
  <c r="K145" i="784" s="1"/>
  <c r="K144" i="784"/>
  <c r="H144" i="784"/>
  <c r="H143" i="784"/>
  <c r="K143" i="784" s="1"/>
  <c r="K142" i="784"/>
  <c r="H142" i="784"/>
  <c r="K141" i="784"/>
  <c r="H141" i="784"/>
  <c r="K140" i="784"/>
  <c r="H140" i="784"/>
  <c r="H139" i="784"/>
  <c r="K138" i="784"/>
  <c r="H138" i="784"/>
  <c r="H137" i="784"/>
  <c r="K137" i="784" s="1"/>
  <c r="K136" i="784"/>
  <c r="H136" i="784"/>
  <c r="K135" i="784"/>
  <c r="H135" i="784"/>
  <c r="K134" i="784"/>
  <c r="H134" i="784"/>
  <c r="K133" i="784"/>
  <c r="K132" i="784"/>
  <c r="B130" i="784"/>
  <c r="I129" i="784"/>
  <c r="J129" i="784" s="1"/>
  <c r="K129" i="784" s="1"/>
  <c r="H129" i="784"/>
  <c r="K128" i="784"/>
  <c r="H128" i="784"/>
  <c r="H127" i="784"/>
  <c r="K127" i="784" s="1"/>
  <c r="K126" i="784"/>
  <c r="H126" i="784"/>
  <c r="H125" i="784"/>
  <c r="K125" i="784" s="1"/>
  <c r="K124" i="784"/>
  <c r="H124" i="784"/>
  <c r="K123" i="784"/>
  <c r="H123" i="784"/>
  <c r="K122" i="784"/>
  <c r="H122" i="784"/>
  <c r="H121" i="784"/>
  <c r="K121" i="784" s="1"/>
  <c r="K120" i="784"/>
  <c r="H120" i="784"/>
  <c r="H119" i="784"/>
  <c r="K119" i="784" s="1"/>
  <c r="K118" i="784"/>
  <c r="H118" i="784"/>
  <c r="K117" i="784"/>
  <c r="H117" i="784"/>
  <c r="K116" i="784"/>
  <c r="H116" i="784"/>
  <c r="H115" i="784"/>
  <c r="K115" i="784" s="1"/>
  <c r="K114" i="784"/>
  <c r="H114" i="784"/>
  <c r="H113" i="784"/>
  <c r="K113" i="784" s="1"/>
  <c r="K112" i="784"/>
  <c r="H112" i="784"/>
  <c r="I109" i="784"/>
  <c r="J109" i="784" s="1"/>
  <c r="K109" i="784" s="1"/>
  <c r="H109" i="784"/>
  <c r="H108" i="784"/>
  <c r="K108" i="784" s="1"/>
  <c r="K107" i="784"/>
  <c r="H107" i="784"/>
  <c r="H106" i="784"/>
  <c r="K106" i="784" s="1"/>
  <c r="K105" i="784"/>
  <c r="H105" i="784"/>
  <c r="K104" i="784"/>
  <c r="H104" i="784"/>
  <c r="K103" i="784"/>
  <c r="H103" i="784"/>
  <c r="H102" i="784"/>
  <c r="K102" i="784" s="1"/>
  <c r="K101" i="784"/>
  <c r="H101" i="784"/>
  <c r="H100" i="784"/>
  <c r="K100" i="784" s="1"/>
  <c r="K99" i="784"/>
  <c r="H99" i="784"/>
  <c r="K98" i="784"/>
  <c r="H98" i="784"/>
  <c r="K97" i="784"/>
  <c r="H97" i="784"/>
  <c r="H96" i="784"/>
  <c r="K96" i="784" s="1"/>
  <c r="K95" i="784"/>
  <c r="H95" i="784"/>
  <c r="H94" i="784"/>
  <c r="K94" i="784" s="1"/>
  <c r="K93" i="784"/>
  <c r="H93" i="784"/>
  <c r="I90" i="784"/>
  <c r="J90" i="784" s="1"/>
  <c r="K90" i="784" s="1"/>
  <c r="H90" i="784"/>
  <c r="H89" i="784"/>
  <c r="K89" i="784" s="1"/>
  <c r="K88" i="784"/>
  <c r="H88" i="784"/>
  <c r="H87" i="784"/>
  <c r="K87" i="784" s="1"/>
  <c r="K86" i="784"/>
  <c r="H86" i="784"/>
  <c r="K85" i="784"/>
  <c r="H85" i="784"/>
  <c r="K84" i="784"/>
  <c r="H84" i="784"/>
  <c r="H83" i="784"/>
  <c r="K83" i="784" s="1"/>
  <c r="K82" i="784"/>
  <c r="H82" i="784"/>
  <c r="H81" i="784"/>
  <c r="K81" i="784" s="1"/>
  <c r="K80" i="784"/>
  <c r="H80" i="784"/>
  <c r="K79" i="784"/>
  <c r="H79" i="784"/>
  <c r="K78" i="784"/>
  <c r="H78" i="784"/>
  <c r="H77" i="784"/>
  <c r="K77" i="784" s="1"/>
  <c r="K76" i="784"/>
  <c r="H76" i="784"/>
  <c r="H75" i="784"/>
  <c r="K75" i="784" s="1"/>
  <c r="K74" i="784"/>
  <c r="H74" i="784"/>
  <c r="I71" i="784"/>
  <c r="J71" i="784" s="1"/>
  <c r="K71" i="784" s="1"/>
  <c r="H71" i="784"/>
  <c r="H70" i="784"/>
  <c r="K70" i="784" s="1"/>
  <c r="K69" i="784"/>
  <c r="H69" i="784"/>
  <c r="H68" i="784"/>
  <c r="K68" i="784" s="1"/>
  <c r="K67" i="784"/>
  <c r="H67" i="784"/>
  <c r="K66" i="784"/>
  <c r="H66" i="784"/>
  <c r="K65" i="784"/>
  <c r="H65" i="784"/>
  <c r="H64" i="784"/>
  <c r="K64" i="784" s="1"/>
  <c r="K63" i="784"/>
  <c r="H63" i="784"/>
  <c r="H62" i="784"/>
  <c r="K62" i="784" s="1"/>
  <c r="K61" i="784"/>
  <c r="H61" i="784"/>
  <c r="K60" i="784"/>
  <c r="H60" i="784"/>
  <c r="K59" i="784"/>
  <c r="H59" i="784"/>
  <c r="H58" i="784"/>
  <c r="K58" i="784" s="1"/>
  <c r="K57" i="784"/>
  <c r="H57" i="784"/>
  <c r="H56" i="784"/>
  <c r="K56" i="784" s="1"/>
  <c r="I53" i="784"/>
  <c r="J53" i="784" s="1"/>
  <c r="H53" i="784"/>
  <c r="K52" i="784"/>
  <c r="H52" i="784"/>
  <c r="H51" i="784"/>
  <c r="K51" i="784" s="1"/>
  <c r="K50" i="784"/>
  <c r="H50" i="784"/>
  <c r="H49" i="784"/>
  <c r="K49" i="784" s="1"/>
  <c r="K48" i="784"/>
  <c r="H48" i="784"/>
  <c r="K47" i="784"/>
  <c r="H47" i="784"/>
  <c r="K46" i="784"/>
  <c r="H46" i="784"/>
  <c r="H45" i="784"/>
  <c r="K45" i="784" s="1"/>
  <c r="K44" i="784"/>
  <c r="H44" i="784"/>
  <c r="H43" i="784"/>
  <c r="K43" i="784" s="1"/>
  <c r="K42" i="784"/>
  <c r="H42" i="784"/>
  <c r="K41" i="784"/>
  <c r="H41" i="784"/>
  <c r="K40" i="784"/>
  <c r="H40" i="784"/>
  <c r="H39" i="784"/>
  <c r="K38" i="784"/>
  <c r="H38" i="784"/>
  <c r="B34" i="784"/>
  <c r="B25" i="784"/>
  <c r="A25" i="784"/>
  <c r="B24" i="784"/>
  <c r="A24" i="784"/>
  <c r="B23" i="784"/>
  <c r="A23" i="784"/>
  <c r="B22" i="784"/>
  <c r="A22" i="784"/>
  <c r="B21" i="784"/>
  <c r="A21" i="784"/>
  <c r="B20" i="784"/>
  <c r="A20" i="784"/>
  <c r="B19" i="784"/>
  <c r="A19" i="784"/>
  <c r="B18" i="784"/>
  <c r="A18" i="784"/>
  <c r="B17" i="784"/>
  <c r="A17" i="784"/>
  <c r="B16" i="784"/>
  <c r="A16" i="784"/>
  <c r="B15" i="784"/>
  <c r="A15" i="784"/>
  <c r="B14" i="784"/>
  <c r="A14" i="784"/>
  <c r="B13" i="784"/>
  <c r="A13" i="784"/>
  <c r="B12" i="784"/>
  <c r="A12" i="784"/>
  <c r="B538" i="783"/>
  <c r="G534" i="783"/>
  <c r="O533" i="783"/>
  <c r="J533" i="783"/>
  <c r="H533" i="783"/>
  <c r="K533" i="783" s="1"/>
  <c r="E533" i="783"/>
  <c r="J530" i="783"/>
  <c r="H530" i="783"/>
  <c r="K530" i="783" s="1"/>
  <c r="J528" i="783"/>
  <c r="H528" i="783"/>
  <c r="K527" i="783"/>
  <c r="J527" i="783"/>
  <c r="H527" i="783"/>
  <c r="B525" i="783"/>
  <c r="G521" i="783"/>
  <c r="K520" i="783"/>
  <c r="J520" i="783"/>
  <c r="H520" i="783"/>
  <c r="K517" i="783"/>
  <c r="J517" i="783"/>
  <c r="H517" i="783"/>
  <c r="G518" i="783" s="1"/>
  <c r="J516" i="783"/>
  <c r="K516" i="783" s="1"/>
  <c r="H516" i="783"/>
  <c r="I514" i="783"/>
  <c r="J514" i="783" s="1"/>
  <c r="K514" i="783" s="1"/>
  <c r="H514" i="783"/>
  <c r="I513" i="783"/>
  <c r="J513" i="783" s="1"/>
  <c r="K513" i="783" s="1"/>
  <c r="H513" i="783"/>
  <c r="J511" i="783"/>
  <c r="K511" i="783" s="1"/>
  <c r="I511" i="783"/>
  <c r="H511" i="783"/>
  <c r="I510" i="783"/>
  <c r="J510" i="783" s="1"/>
  <c r="G510" i="783"/>
  <c r="H510" i="783" s="1"/>
  <c r="J506" i="783"/>
  <c r="I506" i="783"/>
  <c r="H506" i="783"/>
  <c r="K506" i="783" s="1"/>
  <c r="K505" i="783"/>
  <c r="J505" i="783"/>
  <c r="I505" i="783"/>
  <c r="H505" i="783"/>
  <c r="K504" i="783"/>
  <c r="J504" i="783"/>
  <c r="I504" i="783"/>
  <c r="H504" i="783"/>
  <c r="B501" i="783"/>
  <c r="O495" i="783"/>
  <c r="E495" i="783"/>
  <c r="J492" i="783"/>
  <c r="H492" i="783"/>
  <c r="H489" i="783"/>
  <c r="K489" i="783" s="1"/>
  <c r="G489" i="783"/>
  <c r="K488" i="783"/>
  <c r="H488" i="783"/>
  <c r="G488" i="783"/>
  <c r="H487" i="783"/>
  <c r="K487" i="783" s="1"/>
  <c r="G487" i="783"/>
  <c r="G486" i="783"/>
  <c r="H486" i="783" s="1"/>
  <c r="K486" i="783" s="1"/>
  <c r="H485" i="783"/>
  <c r="K485" i="783" s="1"/>
  <c r="G485" i="783"/>
  <c r="J484" i="783"/>
  <c r="G484" i="783"/>
  <c r="H484" i="783" s="1"/>
  <c r="K484" i="783" s="1"/>
  <c r="K480" i="783"/>
  <c r="I480" i="783"/>
  <c r="J480" i="783" s="1"/>
  <c r="H480" i="783"/>
  <c r="K479" i="783"/>
  <c r="I479" i="783"/>
  <c r="J479" i="783" s="1"/>
  <c r="H479" i="783"/>
  <c r="K478" i="783"/>
  <c r="J478" i="783"/>
  <c r="I478" i="783"/>
  <c r="H478" i="783"/>
  <c r="B475" i="783"/>
  <c r="K473" i="783"/>
  <c r="J473" i="783"/>
  <c r="H473" i="783"/>
  <c r="J472" i="783"/>
  <c r="H472" i="783"/>
  <c r="I470" i="783"/>
  <c r="J470" i="783" s="1"/>
  <c r="O469" i="783"/>
  <c r="K469" i="783"/>
  <c r="J469" i="783"/>
  <c r="H469" i="783"/>
  <c r="G470" i="783" s="1"/>
  <c r="H470" i="783" s="1"/>
  <c r="J468" i="783"/>
  <c r="H468" i="783"/>
  <c r="K468" i="783" s="1"/>
  <c r="O465" i="783"/>
  <c r="H465" i="783"/>
  <c r="E465" i="783"/>
  <c r="J465" i="783" s="1"/>
  <c r="K465" i="783" s="1"/>
  <c r="O464" i="783"/>
  <c r="H464" i="783"/>
  <c r="E464" i="783"/>
  <c r="J464" i="783" s="1"/>
  <c r="J463" i="783"/>
  <c r="H463" i="783"/>
  <c r="K462" i="783"/>
  <c r="I462" i="783"/>
  <c r="J462" i="783" s="1"/>
  <c r="H462" i="783"/>
  <c r="K461" i="783"/>
  <c r="J461" i="783"/>
  <c r="H461" i="783"/>
  <c r="K460" i="783"/>
  <c r="J460" i="783"/>
  <c r="H460" i="783"/>
  <c r="B458" i="783"/>
  <c r="O451" i="783"/>
  <c r="E451" i="783"/>
  <c r="O448" i="783"/>
  <c r="G446" i="783"/>
  <c r="J445" i="783"/>
  <c r="H445" i="783"/>
  <c r="E445" i="783"/>
  <c r="K442" i="783"/>
  <c r="H442" i="783"/>
  <c r="E442" i="783"/>
  <c r="H441" i="783"/>
  <c r="K441" i="783" s="1"/>
  <c r="E441" i="783"/>
  <c r="J440" i="783"/>
  <c r="H440" i="783"/>
  <c r="K439" i="783"/>
  <c r="J439" i="783"/>
  <c r="H439" i="783"/>
  <c r="J438" i="783"/>
  <c r="K438" i="783" s="1"/>
  <c r="I438" i="783"/>
  <c r="H438" i="783"/>
  <c r="J436" i="783"/>
  <c r="K436" i="783" s="1"/>
  <c r="H436" i="783"/>
  <c r="B434" i="783"/>
  <c r="J427" i="783"/>
  <c r="H427" i="783"/>
  <c r="J426" i="783"/>
  <c r="H426" i="783"/>
  <c r="K426" i="783" s="1"/>
  <c r="G425" i="783"/>
  <c r="H425" i="783" s="1"/>
  <c r="O424" i="783"/>
  <c r="J424" i="783"/>
  <c r="H424" i="783"/>
  <c r="J423" i="783"/>
  <c r="H423" i="783"/>
  <c r="K423" i="783" s="1"/>
  <c r="K422" i="783"/>
  <c r="I422" i="783"/>
  <c r="J422" i="783" s="1"/>
  <c r="G422" i="783"/>
  <c r="H422" i="783" s="1"/>
  <c r="O421" i="783"/>
  <c r="J421" i="783"/>
  <c r="H421" i="783"/>
  <c r="K418" i="783"/>
  <c r="J418" i="783"/>
  <c r="H418" i="783"/>
  <c r="J417" i="783"/>
  <c r="H417" i="783"/>
  <c r="K417" i="783" s="1"/>
  <c r="K416" i="783"/>
  <c r="J416" i="783"/>
  <c r="H416" i="783"/>
  <c r="J415" i="783"/>
  <c r="K415" i="783" s="1"/>
  <c r="H415" i="783"/>
  <c r="K414" i="783"/>
  <c r="J414" i="783"/>
  <c r="H414" i="783"/>
  <c r="J413" i="783"/>
  <c r="H413" i="783"/>
  <c r="K413" i="783" s="1"/>
  <c r="K412" i="783"/>
  <c r="J412" i="783"/>
  <c r="H412" i="783"/>
  <c r="J411" i="783"/>
  <c r="K411" i="783" s="1"/>
  <c r="H411" i="783"/>
  <c r="K410" i="783"/>
  <c r="J410" i="783"/>
  <c r="H410" i="783"/>
  <c r="J409" i="783"/>
  <c r="H409" i="783"/>
  <c r="K409" i="783" s="1"/>
  <c r="G409" i="783"/>
  <c r="J408" i="783"/>
  <c r="H408" i="783"/>
  <c r="K408" i="783" s="1"/>
  <c r="J407" i="783"/>
  <c r="H407" i="783"/>
  <c r="K407" i="783" s="1"/>
  <c r="J406" i="783"/>
  <c r="H406" i="783"/>
  <c r="J405" i="783"/>
  <c r="H405" i="783"/>
  <c r="K405" i="783" s="1"/>
  <c r="J404" i="783"/>
  <c r="H404" i="783"/>
  <c r="K404" i="783" s="1"/>
  <c r="J403" i="783"/>
  <c r="H403" i="783"/>
  <c r="K403" i="783" s="1"/>
  <c r="J402" i="783"/>
  <c r="H402" i="783"/>
  <c r="K402" i="783" s="1"/>
  <c r="J401" i="783"/>
  <c r="H401" i="783"/>
  <c r="J400" i="783"/>
  <c r="H400" i="783"/>
  <c r="K400" i="783" s="1"/>
  <c r="J399" i="783"/>
  <c r="H399" i="783"/>
  <c r="K399" i="783" s="1"/>
  <c r="J398" i="783"/>
  <c r="H398" i="783"/>
  <c r="K398" i="783" s="1"/>
  <c r="J397" i="783"/>
  <c r="H397" i="783"/>
  <c r="I396" i="783"/>
  <c r="J396" i="783" s="1"/>
  <c r="H396" i="783"/>
  <c r="K396" i="783" s="1"/>
  <c r="G396" i="783"/>
  <c r="B394" i="783"/>
  <c r="J386" i="783"/>
  <c r="K386" i="783" s="1"/>
  <c r="H386" i="783"/>
  <c r="J385" i="783"/>
  <c r="H385" i="783"/>
  <c r="K385" i="783" s="1"/>
  <c r="K384" i="783"/>
  <c r="J384" i="783"/>
  <c r="H384" i="783"/>
  <c r="K383" i="783"/>
  <c r="J383" i="783"/>
  <c r="H383" i="783"/>
  <c r="J382" i="783"/>
  <c r="K382" i="783" s="1"/>
  <c r="H382" i="783"/>
  <c r="J381" i="783"/>
  <c r="H381" i="783"/>
  <c r="K381" i="783" s="1"/>
  <c r="K380" i="783"/>
  <c r="J380" i="783"/>
  <c r="H380" i="783"/>
  <c r="K379" i="783"/>
  <c r="J379" i="783"/>
  <c r="H379" i="783"/>
  <c r="J378" i="783"/>
  <c r="K378" i="783" s="1"/>
  <c r="H378" i="783"/>
  <c r="J377" i="783"/>
  <c r="H377" i="783"/>
  <c r="K377" i="783" s="1"/>
  <c r="K376" i="783"/>
  <c r="J376" i="783"/>
  <c r="H376" i="783"/>
  <c r="K375" i="783"/>
  <c r="J375" i="783"/>
  <c r="H375" i="783"/>
  <c r="J374" i="783"/>
  <c r="K374" i="783" s="1"/>
  <c r="H374" i="783"/>
  <c r="J373" i="783"/>
  <c r="H373" i="783"/>
  <c r="K373" i="783" s="1"/>
  <c r="K372" i="783"/>
  <c r="J372" i="783"/>
  <c r="H372" i="783"/>
  <c r="K371" i="783"/>
  <c r="J371" i="783"/>
  <c r="H371" i="783"/>
  <c r="J370" i="783"/>
  <c r="K370" i="783" s="1"/>
  <c r="H370" i="783"/>
  <c r="J369" i="783"/>
  <c r="H369" i="783"/>
  <c r="K369" i="783" s="1"/>
  <c r="K368" i="783"/>
  <c r="J368" i="783"/>
  <c r="H368" i="783"/>
  <c r="H394" i="783" s="1"/>
  <c r="H19" i="783" s="1"/>
  <c r="K367" i="783"/>
  <c r="J367" i="783"/>
  <c r="H367" i="783"/>
  <c r="G387" i="783" s="1"/>
  <c r="H387" i="783" s="1"/>
  <c r="J366" i="783"/>
  <c r="K366" i="783" s="1"/>
  <c r="H366" i="783"/>
  <c r="B364" i="783"/>
  <c r="J359" i="783"/>
  <c r="I359" i="783"/>
  <c r="G359" i="783"/>
  <c r="H359" i="783" s="1"/>
  <c r="J358" i="783"/>
  <c r="J364" i="783" s="1"/>
  <c r="J18" i="783" s="1"/>
  <c r="H358" i="783"/>
  <c r="G358" i="783"/>
  <c r="I358" i="783" s="1"/>
  <c r="J355" i="783"/>
  <c r="B355" i="783"/>
  <c r="K350" i="783"/>
  <c r="J350" i="783"/>
  <c r="H350" i="783"/>
  <c r="J349" i="783"/>
  <c r="K349" i="783" s="1"/>
  <c r="H349" i="783"/>
  <c r="K348" i="783"/>
  <c r="J348" i="783"/>
  <c r="H348" i="783"/>
  <c r="K347" i="783"/>
  <c r="J347" i="783"/>
  <c r="H347" i="783"/>
  <c r="K346" i="783"/>
  <c r="J346" i="783"/>
  <c r="H346" i="783"/>
  <c r="J345" i="783"/>
  <c r="K345" i="783" s="1"/>
  <c r="H345" i="783"/>
  <c r="K344" i="783"/>
  <c r="J344" i="783"/>
  <c r="H344" i="783"/>
  <c r="K343" i="783"/>
  <c r="J343" i="783"/>
  <c r="H343" i="783"/>
  <c r="K342" i="783"/>
  <c r="J342" i="783"/>
  <c r="H342" i="783"/>
  <c r="J341" i="783"/>
  <c r="K341" i="783" s="1"/>
  <c r="H341" i="783"/>
  <c r="B338" i="783"/>
  <c r="J335" i="783"/>
  <c r="H335" i="783"/>
  <c r="K335" i="783" s="1"/>
  <c r="J334" i="783"/>
  <c r="H334" i="783"/>
  <c r="O332" i="783"/>
  <c r="J332" i="783"/>
  <c r="H332" i="783"/>
  <c r="K332" i="783" s="1"/>
  <c r="O331" i="783"/>
  <c r="J331" i="783"/>
  <c r="H331" i="783"/>
  <c r="J330" i="783"/>
  <c r="H330" i="783"/>
  <c r="O328" i="783"/>
  <c r="K328" i="783"/>
  <c r="J328" i="783"/>
  <c r="H328" i="783"/>
  <c r="O327" i="783"/>
  <c r="K327" i="783"/>
  <c r="J327" i="783"/>
  <c r="H327" i="783"/>
  <c r="O326" i="783"/>
  <c r="K326" i="783"/>
  <c r="J326" i="783"/>
  <c r="H326" i="783"/>
  <c r="O325" i="783"/>
  <c r="K325" i="783"/>
  <c r="J325" i="783"/>
  <c r="H325" i="783"/>
  <c r="G329" i="783" s="1"/>
  <c r="J324" i="783"/>
  <c r="H324" i="783"/>
  <c r="B322" i="783"/>
  <c r="J316" i="783"/>
  <c r="H316" i="783"/>
  <c r="K316" i="783" s="1"/>
  <c r="J315" i="783"/>
  <c r="H315" i="783"/>
  <c r="K315" i="783" s="1"/>
  <c r="J314" i="783"/>
  <c r="H314" i="783"/>
  <c r="O313" i="783"/>
  <c r="K313" i="783"/>
  <c r="J313" i="783"/>
  <c r="H313" i="783"/>
  <c r="O312" i="783"/>
  <c r="K312" i="783"/>
  <c r="J312" i="783"/>
  <c r="H312" i="783"/>
  <c r="O311" i="783"/>
  <c r="J311" i="783"/>
  <c r="H311" i="783"/>
  <c r="O310" i="783"/>
  <c r="J310" i="783"/>
  <c r="K310" i="783" s="1"/>
  <c r="H310" i="783"/>
  <c r="J309" i="783"/>
  <c r="H309" i="783"/>
  <c r="J308" i="783"/>
  <c r="H308" i="783"/>
  <c r="B307" i="783"/>
  <c r="H302" i="783"/>
  <c r="K302" i="783" s="1"/>
  <c r="K301" i="783"/>
  <c r="H301" i="783"/>
  <c r="K300" i="783"/>
  <c r="J299" i="783"/>
  <c r="K299" i="783" s="1"/>
  <c r="H299" i="783"/>
  <c r="K298" i="783"/>
  <c r="H298" i="783"/>
  <c r="H297" i="783"/>
  <c r="K297" i="783" s="1"/>
  <c r="H296" i="783"/>
  <c r="K296" i="783" s="1"/>
  <c r="K295" i="783"/>
  <c r="H295" i="783"/>
  <c r="K294" i="783"/>
  <c r="K293" i="783"/>
  <c r="H293" i="783"/>
  <c r="H292" i="783"/>
  <c r="K292" i="783" s="1"/>
  <c r="H291" i="783"/>
  <c r="K291" i="783" s="1"/>
  <c r="K290" i="783"/>
  <c r="H290" i="783"/>
  <c r="K289" i="783"/>
  <c r="K288" i="783"/>
  <c r="H288" i="783"/>
  <c r="H287" i="783"/>
  <c r="K287" i="783" s="1"/>
  <c r="K286" i="783"/>
  <c r="H286" i="783"/>
  <c r="K285" i="783"/>
  <c r="H285" i="783"/>
  <c r="K284" i="783"/>
  <c r="K283" i="783"/>
  <c r="H283" i="783"/>
  <c r="H282" i="783"/>
  <c r="K282" i="783" s="1"/>
  <c r="K281" i="783"/>
  <c r="J280" i="783"/>
  <c r="H280" i="783"/>
  <c r="K280" i="783" s="1"/>
  <c r="H279" i="783"/>
  <c r="K279" i="783" s="1"/>
  <c r="H278" i="783"/>
  <c r="K278" i="783" s="1"/>
  <c r="K277" i="783"/>
  <c r="J276" i="783"/>
  <c r="H276" i="783"/>
  <c r="K276" i="783" s="1"/>
  <c r="H275" i="783"/>
  <c r="K275" i="783" s="1"/>
  <c r="K274" i="783"/>
  <c r="H274" i="783"/>
  <c r="K273" i="783"/>
  <c r="J272" i="783"/>
  <c r="H272" i="783"/>
  <c r="K272" i="783" s="1"/>
  <c r="K271" i="783"/>
  <c r="H271" i="783"/>
  <c r="K270" i="783"/>
  <c r="H270" i="783"/>
  <c r="K269" i="783"/>
  <c r="K268" i="783"/>
  <c r="J268" i="783"/>
  <c r="H268" i="783"/>
  <c r="H267" i="783"/>
  <c r="K267" i="783" s="1"/>
  <c r="H266" i="783"/>
  <c r="K266" i="783" s="1"/>
  <c r="K265" i="783"/>
  <c r="J264" i="783"/>
  <c r="H264" i="783"/>
  <c r="H262" i="783"/>
  <c r="K262" i="783" s="1"/>
  <c r="K261" i="783"/>
  <c r="J261" i="783"/>
  <c r="H261" i="783"/>
  <c r="K260" i="783"/>
  <c r="H260" i="783"/>
  <c r="H259" i="783"/>
  <c r="K259" i="783" s="1"/>
  <c r="J258" i="783"/>
  <c r="H258" i="783"/>
  <c r="K258" i="783" s="1"/>
  <c r="H257" i="783"/>
  <c r="K256" i="783"/>
  <c r="K255" i="783"/>
  <c r="H255" i="783"/>
  <c r="K254" i="783"/>
  <c r="H254" i="783"/>
  <c r="K253" i="783"/>
  <c r="J253" i="783"/>
  <c r="H253" i="783"/>
  <c r="B250" i="783"/>
  <c r="K244" i="783"/>
  <c r="J244" i="783"/>
  <c r="I244" i="783"/>
  <c r="H244" i="783"/>
  <c r="H243" i="783"/>
  <c r="K243" i="783" s="1"/>
  <c r="K242" i="783"/>
  <c r="H242" i="783"/>
  <c r="K241" i="783"/>
  <c r="H241" i="783"/>
  <c r="H240" i="783"/>
  <c r="K240" i="783" s="1"/>
  <c r="H239" i="783"/>
  <c r="K239" i="783" s="1"/>
  <c r="H238" i="783"/>
  <c r="K238" i="783" s="1"/>
  <c r="H237" i="783"/>
  <c r="K237" i="783" s="1"/>
  <c r="K236" i="783"/>
  <c r="H236" i="783"/>
  <c r="H235" i="783"/>
  <c r="K235" i="783" s="1"/>
  <c r="H234" i="783"/>
  <c r="K234" i="783" s="1"/>
  <c r="K233" i="783"/>
  <c r="H233" i="783"/>
  <c r="H232" i="783"/>
  <c r="K232" i="783" s="1"/>
  <c r="H231" i="783"/>
  <c r="K231" i="783" s="1"/>
  <c r="K230" i="783"/>
  <c r="H230" i="783"/>
  <c r="H229" i="783"/>
  <c r="K229" i="783" s="1"/>
  <c r="H228" i="783"/>
  <c r="K228" i="783" s="1"/>
  <c r="H227" i="783"/>
  <c r="K227" i="783" s="1"/>
  <c r="H226" i="783"/>
  <c r="K226" i="783" s="1"/>
  <c r="H225" i="783"/>
  <c r="K225" i="783" s="1"/>
  <c r="K224" i="783"/>
  <c r="H224" i="783"/>
  <c r="H223" i="783"/>
  <c r="K223" i="783" s="1"/>
  <c r="K222" i="783"/>
  <c r="K221" i="783"/>
  <c r="J220" i="783"/>
  <c r="K220" i="783" s="1"/>
  <c r="I220" i="783"/>
  <c r="H220" i="783"/>
  <c r="H219" i="783"/>
  <c r="K219" i="783" s="1"/>
  <c r="K218" i="783"/>
  <c r="H218" i="783"/>
  <c r="H217" i="783"/>
  <c r="K217" i="783" s="1"/>
  <c r="H216" i="783"/>
  <c r="K216" i="783" s="1"/>
  <c r="K215" i="783"/>
  <c r="H215" i="783"/>
  <c r="H214" i="783"/>
  <c r="K214" i="783" s="1"/>
  <c r="H213" i="783"/>
  <c r="K213" i="783" s="1"/>
  <c r="K212" i="783"/>
  <c r="H212" i="783"/>
  <c r="K211" i="783"/>
  <c r="H211" i="783"/>
  <c r="H210" i="783"/>
  <c r="K210" i="783" s="1"/>
  <c r="H209" i="783"/>
  <c r="K209" i="783" s="1"/>
  <c r="H208" i="783"/>
  <c r="K208" i="783" s="1"/>
  <c r="H207" i="783"/>
  <c r="K207" i="783" s="1"/>
  <c r="K206" i="783"/>
  <c r="H206" i="783"/>
  <c r="K205" i="783"/>
  <c r="H205" i="783"/>
  <c r="H204" i="783"/>
  <c r="K204" i="783" s="1"/>
  <c r="K203" i="783"/>
  <c r="H203" i="783"/>
  <c r="H202" i="783"/>
  <c r="K202" i="783" s="1"/>
  <c r="H201" i="783"/>
  <c r="K201" i="783" s="1"/>
  <c r="K200" i="783"/>
  <c r="H200" i="783"/>
  <c r="K199" i="783"/>
  <c r="K198" i="783"/>
  <c r="I197" i="783"/>
  <c r="J197" i="783" s="1"/>
  <c r="H197" i="783"/>
  <c r="H196" i="783"/>
  <c r="K196" i="783" s="1"/>
  <c r="H195" i="783"/>
  <c r="K195" i="783" s="1"/>
  <c r="K194" i="783"/>
  <c r="H194" i="783"/>
  <c r="H193" i="783"/>
  <c r="K193" i="783" s="1"/>
  <c r="H192" i="783"/>
  <c r="K192" i="783" s="1"/>
  <c r="K191" i="783"/>
  <c r="H191" i="783"/>
  <c r="H190" i="783"/>
  <c r="K190" i="783" s="1"/>
  <c r="H189" i="783"/>
  <c r="K189" i="783" s="1"/>
  <c r="K188" i="783"/>
  <c r="H188" i="783"/>
  <c r="K187" i="783"/>
  <c r="H187" i="783"/>
  <c r="H186" i="783"/>
  <c r="K186" i="783" s="1"/>
  <c r="H185" i="783"/>
  <c r="K185" i="783" s="1"/>
  <c r="H184" i="783"/>
  <c r="K184" i="783" s="1"/>
  <c r="H183" i="783"/>
  <c r="K183" i="783" s="1"/>
  <c r="K182" i="783"/>
  <c r="H182" i="783"/>
  <c r="K181" i="783"/>
  <c r="H181" i="783"/>
  <c r="H180" i="783"/>
  <c r="K180" i="783" s="1"/>
  <c r="K179" i="783"/>
  <c r="H179" i="783"/>
  <c r="H178" i="783"/>
  <c r="K178" i="783" s="1"/>
  <c r="H177" i="783"/>
  <c r="K177" i="783" s="1"/>
  <c r="K176" i="783"/>
  <c r="H176" i="783"/>
  <c r="K175" i="783"/>
  <c r="K174" i="783"/>
  <c r="I173" i="783"/>
  <c r="J173" i="783" s="1"/>
  <c r="H173" i="783"/>
  <c r="H172" i="783"/>
  <c r="K172" i="783" s="1"/>
  <c r="H171" i="783"/>
  <c r="K171" i="783" s="1"/>
  <c r="K170" i="783"/>
  <c r="H170" i="783"/>
  <c r="H169" i="783"/>
  <c r="K169" i="783" s="1"/>
  <c r="H168" i="783"/>
  <c r="K168" i="783" s="1"/>
  <c r="K167" i="783"/>
  <c r="H167" i="783"/>
  <c r="H166" i="783"/>
  <c r="K166" i="783" s="1"/>
  <c r="H165" i="783"/>
  <c r="K165" i="783" s="1"/>
  <c r="K164" i="783"/>
  <c r="H164" i="783"/>
  <c r="K163" i="783"/>
  <c r="H163" i="783"/>
  <c r="H162" i="783"/>
  <c r="K162" i="783" s="1"/>
  <c r="H161" i="783"/>
  <c r="K161" i="783" s="1"/>
  <c r="H160" i="783"/>
  <c r="K160" i="783" s="1"/>
  <c r="H159" i="783"/>
  <c r="K159" i="783" s="1"/>
  <c r="K158" i="783"/>
  <c r="H158" i="783"/>
  <c r="K157" i="783"/>
  <c r="H157" i="783"/>
  <c r="H156" i="783"/>
  <c r="K156" i="783" s="1"/>
  <c r="K155" i="783"/>
  <c r="H155" i="783"/>
  <c r="H154" i="783"/>
  <c r="K154" i="783" s="1"/>
  <c r="H153" i="783"/>
  <c r="K152" i="783"/>
  <c r="K151" i="783"/>
  <c r="B149" i="783"/>
  <c r="J144" i="783"/>
  <c r="I144" i="783"/>
  <c r="H144" i="783"/>
  <c r="K144" i="783" s="1"/>
  <c r="H143" i="783"/>
  <c r="K143" i="783" s="1"/>
  <c r="K142" i="783"/>
  <c r="H142" i="783"/>
  <c r="H141" i="783"/>
  <c r="K141" i="783" s="1"/>
  <c r="H140" i="783"/>
  <c r="K140" i="783" s="1"/>
  <c r="H139" i="783"/>
  <c r="K139" i="783" s="1"/>
  <c r="H138" i="783"/>
  <c r="K138" i="783" s="1"/>
  <c r="H137" i="783"/>
  <c r="K137" i="783" s="1"/>
  <c r="K136" i="783"/>
  <c r="H136" i="783"/>
  <c r="K135" i="783"/>
  <c r="H135" i="783"/>
  <c r="H134" i="783"/>
  <c r="K134" i="783" s="1"/>
  <c r="H133" i="783"/>
  <c r="K133" i="783" s="1"/>
  <c r="H132" i="783"/>
  <c r="K132" i="783" s="1"/>
  <c r="H131" i="783"/>
  <c r="K131" i="783" s="1"/>
  <c r="K130" i="783"/>
  <c r="H130" i="783"/>
  <c r="H129" i="783"/>
  <c r="K129" i="783" s="1"/>
  <c r="H128" i="783"/>
  <c r="K128" i="783" s="1"/>
  <c r="K126" i="783"/>
  <c r="I125" i="783"/>
  <c r="J125" i="783" s="1"/>
  <c r="K125" i="783" s="1"/>
  <c r="H125" i="783"/>
  <c r="K124" i="783"/>
  <c r="H124" i="783"/>
  <c r="H123" i="783"/>
  <c r="K123" i="783" s="1"/>
  <c r="K122" i="783"/>
  <c r="H122" i="783"/>
  <c r="H121" i="783"/>
  <c r="K121" i="783" s="1"/>
  <c r="K120" i="783"/>
  <c r="H120" i="783"/>
  <c r="K119" i="783"/>
  <c r="H119" i="783"/>
  <c r="H118" i="783"/>
  <c r="K118" i="783" s="1"/>
  <c r="K117" i="783"/>
  <c r="H117" i="783"/>
  <c r="K116" i="783"/>
  <c r="H116" i="783"/>
  <c r="H115" i="783"/>
  <c r="K115" i="783" s="1"/>
  <c r="K114" i="783"/>
  <c r="H114" i="783"/>
  <c r="K113" i="783"/>
  <c r="H113" i="783"/>
  <c r="H112" i="783"/>
  <c r="K112" i="783" s="1"/>
  <c r="K111" i="783"/>
  <c r="H111" i="783"/>
  <c r="K110" i="783"/>
  <c r="H110" i="783"/>
  <c r="K108" i="783"/>
  <c r="J107" i="783"/>
  <c r="K107" i="783" s="1"/>
  <c r="I107" i="783"/>
  <c r="H107" i="783"/>
  <c r="H106" i="783"/>
  <c r="K106" i="783" s="1"/>
  <c r="H105" i="783"/>
  <c r="K105" i="783" s="1"/>
  <c r="K104" i="783"/>
  <c r="H104" i="783"/>
  <c r="H103" i="783"/>
  <c r="K103" i="783" s="1"/>
  <c r="K102" i="783"/>
  <c r="H102" i="783"/>
  <c r="H101" i="783"/>
  <c r="K101" i="783" s="1"/>
  <c r="H100" i="783"/>
  <c r="K100" i="783" s="1"/>
  <c r="K99" i="783"/>
  <c r="H99" i="783"/>
  <c r="H98" i="783"/>
  <c r="K98" i="783" s="1"/>
  <c r="H97" i="783"/>
  <c r="K97" i="783" s="1"/>
  <c r="K96" i="783"/>
  <c r="H96" i="783"/>
  <c r="H95" i="783"/>
  <c r="K95" i="783" s="1"/>
  <c r="H94" i="783"/>
  <c r="K94" i="783" s="1"/>
  <c r="H93" i="783"/>
  <c r="K93" i="783" s="1"/>
  <c r="K92" i="783"/>
  <c r="H92" i="783"/>
  <c r="K90" i="783"/>
  <c r="I89" i="783"/>
  <c r="J89" i="783" s="1"/>
  <c r="K89" i="783" s="1"/>
  <c r="H89" i="783"/>
  <c r="K88" i="783"/>
  <c r="H88" i="783"/>
  <c r="K87" i="783"/>
  <c r="H87" i="783"/>
  <c r="H86" i="783"/>
  <c r="K86" i="783" s="1"/>
  <c r="K85" i="783"/>
  <c r="H85" i="783"/>
  <c r="H84" i="783"/>
  <c r="K84" i="783" s="1"/>
  <c r="K83" i="783"/>
  <c r="H83" i="783"/>
  <c r="K82" i="783"/>
  <c r="H82" i="783"/>
  <c r="K81" i="783"/>
  <c r="H81" i="783"/>
  <c r="H80" i="783"/>
  <c r="K80" i="783" s="1"/>
  <c r="K79" i="783"/>
  <c r="H79" i="783"/>
  <c r="H78" i="783"/>
  <c r="K78" i="783" s="1"/>
  <c r="K77" i="783"/>
  <c r="H77" i="783"/>
  <c r="K76" i="783"/>
  <c r="H76" i="783"/>
  <c r="K75" i="783"/>
  <c r="H75" i="783"/>
  <c r="H74" i="783"/>
  <c r="K74" i="783" s="1"/>
  <c r="K71" i="783"/>
  <c r="I71" i="783"/>
  <c r="J71" i="783" s="1"/>
  <c r="H71" i="783"/>
  <c r="K70" i="783"/>
  <c r="H70" i="783"/>
  <c r="K69" i="783"/>
  <c r="H69" i="783"/>
  <c r="H68" i="783"/>
  <c r="K68" i="783" s="1"/>
  <c r="H67" i="783"/>
  <c r="K67" i="783" s="1"/>
  <c r="K66" i="783"/>
  <c r="H66" i="783"/>
  <c r="H65" i="783"/>
  <c r="K65" i="783" s="1"/>
  <c r="K64" i="783"/>
  <c r="H64" i="783"/>
  <c r="K63" i="783"/>
  <c r="H63" i="783"/>
  <c r="H62" i="783"/>
  <c r="K62" i="783" s="1"/>
  <c r="H61" i="783"/>
  <c r="K61" i="783" s="1"/>
  <c r="K60" i="783"/>
  <c r="H60" i="783"/>
  <c r="H59" i="783"/>
  <c r="K59" i="783" s="1"/>
  <c r="K58" i="783"/>
  <c r="H58" i="783"/>
  <c r="K57" i="783"/>
  <c r="H57" i="783"/>
  <c r="H56" i="783"/>
  <c r="K56" i="783" s="1"/>
  <c r="I53" i="783"/>
  <c r="J53" i="783" s="1"/>
  <c r="H53" i="783"/>
  <c r="H52" i="783"/>
  <c r="K52" i="783" s="1"/>
  <c r="K51" i="783"/>
  <c r="H51" i="783"/>
  <c r="K50" i="783"/>
  <c r="H50" i="783"/>
  <c r="H49" i="783"/>
  <c r="K49" i="783" s="1"/>
  <c r="H48" i="783"/>
  <c r="K48" i="783" s="1"/>
  <c r="K47" i="783"/>
  <c r="H47" i="783"/>
  <c r="H46" i="783"/>
  <c r="K46" i="783" s="1"/>
  <c r="H45" i="783"/>
  <c r="K45" i="783" s="1"/>
  <c r="K44" i="783"/>
  <c r="H44" i="783"/>
  <c r="H43" i="783"/>
  <c r="K43" i="783" s="1"/>
  <c r="H42" i="783"/>
  <c r="K42" i="783" s="1"/>
  <c r="K41" i="783"/>
  <c r="H41" i="783"/>
  <c r="H40" i="783"/>
  <c r="K40" i="783" s="1"/>
  <c r="H39" i="783"/>
  <c r="K39" i="783" s="1"/>
  <c r="K38" i="783"/>
  <c r="H38" i="783"/>
  <c r="B34" i="783"/>
  <c r="B25" i="783"/>
  <c r="A25" i="783"/>
  <c r="B24" i="783"/>
  <c r="A24" i="783"/>
  <c r="B23" i="783"/>
  <c r="A23" i="783"/>
  <c r="B22" i="783"/>
  <c r="A22" i="783"/>
  <c r="B21" i="783"/>
  <c r="A21" i="783"/>
  <c r="B20" i="783"/>
  <c r="A20" i="783"/>
  <c r="B19" i="783"/>
  <c r="A19" i="783"/>
  <c r="B18" i="783"/>
  <c r="A18" i="783"/>
  <c r="J17" i="783"/>
  <c r="B17" i="783"/>
  <c r="A17" i="783"/>
  <c r="B16" i="783"/>
  <c r="A16" i="783"/>
  <c r="B15" i="783"/>
  <c r="A15" i="783"/>
  <c r="B14" i="783"/>
  <c r="A14" i="783"/>
  <c r="B13" i="783"/>
  <c r="A13" i="783"/>
  <c r="B12" i="783"/>
  <c r="A12" i="783"/>
  <c r="B442" i="782"/>
  <c r="H426" i="782"/>
  <c r="K426" i="782" s="1"/>
  <c r="O425" i="782"/>
  <c r="J425" i="782"/>
  <c r="E425" i="782"/>
  <c r="H425" i="782" s="1"/>
  <c r="G426" i="782" s="1"/>
  <c r="I426" i="782" s="1"/>
  <c r="J426" i="782" s="1"/>
  <c r="K424" i="782"/>
  <c r="K423" i="782"/>
  <c r="J423" i="782"/>
  <c r="H423" i="782"/>
  <c r="K422" i="782"/>
  <c r="J421" i="782"/>
  <c r="K421" i="782" s="1"/>
  <c r="H421" i="782"/>
  <c r="J420" i="782"/>
  <c r="K420" i="782" s="1"/>
  <c r="H420" i="782"/>
  <c r="B418" i="782"/>
  <c r="I414" i="782"/>
  <c r="J414" i="782" s="1"/>
  <c r="H414" i="782"/>
  <c r="G414" i="782"/>
  <c r="J413" i="782"/>
  <c r="K413" i="782" s="1"/>
  <c r="H413" i="782"/>
  <c r="K412" i="782"/>
  <c r="J410" i="782"/>
  <c r="K410" i="782" s="1"/>
  <c r="H410" i="782"/>
  <c r="G411" i="782" s="1"/>
  <c r="J409" i="782"/>
  <c r="K409" i="782" s="1"/>
  <c r="H409" i="782"/>
  <c r="K408" i="782"/>
  <c r="K407" i="782"/>
  <c r="J407" i="782"/>
  <c r="I407" i="782"/>
  <c r="H407" i="782"/>
  <c r="J406" i="782"/>
  <c r="I406" i="782"/>
  <c r="H406" i="782"/>
  <c r="K405" i="782"/>
  <c r="I404" i="782"/>
  <c r="J404" i="782" s="1"/>
  <c r="H404" i="782"/>
  <c r="G403" i="782"/>
  <c r="K399" i="782"/>
  <c r="I399" i="782"/>
  <c r="J399" i="782" s="1"/>
  <c r="H399" i="782"/>
  <c r="I398" i="782"/>
  <c r="J398" i="782" s="1"/>
  <c r="H398" i="782"/>
  <c r="I397" i="782"/>
  <c r="J397" i="782" s="1"/>
  <c r="H397" i="782"/>
  <c r="B394" i="782"/>
  <c r="O390" i="782"/>
  <c r="K389" i="782"/>
  <c r="E387" i="782"/>
  <c r="K386" i="782"/>
  <c r="G385" i="782"/>
  <c r="H385" i="782" s="1"/>
  <c r="K385" i="782" s="1"/>
  <c r="G384" i="782"/>
  <c r="H384" i="782" s="1"/>
  <c r="K384" i="782" s="1"/>
  <c r="K383" i="782"/>
  <c r="H383" i="782"/>
  <c r="G383" i="782"/>
  <c r="H382" i="782"/>
  <c r="K382" i="782" s="1"/>
  <c r="G382" i="782"/>
  <c r="G381" i="782"/>
  <c r="H381" i="782" s="1"/>
  <c r="K381" i="782" s="1"/>
  <c r="J380" i="782"/>
  <c r="H380" i="782"/>
  <c r="K380" i="782" s="1"/>
  <c r="G380" i="782"/>
  <c r="I375" i="782"/>
  <c r="J375" i="782" s="1"/>
  <c r="H375" i="782"/>
  <c r="K375" i="782" s="1"/>
  <c r="I374" i="782"/>
  <c r="J374" i="782" s="1"/>
  <c r="K374" i="782" s="1"/>
  <c r="H374" i="782"/>
  <c r="I373" i="782"/>
  <c r="J373" i="782" s="1"/>
  <c r="H373" i="782"/>
  <c r="K373" i="782" s="1"/>
  <c r="B370" i="782"/>
  <c r="K368" i="782"/>
  <c r="J368" i="782"/>
  <c r="H368" i="782"/>
  <c r="K367" i="782"/>
  <c r="J367" i="782"/>
  <c r="H367" i="782"/>
  <c r="O365" i="782"/>
  <c r="K365" i="782"/>
  <c r="J365" i="782"/>
  <c r="H365" i="782"/>
  <c r="G366" i="782" s="1"/>
  <c r="K364" i="782"/>
  <c r="J364" i="782"/>
  <c r="H364" i="782"/>
  <c r="O362" i="782"/>
  <c r="E362" i="782"/>
  <c r="H362" i="782" s="1"/>
  <c r="O361" i="782"/>
  <c r="J361" i="782"/>
  <c r="K361" i="782" s="1"/>
  <c r="H361" i="782"/>
  <c r="E361" i="782"/>
  <c r="J360" i="782"/>
  <c r="H360" i="782"/>
  <c r="I359" i="782"/>
  <c r="J359" i="782" s="1"/>
  <c r="K359" i="782" s="1"/>
  <c r="H359" i="782"/>
  <c r="J358" i="782"/>
  <c r="H358" i="782"/>
  <c r="K358" i="782" s="1"/>
  <c r="K357" i="782"/>
  <c r="J357" i="782"/>
  <c r="H357" i="782"/>
  <c r="B355" i="782"/>
  <c r="K354" i="782"/>
  <c r="K353" i="782"/>
  <c r="O351" i="782"/>
  <c r="J351" i="782"/>
  <c r="H351" i="782"/>
  <c r="E351" i="782"/>
  <c r="K350" i="782"/>
  <c r="O348" i="782"/>
  <c r="H348" i="782"/>
  <c r="E348" i="782"/>
  <c r="J348" i="782" s="1"/>
  <c r="K347" i="782"/>
  <c r="E345" i="782"/>
  <c r="J345" i="782" s="1"/>
  <c r="K344" i="782"/>
  <c r="K343" i="782"/>
  <c r="E342" i="782"/>
  <c r="H342" i="782" s="1"/>
  <c r="K342" i="782" s="1"/>
  <c r="E341" i="782"/>
  <c r="H341" i="782" s="1"/>
  <c r="K341" i="782" s="1"/>
  <c r="K340" i="782"/>
  <c r="J340" i="782"/>
  <c r="H340" i="782"/>
  <c r="J339" i="782"/>
  <c r="H339" i="782"/>
  <c r="K339" i="782" s="1"/>
  <c r="I338" i="782"/>
  <c r="J338" i="782" s="1"/>
  <c r="K338" i="782" s="1"/>
  <c r="H338" i="782"/>
  <c r="J336" i="782"/>
  <c r="K336" i="782" s="1"/>
  <c r="H336" i="782"/>
  <c r="B334" i="782"/>
  <c r="K331" i="782"/>
  <c r="J331" i="782"/>
  <c r="H331" i="782"/>
  <c r="K330" i="782"/>
  <c r="J330" i="782"/>
  <c r="H330" i="782"/>
  <c r="O328" i="782"/>
  <c r="K328" i="782"/>
  <c r="J328" i="782"/>
  <c r="H328" i="782"/>
  <c r="G329" i="782" s="1"/>
  <c r="K327" i="782"/>
  <c r="J327" i="782"/>
  <c r="H327" i="782"/>
  <c r="O325" i="782"/>
  <c r="K325" i="782"/>
  <c r="J325" i="782"/>
  <c r="H325" i="782"/>
  <c r="G326" i="782" s="1"/>
  <c r="J322" i="782"/>
  <c r="H322" i="782"/>
  <c r="K322" i="782" s="1"/>
  <c r="J321" i="782"/>
  <c r="K321" i="782" s="1"/>
  <c r="H321" i="782"/>
  <c r="G323" i="782" s="1"/>
  <c r="J320" i="782"/>
  <c r="K320" i="782" s="1"/>
  <c r="H320" i="782"/>
  <c r="J319" i="782"/>
  <c r="K319" i="782" s="1"/>
  <c r="H319" i="782"/>
  <c r="J318" i="782"/>
  <c r="H318" i="782"/>
  <c r="K318" i="782" s="1"/>
  <c r="K317" i="782"/>
  <c r="J317" i="782"/>
  <c r="H317" i="782"/>
  <c r="J316" i="782"/>
  <c r="K316" i="782" s="1"/>
  <c r="H316" i="782"/>
  <c r="J315" i="782"/>
  <c r="K315" i="782" s="1"/>
  <c r="H315" i="782"/>
  <c r="J314" i="782"/>
  <c r="H314" i="782"/>
  <c r="K314" i="782" s="1"/>
  <c r="J313" i="782"/>
  <c r="G313" i="782"/>
  <c r="H313" i="782" s="1"/>
  <c r="K313" i="782" s="1"/>
  <c r="K312" i="782"/>
  <c r="J312" i="782"/>
  <c r="H312" i="782"/>
  <c r="K311" i="782"/>
  <c r="J311" i="782"/>
  <c r="H311" i="782"/>
  <c r="J310" i="782"/>
  <c r="H310" i="782"/>
  <c r="K310" i="782" s="1"/>
  <c r="K309" i="782"/>
  <c r="J309" i="782"/>
  <c r="H309" i="782"/>
  <c r="K308" i="782"/>
  <c r="J308" i="782"/>
  <c r="H308" i="782"/>
  <c r="K307" i="782"/>
  <c r="J307" i="782"/>
  <c r="H307" i="782"/>
  <c r="J306" i="782"/>
  <c r="H306" i="782"/>
  <c r="K306" i="782" s="1"/>
  <c r="K305" i="782"/>
  <c r="J305" i="782"/>
  <c r="H305" i="782"/>
  <c r="K304" i="782"/>
  <c r="J304" i="782"/>
  <c r="H304" i="782"/>
  <c r="K303" i="782"/>
  <c r="J303" i="782"/>
  <c r="H303" i="782"/>
  <c r="J302" i="782"/>
  <c r="H302" i="782"/>
  <c r="K302" i="782" s="1"/>
  <c r="K301" i="782"/>
  <c r="J301" i="782"/>
  <c r="H301" i="782"/>
  <c r="I300" i="782"/>
  <c r="J300" i="782" s="1"/>
  <c r="H300" i="782"/>
  <c r="K300" i="782" s="1"/>
  <c r="G300" i="782"/>
  <c r="B298" i="782"/>
  <c r="J296" i="782"/>
  <c r="K296" i="782" s="1"/>
  <c r="H296" i="782"/>
  <c r="J295" i="782"/>
  <c r="H295" i="782"/>
  <c r="K295" i="782" s="1"/>
  <c r="K294" i="782"/>
  <c r="J294" i="782"/>
  <c r="H294" i="782"/>
  <c r="J293" i="782"/>
  <c r="K293" i="782" s="1"/>
  <c r="H293" i="782"/>
  <c r="J292" i="782"/>
  <c r="K292" i="782" s="1"/>
  <c r="H292" i="782"/>
  <c r="J291" i="782"/>
  <c r="H291" i="782"/>
  <c r="K291" i="782" s="1"/>
  <c r="K290" i="782"/>
  <c r="J290" i="782"/>
  <c r="H290" i="782"/>
  <c r="J289" i="782"/>
  <c r="K289" i="782" s="1"/>
  <c r="H289" i="782"/>
  <c r="J288" i="782"/>
  <c r="K288" i="782" s="1"/>
  <c r="H288" i="782"/>
  <c r="J287" i="782"/>
  <c r="H287" i="782"/>
  <c r="K287" i="782" s="1"/>
  <c r="K286" i="782"/>
  <c r="J286" i="782"/>
  <c r="E286" i="782"/>
  <c r="H286" i="782" s="1"/>
  <c r="K285" i="782"/>
  <c r="J285" i="782"/>
  <c r="H285" i="782"/>
  <c r="K284" i="782"/>
  <c r="J284" i="782"/>
  <c r="H284" i="782"/>
  <c r="J283" i="782"/>
  <c r="H283" i="782"/>
  <c r="K283" i="782" s="1"/>
  <c r="K282" i="782"/>
  <c r="J282" i="782"/>
  <c r="H282" i="782"/>
  <c r="K281" i="782"/>
  <c r="J281" i="782"/>
  <c r="H281" i="782"/>
  <c r="K280" i="782"/>
  <c r="J280" i="782"/>
  <c r="H280" i="782"/>
  <c r="J279" i="782"/>
  <c r="H279" i="782"/>
  <c r="K279" i="782" s="1"/>
  <c r="K278" i="782"/>
  <c r="J278" i="782"/>
  <c r="H278" i="782"/>
  <c r="K277" i="782"/>
  <c r="J277" i="782"/>
  <c r="H277" i="782"/>
  <c r="K276" i="782"/>
  <c r="J276" i="782"/>
  <c r="H276" i="782"/>
  <c r="G297" i="782" s="1"/>
  <c r="B274" i="782"/>
  <c r="I270" i="782"/>
  <c r="J270" i="782" s="1"/>
  <c r="G270" i="782"/>
  <c r="H270" i="782" s="1"/>
  <c r="G269" i="782"/>
  <c r="I269" i="782" s="1"/>
  <c r="J269" i="782" s="1"/>
  <c r="J274" i="782" s="1"/>
  <c r="J18" i="782" s="1"/>
  <c r="J266" i="782"/>
  <c r="J17" i="782" s="1"/>
  <c r="B266" i="782"/>
  <c r="K262" i="782"/>
  <c r="J262" i="782"/>
  <c r="H262" i="782"/>
  <c r="K261" i="782"/>
  <c r="J261" i="782"/>
  <c r="H261" i="782"/>
  <c r="J260" i="782"/>
  <c r="H260" i="782"/>
  <c r="K260" i="782" s="1"/>
  <c r="K259" i="782"/>
  <c r="J259" i="782"/>
  <c r="H259" i="782"/>
  <c r="K258" i="782"/>
  <c r="J258" i="782"/>
  <c r="H258" i="782"/>
  <c r="K257" i="782"/>
  <c r="J257" i="782"/>
  <c r="H257" i="782"/>
  <c r="J256" i="782"/>
  <c r="H256" i="782"/>
  <c r="K256" i="782" s="1"/>
  <c r="K255" i="782"/>
  <c r="J255" i="782"/>
  <c r="H255" i="782"/>
  <c r="K254" i="782"/>
  <c r="J254" i="782"/>
  <c r="H254" i="782"/>
  <c r="K253" i="782"/>
  <c r="K266" i="782" s="1"/>
  <c r="K17" i="782" s="1"/>
  <c r="J253" i="782"/>
  <c r="H253" i="782"/>
  <c r="B250" i="782"/>
  <c r="J246" i="782"/>
  <c r="H246" i="782"/>
  <c r="K246" i="782" s="1"/>
  <c r="J245" i="782"/>
  <c r="H245" i="782"/>
  <c r="K245" i="782" s="1"/>
  <c r="O243" i="782"/>
  <c r="J243" i="782"/>
  <c r="H243" i="782"/>
  <c r="O242" i="782"/>
  <c r="J242" i="782"/>
  <c r="K242" i="782" s="1"/>
  <c r="H242" i="782"/>
  <c r="J241" i="782"/>
  <c r="H241" i="782"/>
  <c r="O239" i="782"/>
  <c r="J239" i="782"/>
  <c r="H239" i="782"/>
  <c r="K239" i="782" s="1"/>
  <c r="O238" i="782"/>
  <c r="J238" i="782"/>
  <c r="H238" i="782"/>
  <c r="K238" i="782" s="1"/>
  <c r="O237" i="782"/>
  <c r="K237" i="782"/>
  <c r="J237" i="782"/>
  <c r="H237" i="782"/>
  <c r="O236" i="782"/>
  <c r="J236" i="782"/>
  <c r="H236" i="782"/>
  <c r="J235" i="782"/>
  <c r="H235" i="782"/>
  <c r="B233" i="782"/>
  <c r="K229" i="782"/>
  <c r="J229" i="782"/>
  <c r="H229" i="782"/>
  <c r="J228" i="782"/>
  <c r="H228" i="782"/>
  <c r="K228" i="782" s="1"/>
  <c r="J227" i="782"/>
  <c r="H227" i="782"/>
  <c r="O226" i="782"/>
  <c r="K226" i="782"/>
  <c r="J226" i="782"/>
  <c r="H226" i="782"/>
  <c r="O225" i="782"/>
  <c r="K225" i="782"/>
  <c r="J225" i="782"/>
  <c r="H225" i="782"/>
  <c r="O224" i="782"/>
  <c r="J224" i="782"/>
  <c r="H224" i="782"/>
  <c r="O223" i="782"/>
  <c r="K223" i="782"/>
  <c r="J223" i="782"/>
  <c r="H223" i="782"/>
  <c r="G230" i="782" s="1"/>
  <c r="H230" i="782" s="1"/>
  <c r="B220" i="782"/>
  <c r="H214" i="782"/>
  <c r="K214" i="782" s="1"/>
  <c r="K213" i="782"/>
  <c r="H213" i="782"/>
  <c r="H212" i="782"/>
  <c r="K212" i="782" s="1"/>
  <c r="H211" i="782"/>
  <c r="K211" i="782" s="1"/>
  <c r="K210" i="782"/>
  <c r="K209" i="782"/>
  <c r="H209" i="782"/>
  <c r="H208" i="782"/>
  <c r="K208" i="782" s="1"/>
  <c r="H207" i="782"/>
  <c r="K207" i="782" s="1"/>
  <c r="H206" i="782"/>
  <c r="K206" i="782" s="1"/>
  <c r="K205" i="782"/>
  <c r="H204" i="782"/>
  <c r="K204" i="782" s="1"/>
  <c r="K203" i="782"/>
  <c r="H203" i="782"/>
  <c r="H202" i="782"/>
  <c r="K202" i="782" s="1"/>
  <c r="H201" i="782"/>
  <c r="K201" i="782" s="1"/>
  <c r="K200" i="782"/>
  <c r="H199" i="782"/>
  <c r="K199" i="782" s="1"/>
  <c r="K198" i="782"/>
  <c r="H198" i="782"/>
  <c r="K197" i="782"/>
  <c r="K196" i="782"/>
  <c r="J196" i="782"/>
  <c r="H196" i="782"/>
  <c r="H195" i="782"/>
  <c r="K195" i="782" s="1"/>
  <c r="H194" i="782"/>
  <c r="K194" i="782" s="1"/>
  <c r="K193" i="782"/>
  <c r="J192" i="782"/>
  <c r="K192" i="782" s="1"/>
  <c r="H192" i="782"/>
  <c r="H191" i="782"/>
  <c r="K191" i="782" s="1"/>
  <c r="H190" i="782"/>
  <c r="K190" i="782" s="1"/>
  <c r="H189" i="782"/>
  <c r="K189" i="782" s="1"/>
  <c r="K188" i="782"/>
  <c r="K187" i="782"/>
  <c r="J187" i="782"/>
  <c r="H187" i="782"/>
  <c r="K186" i="782"/>
  <c r="H186" i="782"/>
  <c r="H185" i="782"/>
  <c r="K185" i="782" s="1"/>
  <c r="K184" i="782"/>
  <c r="J183" i="782"/>
  <c r="H183" i="782"/>
  <c r="K183" i="782" s="1"/>
  <c r="H181" i="782"/>
  <c r="K181" i="782" s="1"/>
  <c r="H180" i="782"/>
  <c r="K180" i="782" s="1"/>
  <c r="K179" i="782"/>
  <c r="J179" i="782"/>
  <c r="H179" i="782"/>
  <c r="K178" i="782"/>
  <c r="H178" i="782"/>
  <c r="K177" i="782"/>
  <c r="H176" i="782"/>
  <c r="K176" i="782" s="1"/>
  <c r="K175" i="782"/>
  <c r="H175" i="782"/>
  <c r="J174" i="782"/>
  <c r="J220" i="782" s="1"/>
  <c r="J14" i="782" s="1"/>
  <c r="H174" i="782"/>
  <c r="B171" i="782"/>
  <c r="I166" i="782"/>
  <c r="J166" i="782" s="1"/>
  <c r="H166" i="782"/>
  <c r="K165" i="782"/>
  <c r="H165" i="782"/>
  <c r="H164" i="782"/>
  <c r="K164" i="782" s="1"/>
  <c r="H163" i="782"/>
  <c r="K163" i="782" s="1"/>
  <c r="K162" i="782"/>
  <c r="H162" i="782"/>
  <c r="H161" i="782"/>
  <c r="K161" i="782" s="1"/>
  <c r="H160" i="782"/>
  <c r="K160" i="782" s="1"/>
  <c r="K159" i="782"/>
  <c r="H159" i="782"/>
  <c r="H158" i="782"/>
  <c r="K158" i="782" s="1"/>
  <c r="H157" i="782"/>
  <c r="K157" i="782" s="1"/>
  <c r="K156" i="782"/>
  <c r="H156" i="782"/>
  <c r="H155" i="782"/>
  <c r="K155" i="782" s="1"/>
  <c r="H154" i="782"/>
  <c r="K154" i="782" s="1"/>
  <c r="K153" i="782"/>
  <c r="H153" i="782"/>
  <c r="H152" i="782"/>
  <c r="K152" i="782" s="1"/>
  <c r="H151" i="782"/>
  <c r="K151" i="782" s="1"/>
  <c r="K150" i="782"/>
  <c r="H150" i="782"/>
  <c r="H149" i="782"/>
  <c r="K149" i="782" s="1"/>
  <c r="H148" i="782"/>
  <c r="K148" i="782" s="1"/>
  <c r="K147" i="782"/>
  <c r="H147" i="782"/>
  <c r="H146" i="782"/>
  <c r="K146" i="782" s="1"/>
  <c r="K145" i="782"/>
  <c r="K144" i="782"/>
  <c r="K143" i="782"/>
  <c r="J143" i="782"/>
  <c r="I143" i="782"/>
  <c r="H143" i="782"/>
  <c r="H142" i="782"/>
  <c r="K142" i="782" s="1"/>
  <c r="K141" i="782"/>
  <c r="H141" i="782"/>
  <c r="H140" i="782"/>
  <c r="K140" i="782" s="1"/>
  <c r="H139" i="782"/>
  <c r="K139" i="782" s="1"/>
  <c r="K138" i="782"/>
  <c r="K137" i="782"/>
  <c r="H137" i="782"/>
  <c r="H136" i="782"/>
  <c r="K136" i="782" s="1"/>
  <c r="K135" i="782"/>
  <c r="H135" i="782"/>
  <c r="H134" i="782"/>
  <c r="K134" i="782" s="1"/>
  <c r="K133" i="782"/>
  <c r="H133" i="782"/>
  <c r="H132" i="782"/>
  <c r="K132" i="782" s="1"/>
  <c r="K131" i="782"/>
  <c r="H131" i="782"/>
  <c r="H130" i="782"/>
  <c r="K130" i="782" s="1"/>
  <c r="K129" i="782"/>
  <c r="H129" i="782"/>
  <c r="H128" i="782"/>
  <c r="K128" i="782" s="1"/>
  <c r="K127" i="782"/>
  <c r="H127" i="782"/>
  <c r="H126" i="782"/>
  <c r="K126" i="782" s="1"/>
  <c r="K125" i="782"/>
  <c r="H125" i="782"/>
  <c r="H124" i="782"/>
  <c r="K124" i="782" s="1"/>
  <c r="H123" i="782"/>
  <c r="K123" i="782" s="1"/>
  <c r="H122" i="782"/>
  <c r="K122" i="782" s="1"/>
  <c r="K121" i="782"/>
  <c r="K120" i="782"/>
  <c r="J119" i="782"/>
  <c r="I119" i="782"/>
  <c r="H119" i="782"/>
  <c r="H118" i="782"/>
  <c r="K118" i="782" s="1"/>
  <c r="H117" i="782"/>
  <c r="K117" i="782" s="1"/>
  <c r="H116" i="782"/>
  <c r="K116" i="782" s="1"/>
  <c r="K115" i="782"/>
  <c r="H115" i="782"/>
  <c r="H114" i="782"/>
  <c r="K114" i="782" s="1"/>
  <c r="K113" i="782"/>
  <c r="H113" i="782"/>
  <c r="H112" i="782"/>
  <c r="K112" i="782" s="1"/>
  <c r="H111" i="782"/>
  <c r="K111" i="782" s="1"/>
  <c r="H110" i="782"/>
  <c r="K110" i="782" s="1"/>
  <c r="K109" i="782"/>
  <c r="H109" i="782"/>
  <c r="H108" i="782"/>
  <c r="K108" i="782" s="1"/>
  <c r="K107" i="782"/>
  <c r="H107" i="782"/>
  <c r="H106" i="782"/>
  <c r="K106" i="782" s="1"/>
  <c r="K105" i="782"/>
  <c r="H105" i="782"/>
  <c r="H104" i="782"/>
  <c r="K104" i="782" s="1"/>
  <c r="K103" i="782"/>
  <c r="H103" i="782"/>
  <c r="H102" i="782"/>
  <c r="K102" i="782" s="1"/>
  <c r="K101" i="782"/>
  <c r="H101" i="782"/>
  <c r="H100" i="782"/>
  <c r="K100" i="782" s="1"/>
  <c r="H99" i="782"/>
  <c r="K99" i="782" s="1"/>
  <c r="H98" i="782"/>
  <c r="K98" i="782" s="1"/>
  <c r="K97" i="782"/>
  <c r="K96" i="782"/>
  <c r="B94" i="782"/>
  <c r="I89" i="782"/>
  <c r="J89" i="782" s="1"/>
  <c r="H89" i="782"/>
  <c r="H88" i="782"/>
  <c r="K88" i="782" s="1"/>
  <c r="K87" i="782"/>
  <c r="H87" i="782"/>
  <c r="H86" i="782"/>
  <c r="K86" i="782" s="1"/>
  <c r="H85" i="782"/>
  <c r="K85" i="782" s="1"/>
  <c r="H84" i="782"/>
  <c r="K84" i="782" s="1"/>
  <c r="K83" i="782"/>
  <c r="H83" i="782"/>
  <c r="H82" i="782"/>
  <c r="K82" i="782" s="1"/>
  <c r="K81" i="782"/>
  <c r="H81" i="782"/>
  <c r="H80" i="782"/>
  <c r="K80" i="782" s="1"/>
  <c r="H79" i="782"/>
  <c r="K79" i="782" s="1"/>
  <c r="H78" i="782"/>
  <c r="K78" i="782" s="1"/>
  <c r="K77" i="782"/>
  <c r="H77" i="782"/>
  <c r="H76" i="782"/>
  <c r="K76" i="782" s="1"/>
  <c r="K75" i="782"/>
  <c r="H75" i="782"/>
  <c r="H74" i="782"/>
  <c r="K74" i="782" s="1"/>
  <c r="K72" i="782"/>
  <c r="I71" i="782"/>
  <c r="J71" i="782" s="1"/>
  <c r="H71" i="782"/>
  <c r="K70" i="782"/>
  <c r="H70" i="782"/>
  <c r="H69" i="782"/>
  <c r="K69" i="782" s="1"/>
  <c r="H68" i="782"/>
  <c r="K68" i="782" s="1"/>
  <c r="K67" i="782"/>
  <c r="H67" i="782"/>
  <c r="K66" i="782"/>
  <c r="H66" i="782"/>
  <c r="H65" i="782"/>
  <c r="K65" i="782" s="1"/>
  <c r="K64" i="782"/>
  <c r="H64" i="782"/>
  <c r="H63" i="782"/>
  <c r="K63" i="782" s="1"/>
  <c r="H62" i="782"/>
  <c r="K62" i="782" s="1"/>
  <c r="K61" i="782"/>
  <c r="H61" i="782"/>
  <c r="K60" i="782"/>
  <c r="H60" i="782"/>
  <c r="H59" i="782"/>
  <c r="K59" i="782" s="1"/>
  <c r="K58" i="782"/>
  <c r="H58" i="782"/>
  <c r="H57" i="782"/>
  <c r="K57" i="782" s="1"/>
  <c r="H56" i="782"/>
  <c r="K56" i="782" s="1"/>
  <c r="K53" i="782"/>
  <c r="I53" i="782"/>
  <c r="J53" i="782" s="1"/>
  <c r="H53" i="782"/>
  <c r="H52" i="782"/>
  <c r="K52" i="782" s="1"/>
  <c r="K51" i="782"/>
  <c r="H51" i="782"/>
  <c r="H50" i="782"/>
  <c r="K50" i="782" s="1"/>
  <c r="H49" i="782"/>
  <c r="K49" i="782" s="1"/>
  <c r="K48" i="782"/>
  <c r="H48" i="782"/>
  <c r="K47" i="782"/>
  <c r="H47" i="782"/>
  <c r="H46" i="782"/>
  <c r="K46" i="782" s="1"/>
  <c r="K45" i="782"/>
  <c r="H45" i="782"/>
  <c r="H44" i="782"/>
  <c r="K44" i="782" s="1"/>
  <c r="H43" i="782"/>
  <c r="K43" i="782" s="1"/>
  <c r="K42" i="782"/>
  <c r="H42" i="782"/>
  <c r="K41" i="782"/>
  <c r="H41" i="782"/>
  <c r="H40" i="782"/>
  <c r="K40" i="782" s="1"/>
  <c r="K39" i="782"/>
  <c r="H39" i="782"/>
  <c r="H38" i="782"/>
  <c r="B34" i="782"/>
  <c r="B25" i="782"/>
  <c r="A25" i="782"/>
  <c r="B24" i="782"/>
  <c r="A24" i="782"/>
  <c r="B23" i="782"/>
  <c r="A23" i="782"/>
  <c r="B22" i="782"/>
  <c r="A22" i="782"/>
  <c r="B21" i="782"/>
  <c r="A21" i="782"/>
  <c r="B20" i="782"/>
  <c r="A20" i="782"/>
  <c r="B19" i="782"/>
  <c r="A19" i="782"/>
  <c r="B18" i="782"/>
  <c r="A18" i="782"/>
  <c r="B17" i="782"/>
  <c r="A17" i="782"/>
  <c r="B16" i="782"/>
  <c r="A16" i="782"/>
  <c r="B15" i="782"/>
  <c r="A15" i="782"/>
  <c r="B14" i="782"/>
  <c r="A14" i="782"/>
  <c r="B13" i="782"/>
  <c r="A13" i="782"/>
  <c r="B12" i="782"/>
  <c r="A12" i="782"/>
  <c r="B466" i="781"/>
  <c r="O450" i="781"/>
  <c r="J450" i="781"/>
  <c r="H450" i="781"/>
  <c r="G451" i="781" s="1"/>
  <c r="E450" i="781"/>
  <c r="K449" i="781"/>
  <c r="J448" i="781"/>
  <c r="H448" i="781"/>
  <c r="K448" i="781" s="1"/>
  <c r="K447" i="781"/>
  <c r="J445" i="781"/>
  <c r="H445" i="781"/>
  <c r="J444" i="781"/>
  <c r="H444" i="781"/>
  <c r="B442" i="781"/>
  <c r="J432" i="781"/>
  <c r="I432" i="781"/>
  <c r="G432" i="781"/>
  <c r="H432" i="781" s="1"/>
  <c r="K431" i="781"/>
  <c r="J431" i="781"/>
  <c r="H431" i="781"/>
  <c r="K430" i="781"/>
  <c r="J427" i="781"/>
  <c r="H427" i="781"/>
  <c r="J426" i="781"/>
  <c r="H426" i="781"/>
  <c r="K425" i="781"/>
  <c r="I424" i="781"/>
  <c r="J424" i="781" s="1"/>
  <c r="H424" i="781"/>
  <c r="K424" i="781" s="1"/>
  <c r="J423" i="781"/>
  <c r="K423" i="781" s="1"/>
  <c r="I423" i="781"/>
  <c r="H423" i="781"/>
  <c r="K422" i="781"/>
  <c r="I421" i="781"/>
  <c r="J421" i="781" s="1"/>
  <c r="K421" i="781" s="1"/>
  <c r="H421" i="781"/>
  <c r="I420" i="781"/>
  <c r="J420" i="781" s="1"/>
  <c r="G420" i="781"/>
  <c r="H420" i="781" s="1"/>
  <c r="K420" i="781" s="1"/>
  <c r="I416" i="781"/>
  <c r="J416" i="781" s="1"/>
  <c r="H416" i="781"/>
  <c r="K416" i="781" s="1"/>
  <c r="I415" i="781"/>
  <c r="J415" i="781" s="1"/>
  <c r="H415" i="781"/>
  <c r="J414" i="781"/>
  <c r="I414" i="781"/>
  <c r="H414" i="781"/>
  <c r="B411" i="781"/>
  <c r="O406" i="781"/>
  <c r="K405" i="781"/>
  <c r="J403" i="781"/>
  <c r="E403" i="781"/>
  <c r="H403" i="781" s="1"/>
  <c r="K402" i="781"/>
  <c r="G401" i="781"/>
  <c r="H401" i="781" s="1"/>
  <c r="K401" i="781" s="1"/>
  <c r="G400" i="781"/>
  <c r="H400" i="781" s="1"/>
  <c r="K400" i="781" s="1"/>
  <c r="G399" i="781"/>
  <c r="H399" i="781" s="1"/>
  <c r="K399" i="781" s="1"/>
  <c r="H398" i="781"/>
  <c r="K398" i="781" s="1"/>
  <c r="G398" i="781"/>
  <c r="H397" i="781"/>
  <c r="K397" i="781" s="1"/>
  <c r="G397" i="781"/>
  <c r="J396" i="781"/>
  <c r="H396" i="781"/>
  <c r="K396" i="781" s="1"/>
  <c r="G396" i="781"/>
  <c r="J392" i="781"/>
  <c r="I392" i="781"/>
  <c r="H392" i="781"/>
  <c r="K392" i="781" s="1"/>
  <c r="I391" i="781"/>
  <c r="J391" i="781" s="1"/>
  <c r="H391" i="781"/>
  <c r="I390" i="781"/>
  <c r="J390" i="781" s="1"/>
  <c r="H390" i="781"/>
  <c r="K390" i="781" s="1"/>
  <c r="B387" i="781"/>
  <c r="J385" i="781"/>
  <c r="H385" i="781"/>
  <c r="K385" i="781" s="1"/>
  <c r="K384" i="781"/>
  <c r="J384" i="781"/>
  <c r="H384" i="781"/>
  <c r="O381" i="781"/>
  <c r="J381" i="781"/>
  <c r="H381" i="781"/>
  <c r="K380" i="781"/>
  <c r="J380" i="781"/>
  <c r="H380" i="781"/>
  <c r="K379" i="781"/>
  <c r="O377" i="781"/>
  <c r="J377" i="781"/>
  <c r="H377" i="781"/>
  <c r="E377" i="781"/>
  <c r="O376" i="781"/>
  <c r="E376" i="781"/>
  <c r="J376" i="781" s="1"/>
  <c r="J375" i="781"/>
  <c r="H375" i="781"/>
  <c r="K375" i="781" s="1"/>
  <c r="I374" i="781"/>
  <c r="J374" i="781" s="1"/>
  <c r="H374" i="781"/>
  <c r="J373" i="781"/>
  <c r="H373" i="781"/>
  <c r="K373" i="781" s="1"/>
  <c r="J372" i="781"/>
  <c r="H372" i="781"/>
  <c r="K372" i="781" s="1"/>
  <c r="B370" i="781"/>
  <c r="O363" i="781"/>
  <c r="H363" i="781"/>
  <c r="G364" i="781" s="1"/>
  <c r="E363" i="781"/>
  <c r="J363" i="781" s="1"/>
  <c r="K363" i="781" s="1"/>
  <c r="K362" i="781"/>
  <c r="O360" i="781"/>
  <c r="K359" i="781"/>
  <c r="E357" i="781"/>
  <c r="J357" i="781" s="1"/>
  <c r="K356" i="781"/>
  <c r="K355" i="781"/>
  <c r="E354" i="781"/>
  <c r="H354" i="781" s="1"/>
  <c r="K354" i="781" s="1"/>
  <c r="K353" i="781"/>
  <c r="E353" i="781"/>
  <c r="H353" i="781" s="1"/>
  <c r="K352" i="781"/>
  <c r="J352" i="781"/>
  <c r="H352" i="781"/>
  <c r="K351" i="781"/>
  <c r="J351" i="781"/>
  <c r="H351" i="781"/>
  <c r="I350" i="781"/>
  <c r="J350" i="781" s="1"/>
  <c r="H350" i="781"/>
  <c r="K349" i="781"/>
  <c r="J348" i="781"/>
  <c r="H348" i="781"/>
  <c r="K348" i="781" s="1"/>
  <c r="B346" i="781"/>
  <c r="J343" i="781"/>
  <c r="H343" i="781"/>
  <c r="K343" i="781" s="1"/>
  <c r="K342" i="781"/>
  <c r="J342" i="781"/>
  <c r="H342" i="781"/>
  <c r="O340" i="781"/>
  <c r="J340" i="781"/>
  <c r="H340" i="781"/>
  <c r="K339" i="781"/>
  <c r="J339" i="781"/>
  <c r="H339" i="781"/>
  <c r="O337" i="781"/>
  <c r="J337" i="781"/>
  <c r="H337" i="781"/>
  <c r="H335" i="781"/>
  <c r="G335" i="781"/>
  <c r="I335" i="781" s="1"/>
  <c r="J335" i="781" s="1"/>
  <c r="K335" i="781" s="1"/>
  <c r="J334" i="781"/>
  <c r="H334" i="781"/>
  <c r="K334" i="781" s="1"/>
  <c r="K333" i="781"/>
  <c r="J333" i="781"/>
  <c r="H333" i="781"/>
  <c r="K332" i="781"/>
  <c r="J332" i="781"/>
  <c r="H332" i="781"/>
  <c r="J331" i="781"/>
  <c r="H331" i="781"/>
  <c r="K331" i="781" s="1"/>
  <c r="J330" i="781"/>
  <c r="H330" i="781"/>
  <c r="K330" i="781" s="1"/>
  <c r="K329" i="781"/>
  <c r="J329" i="781"/>
  <c r="H329" i="781"/>
  <c r="J328" i="781"/>
  <c r="K328" i="781" s="1"/>
  <c r="H328" i="781"/>
  <c r="J327" i="781"/>
  <c r="H327" i="781"/>
  <c r="K327" i="781" s="1"/>
  <c r="J326" i="781"/>
  <c r="H326" i="781"/>
  <c r="K326" i="781" s="1"/>
  <c r="J325" i="781"/>
  <c r="G325" i="781"/>
  <c r="H325" i="781" s="1"/>
  <c r="K325" i="781" s="1"/>
  <c r="K324" i="781"/>
  <c r="J324" i="781"/>
  <c r="H324" i="781"/>
  <c r="K323" i="781"/>
  <c r="J323" i="781"/>
  <c r="H323" i="781"/>
  <c r="J322" i="781"/>
  <c r="H322" i="781"/>
  <c r="K322" i="781" s="1"/>
  <c r="J321" i="781"/>
  <c r="H321" i="781"/>
  <c r="K321" i="781" s="1"/>
  <c r="K320" i="781"/>
  <c r="J320" i="781"/>
  <c r="H320" i="781"/>
  <c r="K319" i="781"/>
  <c r="J319" i="781"/>
  <c r="H319" i="781"/>
  <c r="J318" i="781"/>
  <c r="H318" i="781"/>
  <c r="K318" i="781" s="1"/>
  <c r="J317" i="781"/>
  <c r="H317" i="781"/>
  <c r="K317" i="781" s="1"/>
  <c r="K316" i="781"/>
  <c r="J316" i="781"/>
  <c r="H316" i="781"/>
  <c r="K315" i="781"/>
  <c r="J315" i="781"/>
  <c r="H315" i="781"/>
  <c r="J314" i="781"/>
  <c r="H314" i="781"/>
  <c r="K314" i="781" s="1"/>
  <c r="J313" i="781"/>
  <c r="H313" i="781"/>
  <c r="K313" i="781" s="1"/>
  <c r="H312" i="781"/>
  <c r="G312" i="781"/>
  <c r="I312" i="781" s="1"/>
  <c r="J312" i="781" s="1"/>
  <c r="B310" i="781"/>
  <c r="J305" i="781"/>
  <c r="H305" i="781"/>
  <c r="K305" i="781" s="1"/>
  <c r="J304" i="781"/>
  <c r="H304" i="781"/>
  <c r="K304" i="781" s="1"/>
  <c r="K303" i="781"/>
  <c r="J303" i="781"/>
  <c r="H303" i="781"/>
  <c r="J302" i="781"/>
  <c r="K302" i="781" s="1"/>
  <c r="H302" i="781"/>
  <c r="J301" i="781"/>
  <c r="H301" i="781"/>
  <c r="K301" i="781" s="1"/>
  <c r="J300" i="781"/>
  <c r="H300" i="781"/>
  <c r="K300" i="781" s="1"/>
  <c r="K299" i="781"/>
  <c r="J299" i="781"/>
  <c r="H299" i="781"/>
  <c r="K298" i="781"/>
  <c r="J298" i="781"/>
  <c r="H298" i="781"/>
  <c r="J297" i="781"/>
  <c r="H297" i="781"/>
  <c r="K297" i="781" s="1"/>
  <c r="J296" i="781"/>
  <c r="H296" i="781"/>
  <c r="K296" i="781" s="1"/>
  <c r="E295" i="781"/>
  <c r="K294" i="781"/>
  <c r="J294" i="781"/>
  <c r="H294" i="781"/>
  <c r="K293" i="781"/>
  <c r="J293" i="781"/>
  <c r="H293" i="781"/>
  <c r="J292" i="781"/>
  <c r="H292" i="781"/>
  <c r="K292" i="781" s="1"/>
  <c r="J291" i="781"/>
  <c r="H291" i="781"/>
  <c r="K291" i="781" s="1"/>
  <c r="K290" i="781"/>
  <c r="J290" i="781"/>
  <c r="H290" i="781"/>
  <c r="K289" i="781"/>
  <c r="J289" i="781"/>
  <c r="H289" i="781"/>
  <c r="J288" i="781"/>
  <c r="H288" i="781"/>
  <c r="K288" i="781" s="1"/>
  <c r="J287" i="781"/>
  <c r="H287" i="781"/>
  <c r="K287" i="781" s="1"/>
  <c r="K286" i="781"/>
  <c r="J286" i="781"/>
  <c r="H286" i="781"/>
  <c r="K285" i="781"/>
  <c r="J285" i="781"/>
  <c r="H285" i="781"/>
  <c r="B283" i="781"/>
  <c r="I278" i="781"/>
  <c r="J278" i="781" s="1"/>
  <c r="G278" i="781"/>
  <c r="H278" i="781" s="1"/>
  <c r="H277" i="781"/>
  <c r="G277" i="781"/>
  <c r="I277" i="781" s="1"/>
  <c r="J277" i="781" s="1"/>
  <c r="B274" i="781"/>
  <c r="K267" i="781"/>
  <c r="J267" i="781"/>
  <c r="H267" i="781"/>
  <c r="K266" i="781"/>
  <c r="J266" i="781"/>
  <c r="H266" i="781"/>
  <c r="J265" i="781"/>
  <c r="H265" i="781"/>
  <c r="K265" i="781" s="1"/>
  <c r="J264" i="781"/>
  <c r="H264" i="781"/>
  <c r="K264" i="781" s="1"/>
  <c r="K263" i="781"/>
  <c r="J263" i="781"/>
  <c r="H263" i="781"/>
  <c r="K262" i="781"/>
  <c r="J262" i="781"/>
  <c r="H262" i="781"/>
  <c r="J261" i="781"/>
  <c r="H261" i="781"/>
  <c r="K261" i="781" s="1"/>
  <c r="J260" i="781"/>
  <c r="H260" i="781"/>
  <c r="K260" i="781" s="1"/>
  <c r="K259" i="781"/>
  <c r="J259" i="781"/>
  <c r="H259" i="781"/>
  <c r="K258" i="781"/>
  <c r="J258" i="781"/>
  <c r="J274" i="781" s="1"/>
  <c r="H258" i="781"/>
  <c r="B255" i="781"/>
  <c r="J252" i="781"/>
  <c r="H252" i="781"/>
  <c r="J251" i="781"/>
  <c r="H251" i="781"/>
  <c r="K251" i="781" s="1"/>
  <c r="O249" i="781"/>
  <c r="J249" i="781"/>
  <c r="H249" i="781"/>
  <c r="O248" i="781"/>
  <c r="J248" i="781"/>
  <c r="H248" i="781"/>
  <c r="K248" i="781" s="1"/>
  <c r="J247" i="781"/>
  <c r="H247" i="781"/>
  <c r="G246" i="781"/>
  <c r="O245" i="781"/>
  <c r="J245" i="781"/>
  <c r="H245" i="781"/>
  <c r="K245" i="781" s="1"/>
  <c r="O244" i="781"/>
  <c r="J244" i="781"/>
  <c r="H244" i="781"/>
  <c r="K244" i="781" s="1"/>
  <c r="O243" i="781"/>
  <c r="J243" i="781"/>
  <c r="H243" i="781"/>
  <c r="O242" i="781"/>
  <c r="J242" i="781"/>
  <c r="H242" i="781"/>
  <c r="K242" i="781" s="1"/>
  <c r="J241" i="781"/>
  <c r="H241" i="781"/>
  <c r="B239" i="781"/>
  <c r="K235" i="781"/>
  <c r="J235" i="781"/>
  <c r="H235" i="781"/>
  <c r="J234" i="781"/>
  <c r="H234" i="781"/>
  <c r="K234" i="781" s="1"/>
  <c r="J233" i="781"/>
  <c r="H233" i="781"/>
  <c r="O232" i="781"/>
  <c r="K232" i="781"/>
  <c r="J232" i="781"/>
  <c r="H232" i="781"/>
  <c r="O231" i="781"/>
  <c r="J231" i="781"/>
  <c r="H231" i="781"/>
  <c r="K231" i="781" s="1"/>
  <c r="O230" i="781"/>
  <c r="K230" i="781"/>
  <c r="J230" i="781"/>
  <c r="H230" i="781"/>
  <c r="O229" i="781"/>
  <c r="K229" i="781"/>
  <c r="J229" i="781"/>
  <c r="H229" i="781"/>
  <c r="G236" i="781" s="1"/>
  <c r="H236" i="781" s="1"/>
  <c r="J228" i="781"/>
  <c r="H228" i="781"/>
  <c r="J227" i="781"/>
  <c r="H227" i="781"/>
  <c r="B226" i="781"/>
  <c r="H223" i="781"/>
  <c r="K223" i="781" s="1"/>
  <c r="H222" i="781"/>
  <c r="K222" i="781" s="1"/>
  <c r="K221" i="781"/>
  <c r="H221" i="781"/>
  <c r="H220" i="781"/>
  <c r="K220" i="781" s="1"/>
  <c r="K219" i="781"/>
  <c r="K218" i="781"/>
  <c r="H218" i="781"/>
  <c r="H217" i="781"/>
  <c r="K217" i="781" s="1"/>
  <c r="K216" i="781"/>
  <c r="H216" i="781"/>
  <c r="H215" i="781"/>
  <c r="K215" i="781" s="1"/>
  <c r="K214" i="781"/>
  <c r="H213" i="781"/>
  <c r="K213" i="781" s="1"/>
  <c r="H212" i="781"/>
  <c r="K212" i="781" s="1"/>
  <c r="K211" i="781"/>
  <c r="H211" i="781"/>
  <c r="H210" i="781"/>
  <c r="K210" i="781" s="1"/>
  <c r="K209" i="781"/>
  <c r="H208" i="781"/>
  <c r="K208" i="781" s="1"/>
  <c r="K207" i="781"/>
  <c r="H207" i="781"/>
  <c r="K206" i="781"/>
  <c r="J205" i="781"/>
  <c r="H205" i="781"/>
  <c r="K205" i="781" s="1"/>
  <c r="H204" i="781"/>
  <c r="K204" i="781" s="1"/>
  <c r="K203" i="781"/>
  <c r="H203" i="781"/>
  <c r="K202" i="781"/>
  <c r="K201" i="781"/>
  <c r="J201" i="781"/>
  <c r="H201" i="781"/>
  <c r="K200" i="781"/>
  <c r="H200" i="781"/>
  <c r="K199" i="781"/>
  <c r="H199" i="781"/>
  <c r="K198" i="781"/>
  <c r="K197" i="781"/>
  <c r="J197" i="781"/>
  <c r="H197" i="781"/>
  <c r="H196" i="781"/>
  <c r="K196" i="781" s="1"/>
  <c r="K195" i="781"/>
  <c r="H195" i="781"/>
  <c r="K194" i="781"/>
  <c r="J193" i="781"/>
  <c r="H193" i="781"/>
  <c r="K193" i="781" s="1"/>
  <c r="H191" i="781"/>
  <c r="K191" i="781" s="1"/>
  <c r="K190" i="781"/>
  <c r="H190" i="781"/>
  <c r="K189" i="781"/>
  <c r="K188" i="781"/>
  <c r="J188" i="781"/>
  <c r="H188" i="781"/>
  <c r="K187" i="781"/>
  <c r="H187" i="781"/>
  <c r="K186" i="781"/>
  <c r="H186" i="781"/>
  <c r="K185" i="781"/>
  <c r="J184" i="781"/>
  <c r="K184" i="781" s="1"/>
  <c r="H184" i="781"/>
  <c r="H183" i="781"/>
  <c r="K183" i="781" s="1"/>
  <c r="K182" i="781"/>
  <c r="H182" i="781"/>
  <c r="K181" i="781"/>
  <c r="J180" i="781"/>
  <c r="H180" i="781"/>
  <c r="K180" i="781" s="1"/>
  <c r="H178" i="781"/>
  <c r="K178" i="781" s="1"/>
  <c r="K177" i="781"/>
  <c r="H177" i="781"/>
  <c r="J176" i="781"/>
  <c r="H176" i="781"/>
  <c r="K176" i="781" s="1"/>
  <c r="H175" i="781"/>
  <c r="K175" i="781" s="1"/>
  <c r="K174" i="781"/>
  <c r="K173" i="781"/>
  <c r="H173" i="781"/>
  <c r="H172" i="781"/>
  <c r="K172" i="781" s="1"/>
  <c r="K171" i="781"/>
  <c r="J171" i="781"/>
  <c r="H171" i="781"/>
  <c r="B168" i="781"/>
  <c r="J166" i="781"/>
  <c r="I166" i="781"/>
  <c r="H166" i="781"/>
  <c r="K166" i="781" s="1"/>
  <c r="H165" i="781"/>
  <c r="K165" i="781" s="1"/>
  <c r="H164" i="781"/>
  <c r="K164" i="781" s="1"/>
  <c r="H163" i="781"/>
  <c r="K163" i="781" s="1"/>
  <c r="H162" i="781"/>
  <c r="K162" i="781" s="1"/>
  <c r="H161" i="781"/>
  <c r="K161" i="781" s="1"/>
  <c r="K160" i="781"/>
  <c r="H160" i="781"/>
  <c r="K159" i="781"/>
  <c r="H159" i="781"/>
  <c r="H158" i="781"/>
  <c r="K158" i="781" s="1"/>
  <c r="H157" i="781"/>
  <c r="K157" i="781" s="1"/>
  <c r="H156" i="781"/>
  <c r="K156" i="781" s="1"/>
  <c r="H155" i="781"/>
  <c r="K155" i="781" s="1"/>
  <c r="K154" i="781"/>
  <c r="H154" i="781"/>
  <c r="K153" i="781"/>
  <c r="H153" i="781"/>
  <c r="H152" i="781"/>
  <c r="K152" i="781" s="1"/>
  <c r="H151" i="781"/>
  <c r="K151" i="781" s="1"/>
  <c r="H150" i="781"/>
  <c r="K150" i="781" s="1"/>
  <c r="H149" i="781"/>
  <c r="K149" i="781" s="1"/>
  <c r="K148" i="781"/>
  <c r="H148" i="781"/>
  <c r="H147" i="781"/>
  <c r="K147" i="781" s="1"/>
  <c r="H146" i="781"/>
  <c r="K146" i="781" s="1"/>
  <c r="K145" i="781"/>
  <c r="K144" i="781"/>
  <c r="J143" i="781"/>
  <c r="I143" i="781"/>
  <c r="H143" i="781"/>
  <c r="K142" i="781"/>
  <c r="H142" i="781"/>
  <c r="H141" i="781"/>
  <c r="K141" i="781" s="1"/>
  <c r="H140" i="781"/>
  <c r="K140" i="781" s="1"/>
  <c r="H139" i="781"/>
  <c r="K139" i="781" s="1"/>
  <c r="K138" i="781"/>
  <c r="K137" i="781"/>
  <c r="H137" i="781"/>
  <c r="K136" i="781"/>
  <c r="H136" i="781"/>
  <c r="H135" i="781"/>
  <c r="K135" i="781" s="1"/>
  <c r="K134" i="781"/>
  <c r="H134" i="781"/>
  <c r="H133" i="781"/>
  <c r="K133" i="781" s="1"/>
  <c r="K132" i="781"/>
  <c r="H132" i="781"/>
  <c r="K131" i="781"/>
  <c r="H131" i="781"/>
  <c r="K130" i="781"/>
  <c r="H130" i="781"/>
  <c r="H129" i="781"/>
  <c r="K129" i="781" s="1"/>
  <c r="K128" i="781"/>
  <c r="H128" i="781"/>
  <c r="H127" i="781"/>
  <c r="K127" i="781" s="1"/>
  <c r="K126" i="781"/>
  <c r="H126" i="781"/>
  <c r="K125" i="781"/>
  <c r="H125" i="781"/>
  <c r="K124" i="781"/>
  <c r="H124" i="781"/>
  <c r="H123" i="781"/>
  <c r="K123" i="781" s="1"/>
  <c r="K122" i="781"/>
  <c r="H122" i="781"/>
  <c r="K121" i="781"/>
  <c r="K120" i="781"/>
  <c r="I119" i="781"/>
  <c r="J119" i="781" s="1"/>
  <c r="H119" i="781"/>
  <c r="K118" i="781"/>
  <c r="H118" i="781"/>
  <c r="H117" i="781"/>
  <c r="K117" i="781" s="1"/>
  <c r="K116" i="781"/>
  <c r="H116" i="781"/>
  <c r="H115" i="781"/>
  <c r="K115" i="781" s="1"/>
  <c r="K114" i="781"/>
  <c r="H113" i="781"/>
  <c r="K113" i="781" s="1"/>
  <c r="H112" i="781"/>
  <c r="K112" i="781" s="1"/>
  <c r="K111" i="781"/>
  <c r="H111" i="781"/>
  <c r="K110" i="781"/>
  <c r="H110" i="781"/>
  <c r="H109" i="781"/>
  <c r="K109" i="781" s="1"/>
  <c r="H108" i="781"/>
  <c r="K108" i="781" s="1"/>
  <c r="H107" i="781"/>
  <c r="K107" i="781" s="1"/>
  <c r="H106" i="781"/>
  <c r="K106" i="781" s="1"/>
  <c r="K105" i="781"/>
  <c r="H105" i="781"/>
  <c r="H104" i="781"/>
  <c r="K104" i="781" s="1"/>
  <c r="H103" i="781"/>
  <c r="K103" i="781" s="1"/>
  <c r="K102" i="781"/>
  <c r="H102" i="781"/>
  <c r="H101" i="781"/>
  <c r="K101" i="781" s="1"/>
  <c r="H100" i="781"/>
  <c r="K100" i="781" s="1"/>
  <c r="K99" i="781"/>
  <c r="H99" i="781"/>
  <c r="H98" i="781"/>
  <c r="K97" i="781"/>
  <c r="K96" i="781"/>
  <c r="J94" i="781"/>
  <c r="J12" i="781" s="1"/>
  <c r="B94" i="781"/>
  <c r="J89" i="781"/>
  <c r="I89" i="781"/>
  <c r="H89" i="781"/>
  <c r="K89" i="781" s="1"/>
  <c r="K88" i="781"/>
  <c r="H88" i="781"/>
  <c r="H87" i="781"/>
  <c r="K87" i="781" s="1"/>
  <c r="H86" i="781"/>
  <c r="K86" i="781" s="1"/>
  <c r="H85" i="781"/>
  <c r="K85" i="781" s="1"/>
  <c r="H84" i="781"/>
  <c r="K84" i="781" s="1"/>
  <c r="K83" i="781"/>
  <c r="H83" i="781"/>
  <c r="H82" i="781"/>
  <c r="K82" i="781" s="1"/>
  <c r="H81" i="781"/>
  <c r="K81" i="781" s="1"/>
  <c r="K80" i="781"/>
  <c r="H80" i="781"/>
  <c r="H79" i="781"/>
  <c r="K79" i="781" s="1"/>
  <c r="H78" i="781"/>
  <c r="K78" i="781" s="1"/>
  <c r="K77" i="781"/>
  <c r="H77" i="781"/>
  <c r="H76" i="781"/>
  <c r="K76" i="781" s="1"/>
  <c r="H75" i="781"/>
  <c r="K75" i="781" s="1"/>
  <c r="H74" i="781"/>
  <c r="K74" i="781" s="1"/>
  <c r="K72" i="781"/>
  <c r="K71" i="781"/>
  <c r="I71" i="781"/>
  <c r="J71" i="781" s="1"/>
  <c r="H71" i="781"/>
  <c r="H70" i="781"/>
  <c r="K70" i="781" s="1"/>
  <c r="K69" i="781"/>
  <c r="H69" i="781"/>
  <c r="H68" i="781"/>
  <c r="K68" i="781" s="1"/>
  <c r="K67" i="781"/>
  <c r="H67" i="781"/>
  <c r="K66" i="781"/>
  <c r="H66" i="781"/>
  <c r="K65" i="781"/>
  <c r="H65" i="781"/>
  <c r="H64" i="781"/>
  <c r="K64" i="781" s="1"/>
  <c r="K63" i="781"/>
  <c r="H63" i="781"/>
  <c r="H62" i="781"/>
  <c r="K62" i="781" s="1"/>
  <c r="K61" i="781"/>
  <c r="H61" i="781"/>
  <c r="K60" i="781"/>
  <c r="H60" i="781"/>
  <c r="K59" i="781"/>
  <c r="H59" i="781"/>
  <c r="H58" i="781"/>
  <c r="K58" i="781" s="1"/>
  <c r="K57" i="781"/>
  <c r="H57" i="781"/>
  <c r="H56" i="781"/>
  <c r="K56" i="781" s="1"/>
  <c r="K53" i="781"/>
  <c r="I53" i="781"/>
  <c r="J53" i="781" s="1"/>
  <c r="H53" i="781"/>
  <c r="K52" i="781"/>
  <c r="H52" i="781"/>
  <c r="H51" i="781"/>
  <c r="K51" i="781" s="1"/>
  <c r="K50" i="781"/>
  <c r="H50" i="781"/>
  <c r="H49" i="781"/>
  <c r="K49" i="781" s="1"/>
  <c r="K48" i="781"/>
  <c r="H48" i="781"/>
  <c r="K47" i="781"/>
  <c r="H47" i="781"/>
  <c r="K46" i="781"/>
  <c r="H46" i="781"/>
  <c r="H45" i="781"/>
  <c r="K45" i="781" s="1"/>
  <c r="K44" i="781"/>
  <c r="H44" i="781"/>
  <c r="H43" i="781"/>
  <c r="K43" i="781" s="1"/>
  <c r="K42" i="781"/>
  <c r="H42" i="781"/>
  <c r="K41" i="781"/>
  <c r="H41" i="781"/>
  <c r="K40" i="781"/>
  <c r="H40" i="781"/>
  <c r="H39" i="781"/>
  <c r="K39" i="781" s="1"/>
  <c r="K38" i="781"/>
  <c r="H38" i="781"/>
  <c r="B34" i="781"/>
  <c r="B25" i="781"/>
  <c r="A25" i="781"/>
  <c r="B24" i="781"/>
  <c r="A24" i="781"/>
  <c r="B23" i="781"/>
  <c r="A23" i="781"/>
  <c r="B22" i="781"/>
  <c r="A22" i="781"/>
  <c r="B21" i="781"/>
  <c r="A21" i="781"/>
  <c r="B20" i="781"/>
  <c r="A20" i="781"/>
  <c r="B19" i="781"/>
  <c r="A19" i="781"/>
  <c r="B18" i="781"/>
  <c r="A18" i="781"/>
  <c r="J17" i="781"/>
  <c r="B17" i="781"/>
  <c r="A17" i="781"/>
  <c r="B16" i="781"/>
  <c r="A16" i="781"/>
  <c r="B15" i="781"/>
  <c r="A15" i="781"/>
  <c r="B14" i="781"/>
  <c r="A14" i="781"/>
  <c r="B13" i="781"/>
  <c r="A13" i="781"/>
  <c r="B12" i="781"/>
  <c r="A12" i="781"/>
  <c r="B442" i="780"/>
  <c r="O438" i="780"/>
  <c r="J438" i="780"/>
  <c r="H438" i="780"/>
  <c r="E438" i="780"/>
  <c r="K437" i="780"/>
  <c r="J436" i="780"/>
  <c r="H436" i="780"/>
  <c r="K436" i="780" s="1"/>
  <c r="K435" i="780"/>
  <c r="J434" i="780"/>
  <c r="K434" i="780" s="1"/>
  <c r="H434" i="780"/>
  <c r="J433" i="780"/>
  <c r="H433" i="780"/>
  <c r="K433" i="780" s="1"/>
  <c r="B431" i="780"/>
  <c r="J427" i="780"/>
  <c r="H427" i="780"/>
  <c r="K426" i="780"/>
  <c r="K424" i="780"/>
  <c r="J424" i="780"/>
  <c r="H424" i="780"/>
  <c r="J423" i="780"/>
  <c r="H423" i="780"/>
  <c r="K422" i="780"/>
  <c r="K421" i="780"/>
  <c r="I421" i="780"/>
  <c r="J421" i="780" s="1"/>
  <c r="H421" i="780"/>
  <c r="J420" i="780"/>
  <c r="I420" i="780"/>
  <c r="H420" i="780"/>
  <c r="K420" i="780" s="1"/>
  <c r="K419" i="780"/>
  <c r="J418" i="780"/>
  <c r="I418" i="780"/>
  <c r="H418" i="780"/>
  <c r="K418" i="780" s="1"/>
  <c r="G417" i="780"/>
  <c r="I413" i="780"/>
  <c r="J413" i="780" s="1"/>
  <c r="H413" i="780"/>
  <c r="I412" i="780"/>
  <c r="J412" i="780" s="1"/>
  <c r="K412" i="780" s="1"/>
  <c r="H412" i="780"/>
  <c r="J411" i="780"/>
  <c r="I411" i="780"/>
  <c r="H411" i="780"/>
  <c r="B408" i="780"/>
  <c r="O406" i="780"/>
  <c r="K405" i="780"/>
  <c r="E403" i="780"/>
  <c r="K402" i="780"/>
  <c r="G401" i="780"/>
  <c r="H401" i="780" s="1"/>
  <c r="K401" i="780" s="1"/>
  <c r="K400" i="780"/>
  <c r="G400" i="780"/>
  <c r="H400" i="780" s="1"/>
  <c r="H399" i="780"/>
  <c r="K399" i="780" s="1"/>
  <c r="G399" i="780"/>
  <c r="G398" i="780"/>
  <c r="H398" i="780" s="1"/>
  <c r="K398" i="780" s="1"/>
  <c r="G397" i="780"/>
  <c r="H397" i="780" s="1"/>
  <c r="K397" i="780" s="1"/>
  <c r="J396" i="780"/>
  <c r="H396" i="780"/>
  <c r="G396" i="780"/>
  <c r="K390" i="780"/>
  <c r="J390" i="780"/>
  <c r="I390" i="780"/>
  <c r="H390" i="780"/>
  <c r="I389" i="780"/>
  <c r="J389" i="780" s="1"/>
  <c r="H389" i="780"/>
  <c r="K388" i="780"/>
  <c r="I388" i="780"/>
  <c r="J388" i="780" s="1"/>
  <c r="H388" i="780"/>
  <c r="B385" i="780"/>
  <c r="E383" i="780"/>
  <c r="J382" i="780"/>
  <c r="H382" i="780"/>
  <c r="K382" i="780" s="1"/>
  <c r="G381" i="780"/>
  <c r="O380" i="780"/>
  <c r="H380" i="780"/>
  <c r="K380" i="780" s="1"/>
  <c r="E380" i="780"/>
  <c r="J380" i="780" s="1"/>
  <c r="J379" i="780"/>
  <c r="K379" i="780" s="1"/>
  <c r="H379" i="780"/>
  <c r="O377" i="780"/>
  <c r="J377" i="780"/>
  <c r="H377" i="780"/>
  <c r="E377" i="780"/>
  <c r="O376" i="780"/>
  <c r="J376" i="780"/>
  <c r="H376" i="780"/>
  <c r="E376" i="780"/>
  <c r="J375" i="780"/>
  <c r="K375" i="780" s="1"/>
  <c r="H375" i="780"/>
  <c r="I374" i="780"/>
  <c r="J374" i="780" s="1"/>
  <c r="H374" i="780"/>
  <c r="J373" i="780"/>
  <c r="H373" i="780"/>
  <c r="K373" i="780" s="1"/>
  <c r="J372" i="780"/>
  <c r="H372" i="780"/>
  <c r="B370" i="780"/>
  <c r="K366" i="780"/>
  <c r="O364" i="780"/>
  <c r="J364" i="780"/>
  <c r="E364" i="780"/>
  <c r="H364" i="780" s="1"/>
  <c r="G365" i="780" s="1"/>
  <c r="I365" i="780" s="1"/>
  <c r="J365" i="780" s="1"/>
  <c r="K363" i="780"/>
  <c r="O361" i="780"/>
  <c r="K360" i="780"/>
  <c r="E357" i="780"/>
  <c r="K356" i="780"/>
  <c r="K355" i="780"/>
  <c r="H354" i="780"/>
  <c r="K354" i="780" s="1"/>
  <c r="E354" i="780"/>
  <c r="H353" i="780"/>
  <c r="K353" i="780" s="1"/>
  <c r="E353" i="780"/>
  <c r="K352" i="780"/>
  <c r="J352" i="780"/>
  <c r="H352" i="780"/>
  <c r="J351" i="780"/>
  <c r="K351" i="780" s="1"/>
  <c r="H351" i="780"/>
  <c r="J350" i="780"/>
  <c r="K350" i="780" s="1"/>
  <c r="I350" i="780"/>
  <c r="H350" i="780"/>
  <c r="J348" i="780"/>
  <c r="H348" i="780"/>
  <c r="B346" i="780"/>
  <c r="H342" i="780"/>
  <c r="K342" i="780" s="1"/>
  <c r="E342" i="780"/>
  <c r="J342" i="780" s="1"/>
  <c r="J341" i="780"/>
  <c r="K341" i="780" s="1"/>
  <c r="H341" i="780"/>
  <c r="O339" i="780"/>
  <c r="J339" i="780"/>
  <c r="H339" i="780"/>
  <c r="J338" i="780"/>
  <c r="K338" i="780" s="1"/>
  <c r="H338" i="780"/>
  <c r="G337" i="780"/>
  <c r="I337" i="780" s="1"/>
  <c r="J337" i="780" s="1"/>
  <c r="O336" i="780"/>
  <c r="J336" i="780"/>
  <c r="H336" i="780"/>
  <c r="J333" i="780"/>
  <c r="H333" i="780"/>
  <c r="J332" i="780"/>
  <c r="H332" i="780"/>
  <c r="K332" i="780" s="1"/>
  <c r="J331" i="780"/>
  <c r="H331" i="780"/>
  <c r="G334" i="780" s="1"/>
  <c r="I334" i="780" s="1"/>
  <c r="J334" i="780" s="1"/>
  <c r="J330" i="780"/>
  <c r="H330" i="780"/>
  <c r="J329" i="780"/>
  <c r="H329" i="780"/>
  <c r="K329" i="780" s="1"/>
  <c r="J328" i="780"/>
  <c r="H328" i="780"/>
  <c r="K328" i="780" s="1"/>
  <c r="J327" i="780"/>
  <c r="H327" i="780"/>
  <c r="K327" i="780" s="1"/>
  <c r="J326" i="780"/>
  <c r="H326" i="780"/>
  <c r="J325" i="780"/>
  <c r="H325" i="780"/>
  <c r="K325" i="780" s="1"/>
  <c r="J324" i="780"/>
  <c r="G324" i="780"/>
  <c r="H324" i="780" s="1"/>
  <c r="K324" i="780" s="1"/>
  <c r="J323" i="780"/>
  <c r="K323" i="780" s="1"/>
  <c r="H323" i="780"/>
  <c r="K322" i="780"/>
  <c r="J322" i="780"/>
  <c r="H322" i="780"/>
  <c r="K321" i="780"/>
  <c r="J321" i="780"/>
  <c r="H321" i="780"/>
  <c r="J320" i="780"/>
  <c r="H320" i="780"/>
  <c r="J319" i="780"/>
  <c r="K319" i="780" s="1"/>
  <c r="H319" i="780"/>
  <c r="K318" i="780"/>
  <c r="J318" i="780"/>
  <c r="H318" i="780"/>
  <c r="J317" i="780"/>
  <c r="K317" i="780" s="1"/>
  <c r="H317" i="780"/>
  <c r="J316" i="780"/>
  <c r="H316" i="780"/>
  <c r="K316" i="780" s="1"/>
  <c r="J315" i="780"/>
  <c r="H315" i="780"/>
  <c r="K314" i="780"/>
  <c r="J314" i="780"/>
  <c r="H314" i="780"/>
  <c r="K313" i="780"/>
  <c r="J313" i="780"/>
  <c r="H313" i="780"/>
  <c r="J312" i="780"/>
  <c r="I312" i="780"/>
  <c r="G312" i="780"/>
  <c r="H312" i="780" s="1"/>
  <c r="B310" i="780"/>
  <c r="J305" i="780"/>
  <c r="H305" i="780"/>
  <c r="K305" i="780" s="1"/>
  <c r="J304" i="780"/>
  <c r="H304" i="780"/>
  <c r="K304" i="780" s="1"/>
  <c r="J303" i="780"/>
  <c r="H303" i="780"/>
  <c r="J302" i="780"/>
  <c r="H302" i="780"/>
  <c r="K302" i="780" s="1"/>
  <c r="J301" i="780"/>
  <c r="H301" i="780"/>
  <c r="K301" i="780" s="1"/>
  <c r="J300" i="780"/>
  <c r="H300" i="780"/>
  <c r="K300" i="780" s="1"/>
  <c r="J299" i="780"/>
  <c r="H299" i="780"/>
  <c r="J298" i="780"/>
  <c r="H298" i="780"/>
  <c r="K298" i="780" s="1"/>
  <c r="J297" i="780"/>
  <c r="H297" i="780"/>
  <c r="K297" i="780" s="1"/>
  <c r="J296" i="780"/>
  <c r="H296" i="780"/>
  <c r="J295" i="780"/>
  <c r="H295" i="780"/>
  <c r="J294" i="780"/>
  <c r="H294" i="780"/>
  <c r="K294" i="780" s="1"/>
  <c r="J293" i="780"/>
  <c r="H293" i="780"/>
  <c r="K293" i="780" s="1"/>
  <c r="J292" i="780"/>
  <c r="H292" i="780"/>
  <c r="K292" i="780" s="1"/>
  <c r="J291" i="780"/>
  <c r="H291" i="780"/>
  <c r="J290" i="780"/>
  <c r="H290" i="780"/>
  <c r="K290" i="780" s="1"/>
  <c r="J289" i="780"/>
  <c r="H289" i="780"/>
  <c r="K289" i="780" s="1"/>
  <c r="J288" i="780"/>
  <c r="H288" i="780"/>
  <c r="K288" i="780" s="1"/>
  <c r="J287" i="780"/>
  <c r="H287" i="780"/>
  <c r="J286" i="780"/>
  <c r="H286" i="780"/>
  <c r="K286" i="780" s="1"/>
  <c r="K285" i="780"/>
  <c r="J285" i="780"/>
  <c r="H285" i="780"/>
  <c r="B283" i="780"/>
  <c r="G278" i="780"/>
  <c r="G277" i="780"/>
  <c r="H277" i="780" s="1"/>
  <c r="B274" i="780"/>
  <c r="J267" i="780"/>
  <c r="H267" i="780"/>
  <c r="K266" i="780"/>
  <c r="J266" i="780"/>
  <c r="H266" i="780"/>
  <c r="J265" i="780"/>
  <c r="H265" i="780"/>
  <c r="J264" i="780"/>
  <c r="H264" i="780"/>
  <c r="K264" i="780" s="1"/>
  <c r="J263" i="780"/>
  <c r="H263" i="780"/>
  <c r="J262" i="780"/>
  <c r="H262" i="780"/>
  <c r="K262" i="780" s="1"/>
  <c r="J261" i="780"/>
  <c r="H261" i="780"/>
  <c r="J260" i="780"/>
  <c r="H260" i="780"/>
  <c r="K260" i="780" s="1"/>
  <c r="J259" i="780"/>
  <c r="H259" i="780"/>
  <c r="J258" i="780"/>
  <c r="H258" i="780"/>
  <c r="H274" i="780" s="1"/>
  <c r="H17" i="780" s="1"/>
  <c r="B255" i="780"/>
  <c r="K252" i="780"/>
  <c r="J252" i="780"/>
  <c r="H252" i="780"/>
  <c r="K251" i="780"/>
  <c r="J251" i="780"/>
  <c r="H251" i="780"/>
  <c r="O249" i="780"/>
  <c r="K249" i="780"/>
  <c r="J249" i="780"/>
  <c r="H249" i="780"/>
  <c r="O248" i="780"/>
  <c r="J248" i="780"/>
  <c r="H248" i="780"/>
  <c r="K248" i="780" s="1"/>
  <c r="K247" i="780"/>
  <c r="J247" i="780"/>
  <c r="H247" i="780"/>
  <c r="I246" i="780"/>
  <c r="J246" i="780" s="1"/>
  <c r="O245" i="780"/>
  <c r="J245" i="780"/>
  <c r="H245" i="780"/>
  <c r="K245" i="780" s="1"/>
  <c r="O244" i="780"/>
  <c r="K244" i="780"/>
  <c r="J244" i="780"/>
  <c r="H244" i="780"/>
  <c r="O243" i="780"/>
  <c r="K243" i="780"/>
  <c r="J243" i="780"/>
  <c r="H243" i="780"/>
  <c r="O242" i="780"/>
  <c r="J242" i="780"/>
  <c r="H242" i="780"/>
  <c r="G246" i="780" s="1"/>
  <c r="H246" i="780" s="1"/>
  <c r="J241" i="780"/>
  <c r="H241" i="780"/>
  <c r="B239" i="780"/>
  <c r="J235" i="780"/>
  <c r="K235" i="780" s="1"/>
  <c r="H235" i="780"/>
  <c r="J234" i="780"/>
  <c r="H234" i="780"/>
  <c r="K234" i="780" s="1"/>
  <c r="K233" i="780"/>
  <c r="J233" i="780"/>
  <c r="H233" i="780"/>
  <c r="O232" i="780"/>
  <c r="J232" i="780"/>
  <c r="H232" i="780"/>
  <c r="K232" i="780" s="1"/>
  <c r="O231" i="780"/>
  <c r="K231" i="780"/>
  <c r="J231" i="780"/>
  <c r="H231" i="780"/>
  <c r="O230" i="780"/>
  <c r="K230" i="780"/>
  <c r="J230" i="780"/>
  <c r="H230" i="780"/>
  <c r="O229" i="780"/>
  <c r="J229" i="780"/>
  <c r="H229" i="780"/>
  <c r="K229" i="780" s="1"/>
  <c r="J228" i="780"/>
  <c r="H228" i="780"/>
  <c r="G236" i="780" s="1"/>
  <c r="J227" i="780"/>
  <c r="H227" i="780"/>
  <c r="B226" i="780"/>
  <c r="K225" i="780"/>
  <c r="H225" i="780"/>
  <c r="H224" i="780"/>
  <c r="K224" i="780" s="1"/>
  <c r="K223" i="780"/>
  <c r="H223" i="780"/>
  <c r="H222" i="780"/>
  <c r="K222" i="780" s="1"/>
  <c r="K221" i="780"/>
  <c r="K220" i="780"/>
  <c r="H220" i="780"/>
  <c r="H219" i="780"/>
  <c r="K219" i="780" s="1"/>
  <c r="K218" i="780"/>
  <c r="J217" i="780"/>
  <c r="H217" i="780"/>
  <c r="K217" i="780" s="1"/>
  <c r="K216" i="780"/>
  <c r="H216" i="780"/>
  <c r="K215" i="780"/>
  <c r="H215" i="780"/>
  <c r="K214" i="780"/>
  <c r="H214" i="780"/>
  <c r="H213" i="780"/>
  <c r="K213" i="780" s="1"/>
  <c r="K212" i="780"/>
  <c r="H211" i="780"/>
  <c r="K211" i="780" s="1"/>
  <c r="K210" i="780"/>
  <c r="H210" i="780"/>
  <c r="K209" i="780"/>
  <c r="J208" i="780"/>
  <c r="H208" i="780"/>
  <c r="K208" i="780" s="1"/>
  <c r="K207" i="780"/>
  <c r="H207" i="780"/>
  <c r="K206" i="780"/>
  <c r="H206" i="780"/>
  <c r="K205" i="780"/>
  <c r="J204" i="780"/>
  <c r="K204" i="780" s="1"/>
  <c r="H204" i="780"/>
  <c r="H203" i="780"/>
  <c r="K203" i="780" s="1"/>
  <c r="H202" i="780"/>
  <c r="K202" i="780" s="1"/>
  <c r="K201" i="780"/>
  <c r="J200" i="780"/>
  <c r="H200" i="780"/>
  <c r="K200" i="780" s="1"/>
  <c r="H199" i="780"/>
  <c r="K199" i="780" s="1"/>
  <c r="K198" i="780"/>
  <c r="H198" i="780"/>
  <c r="K197" i="780"/>
  <c r="J196" i="780"/>
  <c r="H196" i="780"/>
  <c r="K196" i="780" s="1"/>
  <c r="K194" i="780"/>
  <c r="H194" i="780"/>
  <c r="K193" i="780"/>
  <c r="H193" i="780"/>
  <c r="K192" i="780"/>
  <c r="J191" i="780"/>
  <c r="K191" i="780" s="1"/>
  <c r="H191" i="780"/>
  <c r="H190" i="780"/>
  <c r="K190" i="780" s="1"/>
  <c r="H189" i="780"/>
  <c r="K189" i="780" s="1"/>
  <c r="K188" i="780"/>
  <c r="J187" i="780"/>
  <c r="H187" i="780"/>
  <c r="K187" i="780" s="1"/>
  <c r="H186" i="780"/>
  <c r="K186" i="780" s="1"/>
  <c r="K185" i="780"/>
  <c r="H185" i="780"/>
  <c r="K184" i="780"/>
  <c r="J183" i="780"/>
  <c r="H183" i="780"/>
  <c r="K183" i="780" s="1"/>
  <c r="K182" i="780"/>
  <c r="H181" i="780"/>
  <c r="K181" i="780" s="1"/>
  <c r="K180" i="780"/>
  <c r="H180" i="780"/>
  <c r="J179" i="780"/>
  <c r="K179" i="780" s="1"/>
  <c r="H179" i="780"/>
  <c r="H178" i="780"/>
  <c r="K178" i="780" s="1"/>
  <c r="J177" i="780"/>
  <c r="J226" i="780" s="1"/>
  <c r="J14" i="780" s="1"/>
  <c r="H177" i="780"/>
  <c r="K177" i="780" s="1"/>
  <c r="H176" i="780"/>
  <c r="K176" i="780" s="1"/>
  <c r="K175" i="780"/>
  <c r="H175" i="780"/>
  <c r="J174" i="780"/>
  <c r="K174" i="780" s="1"/>
  <c r="K226" i="780" s="1"/>
  <c r="K14" i="780" s="1"/>
  <c r="H174" i="780"/>
  <c r="H226" i="780" s="1"/>
  <c r="H14" i="780" s="1"/>
  <c r="B171" i="780"/>
  <c r="I165" i="780"/>
  <c r="J165" i="780" s="1"/>
  <c r="H165" i="780"/>
  <c r="K165" i="780" s="1"/>
  <c r="H164" i="780"/>
  <c r="K164" i="780" s="1"/>
  <c r="K163" i="780"/>
  <c r="H163" i="780"/>
  <c r="H162" i="780"/>
  <c r="K162" i="780" s="1"/>
  <c r="H161" i="780"/>
  <c r="K161" i="780" s="1"/>
  <c r="K160" i="780"/>
  <c r="H160" i="780"/>
  <c r="K159" i="780"/>
  <c r="H159" i="780"/>
  <c r="H158" i="780"/>
  <c r="K158" i="780" s="1"/>
  <c r="K157" i="780"/>
  <c r="H157" i="780"/>
  <c r="H156" i="780"/>
  <c r="K156" i="780" s="1"/>
  <c r="H155" i="780"/>
  <c r="K155" i="780" s="1"/>
  <c r="K154" i="780"/>
  <c r="H154" i="780"/>
  <c r="K153" i="780"/>
  <c r="H153" i="780"/>
  <c r="H152" i="780"/>
  <c r="K152" i="780" s="1"/>
  <c r="K151" i="780"/>
  <c r="H151" i="780"/>
  <c r="H150" i="780"/>
  <c r="K150" i="780" s="1"/>
  <c r="H149" i="780"/>
  <c r="K149" i="780" s="1"/>
  <c r="K148" i="780"/>
  <c r="H148" i="780"/>
  <c r="K147" i="780"/>
  <c r="H147" i="780"/>
  <c r="H146" i="780"/>
  <c r="K146" i="780" s="1"/>
  <c r="K145" i="780"/>
  <c r="H145" i="780"/>
  <c r="K144" i="780"/>
  <c r="K143" i="780"/>
  <c r="J142" i="780"/>
  <c r="K142" i="780" s="1"/>
  <c r="I142" i="780"/>
  <c r="H142" i="780"/>
  <c r="K141" i="780"/>
  <c r="H141" i="780"/>
  <c r="H140" i="780"/>
  <c r="K140" i="780" s="1"/>
  <c r="K139" i="780"/>
  <c r="H139" i="780"/>
  <c r="H138" i="780"/>
  <c r="K138" i="780" s="1"/>
  <c r="K137" i="780"/>
  <c r="K136" i="780"/>
  <c r="H136" i="780"/>
  <c r="H135" i="780"/>
  <c r="K135" i="780" s="1"/>
  <c r="K134" i="780"/>
  <c r="H134" i="780"/>
  <c r="H133" i="780"/>
  <c r="K133" i="780" s="1"/>
  <c r="K132" i="780"/>
  <c r="H132" i="780"/>
  <c r="K131" i="780"/>
  <c r="H131" i="780"/>
  <c r="K130" i="780"/>
  <c r="H130" i="780"/>
  <c r="H129" i="780"/>
  <c r="K129" i="780" s="1"/>
  <c r="K128" i="780"/>
  <c r="H128" i="780"/>
  <c r="H127" i="780"/>
  <c r="K127" i="780" s="1"/>
  <c r="K126" i="780"/>
  <c r="H126" i="780"/>
  <c r="K125" i="780"/>
  <c r="H125" i="780"/>
  <c r="K124" i="780"/>
  <c r="H124" i="780"/>
  <c r="H123" i="780"/>
  <c r="K123" i="780" s="1"/>
  <c r="K122" i="780"/>
  <c r="H122" i="780"/>
  <c r="H121" i="780"/>
  <c r="K121" i="780" s="1"/>
  <c r="K120" i="780"/>
  <c r="K119" i="780"/>
  <c r="I118" i="780"/>
  <c r="J118" i="780" s="1"/>
  <c r="H118" i="780"/>
  <c r="K118" i="780" s="1"/>
  <c r="H117" i="780"/>
  <c r="K117" i="780" s="1"/>
  <c r="K116" i="780"/>
  <c r="H116" i="780"/>
  <c r="H115" i="780"/>
  <c r="K115" i="780" s="1"/>
  <c r="K114" i="780"/>
  <c r="H114" i="780"/>
  <c r="K113" i="780"/>
  <c r="H112" i="780"/>
  <c r="K112" i="780" s="1"/>
  <c r="K111" i="780"/>
  <c r="H111" i="780"/>
  <c r="K110" i="780"/>
  <c r="H110" i="780"/>
  <c r="H109" i="780"/>
  <c r="K109" i="780" s="1"/>
  <c r="K108" i="780"/>
  <c r="H108" i="780"/>
  <c r="H107" i="780"/>
  <c r="K107" i="780" s="1"/>
  <c r="H106" i="780"/>
  <c r="K106" i="780" s="1"/>
  <c r="K105" i="780"/>
  <c r="H105" i="780"/>
  <c r="K104" i="780"/>
  <c r="H104" i="780"/>
  <c r="H103" i="780"/>
  <c r="K103" i="780" s="1"/>
  <c r="K102" i="780"/>
  <c r="H102" i="780"/>
  <c r="H101" i="780"/>
  <c r="K101" i="780" s="1"/>
  <c r="H100" i="780"/>
  <c r="K100" i="780" s="1"/>
  <c r="K99" i="780"/>
  <c r="H99" i="780"/>
  <c r="K98" i="780"/>
  <c r="H98" i="780"/>
  <c r="K97" i="780"/>
  <c r="K96" i="780"/>
  <c r="K171" i="780" s="1"/>
  <c r="K13" i="780" s="1"/>
  <c r="B94" i="780"/>
  <c r="J89" i="780"/>
  <c r="K89" i="780" s="1"/>
  <c r="I89" i="780"/>
  <c r="H89" i="780"/>
  <c r="K88" i="780"/>
  <c r="H88" i="780"/>
  <c r="H87" i="780"/>
  <c r="K87" i="780" s="1"/>
  <c r="K86" i="780"/>
  <c r="H86" i="780"/>
  <c r="H85" i="780"/>
  <c r="K85" i="780" s="1"/>
  <c r="H84" i="780"/>
  <c r="K84" i="780" s="1"/>
  <c r="K83" i="780"/>
  <c r="H83" i="780"/>
  <c r="K82" i="780"/>
  <c r="H82" i="780"/>
  <c r="H81" i="780"/>
  <c r="K81" i="780" s="1"/>
  <c r="K80" i="780"/>
  <c r="H80" i="780"/>
  <c r="H79" i="780"/>
  <c r="K79" i="780" s="1"/>
  <c r="H78" i="780"/>
  <c r="K78" i="780" s="1"/>
  <c r="K77" i="780"/>
  <c r="H77" i="780"/>
  <c r="K76" i="780"/>
  <c r="H76" i="780"/>
  <c r="H75" i="780"/>
  <c r="K75" i="780" s="1"/>
  <c r="K74" i="780"/>
  <c r="H74" i="780"/>
  <c r="K72" i="780"/>
  <c r="I71" i="780"/>
  <c r="J71" i="780" s="1"/>
  <c r="H71" i="780"/>
  <c r="K71" i="780" s="1"/>
  <c r="H70" i="780"/>
  <c r="K70" i="780" s="1"/>
  <c r="K69" i="780"/>
  <c r="H69" i="780"/>
  <c r="H68" i="780"/>
  <c r="K68" i="780" s="1"/>
  <c r="K67" i="780"/>
  <c r="H67" i="780"/>
  <c r="K66" i="780"/>
  <c r="H66" i="780"/>
  <c r="K65" i="780"/>
  <c r="H65" i="780"/>
  <c r="H64" i="780"/>
  <c r="K64" i="780" s="1"/>
  <c r="K63" i="780"/>
  <c r="H63" i="780"/>
  <c r="H62" i="780"/>
  <c r="K62" i="780" s="1"/>
  <c r="K61" i="780"/>
  <c r="H61" i="780"/>
  <c r="K60" i="780"/>
  <c r="H60" i="780"/>
  <c r="K59" i="780"/>
  <c r="H59" i="780"/>
  <c r="H58" i="780"/>
  <c r="K58" i="780" s="1"/>
  <c r="K57" i="780"/>
  <c r="H57" i="780"/>
  <c r="K56" i="780"/>
  <c r="H56" i="780"/>
  <c r="I53" i="780"/>
  <c r="J53" i="780" s="1"/>
  <c r="H53" i="780"/>
  <c r="K52" i="780"/>
  <c r="H52" i="780"/>
  <c r="H51" i="780"/>
  <c r="K51" i="780" s="1"/>
  <c r="K50" i="780"/>
  <c r="H50" i="780"/>
  <c r="H49" i="780"/>
  <c r="K49" i="780" s="1"/>
  <c r="K48" i="780"/>
  <c r="H48" i="780"/>
  <c r="K47" i="780"/>
  <c r="H47" i="780"/>
  <c r="K46" i="780"/>
  <c r="H46" i="780"/>
  <c r="H45" i="780"/>
  <c r="K45" i="780" s="1"/>
  <c r="K44" i="780"/>
  <c r="H44" i="780"/>
  <c r="H43" i="780"/>
  <c r="K43" i="780" s="1"/>
  <c r="K42" i="780"/>
  <c r="H42" i="780"/>
  <c r="K41" i="780"/>
  <c r="H41" i="780"/>
  <c r="K40" i="780"/>
  <c r="H40" i="780"/>
  <c r="H39" i="780"/>
  <c r="K39" i="780" s="1"/>
  <c r="K38" i="780"/>
  <c r="H38" i="780"/>
  <c r="L34" i="780"/>
  <c r="B34" i="780"/>
  <c r="B25" i="780"/>
  <c r="A25" i="780"/>
  <c r="B24" i="780"/>
  <c r="A24" i="780"/>
  <c r="B23" i="780"/>
  <c r="A23" i="780"/>
  <c r="B22" i="780"/>
  <c r="A22" i="780"/>
  <c r="B21" i="780"/>
  <c r="A21" i="780"/>
  <c r="B20" i="780"/>
  <c r="A20" i="780"/>
  <c r="B19" i="780"/>
  <c r="A19" i="780"/>
  <c r="B18" i="780"/>
  <c r="A18" i="780"/>
  <c r="B17" i="780"/>
  <c r="A17" i="780"/>
  <c r="B16" i="780"/>
  <c r="A16" i="780"/>
  <c r="B15" i="780"/>
  <c r="A15" i="780"/>
  <c r="B14" i="780"/>
  <c r="A14" i="780"/>
  <c r="B13" i="780"/>
  <c r="A13" i="780"/>
  <c r="B12" i="780"/>
  <c r="A12" i="780"/>
  <c r="B370" i="779"/>
  <c r="I354" i="779"/>
  <c r="J354" i="779" s="1"/>
  <c r="J353" i="779"/>
  <c r="K353" i="779" s="1"/>
  <c r="H353" i="779"/>
  <c r="G354" i="779" s="1"/>
  <c r="H354" i="779" s="1"/>
  <c r="E353" i="779"/>
  <c r="K352" i="779"/>
  <c r="J351" i="779"/>
  <c r="H351" i="779"/>
  <c r="K350" i="779"/>
  <c r="K349" i="779"/>
  <c r="J349" i="779"/>
  <c r="H349" i="779"/>
  <c r="J348" i="779"/>
  <c r="K348" i="779" s="1"/>
  <c r="H348" i="779"/>
  <c r="H370" i="779" s="1"/>
  <c r="H25" i="779" s="1"/>
  <c r="B346" i="779"/>
  <c r="I342" i="779"/>
  <c r="J342" i="779" s="1"/>
  <c r="H342" i="779"/>
  <c r="K342" i="779" s="1"/>
  <c r="K341" i="779"/>
  <c r="J341" i="779"/>
  <c r="H341" i="779"/>
  <c r="G342" i="779" s="1"/>
  <c r="K340" i="779"/>
  <c r="I339" i="779"/>
  <c r="J339" i="779" s="1"/>
  <c r="K338" i="779"/>
  <c r="J338" i="779"/>
  <c r="H338" i="779"/>
  <c r="K337" i="779"/>
  <c r="J337" i="779"/>
  <c r="H337" i="779"/>
  <c r="G339" i="779" s="1"/>
  <c r="H339" i="779" s="1"/>
  <c r="K336" i="779"/>
  <c r="I335" i="779"/>
  <c r="J335" i="779" s="1"/>
  <c r="H335" i="779"/>
  <c r="I334" i="779"/>
  <c r="J334" i="779" s="1"/>
  <c r="H334" i="779"/>
  <c r="K333" i="779"/>
  <c r="K332" i="779"/>
  <c r="J332" i="779"/>
  <c r="I332" i="779"/>
  <c r="H332" i="779"/>
  <c r="G331" i="779"/>
  <c r="K327" i="779"/>
  <c r="I327" i="779"/>
  <c r="J327" i="779" s="1"/>
  <c r="H327" i="779"/>
  <c r="I326" i="779"/>
  <c r="J326" i="779" s="1"/>
  <c r="K326" i="779" s="1"/>
  <c r="H326" i="779"/>
  <c r="K325" i="779"/>
  <c r="J325" i="779"/>
  <c r="I325" i="779"/>
  <c r="H325" i="779"/>
  <c r="B322" i="779"/>
  <c r="G319" i="779"/>
  <c r="H318" i="779"/>
  <c r="K318" i="779" s="1"/>
  <c r="E318" i="779"/>
  <c r="J318" i="779" s="1"/>
  <c r="K317" i="779"/>
  <c r="J315" i="779"/>
  <c r="H315" i="779"/>
  <c r="G316" i="779" s="1"/>
  <c r="E315" i="779"/>
  <c r="K314" i="779"/>
  <c r="G313" i="779"/>
  <c r="H313" i="779" s="1"/>
  <c r="K313" i="779" s="1"/>
  <c r="K312" i="779"/>
  <c r="H312" i="779"/>
  <c r="G312" i="779"/>
  <c r="G311" i="779"/>
  <c r="H311" i="779" s="1"/>
  <c r="K311" i="779" s="1"/>
  <c r="G310" i="779"/>
  <c r="H310" i="779" s="1"/>
  <c r="K310" i="779" s="1"/>
  <c r="K309" i="779"/>
  <c r="G309" i="779"/>
  <c r="H309" i="779" s="1"/>
  <c r="K308" i="779"/>
  <c r="J308" i="779"/>
  <c r="G308" i="779"/>
  <c r="H308" i="779" s="1"/>
  <c r="J303" i="779"/>
  <c r="K303" i="779" s="1"/>
  <c r="I303" i="779"/>
  <c r="H303" i="779"/>
  <c r="J302" i="779"/>
  <c r="I302" i="779"/>
  <c r="H302" i="779"/>
  <c r="K301" i="779"/>
  <c r="J301" i="779"/>
  <c r="I301" i="779"/>
  <c r="H301" i="779"/>
  <c r="B298" i="779"/>
  <c r="J295" i="779"/>
  <c r="K295" i="779" s="1"/>
  <c r="E295" i="779"/>
  <c r="H295" i="779" s="1"/>
  <c r="K294" i="779"/>
  <c r="J294" i="779"/>
  <c r="H294" i="779"/>
  <c r="I293" i="779"/>
  <c r="J293" i="779" s="1"/>
  <c r="E292" i="779"/>
  <c r="H292" i="779" s="1"/>
  <c r="G293" i="779" s="1"/>
  <c r="H293" i="779" s="1"/>
  <c r="K291" i="779"/>
  <c r="J291" i="779"/>
  <c r="H291" i="779"/>
  <c r="E289" i="779"/>
  <c r="H289" i="779" s="1"/>
  <c r="K288" i="779"/>
  <c r="J288" i="779"/>
  <c r="E288" i="779"/>
  <c r="H288" i="779" s="1"/>
  <c r="J287" i="779"/>
  <c r="H287" i="779"/>
  <c r="K287" i="779" s="1"/>
  <c r="I286" i="779"/>
  <c r="J286" i="779" s="1"/>
  <c r="H286" i="779"/>
  <c r="K285" i="779"/>
  <c r="J285" i="779"/>
  <c r="H285" i="779"/>
  <c r="J284" i="779"/>
  <c r="H284" i="779"/>
  <c r="K284" i="779" s="1"/>
  <c r="B282" i="779"/>
  <c r="E277" i="779"/>
  <c r="K276" i="779"/>
  <c r="K273" i="779"/>
  <c r="G272" i="779"/>
  <c r="I272" i="779" s="1"/>
  <c r="J272" i="779" s="1"/>
  <c r="J271" i="779"/>
  <c r="H271" i="779"/>
  <c r="E271" i="779"/>
  <c r="E274" i="779" s="1"/>
  <c r="K270" i="779"/>
  <c r="E269" i="779"/>
  <c r="H269" i="779" s="1"/>
  <c r="K269" i="779" s="1"/>
  <c r="E268" i="779"/>
  <c r="H268" i="779" s="1"/>
  <c r="K268" i="779" s="1"/>
  <c r="J267" i="779"/>
  <c r="H267" i="779"/>
  <c r="K267" i="779" s="1"/>
  <c r="K266" i="779"/>
  <c r="J266" i="779"/>
  <c r="H266" i="779"/>
  <c r="I265" i="779"/>
  <c r="J265" i="779" s="1"/>
  <c r="H265" i="779"/>
  <c r="K264" i="779"/>
  <c r="J263" i="779"/>
  <c r="H263" i="779"/>
  <c r="B261" i="779"/>
  <c r="H259" i="779"/>
  <c r="K259" i="779" s="1"/>
  <c r="E259" i="779"/>
  <c r="J259" i="779" s="1"/>
  <c r="J258" i="779"/>
  <c r="H258" i="779"/>
  <c r="K258" i="779" s="1"/>
  <c r="J256" i="779"/>
  <c r="H256" i="779"/>
  <c r="J255" i="779"/>
  <c r="H255" i="779"/>
  <c r="K255" i="779" s="1"/>
  <c r="I254" i="779"/>
  <c r="J254" i="779" s="1"/>
  <c r="H254" i="779"/>
  <c r="G254" i="779"/>
  <c r="J253" i="779"/>
  <c r="H253" i="779"/>
  <c r="K253" i="779" s="1"/>
  <c r="G251" i="779"/>
  <c r="I251" i="779" s="1"/>
  <c r="J251" i="779" s="1"/>
  <c r="J250" i="779"/>
  <c r="H250" i="779"/>
  <c r="K249" i="779"/>
  <c r="J249" i="779"/>
  <c r="H249" i="779"/>
  <c r="J248" i="779"/>
  <c r="H248" i="779"/>
  <c r="J247" i="779"/>
  <c r="H247" i="779"/>
  <c r="K247" i="779" s="1"/>
  <c r="J246" i="779"/>
  <c r="H246" i="779"/>
  <c r="K246" i="779" s="1"/>
  <c r="K245" i="779"/>
  <c r="J245" i="779"/>
  <c r="H245" i="779"/>
  <c r="J244" i="779"/>
  <c r="H244" i="779"/>
  <c r="K244" i="779" s="1"/>
  <c r="J243" i="779"/>
  <c r="H243" i="779"/>
  <c r="K243" i="779" s="1"/>
  <c r="J242" i="779"/>
  <c r="H242" i="779"/>
  <c r="K242" i="779" s="1"/>
  <c r="K241" i="779"/>
  <c r="J241" i="779"/>
  <c r="H241" i="779"/>
  <c r="G241" i="779"/>
  <c r="K240" i="779"/>
  <c r="J240" i="779"/>
  <c r="H240" i="779"/>
  <c r="J239" i="779"/>
  <c r="K239" i="779" s="1"/>
  <c r="H239" i="779"/>
  <c r="J238" i="779"/>
  <c r="K238" i="779" s="1"/>
  <c r="H238" i="779"/>
  <c r="J237" i="779"/>
  <c r="H237" i="779"/>
  <c r="K237" i="779" s="1"/>
  <c r="K236" i="779"/>
  <c r="J236" i="779"/>
  <c r="H236" i="779"/>
  <c r="J235" i="779"/>
  <c r="K235" i="779" s="1"/>
  <c r="H235" i="779"/>
  <c r="K234" i="779"/>
  <c r="J234" i="779"/>
  <c r="H234" i="779"/>
  <c r="J233" i="779"/>
  <c r="H233" i="779"/>
  <c r="K233" i="779" s="1"/>
  <c r="K232" i="779"/>
  <c r="J232" i="779"/>
  <c r="H232" i="779"/>
  <c r="K231" i="779"/>
  <c r="J231" i="779"/>
  <c r="H231" i="779"/>
  <c r="J230" i="779"/>
  <c r="K230" i="779" s="1"/>
  <c r="H230" i="779"/>
  <c r="J229" i="779"/>
  <c r="H229" i="779"/>
  <c r="K229" i="779" s="1"/>
  <c r="G228" i="779"/>
  <c r="I228" i="779" s="1"/>
  <c r="J228" i="779" s="1"/>
  <c r="H226" i="779"/>
  <c r="H19" i="779" s="1"/>
  <c r="B226" i="779"/>
  <c r="K217" i="779"/>
  <c r="I216" i="779"/>
  <c r="J216" i="779" s="1"/>
  <c r="K215" i="779"/>
  <c r="J215" i="779"/>
  <c r="H215" i="779"/>
  <c r="K214" i="779"/>
  <c r="J214" i="779"/>
  <c r="H214" i="779"/>
  <c r="J213" i="779"/>
  <c r="H213" i="779"/>
  <c r="K213" i="779" s="1"/>
  <c r="K212" i="779"/>
  <c r="J212" i="779"/>
  <c r="H212" i="779"/>
  <c r="J211" i="779"/>
  <c r="K211" i="779" s="1"/>
  <c r="H211" i="779"/>
  <c r="J210" i="779"/>
  <c r="K210" i="779" s="1"/>
  <c r="H210" i="779"/>
  <c r="J209" i="779"/>
  <c r="H209" i="779"/>
  <c r="K209" i="779" s="1"/>
  <c r="K208" i="779"/>
  <c r="J208" i="779"/>
  <c r="H208" i="779"/>
  <c r="J207" i="779"/>
  <c r="K207" i="779" s="1"/>
  <c r="H207" i="779"/>
  <c r="J206" i="779"/>
  <c r="K206" i="779" s="1"/>
  <c r="H206" i="779"/>
  <c r="J205" i="779"/>
  <c r="H205" i="779"/>
  <c r="K205" i="779" s="1"/>
  <c r="K204" i="779"/>
  <c r="J204" i="779"/>
  <c r="H204" i="779"/>
  <c r="J203" i="779"/>
  <c r="K203" i="779" s="1"/>
  <c r="H203" i="779"/>
  <c r="K202" i="779"/>
  <c r="J202" i="779"/>
  <c r="H202" i="779"/>
  <c r="J201" i="779"/>
  <c r="H201" i="779"/>
  <c r="K201" i="779" s="1"/>
  <c r="K200" i="779"/>
  <c r="J200" i="779"/>
  <c r="H200" i="779"/>
  <c r="K199" i="779"/>
  <c r="J199" i="779"/>
  <c r="H199" i="779"/>
  <c r="K198" i="779"/>
  <c r="J198" i="779"/>
  <c r="H198" i="779"/>
  <c r="J197" i="779"/>
  <c r="H197" i="779"/>
  <c r="K197" i="779" s="1"/>
  <c r="K196" i="779"/>
  <c r="J196" i="779"/>
  <c r="H196" i="779"/>
  <c r="K195" i="779"/>
  <c r="J195" i="779"/>
  <c r="H195" i="779"/>
  <c r="G216" i="779" s="1"/>
  <c r="H216" i="779" s="1"/>
  <c r="J193" i="779"/>
  <c r="J18" i="779" s="1"/>
  <c r="B193" i="779"/>
  <c r="I188" i="779"/>
  <c r="J188" i="779" s="1"/>
  <c r="H188" i="779"/>
  <c r="K188" i="779" s="1"/>
  <c r="G188" i="779"/>
  <c r="G187" i="779"/>
  <c r="I187" i="779" s="1"/>
  <c r="J187" i="779" s="1"/>
  <c r="B184" i="779"/>
  <c r="K181" i="779"/>
  <c r="J181" i="779"/>
  <c r="H181" i="779"/>
  <c r="K180" i="779"/>
  <c r="J180" i="779"/>
  <c r="H180" i="779"/>
  <c r="K179" i="779"/>
  <c r="J179" i="779"/>
  <c r="H179" i="779"/>
  <c r="J178" i="779"/>
  <c r="H178" i="779"/>
  <c r="K178" i="779" s="1"/>
  <c r="K177" i="779"/>
  <c r="J177" i="779"/>
  <c r="H177" i="779"/>
  <c r="K176" i="779"/>
  <c r="J176" i="779"/>
  <c r="H176" i="779"/>
  <c r="J175" i="779"/>
  <c r="K175" i="779" s="1"/>
  <c r="H175" i="779"/>
  <c r="J174" i="779"/>
  <c r="H174" i="779"/>
  <c r="K174" i="779" s="1"/>
  <c r="K173" i="779"/>
  <c r="J173" i="779"/>
  <c r="H173" i="779"/>
  <c r="J172" i="779"/>
  <c r="H172" i="779"/>
  <c r="H184" i="779" s="1"/>
  <c r="H17" i="779" s="1"/>
  <c r="B169" i="779"/>
  <c r="J166" i="779"/>
  <c r="H166" i="779"/>
  <c r="K166" i="779" s="1"/>
  <c r="J165" i="779"/>
  <c r="H165" i="779"/>
  <c r="K165" i="779" s="1"/>
  <c r="I164" i="779"/>
  <c r="J164" i="779" s="1"/>
  <c r="H164" i="779"/>
  <c r="K164" i="779" s="1"/>
  <c r="G164" i="779"/>
  <c r="J163" i="779"/>
  <c r="H163" i="779"/>
  <c r="K163" i="779" s="1"/>
  <c r="K162" i="779"/>
  <c r="J162" i="779"/>
  <c r="H162" i="779"/>
  <c r="J161" i="779"/>
  <c r="K161" i="779" s="1"/>
  <c r="H161" i="779"/>
  <c r="J159" i="779"/>
  <c r="H159" i="779"/>
  <c r="K159" i="779" s="1"/>
  <c r="J158" i="779"/>
  <c r="H158" i="779"/>
  <c r="J157" i="779"/>
  <c r="H157" i="779"/>
  <c r="J156" i="779"/>
  <c r="H156" i="779"/>
  <c r="B154" i="779"/>
  <c r="K149" i="779"/>
  <c r="J149" i="779"/>
  <c r="H149" i="779"/>
  <c r="J148" i="779"/>
  <c r="H148" i="779"/>
  <c r="K148" i="779" s="1"/>
  <c r="J147" i="779"/>
  <c r="H147" i="779"/>
  <c r="K147" i="779" s="1"/>
  <c r="K146" i="779"/>
  <c r="J146" i="779"/>
  <c r="H146" i="779"/>
  <c r="K145" i="779"/>
  <c r="J145" i="779"/>
  <c r="H145" i="779"/>
  <c r="J144" i="779"/>
  <c r="H144" i="779"/>
  <c r="K144" i="779" s="1"/>
  <c r="J143" i="779"/>
  <c r="H143" i="779"/>
  <c r="K143" i="779" s="1"/>
  <c r="J141" i="779"/>
  <c r="H141" i="779"/>
  <c r="B140" i="779"/>
  <c r="H135" i="779"/>
  <c r="K135" i="779" s="1"/>
  <c r="K134" i="779"/>
  <c r="H134" i="779"/>
  <c r="H133" i="779"/>
  <c r="K133" i="779" s="1"/>
  <c r="K132" i="779"/>
  <c r="H132" i="779"/>
  <c r="K131" i="779"/>
  <c r="J131" i="779"/>
  <c r="H131" i="779"/>
  <c r="H127" i="779"/>
  <c r="K127" i="779" s="1"/>
  <c r="H126" i="779"/>
  <c r="K126" i="779" s="1"/>
  <c r="K125" i="779"/>
  <c r="H125" i="779"/>
  <c r="H124" i="779"/>
  <c r="K124" i="779" s="1"/>
  <c r="J123" i="779"/>
  <c r="H123" i="779"/>
  <c r="K122" i="779"/>
  <c r="H122" i="779"/>
  <c r="H121" i="779"/>
  <c r="K121" i="779" s="1"/>
  <c r="K120" i="779"/>
  <c r="H120" i="779"/>
  <c r="J119" i="779"/>
  <c r="H119" i="779"/>
  <c r="H118" i="779"/>
  <c r="K118" i="779" s="1"/>
  <c r="K117" i="779"/>
  <c r="H117" i="779"/>
  <c r="H116" i="779"/>
  <c r="K116" i="779" s="1"/>
  <c r="J115" i="779"/>
  <c r="H115" i="779"/>
  <c r="K115" i="779" s="1"/>
  <c r="H114" i="779"/>
  <c r="K114" i="779" s="1"/>
  <c r="K113" i="779"/>
  <c r="H113" i="779"/>
  <c r="H112" i="779"/>
  <c r="K112" i="779" s="1"/>
  <c r="K111" i="779"/>
  <c r="J111" i="779"/>
  <c r="H111" i="779"/>
  <c r="H110" i="779"/>
  <c r="K110" i="779" s="1"/>
  <c r="K109" i="779"/>
  <c r="H109" i="779"/>
  <c r="H108" i="779"/>
  <c r="K108" i="779" s="1"/>
  <c r="J107" i="779"/>
  <c r="H107" i="779"/>
  <c r="K107" i="779" s="1"/>
  <c r="K105" i="779"/>
  <c r="H105" i="779"/>
  <c r="H104" i="779"/>
  <c r="K104" i="779" s="1"/>
  <c r="K103" i="779"/>
  <c r="H103" i="779"/>
  <c r="J102" i="779"/>
  <c r="J140" i="779" s="1"/>
  <c r="J14" i="779" s="1"/>
  <c r="H102" i="779"/>
  <c r="K102" i="779" s="1"/>
  <c r="H101" i="779"/>
  <c r="K101" i="779" s="1"/>
  <c r="K100" i="779"/>
  <c r="H100" i="779"/>
  <c r="H99" i="779"/>
  <c r="K99" i="779" s="1"/>
  <c r="J98" i="779"/>
  <c r="H98" i="779"/>
  <c r="K98" i="779" s="1"/>
  <c r="H97" i="779"/>
  <c r="K97" i="779" s="1"/>
  <c r="K96" i="779"/>
  <c r="H96" i="779"/>
  <c r="H95" i="779"/>
  <c r="K95" i="779" s="1"/>
  <c r="K94" i="779"/>
  <c r="J94" i="779"/>
  <c r="H94" i="779"/>
  <c r="K93" i="779"/>
  <c r="K92" i="779"/>
  <c r="H92" i="779"/>
  <c r="H91" i="779"/>
  <c r="K91" i="779" s="1"/>
  <c r="K90" i="779"/>
  <c r="H90" i="779"/>
  <c r="J89" i="779"/>
  <c r="K89" i="779" s="1"/>
  <c r="H89" i="779"/>
  <c r="H88" i="779"/>
  <c r="K88" i="779" s="1"/>
  <c r="H87" i="779"/>
  <c r="K86" i="779"/>
  <c r="H86" i="779"/>
  <c r="K85" i="779"/>
  <c r="H82" i="779"/>
  <c r="H13" i="779" s="1"/>
  <c r="B82" i="779"/>
  <c r="K79" i="779"/>
  <c r="J79" i="779"/>
  <c r="H79" i="779"/>
  <c r="J78" i="779"/>
  <c r="H78" i="779"/>
  <c r="J77" i="779"/>
  <c r="H77" i="779"/>
  <c r="K77" i="779" s="1"/>
  <c r="J75" i="779"/>
  <c r="J12" i="779" s="1"/>
  <c r="B75" i="779"/>
  <c r="J71" i="779"/>
  <c r="I71" i="779"/>
  <c r="H71" i="779"/>
  <c r="K71" i="779" s="1"/>
  <c r="K70" i="779"/>
  <c r="H70" i="779"/>
  <c r="K69" i="779"/>
  <c r="H69" i="779"/>
  <c r="H68" i="779"/>
  <c r="K68" i="779" s="1"/>
  <c r="H67" i="779"/>
  <c r="K67" i="779" s="1"/>
  <c r="H66" i="779"/>
  <c r="K66" i="779" s="1"/>
  <c r="H65" i="779"/>
  <c r="K65" i="779" s="1"/>
  <c r="K64" i="779"/>
  <c r="H64" i="779"/>
  <c r="K63" i="779"/>
  <c r="H63" i="779"/>
  <c r="H62" i="779"/>
  <c r="K62" i="779" s="1"/>
  <c r="H61" i="779"/>
  <c r="K61" i="779" s="1"/>
  <c r="H60" i="779"/>
  <c r="K60" i="779" s="1"/>
  <c r="H59" i="779"/>
  <c r="K59" i="779" s="1"/>
  <c r="K58" i="779"/>
  <c r="H58" i="779"/>
  <c r="H57" i="779"/>
  <c r="K57" i="779" s="1"/>
  <c r="H56" i="779"/>
  <c r="K56" i="779" s="1"/>
  <c r="K53" i="779"/>
  <c r="J53" i="779"/>
  <c r="I53" i="779"/>
  <c r="H53" i="779"/>
  <c r="H52" i="779"/>
  <c r="K52" i="779" s="1"/>
  <c r="K51" i="779"/>
  <c r="H51" i="779"/>
  <c r="K50" i="779"/>
  <c r="H50" i="779"/>
  <c r="H49" i="779"/>
  <c r="K49" i="779" s="1"/>
  <c r="H48" i="779"/>
  <c r="K48" i="779" s="1"/>
  <c r="H47" i="779"/>
  <c r="K47" i="779" s="1"/>
  <c r="H46" i="779"/>
  <c r="K46" i="779" s="1"/>
  <c r="K45" i="779"/>
  <c r="H45" i="779"/>
  <c r="K44" i="779"/>
  <c r="H44" i="779"/>
  <c r="H43" i="779"/>
  <c r="K43" i="779" s="1"/>
  <c r="K42" i="779"/>
  <c r="H42" i="779"/>
  <c r="H41" i="779"/>
  <c r="K41" i="779" s="1"/>
  <c r="H40" i="779"/>
  <c r="K40" i="779" s="1"/>
  <c r="K39" i="779"/>
  <c r="H39" i="779"/>
  <c r="H38" i="779"/>
  <c r="B34" i="779"/>
  <c r="B25" i="779"/>
  <c r="A25" i="779"/>
  <c r="B24" i="779"/>
  <c r="A24" i="779"/>
  <c r="B23" i="779"/>
  <c r="A23" i="779"/>
  <c r="B22" i="779"/>
  <c r="A22" i="779"/>
  <c r="B21" i="779"/>
  <c r="A21" i="779"/>
  <c r="B20" i="779"/>
  <c r="A20" i="779"/>
  <c r="B19" i="779"/>
  <c r="A19" i="779"/>
  <c r="B18" i="779"/>
  <c r="A18" i="779"/>
  <c r="B17" i="779"/>
  <c r="A17" i="779"/>
  <c r="B16" i="779"/>
  <c r="A16" i="779"/>
  <c r="B15" i="779"/>
  <c r="A15" i="779"/>
  <c r="B14" i="779"/>
  <c r="A14" i="779"/>
  <c r="B13" i="779"/>
  <c r="A13" i="779"/>
  <c r="B12" i="779"/>
  <c r="A12" i="779"/>
  <c r="B442" i="778"/>
  <c r="E425" i="778"/>
  <c r="J425" i="778" s="1"/>
  <c r="K424" i="778"/>
  <c r="J423" i="778"/>
  <c r="H423" i="778"/>
  <c r="K423" i="778" s="1"/>
  <c r="K422" i="778"/>
  <c r="K421" i="778"/>
  <c r="J421" i="778"/>
  <c r="H421" i="778"/>
  <c r="J420" i="778"/>
  <c r="H420" i="778"/>
  <c r="B418" i="778"/>
  <c r="G414" i="778"/>
  <c r="H414" i="778" s="1"/>
  <c r="K413" i="778"/>
  <c r="J413" i="778"/>
  <c r="H413" i="778"/>
  <c r="K412" i="778"/>
  <c r="K410" i="778"/>
  <c r="J410" i="778"/>
  <c r="H410" i="778"/>
  <c r="J409" i="778"/>
  <c r="H409" i="778"/>
  <c r="K409" i="778" s="1"/>
  <c r="K408" i="778"/>
  <c r="I407" i="778"/>
  <c r="J407" i="778" s="1"/>
  <c r="H407" i="778"/>
  <c r="K407" i="778" s="1"/>
  <c r="K406" i="778"/>
  <c r="J406" i="778"/>
  <c r="I406" i="778"/>
  <c r="H406" i="778"/>
  <c r="K405" i="778"/>
  <c r="I404" i="778"/>
  <c r="J404" i="778" s="1"/>
  <c r="K404" i="778" s="1"/>
  <c r="H404" i="778"/>
  <c r="H403" i="778"/>
  <c r="K403" i="778" s="1"/>
  <c r="G403" i="778"/>
  <c r="I403" i="778" s="1"/>
  <c r="J403" i="778" s="1"/>
  <c r="I399" i="778"/>
  <c r="J399" i="778" s="1"/>
  <c r="H399" i="778"/>
  <c r="I398" i="778"/>
  <c r="J398" i="778" s="1"/>
  <c r="K398" i="778" s="1"/>
  <c r="H398" i="778"/>
  <c r="I397" i="778"/>
  <c r="J397" i="778" s="1"/>
  <c r="H397" i="778"/>
  <c r="B394" i="778"/>
  <c r="K388" i="778"/>
  <c r="E386" i="778"/>
  <c r="E389" i="778" s="1"/>
  <c r="J389" i="778" s="1"/>
  <c r="K385" i="778"/>
  <c r="H384" i="778"/>
  <c r="K384" i="778" s="1"/>
  <c r="G384" i="778"/>
  <c r="H383" i="778"/>
  <c r="K383" i="778" s="1"/>
  <c r="G383" i="778"/>
  <c r="G382" i="778"/>
  <c r="H382" i="778" s="1"/>
  <c r="K382" i="778" s="1"/>
  <c r="G381" i="778"/>
  <c r="H381" i="778" s="1"/>
  <c r="K381" i="778" s="1"/>
  <c r="G380" i="778"/>
  <c r="H380" i="778" s="1"/>
  <c r="K380" i="778" s="1"/>
  <c r="J379" i="778"/>
  <c r="G379" i="778"/>
  <c r="H379" i="778" s="1"/>
  <c r="K379" i="778" s="1"/>
  <c r="J375" i="778"/>
  <c r="I375" i="778"/>
  <c r="H375" i="778"/>
  <c r="K374" i="778"/>
  <c r="I374" i="778"/>
  <c r="J374" i="778" s="1"/>
  <c r="H374" i="778"/>
  <c r="J373" i="778"/>
  <c r="K373" i="778" s="1"/>
  <c r="I373" i="778"/>
  <c r="H373" i="778"/>
  <c r="B370" i="778"/>
  <c r="K369" i="778"/>
  <c r="E368" i="778"/>
  <c r="J368" i="778" s="1"/>
  <c r="K367" i="778"/>
  <c r="J367" i="778"/>
  <c r="H367" i="778"/>
  <c r="E365" i="778"/>
  <c r="J365" i="778" s="1"/>
  <c r="K364" i="778"/>
  <c r="J364" i="778"/>
  <c r="H364" i="778"/>
  <c r="I363" i="778"/>
  <c r="J363" i="778" s="1"/>
  <c r="G363" i="778"/>
  <c r="H363" i="778" s="1"/>
  <c r="K362" i="778"/>
  <c r="J362" i="778"/>
  <c r="H362" i="778"/>
  <c r="J361" i="778"/>
  <c r="K361" i="778" s="1"/>
  <c r="H361" i="778"/>
  <c r="E361" i="778"/>
  <c r="J360" i="778"/>
  <c r="H360" i="778"/>
  <c r="I359" i="778"/>
  <c r="J359" i="778" s="1"/>
  <c r="K359" i="778" s="1"/>
  <c r="H359" i="778"/>
  <c r="J358" i="778"/>
  <c r="H358" i="778"/>
  <c r="K358" i="778" s="1"/>
  <c r="J357" i="778"/>
  <c r="H357" i="778"/>
  <c r="K357" i="778" s="1"/>
  <c r="K356" i="778"/>
  <c r="J356" i="778"/>
  <c r="H356" i="778"/>
  <c r="B354" i="778"/>
  <c r="J351" i="778"/>
  <c r="K351" i="778" s="1"/>
  <c r="E351" i="778"/>
  <c r="H351" i="778" s="1"/>
  <c r="G352" i="778" s="1"/>
  <c r="E348" i="778"/>
  <c r="K347" i="778"/>
  <c r="I346" i="778"/>
  <c r="J346" i="778" s="1"/>
  <c r="G346" i="778"/>
  <c r="H346" i="778" s="1"/>
  <c r="K346" i="778" s="1"/>
  <c r="J345" i="778"/>
  <c r="K345" i="778" s="1"/>
  <c r="H345" i="778"/>
  <c r="K344" i="778"/>
  <c r="K343" i="778"/>
  <c r="H342" i="778"/>
  <c r="K342" i="778" s="1"/>
  <c r="E342" i="778"/>
  <c r="H341" i="778"/>
  <c r="K341" i="778" s="1"/>
  <c r="E341" i="778"/>
  <c r="J340" i="778"/>
  <c r="H340" i="778"/>
  <c r="K340" i="778" s="1"/>
  <c r="J339" i="778"/>
  <c r="H339" i="778"/>
  <c r="K339" i="778" s="1"/>
  <c r="K338" i="778"/>
  <c r="J338" i="778"/>
  <c r="I338" i="778"/>
  <c r="H338" i="778"/>
  <c r="K337" i="778"/>
  <c r="J336" i="778"/>
  <c r="H336" i="778"/>
  <c r="B334" i="778"/>
  <c r="K332" i="778"/>
  <c r="J332" i="778"/>
  <c r="E332" i="778"/>
  <c r="H332" i="778" s="1"/>
  <c r="K331" i="778"/>
  <c r="J331" i="778"/>
  <c r="H331" i="778"/>
  <c r="G330" i="778"/>
  <c r="I330" i="778" s="1"/>
  <c r="J330" i="778" s="1"/>
  <c r="J329" i="778"/>
  <c r="K329" i="778" s="1"/>
  <c r="H329" i="778"/>
  <c r="J328" i="778"/>
  <c r="K328" i="778" s="1"/>
  <c r="H328" i="778"/>
  <c r="J325" i="778"/>
  <c r="H325" i="778"/>
  <c r="J322" i="778"/>
  <c r="K322" i="778" s="1"/>
  <c r="H322" i="778"/>
  <c r="J321" i="778"/>
  <c r="H321" i="778"/>
  <c r="K321" i="778" s="1"/>
  <c r="K320" i="778"/>
  <c r="J320" i="778"/>
  <c r="H320" i="778"/>
  <c r="G323" i="778" s="1"/>
  <c r="K319" i="778"/>
  <c r="J319" i="778"/>
  <c r="H319" i="778"/>
  <c r="J318" i="778"/>
  <c r="K318" i="778" s="1"/>
  <c r="H318" i="778"/>
  <c r="J317" i="778"/>
  <c r="H317" i="778"/>
  <c r="K317" i="778" s="1"/>
  <c r="K316" i="778"/>
  <c r="J316" i="778"/>
  <c r="H316" i="778"/>
  <c r="K315" i="778"/>
  <c r="J315" i="778"/>
  <c r="H315" i="778"/>
  <c r="J314" i="778"/>
  <c r="K314" i="778" s="1"/>
  <c r="H314" i="778"/>
  <c r="J313" i="778"/>
  <c r="G313" i="778"/>
  <c r="H313" i="778" s="1"/>
  <c r="K313" i="778" s="1"/>
  <c r="J312" i="778"/>
  <c r="H312" i="778"/>
  <c r="K312" i="778" s="1"/>
  <c r="J311" i="778"/>
  <c r="H311" i="778"/>
  <c r="K311" i="778" s="1"/>
  <c r="K310" i="778"/>
  <c r="J310" i="778"/>
  <c r="H310" i="778"/>
  <c r="J309" i="778"/>
  <c r="H309" i="778"/>
  <c r="K309" i="778" s="1"/>
  <c r="J308" i="778"/>
  <c r="H308" i="778"/>
  <c r="K308" i="778" s="1"/>
  <c r="J307" i="778"/>
  <c r="H307" i="778"/>
  <c r="K307" i="778" s="1"/>
  <c r="K306" i="778"/>
  <c r="J306" i="778"/>
  <c r="H306" i="778"/>
  <c r="J305" i="778"/>
  <c r="H305" i="778"/>
  <c r="K305" i="778" s="1"/>
  <c r="J304" i="778"/>
  <c r="H304" i="778"/>
  <c r="K304" i="778" s="1"/>
  <c r="J303" i="778"/>
  <c r="H303" i="778"/>
  <c r="K303" i="778" s="1"/>
  <c r="K302" i="778"/>
  <c r="J302" i="778"/>
  <c r="H302" i="778"/>
  <c r="J301" i="778"/>
  <c r="H301" i="778"/>
  <c r="I300" i="778"/>
  <c r="J300" i="778" s="1"/>
  <c r="G300" i="778"/>
  <c r="H300" i="778" s="1"/>
  <c r="B298" i="778"/>
  <c r="K294" i="778"/>
  <c r="J294" i="778"/>
  <c r="H294" i="778"/>
  <c r="J293" i="778"/>
  <c r="K293" i="778" s="1"/>
  <c r="H293" i="778"/>
  <c r="J292" i="778"/>
  <c r="H292" i="778"/>
  <c r="K292" i="778" s="1"/>
  <c r="K291" i="778"/>
  <c r="J291" i="778"/>
  <c r="H291" i="778"/>
  <c r="K290" i="778"/>
  <c r="J290" i="778"/>
  <c r="H290" i="778"/>
  <c r="J289" i="778"/>
  <c r="K289" i="778" s="1"/>
  <c r="H289" i="778"/>
  <c r="J288" i="778"/>
  <c r="H288" i="778"/>
  <c r="K288" i="778" s="1"/>
  <c r="K287" i="778"/>
  <c r="J287" i="778"/>
  <c r="H287" i="778"/>
  <c r="K286" i="778"/>
  <c r="J286" i="778"/>
  <c r="H286" i="778"/>
  <c r="J285" i="778"/>
  <c r="K285" i="778" s="1"/>
  <c r="H285" i="778"/>
  <c r="J284" i="778"/>
  <c r="H284" i="778"/>
  <c r="K284" i="778" s="1"/>
  <c r="K283" i="778"/>
  <c r="J283" i="778"/>
  <c r="H283" i="778"/>
  <c r="K282" i="778"/>
  <c r="J282" i="778"/>
  <c r="H282" i="778"/>
  <c r="J281" i="778"/>
  <c r="K281" i="778" s="1"/>
  <c r="H281" i="778"/>
  <c r="J280" i="778"/>
  <c r="H280" i="778"/>
  <c r="K280" i="778" s="1"/>
  <c r="K279" i="778"/>
  <c r="J279" i="778"/>
  <c r="H279" i="778"/>
  <c r="K278" i="778"/>
  <c r="J278" i="778"/>
  <c r="H278" i="778"/>
  <c r="J277" i="778"/>
  <c r="K277" i="778" s="1"/>
  <c r="H277" i="778"/>
  <c r="J276" i="778"/>
  <c r="H276" i="778"/>
  <c r="K276" i="778" s="1"/>
  <c r="K275" i="778"/>
  <c r="J275" i="778"/>
  <c r="H275" i="778"/>
  <c r="K274" i="778"/>
  <c r="J274" i="778"/>
  <c r="H274" i="778"/>
  <c r="J273" i="778"/>
  <c r="K273" i="778" s="1"/>
  <c r="H273" i="778"/>
  <c r="B271" i="778"/>
  <c r="K269" i="778"/>
  <c r="G268" i="778"/>
  <c r="I268" i="778" s="1"/>
  <c r="J268" i="778" s="1"/>
  <c r="G267" i="778"/>
  <c r="B264" i="778"/>
  <c r="J261" i="778"/>
  <c r="H261" i="778"/>
  <c r="K261" i="778" s="1"/>
  <c r="K260" i="778"/>
  <c r="J260" i="778"/>
  <c r="H260" i="778"/>
  <c r="J259" i="778"/>
  <c r="H259" i="778"/>
  <c r="K259" i="778" s="1"/>
  <c r="E259" i="778"/>
  <c r="J258" i="778"/>
  <c r="K258" i="778" s="1"/>
  <c r="H258" i="778"/>
  <c r="J257" i="778"/>
  <c r="H257" i="778"/>
  <c r="K257" i="778" s="1"/>
  <c r="J256" i="778"/>
  <c r="H256" i="778"/>
  <c r="K256" i="778" s="1"/>
  <c r="K255" i="778"/>
  <c r="J255" i="778"/>
  <c r="H255" i="778"/>
  <c r="J254" i="778"/>
  <c r="K254" i="778" s="1"/>
  <c r="H254" i="778"/>
  <c r="J253" i="778"/>
  <c r="J264" i="778" s="1"/>
  <c r="H253" i="778"/>
  <c r="H264" i="778" s="1"/>
  <c r="H17" i="778" s="1"/>
  <c r="B250" i="778"/>
  <c r="K244" i="778"/>
  <c r="J244" i="778"/>
  <c r="H244" i="778"/>
  <c r="K243" i="778"/>
  <c r="J243" i="778"/>
  <c r="H243" i="778"/>
  <c r="K240" i="778"/>
  <c r="J240" i="778"/>
  <c r="H240" i="778"/>
  <c r="J239" i="778"/>
  <c r="K239" i="778" s="1"/>
  <c r="H239" i="778"/>
  <c r="J238" i="778"/>
  <c r="H238" i="778"/>
  <c r="K238" i="778" s="1"/>
  <c r="J237" i="778"/>
  <c r="H237" i="778"/>
  <c r="K237" i="778" s="1"/>
  <c r="G236" i="778"/>
  <c r="H236" i="778" s="1"/>
  <c r="J235" i="778"/>
  <c r="H235" i="778"/>
  <c r="K235" i="778" s="1"/>
  <c r="K234" i="778"/>
  <c r="J234" i="778"/>
  <c r="H234" i="778"/>
  <c r="J233" i="778"/>
  <c r="H233" i="778"/>
  <c r="K233" i="778" s="1"/>
  <c r="J231" i="778"/>
  <c r="K231" i="778" s="1"/>
  <c r="H231" i="778"/>
  <c r="J230" i="778"/>
  <c r="H230" i="778"/>
  <c r="K229" i="778"/>
  <c r="J229" i="778"/>
  <c r="H229" i="778"/>
  <c r="J228" i="778"/>
  <c r="H228" i="778"/>
  <c r="B226" i="778"/>
  <c r="J221" i="778"/>
  <c r="K221" i="778" s="1"/>
  <c r="H221" i="778"/>
  <c r="J220" i="778"/>
  <c r="H220" i="778"/>
  <c r="K220" i="778" s="1"/>
  <c r="J219" i="778"/>
  <c r="H219" i="778"/>
  <c r="K219" i="778" s="1"/>
  <c r="J218" i="778"/>
  <c r="K218" i="778" s="1"/>
  <c r="H218" i="778"/>
  <c r="J217" i="778"/>
  <c r="K217" i="778" s="1"/>
  <c r="H217" i="778"/>
  <c r="J216" i="778"/>
  <c r="H216" i="778"/>
  <c r="K216" i="778" s="1"/>
  <c r="K215" i="778"/>
  <c r="J214" i="778"/>
  <c r="H214" i="778"/>
  <c r="K214" i="778" s="1"/>
  <c r="K213" i="778"/>
  <c r="J213" i="778"/>
  <c r="H213" i="778"/>
  <c r="K212" i="778"/>
  <c r="J212" i="778"/>
  <c r="H212" i="778"/>
  <c r="J211" i="778"/>
  <c r="K211" i="778" s="1"/>
  <c r="H211" i="778"/>
  <c r="J210" i="778"/>
  <c r="H210" i="778"/>
  <c r="J209" i="778"/>
  <c r="H209" i="778"/>
  <c r="B208" i="778"/>
  <c r="H205" i="778"/>
  <c r="K205" i="778" s="1"/>
  <c r="K204" i="778"/>
  <c r="H204" i="778"/>
  <c r="J203" i="778"/>
  <c r="K203" i="778" s="1"/>
  <c r="K199" i="778"/>
  <c r="H199" i="778"/>
  <c r="H198" i="778"/>
  <c r="K198" i="778" s="1"/>
  <c r="K197" i="778"/>
  <c r="J197" i="778"/>
  <c r="J196" i="778"/>
  <c r="H196" i="778"/>
  <c r="K196" i="778" s="1"/>
  <c r="J195" i="778"/>
  <c r="H195" i="778"/>
  <c r="K195" i="778" s="1"/>
  <c r="J194" i="778"/>
  <c r="K194" i="778" s="1"/>
  <c r="H194" i="778"/>
  <c r="J193" i="778"/>
  <c r="K193" i="778" s="1"/>
  <c r="H193" i="778"/>
  <c r="J192" i="778"/>
  <c r="H192" i="778"/>
  <c r="K192" i="778" s="1"/>
  <c r="J191" i="778"/>
  <c r="H191" i="778"/>
  <c r="K191" i="778" s="1"/>
  <c r="K190" i="778"/>
  <c r="J190" i="778"/>
  <c r="H190" i="778"/>
  <c r="J189" i="778"/>
  <c r="K189" i="778" s="1"/>
  <c r="H189" i="778"/>
  <c r="J188" i="778"/>
  <c r="H188" i="778"/>
  <c r="K188" i="778" s="1"/>
  <c r="J187" i="778"/>
  <c r="H187" i="778"/>
  <c r="K187" i="778" s="1"/>
  <c r="K186" i="778"/>
  <c r="H186" i="778"/>
  <c r="H185" i="778"/>
  <c r="K185" i="778" s="1"/>
  <c r="K184" i="778"/>
  <c r="H184" i="778"/>
  <c r="H183" i="778"/>
  <c r="K183" i="778" s="1"/>
  <c r="K182" i="778"/>
  <c r="J182" i="778"/>
  <c r="H182" i="778"/>
  <c r="H181" i="778"/>
  <c r="K181" i="778" s="1"/>
  <c r="K180" i="778"/>
  <c r="H180" i="778"/>
  <c r="H179" i="778"/>
  <c r="K179" i="778" s="1"/>
  <c r="H178" i="778"/>
  <c r="K178" i="778" s="1"/>
  <c r="J177" i="778"/>
  <c r="K177" i="778" s="1"/>
  <c r="H177" i="778"/>
  <c r="H176" i="778"/>
  <c r="K176" i="778" s="1"/>
  <c r="K175" i="778"/>
  <c r="H175" i="778"/>
  <c r="H174" i="778"/>
  <c r="K174" i="778" s="1"/>
  <c r="K173" i="778"/>
  <c r="H173" i="778"/>
  <c r="J172" i="778"/>
  <c r="H172" i="778"/>
  <c r="K172" i="778" s="1"/>
  <c r="K171" i="778"/>
  <c r="H171" i="778"/>
  <c r="H170" i="778"/>
  <c r="K170" i="778" s="1"/>
  <c r="K169" i="778"/>
  <c r="H169" i="778"/>
  <c r="J168" i="778"/>
  <c r="K168" i="778" s="1"/>
  <c r="H168" i="778"/>
  <c r="H167" i="778"/>
  <c r="K167" i="778" s="1"/>
  <c r="K166" i="778"/>
  <c r="H166" i="778"/>
  <c r="H165" i="778"/>
  <c r="K165" i="778" s="1"/>
  <c r="J164" i="778"/>
  <c r="K164" i="778" s="1"/>
  <c r="H164" i="778"/>
  <c r="H163" i="778"/>
  <c r="K163" i="778" s="1"/>
  <c r="H162" i="778"/>
  <c r="K162" i="778" s="1"/>
  <c r="H161" i="778"/>
  <c r="K161" i="778" s="1"/>
  <c r="J160" i="778"/>
  <c r="H160" i="778"/>
  <c r="K160" i="778" s="1"/>
  <c r="H159" i="778"/>
  <c r="K159" i="778" s="1"/>
  <c r="H158" i="778"/>
  <c r="K158" i="778" s="1"/>
  <c r="K157" i="778"/>
  <c r="H157" i="778"/>
  <c r="J156" i="778"/>
  <c r="H156" i="778"/>
  <c r="K156" i="778" s="1"/>
  <c r="K155" i="778"/>
  <c r="H155" i="778"/>
  <c r="H154" i="778"/>
  <c r="K154" i="778" s="1"/>
  <c r="K153" i="778"/>
  <c r="H153" i="778"/>
  <c r="J152" i="778"/>
  <c r="K152" i="778" s="1"/>
  <c r="H152" i="778"/>
  <c r="H151" i="778"/>
  <c r="K151" i="778" s="1"/>
  <c r="K150" i="778"/>
  <c r="H150" i="778"/>
  <c r="H149" i="778"/>
  <c r="K149" i="778" s="1"/>
  <c r="J148" i="778"/>
  <c r="K148" i="778" s="1"/>
  <c r="H148" i="778"/>
  <c r="H147" i="778"/>
  <c r="K147" i="778" s="1"/>
  <c r="H146" i="778"/>
  <c r="K146" i="778" s="1"/>
  <c r="H145" i="778"/>
  <c r="K145" i="778" s="1"/>
  <c r="J144" i="778"/>
  <c r="H144" i="778"/>
  <c r="K144" i="778" s="1"/>
  <c r="K143" i="778"/>
  <c r="K142" i="778"/>
  <c r="H142" i="778"/>
  <c r="H141" i="778"/>
  <c r="K141" i="778" s="1"/>
  <c r="H140" i="778"/>
  <c r="K140" i="778" s="1"/>
  <c r="H139" i="778"/>
  <c r="K139" i="778" s="1"/>
  <c r="J138" i="778"/>
  <c r="H138" i="778"/>
  <c r="K138" i="778" s="1"/>
  <c r="K137" i="778"/>
  <c r="H137" i="778"/>
  <c r="H136" i="778"/>
  <c r="K136" i="778" s="1"/>
  <c r="K135" i="778"/>
  <c r="H135" i="778"/>
  <c r="H134" i="778"/>
  <c r="K133" i="778"/>
  <c r="J133" i="778"/>
  <c r="J208" i="778" s="1"/>
  <c r="J14" i="778" s="1"/>
  <c r="H133" i="778"/>
  <c r="B130" i="778"/>
  <c r="J124" i="778"/>
  <c r="J130" i="778" s="1"/>
  <c r="J13" i="778" s="1"/>
  <c r="I124" i="778"/>
  <c r="H124" i="778"/>
  <c r="K124" i="778" s="1"/>
  <c r="H123" i="778"/>
  <c r="K123" i="778" s="1"/>
  <c r="K122" i="778"/>
  <c r="H122" i="778"/>
  <c r="H121" i="778"/>
  <c r="K121" i="778" s="1"/>
  <c r="K120" i="778"/>
  <c r="H120" i="778"/>
  <c r="H119" i="778"/>
  <c r="K119" i="778" s="1"/>
  <c r="H118" i="778"/>
  <c r="K118" i="778" s="1"/>
  <c r="H117" i="778"/>
  <c r="K117" i="778" s="1"/>
  <c r="K116" i="778"/>
  <c r="H116" i="778"/>
  <c r="H115" i="778"/>
  <c r="K115" i="778" s="1"/>
  <c r="K114" i="778"/>
  <c r="H114" i="778"/>
  <c r="H113" i="778"/>
  <c r="K113" i="778" s="1"/>
  <c r="H112" i="778"/>
  <c r="K112" i="778" s="1"/>
  <c r="H111" i="778"/>
  <c r="K111" i="778" s="1"/>
  <c r="K110" i="778"/>
  <c r="H110" i="778"/>
  <c r="H109" i="778"/>
  <c r="K109" i="778" s="1"/>
  <c r="K108" i="778"/>
  <c r="H108" i="778"/>
  <c r="H107" i="778"/>
  <c r="K107" i="778" s="1"/>
  <c r="H106" i="778"/>
  <c r="K106" i="778" s="1"/>
  <c r="H105" i="778"/>
  <c r="K105" i="778" s="1"/>
  <c r="K104" i="778"/>
  <c r="H104" i="778"/>
  <c r="K103" i="778"/>
  <c r="K102" i="778"/>
  <c r="J101" i="778"/>
  <c r="I101" i="778"/>
  <c r="H101" i="778"/>
  <c r="K101" i="778" s="1"/>
  <c r="H100" i="778"/>
  <c r="K100" i="778" s="1"/>
  <c r="H99" i="778"/>
  <c r="K99" i="778" s="1"/>
  <c r="K98" i="778"/>
  <c r="H98" i="778"/>
  <c r="H97" i="778"/>
  <c r="K97" i="778" s="1"/>
  <c r="K96" i="778"/>
  <c r="H96" i="778"/>
  <c r="H95" i="778"/>
  <c r="K95" i="778" s="1"/>
  <c r="H94" i="778"/>
  <c r="K94" i="778" s="1"/>
  <c r="K93" i="778"/>
  <c r="H93" i="778"/>
  <c r="K92" i="778"/>
  <c r="H92" i="778"/>
  <c r="H91" i="778"/>
  <c r="K91" i="778" s="1"/>
  <c r="K90" i="778"/>
  <c r="H90" i="778"/>
  <c r="H89" i="778"/>
  <c r="K89" i="778" s="1"/>
  <c r="H88" i="778"/>
  <c r="K88" i="778" s="1"/>
  <c r="K87" i="778"/>
  <c r="H87" i="778"/>
  <c r="K86" i="778"/>
  <c r="H86" i="778"/>
  <c r="H85" i="778"/>
  <c r="K85" i="778" s="1"/>
  <c r="K84" i="778"/>
  <c r="H84" i="778"/>
  <c r="H83" i="778"/>
  <c r="K83" i="778" s="1"/>
  <c r="H82" i="778"/>
  <c r="K82" i="778" s="1"/>
  <c r="K81" i="778"/>
  <c r="H81" i="778"/>
  <c r="B77" i="778"/>
  <c r="J72" i="778"/>
  <c r="I72" i="778"/>
  <c r="H72" i="778"/>
  <c r="K72" i="778" s="1"/>
  <c r="H71" i="778"/>
  <c r="K71" i="778" s="1"/>
  <c r="K70" i="778"/>
  <c r="H70" i="778"/>
  <c r="K69" i="778"/>
  <c r="H69" i="778"/>
  <c r="K68" i="778"/>
  <c r="H68" i="778"/>
  <c r="K67" i="778"/>
  <c r="H67" i="778"/>
  <c r="H66" i="778"/>
  <c r="K66" i="778" s="1"/>
  <c r="H65" i="778"/>
  <c r="K65" i="778" s="1"/>
  <c r="K64" i="778"/>
  <c r="H64" i="778"/>
  <c r="K63" i="778"/>
  <c r="H63" i="778"/>
  <c r="H62" i="778"/>
  <c r="K62" i="778" s="1"/>
  <c r="K61" i="778"/>
  <c r="H61" i="778"/>
  <c r="H60" i="778"/>
  <c r="K60" i="778" s="1"/>
  <c r="H59" i="778"/>
  <c r="K59" i="778" s="1"/>
  <c r="H58" i="778"/>
  <c r="K58" i="778" s="1"/>
  <c r="K57" i="778"/>
  <c r="H57" i="778"/>
  <c r="K56" i="778"/>
  <c r="H56" i="778"/>
  <c r="K53" i="778"/>
  <c r="J53" i="778"/>
  <c r="J77" i="778" s="1"/>
  <c r="J12" i="778" s="1"/>
  <c r="I53" i="778"/>
  <c r="H53" i="778"/>
  <c r="H52" i="778"/>
  <c r="K52" i="778" s="1"/>
  <c r="K51" i="778"/>
  <c r="H51" i="778"/>
  <c r="K50" i="778"/>
  <c r="H50" i="778"/>
  <c r="K49" i="778"/>
  <c r="H49" i="778"/>
  <c r="K48" i="778"/>
  <c r="H48" i="778"/>
  <c r="H47" i="778"/>
  <c r="K47" i="778" s="1"/>
  <c r="H46" i="778"/>
  <c r="K46" i="778" s="1"/>
  <c r="H45" i="778"/>
  <c r="K45" i="778" s="1"/>
  <c r="K44" i="778"/>
  <c r="H44" i="778"/>
  <c r="H43" i="778"/>
  <c r="K43" i="778" s="1"/>
  <c r="K42" i="778"/>
  <c r="H42" i="778"/>
  <c r="H41" i="778"/>
  <c r="K41" i="778" s="1"/>
  <c r="H40" i="778"/>
  <c r="K40" i="778" s="1"/>
  <c r="H39" i="778"/>
  <c r="K38" i="778"/>
  <c r="H38" i="778"/>
  <c r="B34" i="778"/>
  <c r="B25" i="778"/>
  <c r="A25" i="778"/>
  <c r="B24" i="778"/>
  <c r="A24" i="778"/>
  <c r="B23" i="778"/>
  <c r="A23" i="778"/>
  <c r="B22" i="778"/>
  <c r="A22" i="778"/>
  <c r="B21" i="778"/>
  <c r="A21" i="778"/>
  <c r="B20" i="778"/>
  <c r="A20" i="778"/>
  <c r="B19" i="778"/>
  <c r="A19" i="778"/>
  <c r="B18" i="778"/>
  <c r="A18" i="778"/>
  <c r="J17" i="778"/>
  <c r="B17" i="778"/>
  <c r="A17" i="778"/>
  <c r="B16" i="778"/>
  <c r="A16" i="778"/>
  <c r="B15" i="778"/>
  <c r="A15" i="778"/>
  <c r="B14" i="778"/>
  <c r="A14" i="778"/>
  <c r="B13" i="778"/>
  <c r="A13" i="778"/>
  <c r="B12" i="778"/>
  <c r="A12" i="778"/>
  <c r="B251" i="777"/>
  <c r="J249" i="777"/>
  <c r="H249" i="777"/>
  <c r="E249" i="777"/>
  <c r="K248" i="777"/>
  <c r="J247" i="777"/>
  <c r="E247" i="777"/>
  <c r="H247" i="777" s="1"/>
  <c r="K246" i="777"/>
  <c r="K245" i="777"/>
  <c r="J245" i="777"/>
  <c r="H245" i="777"/>
  <c r="J244" i="777"/>
  <c r="H244" i="777"/>
  <c r="K244" i="777" s="1"/>
  <c r="E244" i="777"/>
  <c r="J243" i="777"/>
  <c r="K243" i="777" s="1"/>
  <c r="H243" i="777"/>
  <c r="H242" i="777"/>
  <c r="K242" i="777" s="1"/>
  <c r="G242" i="777"/>
  <c r="E242" i="777"/>
  <c r="J241" i="777"/>
  <c r="H241" i="777"/>
  <c r="G241" i="777"/>
  <c r="J240" i="777"/>
  <c r="H240" i="777"/>
  <c r="K240" i="777" s="1"/>
  <c r="I237" i="777"/>
  <c r="J237" i="777" s="1"/>
  <c r="H237" i="777"/>
  <c r="K237" i="777" s="1"/>
  <c r="I236" i="777"/>
  <c r="J236" i="777" s="1"/>
  <c r="H236" i="777"/>
  <c r="K236" i="777" s="1"/>
  <c r="J235" i="777"/>
  <c r="I235" i="777"/>
  <c r="H235" i="777"/>
  <c r="B232" i="777"/>
  <c r="G230" i="777"/>
  <c r="I230" i="777" s="1"/>
  <c r="J230" i="777" s="1"/>
  <c r="J229" i="777"/>
  <c r="H229" i="777"/>
  <c r="K229" i="777" s="1"/>
  <c r="K228" i="777"/>
  <c r="J225" i="777"/>
  <c r="H225" i="777"/>
  <c r="K225" i="777" s="1"/>
  <c r="J224" i="777"/>
  <c r="H224" i="777"/>
  <c r="K223" i="777"/>
  <c r="I222" i="777"/>
  <c r="J222" i="777" s="1"/>
  <c r="H222" i="777"/>
  <c r="I221" i="777"/>
  <c r="J221" i="777" s="1"/>
  <c r="H221" i="777"/>
  <c r="G221" i="777"/>
  <c r="K220" i="777"/>
  <c r="K219" i="777"/>
  <c r="I219" i="777"/>
  <c r="J219" i="777" s="1"/>
  <c r="H219" i="777"/>
  <c r="G218" i="777"/>
  <c r="K213" i="777"/>
  <c r="J213" i="777"/>
  <c r="I213" i="777"/>
  <c r="H213" i="777"/>
  <c r="I212" i="777"/>
  <c r="J212" i="777" s="1"/>
  <c r="H212" i="777"/>
  <c r="K212" i="777" s="1"/>
  <c r="I211" i="777"/>
  <c r="J211" i="777" s="1"/>
  <c r="H211" i="777"/>
  <c r="B208" i="777"/>
  <c r="E204" i="777"/>
  <c r="H204" i="777" s="1"/>
  <c r="K203" i="777"/>
  <c r="E199" i="777"/>
  <c r="K198" i="777"/>
  <c r="K197" i="777"/>
  <c r="H197" i="777"/>
  <c r="G197" i="777"/>
  <c r="G196" i="777"/>
  <c r="H196" i="777" s="1"/>
  <c r="K196" i="777" s="1"/>
  <c r="K195" i="777"/>
  <c r="H195" i="777"/>
  <c r="G195" i="777"/>
  <c r="H194" i="777"/>
  <c r="K194" i="777" s="1"/>
  <c r="G194" i="777"/>
  <c r="K193" i="777"/>
  <c r="H193" i="777"/>
  <c r="G193" i="777"/>
  <c r="K192" i="777"/>
  <c r="J192" i="777"/>
  <c r="G192" i="777"/>
  <c r="H192" i="777" s="1"/>
  <c r="J187" i="777"/>
  <c r="I187" i="777"/>
  <c r="H187" i="777"/>
  <c r="K187" i="777" s="1"/>
  <c r="K186" i="777"/>
  <c r="J186" i="777"/>
  <c r="I186" i="777"/>
  <c r="H186" i="777"/>
  <c r="I185" i="777"/>
  <c r="J185" i="777" s="1"/>
  <c r="H185" i="777"/>
  <c r="B182" i="777"/>
  <c r="K180" i="777"/>
  <c r="J180" i="777"/>
  <c r="H180" i="777"/>
  <c r="J179" i="777"/>
  <c r="K179" i="777" s="1"/>
  <c r="H179" i="777"/>
  <c r="J177" i="777"/>
  <c r="H177" i="777"/>
  <c r="J176" i="777"/>
  <c r="H176" i="777"/>
  <c r="K176" i="777" s="1"/>
  <c r="J174" i="777"/>
  <c r="H174" i="777"/>
  <c r="K173" i="777"/>
  <c r="J173" i="777"/>
  <c r="H173" i="777"/>
  <c r="K172" i="777"/>
  <c r="J172" i="777"/>
  <c r="H172" i="777"/>
  <c r="J171" i="777"/>
  <c r="K171" i="777" s="1"/>
  <c r="I171" i="777"/>
  <c r="H171" i="777"/>
  <c r="J170" i="777"/>
  <c r="H170" i="777"/>
  <c r="K170" i="777" s="1"/>
  <c r="J169" i="777"/>
  <c r="H169" i="777"/>
  <c r="K169" i="777" s="1"/>
  <c r="J168" i="777"/>
  <c r="H168" i="777"/>
  <c r="B166" i="777"/>
  <c r="J163" i="777"/>
  <c r="K163" i="777" s="1"/>
  <c r="H163" i="777"/>
  <c r="J162" i="777"/>
  <c r="K162" i="777" s="1"/>
  <c r="H162" i="777"/>
  <c r="J160" i="777"/>
  <c r="H160" i="777"/>
  <c r="G161" i="777" s="1"/>
  <c r="H161" i="777" s="1"/>
  <c r="J159" i="777"/>
  <c r="H159" i="777"/>
  <c r="K159" i="777" s="1"/>
  <c r="J157" i="777"/>
  <c r="H157" i="777"/>
  <c r="J154" i="777"/>
  <c r="H154" i="777"/>
  <c r="J153" i="777"/>
  <c r="H153" i="777"/>
  <c r="K153" i="777" s="1"/>
  <c r="K152" i="777"/>
  <c r="J152" i="777"/>
  <c r="H152" i="777"/>
  <c r="J151" i="777"/>
  <c r="K151" i="777" s="1"/>
  <c r="H151" i="777"/>
  <c r="J150" i="777"/>
  <c r="H150" i="777"/>
  <c r="K150" i="777" s="1"/>
  <c r="J149" i="777"/>
  <c r="H149" i="777"/>
  <c r="K149" i="777" s="1"/>
  <c r="J148" i="777"/>
  <c r="K148" i="777" s="1"/>
  <c r="H148" i="777"/>
  <c r="J147" i="777"/>
  <c r="K147" i="777" s="1"/>
  <c r="H147" i="777"/>
  <c r="J146" i="777"/>
  <c r="H146" i="777"/>
  <c r="K146" i="777" s="1"/>
  <c r="J145" i="777"/>
  <c r="G145" i="777"/>
  <c r="H145" i="777" s="1"/>
  <c r="K145" i="777" s="1"/>
  <c r="K144" i="777"/>
  <c r="J144" i="777"/>
  <c r="H144" i="777"/>
  <c r="K143" i="777"/>
  <c r="J143" i="777"/>
  <c r="H143" i="777"/>
  <c r="J142" i="777"/>
  <c r="K142" i="777" s="1"/>
  <c r="H142" i="777"/>
  <c r="J141" i="777"/>
  <c r="H141" i="777"/>
  <c r="K141" i="777" s="1"/>
  <c r="K140" i="777"/>
  <c r="J140" i="777"/>
  <c r="H140" i="777"/>
  <c r="K139" i="777"/>
  <c r="J139" i="777"/>
  <c r="H139" i="777"/>
  <c r="K138" i="777"/>
  <c r="J138" i="777"/>
  <c r="H138" i="777"/>
  <c r="J137" i="777"/>
  <c r="H137" i="777"/>
  <c r="K136" i="777"/>
  <c r="J136" i="777"/>
  <c r="H136" i="777"/>
  <c r="K135" i="777"/>
  <c r="J135" i="777"/>
  <c r="H135" i="777"/>
  <c r="J134" i="777"/>
  <c r="K134" i="777" s="1"/>
  <c r="H134" i="777"/>
  <c r="J133" i="777"/>
  <c r="H133" i="777"/>
  <c r="K133" i="777" s="1"/>
  <c r="J132" i="777"/>
  <c r="I132" i="777"/>
  <c r="H132" i="777"/>
  <c r="G132" i="777"/>
  <c r="B130" i="777"/>
  <c r="J128" i="777"/>
  <c r="K128" i="777" s="1"/>
  <c r="H128" i="777"/>
  <c r="J127" i="777"/>
  <c r="H127" i="777"/>
  <c r="K127" i="777" s="1"/>
  <c r="J126" i="777"/>
  <c r="H126" i="777"/>
  <c r="K126" i="777" s="1"/>
  <c r="J125" i="777"/>
  <c r="K125" i="777" s="1"/>
  <c r="H125" i="777"/>
  <c r="J124" i="777"/>
  <c r="K124" i="777" s="1"/>
  <c r="H124" i="777"/>
  <c r="J123" i="777"/>
  <c r="H123" i="777"/>
  <c r="K123" i="777" s="1"/>
  <c r="J122" i="777"/>
  <c r="H122" i="777"/>
  <c r="K122" i="777" s="1"/>
  <c r="K121" i="777"/>
  <c r="J121" i="777"/>
  <c r="H121" i="777"/>
  <c r="J120" i="777"/>
  <c r="K120" i="777" s="1"/>
  <c r="H120" i="777"/>
  <c r="J119" i="777"/>
  <c r="H119" i="777"/>
  <c r="K119" i="777" s="1"/>
  <c r="J118" i="777"/>
  <c r="H118" i="777"/>
  <c r="K118" i="777" s="1"/>
  <c r="K117" i="777"/>
  <c r="J117" i="777"/>
  <c r="H117" i="777"/>
  <c r="J116" i="777"/>
  <c r="K116" i="777" s="1"/>
  <c r="H116" i="777"/>
  <c r="J115" i="777"/>
  <c r="H115" i="777"/>
  <c r="J114" i="777"/>
  <c r="H114" i="777"/>
  <c r="K114" i="777" s="1"/>
  <c r="K113" i="777"/>
  <c r="J113" i="777"/>
  <c r="H113" i="777"/>
  <c r="J112" i="777"/>
  <c r="K112" i="777" s="1"/>
  <c r="H112" i="777"/>
  <c r="J111" i="777"/>
  <c r="H111" i="777"/>
  <c r="K111" i="777" s="1"/>
  <c r="J110" i="777"/>
  <c r="H110" i="777"/>
  <c r="K110" i="777" s="1"/>
  <c r="J109" i="777"/>
  <c r="K109" i="777" s="1"/>
  <c r="H109" i="777"/>
  <c r="J108" i="777"/>
  <c r="H108" i="777"/>
  <c r="B106" i="777"/>
  <c r="I102" i="777"/>
  <c r="J102" i="777" s="1"/>
  <c r="H102" i="777"/>
  <c r="G102" i="777"/>
  <c r="G101" i="777"/>
  <c r="B98" i="777"/>
  <c r="I96" i="777"/>
  <c r="J96" i="777" s="1"/>
  <c r="K96" i="777" s="1"/>
  <c r="H96" i="777"/>
  <c r="K94" i="777"/>
  <c r="J94" i="777"/>
  <c r="H94" i="777"/>
  <c r="K93" i="777"/>
  <c r="J93" i="777"/>
  <c r="H93" i="777"/>
  <c r="J92" i="777"/>
  <c r="H92" i="777"/>
  <c r="K92" i="777" s="1"/>
  <c r="J91" i="777"/>
  <c r="K91" i="777" s="1"/>
  <c r="K98" i="777" s="1"/>
  <c r="K17" i="777" s="1"/>
  <c r="H91" i="777"/>
  <c r="K90" i="777"/>
  <c r="J90" i="777"/>
  <c r="H90" i="777"/>
  <c r="K89" i="777"/>
  <c r="J89" i="777"/>
  <c r="H89" i="777"/>
  <c r="B86" i="777"/>
  <c r="J84" i="777"/>
  <c r="H84" i="777"/>
  <c r="K84" i="777" s="1"/>
  <c r="J83" i="777"/>
  <c r="H83" i="777"/>
  <c r="K83" i="777" s="1"/>
  <c r="K82" i="777"/>
  <c r="H82" i="777"/>
  <c r="G82" i="777"/>
  <c r="I82" i="777" s="1"/>
  <c r="J82" i="777" s="1"/>
  <c r="J81" i="777"/>
  <c r="K81" i="777" s="1"/>
  <c r="H81" i="777"/>
  <c r="K80" i="777"/>
  <c r="J80" i="777"/>
  <c r="H80" i="777"/>
  <c r="K79" i="777"/>
  <c r="J79" i="777"/>
  <c r="H79" i="777"/>
  <c r="J78" i="777"/>
  <c r="H78" i="777"/>
  <c r="J76" i="777"/>
  <c r="H76" i="777"/>
  <c r="J75" i="777"/>
  <c r="H75" i="777"/>
  <c r="B73" i="777"/>
  <c r="J70" i="777"/>
  <c r="K70" i="777" s="1"/>
  <c r="H70" i="777"/>
  <c r="K69" i="777"/>
  <c r="J69" i="777"/>
  <c r="H69" i="777"/>
  <c r="K68" i="777"/>
  <c r="J68" i="777"/>
  <c r="H68" i="777"/>
  <c r="J67" i="777"/>
  <c r="H67" i="777"/>
  <c r="K67" i="777" s="1"/>
  <c r="J66" i="777"/>
  <c r="H66" i="777"/>
  <c r="B64" i="777"/>
  <c r="K62" i="777"/>
  <c r="H62" i="777"/>
  <c r="K61" i="777"/>
  <c r="J61" i="777"/>
  <c r="H61" i="777"/>
  <c r="K60" i="777"/>
  <c r="J60" i="777"/>
  <c r="H60" i="777"/>
  <c r="J59" i="777"/>
  <c r="H59" i="777"/>
  <c r="K59" i="777" s="1"/>
  <c r="H58" i="777"/>
  <c r="J57" i="777"/>
  <c r="H57" i="777"/>
  <c r="K57" i="777" s="1"/>
  <c r="J56" i="777"/>
  <c r="J64" i="777" s="1"/>
  <c r="J14" i="777" s="1"/>
  <c r="H56" i="777"/>
  <c r="J55" i="777"/>
  <c r="H55" i="777"/>
  <c r="K55" i="777" s="1"/>
  <c r="J54" i="777"/>
  <c r="H54" i="777"/>
  <c r="K54" i="777" s="1"/>
  <c r="J52" i="777"/>
  <c r="J13" i="777" s="1"/>
  <c r="B52" i="777"/>
  <c r="J47" i="777"/>
  <c r="H47" i="777"/>
  <c r="K47" i="777" s="1"/>
  <c r="J46" i="777"/>
  <c r="H46" i="777"/>
  <c r="K46" i="777" s="1"/>
  <c r="K45" i="777"/>
  <c r="J45" i="777"/>
  <c r="H45" i="777"/>
  <c r="B43" i="777"/>
  <c r="J38" i="777"/>
  <c r="K38" i="777" s="1"/>
  <c r="H38" i="777"/>
  <c r="J37" i="777"/>
  <c r="K37" i="777" s="1"/>
  <c r="H37" i="777"/>
  <c r="J36" i="777"/>
  <c r="H36" i="777"/>
  <c r="H43" i="777" s="1"/>
  <c r="H12" i="777" s="1"/>
  <c r="B34" i="777"/>
  <c r="B24" i="777"/>
  <c r="A24" i="777"/>
  <c r="B23" i="777"/>
  <c r="A23" i="777"/>
  <c r="B22" i="777"/>
  <c r="A22" i="777"/>
  <c r="B21" i="777"/>
  <c r="A21" i="777"/>
  <c r="B20" i="777"/>
  <c r="A20" i="777"/>
  <c r="B19" i="777"/>
  <c r="A19" i="777"/>
  <c r="B18" i="777"/>
  <c r="A18" i="777"/>
  <c r="B17" i="777"/>
  <c r="A17" i="777"/>
  <c r="B16" i="777"/>
  <c r="A16" i="777"/>
  <c r="B15" i="777"/>
  <c r="A15" i="777"/>
  <c r="B14" i="777"/>
  <c r="A14" i="777"/>
  <c r="B13" i="777"/>
  <c r="A13" i="777"/>
  <c r="B12" i="777"/>
  <c r="A12" i="777"/>
  <c r="B250" i="776"/>
  <c r="E248" i="776"/>
  <c r="J248" i="776" s="1"/>
  <c r="K247" i="776"/>
  <c r="J246" i="776"/>
  <c r="H246" i="776"/>
  <c r="K246" i="776" s="1"/>
  <c r="E246" i="776"/>
  <c r="K245" i="776"/>
  <c r="J244" i="776"/>
  <c r="H244" i="776"/>
  <c r="E243" i="776"/>
  <c r="J243" i="776" s="1"/>
  <c r="K242" i="776"/>
  <c r="J242" i="776"/>
  <c r="H242" i="776"/>
  <c r="G241" i="776"/>
  <c r="E241" i="776"/>
  <c r="H241" i="776" s="1"/>
  <c r="K241" i="776" s="1"/>
  <c r="J240" i="776"/>
  <c r="G240" i="776"/>
  <c r="H240" i="776" s="1"/>
  <c r="K240" i="776" s="1"/>
  <c r="J239" i="776"/>
  <c r="K239" i="776" s="1"/>
  <c r="H239" i="776"/>
  <c r="J236" i="776"/>
  <c r="K236" i="776" s="1"/>
  <c r="I236" i="776"/>
  <c r="H236" i="776"/>
  <c r="K235" i="776"/>
  <c r="J235" i="776"/>
  <c r="I235" i="776"/>
  <c r="H235" i="776"/>
  <c r="I234" i="776"/>
  <c r="J234" i="776" s="1"/>
  <c r="H234" i="776"/>
  <c r="B231" i="776"/>
  <c r="G229" i="776"/>
  <c r="I229" i="776" s="1"/>
  <c r="J229" i="776" s="1"/>
  <c r="J228" i="776"/>
  <c r="K228" i="776" s="1"/>
  <c r="H228" i="776"/>
  <c r="K227" i="776"/>
  <c r="J223" i="776"/>
  <c r="H223" i="776"/>
  <c r="G224" i="776" s="1"/>
  <c r="J222" i="776"/>
  <c r="K222" i="776" s="1"/>
  <c r="H222" i="776"/>
  <c r="K221" i="776"/>
  <c r="I220" i="776"/>
  <c r="J220" i="776" s="1"/>
  <c r="H220" i="776"/>
  <c r="K220" i="776" s="1"/>
  <c r="J219" i="776"/>
  <c r="I219" i="776"/>
  <c r="H219" i="776"/>
  <c r="K219" i="776" s="1"/>
  <c r="K218" i="776"/>
  <c r="I217" i="776"/>
  <c r="J217" i="776" s="1"/>
  <c r="K217" i="776" s="1"/>
  <c r="H217" i="776"/>
  <c r="I216" i="776"/>
  <c r="J216" i="776" s="1"/>
  <c r="H216" i="776"/>
  <c r="G216" i="776"/>
  <c r="I212" i="776"/>
  <c r="J212" i="776" s="1"/>
  <c r="H212" i="776"/>
  <c r="K212" i="776" s="1"/>
  <c r="I211" i="776"/>
  <c r="J211" i="776" s="1"/>
  <c r="K211" i="776" s="1"/>
  <c r="H211" i="776"/>
  <c r="J210" i="776"/>
  <c r="I210" i="776"/>
  <c r="H210" i="776"/>
  <c r="B207" i="776"/>
  <c r="K203" i="776"/>
  <c r="H199" i="776"/>
  <c r="G200" i="776" s="1"/>
  <c r="E199" i="776"/>
  <c r="J199" i="776" s="1"/>
  <c r="K198" i="776"/>
  <c r="G197" i="776"/>
  <c r="H197" i="776" s="1"/>
  <c r="K197" i="776" s="1"/>
  <c r="G196" i="776"/>
  <c r="H196" i="776" s="1"/>
  <c r="K196" i="776" s="1"/>
  <c r="G195" i="776"/>
  <c r="H195" i="776" s="1"/>
  <c r="K195" i="776" s="1"/>
  <c r="K194" i="776"/>
  <c r="H194" i="776"/>
  <c r="G194" i="776"/>
  <c r="G193" i="776"/>
  <c r="H193" i="776" s="1"/>
  <c r="K193" i="776" s="1"/>
  <c r="K192" i="776"/>
  <c r="J192" i="776"/>
  <c r="G192" i="776"/>
  <c r="H192" i="776" s="1"/>
  <c r="I187" i="776"/>
  <c r="J187" i="776" s="1"/>
  <c r="H187" i="776"/>
  <c r="K187" i="776" s="1"/>
  <c r="I186" i="776"/>
  <c r="J186" i="776" s="1"/>
  <c r="H186" i="776"/>
  <c r="K186" i="776" s="1"/>
  <c r="K185" i="776"/>
  <c r="I185" i="776"/>
  <c r="J185" i="776" s="1"/>
  <c r="H185" i="776"/>
  <c r="B182" i="776"/>
  <c r="J180" i="776"/>
  <c r="H180" i="776"/>
  <c r="K180" i="776" s="1"/>
  <c r="J179" i="776"/>
  <c r="K179" i="776" s="1"/>
  <c r="H179" i="776"/>
  <c r="G178" i="776"/>
  <c r="I178" i="776" s="1"/>
  <c r="J178" i="776" s="1"/>
  <c r="K177" i="776"/>
  <c r="J177" i="776"/>
  <c r="H177" i="776"/>
  <c r="J176" i="776"/>
  <c r="H176" i="776"/>
  <c r="K176" i="776" s="1"/>
  <c r="K174" i="776"/>
  <c r="J174" i="776"/>
  <c r="H174" i="776"/>
  <c r="J173" i="776"/>
  <c r="H173" i="776"/>
  <c r="G175" i="776" s="1"/>
  <c r="K172" i="776"/>
  <c r="J172" i="776"/>
  <c r="H172" i="776"/>
  <c r="I171" i="776"/>
  <c r="J171" i="776" s="1"/>
  <c r="H171" i="776"/>
  <c r="K171" i="776" s="1"/>
  <c r="K170" i="776"/>
  <c r="J170" i="776"/>
  <c r="H170" i="776"/>
  <c r="J169" i="776"/>
  <c r="H169" i="776"/>
  <c r="K169" i="776" s="1"/>
  <c r="J168" i="776"/>
  <c r="H168" i="776"/>
  <c r="B166" i="776"/>
  <c r="J163" i="776"/>
  <c r="H163" i="776"/>
  <c r="K163" i="776" s="1"/>
  <c r="J162" i="776"/>
  <c r="K162" i="776" s="1"/>
  <c r="H162" i="776"/>
  <c r="G161" i="776"/>
  <c r="I161" i="776" s="1"/>
  <c r="J161" i="776" s="1"/>
  <c r="K160" i="776"/>
  <c r="J160" i="776"/>
  <c r="H160" i="776"/>
  <c r="J159" i="776"/>
  <c r="H159" i="776"/>
  <c r="K159" i="776" s="1"/>
  <c r="K157" i="776"/>
  <c r="J157" i="776"/>
  <c r="H157" i="776"/>
  <c r="G158" i="776" s="1"/>
  <c r="J154" i="776"/>
  <c r="K154" i="776" s="1"/>
  <c r="H154" i="776"/>
  <c r="J153" i="776"/>
  <c r="H153" i="776"/>
  <c r="K153" i="776" s="1"/>
  <c r="J152" i="776"/>
  <c r="H152" i="776"/>
  <c r="K152" i="776" s="1"/>
  <c r="J151" i="776"/>
  <c r="K151" i="776" s="1"/>
  <c r="H151" i="776"/>
  <c r="J150" i="776"/>
  <c r="K150" i="776" s="1"/>
  <c r="H150" i="776"/>
  <c r="J149" i="776"/>
  <c r="H149" i="776"/>
  <c r="K149" i="776" s="1"/>
  <c r="J148" i="776"/>
  <c r="H148" i="776"/>
  <c r="K148" i="776" s="1"/>
  <c r="J147" i="776"/>
  <c r="K147" i="776" s="1"/>
  <c r="H147" i="776"/>
  <c r="J146" i="776"/>
  <c r="K146" i="776" s="1"/>
  <c r="H146" i="776"/>
  <c r="J145" i="776"/>
  <c r="H145" i="776"/>
  <c r="K145" i="776" s="1"/>
  <c r="G145" i="776"/>
  <c r="J144" i="776"/>
  <c r="H144" i="776"/>
  <c r="K144" i="776" s="1"/>
  <c r="K143" i="776"/>
  <c r="J143" i="776"/>
  <c r="H143" i="776"/>
  <c r="K142" i="776"/>
  <c r="J142" i="776"/>
  <c r="H142" i="776"/>
  <c r="K141" i="776"/>
  <c r="J141" i="776"/>
  <c r="H141" i="776"/>
  <c r="J140" i="776"/>
  <c r="H140" i="776"/>
  <c r="K140" i="776" s="1"/>
  <c r="K139" i="776"/>
  <c r="J139" i="776"/>
  <c r="H139" i="776"/>
  <c r="K138" i="776"/>
  <c r="J138" i="776"/>
  <c r="H138" i="776"/>
  <c r="K137" i="776"/>
  <c r="J137" i="776"/>
  <c r="H137" i="776"/>
  <c r="J136" i="776"/>
  <c r="H136" i="776"/>
  <c r="K136" i="776" s="1"/>
  <c r="K135" i="776"/>
  <c r="J135" i="776"/>
  <c r="H135" i="776"/>
  <c r="K134" i="776"/>
  <c r="J134" i="776"/>
  <c r="H134" i="776"/>
  <c r="K133" i="776"/>
  <c r="J133" i="776"/>
  <c r="H133" i="776"/>
  <c r="I132" i="776"/>
  <c r="J132" i="776" s="1"/>
  <c r="H132" i="776"/>
  <c r="G132" i="776"/>
  <c r="B130" i="776"/>
  <c r="J128" i="776"/>
  <c r="K128" i="776" s="1"/>
  <c r="H128" i="776"/>
  <c r="J127" i="776"/>
  <c r="K127" i="776" s="1"/>
  <c r="H127" i="776"/>
  <c r="J126" i="776"/>
  <c r="H126" i="776"/>
  <c r="K126" i="776" s="1"/>
  <c r="J125" i="776"/>
  <c r="H125" i="776"/>
  <c r="K125" i="776" s="1"/>
  <c r="J124" i="776"/>
  <c r="K124" i="776" s="1"/>
  <c r="H124" i="776"/>
  <c r="J123" i="776"/>
  <c r="K123" i="776" s="1"/>
  <c r="H123" i="776"/>
  <c r="J122" i="776"/>
  <c r="H122" i="776"/>
  <c r="K122" i="776" s="1"/>
  <c r="J121" i="776"/>
  <c r="H121" i="776"/>
  <c r="K121" i="776" s="1"/>
  <c r="J120" i="776"/>
  <c r="K120" i="776" s="1"/>
  <c r="H120" i="776"/>
  <c r="J119" i="776"/>
  <c r="K119" i="776" s="1"/>
  <c r="H119" i="776"/>
  <c r="J118" i="776"/>
  <c r="H118" i="776"/>
  <c r="K118" i="776" s="1"/>
  <c r="J117" i="776"/>
  <c r="H117" i="776"/>
  <c r="K117" i="776" s="1"/>
  <c r="J116" i="776"/>
  <c r="K116" i="776" s="1"/>
  <c r="H116" i="776"/>
  <c r="J115" i="776"/>
  <c r="K115" i="776" s="1"/>
  <c r="H115" i="776"/>
  <c r="J114" i="776"/>
  <c r="H114" i="776"/>
  <c r="K114" i="776" s="1"/>
  <c r="J113" i="776"/>
  <c r="H113" i="776"/>
  <c r="K113" i="776" s="1"/>
  <c r="J112" i="776"/>
  <c r="K112" i="776" s="1"/>
  <c r="H112" i="776"/>
  <c r="J111" i="776"/>
  <c r="K111" i="776" s="1"/>
  <c r="H111" i="776"/>
  <c r="J110" i="776"/>
  <c r="H110" i="776"/>
  <c r="K110" i="776" s="1"/>
  <c r="J109" i="776"/>
  <c r="H109" i="776"/>
  <c r="K109" i="776" s="1"/>
  <c r="J108" i="776"/>
  <c r="H108" i="776"/>
  <c r="B106" i="776"/>
  <c r="G102" i="776"/>
  <c r="I102" i="776" s="1"/>
  <c r="J102" i="776" s="1"/>
  <c r="G101" i="776"/>
  <c r="H101" i="776" s="1"/>
  <c r="H98" i="776"/>
  <c r="H17" i="776" s="1"/>
  <c r="B98" i="776"/>
  <c r="J95" i="776"/>
  <c r="H95" i="776"/>
  <c r="K95" i="776" s="1"/>
  <c r="J94" i="776"/>
  <c r="K94" i="776" s="1"/>
  <c r="H94" i="776"/>
  <c r="J93" i="776"/>
  <c r="H93" i="776"/>
  <c r="K93" i="776" s="1"/>
  <c r="J92" i="776"/>
  <c r="H92" i="776"/>
  <c r="K92" i="776" s="1"/>
  <c r="J91" i="776"/>
  <c r="H91" i="776"/>
  <c r="K91" i="776" s="1"/>
  <c r="J90" i="776"/>
  <c r="H90" i="776"/>
  <c r="B87" i="776"/>
  <c r="K84" i="776"/>
  <c r="J84" i="776"/>
  <c r="H84" i="776"/>
  <c r="J83" i="776"/>
  <c r="H83" i="776"/>
  <c r="K83" i="776" s="1"/>
  <c r="J81" i="776"/>
  <c r="H81" i="776"/>
  <c r="K81" i="776" s="1"/>
  <c r="J80" i="776"/>
  <c r="H80" i="776"/>
  <c r="K80" i="776" s="1"/>
  <c r="J79" i="776"/>
  <c r="K79" i="776" s="1"/>
  <c r="H79" i="776"/>
  <c r="G82" i="776" s="1"/>
  <c r="J78" i="776"/>
  <c r="H78" i="776"/>
  <c r="K78" i="776" s="1"/>
  <c r="J76" i="776"/>
  <c r="H76" i="776"/>
  <c r="J75" i="776"/>
  <c r="H75" i="776"/>
  <c r="B73" i="776"/>
  <c r="K70" i="776"/>
  <c r="J70" i="776"/>
  <c r="H70" i="776"/>
  <c r="K69" i="776"/>
  <c r="J69" i="776"/>
  <c r="H69" i="776"/>
  <c r="K68" i="776"/>
  <c r="J68" i="776"/>
  <c r="H68" i="776"/>
  <c r="J67" i="776"/>
  <c r="H67" i="776"/>
  <c r="K67" i="776" s="1"/>
  <c r="K66" i="776"/>
  <c r="J66" i="776"/>
  <c r="H66" i="776"/>
  <c r="B64" i="776"/>
  <c r="K62" i="776"/>
  <c r="H62" i="776"/>
  <c r="J61" i="776"/>
  <c r="H61" i="776"/>
  <c r="K61" i="776" s="1"/>
  <c r="K60" i="776"/>
  <c r="J60" i="776"/>
  <c r="H60" i="776"/>
  <c r="K59" i="776"/>
  <c r="J59" i="776"/>
  <c r="H59" i="776"/>
  <c r="K58" i="776"/>
  <c r="H58" i="776"/>
  <c r="K57" i="776"/>
  <c r="H57" i="776"/>
  <c r="J56" i="776"/>
  <c r="H56" i="776"/>
  <c r="K56" i="776" s="1"/>
  <c r="J55" i="776"/>
  <c r="H55" i="776"/>
  <c r="K55" i="776" s="1"/>
  <c r="J54" i="776"/>
  <c r="H54" i="776"/>
  <c r="K54" i="776" s="1"/>
  <c r="K53" i="776"/>
  <c r="J53" i="776"/>
  <c r="J64" i="776" s="1"/>
  <c r="J14" i="776" s="1"/>
  <c r="H53" i="776"/>
  <c r="H51" i="776"/>
  <c r="H13" i="776" s="1"/>
  <c r="B51" i="776"/>
  <c r="J47" i="776"/>
  <c r="H47" i="776"/>
  <c r="K47" i="776" s="1"/>
  <c r="J46" i="776"/>
  <c r="J51" i="776" s="1"/>
  <c r="H46" i="776"/>
  <c r="K46" i="776" s="1"/>
  <c r="J45" i="776"/>
  <c r="H45" i="776"/>
  <c r="K45" i="776" s="1"/>
  <c r="J43" i="776"/>
  <c r="J12" i="776" s="1"/>
  <c r="B43" i="776"/>
  <c r="K38" i="776"/>
  <c r="J38" i="776"/>
  <c r="H38" i="776"/>
  <c r="K37" i="776"/>
  <c r="J37" i="776"/>
  <c r="H37" i="776"/>
  <c r="J36" i="776"/>
  <c r="H36" i="776"/>
  <c r="K36" i="776" s="1"/>
  <c r="K43" i="776" s="1"/>
  <c r="K12" i="776" s="1"/>
  <c r="B34" i="776"/>
  <c r="B24" i="776"/>
  <c r="A24" i="776"/>
  <c r="B23" i="776"/>
  <c r="A23" i="776"/>
  <c r="B22" i="776"/>
  <c r="A22" i="776"/>
  <c r="B21" i="776"/>
  <c r="A21" i="776"/>
  <c r="B20" i="776"/>
  <c r="A20" i="776"/>
  <c r="B19" i="776"/>
  <c r="A19" i="776"/>
  <c r="B18" i="776"/>
  <c r="A18" i="776"/>
  <c r="B17" i="776"/>
  <c r="A17" i="776"/>
  <c r="B16" i="776"/>
  <c r="A16" i="776"/>
  <c r="B15" i="776"/>
  <c r="A15" i="776"/>
  <c r="B14" i="776"/>
  <c r="A14" i="776"/>
  <c r="J13" i="776"/>
  <c r="B13" i="776"/>
  <c r="A13" i="776"/>
  <c r="B12" i="776"/>
  <c r="A12" i="776"/>
  <c r="H490" i="775"/>
  <c r="B490" i="775"/>
  <c r="I475" i="775"/>
  <c r="J475" i="775" s="1"/>
  <c r="J490" i="775" s="1"/>
  <c r="J29" i="775" s="1"/>
  <c r="H475" i="775"/>
  <c r="B474" i="775"/>
  <c r="K470" i="775"/>
  <c r="J470" i="775"/>
  <c r="G469" i="775"/>
  <c r="H469" i="775" s="1"/>
  <c r="J468" i="775"/>
  <c r="H468" i="775"/>
  <c r="K468" i="775" s="1"/>
  <c r="G464" i="775"/>
  <c r="I464" i="775" s="1"/>
  <c r="J464" i="775" s="1"/>
  <c r="K463" i="775"/>
  <c r="J463" i="775"/>
  <c r="H463" i="775"/>
  <c r="H461" i="775"/>
  <c r="G461" i="775"/>
  <c r="I461" i="775" s="1"/>
  <c r="J460" i="775"/>
  <c r="H460" i="775"/>
  <c r="K460" i="775" s="1"/>
  <c r="J457" i="775"/>
  <c r="H457" i="775"/>
  <c r="G458" i="775" s="1"/>
  <c r="G455" i="775"/>
  <c r="I455" i="775" s="1"/>
  <c r="J455" i="775" s="1"/>
  <c r="K454" i="775"/>
  <c r="J454" i="775"/>
  <c r="H454" i="775"/>
  <c r="I452" i="775"/>
  <c r="J452" i="775" s="1"/>
  <c r="H452" i="775"/>
  <c r="K451" i="775"/>
  <c r="J451" i="775"/>
  <c r="I451" i="775"/>
  <c r="H451" i="775"/>
  <c r="J450" i="775"/>
  <c r="K450" i="775" s="1"/>
  <c r="I450" i="775"/>
  <c r="H450" i="775"/>
  <c r="I449" i="775"/>
  <c r="J449" i="775" s="1"/>
  <c r="H449" i="775"/>
  <c r="K447" i="775"/>
  <c r="J447" i="775"/>
  <c r="I447" i="775"/>
  <c r="H447" i="775"/>
  <c r="J446" i="775"/>
  <c r="K446" i="775" s="1"/>
  <c r="I446" i="775"/>
  <c r="H446" i="775"/>
  <c r="I445" i="775"/>
  <c r="J445" i="775" s="1"/>
  <c r="H445" i="775"/>
  <c r="K444" i="775"/>
  <c r="J444" i="775"/>
  <c r="I444" i="775"/>
  <c r="H444" i="775"/>
  <c r="J442" i="775"/>
  <c r="K442" i="775" s="1"/>
  <c r="H442" i="775"/>
  <c r="J441" i="775"/>
  <c r="K441" i="775" s="1"/>
  <c r="H441" i="775"/>
  <c r="J440" i="775"/>
  <c r="H440" i="775"/>
  <c r="K440" i="775" s="1"/>
  <c r="J439" i="775"/>
  <c r="H439" i="775"/>
  <c r="B437" i="775"/>
  <c r="K433" i="775"/>
  <c r="J433" i="775"/>
  <c r="J431" i="775"/>
  <c r="H431" i="775"/>
  <c r="K428" i="775"/>
  <c r="J428" i="775"/>
  <c r="H428" i="775"/>
  <c r="G429" i="775" s="1"/>
  <c r="J425" i="775"/>
  <c r="H425" i="775"/>
  <c r="K425" i="775" s="1"/>
  <c r="J422" i="775"/>
  <c r="K422" i="775" s="1"/>
  <c r="H422" i="775"/>
  <c r="G423" i="775" s="1"/>
  <c r="J420" i="775"/>
  <c r="H420" i="775"/>
  <c r="K420" i="775" s="1"/>
  <c r="I419" i="775"/>
  <c r="J419" i="775" s="1"/>
  <c r="H419" i="775"/>
  <c r="I418" i="775"/>
  <c r="J418" i="775" s="1"/>
  <c r="H418" i="775"/>
  <c r="I417" i="775"/>
  <c r="J417" i="775" s="1"/>
  <c r="H417" i="775"/>
  <c r="K417" i="775" s="1"/>
  <c r="I416" i="775"/>
  <c r="J416" i="775" s="1"/>
  <c r="H416" i="775"/>
  <c r="I415" i="775"/>
  <c r="J415" i="775" s="1"/>
  <c r="H415" i="775"/>
  <c r="I413" i="775"/>
  <c r="J413" i="775" s="1"/>
  <c r="K413" i="775" s="1"/>
  <c r="H413" i="775"/>
  <c r="I412" i="775"/>
  <c r="J412" i="775" s="1"/>
  <c r="H412" i="775"/>
  <c r="I411" i="775"/>
  <c r="J411" i="775" s="1"/>
  <c r="H411" i="775"/>
  <c r="K410" i="775"/>
  <c r="I410" i="775"/>
  <c r="J410" i="775" s="1"/>
  <c r="H410" i="775"/>
  <c r="B407" i="775"/>
  <c r="K404" i="775"/>
  <c r="J404" i="775"/>
  <c r="I403" i="775"/>
  <c r="J403" i="775" s="1"/>
  <c r="G403" i="775"/>
  <c r="H403" i="775" s="1"/>
  <c r="K403" i="775" s="1"/>
  <c r="K402" i="775"/>
  <c r="J402" i="775"/>
  <c r="H402" i="775"/>
  <c r="G400" i="775"/>
  <c r="I400" i="775" s="1"/>
  <c r="J400" i="775" s="1"/>
  <c r="J399" i="775"/>
  <c r="K399" i="775" s="1"/>
  <c r="H399" i="775"/>
  <c r="G397" i="775"/>
  <c r="K396" i="775"/>
  <c r="J396" i="775"/>
  <c r="H396" i="775"/>
  <c r="I394" i="775"/>
  <c r="J394" i="775" s="1"/>
  <c r="G394" i="775"/>
  <c r="H394" i="775" s="1"/>
  <c r="K393" i="775"/>
  <c r="J393" i="775"/>
  <c r="H393" i="775"/>
  <c r="K391" i="775"/>
  <c r="J391" i="775"/>
  <c r="H391" i="775"/>
  <c r="I390" i="775"/>
  <c r="J390" i="775" s="1"/>
  <c r="H390" i="775"/>
  <c r="K390" i="775" s="1"/>
  <c r="I389" i="775"/>
  <c r="J389" i="775" s="1"/>
  <c r="H389" i="775"/>
  <c r="K389" i="775" s="1"/>
  <c r="J388" i="775"/>
  <c r="I388" i="775"/>
  <c r="H388" i="775"/>
  <c r="I386" i="775"/>
  <c r="J386" i="775" s="1"/>
  <c r="H386" i="775"/>
  <c r="I385" i="775"/>
  <c r="J385" i="775" s="1"/>
  <c r="H385" i="775"/>
  <c r="J384" i="775"/>
  <c r="I384" i="775"/>
  <c r="H384" i="775"/>
  <c r="K384" i="775" s="1"/>
  <c r="I383" i="775"/>
  <c r="J383" i="775" s="1"/>
  <c r="H383" i="775"/>
  <c r="K383" i="775" s="1"/>
  <c r="I381" i="775"/>
  <c r="J381" i="775" s="1"/>
  <c r="H381" i="775"/>
  <c r="J380" i="775"/>
  <c r="I380" i="775"/>
  <c r="H380" i="775"/>
  <c r="K380" i="775" s="1"/>
  <c r="I379" i="775"/>
  <c r="J379" i="775" s="1"/>
  <c r="H379" i="775"/>
  <c r="I378" i="775"/>
  <c r="J378" i="775" s="1"/>
  <c r="H378" i="775"/>
  <c r="K378" i="775" s="1"/>
  <c r="J376" i="775"/>
  <c r="I376" i="775"/>
  <c r="H376" i="775"/>
  <c r="I375" i="775"/>
  <c r="J375" i="775" s="1"/>
  <c r="H375" i="775"/>
  <c r="I374" i="775"/>
  <c r="J374" i="775" s="1"/>
  <c r="H374" i="775"/>
  <c r="K374" i="775" s="1"/>
  <c r="J373" i="775"/>
  <c r="I373" i="775"/>
  <c r="H373" i="775"/>
  <c r="B370" i="775"/>
  <c r="J363" i="775"/>
  <c r="H363" i="775"/>
  <c r="K363" i="775" s="1"/>
  <c r="J361" i="775"/>
  <c r="H361" i="775"/>
  <c r="G362" i="775" s="1"/>
  <c r="H362" i="775" s="1"/>
  <c r="K360" i="775"/>
  <c r="J360" i="775"/>
  <c r="H360" i="775"/>
  <c r="K359" i="775"/>
  <c r="J359" i="775"/>
  <c r="H359" i="775"/>
  <c r="K358" i="775"/>
  <c r="J358" i="775"/>
  <c r="H358" i="775"/>
  <c r="J356" i="775"/>
  <c r="K356" i="775" s="1"/>
  <c r="H356" i="775"/>
  <c r="G357" i="775" s="1"/>
  <c r="I357" i="775" s="1"/>
  <c r="J357" i="775" s="1"/>
  <c r="J354" i="775"/>
  <c r="H354" i="775"/>
  <c r="J353" i="775"/>
  <c r="H353" i="775"/>
  <c r="K353" i="775" s="1"/>
  <c r="J350" i="775"/>
  <c r="H350" i="775"/>
  <c r="B346" i="775"/>
  <c r="G341" i="775"/>
  <c r="K340" i="775"/>
  <c r="J340" i="775"/>
  <c r="H340" i="775"/>
  <c r="J339" i="775"/>
  <c r="H339" i="775"/>
  <c r="K339" i="775" s="1"/>
  <c r="J338" i="775"/>
  <c r="H338" i="775"/>
  <c r="K338" i="775" s="1"/>
  <c r="K337" i="775"/>
  <c r="J334" i="775"/>
  <c r="H334" i="775"/>
  <c r="K333" i="775"/>
  <c r="G332" i="775"/>
  <c r="K331" i="775"/>
  <c r="J331" i="775"/>
  <c r="H331" i="775"/>
  <c r="J330" i="775"/>
  <c r="H330" i="775"/>
  <c r="K330" i="775" s="1"/>
  <c r="K329" i="775"/>
  <c r="K328" i="775"/>
  <c r="K327" i="775"/>
  <c r="H327" i="775"/>
  <c r="E327" i="775"/>
  <c r="K326" i="775"/>
  <c r="J326" i="775"/>
  <c r="H326" i="775"/>
  <c r="J325" i="775"/>
  <c r="H325" i="775"/>
  <c r="K324" i="775"/>
  <c r="J324" i="775"/>
  <c r="B322" i="775"/>
  <c r="K315" i="775"/>
  <c r="J315" i="775"/>
  <c r="G314" i="775"/>
  <c r="J313" i="775"/>
  <c r="H313" i="775"/>
  <c r="K313" i="775" s="1"/>
  <c r="K312" i="775"/>
  <c r="J310" i="775"/>
  <c r="H310" i="775"/>
  <c r="K309" i="775"/>
  <c r="G308" i="775"/>
  <c r="K307" i="775"/>
  <c r="J307" i="775"/>
  <c r="H307" i="775"/>
  <c r="J305" i="775"/>
  <c r="H305" i="775"/>
  <c r="K305" i="775" s="1"/>
  <c r="I304" i="775"/>
  <c r="J304" i="775" s="1"/>
  <c r="H304" i="775"/>
  <c r="J303" i="775"/>
  <c r="I303" i="775"/>
  <c r="H303" i="775"/>
  <c r="I302" i="775"/>
  <c r="J302" i="775" s="1"/>
  <c r="H302" i="775"/>
  <c r="K302" i="775" s="1"/>
  <c r="I301" i="775"/>
  <c r="J301" i="775" s="1"/>
  <c r="H301" i="775"/>
  <c r="K301" i="775" s="1"/>
  <c r="G301" i="775"/>
  <c r="K300" i="775"/>
  <c r="J300" i="775"/>
  <c r="I300" i="775"/>
  <c r="H300" i="775"/>
  <c r="B298" i="775"/>
  <c r="J290" i="775"/>
  <c r="K290" i="775" s="1"/>
  <c r="I290" i="775"/>
  <c r="H290" i="775"/>
  <c r="J288" i="775"/>
  <c r="E288" i="775"/>
  <c r="H288" i="775" s="1"/>
  <c r="K287" i="775"/>
  <c r="J287" i="775"/>
  <c r="H287" i="775"/>
  <c r="K286" i="775"/>
  <c r="J286" i="775"/>
  <c r="I286" i="775"/>
  <c r="H286" i="775"/>
  <c r="I285" i="775"/>
  <c r="J285" i="775" s="1"/>
  <c r="K285" i="775" s="1"/>
  <c r="H285" i="775"/>
  <c r="J284" i="775"/>
  <c r="K284" i="775" s="1"/>
  <c r="I284" i="775"/>
  <c r="H284" i="775"/>
  <c r="K283" i="775"/>
  <c r="J283" i="775"/>
  <c r="H283" i="775"/>
  <c r="E283" i="775"/>
  <c r="J282" i="775"/>
  <c r="H282" i="775"/>
  <c r="K282" i="775" s="1"/>
  <c r="J281" i="775"/>
  <c r="H281" i="775"/>
  <c r="K281" i="775" s="1"/>
  <c r="J280" i="775"/>
  <c r="H280" i="775"/>
  <c r="K280" i="775" s="1"/>
  <c r="K279" i="775"/>
  <c r="J279" i="775"/>
  <c r="H279" i="775"/>
  <c r="J278" i="775"/>
  <c r="H278" i="775"/>
  <c r="K278" i="775" s="1"/>
  <c r="J277" i="775"/>
  <c r="H277" i="775"/>
  <c r="K277" i="775" s="1"/>
  <c r="I276" i="775"/>
  <c r="J276" i="775" s="1"/>
  <c r="H276" i="775"/>
  <c r="B274" i="775"/>
  <c r="J267" i="775"/>
  <c r="H267" i="775"/>
  <c r="E267" i="775"/>
  <c r="J266" i="775"/>
  <c r="H266" i="775"/>
  <c r="K266" i="775" s="1"/>
  <c r="J264" i="775"/>
  <c r="H264" i="775"/>
  <c r="G263" i="775"/>
  <c r="I263" i="775" s="1"/>
  <c r="J263" i="775" s="1"/>
  <c r="J262" i="775"/>
  <c r="H262" i="775"/>
  <c r="K262" i="775" s="1"/>
  <c r="I260" i="775"/>
  <c r="J260" i="775" s="1"/>
  <c r="H260" i="775"/>
  <c r="I252" i="775"/>
  <c r="J252" i="775" s="1"/>
  <c r="H252" i="775"/>
  <c r="B250" i="775"/>
  <c r="J247" i="775"/>
  <c r="H247" i="775"/>
  <c r="K247" i="775" s="1"/>
  <c r="K246" i="775"/>
  <c r="J246" i="775"/>
  <c r="H246" i="775"/>
  <c r="J245" i="775"/>
  <c r="H245" i="775"/>
  <c r="K244" i="775"/>
  <c r="K242" i="775"/>
  <c r="J242" i="775"/>
  <c r="H242" i="775"/>
  <c r="J241" i="775"/>
  <c r="H241" i="775"/>
  <c r="K241" i="775" s="1"/>
  <c r="J240" i="775"/>
  <c r="H240" i="775"/>
  <c r="P239" i="775"/>
  <c r="P240" i="775" s="1"/>
  <c r="O239" i="775"/>
  <c r="O202" i="775" s="1"/>
  <c r="N239" i="775"/>
  <c r="J238" i="775"/>
  <c r="H238" i="775"/>
  <c r="J237" i="775"/>
  <c r="K237" i="775" s="1"/>
  <c r="H237" i="775"/>
  <c r="J236" i="775"/>
  <c r="H236" i="775"/>
  <c r="J235" i="775"/>
  <c r="H235" i="775"/>
  <c r="K234" i="775"/>
  <c r="J234" i="775"/>
  <c r="H234" i="775"/>
  <c r="J233" i="775"/>
  <c r="H233" i="775"/>
  <c r="J232" i="775"/>
  <c r="H232" i="775"/>
  <c r="K232" i="775" s="1"/>
  <c r="J231" i="775"/>
  <c r="K231" i="775" s="1"/>
  <c r="H231" i="775"/>
  <c r="J230" i="775"/>
  <c r="H230" i="775"/>
  <c r="G239" i="775" s="1"/>
  <c r="B226" i="775"/>
  <c r="P221" i="775"/>
  <c r="N221" i="775"/>
  <c r="K221" i="775"/>
  <c r="J221" i="775"/>
  <c r="H221" i="775"/>
  <c r="O220" i="775"/>
  <c r="K220" i="775"/>
  <c r="J220" i="775"/>
  <c r="H220" i="775"/>
  <c r="K219" i="775"/>
  <c r="J219" i="775"/>
  <c r="H219" i="775"/>
  <c r="K218" i="775"/>
  <c r="J218" i="775"/>
  <c r="H218" i="775"/>
  <c r="O217" i="775"/>
  <c r="K217" i="775"/>
  <c r="J217" i="775"/>
  <c r="H217" i="775"/>
  <c r="K216" i="775"/>
  <c r="J216" i="775"/>
  <c r="H216" i="775"/>
  <c r="K215" i="775"/>
  <c r="J215" i="775"/>
  <c r="H215" i="775"/>
  <c r="K214" i="775"/>
  <c r="J214" i="775"/>
  <c r="H214" i="775"/>
  <c r="J213" i="775"/>
  <c r="H213" i="775"/>
  <c r="K213" i="775" s="1"/>
  <c r="K212" i="775"/>
  <c r="J212" i="775"/>
  <c r="H212" i="775"/>
  <c r="J211" i="775"/>
  <c r="K211" i="775" s="1"/>
  <c r="H211" i="775"/>
  <c r="O210" i="775"/>
  <c r="K210" i="775"/>
  <c r="J210" i="775"/>
  <c r="H210" i="775"/>
  <c r="K209" i="775"/>
  <c r="J209" i="775"/>
  <c r="H209" i="775"/>
  <c r="J208" i="775"/>
  <c r="H208" i="775"/>
  <c r="K208" i="775" s="1"/>
  <c r="K207" i="775"/>
  <c r="J207" i="775"/>
  <c r="H207" i="775"/>
  <c r="O206" i="775"/>
  <c r="J206" i="775"/>
  <c r="H206" i="775"/>
  <c r="K205" i="775"/>
  <c r="J205" i="775"/>
  <c r="H205" i="775"/>
  <c r="J204" i="775"/>
  <c r="K204" i="775" s="1"/>
  <c r="H204" i="775"/>
  <c r="O203" i="775"/>
  <c r="J203" i="775"/>
  <c r="H203" i="775"/>
  <c r="K202" i="775"/>
  <c r="J202" i="775"/>
  <c r="H202" i="775"/>
  <c r="J201" i="775"/>
  <c r="H201" i="775"/>
  <c r="K201" i="775" s="1"/>
  <c r="K200" i="775"/>
  <c r="J200" i="775"/>
  <c r="H200" i="775"/>
  <c r="K199" i="775"/>
  <c r="O198" i="775"/>
  <c r="K198" i="775"/>
  <c r="J198" i="775"/>
  <c r="H198" i="775"/>
  <c r="J197" i="775"/>
  <c r="H197" i="775"/>
  <c r="K197" i="775" s="1"/>
  <c r="K196" i="775"/>
  <c r="J196" i="775"/>
  <c r="H196" i="775"/>
  <c r="K195" i="775"/>
  <c r="J195" i="775"/>
  <c r="H195" i="775"/>
  <c r="J194" i="775"/>
  <c r="H194" i="775"/>
  <c r="K194" i="775" s="1"/>
  <c r="K193" i="775"/>
  <c r="J193" i="775"/>
  <c r="H193" i="775"/>
  <c r="K192" i="775"/>
  <c r="J192" i="775"/>
  <c r="H192" i="775"/>
  <c r="J191" i="775"/>
  <c r="H191" i="775"/>
  <c r="K191" i="775" s="1"/>
  <c r="K190" i="775"/>
  <c r="J190" i="775"/>
  <c r="H190" i="775"/>
  <c r="K189" i="775"/>
  <c r="J189" i="775"/>
  <c r="H189" i="775"/>
  <c r="J188" i="775"/>
  <c r="H188" i="775"/>
  <c r="K188" i="775" s="1"/>
  <c r="K187" i="775"/>
  <c r="J187" i="775"/>
  <c r="H187" i="775"/>
  <c r="K186" i="775"/>
  <c r="J186" i="775"/>
  <c r="H186" i="775"/>
  <c r="J185" i="775"/>
  <c r="H185" i="775"/>
  <c r="K185" i="775" s="1"/>
  <c r="K184" i="775"/>
  <c r="K183" i="775"/>
  <c r="K182" i="775"/>
  <c r="B178" i="775"/>
  <c r="G177" i="775"/>
  <c r="I177" i="775" s="1"/>
  <c r="J177" i="775" s="1"/>
  <c r="J176" i="775"/>
  <c r="I176" i="775"/>
  <c r="H176" i="775"/>
  <c r="K176" i="775" s="1"/>
  <c r="J175" i="775"/>
  <c r="I175" i="775"/>
  <c r="H175" i="775"/>
  <c r="K175" i="775" s="1"/>
  <c r="I174" i="775"/>
  <c r="J174" i="775" s="1"/>
  <c r="H174" i="775"/>
  <c r="J173" i="775"/>
  <c r="I173" i="775"/>
  <c r="H173" i="775"/>
  <c r="K173" i="775" s="1"/>
  <c r="J172" i="775"/>
  <c r="I172" i="775"/>
  <c r="H172" i="775"/>
  <c r="K172" i="775" s="1"/>
  <c r="I171" i="775"/>
  <c r="J171" i="775" s="1"/>
  <c r="H171" i="775"/>
  <c r="K171" i="775" s="1"/>
  <c r="J170" i="775"/>
  <c r="I170" i="775"/>
  <c r="H170" i="775"/>
  <c r="K170" i="775" s="1"/>
  <c r="J169" i="775"/>
  <c r="I169" i="775"/>
  <c r="H169" i="775"/>
  <c r="K169" i="775" s="1"/>
  <c r="K168" i="775"/>
  <c r="I166" i="775"/>
  <c r="J166" i="775" s="1"/>
  <c r="H166" i="775"/>
  <c r="K166" i="775" s="1"/>
  <c r="K165" i="775"/>
  <c r="J165" i="775"/>
  <c r="I165" i="775"/>
  <c r="H165" i="775"/>
  <c r="K164" i="775"/>
  <c r="J164" i="775"/>
  <c r="I164" i="775"/>
  <c r="H164" i="775"/>
  <c r="K163" i="775"/>
  <c r="J162" i="775"/>
  <c r="K162" i="775" s="1"/>
  <c r="I162" i="775"/>
  <c r="H162" i="775"/>
  <c r="K161" i="775"/>
  <c r="J161" i="775"/>
  <c r="I161" i="775"/>
  <c r="H161" i="775"/>
  <c r="K160" i="775"/>
  <c r="J160" i="775"/>
  <c r="I160" i="775"/>
  <c r="H160" i="775"/>
  <c r="J159" i="775"/>
  <c r="K159" i="775" s="1"/>
  <c r="I159" i="775"/>
  <c r="H159" i="775"/>
  <c r="K158" i="775"/>
  <c r="J158" i="775"/>
  <c r="I158" i="775"/>
  <c r="H158" i="775"/>
  <c r="K157" i="775"/>
  <c r="J157" i="775"/>
  <c r="J178" i="775" s="1"/>
  <c r="J18" i="775" s="1"/>
  <c r="I157" i="775"/>
  <c r="H157" i="775"/>
  <c r="B154" i="775"/>
  <c r="K145" i="775"/>
  <c r="J145" i="775"/>
  <c r="I145" i="775"/>
  <c r="H145" i="775"/>
  <c r="K144" i="775"/>
  <c r="J144" i="775"/>
  <c r="I144" i="775"/>
  <c r="H144" i="775"/>
  <c r="J143" i="775"/>
  <c r="K143" i="775" s="1"/>
  <c r="H143" i="775"/>
  <c r="K142" i="775"/>
  <c r="J142" i="775"/>
  <c r="H142" i="775"/>
  <c r="J141" i="775"/>
  <c r="H141" i="775"/>
  <c r="K141" i="775" s="1"/>
  <c r="K140" i="775"/>
  <c r="J140" i="775"/>
  <c r="H140" i="775"/>
  <c r="H139" i="775"/>
  <c r="K139" i="775" s="1"/>
  <c r="J138" i="775"/>
  <c r="H138" i="775"/>
  <c r="K138" i="775" s="1"/>
  <c r="G137" i="775"/>
  <c r="H137" i="775" s="1"/>
  <c r="K137" i="775" s="1"/>
  <c r="K136" i="775"/>
  <c r="H136" i="775"/>
  <c r="H135" i="775"/>
  <c r="K135" i="775" s="1"/>
  <c r="H134" i="775"/>
  <c r="K134" i="775" s="1"/>
  <c r="H133" i="775"/>
  <c r="K133" i="775" s="1"/>
  <c r="K132" i="775"/>
  <c r="H132" i="775"/>
  <c r="H131" i="775"/>
  <c r="K131" i="775" s="1"/>
  <c r="K130" i="775"/>
  <c r="H130" i="775"/>
  <c r="H129" i="775"/>
  <c r="K129" i="775" s="1"/>
  <c r="H128" i="775"/>
  <c r="K128" i="775" s="1"/>
  <c r="J127" i="775"/>
  <c r="H127" i="775"/>
  <c r="K127" i="775" s="1"/>
  <c r="J126" i="775"/>
  <c r="H126" i="775"/>
  <c r="K126" i="775" s="1"/>
  <c r="K154" i="775" s="1"/>
  <c r="K17" i="775" s="1"/>
  <c r="B122" i="775"/>
  <c r="H117" i="775"/>
  <c r="G117" i="775"/>
  <c r="I117" i="775" s="1"/>
  <c r="J117" i="775" s="1"/>
  <c r="K117" i="775" s="1"/>
  <c r="I116" i="775"/>
  <c r="J116" i="775" s="1"/>
  <c r="K116" i="775" s="1"/>
  <c r="H116" i="775"/>
  <c r="G116" i="775"/>
  <c r="J115" i="775"/>
  <c r="G115" i="775"/>
  <c r="H115" i="775" s="1"/>
  <c r="K115" i="775" s="1"/>
  <c r="J114" i="775"/>
  <c r="H114" i="775"/>
  <c r="K114" i="775" s="1"/>
  <c r="G114" i="775"/>
  <c r="J113" i="775"/>
  <c r="H113" i="775"/>
  <c r="K113" i="775" s="1"/>
  <c r="G113" i="775"/>
  <c r="J112" i="775"/>
  <c r="G112" i="775"/>
  <c r="H112" i="775" s="1"/>
  <c r="K112" i="775" s="1"/>
  <c r="J111" i="775"/>
  <c r="H111" i="775"/>
  <c r="K111" i="775" s="1"/>
  <c r="G111" i="775"/>
  <c r="J110" i="775"/>
  <c r="H110" i="775"/>
  <c r="K110" i="775" s="1"/>
  <c r="G110" i="775"/>
  <c r="J109" i="775"/>
  <c r="G109" i="775"/>
  <c r="H109" i="775" s="1"/>
  <c r="K109" i="775" s="1"/>
  <c r="K108" i="775"/>
  <c r="K107" i="775"/>
  <c r="J107" i="775"/>
  <c r="I107" i="775"/>
  <c r="H107" i="775"/>
  <c r="K106" i="775"/>
  <c r="J106" i="775"/>
  <c r="J122" i="775" s="1"/>
  <c r="J16" i="775" s="1"/>
  <c r="I106" i="775"/>
  <c r="H106" i="775"/>
  <c r="G100" i="775"/>
  <c r="H100" i="775" s="1"/>
  <c r="K100" i="775" s="1"/>
  <c r="H99" i="775"/>
  <c r="K99" i="775" s="1"/>
  <c r="K98" i="775"/>
  <c r="H98" i="775"/>
  <c r="H97" i="775"/>
  <c r="K97" i="775" s="1"/>
  <c r="K96" i="775"/>
  <c r="H96" i="775"/>
  <c r="H95" i="775"/>
  <c r="K95" i="775" s="1"/>
  <c r="H94" i="775"/>
  <c r="K94" i="775" s="1"/>
  <c r="K93" i="775"/>
  <c r="K92" i="775"/>
  <c r="H92" i="775"/>
  <c r="K91" i="775"/>
  <c r="H91" i="775"/>
  <c r="K90" i="775"/>
  <c r="H90" i="775"/>
  <c r="G89" i="775"/>
  <c r="H89" i="775" s="1"/>
  <c r="K89" i="775" s="1"/>
  <c r="H88" i="775"/>
  <c r="K88" i="775" s="1"/>
  <c r="H87" i="775"/>
  <c r="K87" i="775" s="1"/>
  <c r="K86" i="775"/>
  <c r="H86" i="775"/>
  <c r="E86" i="775"/>
  <c r="B82" i="775"/>
  <c r="I79" i="775"/>
  <c r="J79" i="775" s="1"/>
  <c r="H79" i="775"/>
  <c r="K79" i="775" s="1"/>
  <c r="K78" i="775"/>
  <c r="H78" i="775"/>
  <c r="G78" i="775"/>
  <c r="J75" i="775"/>
  <c r="I75" i="775"/>
  <c r="H75" i="775"/>
  <c r="K75" i="775" s="1"/>
  <c r="I74" i="775"/>
  <c r="J74" i="775" s="1"/>
  <c r="J82" i="775" s="1"/>
  <c r="J15" i="775" s="1"/>
  <c r="H74" i="775"/>
  <c r="H71" i="775"/>
  <c r="H82" i="775" s="1"/>
  <c r="H15" i="775" s="1"/>
  <c r="B68" i="775"/>
  <c r="K63" i="775"/>
  <c r="J63" i="775"/>
  <c r="I63" i="775"/>
  <c r="H63" i="775"/>
  <c r="J62" i="775"/>
  <c r="K62" i="775" s="1"/>
  <c r="I62" i="775"/>
  <c r="H62" i="775"/>
  <c r="K61" i="775"/>
  <c r="K68" i="775" s="1"/>
  <c r="K14" i="775" s="1"/>
  <c r="J61" i="775"/>
  <c r="J68" i="775" s="1"/>
  <c r="J14" i="775" s="1"/>
  <c r="I61" i="775"/>
  <c r="H61" i="775"/>
  <c r="H68" i="775" s="1"/>
  <c r="H14" i="775" s="1"/>
  <c r="B58" i="775"/>
  <c r="J54" i="775"/>
  <c r="J58" i="775" s="1"/>
  <c r="J13" i="775" s="1"/>
  <c r="H54" i="775"/>
  <c r="H58" i="775" s="1"/>
  <c r="H13" i="775" s="1"/>
  <c r="K53" i="775"/>
  <c r="B51" i="775"/>
  <c r="K46" i="775"/>
  <c r="J46" i="775"/>
  <c r="H46" i="775"/>
  <c r="I45" i="775"/>
  <c r="J45" i="775" s="1"/>
  <c r="H45" i="775"/>
  <c r="K45" i="775" s="1"/>
  <c r="K44" i="775"/>
  <c r="H43" i="775"/>
  <c r="G43" i="775"/>
  <c r="I43" i="775" s="1"/>
  <c r="J43" i="775" s="1"/>
  <c r="K43" i="775" s="1"/>
  <c r="K42" i="775"/>
  <c r="J42" i="775"/>
  <c r="H42" i="775"/>
  <c r="K41" i="775"/>
  <c r="J39" i="775"/>
  <c r="H39" i="775"/>
  <c r="K39" i="775" s="1"/>
  <c r="J38" i="775"/>
  <c r="G38" i="775"/>
  <c r="H38" i="775" s="1"/>
  <c r="B34" i="775"/>
  <c r="H29" i="775"/>
  <c r="B29" i="775"/>
  <c r="A29" i="775"/>
  <c r="B28" i="775"/>
  <c r="A28" i="775"/>
  <c r="B27" i="775"/>
  <c r="A27" i="775"/>
  <c r="B26" i="775"/>
  <c r="A26" i="775"/>
  <c r="B25" i="775"/>
  <c r="A25" i="775"/>
  <c r="B24" i="775"/>
  <c r="A24" i="775"/>
  <c r="B23" i="775"/>
  <c r="A23" i="775"/>
  <c r="B22" i="775"/>
  <c r="A22" i="775"/>
  <c r="B21" i="775"/>
  <c r="A21" i="775"/>
  <c r="B20" i="775"/>
  <c r="A20" i="775"/>
  <c r="B19" i="775"/>
  <c r="A19" i="775"/>
  <c r="B18" i="775"/>
  <c r="A18" i="775"/>
  <c r="B17" i="775"/>
  <c r="A17" i="775"/>
  <c r="B16" i="775"/>
  <c r="A16" i="775"/>
  <c r="B15" i="775"/>
  <c r="A15" i="775"/>
  <c r="B14" i="775"/>
  <c r="A14" i="775"/>
  <c r="B13" i="775"/>
  <c r="A13" i="775"/>
  <c r="B12" i="775"/>
  <c r="A12" i="775"/>
  <c r="L33" i="774"/>
  <c r="B33" i="774"/>
  <c r="B24" i="774"/>
  <c r="B23" i="774"/>
  <c r="B22" i="774"/>
  <c r="B21" i="774"/>
  <c r="B20" i="774"/>
  <c r="B19" i="774"/>
  <c r="B18" i="774"/>
  <c r="B17" i="774"/>
  <c r="B16" i="774"/>
  <c r="B15" i="774"/>
  <c r="B14" i="774"/>
  <c r="B13" i="774"/>
  <c r="K396" i="780" l="1"/>
  <c r="K58" i="775"/>
  <c r="K13" i="775" s="1"/>
  <c r="I239" i="775"/>
  <c r="J239" i="775" s="1"/>
  <c r="H239" i="775"/>
  <c r="K174" i="775"/>
  <c r="K74" i="775"/>
  <c r="H122" i="775"/>
  <c r="H16" i="775" s="1"/>
  <c r="K122" i="775"/>
  <c r="K16" i="775" s="1"/>
  <c r="G40" i="775"/>
  <c r="K38" i="775"/>
  <c r="H407" i="775"/>
  <c r="H26" i="775" s="1"/>
  <c r="K54" i="775"/>
  <c r="G335" i="775"/>
  <c r="K334" i="775"/>
  <c r="K376" i="775"/>
  <c r="K461" i="775"/>
  <c r="J461" i="775"/>
  <c r="K71" i="775"/>
  <c r="H154" i="775"/>
  <c r="H17" i="775" s="1"/>
  <c r="O187" i="775"/>
  <c r="O190" i="775"/>
  <c r="O193" i="775"/>
  <c r="O196" i="775"/>
  <c r="O200" i="775"/>
  <c r="K236" i="775"/>
  <c r="K240" i="775"/>
  <c r="H357" i="775"/>
  <c r="K357" i="775" s="1"/>
  <c r="I362" i="775"/>
  <c r="J362" i="775" s="1"/>
  <c r="K362" i="775" s="1"/>
  <c r="K419" i="775"/>
  <c r="G432" i="775"/>
  <c r="K431" i="775"/>
  <c r="K452" i="775"/>
  <c r="K475" i="775"/>
  <c r="K490" i="775" s="1"/>
  <c r="K29" i="775" s="1"/>
  <c r="I218" i="777"/>
  <c r="J218" i="777" s="1"/>
  <c r="H218" i="777"/>
  <c r="G250" i="777"/>
  <c r="K249" i="777"/>
  <c r="G205" i="777"/>
  <c r="K94" i="780"/>
  <c r="K12" i="780" s="1"/>
  <c r="H177" i="775"/>
  <c r="K177" i="775" s="1"/>
  <c r="K178" i="775" s="1"/>
  <c r="K18" i="775" s="1"/>
  <c r="K350" i="775"/>
  <c r="I397" i="775"/>
  <c r="J397" i="775" s="1"/>
  <c r="H397" i="775"/>
  <c r="O204" i="775"/>
  <c r="O215" i="775"/>
  <c r="O218" i="775"/>
  <c r="G265" i="775"/>
  <c r="K264" i="775"/>
  <c r="K276" i="775"/>
  <c r="K303" i="775"/>
  <c r="K415" i="775"/>
  <c r="K449" i="775"/>
  <c r="J154" i="775"/>
  <c r="J17" i="775" s="1"/>
  <c r="K108" i="777"/>
  <c r="H263" i="775"/>
  <c r="K263" i="775" s="1"/>
  <c r="I82" i="776"/>
  <c r="J82" i="776" s="1"/>
  <c r="H82" i="776"/>
  <c r="K82" i="776" s="1"/>
  <c r="I158" i="776"/>
  <c r="J158" i="776" s="1"/>
  <c r="H158" i="776"/>
  <c r="G178" i="777"/>
  <c r="K177" i="777"/>
  <c r="O185" i="775"/>
  <c r="O188" i="775"/>
  <c r="O191" i="775"/>
  <c r="O194" i="775"/>
  <c r="O201" i="775"/>
  <c r="G311" i="775"/>
  <c r="K310" i="775"/>
  <c r="G351" i="775"/>
  <c r="K373" i="775"/>
  <c r="K379" i="775"/>
  <c r="K385" i="775"/>
  <c r="I423" i="775"/>
  <c r="J423" i="775" s="1"/>
  <c r="H423" i="775"/>
  <c r="K423" i="775" s="1"/>
  <c r="J98" i="776"/>
  <c r="J17" i="776" s="1"/>
  <c r="K90" i="776"/>
  <c r="K98" i="776" s="1"/>
  <c r="K17" i="776" s="1"/>
  <c r="I175" i="776"/>
  <c r="J175" i="776" s="1"/>
  <c r="H175" i="776"/>
  <c r="K175" i="776" s="1"/>
  <c r="H200" i="776"/>
  <c r="I200" i="776"/>
  <c r="J200" i="776" s="1"/>
  <c r="K216" i="776"/>
  <c r="G77" i="777"/>
  <c r="K76" i="777"/>
  <c r="K233" i="775"/>
  <c r="K238" i="775"/>
  <c r="K416" i="775"/>
  <c r="H64" i="776"/>
  <c r="H14" i="776" s="1"/>
  <c r="K132" i="776"/>
  <c r="J182" i="776"/>
  <c r="J21" i="776" s="1"/>
  <c r="K130" i="778"/>
  <c r="K13" i="778" s="1"/>
  <c r="K304" i="775"/>
  <c r="J407" i="775"/>
  <c r="J26" i="775" s="1"/>
  <c r="K386" i="775"/>
  <c r="K445" i="775"/>
  <c r="H458" i="775"/>
  <c r="I458" i="775"/>
  <c r="J458" i="775" s="1"/>
  <c r="J474" i="775" s="1"/>
  <c r="J28" i="775" s="1"/>
  <c r="I224" i="776"/>
  <c r="J224" i="776" s="1"/>
  <c r="H224" i="776"/>
  <c r="G222" i="775"/>
  <c r="H64" i="777"/>
  <c r="H14" i="777" s="1"/>
  <c r="K58" i="777"/>
  <c r="O205" i="775"/>
  <c r="O216" i="775"/>
  <c r="O219" i="775"/>
  <c r="G243" i="775"/>
  <c r="K252" i="775"/>
  <c r="O186" i="775"/>
  <c r="O189" i="775"/>
  <c r="O192" i="775"/>
  <c r="O195" i="775"/>
  <c r="K206" i="775"/>
  <c r="I332" i="775"/>
  <c r="J332" i="775" s="1"/>
  <c r="H332" i="775"/>
  <c r="K354" i="775"/>
  <c r="K388" i="775"/>
  <c r="K411" i="775"/>
  <c r="K64" i="776"/>
  <c r="K14" i="776" s="1"/>
  <c r="K203" i="775"/>
  <c r="K260" i="775"/>
  <c r="K375" i="775"/>
  <c r="K381" i="775"/>
  <c r="K394" i="775"/>
  <c r="I429" i="775"/>
  <c r="J429" i="775" s="1"/>
  <c r="H429" i="775"/>
  <c r="K51" i="776"/>
  <c r="K13" i="776" s="1"/>
  <c r="K360" i="778"/>
  <c r="I308" i="775"/>
  <c r="J308" i="775" s="1"/>
  <c r="H308" i="775"/>
  <c r="K308" i="775" s="1"/>
  <c r="K234" i="776"/>
  <c r="K230" i="775"/>
  <c r="K235" i="775"/>
  <c r="O237" i="775"/>
  <c r="O234" i="775"/>
  <c r="O231" i="775"/>
  <c r="O236" i="775"/>
  <c r="O233" i="775"/>
  <c r="O230" i="775"/>
  <c r="O212" i="775"/>
  <c r="O209" i="775"/>
  <c r="O238" i="775"/>
  <c r="O235" i="775"/>
  <c r="O232" i="775"/>
  <c r="O211" i="775"/>
  <c r="O208" i="775"/>
  <c r="K245" i="775"/>
  <c r="G268" i="775"/>
  <c r="K267" i="775"/>
  <c r="G289" i="775"/>
  <c r="K288" i="775"/>
  <c r="I314" i="775"/>
  <c r="J314" i="775" s="1"/>
  <c r="H314" i="775"/>
  <c r="I341" i="775"/>
  <c r="J341" i="775" s="1"/>
  <c r="H341" i="775"/>
  <c r="K341" i="775" s="1"/>
  <c r="K412" i="775"/>
  <c r="K418" i="775"/>
  <c r="G77" i="776"/>
  <c r="K76" i="776"/>
  <c r="K108" i="776"/>
  <c r="J231" i="776"/>
  <c r="J23" i="776" s="1"/>
  <c r="K185" i="777"/>
  <c r="H77" i="778"/>
  <c r="H12" i="778" s="1"/>
  <c r="K39" i="778"/>
  <c r="I342" i="775"/>
  <c r="J342" i="775" s="1"/>
  <c r="K342" i="775" s="1"/>
  <c r="G426" i="775"/>
  <c r="I469" i="775"/>
  <c r="J469" i="775" s="1"/>
  <c r="K469" i="775" s="1"/>
  <c r="H43" i="776"/>
  <c r="H12" i="776" s="1"/>
  <c r="I101" i="776"/>
  <c r="J101" i="776" s="1"/>
  <c r="J106" i="776" s="1"/>
  <c r="J18" i="776" s="1"/>
  <c r="G155" i="776"/>
  <c r="K168" i="776"/>
  <c r="J204" i="777"/>
  <c r="K204" i="777" s="1"/>
  <c r="K222" i="777"/>
  <c r="K77" i="778"/>
  <c r="K12" i="778" s="1"/>
  <c r="H208" i="778"/>
  <c r="H14" i="778" s="1"/>
  <c r="I267" i="778"/>
  <c r="J267" i="778" s="1"/>
  <c r="J271" i="778" s="1"/>
  <c r="J18" i="778" s="1"/>
  <c r="H267" i="778"/>
  <c r="I352" i="778"/>
  <c r="J352" i="778" s="1"/>
  <c r="H352" i="778"/>
  <c r="K352" i="778" s="1"/>
  <c r="H75" i="779"/>
  <c r="H12" i="779" s="1"/>
  <c r="J184" i="779"/>
  <c r="J17" i="779" s="1"/>
  <c r="K172" i="779"/>
  <c r="K184" i="779" s="1"/>
  <c r="K17" i="779" s="1"/>
  <c r="G71" i="776"/>
  <c r="G129" i="777"/>
  <c r="K168" i="777"/>
  <c r="I323" i="778"/>
  <c r="J323" i="778" s="1"/>
  <c r="H323" i="778"/>
  <c r="K334" i="779"/>
  <c r="K149" i="783"/>
  <c r="K12" i="783" s="1"/>
  <c r="H455" i="775"/>
  <c r="K455" i="775" s="1"/>
  <c r="H464" i="775"/>
  <c r="K464" i="775" s="1"/>
  <c r="G129" i="776"/>
  <c r="H243" i="776"/>
  <c r="K243" i="776" s="1"/>
  <c r="H248" i="776"/>
  <c r="I101" i="777"/>
  <c r="J101" i="777" s="1"/>
  <c r="J106" i="777" s="1"/>
  <c r="J18" i="777" s="1"/>
  <c r="H101" i="777"/>
  <c r="H230" i="777"/>
  <c r="K230" i="777" s="1"/>
  <c r="K300" i="778"/>
  <c r="K397" i="778"/>
  <c r="K325" i="775"/>
  <c r="K361" i="775"/>
  <c r="H400" i="775"/>
  <c r="K400" i="775" s="1"/>
  <c r="H102" i="776"/>
  <c r="K102" i="776" s="1"/>
  <c r="K173" i="776"/>
  <c r="E204" i="776"/>
  <c r="H229" i="776"/>
  <c r="K229" i="776" s="1"/>
  <c r="H98" i="777"/>
  <c r="H17" i="777" s="1"/>
  <c r="K115" i="777"/>
  <c r="K154" i="777"/>
  <c r="K160" i="777"/>
  <c r="G226" i="777"/>
  <c r="K224" i="777"/>
  <c r="G232" i="778"/>
  <c r="K439" i="775"/>
  <c r="K223" i="776"/>
  <c r="H52" i="777"/>
  <c r="H13" i="777" s="1"/>
  <c r="G71" i="777"/>
  <c r="J98" i="777"/>
  <c r="J17" i="777" s="1"/>
  <c r="I161" i="777"/>
  <c r="J161" i="777" s="1"/>
  <c r="K161" i="777" s="1"/>
  <c r="J199" i="777"/>
  <c r="H199" i="777"/>
  <c r="K211" i="777"/>
  <c r="G295" i="778"/>
  <c r="K301" i="778"/>
  <c r="K78" i="779"/>
  <c r="K82" i="779" s="1"/>
  <c r="K13" i="779" s="1"/>
  <c r="J226" i="779"/>
  <c r="J19" i="779" s="1"/>
  <c r="K254" i="779"/>
  <c r="K244" i="776"/>
  <c r="K78" i="777"/>
  <c r="K102" i="777"/>
  <c r="K241" i="777"/>
  <c r="J43" i="777"/>
  <c r="J12" i="777" s="1"/>
  <c r="K52" i="777"/>
  <c r="K13" i="777" s="1"/>
  <c r="G175" i="777"/>
  <c r="K174" i="777"/>
  <c r="H130" i="778"/>
  <c r="H13" i="778" s="1"/>
  <c r="K230" i="778"/>
  <c r="H322" i="779"/>
  <c r="H23" i="779" s="1"/>
  <c r="K302" i="779"/>
  <c r="H161" i="776"/>
  <c r="K161" i="776" s="1"/>
  <c r="H178" i="776"/>
  <c r="K178" i="776" s="1"/>
  <c r="K210" i="776"/>
  <c r="K36" i="777"/>
  <c r="K43" i="777" s="1"/>
  <c r="K12" i="777" s="1"/>
  <c r="G158" i="777"/>
  <c r="K157" i="777"/>
  <c r="K457" i="775"/>
  <c r="K199" i="776"/>
  <c r="K56" i="777"/>
  <c r="K64" i="777" s="1"/>
  <c r="K14" i="777" s="1"/>
  <c r="K132" i="777"/>
  <c r="K137" i="777"/>
  <c r="K221" i="777"/>
  <c r="K247" i="777"/>
  <c r="G326" i="778"/>
  <c r="K325" i="778"/>
  <c r="K363" i="778"/>
  <c r="K235" i="777"/>
  <c r="K420" i="778"/>
  <c r="G155" i="777"/>
  <c r="G222" i="778"/>
  <c r="J348" i="778"/>
  <c r="H348" i="778"/>
  <c r="I236" i="778"/>
  <c r="J236" i="778" s="1"/>
  <c r="K236" i="778" s="1"/>
  <c r="G411" i="778"/>
  <c r="H425" i="778"/>
  <c r="J82" i="779"/>
  <c r="J13" i="779" s="1"/>
  <c r="H140" i="779"/>
  <c r="H14" i="779" s="1"/>
  <c r="K87" i="779"/>
  <c r="K123" i="779"/>
  <c r="K158" i="779"/>
  <c r="K248" i="779"/>
  <c r="H272" i="779"/>
  <c r="K272" i="779" s="1"/>
  <c r="G290" i="779"/>
  <c r="J346" i="779"/>
  <c r="J24" i="779" s="1"/>
  <c r="K246" i="780"/>
  <c r="G241" i="778"/>
  <c r="G150" i="779"/>
  <c r="J94" i="780"/>
  <c r="J12" i="780" s="1"/>
  <c r="K53" i="780"/>
  <c r="H330" i="778"/>
  <c r="K330" i="778" s="1"/>
  <c r="H389" i="778"/>
  <c r="K38" i="779"/>
  <c r="K75" i="779" s="1"/>
  <c r="K12" i="779" s="1"/>
  <c r="K216" i="779"/>
  <c r="J289" i="779"/>
  <c r="H171" i="780"/>
  <c r="H13" i="780" s="1"/>
  <c r="K374" i="780"/>
  <c r="G404" i="781"/>
  <c r="K403" i="781"/>
  <c r="K119" i="779"/>
  <c r="K250" i="779"/>
  <c r="K335" i="779"/>
  <c r="K351" i="779"/>
  <c r="K370" i="779" s="1"/>
  <c r="K25" i="779" s="1"/>
  <c r="K427" i="780"/>
  <c r="G428" i="780"/>
  <c r="K226" i="779"/>
  <c r="K19" i="779" s="1"/>
  <c r="G257" i="779"/>
  <c r="K256" i="779"/>
  <c r="I319" i="779"/>
  <c r="J319" i="779" s="1"/>
  <c r="H319" i="779"/>
  <c r="K319" i="779" s="1"/>
  <c r="K94" i="781"/>
  <c r="K12" i="781" s="1"/>
  <c r="I246" i="781"/>
  <c r="J246" i="781" s="1"/>
  <c r="H246" i="781"/>
  <c r="K414" i="778"/>
  <c r="H187" i="779"/>
  <c r="K263" i="779"/>
  <c r="K286" i="779"/>
  <c r="H331" i="779"/>
  <c r="K331" i="779" s="1"/>
  <c r="K346" i="779" s="1"/>
  <c r="K24" i="779" s="1"/>
  <c r="I331" i="779"/>
  <c r="J331" i="779" s="1"/>
  <c r="K134" i="778"/>
  <c r="K208" i="778" s="1"/>
  <c r="K14" i="778" s="1"/>
  <c r="K253" i="778"/>
  <c r="K264" i="778" s="1"/>
  <c r="K17" i="778" s="1"/>
  <c r="H268" i="778"/>
  <c r="K268" i="778" s="1"/>
  <c r="H365" i="778"/>
  <c r="H368" i="778"/>
  <c r="K368" i="778" s="1"/>
  <c r="H386" i="778"/>
  <c r="I414" i="778"/>
  <c r="J414" i="778" s="1"/>
  <c r="H228" i="779"/>
  <c r="H251" i="779"/>
  <c r="K251" i="779" s="1"/>
  <c r="J274" i="779"/>
  <c r="H274" i="779"/>
  <c r="J277" i="779"/>
  <c r="H277" i="779"/>
  <c r="K339" i="779"/>
  <c r="H239" i="780"/>
  <c r="H15" i="780" s="1"/>
  <c r="K336" i="778"/>
  <c r="J386" i="778"/>
  <c r="K265" i="779"/>
  <c r="K271" i="779"/>
  <c r="K354" i="779"/>
  <c r="K413" i="780"/>
  <c r="K399" i="778"/>
  <c r="K157" i="779"/>
  <c r="G160" i="779"/>
  <c r="K293" i="779"/>
  <c r="I236" i="780"/>
  <c r="J236" i="780" s="1"/>
  <c r="J239" i="780" s="1"/>
  <c r="J15" i="780" s="1"/>
  <c r="H236" i="780"/>
  <c r="K38" i="782"/>
  <c r="H94" i="782"/>
  <c r="H12" i="782" s="1"/>
  <c r="K375" i="778"/>
  <c r="J292" i="779"/>
  <c r="K292" i="779" s="1"/>
  <c r="I316" i="779"/>
  <c r="J316" i="779" s="1"/>
  <c r="J322" i="779" s="1"/>
  <c r="J23" i="779" s="1"/>
  <c r="H316" i="779"/>
  <c r="J370" i="779"/>
  <c r="J25" i="779" s="1"/>
  <c r="H94" i="780"/>
  <c r="H12" i="780" s="1"/>
  <c r="J171" i="780"/>
  <c r="J13" i="780" s="1"/>
  <c r="K261" i="780"/>
  <c r="K333" i="780"/>
  <c r="K339" i="780"/>
  <c r="H383" i="780"/>
  <c r="K383" i="780" s="1"/>
  <c r="J383" i="780"/>
  <c r="K252" i="781"/>
  <c r="G341" i="781"/>
  <c r="K340" i="781"/>
  <c r="K350" i="781"/>
  <c r="H451" i="781"/>
  <c r="I451" i="781"/>
  <c r="J451" i="781" s="1"/>
  <c r="J466" i="781" s="1"/>
  <c r="J25" i="781" s="1"/>
  <c r="J94" i="782"/>
  <c r="J12" i="782" s="1"/>
  <c r="K71" i="782"/>
  <c r="K53" i="783"/>
  <c r="J149" i="783"/>
  <c r="J12" i="783" s="1"/>
  <c r="K315" i="779"/>
  <c r="K267" i="780"/>
  <c r="K295" i="780"/>
  <c r="H334" i="780"/>
  <c r="K334" i="780" s="1"/>
  <c r="K348" i="780"/>
  <c r="J295" i="781"/>
  <c r="H295" i="781"/>
  <c r="K295" i="781" s="1"/>
  <c r="K377" i="781"/>
  <c r="G250" i="780"/>
  <c r="G306" i="780"/>
  <c r="G340" i="780"/>
  <c r="J403" i="780"/>
  <c r="H403" i="780"/>
  <c r="E406" i="780"/>
  <c r="I417" i="780"/>
  <c r="J417" i="780" s="1"/>
  <c r="H417" i="780"/>
  <c r="K417" i="780" s="1"/>
  <c r="H274" i="781"/>
  <c r="H17" i="781" s="1"/>
  <c r="K17" i="781" s="1"/>
  <c r="G428" i="781"/>
  <c r="K243" i="782"/>
  <c r="G244" i="782"/>
  <c r="K296" i="780"/>
  <c r="K336" i="780"/>
  <c r="K372" i="780"/>
  <c r="K376" i="780"/>
  <c r="J226" i="781"/>
  <c r="J14" i="781" s="1"/>
  <c r="K243" i="781"/>
  <c r="K263" i="780"/>
  <c r="K291" i="780"/>
  <c r="K315" i="780"/>
  <c r="K320" i="780"/>
  <c r="K330" i="780"/>
  <c r="K423" i="780"/>
  <c r="G425" i="780"/>
  <c r="K438" i="780"/>
  <c r="K427" i="781"/>
  <c r="I230" i="782"/>
  <c r="J230" i="782" s="1"/>
  <c r="J274" i="780"/>
  <c r="J17" i="780" s="1"/>
  <c r="J357" i="780"/>
  <c r="H357" i="780"/>
  <c r="E361" i="780"/>
  <c r="J168" i="781"/>
  <c r="J13" i="781" s="1"/>
  <c r="K119" i="781"/>
  <c r="J283" i="781"/>
  <c r="J18" i="781" s="1"/>
  <c r="G338" i="781"/>
  <c r="K337" i="781"/>
  <c r="K374" i="781"/>
  <c r="I534" i="783"/>
  <c r="J534" i="783" s="1"/>
  <c r="H534" i="783"/>
  <c r="K258" i="780"/>
  <c r="K274" i="780" s="1"/>
  <c r="K17" i="780" s="1"/>
  <c r="H283" i="780"/>
  <c r="H18" i="780" s="1"/>
  <c r="I381" i="780"/>
  <c r="J381" i="780" s="1"/>
  <c r="H381" i="780"/>
  <c r="H94" i="781"/>
  <c r="H12" i="781" s="1"/>
  <c r="K143" i="781"/>
  <c r="H226" i="781"/>
  <c r="H14" i="781" s="1"/>
  <c r="J239" i="781"/>
  <c r="J15" i="781" s="1"/>
  <c r="G250" i="781"/>
  <c r="K249" i="781"/>
  <c r="K277" i="781"/>
  <c r="H220" i="782"/>
  <c r="H14" i="782" s="1"/>
  <c r="K174" i="782"/>
  <c r="K220" i="782" s="1"/>
  <c r="K14" i="782" s="1"/>
  <c r="K230" i="782"/>
  <c r="H233" i="782"/>
  <c r="H15" i="782" s="1"/>
  <c r="K259" i="780"/>
  <c r="I277" i="780"/>
  <c r="J277" i="780" s="1"/>
  <c r="J283" i="780" s="1"/>
  <c r="J18" i="780" s="1"/>
  <c r="K287" i="780"/>
  <c r="K303" i="780"/>
  <c r="K312" i="780"/>
  <c r="K326" i="780"/>
  <c r="H337" i="780"/>
  <c r="K337" i="780" s="1"/>
  <c r="K377" i="780"/>
  <c r="K411" i="780"/>
  <c r="G439" i="780"/>
  <c r="I236" i="781"/>
  <c r="J236" i="781" s="1"/>
  <c r="K274" i="781"/>
  <c r="H283" i="781"/>
  <c r="H18" i="781" s="1"/>
  <c r="K18" i="781" s="1"/>
  <c r="K278" i="781"/>
  <c r="K312" i="781"/>
  <c r="K391" i="781"/>
  <c r="K242" i="780"/>
  <c r="K265" i="780"/>
  <c r="K331" i="780"/>
  <c r="K364" i="780"/>
  <c r="K389" i="780"/>
  <c r="K226" i="781"/>
  <c r="G382" i="781"/>
  <c r="K381" i="781"/>
  <c r="I297" i="782"/>
  <c r="J297" i="782" s="1"/>
  <c r="H297" i="782"/>
  <c r="I411" i="782"/>
  <c r="J411" i="782" s="1"/>
  <c r="H411" i="782"/>
  <c r="H278" i="780"/>
  <c r="I278" i="780"/>
  <c r="J278" i="780" s="1"/>
  <c r="H168" i="781"/>
  <c r="H13" i="781" s="1"/>
  <c r="K236" i="781"/>
  <c r="K239" i="781" s="1"/>
  <c r="I364" i="781"/>
  <c r="J364" i="781" s="1"/>
  <c r="H364" i="781"/>
  <c r="K364" i="781" s="1"/>
  <c r="J298" i="782"/>
  <c r="J19" i="782" s="1"/>
  <c r="K299" i="780"/>
  <c r="H365" i="780"/>
  <c r="K365" i="780" s="1"/>
  <c r="G378" i="780"/>
  <c r="K98" i="781"/>
  <c r="K168" i="781" s="1"/>
  <c r="K13" i="781" s="1"/>
  <c r="K415" i="781"/>
  <c r="K432" i="781"/>
  <c r="K311" i="783"/>
  <c r="K426" i="781"/>
  <c r="K89" i="782"/>
  <c r="H171" i="782"/>
  <c r="H13" i="782" s="1"/>
  <c r="K404" i="782"/>
  <c r="K283" i="784"/>
  <c r="K17" i="784" s="1"/>
  <c r="E406" i="781"/>
  <c r="J171" i="782"/>
  <c r="J13" i="782" s="1"/>
  <c r="K119" i="782"/>
  <c r="K171" i="782" s="1"/>
  <c r="K13" i="782" s="1"/>
  <c r="H266" i="782"/>
  <c r="H17" i="782" s="1"/>
  <c r="K360" i="782"/>
  <c r="G363" i="782"/>
  <c r="I366" i="782"/>
  <c r="J366" i="782" s="1"/>
  <c r="H366" i="782"/>
  <c r="K406" i="782"/>
  <c r="H446" i="783"/>
  <c r="I446" i="783"/>
  <c r="J446" i="783" s="1"/>
  <c r="H298" i="782"/>
  <c r="H19" i="782" s="1"/>
  <c r="I323" i="782"/>
  <c r="J323" i="782" s="1"/>
  <c r="H323" i="782"/>
  <c r="I329" i="782"/>
  <c r="J329" i="782" s="1"/>
  <c r="H329" i="782"/>
  <c r="K329" i="782" s="1"/>
  <c r="K397" i="782"/>
  <c r="H239" i="781"/>
  <c r="H15" i="781" s="1"/>
  <c r="K15" i="781" s="1"/>
  <c r="E360" i="781"/>
  <c r="J418" i="782"/>
  <c r="K355" i="783"/>
  <c r="K17" i="783" s="1"/>
  <c r="K450" i="781"/>
  <c r="G240" i="782"/>
  <c r="K236" i="782"/>
  <c r="K398" i="782"/>
  <c r="K427" i="783"/>
  <c r="K463" i="783"/>
  <c r="K510" i="783"/>
  <c r="J233" i="782"/>
  <c r="J15" i="782" s="1"/>
  <c r="G349" i="782"/>
  <c r="K348" i="782"/>
  <c r="K139" i="784"/>
  <c r="H208" i="784"/>
  <c r="H13" i="784" s="1"/>
  <c r="K414" i="784"/>
  <c r="H357" i="781"/>
  <c r="H376" i="781"/>
  <c r="K414" i="781"/>
  <c r="K444" i="781"/>
  <c r="K224" i="782"/>
  <c r="K233" i="782" s="1"/>
  <c r="K15" i="782" s="1"/>
  <c r="K414" i="782"/>
  <c r="J250" i="783"/>
  <c r="J13" i="783" s="1"/>
  <c r="I387" i="783"/>
  <c r="J387" i="783" s="1"/>
  <c r="K387" i="783" s="1"/>
  <c r="K394" i="783" s="1"/>
  <c r="K19" i="783" s="1"/>
  <c r="K445" i="781"/>
  <c r="K166" i="782"/>
  <c r="K270" i="782"/>
  <c r="I326" i="782"/>
  <c r="J326" i="782" s="1"/>
  <c r="H326" i="782"/>
  <c r="J387" i="782"/>
  <c r="H387" i="782"/>
  <c r="E390" i="782"/>
  <c r="K425" i="782"/>
  <c r="K442" i="782" s="1"/>
  <c r="K25" i="782" s="1"/>
  <c r="H442" i="782"/>
  <c r="H25" i="782" s="1"/>
  <c r="K257" i="783"/>
  <c r="K307" i="783" s="1"/>
  <c r="K14" i="783" s="1"/>
  <c r="H307" i="783"/>
  <c r="H14" i="783" s="1"/>
  <c r="I329" i="783"/>
  <c r="J329" i="783" s="1"/>
  <c r="H329" i="783"/>
  <c r="H334" i="782"/>
  <c r="H20" i="782" s="1"/>
  <c r="H364" i="783"/>
  <c r="H18" i="783" s="1"/>
  <c r="K358" i="783"/>
  <c r="K364" i="783" s="1"/>
  <c r="K18" i="783" s="1"/>
  <c r="I350" i="784"/>
  <c r="J350" i="784" s="1"/>
  <c r="H350" i="784"/>
  <c r="K350" i="784" s="1"/>
  <c r="J334" i="782"/>
  <c r="J20" i="782" s="1"/>
  <c r="G352" i="782"/>
  <c r="K351" i="782"/>
  <c r="I403" i="782"/>
  <c r="J403" i="782" s="1"/>
  <c r="H403" i="782"/>
  <c r="K403" i="782" s="1"/>
  <c r="J362" i="782"/>
  <c r="K362" i="782" s="1"/>
  <c r="H149" i="783"/>
  <c r="H12" i="783" s="1"/>
  <c r="K264" i="783"/>
  <c r="K445" i="783"/>
  <c r="I521" i="783"/>
  <c r="J521" i="783" s="1"/>
  <c r="J525" i="783" s="1"/>
  <c r="J24" i="783" s="1"/>
  <c r="H521" i="783"/>
  <c r="J418" i="785"/>
  <c r="J24" i="785" s="1"/>
  <c r="K470" i="783"/>
  <c r="K208" i="784"/>
  <c r="K13" i="784" s="1"/>
  <c r="H269" i="782"/>
  <c r="H345" i="782"/>
  <c r="K153" i="783"/>
  <c r="K250" i="783" s="1"/>
  <c r="K13" i="783" s="1"/>
  <c r="H250" i="783"/>
  <c r="H13" i="783" s="1"/>
  <c r="K359" i="783"/>
  <c r="K440" i="783"/>
  <c r="I518" i="783"/>
  <c r="J518" i="783" s="1"/>
  <c r="H518" i="783"/>
  <c r="K518" i="783" s="1"/>
  <c r="J538" i="783"/>
  <c r="J25" i="783" s="1"/>
  <c r="K406" i="783"/>
  <c r="K424" i="783"/>
  <c r="G466" i="783"/>
  <c r="K464" i="783"/>
  <c r="K492" i="783"/>
  <c r="G493" i="783"/>
  <c r="I377" i="784"/>
  <c r="J377" i="784" s="1"/>
  <c r="H377" i="784"/>
  <c r="G393" i="784"/>
  <c r="K391" i="784"/>
  <c r="H259" i="785"/>
  <c r="H18" i="785" s="1"/>
  <c r="K253" i="785"/>
  <c r="K329" i="785"/>
  <c r="K353" i="785"/>
  <c r="J307" i="783"/>
  <c r="J14" i="783" s="1"/>
  <c r="H355" i="783"/>
  <c r="H17" i="783" s="1"/>
  <c r="K401" i="783"/>
  <c r="H538" i="783"/>
  <c r="H25" i="783" s="1"/>
  <c r="K528" i="783"/>
  <c r="H239" i="784"/>
  <c r="H14" i="784" s="1"/>
  <c r="K249" i="784"/>
  <c r="J43" i="786"/>
  <c r="J12" i="786" s="1"/>
  <c r="J250" i="784"/>
  <c r="J15" i="784" s="1"/>
  <c r="J442" i="782"/>
  <c r="J25" i="782" s="1"/>
  <c r="H130" i="784"/>
  <c r="H12" i="784" s="1"/>
  <c r="K39" i="784"/>
  <c r="K53" i="784"/>
  <c r="J130" i="784"/>
  <c r="J12" i="784" s="1"/>
  <c r="I257" i="784"/>
  <c r="J257" i="784" s="1"/>
  <c r="H257" i="784"/>
  <c r="K257" i="784" s="1"/>
  <c r="I440" i="784"/>
  <c r="J440" i="784" s="1"/>
  <c r="H440" i="784"/>
  <c r="K173" i="783"/>
  <c r="K197" i="783"/>
  <c r="G317" i="783"/>
  <c r="K397" i="783"/>
  <c r="K421" i="783"/>
  <c r="I425" i="783"/>
  <c r="J425" i="783" s="1"/>
  <c r="K425" i="783" s="1"/>
  <c r="K472" i="783"/>
  <c r="J495" i="783"/>
  <c r="H495" i="783"/>
  <c r="K243" i="784"/>
  <c r="K305" i="784"/>
  <c r="G333" i="783"/>
  <c r="K331" i="783"/>
  <c r="G419" i="783"/>
  <c r="H451" i="783"/>
  <c r="J451" i="783"/>
  <c r="J394" i="783"/>
  <c r="J19" i="783" s="1"/>
  <c r="E448" i="783"/>
  <c r="K286" i="784"/>
  <c r="K292" i="784" s="1"/>
  <c r="K18" i="784" s="1"/>
  <c r="J292" i="784"/>
  <c r="J18" i="784" s="1"/>
  <c r="K253" i="784"/>
  <c r="H283" i="784"/>
  <c r="H17" i="784" s="1"/>
  <c r="K338" i="784"/>
  <c r="H178" i="785"/>
  <c r="H13" i="785" s="1"/>
  <c r="H315" i="785"/>
  <c r="I315" i="785"/>
  <c r="J315" i="785" s="1"/>
  <c r="G380" i="785"/>
  <c r="K379" i="785"/>
  <c r="H43" i="786"/>
  <c r="H12" i="786" s="1"/>
  <c r="I50" i="786"/>
  <c r="J50" i="786" s="1"/>
  <c r="J58" i="786" s="1"/>
  <c r="J13" i="786" s="1"/>
  <c r="H155" i="786"/>
  <c r="H17" i="786" s="1"/>
  <c r="I141" i="786"/>
  <c r="J141" i="786" s="1"/>
  <c r="J155" i="786" s="1"/>
  <c r="J17" i="786" s="1"/>
  <c r="H141" i="786"/>
  <c r="K310" i="784"/>
  <c r="K398" i="784"/>
  <c r="K426" i="784"/>
  <c r="K82" i="785"/>
  <c r="K12" i="785" s="1"/>
  <c r="I383" i="785"/>
  <c r="J383" i="785" s="1"/>
  <c r="H383" i="785"/>
  <c r="K47" i="786"/>
  <c r="H73" i="786"/>
  <c r="H14" i="786" s="1"/>
  <c r="I124" i="786"/>
  <c r="J124" i="786" s="1"/>
  <c r="H124" i="786"/>
  <c r="K124" i="786" s="1"/>
  <c r="K133" i="786"/>
  <c r="K306" i="784"/>
  <c r="J451" i="784"/>
  <c r="J24" i="784" s="1"/>
  <c r="H250" i="785"/>
  <c r="H17" i="785" s="1"/>
  <c r="K236" i="785"/>
  <c r="K250" i="785" s="1"/>
  <c r="K17" i="785" s="1"/>
  <c r="I254" i="785"/>
  <c r="J254" i="785" s="1"/>
  <c r="J259" i="785" s="1"/>
  <c r="J18" i="785" s="1"/>
  <c r="H254" i="785"/>
  <c r="K316" i="785"/>
  <c r="G96" i="786"/>
  <c r="K139" i="786"/>
  <c r="H250" i="784"/>
  <c r="H15" i="784" s="1"/>
  <c r="G261" i="784"/>
  <c r="K226" i="785"/>
  <c r="I358" i="785"/>
  <c r="J358" i="785" s="1"/>
  <c r="H358" i="785"/>
  <c r="K365" i="785"/>
  <c r="I38" i="786"/>
  <c r="J38" i="786" s="1"/>
  <c r="K38" i="786" s="1"/>
  <c r="K211" i="784"/>
  <c r="K239" i="784" s="1"/>
  <c r="K14" i="784" s="1"/>
  <c r="K298" i="784"/>
  <c r="K435" i="784"/>
  <c r="K445" i="784"/>
  <c r="H222" i="785"/>
  <c r="I222" i="785"/>
  <c r="J222" i="785" s="1"/>
  <c r="I226" i="785"/>
  <c r="J226" i="785" s="1"/>
  <c r="G282" i="785"/>
  <c r="K324" i="785"/>
  <c r="G315" i="784"/>
  <c r="K294" i="784"/>
  <c r="K364" i="784"/>
  <c r="I418" i="784"/>
  <c r="J418" i="784" s="1"/>
  <c r="K418" i="784" s="1"/>
  <c r="K202" i="785"/>
  <c r="K14" i="785" s="1"/>
  <c r="K436" i="784"/>
  <c r="K261" i="785"/>
  <c r="K289" i="785"/>
  <c r="K411" i="785"/>
  <c r="H58" i="786"/>
  <c r="H13" i="786" s="1"/>
  <c r="K61" i="786"/>
  <c r="K73" i="786" s="1"/>
  <c r="K14" i="786" s="1"/>
  <c r="I121" i="786"/>
  <c r="J121" i="786" s="1"/>
  <c r="J130" i="786" s="1"/>
  <c r="J16" i="786" s="1"/>
  <c r="H121" i="786"/>
  <c r="I347" i="784"/>
  <c r="J347" i="784" s="1"/>
  <c r="J362" i="784" s="1"/>
  <c r="J20" i="784" s="1"/>
  <c r="H347" i="784"/>
  <c r="J420" i="784"/>
  <c r="H420" i="784"/>
  <c r="K428" i="784"/>
  <c r="K318" i="785"/>
  <c r="K397" i="785"/>
  <c r="K418" i="785" s="1"/>
  <c r="K24" i="785" s="1"/>
  <c r="J73" i="786"/>
  <c r="J14" i="786" s="1"/>
  <c r="H324" i="784"/>
  <c r="I353" i="784"/>
  <c r="J353" i="784" s="1"/>
  <c r="H353" i="784"/>
  <c r="K353" i="784" s="1"/>
  <c r="K376" i="784"/>
  <c r="K178" i="785"/>
  <c r="K13" i="785" s="1"/>
  <c r="K206" i="785"/>
  <c r="I312" i="785"/>
  <c r="J312" i="785" s="1"/>
  <c r="K312" i="785" s="1"/>
  <c r="I334" i="785"/>
  <c r="J334" i="785" s="1"/>
  <c r="K334" i="785" s="1"/>
  <c r="H144" i="786"/>
  <c r="K144" i="786" s="1"/>
  <c r="K242" i="784"/>
  <c r="K250" i="784" s="1"/>
  <c r="K15" i="784" s="1"/>
  <c r="G374" i="784"/>
  <c r="K373" i="784"/>
  <c r="H397" i="784"/>
  <c r="I397" i="784"/>
  <c r="J397" i="784" s="1"/>
  <c r="J353" i="785"/>
  <c r="I415" i="785"/>
  <c r="J415" i="785" s="1"/>
  <c r="H415" i="785"/>
  <c r="K415" i="785" s="1"/>
  <c r="K50" i="786"/>
  <c r="I318" i="785"/>
  <c r="J318" i="785" s="1"/>
  <c r="J233" i="785"/>
  <c r="J16" i="785" s="1"/>
  <c r="H202" i="785"/>
  <c r="H14" i="785" s="1"/>
  <c r="G211" i="785"/>
  <c r="H339" i="785"/>
  <c r="H451" i="784"/>
  <c r="H24" i="784" s="1"/>
  <c r="H320" i="785"/>
  <c r="K320" i="785" s="1"/>
  <c r="E336" i="785"/>
  <c r="K396" i="784"/>
  <c r="H459" i="784"/>
  <c r="K314" i="785"/>
  <c r="H352" i="785"/>
  <c r="K37" i="786"/>
  <c r="K75" i="786"/>
  <c r="K417" i="784"/>
  <c r="J232" i="777" l="1"/>
  <c r="J23" i="777" s="1"/>
  <c r="K322" i="775"/>
  <c r="K23" i="775" s="1"/>
  <c r="I160" i="779"/>
  <c r="J160" i="779" s="1"/>
  <c r="J169" i="779" s="1"/>
  <c r="J16" i="779" s="1"/>
  <c r="H160" i="779"/>
  <c r="K43" i="786"/>
  <c r="K12" i="786" s="1"/>
  <c r="G452" i="783"/>
  <c r="K451" i="783"/>
  <c r="I250" i="781"/>
  <c r="J250" i="781" s="1"/>
  <c r="J255" i="781" s="1"/>
  <c r="J16" i="781" s="1"/>
  <c r="H250" i="781"/>
  <c r="K352" i="785"/>
  <c r="G354" i="785"/>
  <c r="K315" i="785"/>
  <c r="K322" i="785" s="1"/>
  <c r="K20" i="785" s="1"/>
  <c r="I382" i="781"/>
  <c r="J382" i="781" s="1"/>
  <c r="H382" i="781"/>
  <c r="K382" i="781" s="1"/>
  <c r="K459" i="784"/>
  <c r="G460" i="784"/>
  <c r="K141" i="786"/>
  <c r="I333" i="783"/>
  <c r="J333" i="783" s="1"/>
  <c r="J338" i="783" s="1"/>
  <c r="J16" i="783" s="1"/>
  <c r="H333" i="783"/>
  <c r="K333" i="783" s="1"/>
  <c r="I317" i="783"/>
  <c r="J317" i="783" s="1"/>
  <c r="J322" i="783" s="1"/>
  <c r="J15" i="783" s="1"/>
  <c r="H317" i="783"/>
  <c r="H466" i="783"/>
  <c r="I466" i="783"/>
  <c r="J466" i="783" s="1"/>
  <c r="J475" i="783" s="1"/>
  <c r="J22" i="783" s="1"/>
  <c r="K521" i="783"/>
  <c r="K525" i="783" s="1"/>
  <c r="K24" i="783" s="1"/>
  <c r="I352" i="782"/>
  <c r="J352" i="782" s="1"/>
  <c r="H352" i="782"/>
  <c r="K352" i="782" s="1"/>
  <c r="J360" i="781"/>
  <c r="H360" i="781"/>
  <c r="I338" i="781"/>
  <c r="J338" i="781" s="1"/>
  <c r="H338" i="781"/>
  <c r="H425" i="780"/>
  <c r="I425" i="780"/>
  <c r="J425" i="780" s="1"/>
  <c r="J431" i="780" s="1"/>
  <c r="J24" i="780" s="1"/>
  <c r="K316" i="779"/>
  <c r="K322" i="779" s="1"/>
  <c r="K23" i="779" s="1"/>
  <c r="G366" i="778"/>
  <c r="K365" i="778"/>
  <c r="G426" i="778"/>
  <c r="K425" i="778"/>
  <c r="J204" i="776"/>
  <c r="H204" i="776"/>
  <c r="K314" i="775"/>
  <c r="K429" i="775"/>
  <c r="H106" i="776"/>
  <c r="H18" i="776" s="1"/>
  <c r="I432" i="775"/>
  <c r="J432" i="775" s="1"/>
  <c r="H432" i="775"/>
  <c r="K432" i="775" s="1"/>
  <c r="K82" i="775"/>
  <c r="K15" i="775" s="1"/>
  <c r="K451" i="781"/>
  <c r="I158" i="777"/>
  <c r="J158" i="777" s="1"/>
  <c r="H158" i="777"/>
  <c r="K158" i="777" s="1"/>
  <c r="I155" i="776"/>
  <c r="J155" i="776" s="1"/>
  <c r="J166" i="776" s="1"/>
  <c r="J20" i="776" s="1"/>
  <c r="H155" i="776"/>
  <c r="K200" i="776"/>
  <c r="H178" i="777"/>
  <c r="I178" i="777"/>
  <c r="J178" i="777" s="1"/>
  <c r="H411" i="778"/>
  <c r="I411" i="778"/>
  <c r="J411" i="778" s="1"/>
  <c r="J418" i="778" s="1"/>
  <c r="J24" i="778" s="1"/>
  <c r="I349" i="782"/>
  <c r="J349" i="782" s="1"/>
  <c r="H349" i="782"/>
  <c r="J322" i="785"/>
  <c r="J20" i="785" s="1"/>
  <c r="G346" i="782"/>
  <c r="K345" i="782"/>
  <c r="H390" i="782"/>
  <c r="J390" i="782"/>
  <c r="H240" i="782"/>
  <c r="I240" i="782"/>
  <c r="J240" i="782" s="1"/>
  <c r="H418" i="782"/>
  <c r="J406" i="781"/>
  <c r="H406" i="781"/>
  <c r="K381" i="780"/>
  <c r="J406" i="780"/>
  <c r="H406" i="780"/>
  <c r="G278" i="779"/>
  <c r="K277" i="779"/>
  <c r="I326" i="778"/>
  <c r="J326" i="778" s="1"/>
  <c r="J334" i="778" s="1"/>
  <c r="J20" i="778" s="1"/>
  <c r="H326" i="778"/>
  <c r="H295" i="778"/>
  <c r="I295" i="778"/>
  <c r="J295" i="778" s="1"/>
  <c r="J298" i="778" s="1"/>
  <c r="J19" i="778" s="1"/>
  <c r="I289" i="775"/>
  <c r="J289" i="775" s="1"/>
  <c r="J298" i="775" s="1"/>
  <c r="J22" i="775" s="1"/>
  <c r="H289" i="775"/>
  <c r="I222" i="775"/>
  <c r="J222" i="775" s="1"/>
  <c r="J226" i="775" s="1"/>
  <c r="J19" i="775" s="1"/>
  <c r="H222" i="775"/>
  <c r="H178" i="775"/>
  <c r="H18" i="775" s="1"/>
  <c r="H96" i="786"/>
  <c r="I96" i="786"/>
  <c r="J96" i="786" s="1"/>
  <c r="J99" i="786" s="1"/>
  <c r="J15" i="786" s="1"/>
  <c r="J34" i="786" s="1"/>
  <c r="J24" i="774" s="1"/>
  <c r="K418" i="782"/>
  <c r="K446" i="783"/>
  <c r="H315" i="784"/>
  <c r="I315" i="784"/>
  <c r="J315" i="784" s="1"/>
  <c r="J322" i="784" s="1"/>
  <c r="J19" i="784" s="1"/>
  <c r="H418" i="785"/>
  <c r="H24" i="785" s="1"/>
  <c r="K58" i="786"/>
  <c r="K13" i="786" s="1"/>
  <c r="K440" i="784"/>
  <c r="H393" i="784"/>
  <c r="I393" i="784"/>
  <c r="J393" i="784" s="1"/>
  <c r="J401" i="784" s="1"/>
  <c r="J22" i="784" s="1"/>
  <c r="K269" i="782"/>
  <c r="K274" i="782" s="1"/>
  <c r="K18" i="782" s="1"/>
  <c r="H274" i="782"/>
  <c r="H18" i="782" s="1"/>
  <c r="G388" i="782"/>
  <c r="K387" i="782"/>
  <c r="I378" i="780"/>
  <c r="J378" i="780" s="1"/>
  <c r="J385" i="780" s="1"/>
  <c r="J22" i="780" s="1"/>
  <c r="H378" i="780"/>
  <c r="K278" i="780"/>
  <c r="K277" i="780"/>
  <c r="K283" i="780" s="1"/>
  <c r="K18" i="780" s="1"/>
  <c r="G404" i="780"/>
  <c r="K403" i="780"/>
  <c r="H290" i="779"/>
  <c r="I290" i="779"/>
  <c r="J290" i="779" s="1"/>
  <c r="J298" i="779" s="1"/>
  <c r="J22" i="779" s="1"/>
  <c r="G349" i="778"/>
  <c r="K348" i="778"/>
  <c r="I232" i="778"/>
  <c r="J232" i="778" s="1"/>
  <c r="H232" i="778"/>
  <c r="K323" i="778"/>
  <c r="K224" i="776"/>
  <c r="H322" i="775"/>
  <c r="H23" i="775" s="1"/>
  <c r="H437" i="775"/>
  <c r="H27" i="775" s="1"/>
  <c r="I311" i="775"/>
  <c r="J311" i="775" s="1"/>
  <c r="J322" i="775" s="1"/>
  <c r="J23" i="775" s="1"/>
  <c r="H311" i="775"/>
  <c r="K311" i="775" s="1"/>
  <c r="K158" i="776"/>
  <c r="I205" i="777"/>
  <c r="J205" i="777" s="1"/>
  <c r="H205" i="777"/>
  <c r="H40" i="775"/>
  <c r="I40" i="775"/>
  <c r="J40" i="775" s="1"/>
  <c r="J51" i="775" s="1"/>
  <c r="J12" i="775" s="1"/>
  <c r="H130" i="786"/>
  <c r="H16" i="786" s="1"/>
  <c r="H322" i="785"/>
  <c r="H20" i="785" s="1"/>
  <c r="I282" i="785"/>
  <c r="J282" i="785" s="1"/>
  <c r="J287" i="785" s="1"/>
  <c r="J19" i="785" s="1"/>
  <c r="H282" i="785"/>
  <c r="K254" i="785"/>
  <c r="K383" i="785"/>
  <c r="K495" i="783"/>
  <c r="G496" i="783"/>
  <c r="K377" i="784"/>
  <c r="K466" i="781"/>
  <c r="K25" i="781" s="1"/>
  <c r="H466" i="781"/>
  <c r="H25" i="781" s="1"/>
  <c r="K411" i="782"/>
  <c r="H361" i="780"/>
  <c r="J361" i="780"/>
  <c r="I341" i="781"/>
  <c r="J341" i="781" s="1"/>
  <c r="H341" i="781"/>
  <c r="K94" i="782"/>
  <c r="K12" i="782" s="1"/>
  <c r="G275" i="779"/>
  <c r="K274" i="779"/>
  <c r="G390" i="778"/>
  <c r="K389" i="778"/>
  <c r="I175" i="777"/>
  <c r="J175" i="777" s="1"/>
  <c r="J182" i="777" s="1"/>
  <c r="J21" i="777" s="1"/>
  <c r="H175" i="777"/>
  <c r="G200" i="777"/>
  <c r="K199" i="777"/>
  <c r="I268" i="775"/>
  <c r="J268" i="775" s="1"/>
  <c r="H268" i="775"/>
  <c r="K268" i="775" s="1"/>
  <c r="K332" i="775"/>
  <c r="H346" i="775"/>
  <c r="H24" i="775" s="1"/>
  <c r="H182" i="776"/>
  <c r="H21" i="776" s="1"/>
  <c r="I265" i="775"/>
  <c r="J265" i="775" s="1"/>
  <c r="J274" i="775" s="1"/>
  <c r="J21" i="775" s="1"/>
  <c r="H265" i="775"/>
  <c r="I335" i="775"/>
  <c r="J335" i="775" s="1"/>
  <c r="J346" i="775" s="1"/>
  <c r="J24" i="775" s="1"/>
  <c r="H335" i="775"/>
  <c r="J448" i="783"/>
  <c r="H448" i="783"/>
  <c r="H525" i="783"/>
  <c r="H24" i="783" s="1"/>
  <c r="G358" i="780"/>
  <c r="K357" i="780"/>
  <c r="I340" i="780"/>
  <c r="J340" i="780" s="1"/>
  <c r="J346" i="780" s="1"/>
  <c r="J20" i="780" s="1"/>
  <c r="H340" i="780"/>
  <c r="H222" i="778"/>
  <c r="I222" i="778"/>
  <c r="J222" i="778" s="1"/>
  <c r="J226" i="778" s="1"/>
  <c r="J15" i="778" s="1"/>
  <c r="K231" i="776"/>
  <c r="K23" i="776" s="1"/>
  <c r="H226" i="777"/>
  <c r="I226" i="777"/>
  <c r="J226" i="777" s="1"/>
  <c r="K289" i="779"/>
  <c r="K101" i="777"/>
  <c r="K106" i="777" s="1"/>
  <c r="K18" i="777" s="1"/>
  <c r="H106" i="777"/>
  <c r="H18" i="777" s="1"/>
  <c r="K267" i="778"/>
  <c r="K271" i="778" s="1"/>
  <c r="K18" i="778" s="1"/>
  <c r="H271" i="778"/>
  <c r="H18" i="778" s="1"/>
  <c r="I426" i="775"/>
  <c r="J426" i="775" s="1"/>
  <c r="J437" i="775" s="1"/>
  <c r="J27" i="775" s="1"/>
  <c r="H426" i="775"/>
  <c r="I77" i="776"/>
  <c r="J77" i="776" s="1"/>
  <c r="J87" i="776" s="1"/>
  <c r="J16" i="776" s="1"/>
  <c r="H77" i="776"/>
  <c r="I250" i="777"/>
  <c r="J250" i="777" s="1"/>
  <c r="J251" i="777" s="1"/>
  <c r="J24" i="777" s="1"/>
  <c r="H250" i="777"/>
  <c r="I439" i="780"/>
  <c r="J439" i="780" s="1"/>
  <c r="J442" i="780" s="1"/>
  <c r="J25" i="780" s="1"/>
  <c r="H439" i="780"/>
  <c r="J336" i="785"/>
  <c r="H336" i="785"/>
  <c r="G421" i="784"/>
  <c r="K420" i="784"/>
  <c r="G340" i="785"/>
  <c r="K339" i="785"/>
  <c r="K397" i="784"/>
  <c r="K358" i="785"/>
  <c r="K326" i="782"/>
  <c r="K376" i="781"/>
  <c r="G378" i="781"/>
  <c r="K366" i="782"/>
  <c r="K297" i="782"/>
  <c r="K298" i="782" s="1"/>
  <c r="K19" i="782" s="1"/>
  <c r="K283" i="781"/>
  <c r="K534" i="783"/>
  <c r="K538" i="783" s="1"/>
  <c r="K25" i="783" s="1"/>
  <c r="I244" i="782"/>
  <c r="J244" i="782" s="1"/>
  <c r="H244" i="782"/>
  <c r="K244" i="782" s="1"/>
  <c r="H306" i="780"/>
  <c r="I306" i="780"/>
  <c r="J306" i="780" s="1"/>
  <c r="J310" i="780" s="1"/>
  <c r="J19" i="780" s="1"/>
  <c r="H257" i="779"/>
  <c r="K257" i="779" s="1"/>
  <c r="I257" i="779"/>
  <c r="J257" i="779" s="1"/>
  <c r="J261" i="779" s="1"/>
  <c r="J20" i="779" s="1"/>
  <c r="K218" i="777"/>
  <c r="K182" i="776"/>
  <c r="K21" i="776" s="1"/>
  <c r="H351" i="775"/>
  <c r="I351" i="775"/>
  <c r="J351" i="775" s="1"/>
  <c r="J370" i="775" s="1"/>
  <c r="J25" i="775" s="1"/>
  <c r="I211" i="785"/>
  <c r="J211" i="785" s="1"/>
  <c r="J215" i="785" s="1"/>
  <c r="J15" i="785" s="1"/>
  <c r="H211" i="785"/>
  <c r="K347" i="784"/>
  <c r="K451" i="784"/>
  <c r="K24" i="784" s="1"/>
  <c r="I380" i="785"/>
  <c r="J380" i="785" s="1"/>
  <c r="J394" i="785" s="1"/>
  <c r="J23" i="785" s="1"/>
  <c r="H380" i="785"/>
  <c r="G358" i="781"/>
  <c r="K357" i="781"/>
  <c r="K323" i="782"/>
  <c r="K334" i="782" s="1"/>
  <c r="K20" i="782" s="1"/>
  <c r="K228" i="779"/>
  <c r="H193" i="779"/>
  <c r="H18" i="779" s="1"/>
  <c r="K187" i="779"/>
  <c r="K193" i="779" s="1"/>
  <c r="K18" i="779" s="1"/>
  <c r="I155" i="777"/>
  <c r="J155" i="777" s="1"/>
  <c r="J166" i="777" s="1"/>
  <c r="J20" i="777" s="1"/>
  <c r="H155" i="777"/>
  <c r="G249" i="776"/>
  <c r="K248" i="776"/>
  <c r="I243" i="775"/>
  <c r="J243" i="775" s="1"/>
  <c r="J250" i="775" s="1"/>
  <c r="J20" i="775" s="1"/>
  <c r="H243" i="775"/>
  <c r="I428" i="781"/>
  <c r="J428" i="781" s="1"/>
  <c r="J442" i="781" s="1"/>
  <c r="J24" i="781" s="1"/>
  <c r="H428" i="781"/>
  <c r="I250" i="780"/>
  <c r="J250" i="780" s="1"/>
  <c r="J255" i="780" s="1"/>
  <c r="J16" i="780" s="1"/>
  <c r="H250" i="780"/>
  <c r="K236" i="780"/>
  <c r="K239" i="780" s="1"/>
  <c r="K15" i="780" s="1"/>
  <c r="I404" i="781"/>
  <c r="J404" i="781" s="1"/>
  <c r="H404" i="781"/>
  <c r="H150" i="779"/>
  <c r="I150" i="779"/>
  <c r="J150" i="779" s="1"/>
  <c r="J154" i="779" s="1"/>
  <c r="J15" i="779" s="1"/>
  <c r="K140" i="779"/>
  <c r="K14" i="779" s="1"/>
  <c r="I71" i="777"/>
  <c r="J71" i="777" s="1"/>
  <c r="J73" i="777" s="1"/>
  <c r="J15" i="777" s="1"/>
  <c r="H71" i="777"/>
  <c r="H231" i="776"/>
  <c r="H23" i="776" s="1"/>
  <c r="K458" i="775"/>
  <c r="K474" i="775" s="1"/>
  <c r="K28" i="775" s="1"/>
  <c r="K397" i="775"/>
  <c r="K407" i="775" s="1"/>
  <c r="K26" i="775" s="1"/>
  <c r="K239" i="775"/>
  <c r="K259" i="785"/>
  <c r="K18" i="785" s="1"/>
  <c r="I374" i="784"/>
  <c r="J374" i="784" s="1"/>
  <c r="J385" i="784" s="1"/>
  <c r="J21" i="784" s="1"/>
  <c r="H374" i="784"/>
  <c r="K222" i="785"/>
  <c r="K233" i="785" s="1"/>
  <c r="K16" i="785" s="1"/>
  <c r="H233" i="785"/>
  <c r="H16" i="785" s="1"/>
  <c r="I493" i="783"/>
  <c r="J493" i="783" s="1"/>
  <c r="H493" i="783"/>
  <c r="K386" i="778"/>
  <c r="G387" i="778"/>
  <c r="I241" i="778"/>
  <c r="J241" i="778" s="1"/>
  <c r="H241" i="778"/>
  <c r="I129" i="776"/>
  <c r="J129" i="776" s="1"/>
  <c r="J130" i="776" s="1"/>
  <c r="J19" i="776" s="1"/>
  <c r="H129" i="776"/>
  <c r="H129" i="777"/>
  <c r="I129" i="777"/>
  <c r="J129" i="777" s="1"/>
  <c r="J130" i="777" s="1"/>
  <c r="J19" i="777" s="1"/>
  <c r="K329" i="783"/>
  <c r="K338" i="783" s="1"/>
  <c r="K16" i="783" s="1"/>
  <c r="H338" i="783"/>
  <c r="H16" i="783" s="1"/>
  <c r="I363" i="782"/>
  <c r="J363" i="782" s="1"/>
  <c r="J370" i="782" s="1"/>
  <c r="J22" i="782" s="1"/>
  <c r="H363" i="782"/>
  <c r="I419" i="783"/>
  <c r="J419" i="783" s="1"/>
  <c r="J434" i="783" s="1"/>
  <c r="J20" i="783" s="1"/>
  <c r="H419" i="783"/>
  <c r="K324" i="784"/>
  <c r="K362" i="784" s="1"/>
  <c r="K20" i="784" s="1"/>
  <c r="H362" i="784"/>
  <c r="H20" i="784" s="1"/>
  <c r="K121" i="786"/>
  <c r="K130" i="786" s="1"/>
  <c r="K16" i="786" s="1"/>
  <c r="I261" i="784"/>
  <c r="J261" i="784" s="1"/>
  <c r="J266" i="784" s="1"/>
  <c r="J16" i="784" s="1"/>
  <c r="H261" i="784"/>
  <c r="K155" i="786"/>
  <c r="K17" i="786" s="1"/>
  <c r="K130" i="784"/>
  <c r="K12" i="784" s="1"/>
  <c r="K14" i="781"/>
  <c r="G306" i="781"/>
  <c r="H346" i="779"/>
  <c r="H24" i="779" s="1"/>
  <c r="K246" i="781"/>
  <c r="I428" i="780"/>
  <c r="J428" i="780" s="1"/>
  <c r="H428" i="780"/>
  <c r="K428" i="780" s="1"/>
  <c r="I71" i="776"/>
  <c r="J71" i="776" s="1"/>
  <c r="J73" i="776" s="1"/>
  <c r="J15" i="776" s="1"/>
  <c r="H71" i="776"/>
  <c r="H474" i="775"/>
  <c r="H28" i="775" s="1"/>
  <c r="K101" i="776"/>
  <c r="K106" i="776" s="1"/>
  <c r="K18" i="776" s="1"/>
  <c r="I77" i="777"/>
  <c r="J77" i="777" s="1"/>
  <c r="J86" i="777" s="1"/>
  <c r="J16" i="777" s="1"/>
  <c r="H77" i="777"/>
  <c r="K298" i="779" l="1"/>
  <c r="K22" i="779" s="1"/>
  <c r="K466" i="783"/>
  <c r="K475" i="783" s="1"/>
  <c r="K22" i="783" s="1"/>
  <c r="H475" i="783"/>
  <c r="H22" i="783" s="1"/>
  <c r="K250" i="780"/>
  <c r="K255" i="780" s="1"/>
  <c r="K16" i="780" s="1"/>
  <c r="H255" i="780"/>
  <c r="H16" i="780" s="1"/>
  <c r="K336" i="785"/>
  <c r="G337" i="785"/>
  <c r="I358" i="780"/>
  <c r="J358" i="780" s="1"/>
  <c r="H358" i="780"/>
  <c r="K265" i="775"/>
  <c r="K274" i="775" s="1"/>
  <c r="K21" i="775" s="1"/>
  <c r="H274" i="775"/>
  <c r="H21" i="775" s="1"/>
  <c r="K175" i="777"/>
  <c r="K182" i="777" s="1"/>
  <c r="K21" i="777" s="1"/>
  <c r="H182" i="777"/>
  <c r="H21" i="777" s="1"/>
  <c r="G407" i="781"/>
  <c r="K406" i="781"/>
  <c r="K349" i="782"/>
  <c r="I354" i="785"/>
  <c r="J354" i="785" s="1"/>
  <c r="J362" i="785" s="1"/>
  <c r="J22" i="785" s="1"/>
  <c r="H354" i="785"/>
  <c r="K428" i="781"/>
  <c r="K442" i="781" s="1"/>
  <c r="K24" i="781" s="1"/>
  <c r="H442" i="781"/>
  <c r="H24" i="781" s="1"/>
  <c r="K439" i="780"/>
  <c r="K442" i="780" s="1"/>
  <c r="K25" i="780" s="1"/>
  <c r="H442" i="780"/>
  <c r="H25" i="780" s="1"/>
  <c r="J34" i="775"/>
  <c r="J13" i="774" s="1"/>
  <c r="K295" i="778"/>
  <c r="K298" i="778" s="1"/>
  <c r="K19" i="778" s="1"/>
  <c r="H298" i="778"/>
  <c r="H19" i="778" s="1"/>
  <c r="G205" i="776"/>
  <c r="K204" i="776"/>
  <c r="K425" i="780"/>
  <c r="K431" i="780" s="1"/>
  <c r="K24" i="780" s="1"/>
  <c r="K250" i="781"/>
  <c r="H255" i="781"/>
  <c r="H16" i="781" s="1"/>
  <c r="K317" i="783"/>
  <c r="K322" i="783" s="1"/>
  <c r="K15" i="783" s="1"/>
  <c r="H322" i="783"/>
  <c r="H15" i="783" s="1"/>
  <c r="K255" i="781"/>
  <c r="K419" i="783"/>
  <c r="K434" i="783" s="1"/>
  <c r="K20" i="783" s="1"/>
  <c r="H434" i="783"/>
  <c r="H20" i="783" s="1"/>
  <c r="K129" i="777"/>
  <c r="K130" i="777" s="1"/>
  <c r="K19" i="777" s="1"/>
  <c r="H130" i="777"/>
  <c r="H19" i="777" s="1"/>
  <c r="K71" i="777"/>
  <c r="K73" i="777" s="1"/>
  <c r="K15" i="777" s="1"/>
  <c r="H73" i="777"/>
  <c r="H15" i="777" s="1"/>
  <c r="K261" i="779"/>
  <c r="K20" i="779" s="1"/>
  <c r="K211" i="785"/>
  <c r="K215" i="785" s="1"/>
  <c r="K15" i="785" s="1"/>
  <c r="H215" i="785"/>
  <c r="H15" i="785" s="1"/>
  <c r="K40" i="775"/>
  <c r="K51" i="775" s="1"/>
  <c r="K12" i="775" s="1"/>
  <c r="H51" i="775"/>
  <c r="H12" i="775" s="1"/>
  <c r="K232" i="778"/>
  <c r="H250" i="778"/>
  <c r="H16" i="778" s="1"/>
  <c r="I404" i="780"/>
  <c r="J404" i="780" s="1"/>
  <c r="H404" i="780"/>
  <c r="K393" i="784"/>
  <c r="K401" i="784" s="1"/>
  <c r="K22" i="784" s="1"/>
  <c r="H401" i="784"/>
  <c r="H22" i="784" s="1"/>
  <c r="K96" i="786"/>
  <c r="K99" i="786" s="1"/>
  <c r="K15" i="786" s="1"/>
  <c r="H99" i="786"/>
  <c r="H15" i="786" s="1"/>
  <c r="H34" i="786" s="1"/>
  <c r="H24" i="774" s="1"/>
  <c r="K326" i="778"/>
  <c r="K334" i="778" s="1"/>
  <c r="K20" i="778" s="1"/>
  <c r="H334" i="778"/>
  <c r="H20" i="778" s="1"/>
  <c r="J250" i="782"/>
  <c r="J16" i="782" s="1"/>
  <c r="K411" i="778"/>
  <c r="K418" i="778" s="1"/>
  <c r="K24" i="778" s="1"/>
  <c r="H418" i="778"/>
  <c r="H24" i="778" s="1"/>
  <c r="H431" i="780"/>
  <c r="H24" i="780" s="1"/>
  <c r="K338" i="781"/>
  <c r="H346" i="781"/>
  <c r="H20" i="781" s="1"/>
  <c r="K129" i="776"/>
  <c r="K130" i="776" s="1"/>
  <c r="K19" i="776" s="1"/>
  <c r="H130" i="776"/>
  <c r="H19" i="776" s="1"/>
  <c r="K243" i="775"/>
  <c r="K250" i="775" s="1"/>
  <c r="K20" i="775" s="1"/>
  <c r="H250" i="775"/>
  <c r="H20" i="775" s="1"/>
  <c r="H261" i="779"/>
  <c r="H20" i="779" s="1"/>
  <c r="K306" i="780"/>
  <c r="K310" i="780" s="1"/>
  <c r="K19" i="780" s="1"/>
  <c r="H310" i="780"/>
  <c r="H19" i="780" s="1"/>
  <c r="K250" i="777"/>
  <c r="K251" i="777" s="1"/>
  <c r="K24" i="777" s="1"/>
  <c r="H251" i="777"/>
  <c r="H24" i="777" s="1"/>
  <c r="K226" i="777"/>
  <c r="K232" i="777" s="1"/>
  <c r="K23" i="777" s="1"/>
  <c r="H232" i="777"/>
  <c r="H23" i="777" s="1"/>
  <c r="K448" i="783"/>
  <c r="G449" i="783"/>
  <c r="H390" i="778"/>
  <c r="I390" i="778"/>
  <c r="J390" i="778" s="1"/>
  <c r="K205" i="777"/>
  <c r="J250" i="778"/>
  <c r="J16" i="778" s="1"/>
  <c r="K240" i="782"/>
  <c r="K250" i="782" s="1"/>
  <c r="K16" i="782" s="1"/>
  <c r="H250" i="782"/>
  <c r="H16" i="782" s="1"/>
  <c r="J346" i="781"/>
  <c r="J20" i="781" s="1"/>
  <c r="K493" i="783"/>
  <c r="G361" i="781"/>
  <c r="K360" i="781"/>
  <c r="H452" i="783"/>
  <c r="K452" i="783" s="1"/>
  <c r="I452" i="783"/>
  <c r="J452" i="783" s="1"/>
  <c r="I278" i="779"/>
  <c r="J278" i="779" s="1"/>
  <c r="H278" i="779"/>
  <c r="K278" i="779" s="1"/>
  <c r="K178" i="777"/>
  <c r="K34" i="786"/>
  <c r="K24" i="774" s="1"/>
  <c r="I306" i="781"/>
  <c r="J306" i="781" s="1"/>
  <c r="J310" i="781" s="1"/>
  <c r="J19" i="781" s="1"/>
  <c r="H306" i="781"/>
  <c r="K77" i="776"/>
  <c r="K87" i="776" s="1"/>
  <c r="K16" i="776" s="1"/>
  <c r="H87" i="776"/>
  <c r="H16" i="776" s="1"/>
  <c r="K351" i="775"/>
  <c r="K370" i="775" s="1"/>
  <c r="K25" i="775" s="1"/>
  <c r="H370" i="775"/>
  <c r="H25" i="775" s="1"/>
  <c r="K222" i="778"/>
  <c r="K226" i="778" s="1"/>
  <c r="K15" i="778" s="1"/>
  <c r="H226" i="778"/>
  <c r="H15" i="778" s="1"/>
  <c r="I349" i="778"/>
  <c r="J349" i="778" s="1"/>
  <c r="J354" i="778" s="1"/>
  <c r="J21" i="778" s="1"/>
  <c r="H349" i="778"/>
  <c r="K378" i="780"/>
  <c r="K385" i="780" s="1"/>
  <c r="K22" i="780" s="1"/>
  <c r="H385" i="780"/>
  <c r="H22" i="780" s="1"/>
  <c r="G391" i="782"/>
  <c r="K390" i="782"/>
  <c r="H426" i="778"/>
  <c r="I426" i="778"/>
  <c r="J426" i="778" s="1"/>
  <c r="J442" i="778" s="1"/>
  <c r="J25" i="778" s="1"/>
  <c r="I460" i="784"/>
  <c r="J460" i="784" s="1"/>
  <c r="J466" i="784" s="1"/>
  <c r="J25" i="784" s="1"/>
  <c r="H460" i="784"/>
  <c r="K160" i="779"/>
  <c r="K169" i="779" s="1"/>
  <c r="K16" i="779" s="1"/>
  <c r="H169" i="779"/>
  <c r="H16" i="779" s="1"/>
  <c r="K77" i="777"/>
  <c r="K86" i="777" s="1"/>
  <c r="K16" i="777" s="1"/>
  <c r="H86" i="777"/>
  <c r="H16" i="777" s="1"/>
  <c r="H496" i="783"/>
  <c r="H501" i="783" s="1"/>
  <c r="H23" i="783" s="1"/>
  <c r="I496" i="783"/>
  <c r="J496" i="783" s="1"/>
  <c r="J501" i="783" s="1"/>
  <c r="J23" i="783" s="1"/>
  <c r="H275" i="779"/>
  <c r="I275" i="779"/>
  <c r="J275" i="779" s="1"/>
  <c r="K150" i="779"/>
  <c r="K154" i="779" s="1"/>
  <c r="K15" i="779" s="1"/>
  <c r="H154" i="779"/>
  <c r="H15" i="779" s="1"/>
  <c r="K241" i="778"/>
  <c r="K404" i="781"/>
  <c r="H249" i="776"/>
  <c r="I249" i="776"/>
  <c r="J249" i="776" s="1"/>
  <c r="J250" i="776" s="1"/>
  <c r="J24" i="776" s="1"/>
  <c r="H358" i="781"/>
  <c r="I358" i="781"/>
  <c r="J358" i="781" s="1"/>
  <c r="H340" i="785"/>
  <c r="I340" i="785"/>
  <c r="J340" i="785" s="1"/>
  <c r="K426" i="775"/>
  <c r="K437" i="775" s="1"/>
  <c r="K27" i="775" s="1"/>
  <c r="K341" i="781"/>
  <c r="K222" i="775"/>
  <c r="K226" i="775" s="1"/>
  <c r="K19" i="775" s="1"/>
  <c r="H226" i="775"/>
  <c r="H19" i="775" s="1"/>
  <c r="K406" i="780"/>
  <c r="G407" i="780"/>
  <c r="K155" i="776"/>
  <c r="K166" i="776" s="1"/>
  <c r="K20" i="776" s="1"/>
  <c r="H166" i="776"/>
  <c r="H20" i="776" s="1"/>
  <c r="I378" i="781"/>
  <c r="J378" i="781" s="1"/>
  <c r="J387" i="781" s="1"/>
  <c r="J22" i="781" s="1"/>
  <c r="H378" i="781"/>
  <c r="K363" i="782"/>
  <c r="K370" i="782" s="1"/>
  <c r="K22" i="782" s="1"/>
  <c r="H370" i="782"/>
  <c r="H22" i="782" s="1"/>
  <c r="K290" i="779"/>
  <c r="H298" i="779"/>
  <c r="H22" i="779" s="1"/>
  <c r="I346" i="782"/>
  <c r="J346" i="782" s="1"/>
  <c r="J355" i="782" s="1"/>
  <c r="J21" i="782" s="1"/>
  <c r="H346" i="782"/>
  <c r="H366" i="778"/>
  <c r="I366" i="778"/>
  <c r="J366" i="778" s="1"/>
  <c r="J370" i="778" s="1"/>
  <c r="J22" i="778" s="1"/>
  <c r="J34" i="778" s="1"/>
  <c r="J16" i="774" s="1"/>
  <c r="K374" i="784"/>
  <c r="K385" i="784" s="1"/>
  <c r="K21" i="784" s="1"/>
  <c r="H385" i="784"/>
  <c r="H21" i="784" s="1"/>
  <c r="K261" i="784"/>
  <c r="K266" i="784" s="1"/>
  <c r="K16" i="784" s="1"/>
  <c r="H266" i="784"/>
  <c r="H16" i="784" s="1"/>
  <c r="K340" i="780"/>
  <c r="K346" i="780" s="1"/>
  <c r="K20" i="780" s="1"/>
  <c r="H346" i="780"/>
  <c r="H20" i="780" s="1"/>
  <c r="K71" i="776"/>
  <c r="K73" i="776" s="1"/>
  <c r="K15" i="776" s="1"/>
  <c r="H73" i="776"/>
  <c r="H15" i="776" s="1"/>
  <c r="H387" i="778"/>
  <c r="I387" i="778"/>
  <c r="J387" i="778" s="1"/>
  <c r="J394" i="778" s="1"/>
  <c r="J23" i="778" s="1"/>
  <c r="K155" i="777"/>
  <c r="K166" i="777" s="1"/>
  <c r="K20" i="777" s="1"/>
  <c r="H166" i="777"/>
  <c r="H20" i="777" s="1"/>
  <c r="K335" i="775"/>
  <c r="K346" i="775" s="1"/>
  <c r="K24" i="775" s="1"/>
  <c r="K282" i="785"/>
  <c r="K287" i="785" s="1"/>
  <c r="K19" i="785" s="1"/>
  <c r="H287" i="785"/>
  <c r="H19" i="785" s="1"/>
  <c r="K289" i="775"/>
  <c r="K298" i="775" s="1"/>
  <c r="K22" i="775" s="1"/>
  <c r="H298" i="775"/>
  <c r="H22" i="775" s="1"/>
  <c r="K380" i="785"/>
  <c r="K394" i="785" s="1"/>
  <c r="K23" i="785" s="1"/>
  <c r="H394" i="785"/>
  <c r="H23" i="785" s="1"/>
  <c r="I421" i="784"/>
  <c r="J421" i="784" s="1"/>
  <c r="J423" i="784" s="1"/>
  <c r="J23" i="784" s="1"/>
  <c r="H421" i="784"/>
  <c r="I200" i="777"/>
  <c r="J200" i="777" s="1"/>
  <c r="J208" i="777" s="1"/>
  <c r="J22" i="777" s="1"/>
  <c r="J34" i="777" s="1"/>
  <c r="J15" i="774" s="1"/>
  <c r="H200" i="777"/>
  <c r="K361" i="780"/>
  <c r="G362" i="780"/>
  <c r="I388" i="782"/>
  <c r="J388" i="782" s="1"/>
  <c r="H388" i="782"/>
  <c r="K315" i="784"/>
  <c r="K322" i="784" s="1"/>
  <c r="K19" i="784" s="1"/>
  <c r="H322" i="784"/>
  <c r="H19" i="784" s="1"/>
  <c r="K388" i="782" l="1"/>
  <c r="I449" i="783"/>
  <c r="J449" i="783" s="1"/>
  <c r="J458" i="783" s="1"/>
  <c r="J21" i="783" s="1"/>
  <c r="J34" i="783" s="1"/>
  <c r="J21" i="774" s="1"/>
  <c r="H449" i="783"/>
  <c r="Q15" i="777"/>
  <c r="J394" i="782"/>
  <c r="K378" i="781"/>
  <c r="K387" i="781" s="1"/>
  <c r="H387" i="781"/>
  <c r="H22" i="781" s="1"/>
  <c r="K22" i="781" s="1"/>
  <c r="J282" i="779"/>
  <c r="J21" i="779" s="1"/>
  <c r="J34" i="779" s="1"/>
  <c r="J17" i="774" s="1"/>
  <c r="K426" i="778"/>
  <c r="K442" i="778" s="1"/>
  <c r="K25" i="778" s="1"/>
  <c r="H442" i="778"/>
  <c r="H25" i="778" s="1"/>
  <c r="H361" i="781"/>
  <c r="K361" i="781" s="1"/>
  <c r="I361" i="781"/>
  <c r="J361" i="781" s="1"/>
  <c r="J370" i="781" s="1"/>
  <c r="J21" i="781" s="1"/>
  <c r="H362" i="780"/>
  <c r="K362" i="780" s="1"/>
  <c r="I362" i="780"/>
  <c r="J362" i="780" s="1"/>
  <c r="K340" i="785"/>
  <c r="K275" i="779"/>
  <c r="K282" i="779" s="1"/>
  <c r="K21" i="779" s="1"/>
  <c r="K34" i="779" s="1"/>
  <c r="K17" i="774" s="1"/>
  <c r="H282" i="779"/>
  <c r="H21" i="779" s="1"/>
  <c r="K20" i="781"/>
  <c r="K404" i="780"/>
  <c r="I205" i="776"/>
  <c r="J205" i="776" s="1"/>
  <c r="J207" i="776" s="1"/>
  <c r="J22" i="776" s="1"/>
  <c r="J34" i="776" s="1"/>
  <c r="J14" i="774" s="1"/>
  <c r="H205" i="776"/>
  <c r="I391" i="782"/>
  <c r="J391" i="782" s="1"/>
  <c r="H391" i="782"/>
  <c r="K391" i="782" s="1"/>
  <c r="K346" i="781"/>
  <c r="I407" i="781"/>
  <c r="J407" i="781" s="1"/>
  <c r="J411" i="781" s="1"/>
  <c r="J23" i="781" s="1"/>
  <c r="H407" i="781"/>
  <c r="K200" i="777"/>
  <c r="K208" i="777" s="1"/>
  <c r="K22" i="777" s="1"/>
  <c r="K34" i="777" s="1"/>
  <c r="K15" i="774" s="1"/>
  <c r="H208" i="777"/>
  <c r="H22" i="777" s="1"/>
  <c r="K358" i="781"/>
  <c r="K370" i="781" s="1"/>
  <c r="K306" i="781"/>
  <c r="K310" i="781" s="1"/>
  <c r="H310" i="781"/>
  <c r="H19" i="781" s="1"/>
  <c r="K19" i="781" s="1"/>
  <c r="K496" i="783"/>
  <c r="K501" i="783" s="1"/>
  <c r="K23" i="783" s="1"/>
  <c r="K250" i="778"/>
  <c r="K16" i="778" s="1"/>
  <c r="K421" i="784"/>
  <c r="K423" i="784" s="1"/>
  <c r="K23" i="784" s="1"/>
  <c r="K34" i="784" s="1"/>
  <c r="K22" i="774" s="1"/>
  <c r="H423" i="784"/>
  <c r="H23" i="784" s="1"/>
  <c r="H34" i="784" s="1"/>
  <c r="H22" i="774" s="1"/>
  <c r="K366" i="778"/>
  <c r="K370" i="778" s="1"/>
  <c r="K22" i="778" s="1"/>
  <c r="H370" i="778"/>
  <c r="H22" i="778" s="1"/>
  <c r="K249" i="776"/>
  <c r="K250" i="776" s="1"/>
  <c r="K24" i="776" s="1"/>
  <c r="H250" i="776"/>
  <c r="H24" i="776" s="1"/>
  <c r="K349" i="778"/>
  <c r="K354" i="778" s="1"/>
  <c r="K21" i="778" s="1"/>
  <c r="H354" i="778"/>
  <c r="H21" i="778" s="1"/>
  <c r="H34" i="778" s="1"/>
  <c r="H16" i="774" s="1"/>
  <c r="H34" i="775"/>
  <c r="H13" i="774" s="1"/>
  <c r="J34" i="784"/>
  <c r="J22" i="774" s="1"/>
  <c r="K387" i="778"/>
  <c r="H394" i="778"/>
  <c r="H23" i="778" s="1"/>
  <c r="K346" i="782"/>
  <c r="K355" i="782" s="1"/>
  <c r="K21" i="782" s="1"/>
  <c r="H355" i="782"/>
  <c r="H21" i="782" s="1"/>
  <c r="H407" i="780"/>
  <c r="K407" i="780" s="1"/>
  <c r="K408" i="780" s="1"/>
  <c r="K23" i="780" s="1"/>
  <c r="I407" i="780"/>
  <c r="J407" i="780" s="1"/>
  <c r="J408" i="780" s="1"/>
  <c r="J23" i="780" s="1"/>
  <c r="K34" i="775"/>
  <c r="K13" i="774" s="1"/>
  <c r="K358" i="780"/>
  <c r="K16" i="781"/>
  <c r="J370" i="780"/>
  <c r="J21" i="780" s="1"/>
  <c r="H34" i="779"/>
  <c r="H17" i="774" s="1"/>
  <c r="K460" i="784"/>
  <c r="K466" i="784" s="1"/>
  <c r="K25" i="784" s="1"/>
  <c r="H466" i="784"/>
  <c r="H25" i="784" s="1"/>
  <c r="K390" i="778"/>
  <c r="H34" i="777"/>
  <c r="H15" i="774" s="1"/>
  <c r="K354" i="785"/>
  <c r="K362" i="785" s="1"/>
  <c r="K22" i="785" s="1"/>
  <c r="H362" i="785"/>
  <c r="H22" i="785" s="1"/>
  <c r="I337" i="785"/>
  <c r="J337" i="785" s="1"/>
  <c r="J346" i="785" s="1"/>
  <c r="J21" i="785" s="1"/>
  <c r="J34" i="785" s="1"/>
  <c r="J23" i="774" s="1"/>
  <c r="H337" i="785"/>
  <c r="K34" i="780" l="1"/>
  <c r="K18" i="774" s="1"/>
  <c r="J34" i="781"/>
  <c r="J19" i="774" s="1"/>
  <c r="J24" i="782"/>
  <c r="J23" i="782"/>
  <c r="J34" i="782" s="1"/>
  <c r="J20" i="774" s="1"/>
  <c r="J34" i="780"/>
  <c r="J18" i="774" s="1"/>
  <c r="K337" i="785"/>
  <c r="K346" i="785" s="1"/>
  <c r="K21" i="785" s="1"/>
  <c r="K34" i="785" s="1"/>
  <c r="K23" i="774" s="1"/>
  <c r="H346" i="785"/>
  <c r="H21" i="785" s="1"/>
  <c r="H34" i="785" s="1"/>
  <c r="H23" i="774" s="1"/>
  <c r="H370" i="781"/>
  <c r="H21" i="781" s="1"/>
  <c r="K205" i="776"/>
  <c r="K207" i="776" s="1"/>
  <c r="K22" i="776" s="1"/>
  <c r="K34" i="776" s="1"/>
  <c r="K14" i="774" s="1"/>
  <c r="H207" i="776"/>
  <c r="H22" i="776" s="1"/>
  <c r="H34" i="776" s="1"/>
  <c r="H14" i="774" s="1"/>
  <c r="K449" i="783"/>
  <c r="K458" i="783" s="1"/>
  <c r="K21" i="783" s="1"/>
  <c r="K34" i="783" s="1"/>
  <c r="K21" i="774" s="1"/>
  <c r="H458" i="783"/>
  <c r="H21" i="783" s="1"/>
  <c r="H34" i="783" s="1"/>
  <c r="H21" i="774" s="1"/>
  <c r="H408" i="780"/>
  <c r="H23" i="780" s="1"/>
  <c r="H394" i="782"/>
  <c r="H370" i="780"/>
  <c r="H21" i="780" s="1"/>
  <c r="H34" i="780" s="1"/>
  <c r="H18" i="774" s="1"/>
  <c r="K407" i="781"/>
  <c r="K411" i="781" s="1"/>
  <c r="H411" i="781"/>
  <c r="H23" i="781" s="1"/>
  <c r="K23" i="781" s="1"/>
  <c r="K394" i="782"/>
  <c r="K370" i="780"/>
  <c r="K21" i="780" s="1"/>
  <c r="K394" i="778"/>
  <c r="K23" i="778" s="1"/>
  <c r="K34" i="778" s="1"/>
  <c r="K16" i="774" s="1"/>
  <c r="J33" i="774" l="1"/>
  <c r="J15" i="284" s="1"/>
  <c r="H23" i="782"/>
  <c r="H24" i="782"/>
  <c r="H34" i="782" s="1"/>
  <c r="H20" i="774" s="1"/>
  <c r="K21" i="781"/>
  <c r="K34" i="781" s="1"/>
  <c r="K19" i="774" s="1"/>
  <c r="K33" i="774" s="1"/>
  <c r="H34" i="781"/>
  <c r="H19" i="774" s="1"/>
  <c r="K24" i="782"/>
  <c r="K23" i="782"/>
  <c r="K34" i="782" s="1"/>
  <c r="K20" i="774" s="1"/>
  <c r="H33" i="774" l="1"/>
  <c r="G38" i="772" l="1"/>
  <c r="G37" i="772"/>
  <c r="E51" i="770" l="1"/>
  <c r="E52" i="770"/>
  <c r="E53" i="770"/>
  <c r="E130" i="759"/>
  <c r="E245" i="769"/>
  <c r="J41" i="769" l="1"/>
  <c r="H41" i="769"/>
  <c r="K41" i="769" s="1"/>
  <c r="H145" i="769"/>
  <c r="J40" i="768"/>
  <c r="H40" i="768"/>
  <c r="K40" i="768" s="1"/>
  <c r="J41" i="767"/>
  <c r="H41" i="767"/>
  <c r="K41" i="767" s="1"/>
  <c r="J41" i="766"/>
  <c r="H41" i="766"/>
  <c r="K41" i="766" s="1"/>
  <c r="J41" i="765"/>
  <c r="H41" i="765"/>
  <c r="K41" i="765" s="1"/>
  <c r="J42" i="764"/>
  <c r="J41" i="762"/>
  <c r="H41" i="762"/>
  <c r="H41" i="763"/>
  <c r="H42" i="764"/>
  <c r="K42" i="764" s="1"/>
  <c r="K41" i="762" l="1"/>
  <c r="B3371" i="773"/>
  <c r="J3368" i="773"/>
  <c r="H3368" i="773"/>
  <c r="K3368" i="773" s="1"/>
  <c r="J3365" i="773"/>
  <c r="H3365" i="773"/>
  <c r="J3361" i="773"/>
  <c r="H3361" i="773"/>
  <c r="K3361" i="773" s="1"/>
  <c r="J3358" i="773"/>
  <c r="H3358" i="773"/>
  <c r="J3356" i="773"/>
  <c r="H3356" i="773"/>
  <c r="K3356" i="773" s="1"/>
  <c r="J3353" i="773"/>
  <c r="H3353" i="773"/>
  <c r="J3349" i="773"/>
  <c r="H3349" i="773"/>
  <c r="K3349" i="773" s="1"/>
  <c r="J3345" i="773"/>
  <c r="H3345" i="773"/>
  <c r="J3343" i="773"/>
  <c r="H3343" i="773"/>
  <c r="K3343" i="773" s="1"/>
  <c r="J3340" i="773"/>
  <c r="H3340" i="773"/>
  <c r="J3337" i="773"/>
  <c r="H3337" i="773"/>
  <c r="J3334" i="773"/>
  <c r="H3334" i="773"/>
  <c r="J3332" i="773"/>
  <c r="H3332" i="773"/>
  <c r="K3332" i="773" s="1"/>
  <c r="J3329" i="773"/>
  <c r="H3329" i="773"/>
  <c r="J3327" i="773"/>
  <c r="H3327" i="773"/>
  <c r="J3325" i="773"/>
  <c r="H3325" i="773"/>
  <c r="J3323" i="773"/>
  <c r="H3323" i="773"/>
  <c r="K3323" i="773" s="1"/>
  <c r="J3321" i="773"/>
  <c r="H3321" i="773"/>
  <c r="J3319" i="773"/>
  <c r="H3319" i="773"/>
  <c r="K3319" i="773" s="1"/>
  <c r="J3317" i="773"/>
  <c r="H3317" i="773"/>
  <c r="J3316" i="773"/>
  <c r="H3316" i="773"/>
  <c r="K3316" i="773" s="1"/>
  <c r="J3315" i="773"/>
  <c r="H3315" i="773"/>
  <c r="J3314" i="773"/>
  <c r="H3314" i="773"/>
  <c r="K3314" i="773" s="1"/>
  <c r="J3312" i="773"/>
  <c r="K3312" i="773" s="1"/>
  <c r="H3312" i="773"/>
  <c r="M3311" i="773"/>
  <c r="J3308" i="773"/>
  <c r="H3308" i="773"/>
  <c r="J3307" i="773"/>
  <c r="H3307" i="773"/>
  <c r="J3305" i="773"/>
  <c r="H3305" i="773"/>
  <c r="J3304" i="773"/>
  <c r="H3304" i="773"/>
  <c r="J3302" i="773"/>
  <c r="H3302" i="773"/>
  <c r="J3301" i="773"/>
  <c r="H3301" i="773"/>
  <c r="J3300" i="773"/>
  <c r="H3300" i="773"/>
  <c r="K3300" i="773" s="1"/>
  <c r="I3296" i="773"/>
  <c r="J3296" i="773" s="1"/>
  <c r="G3296" i="773"/>
  <c r="H3296" i="773" s="1"/>
  <c r="I3295" i="773"/>
  <c r="J3295" i="773" s="1"/>
  <c r="G3295" i="773"/>
  <c r="H3295" i="773" s="1"/>
  <c r="I3294" i="773"/>
  <c r="J3294" i="773" s="1"/>
  <c r="G3294" i="773"/>
  <c r="H3294" i="773" s="1"/>
  <c r="J3291" i="773"/>
  <c r="H3291" i="773"/>
  <c r="K3291" i="773" s="1"/>
  <c r="E3290" i="773"/>
  <c r="J3290" i="773" s="1"/>
  <c r="E3289" i="773"/>
  <c r="J3289" i="773" s="1"/>
  <c r="J3288" i="773"/>
  <c r="H3288" i="773"/>
  <c r="E3287" i="773"/>
  <c r="J3287" i="773" s="1"/>
  <c r="E3286" i="773"/>
  <c r="E3285" i="773"/>
  <c r="S3283" i="773"/>
  <c r="J3283" i="773"/>
  <c r="H3283" i="773"/>
  <c r="J3282" i="773"/>
  <c r="H3282" i="773"/>
  <c r="J3281" i="773"/>
  <c r="H3281" i="773"/>
  <c r="J3280" i="773"/>
  <c r="H3280" i="773"/>
  <c r="K3280" i="773" s="1"/>
  <c r="J3279" i="773"/>
  <c r="H3279" i="773"/>
  <c r="J3278" i="773"/>
  <c r="H3278" i="773"/>
  <c r="E3277" i="773"/>
  <c r="J3275" i="773"/>
  <c r="H3275" i="773"/>
  <c r="P3273" i="773"/>
  <c r="Q3273" i="773" s="1"/>
  <c r="J3273" i="773"/>
  <c r="H3273" i="773"/>
  <c r="P3272" i="773"/>
  <c r="Q3272" i="773" s="1"/>
  <c r="J3272" i="773"/>
  <c r="H3272" i="773"/>
  <c r="P3271" i="773"/>
  <c r="Q3271" i="773" s="1"/>
  <c r="J3271" i="773"/>
  <c r="H3271" i="773"/>
  <c r="J3269" i="773"/>
  <c r="H3269" i="773"/>
  <c r="E3266" i="773"/>
  <c r="E3268" i="773" s="1"/>
  <c r="J3268" i="773" s="1"/>
  <c r="J3264" i="773"/>
  <c r="H3264" i="773"/>
  <c r="P3261" i="773"/>
  <c r="Q3261" i="773" s="1"/>
  <c r="J3261" i="773"/>
  <c r="H3261" i="773"/>
  <c r="J3259" i="773"/>
  <c r="H3259" i="773"/>
  <c r="J3256" i="773"/>
  <c r="H3256" i="773"/>
  <c r="J3255" i="773"/>
  <c r="H3255" i="773"/>
  <c r="J3254" i="773"/>
  <c r="H3254" i="773"/>
  <c r="K3254" i="773" s="1"/>
  <c r="N3254" i="773" s="1"/>
  <c r="Q3253" i="773"/>
  <c r="J3253" i="773"/>
  <c r="H3253" i="773"/>
  <c r="P3252" i="773"/>
  <c r="J3252" i="773"/>
  <c r="H3252" i="773"/>
  <c r="K3252" i="773" s="1"/>
  <c r="E3249" i="773"/>
  <c r="J3249" i="773" s="1"/>
  <c r="J3247" i="773"/>
  <c r="H3247" i="773"/>
  <c r="K3247" i="773" s="1"/>
  <c r="I3246" i="773"/>
  <c r="J3246" i="773" s="1"/>
  <c r="G3246" i="773"/>
  <c r="H3246" i="773" s="1"/>
  <c r="P3245" i="773"/>
  <c r="Q3245" i="773" s="1"/>
  <c r="J3245" i="773"/>
  <c r="H3245" i="773"/>
  <c r="K3245" i="773" s="1"/>
  <c r="N3245" i="773" s="1"/>
  <c r="P3244" i="773"/>
  <c r="Q3244" i="773" s="1"/>
  <c r="J3244" i="773"/>
  <c r="H3244" i="773"/>
  <c r="J3241" i="773"/>
  <c r="H3241" i="773"/>
  <c r="J3238" i="773"/>
  <c r="H3238" i="773"/>
  <c r="J3236" i="773"/>
  <c r="K3236" i="773" s="1"/>
  <c r="H3236" i="773"/>
  <c r="J3235" i="773"/>
  <c r="H3235" i="773"/>
  <c r="K3235" i="773" s="1"/>
  <c r="J3231" i="773"/>
  <c r="H3231" i="773"/>
  <c r="J3229" i="773"/>
  <c r="H3229" i="773"/>
  <c r="E3228" i="773"/>
  <c r="J3226" i="773"/>
  <c r="H3226" i="773"/>
  <c r="K3226" i="773" s="1"/>
  <c r="J3225" i="773"/>
  <c r="K3225" i="773" s="1"/>
  <c r="N3225" i="773" s="1"/>
  <c r="H3225" i="773"/>
  <c r="J3224" i="773"/>
  <c r="H3224" i="773"/>
  <c r="K3224" i="773" s="1"/>
  <c r="N3224" i="773" s="1"/>
  <c r="H3222" i="773"/>
  <c r="E3222" i="773"/>
  <c r="J3222" i="773" s="1"/>
  <c r="J3221" i="773"/>
  <c r="H3221" i="773"/>
  <c r="J3220" i="773"/>
  <c r="H3220" i="773"/>
  <c r="N3219" i="773"/>
  <c r="O3219" i="773" s="1"/>
  <c r="J3218" i="773"/>
  <c r="H3218" i="773"/>
  <c r="J3217" i="773"/>
  <c r="H3217" i="773"/>
  <c r="K3217" i="773" s="1"/>
  <c r="N3217" i="773" s="1"/>
  <c r="O3217" i="773" s="1"/>
  <c r="P3215" i="773"/>
  <c r="Q3215" i="773" s="1"/>
  <c r="J3215" i="773"/>
  <c r="H3215" i="773"/>
  <c r="P3214" i="773"/>
  <c r="Q3214" i="773" s="1"/>
  <c r="J3214" i="773"/>
  <c r="H3214" i="773"/>
  <c r="J3212" i="773"/>
  <c r="H3212" i="773"/>
  <c r="J3211" i="773"/>
  <c r="H3211" i="773"/>
  <c r="B3207" i="773"/>
  <c r="J3198" i="773"/>
  <c r="H3198" i="773"/>
  <c r="J3194" i="773"/>
  <c r="H3194" i="773"/>
  <c r="K3194" i="773" s="1"/>
  <c r="J3190" i="773"/>
  <c r="H3190" i="773"/>
  <c r="K3190" i="773" s="1"/>
  <c r="J3184" i="773"/>
  <c r="H3184" i="773"/>
  <c r="K3184" i="773" s="1"/>
  <c r="J3179" i="773"/>
  <c r="H3179" i="773"/>
  <c r="J3175" i="773"/>
  <c r="H3175" i="773"/>
  <c r="K3175" i="773" s="1"/>
  <c r="I3171" i="773"/>
  <c r="J3171" i="773" s="1"/>
  <c r="H3171" i="773"/>
  <c r="J3170" i="773"/>
  <c r="H3170" i="773"/>
  <c r="K3170" i="773" s="1"/>
  <c r="E3167" i="773"/>
  <c r="E3168" i="773" s="1"/>
  <c r="J3166" i="773"/>
  <c r="H3166" i="773"/>
  <c r="K3166" i="773" s="1"/>
  <c r="J3163" i="773"/>
  <c r="H3163" i="773"/>
  <c r="J3160" i="773"/>
  <c r="H3160" i="773"/>
  <c r="J3159" i="773"/>
  <c r="G3159" i="773"/>
  <c r="H3159" i="773" s="1"/>
  <c r="J3158" i="773"/>
  <c r="G3158" i="773"/>
  <c r="H3158" i="773" s="1"/>
  <c r="E3155" i="773"/>
  <c r="J3154" i="773"/>
  <c r="H3154" i="773"/>
  <c r="J3151" i="773"/>
  <c r="H3151" i="773"/>
  <c r="J3150" i="773"/>
  <c r="H3150" i="773"/>
  <c r="J3149" i="773"/>
  <c r="H3149" i="773"/>
  <c r="J3148" i="773"/>
  <c r="H3148" i="773"/>
  <c r="E3144" i="773"/>
  <c r="J3143" i="773"/>
  <c r="H3143" i="773"/>
  <c r="J3141" i="773"/>
  <c r="H3141" i="773"/>
  <c r="J3139" i="773"/>
  <c r="H3139" i="773"/>
  <c r="J3138" i="773"/>
  <c r="H3138" i="773"/>
  <c r="K3138" i="773" s="1"/>
  <c r="J3137" i="773"/>
  <c r="H3137" i="773"/>
  <c r="E3133" i="773"/>
  <c r="J3132" i="773"/>
  <c r="H3132" i="773"/>
  <c r="J3130" i="773"/>
  <c r="H3130" i="773"/>
  <c r="J3127" i="773"/>
  <c r="H3127" i="773"/>
  <c r="J3126" i="773"/>
  <c r="H3126" i="773"/>
  <c r="J3125" i="773"/>
  <c r="H3125" i="773"/>
  <c r="J3124" i="773"/>
  <c r="H3124" i="773"/>
  <c r="E3118" i="773"/>
  <c r="J3118" i="773" s="1"/>
  <c r="J3117" i="773"/>
  <c r="H3117" i="773"/>
  <c r="J3113" i="773"/>
  <c r="H3113" i="773"/>
  <c r="K3113" i="773" s="1"/>
  <c r="J3112" i="773"/>
  <c r="H3112" i="773"/>
  <c r="J3111" i="773"/>
  <c r="H3111" i="773"/>
  <c r="B3108" i="773"/>
  <c r="J3097" i="773"/>
  <c r="J3108" i="773" s="1"/>
  <c r="H3097" i="773"/>
  <c r="H3108" i="773" s="1"/>
  <c r="B3095" i="773"/>
  <c r="J3094" i="773"/>
  <c r="H3094" i="773"/>
  <c r="J3093" i="773"/>
  <c r="H3093" i="773"/>
  <c r="J3092" i="773"/>
  <c r="H3092" i="773"/>
  <c r="J3089" i="773"/>
  <c r="H3089" i="773"/>
  <c r="J3088" i="773"/>
  <c r="H3088" i="773"/>
  <c r="J3087" i="773"/>
  <c r="H3087" i="773"/>
  <c r="J3086" i="773"/>
  <c r="H3086" i="773"/>
  <c r="J3085" i="773"/>
  <c r="H3085" i="773"/>
  <c r="J3084" i="773"/>
  <c r="H3084" i="773"/>
  <c r="J3082" i="773"/>
  <c r="H3082" i="773"/>
  <c r="J3081" i="773"/>
  <c r="H3081" i="773"/>
  <c r="J3080" i="773"/>
  <c r="H3080" i="773"/>
  <c r="J3078" i="773"/>
  <c r="H3078" i="773"/>
  <c r="J3077" i="773"/>
  <c r="H3077" i="773"/>
  <c r="J3076" i="773"/>
  <c r="H3076" i="773"/>
  <c r="J3075" i="773"/>
  <c r="H3075" i="773"/>
  <c r="J3073" i="773"/>
  <c r="H3073" i="773"/>
  <c r="J3072" i="773"/>
  <c r="H3072" i="773"/>
  <c r="J3071" i="773"/>
  <c r="H3071" i="773"/>
  <c r="J3070" i="773"/>
  <c r="H3070" i="773"/>
  <c r="J3069" i="773"/>
  <c r="H3069" i="773"/>
  <c r="J3068" i="773"/>
  <c r="H3068" i="773"/>
  <c r="J3065" i="773"/>
  <c r="H3065" i="773"/>
  <c r="E3061" i="773"/>
  <c r="J3061" i="773" s="1"/>
  <c r="E3060" i="773"/>
  <c r="E3059" i="773"/>
  <c r="H3059" i="773" s="1"/>
  <c r="E3058" i="773"/>
  <c r="H3058" i="773" s="1"/>
  <c r="J3056" i="773"/>
  <c r="H3056" i="773"/>
  <c r="J3055" i="773"/>
  <c r="H3055" i="773"/>
  <c r="K3055" i="773" s="1"/>
  <c r="J3054" i="773"/>
  <c r="H3054" i="773"/>
  <c r="E3053" i="773"/>
  <c r="J3053" i="773" s="1"/>
  <c r="J3052" i="773"/>
  <c r="E3052" i="773"/>
  <c r="H3052" i="773" s="1"/>
  <c r="J3051" i="773"/>
  <c r="H3051" i="773"/>
  <c r="J3049" i="773"/>
  <c r="H3049" i="773"/>
  <c r="J3048" i="773"/>
  <c r="H3048" i="773"/>
  <c r="J3047" i="773"/>
  <c r="H3047" i="773"/>
  <c r="J3045" i="773"/>
  <c r="K3045" i="773" s="1"/>
  <c r="H3045" i="773"/>
  <c r="J3044" i="773"/>
  <c r="H3044" i="773"/>
  <c r="J3043" i="773"/>
  <c r="H3043" i="773"/>
  <c r="J3042" i="773"/>
  <c r="H3042" i="773"/>
  <c r="J3041" i="773"/>
  <c r="H3041" i="773"/>
  <c r="J3040" i="773"/>
  <c r="H3040" i="773"/>
  <c r="J3036" i="773"/>
  <c r="H3036" i="773"/>
  <c r="E3032" i="773"/>
  <c r="H3032" i="773" s="1"/>
  <c r="E3031" i="773"/>
  <c r="J3030" i="773"/>
  <c r="E3030" i="773"/>
  <c r="H3030" i="773" s="1"/>
  <c r="E3029" i="773"/>
  <c r="H3029" i="773" s="1"/>
  <c r="J3028" i="773"/>
  <c r="E3028" i="773"/>
  <c r="H3028" i="773" s="1"/>
  <c r="J3026" i="773"/>
  <c r="H3026" i="773"/>
  <c r="J3025" i="773"/>
  <c r="H3025" i="773"/>
  <c r="J3024" i="773"/>
  <c r="H3024" i="773"/>
  <c r="K3024" i="773" s="1"/>
  <c r="J3023" i="773"/>
  <c r="H3023" i="773"/>
  <c r="E3022" i="773"/>
  <c r="H3022" i="773" s="1"/>
  <c r="J3021" i="773"/>
  <c r="H3021" i="773"/>
  <c r="J3020" i="773"/>
  <c r="H3020" i="773"/>
  <c r="J3018" i="773"/>
  <c r="H3018" i="773"/>
  <c r="J3017" i="773"/>
  <c r="H3017" i="773"/>
  <c r="J3015" i="773"/>
  <c r="H3015" i="773"/>
  <c r="J3014" i="773"/>
  <c r="H3014" i="773"/>
  <c r="J3013" i="773"/>
  <c r="H3013" i="773"/>
  <c r="J3011" i="773"/>
  <c r="H3011" i="773"/>
  <c r="K3011" i="773" s="1"/>
  <c r="J3010" i="773"/>
  <c r="H3010" i="773"/>
  <c r="J3009" i="773"/>
  <c r="H3009" i="773"/>
  <c r="J3008" i="773"/>
  <c r="H3008" i="773"/>
  <c r="J3007" i="773"/>
  <c r="H3007" i="773"/>
  <c r="K3007" i="773" s="1"/>
  <c r="J3006" i="773"/>
  <c r="H3006" i="773"/>
  <c r="J3003" i="773"/>
  <c r="H3003" i="773"/>
  <c r="K3003" i="773" s="1"/>
  <c r="J3002" i="773"/>
  <c r="H3002" i="773"/>
  <c r="J3001" i="773"/>
  <c r="H3001" i="773"/>
  <c r="J2998" i="773"/>
  <c r="H2998" i="773"/>
  <c r="J2997" i="773"/>
  <c r="H2997" i="773"/>
  <c r="K2997" i="773" s="1"/>
  <c r="J2996" i="773"/>
  <c r="H2996" i="773"/>
  <c r="J2995" i="773"/>
  <c r="H2995" i="773"/>
  <c r="J2994" i="773"/>
  <c r="H2994" i="773"/>
  <c r="J2993" i="773"/>
  <c r="H2993" i="773"/>
  <c r="K2993" i="773" s="1"/>
  <c r="J2991" i="773"/>
  <c r="H2991" i="773"/>
  <c r="J2990" i="773"/>
  <c r="H2990" i="773"/>
  <c r="J2989" i="773"/>
  <c r="H2989" i="773"/>
  <c r="J2987" i="773"/>
  <c r="H2987" i="773"/>
  <c r="K2987" i="773" s="1"/>
  <c r="J2986" i="773"/>
  <c r="H2986" i="773"/>
  <c r="J2985" i="773"/>
  <c r="H2985" i="773"/>
  <c r="K2985" i="773" s="1"/>
  <c r="J2984" i="773"/>
  <c r="H2984" i="773"/>
  <c r="J2982" i="773"/>
  <c r="H2982" i="773"/>
  <c r="K2982" i="773" s="1"/>
  <c r="J2981" i="773"/>
  <c r="H2981" i="773"/>
  <c r="J2980" i="773"/>
  <c r="H2980" i="773"/>
  <c r="K2980" i="773" s="1"/>
  <c r="J2979" i="773"/>
  <c r="H2979" i="773"/>
  <c r="J2978" i="773"/>
  <c r="H2978" i="773"/>
  <c r="K2978" i="773" s="1"/>
  <c r="J2977" i="773"/>
  <c r="H2977" i="773"/>
  <c r="J2974" i="773"/>
  <c r="H2974" i="773"/>
  <c r="K2974" i="773" s="1"/>
  <c r="E2971" i="773"/>
  <c r="J2971" i="773" s="1"/>
  <c r="E2970" i="773"/>
  <c r="J2970" i="773" s="1"/>
  <c r="E2969" i="773"/>
  <c r="J2969" i="773" s="1"/>
  <c r="E2968" i="773"/>
  <c r="E2972" i="773" s="1"/>
  <c r="K2966" i="773"/>
  <c r="J2966" i="773"/>
  <c r="H2966" i="773"/>
  <c r="J2965" i="773"/>
  <c r="H2965" i="773"/>
  <c r="K2965" i="773" s="1"/>
  <c r="J2964" i="773"/>
  <c r="K2964" i="773" s="1"/>
  <c r="H2964" i="773"/>
  <c r="E2963" i="773"/>
  <c r="E2962" i="773"/>
  <c r="H2962" i="773" s="1"/>
  <c r="J2961" i="773"/>
  <c r="H2961" i="773"/>
  <c r="J2959" i="773"/>
  <c r="H2959" i="773"/>
  <c r="J2958" i="773"/>
  <c r="H2958" i="773"/>
  <c r="J2957" i="773"/>
  <c r="H2957" i="773"/>
  <c r="J2955" i="773"/>
  <c r="H2955" i="773"/>
  <c r="J2954" i="773"/>
  <c r="H2954" i="773"/>
  <c r="J2953" i="773"/>
  <c r="H2953" i="773"/>
  <c r="J2952" i="773"/>
  <c r="H2952" i="773"/>
  <c r="J2951" i="773"/>
  <c r="H2951" i="773"/>
  <c r="J2950" i="773"/>
  <c r="H2950" i="773"/>
  <c r="J2947" i="773"/>
  <c r="H2947" i="773"/>
  <c r="E2944" i="773"/>
  <c r="J2944" i="773" s="1"/>
  <c r="H2943" i="773"/>
  <c r="E2943" i="773"/>
  <c r="J2943" i="773" s="1"/>
  <c r="E2942" i="773"/>
  <c r="E2941" i="773"/>
  <c r="J2941" i="773" s="1"/>
  <c r="E2940" i="773"/>
  <c r="E2945" i="773" s="1"/>
  <c r="J2939" i="773"/>
  <c r="H2939" i="773"/>
  <c r="J2938" i="773"/>
  <c r="H2938" i="773"/>
  <c r="K2938" i="773" s="1"/>
  <c r="J2937" i="773"/>
  <c r="H2937" i="773"/>
  <c r="J2936" i="773"/>
  <c r="H2936" i="773"/>
  <c r="J2935" i="773"/>
  <c r="E2935" i="773"/>
  <c r="H2935" i="773" s="1"/>
  <c r="K2935" i="773" s="1"/>
  <c r="J2934" i="773"/>
  <c r="H2934" i="773"/>
  <c r="J2933" i="773"/>
  <c r="H2933" i="773"/>
  <c r="J2931" i="773"/>
  <c r="H2931" i="773"/>
  <c r="J2930" i="773"/>
  <c r="K2930" i="773" s="1"/>
  <c r="H2930" i="773"/>
  <c r="J2928" i="773"/>
  <c r="H2928" i="773"/>
  <c r="J2927" i="773"/>
  <c r="H2927" i="773"/>
  <c r="J2926" i="773"/>
  <c r="H2926" i="773"/>
  <c r="J2924" i="773"/>
  <c r="H2924" i="773"/>
  <c r="J2923" i="773"/>
  <c r="H2923" i="773"/>
  <c r="J2922" i="773"/>
  <c r="H2922" i="773"/>
  <c r="J2921" i="773"/>
  <c r="H2921" i="773"/>
  <c r="J2920" i="773"/>
  <c r="K2920" i="773" s="1"/>
  <c r="H2920" i="773"/>
  <c r="J2919" i="773"/>
  <c r="H2919" i="773"/>
  <c r="J2914" i="773"/>
  <c r="H2914" i="773"/>
  <c r="J2913" i="773"/>
  <c r="H2913" i="773"/>
  <c r="J2912" i="773"/>
  <c r="H2912" i="773"/>
  <c r="K2912" i="773" s="1"/>
  <c r="J2907" i="773"/>
  <c r="H2907" i="773"/>
  <c r="J2906" i="773"/>
  <c r="H2906" i="773"/>
  <c r="K2906" i="773" s="1"/>
  <c r="J2905" i="773"/>
  <c r="H2905" i="773"/>
  <c r="J2904" i="773"/>
  <c r="H2904" i="773"/>
  <c r="K2904" i="773" s="1"/>
  <c r="J2903" i="773"/>
  <c r="H2903" i="773"/>
  <c r="J2902" i="773"/>
  <c r="H2902" i="773"/>
  <c r="K2902" i="773" s="1"/>
  <c r="J2900" i="773"/>
  <c r="H2900" i="773"/>
  <c r="J2899" i="773"/>
  <c r="H2899" i="773"/>
  <c r="K2899" i="773" s="1"/>
  <c r="J2898" i="773"/>
  <c r="H2898" i="773"/>
  <c r="J2896" i="773"/>
  <c r="H2896" i="773"/>
  <c r="J2895" i="773"/>
  <c r="H2895" i="773"/>
  <c r="J2894" i="773"/>
  <c r="H2894" i="773"/>
  <c r="K2894" i="773" s="1"/>
  <c r="J2893" i="773"/>
  <c r="H2893" i="773"/>
  <c r="J2891" i="773"/>
  <c r="H2891" i="773"/>
  <c r="K2891" i="773" s="1"/>
  <c r="J2890" i="773"/>
  <c r="H2890" i="773"/>
  <c r="J2889" i="773"/>
  <c r="H2889" i="773"/>
  <c r="J2888" i="773"/>
  <c r="H2888" i="773"/>
  <c r="J2887" i="773"/>
  <c r="H2887" i="773"/>
  <c r="J2886" i="773"/>
  <c r="H2886" i="773"/>
  <c r="J2883" i="773"/>
  <c r="H2883" i="773"/>
  <c r="E2880" i="773"/>
  <c r="E2879" i="773"/>
  <c r="E2878" i="773"/>
  <c r="J2878" i="773" s="1"/>
  <c r="J2877" i="773"/>
  <c r="E2877" i="773"/>
  <c r="J2876" i="773"/>
  <c r="H2876" i="773"/>
  <c r="J2875" i="773"/>
  <c r="H2875" i="773"/>
  <c r="J2874" i="773"/>
  <c r="H2874" i="773"/>
  <c r="E2873" i="773"/>
  <c r="J2873" i="773" s="1"/>
  <c r="E2872" i="773"/>
  <c r="J2872" i="773" s="1"/>
  <c r="J2871" i="773"/>
  <c r="H2871" i="773"/>
  <c r="J2869" i="773"/>
  <c r="K2869" i="773" s="1"/>
  <c r="H2869" i="773"/>
  <c r="J2868" i="773"/>
  <c r="H2868" i="773"/>
  <c r="K2868" i="773" s="1"/>
  <c r="J2867" i="773"/>
  <c r="H2867" i="773"/>
  <c r="J2865" i="773"/>
  <c r="H2865" i="773"/>
  <c r="K2864" i="773"/>
  <c r="J2864" i="773"/>
  <c r="H2864" i="773"/>
  <c r="J2863" i="773"/>
  <c r="H2863" i="773"/>
  <c r="J2862" i="773"/>
  <c r="H2862" i="773"/>
  <c r="J2861" i="773"/>
  <c r="H2861" i="773"/>
  <c r="J2860" i="773"/>
  <c r="H2860" i="773"/>
  <c r="J2855" i="773"/>
  <c r="H2855" i="773"/>
  <c r="K2855" i="773" s="1"/>
  <c r="E2851" i="773"/>
  <c r="J2851" i="773" s="1"/>
  <c r="E2850" i="773"/>
  <c r="E2849" i="773"/>
  <c r="J2849" i="773" s="1"/>
  <c r="E2848" i="773"/>
  <c r="E2847" i="773"/>
  <c r="J2846" i="773"/>
  <c r="H2846" i="773"/>
  <c r="K2846" i="773" s="1"/>
  <c r="J2845" i="773"/>
  <c r="K2845" i="773" s="1"/>
  <c r="H2845" i="773"/>
  <c r="J2844" i="773"/>
  <c r="H2844" i="773"/>
  <c r="J2843" i="773"/>
  <c r="H2843" i="773"/>
  <c r="E2842" i="773"/>
  <c r="J2842" i="773" s="1"/>
  <c r="J2841" i="773"/>
  <c r="H2841" i="773"/>
  <c r="K2841" i="773" s="1"/>
  <c r="J2840" i="773"/>
  <c r="H2840" i="773"/>
  <c r="J2838" i="773"/>
  <c r="H2838" i="773"/>
  <c r="J2837" i="773"/>
  <c r="H2837" i="773"/>
  <c r="J2835" i="773"/>
  <c r="H2835" i="773"/>
  <c r="K2835" i="773" s="1"/>
  <c r="J2834" i="773"/>
  <c r="H2834" i="773"/>
  <c r="J2833" i="773"/>
  <c r="H2833" i="773"/>
  <c r="J2831" i="773"/>
  <c r="H2831" i="773"/>
  <c r="J2830" i="773"/>
  <c r="H2830" i="773"/>
  <c r="J2829" i="773"/>
  <c r="H2829" i="773"/>
  <c r="J2828" i="773"/>
  <c r="H2828" i="773"/>
  <c r="J2827" i="773"/>
  <c r="H2827" i="773"/>
  <c r="J2826" i="773"/>
  <c r="H2826" i="773"/>
  <c r="J2823" i="773"/>
  <c r="H2823" i="773"/>
  <c r="J2822" i="773"/>
  <c r="H2822" i="773"/>
  <c r="J2821" i="773"/>
  <c r="H2821" i="773"/>
  <c r="J2818" i="773"/>
  <c r="H2818" i="773"/>
  <c r="J2817" i="773"/>
  <c r="H2817" i="773"/>
  <c r="J2816" i="773"/>
  <c r="H2816" i="773"/>
  <c r="J2815" i="773"/>
  <c r="H2815" i="773"/>
  <c r="J2814" i="773"/>
  <c r="H2814" i="773"/>
  <c r="J2813" i="773"/>
  <c r="H2813" i="773"/>
  <c r="J2811" i="773"/>
  <c r="H2811" i="773"/>
  <c r="J2810" i="773"/>
  <c r="H2810" i="773"/>
  <c r="J2809" i="773"/>
  <c r="H2809" i="773"/>
  <c r="J2807" i="773"/>
  <c r="H2807" i="773"/>
  <c r="J2806" i="773"/>
  <c r="H2806" i="773"/>
  <c r="J2805" i="773"/>
  <c r="H2805" i="773"/>
  <c r="J2804" i="773"/>
  <c r="H2804" i="773"/>
  <c r="J2802" i="773"/>
  <c r="H2802" i="773"/>
  <c r="J2801" i="773"/>
  <c r="H2801" i="773"/>
  <c r="J2800" i="773"/>
  <c r="H2800" i="773"/>
  <c r="J2799" i="773"/>
  <c r="H2799" i="773"/>
  <c r="J2798" i="773"/>
  <c r="H2798" i="773"/>
  <c r="J2797" i="773"/>
  <c r="H2797" i="773"/>
  <c r="J2794" i="773"/>
  <c r="H2794" i="773"/>
  <c r="E2790" i="773"/>
  <c r="E2789" i="773"/>
  <c r="E2788" i="773"/>
  <c r="E2787" i="773"/>
  <c r="J2787" i="773" s="1"/>
  <c r="J2785" i="773"/>
  <c r="H2785" i="773"/>
  <c r="K2785" i="773" s="1"/>
  <c r="J2784" i="773"/>
  <c r="H2784" i="773"/>
  <c r="J2783" i="773"/>
  <c r="H2783" i="773"/>
  <c r="E2782" i="773"/>
  <c r="H2782" i="773" s="1"/>
  <c r="H2781" i="773"/>
  <c r="K2781" i="773" s="1"/>
  <c r="E2781" i="773"/>
  <c r="J2781" i="773" s="1"/>
  <c r="J2780" i="773"/>
  <c r="H2780" i="773"/>
  <c r="J2778" i="773"/>
  <c r="H2778" i="773"/>
  <c r="J2777" i="773"/>
  <c r="H2777" i="773"/>
  <c r="J2776" i="773"/>
  <c r="H2776" i="773"/>
  <c r="J2774" i="773"/>
  <c r="H2774" i="773"/>
  <c r="J2773" i="773"/>
  <c r="H2773" i="773"/>
  <c r="J2772" i="773"/>
  <c r="H2772" i="773"/>
  <c r="J2771" i="773"/>
  <c r="H2771" i="773"/>
  <c r="J2770" i="773"/>
  <c r="H2770" i="773"/>
  <c r="J2769" i="773"/>
  <c r="H2769" i="773"/>
  <c r="J2765" i="773"/>
  <c r="H2765" i="773"/>
  <c r="J2761" i="773"/>
  <c r="E2761" i="773"/>
  <c r="H2761" i="773" s="1"/>
  <c r="E2760" i="773"/>
  <c r="E2759" i="773"/>
  <c r="H2759" i="773" s="1"/>
  <c r="E2758" i="773"/>
  <c r="J2758" i="773" s="1"/>
  <c r="E2757" i="773"/>
  <c r="E2762" i="773" s="1"/>
  <c r="H2762" i="773" s="1"/>
  <c r="J2755" i="773"/>
  <c r="H2755" i="773"/>
  <c r="J2754" i="773"/>
  <c r="H2754" i="773"/>
  <c r="J2753" i="773"/>
  <c r="H2753" i="773"/>
  <c r="J2752" i="773"/>
  <c r="H2752" i="773"/>
  <c r="E2751" i="773"/>
  <c r="H2751" i="773" s="1"/>
  <c r="J2750" i="773"/>
  <c r="H2750" i="773"/>
  <c r="J2749" i="773"/>
  <c r="H2749" i="773"/>
  <c r="J2747" i="773"/>
  <c r="H2747" i="773"/>
  <c r="J2746" i="773"/>
  <c r="H2746" i="773"/>
  <c r="K2746" i="773" s="1"/>
  <c r="J2744" i="773"/>
  <c r="H2744" i="773"/>
  <c r="J2743" i="773"/>
  <c r="H2743" i="773"/>
  <c r="J2742" i="773"/>
  <c r="H2742" i="773"/>
  <c r="J2740" i="773"/>
  <c r="H2740" i="773"/>
  <c r="K2740" i="773" s="1"/>
  <c r="J2739" i="773"/>
  <c r="H2739" i="773"/>
  <c r="J2738" i="773"/>
  <c r="H2738" i="773"/>
  <c r="J2737" i="773"/>
  <c r="H2737" i="773"/>
  <c r="J2736" i="773"/>
  <c r="H2736" i="773"/>
  <c r="K2736" i="773" s="1"/>
  <c r="J2735" i="773"/>
  <c r="K2735" i="773" s="1"/>
  <c r="H2735" i="773"/>
  <c r="J2732" i="773"/>
  <c r="H2732" i="773"/>
  <c r="K2732" i="773" s="1"/>
  <c r="J2731" i="773"/>
  <c r="H2731" i="773"/>
  <c r="K2731" i="773" s="1"/>
  <c r="J2730" i="773"/>
  <c r="H2730" i="773"/>
  <c r="J2726" i="773"/>
  <c r="H2726" i="773"/>
  <c r="K2726" i="773" s="1"/>
  <c r="J2724" i="773"/>
  <c r="H2724" i="773"/>
  <c r="J2723" i="773"/>
  <c r="H2723" i="773"/>
  <c r="J2722" i="773"/>
  <c r="H2722" i="773"/>
  <c r="J2721" i="773"/>
  <c r="H2721" i="773"/>
  <c r="J2720" i="773"/>
  <c r="H2720" i="773"/>
  <c r="K2720" i="773" s="1"/>
  <c r="J2718" i="773"/>
  <c r="H2718" i="773"/>
  <c r="J2717" i="773"/>
  <c r="H2717" i="773"/>
  <c r="J2716" i="773"/>
  <c r="H2716" i="773"/>
  <c r="J2714" i="773"/>
  <c r="H2714" i="773"/>
  <c r="J2713" i="773"/>
  <c r="K2713" i="773" s="1"/>
  <c r="H2713" i="773"/>
  <c r="J2712" i="773"/>
  <c r="H2712" i="773"/>
  <c r="J2711" i="773"/>
  <c r="H2711" i="773"/>
  <c r="J2709" i="773"/>
  <c r="H2709" i="773"/>
  <c r="J2708" i="773"/>
  <c r="H2708" i="773"/>
  <c r="J2707" i="773"/>
  <c r="H2707" i="773"/>
  <c r="J2706" i="773"/>
  <c r="H2706" i="773"/>
  <c r="J2705" i="773"/>
  <c r="H2705" i="773"/>
  <c r="J2704" i="773"/>
  <c r="H2704" i="773"/>
  <c r="J2699" i="773"/>
  <c r="H2699" i="773"/>
  <c r="E2696" i="773"/>
  <c r="J2696" i="773" s="1"/>
  <c r="E2695" i="773"/>
  <c r="J2695" i="773" s="1"/>
  <c r="E2694" i="773"/>
  <c r="H2694" i="773" s="1"/>
  <c r="E2693" i="773"/>
  <c r="J2691" i="773"/>
  <c r="H2691" i="773"/>
  <c r="J2690" i="773"/>
  <c r="K2690" i="773" s="1"/>
  <c r="H2690" i="773"/>
  <c r="J2689" i="773"/>
  <c r="H2689" i="773"/>
  <c r="E2688" i="773"/>
  <c r="H2688" i="773" s="1"/>
  <c r="E2687" i="773"/>
  <c r="J2687" i="773" s="1"/>
  <c r="J2686" i="773"/>
  <c r="H2686" i="773"/>
  <c r="K2686" i="773" s="1"/>
  <c r="J2684" i="773"/>
  <c r="H2684" i="773"/>
  <c r="J2683" i="773"/>
  <c r="H2683" i="773"/>
  <c r="J2682" i="773"/>
  <c r="H2682" i="773"/>
  <c r="J2680" i="773"/>
  <c r="H2680" i="773"/>
  <c r="K2680" i="773" s="1"/>
  <c r="J2679" i="773"/>
  <c r="H2679" i="773"/>
  <c r="J2678" i="773"/>
  <c r="H2678" i="773"/>
  <c r="J2677" i="773"/>
  <c r="H2677" i="773"/>
  <c r="J2676" i="773"/>
  <c r="H2676" i="773"/>
  <c r="K2676" i="773" s="1"/>
  <c r="J2675" i="773"/>
  <c r="H2675" i="773"/>
  <c r="J2672" i="773"/>
  <c r="H2672" i="773"/>
  <c r="K2672" i="773" s="1"/>
  <c r="J2669" i="773"/>
  <c r="E2668" i="773"/>
  <c r="H2668" i="773" s="1"/>
  <c r="E2667" i="773"/>
  <c r="J2667" i="773" s="1"/>
  <c r="E2666" i="773"/>
  <c r="H2666" i="773" s="1"/>
  <c r="E2665" i="773"/>
  <c r="H2665" i="773" s="1"/>
  <c r="E2664" i="773"/>
  <c r="E2669" i="773" s="1"/>
  <c r="H2669" i="773" s="1"/>
  <c r="J2662" i="773"/>
  <c r="H2662" i="773"/>
  <c r="J2661" i="773"/>
  <c r="H2661" i="773"/>
  <c r="J2660" i="773"/>
  <c r="H2660" i="773"/>
  <c r="K2660" i="773" s="1"/>
  <c r="J2659" i="773"/>
  <c r="H2659" i="773"/>
  <c r="E2658" i="773"/>
  <c r="J2657" i="773"/>
  <c r="H2657" i="773"/>
  <c r="J2656" i="773"/>
  <c r="H2656" i="773"/>
  <c r="J2654" i="773"/>
  <c r="H2654" i="773"/>
  <c r="K2654" i="773" s="1"/>
  <c r="J2653" i="773"/>
  <c r="H2653" i="773"/>
  <c r="J2651" i="773"/>
  <c r="H2651" i="773"/>
  <c r="J2650" i="773"/>
  <c r="H2650" i="773"/>
  <c r="J2649" i="773"/>
  <c r="H2649" i="773"/>
  <c r="J2647" i="773"/>
  <c r="H2647" i="773"/>
  <c r="J2646" i="773"/>
  <c r="H2646" i="773"/>
  <c r="J2645" i="773"/>
  <c r="H2645" i="773"/>
  <c r="J2644" i="773"/>
  <c r="H2644" i="773"/>
  <c r="J2643" i="773"/>
  <c r="H2643" i="773"/>
  <c r="J2642" i="773"/>
  <c r="H2642" i="773"/>
  <c r="J2639" i="773"/>
  <c r="H2639" i="773"/>
  <c r="J2638" i="773"/>
  <c r="H2638" i="773"/>
  <c r="J2637" i="773"/>
  <c r="H2637" i="773"/>
  <c r="J2632" i="773"/>
  <c r="H2632" i="773"/>
  <c r="K2632" i="773" s="1"/>
  <c r="J2630" i="773"/>
  <c r="H2630" i="773"/>
  <c r="J2629" i="773"/>
  <c r="H2629" i="773"/>
  <c r="K2629" i="773" s="1"/>
  <c r="J2628" i="773"/>
  <c r="H2628" i="773"/>
  <c r="J2627" i="773"/>
  <c r="H2627" i="773"/>
  <c r="K2627" i="773" s="1"/>
  <c r="J2626" i="773"/>
  <c r="H2626" i="773"/>
  <c r="J2624" i="773"/>
  <c r="H2624" i="773"/>
  <c r="J2623" i="773"/>
  <c r="H2623" i="773"/>
  <c r="J2622" i="773"/>
  <c r="H2622" i="773"/>
  <c r="K2622" i="773" s="1"/>
  <c r="J2620" i="773"/>
  <c r="H2620" i="773"/>
  <c r="J2619" i="773"/>
  <c r="H2619" i="773"/>
  <c r="K2619" i="773" s="1"/>
  <c r="J2618" i="773"/>
  <c r="H2618" i="773"/>
  <c r="J2617" i="773"/>
  <c r="H2617" i="773"/>
  <c r="J2615" i="773"/>
  <c r="H2615" i="773"/>
  <c r="J2614" i="773"/>
  <c r="H2614" i="773"/>
  <c r="J2613" i="773"/>
  <c r="H2613" i="773"/>
  <c r="J2612" i="773"/>
  <c r="H2612" i="773"/>
  <c r="J2611" i="773"/>
  <c r="H2611" i="773"/>
  <c r="J2610" i="773"/>
  <c r="H2610" i="773"/>
  <c r="J2608" i="773"/>
  <c r="H2608" i="773"/>
  <c r="E2604" i="773"/>
  <c r="H2604" i="773" s="1"/>
  <c r="H2603" i="773"/>
  <c r="E2603" i="773"/>
  <c r="J2603" i="773" s="1"/>
  <c r="E2602" i="773"/>
  <c r="E2601" i="773"/>
  <c r="J2599" i="773"/>
  <c r="H2599" i="773"/>
  <c r="K2599" i="773" s="1"/>
  <c r="J2598" i="773"/>
  <c r="H2598" i="773"/>
  <c r="J2597" i="773"/>
  <c r="H2597" i="773"/>
  <c r="K2597" i="773" s="1"/>
  <c r="E2596" i="773"/>
  <c r="J2596" i="773" s="1"/>
  <c r="E2595" i="773"/>
  <c r="J2594" i="773"/>
  <c r="H2594" i="773"/>
  <c r="J2592" i="773"/>
  <c r="H2592" i="773"/>
  <c r="J2591" i="773"/>
  <c r="H2591" i="773"/>
  <c r="J2590" i="773"/>
  <c r="H2590" i="773"/>
  <c r="J2588" i="773"/>
  <c r="H2588" i="773"/>
  <c r="K2588" i="773" s="1"/>
  <c r="J2587" i="773"/>
  <c r="H2587" i="773"/>
  <c r="J2586" i="773"/>
  <c r="H2586" i="773"/>
  <c r="K2586" i="773" s="1"/>
  <c r="J2585" i="773"/>
  <c r="H2585" i="773"/>
  <c r="J2584" i="773"/>
  <c r="H2584" i="773"/>
  <c r="K2584" i="773" s="1"/>
  <c r="J2583" i="773"/>
  <c r="H2583" i="773"/>
  <c r="J2580" i="773"/>
  <c r="H2580" i="773"/>
  <c r="K2580" i="773" s="1"/>
  <c r="E2576" i="773"/>
  <c r="H2576" i="773" s="1"/>
  <c r="E2575" i="773"/>
  <c r="H2575" i="773" s="1"/>
  <c r="E2574" i="773"/>
  <c r="J2574" i="773" s="1"/>
  <c r="E2573" i="773"/>
  <c r="H2573" i="773" s="1"/>
  <c r="H2572" i="773"/>
  <c r="E2572" i="773"/>
  <c r="J2570" i="773"/>
  <c r="H2570" i="773"/>
  <c r="K2570" i="773" s="1"/>
  <c r="J2569" i="773"/>
  <c r="H2569" i="773"/>
  <c r="J2568" i="773"/>
  <c r="H2568" i="773"/>
  <c r="J2567" i="773"/>
  <c r="H2567" i="773"/>
  <c r="K2567" i="773" s="1"/>
  <c r="J2566" i="773"/>
  <c r="H2566" i="773"/>
  <c r="K2566" i="773" s="1"/>
  <c r="E2566" i="773"/>
  <c r="J2565" i="773"/>
  <c r="H2565" i="773"/>
  <c r="K2565" i="773" s="1"/>
  <c r="K2564" i="773"/>
  <c r="J2564" i="773"/>
  <c r="H2564" i="773"/>
  <c r="J2562" i="773"/>
  <c r="K2562" i="773" s="1"/>
  <c r="H2562" i="773"/>
  <c r="J2561" i="773"/>
  <c r="H2561" i="773"/>
  <c r="J2559" i="773"/>
  <c r="H2559" i="773"/>
  <c r="J2558" i="773"/>
  <c r="H2558" i="773"/>
  <c r="K2558" i="773" s="1"/>
  <c r="J2557" i="773"/>
  <c r="H2557" i="773"/>
  <c r="J2555" i="773"/>
  <c r="H2555" i="773"/>
  <c r="K2555" i="773" s="1"/>
  <c r="J2554" i="773"/>
  <c r="H2554" i="773"/>
  <c r="J2553" i="773"/>
  <c r="H2553" i="773"/>
  <c r="K2553" i="773" s="1"/>
  <c r="J2552" i="773"/>
  <c r="H2552" i="773"/>
  <c r="K2552" i="773" s="1"/>
  <c r="J2551" i="773"/>
  <c r="H2551" i="773"/>
  <c r="J2550" i="773"/>
  <c r="H2550" i="773"/>
  <c r="K2550" i="773" s="1"/>
  <c r="J2547" i="773"/>
  <c r="H2547" i="773"/>
  <c r="K2547" i="773" s="1"/>
  <c r="J2546" i="773"/>
  <c r="H2546" i="773"/>
  <c r="J2545" i="773"/>
  <c r="H2545" i="773"/>
  <c r="J2542" i="773"/>
  <c r="H2542" i="773"/>
  <c r="K2542" i="773" s="1"/>
  <c r="J2541" i="773"/>
  <c r="H2541" i="773"/>
  <c r="J2540" i="773"/>
  <c r="H2540" i="773"/>
  <c r="K2540" i="773" s="1"/>
  <c r="J2539" i="773"/>
  <c r="H2539" i="773"/>
  <c r="K2539" i="773" s="1"/>
  <c r="J2538" i="773"/>
  <c r="H2538" i="773"/>
  <c r="J2537" i="773"/>
  <c r="H2537" i="773"/>
  <c r="K2537" i="773" s="1"/>
  <c r="J2535" i="773"/>
  <c r="H2535" i="773"/>
  <c r="J2534" i="773"/>
  <c r="K2534" i="773" s="1"/>
  <c r="H2534" i="773"/>
  <c r="J2533" i="773"/>
  <c r="H2533" i="773"/>
  <c r="J2531" i="773"/>
  <c r="H2531" i="773"/>
  <c r="J2530" i="773"/>
  <c r="H2530" i="773"/>
  <c r="K2530" i="773" s="1"/>
  <c r="J2529" i="773"/>
  <c r="H2529" i="773"/>
  <c r="J2528" i="773"/>
  <c r="H2528" i="773"/>
  <c r="K2528" i="773" s="1"/>
  <c r="J2526" i="773"/>
  <c r="H2526" i="773"/>
  <c r="J2525" i="773"/>
  <c r="H2525" i="773"/>
  <c r="J2524" i="773"/>
  <c r="H2524" i="773"/>
  <c r="J2523" i="773"/>
  <c r="H2523" i="773"/>
  <c r="K2523" i="773" s="1"/>
  <c r="J2522" i="773"/>
  <c r="H2522" i="773"/>
  <c r="J2521" i="773"/>
  <c r="H2521" i="773"/>
  <c r="K2521" i="773" s="1"/>
  <c r="J2518" i="773"/>
  <c r="H2518" i="773"/>
  <c r="E2515" i="773"/>
  <c r="J2515" i="773" s="1"/>
  <c r="J2514" i="773"/>
  <c r="H2514" i="773"/>
  <c r="J2513" i="773"/>
  <c r="H2513" i="773"/>
  <c r="J2512" i="773"/>
  <c r="H2512" i="773"/>
  <c r="J2511" i="773"/>
  <c r="H2511" i="773"/>
  <c r="J2509" i="773"/>
  <c r="H2509" i="773"/>
  <c r="E2508" i="773"/>
  <c r="H2508" i="773" s="1"/>
  <c r="E2507" i="773"/>
  <c r="H2507" i="773" s="1"/>
  <c r="E2506" i="773"/>
  <c r="J2506" i="773" s="1"/>
  <c r="E2505" i="773"/>
  <c r="H2505" i="773" s="1"/>
  <c r="J2504" i="773"/>
  <c r="H2504" i="773"/>
  <c r="J2502" i="773"/>
  <c r="H2502" i="773"/>
  <c r="J2501" i="773"/>
  <c r="H2501" i="773"/>
  <c r="K2501" i="773" s="1"/>
  <c r="J2500" i="773"/>
  <c r="K2500" i="773" s="1"/>
  <c r="H2500" i="773"/>
  <c r="J2498" i="773"/>
  <c r="H2498" i="773"/>
  <c r="J2497" i="773"/>
  <c r="H2497" i="773"/>
  <c r="J2496" i="773"/>
  <c r="H2496" i="773"/>
  <c r="J2495" i="773"/>
  <c r="H2495" i="773"/>
  <c r="K2495" i="773" s="1"/>
  <c r="J2494" i="773"/>
  <c r="H2494" i="773"/>
  <c r="J2493" i="773"/>
  <c r="H2493" i="773"/>
  <c r="J2490" i="773"/>
  <c r="H2490" i="773"/>
  <c r="K2490" i="773" s="1"/>
  <c r="E2487" i="773"/>
  <c r="J2486" i="773"/>
  <c r="H2486" i="773"/>
  <c r="J2485" i="773"/>
  <c r="H2485" i="773"/>
  <c r="K2485" i="773" s="1"/>
  <c r="J2484" i="773"/>
  <c r="H2484" i="773"/>
  <c r="J2483" i="773"/>
  <c r="H2483" i="773"/>
  <c r="K2483" i="773" s="1"/>
  <c r="J2482" i="773"/>
  <c r="H2482" i="773"/>
  <c r="E2480" i="773"/>
  <c r="J2480" i="773" s="1"/>
  <c r="J2479" i="773"/>
  <c r="H2479" i="773"/>
  <c r="J2478" i="773"/>
  <c r="H2478" i="773"/>
  <c r="K2478" i="773" s="1"/>
  <c r="J2477" i="773"/>
  <c r="H2477" i="773"/>
  <c r="K2477" i="773" s="1"/>
  <c r="E2476" i="773"/>
  <c r="J2475" i="773"/>
  <c r="H2475" i="773"/>
  <c r="J2474" i="773"/>
  <c r="H2474" i="773"/>
  <c r="J2472" i="773"/>
  <c r="H2472" i="773"/>
  <c r="J2471" i="773"/>
  <c r="H2471" i="773"/>
  <c r="J2469" i="773"/>
  <c r="H2469" i="773"/>
  <c r="J2468" i="773"/>
  <c r="H2468" i="773"/>
  <c r="J2467" i="773"/>
  <c r="H2467" i="773"/>
  <c r="J2465" i="773"/>
  <c r="H2465" i="773"/>
  <c r="J2464" i="773"/>
  <c r="H2464" i="773"/>
  <c r="K2464" i="773" s="1"/>
  <c r="J2463" i="773"/>
  <c r="H2463" i="773"/>
  <c r="J2462" i="773"/>
  <c r="H2462" i="773"/>
  <c r="K2462" i="773" s="1"/>
  <c r="J2461" i="773"/>
  <c r="H2461" i="773"/>
  <c r="J2460" i="773"/>
  <c r="H2460" i="773"/>
  <c r="K2460" i="773" s="1"/>
  <c r="J2456" i="773"/>
  <c r="H2456" i="773"/>
  <c r="J2455" i="773"/>
  <c r="H2455" i="773"/>
  <c r="J2454" i="773"/>
  <c r="H2454" i="773"/>
  <c r="J2451" i="773"/>
  <c r="H2451" i="773"/>
  <c r="K2451" i="773" s="1"/>
  <c r="J2449" i="773"/>
  <c r="H2449" i="773"/>
  <c r="J2448" i="773"/>
  <c r="H2448" i="773"/>
  <c r="J2447" i="773"/>
  <c r="H2447" i="773"/>
  <c r="J2446" i="773"/>
  <c r="H2446" i="773"/>
  <c r="J2445" i="773"/>
  <c r="H2445" i="773"/>
  <c r="J2443" i="773"/>
  <c r="H2443" i="773"/>
  <c r="J2442" i="773"/>
  <c r="H2442" i="773"/>
  <c r="J2441" i="773"/>
  <c r="H2441" i="773"/>
  <c r="J2439" i="773"/>
  <c r="H2439" i="773"/>
  <c r="J2438" i="773"/>
  <c r="H2438" i="773"/>
  <c r="K2438" i="773" s="1"/>
  <c r="J2437" i="773"/>
  <c r="H2437" i="773"/>
  <c r="J2436" i="773"/>
  <c r="H2436" i="773"/>
  <c r="K2436" i="773" s="1"/>
  <c r="J2434" i="773"/>
  <c r="H2434" i="773"/>
  <c r="J2433" i="773"/>
  <c r="H2433" i="773"/>
  <c r="J2432" i="773"/>
  <c r="H2432" i="773"/>
  <c r="J2431" i="773"/>
  <c r="H2431" i="773"/>
  <c r="K2431" i="773" s="1"/>
  <c r="J2430" i="773"/>
  <c r="H2430" i="773"/>
  <c r="J2429" i="773"/>
  <c r="H2429" i="773"/>
  <c r="J2426" i="773"/>
  <c r="H2426" i="773"/>
  <c r="E2423" i="773"/>
  <c r="J2423" i="773" s="1"/>
  <c r="J2422" i="773"/>
  <c r="H2422" i="773"/>
  <c r="J2421" i="773"/>
  <c r="H2421" i="773"/>
  <c r="K2421" i="773" s="1"/>
  <c r="J2420" i="773"/>
  <c r="H2420" i="773"/>
  <c r="J2419" i="773"/>
  <c r="H2419" i="773"/>
  <c r="K2419" i="773" s="1"/>
  <c r="J2417" i="773"/>
  <c r="H2417" i="773"/>
  <c r="E2416" i="773"/>
  <c r="E2415" i="773"/>
  <c r="H2415" i="773" s="1"/>
  <c r="E2414" i="773"/>
  <c r="H2414" i="773" s="1"/>
  <c r="E2413" i="773"/>
  <c r="J2412" i="773"/>
  <c r="H2412" i="773"/>
  <c r="J2410" i="773"/>
  <c r="H2410" i="773"/>
  <c r="J2409" i="773"/>
  <c r="H2409" i="773"/>
  <c r="J2408" i="773"/>
  <c r="H2408" i="773"/>
  <c r="J2406" i="773"/>
  <c r="H2406" i="773"/>
  <c r="J2405" i="773"/>
  <c r="H2405" i="773"/>
  <c r="J2404" i="773"/>
  <c r="H2404" i="773"/>
  <c r="K2404" i="773" s="1"/>
  <c r="J2403" i="773"/>
  <c r="H2403" i="773"/>
  <c r="J2402" i="773"/>
  <c r="H2402" i="773"/>
  <c r="J2401" i="773"/>
  <c r="H2401" i="773"/>
  <c r="J2398" i="773"/>
  <c r="H2398" i="773"/>
  <c r="E2395" i="773"/>
  <c r="J2395" i="773" s="1"/>
  <c r="J2394" i="773"/>
  <c r="H2394" i="773"/>
  <c r="J2393" i="773"/>
  <c r="H2393" i="773"/>
  <c r="K2393" i="773" s="1"/>
  <c r="J2392" i="773"/>
  <c r="H2392" i="773"/>
  <c r="J2391" i="773"/>
  <c r="H2391" i="773"/>
  <c r="K2391" i="773" s="1"/>
  <c r="J2390" i="773"/>
  <c r="H2390" i="773"/>
  <c r="E2388" i="773"/>
  <c r="H2388" i="773" s="1"/>
  <c r="J2387" i="773"/>
  <c r="H2387" i="773"/>
  <c r="J2386" i="773"/>
  <c r="H2386" i="773"/>
  <c r="J2385" i="773"/>
  <c r="H2385" i="773"/>
  <c r="E2384" i="773"/>
  <c r="J2383" i="773"/>
  <c r="H2383" i="773"/>
  <c r="K2383" i="773" s="1"/>
  <c r="J2382" i="773"/>
  <c r="H2382" i="773"/>
  <c r="J2380" i="773"/>
  <c r="H2380" i="773"/>
  <c r="K2380" i="773" s="1"/>
  <c r="J2379" i="773"/>
  <c r="H2379" i="773"/>
  <c r="J2377" i="773"/>
  <c r="H2377" i="773"/>
  <c r="K2377" i="773" s="1"/>
  <c r="J2376" i="773"/>
  <c r="H2376" i="773"/>
  <c r="K2376" i="773" s="1"/>
  <c r="J2375" i="773"/>
  <c r="H2375" i="773"/>
  <c r="J2373" i="773"/>
  <c r="H2373" i="773"/>
  <c r="K2373" i="773" s="1"/>
  <c r="J2372" i="773"/>
  <c r="H2372" i="773"/>
  <c r="J2371" i="773"/>
  <c r="H2371" i="773"/>
  <c r="J2370" i="773"/>
  <c r="H2370" i="773"/>
  <c r="J2369" i="773"/>
  <c r="H2369" i="773"/>
  <c r="J2368" i="773"/>
  <c r="H2368" i="773"/>
  <c r="B2364" i="773"/>
  <c r="J2360" i="773"/>
  <c r="H2360" i="773"/>
  <c r="K2360" i="773" s="1"/>
  <c r="J2359" i="773"/>
  <c r="H2359" i="773"/>
  <c r="K2359" i="773" s="1"/>
  <c r="J2358" i="773"/>
  <c r="H2358" i="773"/>
  <c r="J2357" i="773"/>
  <c r="H2357" i="773"/>
  <c r="J2356" i="773"/>
  <c r="H2356" i="773"/>
  <c r="J2355" i="773"/>
  <c r="H2355" i="773"/>
  <c r="K2355" i="773" s="1"/>
  <c r="J2354" i="773"/>
  <c r="H2354" i="773"/>
  <c r="K2354" i="773" s="1"/>
  <c r="J2353" i="773"/>
  <c r="G2353" i="773"/>
  <c r="H2353" i="773" s="1"/>
  <c r="K2353" i="773" s="1"/>
  <c r="J2352" i="773"/>
  <c r="H2352" i="773"/>
  <c r="J2351" i="773"/>
  <c r="H2351" i="773"/>
  <c r="K2351" i="773" s="1"/>
  <c r="J2350" i="773"/>
  <c r="H2350" i="773"/>
  <c r="J2349" i="773"/>
  <c r="H2349" i="773"/>
  <c r="J2348" i="773"/>
  <c r="H2348" i="773"/>
  <c r="K2348" i="773" s="1"/>
  <c r="J2347" i="773"/>
  <c r="H2347" i="773"/>
  <c r="K2347" i="773" s="1"/>
  <c r="J2345" i="773"/>
  <c r="H2345" i="773"/>
  <c r="J2344" i="773"/>
  <c r="H2344" i="773"/>
  <c r="K2344" i="773" s="1"/>
  <c r="J2343" i="773"/>
  <c r="H2343" i="773"/>
  <c r="J2342" i="773"/>
  <c r="H2342" i="773"/>
  <c r="J2341" i="773"/>
  <c r="H2341" i="773"/>
  <c r="J2340" i="773"/>
  <c r="H2340" i="773"/>
  <c r="K2340" i="773" s="1"/>
  <c r="J2339" i="773"/>
  <c r="H2339" i="773"/>
  <c r="J2338" i="773"/>
  <c r="H2338" i="773"/>
  <c r="K2338" i="773" s="1"/>
  <c r="J2337" i="773"/>
  <c r="H2337" i="773"/>
  <c r="K2337" i="773" s="1"/>
  <c r="J2336" i="773"/>
  <c r="H2336" i="773"/>
  <c r="J2334" i="773"/>
  <c r="H2334" i="773"/>
  <c r="J2332" i="773"/>
  <c r="H2332" i="773"/>
  <c r="J2331" i="773"/>
  <c r="H2331" i="773"/>
  <c r="J2330" i="773"/>
  <c r="H2330" i="773"/>
  <c r="J2329" i="773"/>
  <c r="H2329" i="773"/>
  <c r="J2328" i="773"/>
  <c r="H2328" i="773"/>
  <c r="J2327" i="773"/>
  <c r="K2327" i="773" s="1"/>
  <c r="H2327" i="773"/>
  <c r="J2325" i="773"/>
  <c r="H2325" i="773"/>
  <c r="J2324" i="773"/>
  <c r="H2324" i="773"/>
  <c r="J2323" i="773"/>
  <c r="H2323" i="773"/>
  <c r="J2322" i="773"/>
  <c r="K2322" i="773" s="1"/>
  <c r="H2322" i="773"/>
  <c r="J2321" i="773"/>
  <c r="H2321" i="773"/>
  <c r="J2320" i="773"/>
  <c r="H2320" i="773"/>
  <c r="J2319" i="773"/>
  <c r="H2319" i="773"/>
  <c r="J2318" i="773"/>
  <c r="H2318" i="773"/>
  <c r="J2317" i="773"/>
  <c r="H2317" i="773"/>
  <c r="J2316" i="773"/>
  <c r="H2316" i="773"/>
  <c r="J2315" i="773"/>
  <c r="H2315" i="773"/>
  <c r="J2314" i="773"/>
  <c r="K2314" i="773" s="1"/>
  <c r="H2314" i="773"/>
  <c r="J2312" i="773"/>
  <c r="H2312" i="773"/>
  <c r="J2311" i="773"/>
  <c r="H2311" i="773"/>
  <c r="J2310" i="773"/>
  <c r="H2310" i="773"/>
  <c r="J2309" i="773"/>
  <c r="K2309" i="773" s="1"/>
  <c r="H2309" i="773"/>
  <c r="J2308" i="773"/>
  <c r="H2308" i="773"/>
  <c r="J2307" i="773"/>
  <c r="H2307" i="773"/>
  <c r="J2306" i="773"/>
  <c r="H2306" i="773"/>
  <c r="J2305" i="773"/>
  <c r="H2305" i="773"/>
  <c r="J2304" i="773"/>
  <c r="H2304" i="773"/>
  <c r="J2302" i="773"/>
  <c r="H2302" i="773"/>
  <c r="J2301" i="773"/>
  <c r="H2301" i="773"/>
  <c r="J2300" i="773"/>
  <c r="H2300" i="773"/>
  <c r="K2300" i="773" s="1"/>
  <c r="J2299" i="773"/>
  <c r="H2299" i="773"/>
  <c r="J2298" i="773"/>
  <c r="H2298" i="773"/>
  <c r="J2297" i="773"/>
  <c r="H2297" i="773"/>
  <c r="J2296" i="773"/>
  <c r="H2296" i="773"/>
  <c r="K2296" i="773" s="1"/>
  <c r="J2295" i="773"/>
  <c r="H2295" i="773"/>
  <c r="J2294" i="773"/>
  <c r="H2294" i="773"/>
  <c r="J2293" i="773"/>
  <c r="H2293" i="773"/>
  <c r="J2292" i="773"/>
  <c r="H2292" i="773"/>
  <c r="K2292" i="773" s="1"/>
  <c r="J2291" i="773"/>
  <c r="H2291" i="773"/>
  <c r="J2290" i="773"/>
  <c r="H2290" i="773"/>
  <c r="J2289" i="773"/>
  <c r="H2289" i="773"/>
  <c r="J2287" i="773"/>
  <c r="H2287" i="773"/>
  <c r="K2287" i="773" s="1"/>
  <c r="J2286" i="773"/>
  <c r="H2286" i="773"/>
  <c r="J2285" i="773"/>
  <c r="H2285" i="773"/>
  <c r="J2284" i="773"/>
  <c r="H2284" i="773"/>
  <c r="J2283" i="773"/>
  <c r="H2283" i="773"/>
  <c r="K2283" i="773" s="1"/>
  <c r="J2282" i="773"/>
  <c r="H2282" i="773"/>
  <c r="J2281" i="773"/>
  <c r="H2281" i="773"/>
  <c r="J2280" i="773"/>
  <c r="H2280" i="773"/>
  <c r="J2279" i="773"/>
  <c r="H2279" i="773"/>
  <c r="K2279" i="773" s="1"/>
  <c r="J2278" i="773"/>
  <c r="H2278" i="773"/>
  <c r="J2276" i="773"/>
  <c r="H2276" i="773"/>
  <c r="J2274" i="773"/>
  <c r="H2274" i="773"/>
  <c r="J2273" i="773"/>
  <c r="H2273" i="773"/>
  <c r="K2273" i="773" s="1"/>
  <c r="J2272" i="773"/>
  <c r="H2272" i="773"/>
  <c r="J2271" i="773"/>
  <c r="H2271" i="773"/>
  <c r="J2270" i="773"/>
  <c r="H2270" i="773"/>
  <c r="J2269" i="773"/>
  <c r="H2269" i="773"/>
  <c r="K2269" i="773" s="1"/>
  <c r="J2267" i="773"/>
  <c r="H2267" i="773"/>
  <c r="J2266" i="773"/>
  <c r="H2266" i="773"/>
  <c r="J2265" i="773"/>
  <c r="H2265" i="773"/>
  <c r="J2264" i="773"/>
  <c r="H2264" i="773"/>
  <c r="K2264" i="773" s="1"/>
  <c r="J2263" i="773"/>
  <c r="H2263" i="773"/>
  <c r="J2262" i="773"/>
  <c r="H2262" i="773"/>
  <c r="J2261" i="773"/>
  <c r="H2261" i="773"/>
  <c r="J2260" i="773"/>
  <c r="H2260" i="773"/>
  <c r="K2260" i="773" s="1"/>
  <c r="J2259" i="773"/>
  <c r="H2259" i="773"/>
  <c r="J2258" i="773"/>
  <c r="H2258" i="773"/>
  <c r="J2257" i="773"/>
  <c r="H2257" i="773"/>
  <c r="J2256" i="773"/>
  <c r="H2256" i="773"/>
  <c r="J2254" i="773"/>
  <c r="H2254" i="773"/>
  <c r="J2253" i="773"/>
  <c r="H2253" i="773"/>
  <c r="J2252" i="773"/>
  <c r="H2252" i="773"/>
  <c r="J2251" i="773"/>
  <c r="H2251" i="773"/>
  <c r="J2250" i="773"/>
  <c r="H2250" i="773"/>
  <c r="J2249" i="773"/>
  <c r="H2249" i="773"/>
  <c r="J2248" i="773"/>
  <c r="H2248" i="773"/>
  <c r="J2247" i="773"/>
  <c r="H2247" i="773"/>
  <c r="J2246" i="773"/>
  <c r="H2246" i="773"/>
  <c r="J2243" i="773"/>
  <c r="H2243" i="773"/>
  <c r="J2242" i="773"/>
  <c r="H2242" i="773"/>
  <c r="K2242" i="773" s="1"/>
  <c r="J2241" i="773"/>
  <c r="H2241" i="773"/>
  <c r="J2240" i="773"/>
  <c r="H2240" i="773"/>
  <c r="K2240" i="773" s="1"/>
  <c r="J2239" i="773"/>
  <c r="H2239" i="773"/>
  <c r="J2238" i="773"/>
  <c r="H2238" i="773"/>
  <c r="J2237" i="773"/>
  <c r="H2237" i="773"/>
  <c r="J2236" i="773"/>
  <c r="G2236" i="773"/>
  <c r="H2236" i="773" s="1"/>
  <c r="J2235" i="773"/>
  <c r="H2235" i="773"/>
  <c r="J2234" i="773"/>
  <c r="H2234" i="773"/>
  <c r="K2234" i="773" s="1"/>
  <c r="J2233" i="773"/>
  <c r="H2233" i="773"/>
  <c r="J2232" i="773"/>
  <c r="H2232" i="773"/>
  <c r="J2231" i="773"/>
  <c r="H2231" i="773"/>
  <c r="K2231" i="773" s="1"/>
  <c r="J2230" i="773"/>
  <c r="H2230" i="773"/>
  <c r="K2230" i="773" s="1"/>
  <c r="J2228" i="773"/>
  <c r="H2228" i="773"/>
  <c r="K2228" i="773" s="1"/>
  <c r="J2227" i="773"/>
  <c r="H2227" i="773"/>
  <c r="K2227" i="773" s="1"/>
  <c r="J2226" i="773"/>
  <c r="H2226" i="773"/>
  <c r="J2225" i="773"/>
  <c r="H2225" i="773"/>
  <c r="J2224" i="773"/>
  <c r="H2224" i="773"/>
  <c r="J2223" i="773"/>
  <c r="H2223" i="773"/>
  <c r="K2223" i="773" s="1"/>
  <c r="J2222" i="773"/>
  <c r="H2222" i="773"/>
  <c r="K2222" i="773" s="1"/>
  <c r="J2221" i="773"/>
  <c r="H2221" i="773"/>
  <c r="J2220" i="773"/>
  <c r="H2220" i="773"/>
  <c r="J2219" i="773"/>
  <c r="H2219" i="773"/>
  <c r="K2219" i="773" s="1"/>
  <c r="J2217" i="773"/>
  <c r="H2217" i="773"/>
  <c r="J2215" i="773"/>
  <c r="H2215" i="773"/>
  <c r="K2215" i="773" s="1"/>
  <c r="J2214" i="773"/>
  <c r="H2214" i="773"/>
  <c r="K2214" i="773" s="1"/>
  <c r="J2213" i="773"/>
  <c r="H2213" i="773"/>
  <c r="J2212" i="773"/>
  <c r="H2212" i="773"/>
  <c r="J2211" i="773"/>
  <c r="H2211" i="773"/>
  <c r="K2211" i="773" s="1"/>
  <c r="J2210" i="773"/>
  <c r="H2210" i="773"/>
  <c r="J2208" i="773"/>
  <c r="H2208" i="773"/>
  <c r="K2208" i="773" s="1"/>
  <c r="J2207" i="773"/>
  <c r="H2207" i="773"/>
  <c r="J2206" i="773"/>
  <c r="H2206" i="773"/>
  <c r="J2205" i="773"/>
  <c r="H2205" i="773"/>
  <c r="J2204" i="773"/>
  <c r="H2204" i="773"/>
  <c r="K2204" i="773" s="1"/>
  <c r="J2203" i="773"/>
  <c r="H2203" i="773"/>
  <c r="J2202" i="773"/>
  <c r="H2202" i="773"/>
  <c r="K2202" i="773" s="1"/>
  <c r="J2201" i="773"/>
  <c r="H2201" i="773"/>
  <c r="J2200" i="773"/>
  <c r="H2200" i="773"/>
  <c r="K2200" i="773" s="1"/>
  <c r="J2199" i="773"/>
  <c r="H2199" i="773"/>
  <c r="J2198" i="773"/>
  <c r="H2198" i="773"/>
  <c r="K2198" i="773" s="1"/>
  <c r="J2197" i="773"/>
  <c r="H2197" i="773"/>
  <c r="J2195" i="773"/>
  <c r="H2195" i="773"/>
  <c r="J2194" i="773"/>
  <c r="H2194" i="773"/>
  <c r="J2193" i="773"/>
  <c r="H2193" i="773"/>
  <c r="J2192" i="773"/>
  <c r="H2192" i="773"/>
  <c r="J2191" i="773"/>
  <c r="H2191" i="773"/>
  <c r="K2191" i="773" s="1"/>
  <c r="J2190" i="773"/>
  <c r="H2190" i="773"/>
  <c r="J2189" i="773"/>
  <c r="H2189" i="773"/>
  <c r="J2188" i="773"/>
  <c r="H2188" i="773"/>
  <c r="J2187" i="773"/>
  <c r="H2187" i="773"/>
  <c r="J2185" i="773"/>
  <c r="H2185" i="773"/>
  <c r="J2184" i="773"/>
  <c r="H2184" i="773"/>
  <c r="K2184" i="773" s="1"/>
  <c r="J2183" i="773"/>
  <c r="H2183" i="773"/>
  <c r="J2182" i="773"/>
  <c r="H2182" i="773"/>
  <c r="J2181" i="773"/>
  <c r="H2181" i="773"/>
  <c r="J2180" i="773"/>
  <c r="H2180" i="773"/>
  <c r="K2180" i="773" s="1"/>
  <c r="J2179" i="773"/>
  <c r="H2179" i="773"/>
  <c r="J2178" i="773"/>
  <c r="G2178" i="773"/>
  <c r="H2178" i="773" s="1"/>
  <c r="J2177" i="773"/>
  <c r="H2177" i="773"/>
  <c r="J2176" i="773"/>
  <c r="H2176" i="773"/>
  <c r="K2176" i="773" s="1"/>
  <c r="J2175" i="773"/>
  <c r="H2175" i="773"/>
  <c r="J2174" i="773"/>
  <c r="H2174" i="773"/>
  <c r="K2174" i="773" s="1"/>
  <c r="J2173" i="773"/>
  <c r="K2173" i="773" s="1"/>
  <c r="H2173" i="773"/>
  <c r="J2172" i="773"/>
  <c r="H2172" i="773"/>
  <c r="K2172" i="773" s="1"/>
  <c r="J2170" i="773"/>
  <c r="H2170" i="773"/>
  <c r="J2169" i="773"/>
  <c r="H2169" i="773"/>
  <c r="J2168" i="773"/>
  <c r="H2168" i="773"/>
  <c r="J2167" i="773"/>
  <c r="H2167" i="773"/>
  <c r="J2166" i="773"/>
  <c r="H2166" i="773"/>
  <c r="K2166" i="773" s="1"/>
  <c r="J2165" i="773"/>
  <c r="H2165" i="773"/>
  <c r="J2164" i="773"/>
  <c r="H2164" i="773"/>
  <c r="K2164" i="773" s="1"/>
  <c r="J2163" i="773"/>
  <c r="H2163" i="773"/>
  <c r="J2162" i="773"/>
  <c r="H2162" i="773"/>
  <c r="K2162" i="773" s="1"/>
  <c r="J2161" i="773"/>
  <c r="H2161" i="773"/>
  <c r="J2159" i="773"/>
  <c r="H2159" i="773"/>
  <c r="K2159" i="773" s="1"/>
  <c r="J2157" i="773"/>
  <c r="H2157" i="773"/>
  <c r="J2156" i="773"/>
  <c r="H2156" i="773"/>
  <c r="K2156" i="773" s="1"/>
  <c r="J2155" i="773"/>
  <c r="H2155" i="773"/>
  <c r="K2155" i="773" s="1"/>
  <c r="J2154" i="773"/>
  <c r="H2154" i="773"/>
  <c r="J2153" i="773"/>
  <c r="H2153" i="773"/>
  <c r="K2153" i="773" s="1"/>
  <c r="J2152" i="773"/>
  <c r="H2152" i="773"/>
  <c r="J2150" i="773"/>
  <c r="H2150" i="773"/>
  <c r="K2150" i="773" s="1"/>
  <c r="J2149" i="773"/>
  <c r="H2149" i="773"/>
  <c r="J2148" i="773"/>
  <c r="H2148" i="773"/>
  <c r="K2148" i="773" s="1"/>
  <c r="J2147" i="773"/>
  <c r="H2147" i="773"/>
  <c r="J2146" i="773"/>
  <c r="H2146" i="773"/>
  <c r="K2146" i="773" s="1"/>
  <c r="J2145" i="773"/>
  <c r="H2145" i="773"/>
  <c r="J2144" i="773"/>
  <c r="H2144" i="773"/>
  <c r="K2144" i="773" s="1"/>
  <c r="J2143" i="773"/>
  <c r="H2143" i="773"/>
  <c r="J2142" i="773"/>
  <c r="H2142" i="773"/>
  <c r="K2142" i="773" s="1"/>
  <c r="J2141" i="773"/>
  <c r="H2141" i="773"/>
  <c r="J2140" i="773"/>
  <c r="H2140" i="773"/>
  <c r="K2140" i="773" s="1"/>
  <c r="J2139" i="773"/>
  <c r="H2139" i="773"/>
  <c r="J2137" i="773"/>
  <c r="H2137" i="773"/>
  <c r="K2137" i="773" s="1"/>
  <c r="J2136" i="773"/>
  <c r="H2136" i="773"/>
  <c r="J2135" i="773"/>
  <c r="H2135" i="773"/>
  <c r="K2135" i="773" s="1"/>
  <c r="K2134" i="773"/>
  <c r="J2134" i="773"/>
  <c r="H2134" i="773"/>
  <c r="J2133" i="773"/>
  <c r="H2133" i="773"/>
  <c r="J2132" i="773"/>
  <c r="H2132" i="773"/>
  <c r="J2131" i="773"/>
  <c r="H2131" i="773"/>
  <c r="J2130" i="773"/>
  <c r="H2130" i="773"/>
  <c r="J2129" i="773"/>
  <c r="H2129" i="773"/>
  <c r="J2127" i="773"/>
  <c r="H2127" i="773"/>
  <c r="J2126" i="773"/>
  <c r="H2126" i="773"/>
  <c r="J2125" i="773"/>
  <c r="H2125" i="773"/>
  <c r="J2124" i="773"/>
  <c r="H2124" i="773"/>
  <c r="J2123" i="773"/>
  <c r="H2123" i="773"/>
  <c r="J2122" i="773"/>
  <c r="H2122" i="773"/>
  <c r="J2121" i="773"/>
  <c r="H2121" i="773"/>
  <c r="J2120" i="773"/>
  <c r="G2120" i="773"/>
  <c r="H2120" i="773" s="1"/>
  <c r="J2119" i="773"/>
  <c r="H2119" i="773"/>
  <c r="J2118" i="773"/>
  <c r="H2118" i="773"/>
  <c r="J2117" i="773"/>
  <c r="H2117" i="773"/>
  <c r="J2116" i="773"/>
  <c r="H2116" i="773"/>
  <c r="J2115" i="773"/>
  <c r="H2115" i="773"/>
  <c r="J2114" i="773"/>
  <c r="H2114" i="773"/>
  <c r="J2112" i="773"/>
  <c r="H2112" i="773"/>
  <c r="J2111" i="773"/>
  <c r="H2111" i="773"/>
  <c r="J2110" i="773"/>
  <c r="H2110" i="773"/>
  <c r="J2109" i="773"/>
  <c r="H2109" i="773"/>
  <c r="K2109" i="773" s="1"/>
  <c r="J2108" i="773"/>
  <c r="H2108" i="773"/>
  <c r="J2107" i="773"/>
  <c r="H2107" i="773"/>
  <c r="K2107" i="773" s="1"/>
  <c r="J2106" i="773"/>
  <c r="H2106" i="773"/>
  <c r="J2105" i="773"/>
  <c r="H2105" i="773"/>
  <c r="J2104" i="773"/>
  <c r="H2104" i="773"/>
  <c r="J2103" i="773"/>
  <c r="H2103" i="773"/>
  <c r="J2101" i="773"/>
  <c r="H2101" i="773"/>
  <c r="J2099" i="773"/>
  <c r="H2099" i="773"/>
  <c r="K2099" i="773" s="1"/>
  <c r="J2098" i="773"/>
  <c r="H2098" i="773"/>
  <c r="J2097" i="773"/>
  <c r="H2097" i="773"/>
  <c r="J2096" i="773"/>
  <c r="H2096" i="773"/>
  <c r="J2095" i="773"/>
  <c r="H2095" i="773"/>
  <c r="J2094" i="773"/>
  <c r="H2094" i="773"/>
  <c r="J2092" i="773"/>
  <c r="H2092" i="773"/>
  <c r="J2091" i="773"/>
  <c r="H2091" i="773"/>
  <c r="J2090" i="773"/>
  <c r="H2090" i="773"/>
  <c r="J2089" i="773"/>
  <c r="H2089" i="773"/>
  <c r="J2088" i="773"/>
  <c r="H2088" i="773"/>
  <c r="J2087" i="773"/>
  <c r="H2087" i="773"/>
  <c r="J2086" i="773"/>
  <c r="H2086" i="773"/>
  <c r="J2085" i="773"/>
  <c r="H2085" i="773"/>
  <c r="J2084" i="773"/>
  <c r="H2084" i="773"/>
  <c r="J2083" i="773"/>
  <c r="H2083" i="773"/>
  <c r="J2082" i="773"/>
  <c r="H2082" i="773"/>
  <c r="K2082" i="773" s="1"/>
  <c r="J2081" i="773"/>
  <c r="H2081" i="773"/>
  <c r="J2079" i="773"/>
  <c r="H2079" i="773"/>
  <c r="J2078" i="773"/>
  <c r="H2078" i="773"/>
  <c r="J2077" i="773"/>
  <c r="H2077" i="773"/>
  <c r="J2076" i="773"/>
  <c r="H2076" i="773"/>
  <c r="J2075" i="773"/>
  <c r="H2075" i="773"/>
  <c r="J2074" i="773"/>
  <c r="H2074" i="773"/>
  <c r="J2073" i="773"/>
  <c r="H2073" i="773"/>
  <c r="K2073" i="773" s="1"/>
  <c r="J2072" i="773"/>
  <c r="H2072" i="773"/>
  <c r="J2071" i="773"/>
  <c r="H2071" i="773"/>
  <c r="J2068" i="773"/>
  <c r="K2068" i="773" s="1"/>
  <c r="H2068" i="773"/>
  <c r="J2067" i="773"/>
  <c r="H2067" i="773"/>
  <c r="K2067" i="773" s="1"/>
  <c r="J2066" i="773"/>
  <c r="H2066" i="773"/>
  <c r="J2065" i="773"/>
  <c r="H2065" i="773"/>
  <c r="K2065" i="773" s="1"/>
  <c r="J2064" i="773"/>
  <c r="K2064" i="773" s="1"/>
  <c r="H2064" i="773"/>
  <c r="J2063" i="773"/>
  <c r="H2063" i="773"/>
  <c r="K2063" i="773" s="1"/>
  <c r="J2062" i="773"/>
  <c r="H2062" i="773"/>
  <c r="J2061" i="773"/>
  <c r="G2061" i="773"/>
  <c r="H2061" i="773" s="1"/>
  <c r="J2060" i="773"/>
  <c r="H2060" i="773"/>
  <c r="J2059" i="773"/>
  <c r="H2059" i="773"/>
  <c r="K2059" i="773" s="1"/>
  <c r="J2058" i="773"/>
  <c r="H2058" i="773"/>
  <c r="J2057" i="773"/>
  <c r="H2057" i="773"/>
  <c r="J2056" i="773"/>
  <c r="H2056" i="773"/>
  <c r="J2055" i="773"/>
  <c r="H2055" i="773"/>
  <c r="K2055" i="773" s="1"/>
  <c r="J2053" i="773"/>
  <c r="H2053" i="773"/>
  <c r="J2052" i="773"/>
  <c r="H2052" i="773"/>
  <c r="K2052" i="773" s="1"/>
  <c r="J2051" i="773"/>
  <c r="H2051" i="773"/>
  <c r="J2050" i="773"/>
  <c r="H2050" i="773"/>
  <c r="K2050" i="773" s="1"/>
  <c r="J2049" i="773"/>
  <c r="H2049" i="773"/>
  <c r="J2048" i="773"/>
  <c r="H2048" i="773"/>
  <c r="J2047" i="773"/>
  <c r="H2047" i="773"/>
  <c r="J2046" i="773"/>
  <c r="H2046" i="773"/>
  <c r="K2046" i="773" s="1"/>
  <c r="J2045" i="773"/>
  <c r="H2045" i="773"/>
  <c r="J2044" i="773"/>
  <c r="H2044" i="773"/>
  <c r="K2044" i="773" s="1"/>
  <c r="J2042" i="773"/>
  <c r="H2042" i="773"/>
  <c r="J2040" i="773"/>
  <c r="H2040" i="773"/>
  <c r="K2040" i="773" s="1"/>
  <c r="J2039" i="773"/>
  <c r="H2039" i="773"/>
  <c r="J2038" i="773"/>
  <c r="H2038" i="773"/>
  <c r="K2038" i="773" s="1"/>
  <c r="J2037" i="773"/>
  <c r="H2037" i="773"/>
  <c r="J2036" i="773"/>
  <c r="H2036" i="773"/>
  <c r="K2036" i="773" s="1"/>
  <c r="J2035" i="773"/>
  <c r="H2035" i="773"/>
  <c r="J2033" i="773"/>
  <c r="H2033" i="773"/>
  <c r="J2032" i="773"/>
  <c r="H2032" i="773"/>
  <c r="J2031" i="773"/>
  <c r="H2031" i="773"/>
  <c r="K2031" i="773" s="1"/>
  <c r="J2030" i="773"/>
  <c r="H2030" i="773"/>
  <c r="J2029" i="773"/>
  <c r="H2029" i="773"/>
  <c r="K2029" i="773" s="1"/>
  <c r="J2028" i="773"/>
  <c r="H2028" i="773"/>
  <c r="J2027" i="773"/>
  <c r="H2027" i="773"/>
  <c r="K2027" i="773" s="1"/>
  <c r="J2026" i="773"/>
  <c r="H2026" i="773"/>
  <c r="J2025" i="773"/>
  <c r="H2025" i="773"/>
  <c r="K2025" i="773" s="1"/>
  <c r="J2024" i="773"/>
  <c r="H2024" i="773"/>
  <c r="J2023" i="773"/>
  <c r="H2023" i="773"/>
  <c r="J2022" i="773"/>
  <c r="H2022" i="773"/>
  <c r="J2020" i="773"/>
  <c r="H2020" i="773"/>
  <c r="J2019" i="773"/>
  <c r="H2019" i="773"/>
  <c r="J2018" i="773"/>
  <c r="H2018" i="773"/>
  <c r="J2017" i="773"/>
  <c r="H2017" i="773"/>
  <c r="J2016" i="773"/>
  <c r="H2016" i="773"/>
  <c r="J2015" i="773"/>
  <c r="H2015" i="773"/>
  <c r="J2014" i="773"/>
  <c r="H2014" i="773"/>
  <c r="J2013" i="773"/>
  <c r="H2013" i="773"/>
  <c r="J2012" i="773"/>
  <c r="H2012" i="773"/>
  <c r="J2010" i="773"/>
  <c r="H2010" i="773"/>
  <c r="J2009" i="773"/>
  <c r="H2009" i="773"/>
  <c r="J2008" i="773"/>
  <c r="H2008" i="773"/>
  <c r="J2007" i="773"/>
  <c r="H2007" i="773"/>
  <c r="J2006" i="773"/>
  <c r="H2006" i="773"/>
  <c r="J2005" i="773"/>
  <c r="H2005" i="773"/>
  <c r="J2004" i="773"/>
  <c r="H2004" i="773"/>
  <c r="J2003" i="773"/>
  <c r="G2003" i="773"/>
  <c r="H2003" i="773" s="1"/>
  <c r="J2002" i="773"/>
  <c r="H2002" i="773"/>
  <c r="J2001" i="773"/>
  <c r="H2001" i="773"/>
  <c r="J2000" i="773"/>
  <c r="H2000" i="773"/>
  <c r="J1999" i="773"/>
  <c r="H1999" i="773"/>
  <c r="J1998" i="773"/>
  <c r="H1998" i="773"/>
  <c r="J1997" i="773"/>
  <c r="H1997" i="773"/>
  <c r="J1995" i="773"/>
  <c r="H1995" i="773"/>
  <c r="J1994" i="773"/>
  <c r="H1994" i="773"/>
  <c r="J1993" i="773"/>
  <c r="H1993" i="773"/>
  <c r="J1992" i="773"/>
  <c r="H1992" i="773"/>
  <c r="J1991" i="773"/>
  <c r="H1991" i="773"/>
  <c r="J1990" i="773"/>
  <c r="H1990" i="773"/>
  <c r="J1989" i="773"/>
  <c r="H1989" i="773"/>
  <c r="J1988" i="773"/>
  <c r="H1988" i="773"/>
  <c r="J1987" i="773"/>
  <c r="H1987" i="773"/>
  <c r="J1986" i="773"/>
  <c r="H1986" i="773"/>
  <c r="J1984" i="773"/>
  <c r="H1984" i="773"/>
  <c r="K1982" i="773"/>
  <c r="J1982" i="773"/>
  <c r="H1982" i="773"/>
  <c r="J1981" i="773"/>
  <c r="H1981" i="773"/>
  <c r="K1981" i="773" s="1"/>
  <c r="J1980" i="773"/>
  <c r="H1980" i="773"/>
  <c r="J1979" i="773"/>
  <c r="H1979" i="773"/>
  <c r="K1979" i="773" s="1"/>
  <c r="J1978" i="773"/>
  <c r="H1978" i="773"/>
  <c r="J1977" i="773"/>
  <c r="H1977" i="773"/>
  <c r="J1975" i="773"/>
  <c r="H1975" i="773"/>
  <c r="J1974" i="773"/>
  <c r="H1974" i="773"/>
  <c r="J1973" i="773"/>
  <c r="H1973" i="773"/>
  <c r="J1972" i="773"/>
  <c r="H1972" i="773"/>
  <c r="J1971" i="773"/>
  <c r="H1971" i="773"/>
  <c r="J1970" i="773"/>
  <c r="H1970" i="773"/>
  <c r="J1969" i="773"/>
  <c r="H1969" i="773"/>
  <c r="J1968" i="773"/>
  <c r="H1968" i="773"/>
  <c r="J1967" i="773"/>
  <c r="H1967" i="773"/>
  <c r="J1966" i="773"/>
  <c r="H1966" i="773"/>
  <c r="J1965" i="773"/>
  <c r="H1965" i="773"/>
  <c r="J1964" i="773"/>
  <c r="H1964" i="773"/>
  <c r="J1962" i="773"/>
  <c r="H1962" i="773"/>
  <c r="J1961" i="773"/>
  <c r="H1961" i="773"/>
  <c r="J1960" i="773"/>
  <c r="H1960" i="773"/>
  <c r="J1959" i="773"/>
  <c r="H1959" i="773"/>
  <c r="J1958" i="773"/>
  <c r="H1958" i="773"/>
  <c r="J1957" i="773"/>
  <c r="H1957" i="773"/>
  <c r="J1956" i="773"/>
  <c r="H1956" i="773"/>
  <c r="J1955" i="773"/>
  <c r="H1955" i="773"/>
  <c r="J1954" i="773"/>
  <c r="H1954" i="773"/>
  <c r="J1952" i="773"/>
  <c r="H1952" i="773"/>
  <c r="J1951" i="773"/>
  <c r="K1951" i="773" s="1"/>
  <c r="H1951" i="773"/>
  <c r="J1950" i="773"/>
  <c r="H1950" i="773"/>
  <c r="J1949" i="773"/>
  <c r="H1949" i="773"/>
  <c r="J1948" i="773"/>
  <c r="H1948" i="773"/>
  <c r="J1947" i="773"/>
  <c r="H1947" i="773"/>
  <c r="K1947" i="773" s="1"/>
  <c r="J1946" i="773"/>
  <c r="H1946" i="773"/>
  <c r="J1945" i="773"/>
  <c r="G1945" i="773"/>
  <c r="H1945" i="773" s="1"/>
  <c r="K1945" i="773" s="1"/>
  <c r="J1944" i="773"/>
  <c r="H1944" i="773"/>
  <c r="J1943" i="773"/>
  <c r="H1943" i="773"/>
  <c r="K1943" i="773" s="1"/>
  <c r="K1942" i="773"/>
  <c r="J1942" i="773"/>
  <c r="H1942" i="773"/>
  <c r="J1941" i="773"/>
  <c r="H1941" i="773"/>
  <c r="J1940" i="773"/>
  <c r="H1940" i="773"/>
  <c r="J1939" i="773"/>
  <c r="H1939" i="773"/>
  <c r="J1938" i="773"/>
  <c r="H1938" i="773"/>
  <c r="J1937" i="773"/>
  <c r="H1937" i="773"/>
  <c r="J1936" i="773"/>
  <c r="H1936" i="773"/>
  <c r="J1935" i="773"/>
  <c r="H1935" i="773"/>
  <c r="J1934" i="773"/>
  <c r="H1934" i="773"/>
  <c r="J1933" i="773"/>
  <c r="H1933" i="773"/>
  <c r="J1932" i="773"/>
  <c r="H1932" i="773"/>
  <c r="J1931" i="773"/>
  <c r="H1931" i="773"/>
  <c r="J1930" i="773"/>
  <c r="H1930" i="773"/>
  <c r="J1929" i="773"/>
  <c r="H1929" i="773"/>
  <c r="J1927" i="773"/>
  <c r="H1927" i="773"/>
  <c r="J1925" i="773"/>
  <c r="H1925" i="773"/>
  <c r="J1924" i="773"/>
  <c r="H1924" i="773"/>
  <c r="J1923" i="773"/>
  <c r="H1923" i="773"/>
  <c r="J1922" i="773"/>
  <c r="H1922" i="773"/>
  <c r="J1921" i="773"/>
  <c r="H1921" i="773"/>
  <c r="J1920" i="773"/>
  <c r="H1920" i="773"/>
  <c r="J1918" i="773"/>
  <c r="H1918" i="773"/>
  <c r="J1917" i="773"/>
  <c r="H1917" i="773"/>
  <c r="J1916" i="773"/>
  <c r="H1916" i="773"/>
  <c r="J1915" i="773"/>
  <c r="H1915" i="773"/>
  <c r="J1914" i="773"/>
  <c r="H1914" i="773"/>
  <c r="J1913" i="773"/>
  <c r="H1913" i="773"/>
  <c r="J1912" i="773"/>
  <c r="H1912" i="773"/>
  <c r="J1911" i="773"/>
  <c r="K1911" i="773" s="1"/>
  <c r="H1911" i="773"/>
  <c r="J1910" i="773"/>
  <c r="H1910" i="773"/>
  <c r="J1909" i="773"/>
  <c r="H1909" i="773"/>
  <c r="J1908" i="773"/>
  <c r="H1908" i="773"/>
  <c r="J1907" i="773"/>
  <c r="H1907" i="773"/>
  <c r="K1907" i="773" s="1"/>
  <c r="J1905" i="773"/>
  <c r="H1905" i="773"/>
  <c r="J1904" i="773"/>
  <c r="H1904" i="773"/>
  <c r="J1903" i="773"/>
  <c r="H1903" i="773"/>
  <c r="J1902" i="773"/>
  <c r="H1902" i="773"/>
  <c r="K1902" i="773" s="1"/>
  <c r="J1901" i="773"/>
  <c r="H1901" i="773"/>
  <c r="J1900" i="773"/>
  <c r="H1900" i="773"/>
  <c r="K1900" i="773" s="1"/>
  <c r="J1899" i="773"/>
  <c r="H1899" i="773"/>
  <c r="J1898" i="773"/>
  <c r="H1898" i="773"/>
  <c r="K1898" i="773" s="1"/>
  <c r="J1897" i="773"/>
  <c r="H1897" i="773"/>
  <c r="J1895" i="773"/>
  <c r="H1895" i="773"/>
  <c r="K1895" i="773" s="1"/>
  <c r="J1894" i="773"/>
  <c r="H1894" i="773"/>
  <c r="J1893" i="773"/>
  <c r="H1893" i="773"/>
  <c r="J1892" i="773"/>
  <c r="H1892" i="773"/>
  <c r="J1891" i="773"/>
  <c r="H1891" i="773"/>
  <c r="K1890" i="773"/>
  <c r="J1890" i="773"/>
  <c r="H1890" i="773"/>
  <c r="J1889" i="773"/>
  <c r="H1889" i="773"/>
  <c r="J1888" i="773"/>
  <c r="G1888" i="773"/>
  <c r="H1888" i="773" s="1"/>
  <c r="J1887" i="773"/>
  <c r="H1887" i="773"/>
  <c r="J1886" i="773"/>
  <c r="H1886" i="773"/>
  <c r="J1885" i="773"/>
  <c r="H1885" i="773"/>
  <c r="J1884" i="773"/>
  <c r="H1884" i="773"/>
  <c r="J1883" i="773"/>
  <c r="H1883" i="773"/>
  <c r="J1882" i="773"/>
  <c r="H1882" i="773"/>
  <c r="J1880" i="773"/>
  <c r="H1880" i="773"/>
  <c r="J1879" i="773"/>
  <c r="H1879" i="773"/>
  <c r="J1878" i="773"/>
  <c r="H1878" i="773"/>
  <c r="J1877" i="773"/>
  <c r="H1877" i="773"/>
  <c r="J1876" i="773"/>
  <c r="H1876" i="773"/>
  <c r="J1875" i="773"/>
  <c r="H1875" i="773"/>
  <c r="J1874" i="773"/>
  <c r="H1874" i="773"/>
  <c r="J1873" i="773"/>
  <c r="H1873" i="773"/>
  <c r="J1872" i="773"/>
  <c r="H1872" i="773"/>
  <c r="J1871" i="773"/>
  <c r="H1871" i="773"/>
  <c r="J1869" i="773"/>
  <c r="H1869" i="773"/>
  <c r="J1867" i="773"/>
  <c r="H1867" i="773"/>
  <c r="J1866" i="773"/>
  <c r="H1866" i="773"/>
  <c r="J1865" i="773"/>
  <c r="H1865" i="773"/>
  <c r="K1865" i="773" s="1"/>
  <c r="J1864" i="773"/>
  <c r="H1864" i="773"/>
  <c r="J1863" i="773"/>
  <c r="H1863" i="773"/>
  <c r="J1862" i="773"/>
  <c r="H1862" i="773"/>
  <c r="J1860" i="773"/>
  <c r="H1860" i="773"/>
  <c r="K1860" i="773" s="1"/>
  <c r="J1859" i="773"/>
  <c r="H1859" i="773"/>
  <c r="J1858" i="773"/>
  <c r="H1858" i="773"/>
  <c r="J1857" i="773"/>
  <c r="H1857" i="773"/>
  <c r="J1856" i="773"/>
  <c r="H1856" i="773"/>
  <c r="K1856" i="773" s="1"/>
  <c r="J1855" i="773"/>
  <c r="K1855" i="773" s="1"/>
  <c r="H1855" i="773"/>
  <c r="J1854" i="773"/>
  <c r="H1854" i="773"/>
  <c r="J1853" i="773"/>
  <c r="H1853" i="773"/>
  <c r="J1852" i="773"/>
  <c r="H1852" i="773"/>
  <c r="K1852" i="773" s="1"/>
  <c r="J1851" i="773"/>
  <c r="H1851" i="773"/>
  <c r="J1850" i="773"/>
  <c r="H1850" i="773"/>
  <c r="K1850" i="773" s="1"/>
  <c r="J1849" i="773"/>
  <c r="H1849" i="773"/>
  <c r="J1847" i="773"/>
  <c r="H1847" i="773"/>
  <c r="J1846" i="773"/>
  <c r="H1846" i="773"/>
  <c r="J1845" i="773"/>
  <c r="H1845" i="773"/>
  <c r="J1844" i="773"/>
  <c r="H1844" i="773"/>
  <c r="J1843" i="773"/>
  <c r="H1843" i="773"/>
  <c r="J1842" i="773"/>
  <c r="K1842" i="773" s="1"/>
  <c r="H1842" i="773"/>
  <c r="J1841" i="773"/>
  <c r="H1841" i="773"/>
  <c r="J1840" i="773"/>
  <c r="H1840" i="773"/>
  <c r="J1839" i="773"/>
  <c r="H1839" i="773"/>
  <c r="K1839" i="773" s="1"/>
  <c r="J1835" i="773"/>
  <c r="H1835" i="773"/>
  <c r="J1834" i="773"/>
  <c r="H1834" i="773"/>
  <c r="K1834" i="773" s="1"/>
  <c r="J1833" i="773"/>
  <c r="H1833" i="773"/>
  <c r="J1832" i="773"/>
  <c r="H1832" i="773"/>
  <c r="J1831" i="773"/>
  <c r="K1831" i="773" s="1"/>
  <c r="H1831" i="773"/>
  <c r="J1830" i="773"/>
  <c r="H1830" i="773"/>
  <c r="K1830" i="773" s="1"/>
  <c r="J1829" i="773"/>
  <c r="H1829" i="773"/>
  <c r="J1828" i="773"/>
  <c r="G1828" i="773"/>
  <c r="H1828" i="773" s="1"/>
  <c r="J1827" i="773"/>
  <c r="H1827" i="773"/>
  <c r="J1826" i="773"/>
  <c r="H1826" i="773"/>
  <c r="J1825" i="773"/>
  <c r="H1825" i="773"/>
  <c r="J1824" i="773"/>
  <c r="H1824" i="773"/>
  <c r="K1824" i="773" s="1"/>
  <c r="J1823" i="773"/>
  <c r="H1823" i="773"/>
  <c r="J1822" i="773"/>
  <c r="H1822" i="773"/>
  <c r="K1822" i="773" s="1"/>
  <c r="J1820" i="773"/>
  <c r="H1820" i="773"/>
  <c r="J1819" i="773"/>
  <c r="H1819" i="773"/>
  <c r="K1819" i="773" s="1"/>
  <c r="J1818" i="773"/>
  <c r="H1818" i="773"/>
  <c r="J1817" i="773"/>
  <c r="H1817" i="773"/>
  <c r="K1817" i="773" s="1"/>
  <c r="J1816" i="773"/>
  <c r="H1816" i="773"/>
  <c r="J1815" i="773"/>
  <c r="H1815" i="773"/>
  <c r="K1815" i="773" s="1"/>
  <c r="J1814" i="773"/>
  <c r="H1814" i="773"/>
  <c r="J1813" i="773"/>
  <c r="H1813" i="773"/>
  <c r="K1813" i="773" s="1"/>
  <c r="K1812" i="773"/>
  <c r="J1812" i="773"/>
  <c r="H1812" i="773"/>
  <c r="J1811" i="773"/>
  <c r="H1811" i="773"/>
  <c r="K1811" i="773" s="1"/>
  <c r="J1809" i="773"/>
  <c r="H1809" i="773"/>
  <c r="J1807" i="773"/>
  <c r="H1807" i="773"/>
  <c r="J1806" i="773"/>
  <c r="H1806" i="773"/>
  <c r="J1805" i="773"/>
  <c r="H1805" i="773"/>
  <c r="J1804" i="773"/>
  <c r="H1804" i="773"/>
  <c r="J1803" i="773"/>
  <c r="H1803" i="773"/>
  <c r="J1802" i="773"/>
  <c r="H1802" i="773"/>
  <c r="J1800" i="773"/>
  <c r="H1800" i="773"/>
  <c r="J1799" i="773"/>
  <c r="H1799" i="773"/>
  <c r="J1798" i="773"/>
  <c r="H1798" i="773"/>
  <c r="K1798" i="773" s="1"/>
  <c r="J1797" i="773"/>
  <c r="H1797" i="773"/>
  <c r="J1796" i="773"/>
  <c r="H1796" i="773"/>
  <c r="K1796" i="773" s="1"/>
  <c r="J1795" i="773"/>
  <c r="H1795" i="773"/>
  <c r="J1794" i="773"/>
  <c r="H1794" i="773"/>
  <c r="K1794" i="773" s="1"/>
  <c r="J1793" i="773"/>
  <c r="H1793" i="773"/>
  <c r="J1792" i="773"/>
  <c r="H1792" i="773"/>
  <c r="J1791" i="773"/>
  <c r="H1791" i="773"/>
  <c r="J1790" i="773"/>
  <c r="H1790" i="773"/>
  <c r="J1789" i="773"/>
  <c r="H1789" i="773"/>
  <c r="J1787" i="773"/>
  <c r="H1787" i="773"/>
  <c r="J1786" i="773"/>
  <c r="K1786" i="773" s="1"/>
  <c r="H1786" i="773"/>
  <c r="J1785" i="773"/>
  <c r="H1785" i="773"/>
  <c r="K1785" i="773" s="1"/>
  <c r="J1784" i="773"/>
  <c r="K1784" i="773" s="1"/>
  <c r="H1784" i="773"/>
  <c r="J1783" i="773"/>
  <c r="H1783" i="773"/>
  <c r="K1783" i="773" s="1"/>
  <c r="J1782" i="773"/>
  <c r="H1782" i="773"/>
  <c r="J1781" i="773"/>
  <c r="H1781" i="773"/>
  <c r="J1780" i="773"/>
  <c r="H1780" i="773"/>
  <c r="J1779" i="773"/>
  <c r="H1779" i="773"/>
  <c r="K1779" i="773" s="1"/>
  <c r="J1776" i="773"/>
  <c r="H1776" i="773"/>
  <c r="J1775" i="773"/>
  <c r="H1775" i="773"/>
  <c r="J1774" i="773"/>
  <c r="H1774" i="773"/>
  <c r="J1773" i="773"/>
  <c r="H1773" i="773"/>
  <c r="J1772" i="773"/>
  <c r="H1772" i="773"/>
  <c r="J1771" i="773"/>
  <c r="H1771" i="773"/>
  <c r="J1770" i="773"/>
  <c r="H1770" i="773"/>
  <c r="J1769" i="773"/>
  <c r="G1769" i="773"/>
  <c r="H1769" i="773" s="1"/>
  <c r="J1768" i="773"/>
  <c r="H1768" i="773"/>
  <c r="J1767" i="773"/>
  <c r="H1767" i="773"/>
  <c r="J1766" i="773"/>
  <c r="H1766" i="773"/>
  <c r="J1765" i="773"/>
  <c r="H1765" i="773"/>
  <c r="J1764" i="773"/>
  <c r="H1764" i="773"/>
  <c r="J1763" i="773"/>
  <c r="H1763" i="773"/>
  <c r="J1761" i="773"/>
  <c r="H1761" i="773"/>
  <c r="J1760" i="773"/>
  <c r="H1760" i="773"/>
  <c r="J1759" i="773"/>
  <c r="H1759" i="773"/>
  <c r="J1758" i="773"/>
  <c r="H1758" i="773"/>
  <c r="J1757" i="773"/>
  <c r="H1757" i="773"/>
  <c r="J1756" i="773"/>
  <c r="H1756" i="773"/>
  <c r="J1755" i="773"/>
  <c r="H1755" i="773"/>
  <c r="J1754" i="773"/>
  <c r="H1754" i="773"/>
  <c r="J1753" i="773"/>
  <c r="H1753" i="773"/>
  <c r="J1752" i="773"/>
  <c r="H1752" i="773"/>
  <c r="J1750" i="773"/>
  <c r="H1750" i="773"/>
  <c r="J1748" i="773"/>
  <c r="H1748" i="773"/>
  <c r="J1747" i="773"/>
  <c r="H1747" i="773"/>
  <c r="J1746" i="773"/>
  <c r="H1746" i="773"/>
  <c r="J1745" i="773"/>
  <c r="H1745" i="773"/>
  <c r="J1744" i="773"/>
  <c r="H1744" i="773"/>
  <c r="J1743" i="773"/>
  <c r="H1743" i="773"/>
  <c r="J1741" i="773"/>
  <c r="H1741" i="773"/>
  <c r="J1740" i="773"/>
  <c r="H1740" i="773"/>
  <c r="J1739" i="773"/>
  <c r="H1739" i="773"/>
  <c r="J1738" i="773"/>
  <c r="H1738" i="773"/>
  <c r="J1737" i="773"/>
  <c r="H1737" i="773"/>
  <c r="J1736" i="773"/>
  <c r="H1736" i="773"/>
  <c r="J1735" i="773"/>
  <c r="H1735" i="773"/>
  <c r="J1734" i="773"/>
  <c r="H1734" i="773"/>
  <c r="J1733" i="773"/>
  <c r="H1733" i="773"/>
  <c r="J1732" i="773"/>
  <c r="H1732" i="773"/>
  <c r="J1731" i="773"/>
  <c r="H1731" i="773"/>
  <c r="J1730" i="773"/>
  <c r="H1730" i="773"/>
  <c r="J1728" i="773"/>
  <c r="H1728" i="773"/>
  <c r="J1727" i="773"/>
  <c r="H1727" i="773"/>
  <c r="J1726" i="773"/>
  <c r="H1726" i="773"/>
  <c r="J1725" i="773"/>
  <c r="H1725" i="773"/>
  <c r="J1724" i="773"/>
  <c r="H1724" i="773"/>
  <c r="J1723" i="773"/>
  <c r="H1723" i="773"/>
  <c r="J1722" i="773"/>
  <c r="H1722" i="773"/>
  <c r="J1721" i="773"/>
  <c r="H1721" i="773"/>
  <c r="J1720" i="773"/>
  <c r="H1720" i="773"/>
  <c r="M1717" i="773"/>
  <c r="B1717" i="773"/>
  <c r="J1715" i="773"/>
  <c r="H1715" i="773"/>
  <c r="J1714" i="773"/>
  <c r="H1714" i="773"/>
  <c r="K1714" i="773" s="1"/>
  <c r="J1712" i="773"/>
  <c r="H1712" i="773"/>
  <c r="J1710" i="773"/>
  <c r="H1710" i="773"/>
  <c r="K1710" i="773" s="1"/>
  <c r="Y1709" i="773"/>
  <c r="W1709" i="773"/>
  <c r="N1709" i="773"/>
  <c r="J1709" i="773"/>
  <c r="H1709" i="773"/>
  <c r="Y1708" i="773"/>
  <c r="W1708" i="773"/>
  <c r="J1708" i="773"/>
  <c r="H1708" i="773"/>
  <c r="Y1707" i="773"/>
  <c r="W1707" i="773"/>
  <c r="J1706" i="773"/>
  <c r="H1706" i="773"/>
  <c r="Y1705" i="773"/>
  <c r="W1705" i="773"/>
  <c r="J1705" i="773"/>
  <c r="H1705" i="773"/>
  <c r="Y1704" i="773"/>
  <c r="W1704" i="773"/>
  <c r="J1703" i="773"/>
  <c r="H1703" i="773"/>
  <c r="Y1702" i="773"/>
  <c r="W1702" i="773"/>
  <c r="J1701" i="773"/>
  <c r="H1701" i="773"/>
  <c r="Y1700" i="773"/>
  <c r="W1700" i="773"/>
  <c r="J1700" i="773"/>
  <c r="K1700" i="773" s="1"/>
  <c r="H1700" i="773"/>
  <c r="Y1699" i="773"/>
  <c r="W1699" i="773"/>
  <c r="K1699" i="773"/>
  <c r="K1698" i="773"/>
  <c r="J1697" i="773"/>
  <c r="H1697" i="773"/>
  <c r="Y1696" i="773"/>
  <c r="W1696" i="773"/>
  <c r="K1696" i="773"/>
  <c r="K1695" i="773"/>
  <c r="J1695" i="773"/>
  <c r="H1695" i="773"/>
  <c r="Y1694" i="773"/>
  <c r="W1694" i="773"/>
  <c r="B1692" i="773"/>
  <c r="J1687" i="773"/>
  <c r="H1687" i="773"/>
  <c r="J1685" i="773"/>
  <c r="H1685" i="773"/>
  <c r="J1683" i="773"/>
  <c r="H1683" i="773"/>
  <c r="J1681" i="773"/>
  <c r="H1681" i="773"/>
  <c r="E1680" i="773"/>
  <c r="J1679" i="773"/>
  <c r="H1679" i="773"/>
  <c r="J1678" i="773"/>
  <c r="H1678" i="773"/>
  <c r="K1678" i="773" s="1"/>
  <c r="J1677" i="773"/>
  <c r="K1677" i="773" s="1"/>
  <c r="H1677" i="773"/>
  <c r="J1676" i="773"/>
  <c r="H1676" i="773"/>
  <c r="E1675" i="773"/>
  <c r="H1675" i="773" s="1"/>
  <c r="J1674" i="773"/>
  <c r="H1674" i="773"/>
  <c r="K1674" i="773" s="1"/>
  <c r="E1673" i="773"/>
  <c r="J1672" i="773"/>
  <c r="H1672" i="773"/>
  <c r="J1671" i="773"/>
  <c r="H1671" i="773"/>
  <c r="J1670" i="773"/>
  <c r="H1670" i="773"/>
  <c r="J1667" i="773"/>
  <c r="H1667" i="773"/>
  <c r="J1665" i="773"/>
  <c r="H1665" i="773"/>
  <c r="J1663" i="773"/>
  <c r="H1663" i="773"/>
  <c r="J1661" i="773"/>
  <c r="H1661" i="773"/>
  <c r="E1660" i="773"/>
  <c r="J1660" i="773" s="1"/>
  <c r="J1659" i="773"/>
  <c r="H1659" i="773"/>
  <c r="J1658" i="773"/>
  <c r="H1658" i="773"/>
  <c r="J1657" i="773"/>
  <c r="K1657" i="773" s="1"/>
  <c r="H1657" i="773"/>
  <c r="J1656" i="773"/>
  <c r="H1656" i="773"/>
  <c r="K1656" i="773" s="1"/>
  <c r="H1655" i="773"/>
  <c r="K1655" i="773" s="1"/>
  <c r="E1655" i="773"/>
  <c r="J1655" i="773" s="1"/>
  <c r="J1654" i="773"/>
  <c r="H1654" i="773"/>
  <c r="E1653" i="773"/>
  <c r="H1653" i="773" s="1"/>
  <c r="E1652" i="773"/>
  <c r="H1652" i="773" s="1"/>
  <c r="J1650" i="773"/>
  <c r="H1650" i="773"/>
  <c r="J1649" i="773"/>
  <c r="H1649" i="773"/>
  <c r="J1645" i="773"/>
  <c r="H1645" i="773"/>
  <c r="J1643" i="773"/>
  <c r="H1643" i="773"/>
  <c r="J1641" i="773"/>
  <c r="H1641" i="773"/>
  <c r="J1639" i="773"/>
  <c r="H1639" i="773"/>
  <c r="E1638" i="773"/>
  <c r="J1637" i="773"/>
  <c r="H1637" i="773"/>
  <c r="J1636" i="773"/>
  <c r="H1636" i="773"/>
  <c r="J1635" i="773"/>
  <c r="H1635" i="773"/>
  <c r="J1634" i="773"/>
  <c r="H1634" i="773"/>
  <c r="E1633" i="773"/>
  <c r="J1632" i="773"/>
  <c r="H1632" i="773"/>
  <c r="E1631" i="773"/>
  <c r="H1631" i="773" s="1"/>
  <c r="J1630" i="773"/>
  <c r="H1630" i="773"/>
  <c r="J1629" i="773"/>
  <c r="H1629" i="773"/>
  <c r="J1628" i="773"/>
  <c r="H1628" i="773"/>
  <c r="J1625" i="773"/>
  <c r="H1625" i="773"/>
  <c r="K1622" i="773"/>
  <c r="J1622" i="773"/>
  <c r="H1622" i="773"/>
  <c r="J1620" i="773"/>
  <c r="H1620" i="773"/>
  <c r="J1618" i="773"/>
  <c r="H1618" i="773"/>
  <c r="E1617" i="773"/>
  <c r="J1616" i="773"/>
  <c r="H1616" i="773"/>
  <c r="J1615" i="773"/>
  <c r="H1615" i="773"/>
  <c r="J1614" i="773"/>
  <c r="H1614" i="773"/>
  <c r="J1613" i="773"/>
  <c r="H1613" i="773"/>
  <c r="E1612" i="773"/>
  <c r="J1611" i="773"/>
  <c r="H1611" i="773"/>
  <c r="E1610" i="773"/>
  <c r="J1609" i="773"/>
  <c r="K1609" i="773" s="1"/>
  <c r="H1609" i="773"/>
  <c r="J1608" i="773"/>
  <c r="H1608" i="773"/>
  <c r="J1607" i="773"/>
  <c r="H1607" i="773"/>
  <c r="J1604" i="773"/>
  <c r="H1604" i="773"/>
  <c r="J1602" i="773"/>
  <c r="H1602" i="773"/>
  <c r="J1600" i="773"/>
  <c r="H1600" i="773"/>
  <c r="J1598" i="773"/>
  <c r="H1598" i="773"/>
  <c r="E1597" i="773"/>
  <c r="J1597" i="773" s="1"/>
  <c r="J1596" i="773"/>
  <c r="H1596" i="773"/>
  <c r="J1595" i="773"/>
  <c r="H1595" i="773"/>
  <c r="J1594" i="773"/>
  <c r="H1594" i="773"/>
  <c r="J1593" i="773"/>
  <c r="H1593" i="773"/>
  <c r="K1593" i="773" s="1"/>
  <c r="E1592" i="773"/>
  <c r="J1592" i="773" s="1"/>
  <c r="J1591" i="773"/>
  <c r="H1591" i="773"/>
  <c r="E1590" i="773"/>
  <c r="H1590" i="773" s="1"/>
  <c r="J1589" i="773"/>
  <c r="H1589" i="773"/>
  <c r="J1588" i="773"/>
  <c r="H1588" i="773"/>
  <c r="J1587" i="773"/>
  <c r="H1587" i="773"/>
  <c r="J1584" i="773"/>
  <c r="H1584" i="773"/>
  <c r="J1582" i="773"/>
  <c r="H1582" i="773"/>
  <c r="J1580" i="773"/>
  <c r="K1580" i="773" s="1"/>
  <c r="H1580" i="773"/>
  <c r="J1578" i="773"/>
  <c r="H1578" i="773"/>
  <c r="E1577" i="773"/>
  <c r="H1577" i="773" s="1"/>
  <c r="J1576" i="773"/>
  <c r="H1576" i="773"/>
  <c r="J1575" i="773"/>
  <c r="H1575" i="773"/>
  <c r="J1574" i="773"/>
  <c r="H1574" i="773"/>
  <c r="J1573" i="773"/>
  <c r="H1573" i="773"/>
  <c r="E1572" i="773"/>
  <c r="J1571" i="773"/>
  <c r="H1571" i="773"/>
  <c r="K1571" i="773" s="1"/>
  <c r="E1570" i="773"/>
  <c r="J1570" i="773" s="1"/>
  <c r="J1569" i="773"/>
  <c r="H1569" i="773"/>
  <c r="J1568" i="773"/>
  <c r="H1568" i="773"/>
  <c r="J1567" i="773"/>
  <c r="H1567" i="773"/>
  <c r="J1564" i="773"/>
  <c r="H1564" i="773"/>
  <c r="K1564" i="773" s="1"/>
  <c r="K1562" i="773"/>
  <c r="J1562" i="773"/>
  <c r="H1562" i="773"/>
  <c r="J1560" i="773"/>
  <c r="H1560" i="773"/>
  <c r="K1560" i="773" s="1"/>
  <c r="J1558" i="773"/>
  <c r="H1558" i="773"/>
  <c r="E1557" i="773"/>
  <c r="J1556" i="773"/>
  <c r="H1556" i="773"/>
  <c r="J1555" i="773"/>
  <c r="H1555" i="773"/>
  <c r="K1555" i="773" s="1"/>
  <c r="J1554" i="773"/>
  <c r="H1554" i="773"/>
  <c r="J1553" i="773"/>
  <c r="H1553" i="773"/>
  <c r="E1552" i="773"/>
  <c r="J1552" i="773" s="1"/>
  <c r="J1551" i="773"/>
  <c r="H1551" i="773"/>
  <c r="K1551" i="773" s="1"/>
  <c r="E1550" i="773"/>
  <c r="J1549" i="773"/>
  <c r="H1549" i="773"/>
  <c r="J1548" i="773"/>
  <c r="H1548" i="773"/>
  <c r="K1548" i="773" s="1"/>
  <c r="J1547" i="773"/>
  <c r="H1547" i="773"/>
  <c r="J1544" i="773"/>
  <c r="H1544" i="773"/>
  <c r="J1541" i="773"/>
  <c r="K1541" i="773" s="1"/>
  <c r="H1541" i="773"/>
  <c r="J1539" i="773"/>
  <c r="H1539" i="773"/>
  <c r="J1537" i="773"/>
  <c r="H1537" i="773"/>
  <c r="E1536" i="773"/>
  <c r="J1535" i="773"/>
  <c r="H1535" i="773"/>
  <c r="J1534" i="773"/>
  <c r="H1534" i="773"/>
  <c r="K1534" i="773" s="1"/>
  <c r="J1533" i="773"/>
  <c r="H1533" i="773"/>
  <c r="J1532" i="773"/>
  <c r="H1532" i="773"/>
  <c r="E1531" i="773"/>
  <c r="J1530" i="773"/>
  <c r="H1530" i="773"/>
  <c r="E1529" i="773"/>
  <c r="J1528" i="773"/>
  <c r="H1528" i="773"/>
  <c r="J1527" i="773"/>
  <c r="H1527" i="773"/>
  <c r="J1526" i="773"/>
  <c r="H1526" i="773"/>
  <c r="J1523" i="773"/>
  <c r="H1523" i="773"/>
  <c r="J1521" i="773"/>
  <c r="H1521" i="773"/>
  <c r="J1519" i="773"/>
  <c r="H1519" i="773"/>
  <c r="J1517" i="773"/>
  <c r="H1517" i="773"/>
  <c r="E1516" i="773"/>
  <c r="J1515" i="773"/>
  <c r="H1515" i="773"/>
  <c r="J1514" i="773"/>
  <c r="H1514" i="773"/>
  <c r="J1513" i="773"/>
  <c r="H1513" i="773"/>
  <c r="K1513" i="773" s="1"/>
  <c r="J1512" i="773"/>
  <c r="H1512" i="773"/>
  <c r="K1512" i="773" s="1"/>
  <c r="E1511" i="773"/>
  <c r="J1511" i="773" s="1"/>
  <c r="J1510" i="773"/>
  <c r="H1510" i="773"/>
  <c r="K1510" i="773" s="1"/>
  <c r="E1509" i="773"/>
  <c r="J1508" i="773"/>
  <c r="H1508" i="773"/>
  <c r="J1507" i="773"/>
  <c r="H1507" i="773"/>
  <c r="J1506" i="773"/>
  <c r="H1506" i="773"/>
  <c r="J1503" i="773"/>
  <c r="H1503" i="773"/>
  <c r="J1501" i="773"/>
  <c r="H1501" i="773"/>
  <c r="J1499" i="773"/>
  <c r="H1499" i="773"/>
  <c r="J1497" i="773"/>
  <c r="H1497" i="773"/>
  <c r="E1496" i="773"/>
  <c r="H1496" i="773" s="1"/>
  <c r="J1495" i="773"/>
  <c r="H1495" i="773"/>
  <c r="J1494" i="773"/>
  <c r="H1494" i="773"/>
  <c r="K1494" i="773" s="1"/>
  <c r="J1493" i="773"/>
  <c r="H1493" i="773"/>
  <c r="K1493" i="773" s="1"/>
  <c r="J1492" i="773"/>
  <c r="H1492" i="773"/>
  <c r="K1492" i="773" s="1"/>
  <c r="E1491" i="773"/>
  <c r="H1491" i="773" s="1"/>
  <c r="J1490" i="773"/>
  <c r="H1490" i="773"/>
  <c r="J1488" i="773"/>
  <c r="E1488" i="773"/>
  <c r="H1488" i="773" s="1"/>
  <c r="J1487" i="773"/>
  <c r="H1487" i="773"/>
  <c r="J1486" i="773"/>
  <c r="H1486" i="773"/>
  <c r="J1485" i="773"/>
  <c r="H1485" i="773"/>
  <c r="J1482" i="773"/>
  <c r="H1482" i="773"/>
  <c r="J1480" i="773"/>
  <c r="H1480" i="773"/>
  <c r="J1478" i="773"/>
  <c r="H1478" i="773"/>
  <c r="J1476" i="773"/>
  <c r="K1476" i="773" s="1"/>
  <c r="H1476" i="773"/>
  <c r="E1475" i="773"/>
  <c r="J1475" i="773" s="1"/>
  <c r="J1474" i="773"/>
  <c r="H1474" i="773"/>
  <c r="K1474" i="773" s="1"/>
  <c r="J1473" i="773"/>
  <c r="H1473" i="773"/>
  <c r="J1472" i="773"/>
  <c r="H1472" i="773"/>
  <c r="J1471" i="773"/>
  <c r="H1471" i="773"/>
  <c r="E1470" i="773"/>
  <c r="J1470" i="773" s="1"/>
  <c r="J1469" i="773"/>
  <c r="K1469" i="773" s="1"/>
  <c r="H1469" i="773"/>
  <c r="E1468" i="773"/>
  <c r="J1467" i="773"/>
  <c r="H1467" i="773"/>
  <c r="J1466" i="773"/>
  <c r="H1466" i="773"/>
  <c r="J1465" i="773"/>
  <c r="H1465" i="773"/>
  <c r="B1462" i="773"/>
  <c r="J1448" i="773"/>
  <c r="H1448" i="773"/>
  <c r="I1447" i="773"/>
  <c r="J1447" i="773" s="1"/>
  <c r="G1447" i="773"/>
  <c r="H1447" i="773" s="1"/>
  <c r="J1445" i="773"/>
  <c r="H1445" i="773"/>
  <c r="J1442" i="773"/>
  <c r="H1442" i="773"/>
  <c r="J1441" i="773"/>
  <c r="H1441" i="773"/>
  <c r="J1439" i="773"/>
  <c r="H1439" i="773"/>
  <c r="J1437" i="773"/>
  <c r="H1437" i="773"/>
  <c r="J1435" i="773"/>
  <c r="H1435" i="773"/>
  <c r="J1433" i="773"/>
  <c r="H1433" i="773"/>
  <c r="J1432" i="773"/>
  <c r="H1432" i="773"/>
  <c r="J1430" i="773"/>
  <c r="H1430" i="773"/>
  <c r="J1428" i="773"/>
  <c r="H1428" i="773"/>
  <c r="J1427" i="773"/>
  <c r="H1427" i="773"/>
  <c r="J1425" i="773"/>
  <c r="H1425" i="773"/>
  <c r="J1424" i="773"/>
  <c r="H1424" i="773"/>
  <c r="K1422" i="773"/>
  <c r="J1422" i="773"/>
  <c r="H1422" i="773"/>
  <c r="J1420" i="773"/>
  <c r="H1420" i="773"/>
  <c r="K1420" i="773" s="1"/>
  <c r="J1419" i="773"/>
  <c r="H1419" i="773"/>
  <c r="J1418" i="773"/>
  <c r="H1418" i="773"/>
  <c r="K1418" i="773" s="1"/>
  <c r="J1417" i="773"/>
  <c r="H1417" i="773"/>
  <c r="J1416" i="773"/>
  <c r="H1416" i="773"/>
  <c r="J1415" i="773"/>
  <c r="H1415" i="773"/>
  <c r="J1414" i="773"/>
  <c r="H1414" i="773"/>
  <c r="E1413" i="773"/>
  <c r="H1413" i="773" s="1"/>
  <c r="J1410" i="773"/>
  <c r="H1410" i="773"/>
  <c r="J1404" i="773"/>
  <c r="H1404" i="773"/>
  <c r="J1401" i="773"/>
  <c r="H1401" i="773"/>
  <c r="J1396" i="773"/>
  <c r="H1396" i="773"/>
  <c r="E1395" i="773"/>
  <c r="H1395" i="773" s="1"/>
  <c r="J1393" i="773"/>
  <c r="H1393" i="773"/>
  <c r="E1392" i="773"/>
  <c r="H1392" i="773" s="1"/>
  <c r="J1390" i="773"/>
  <c r="H1390" i="773"/>
  <c r="J1387" i="773"/>
  <c r="H1387" i="773"/>
  <c r="J1383" i="773"/>
  <c r="H1383" i="773"/>
  <c r="J1382" i="773"/>
  <c r="H1382" i="773"/>
  <c r="J1381" i="773"/>
  <c r="H1381" i="773"/>
  <c r="E1380" i="773"/>
  <c r="J1380" i="773" s="1"/>
  <c r="J1379" i="773"/>
  <c r="H1379" i="773"/>
  <c r="E1377" i="773"/>
  <c r="H1377" i="773" s="1"/>
  <c r="J1376" i="773"/>
  <c r="H1376" i="773"/>
  <c r="K1376" i="773" s="1"/>
  <c r="J1375" i="773"/>
  <c r="H1375" i="773"/>
  <c r="K1375" i="773" s="1"/>
  <c r="E1374" i="773"/>
  <c r="H1374" i="773" s="1"/>
  <c r="J1373" i="773"/>
  <c r="H1373" i="773"/>
  <c r="J1372" i="773"/>
  <c r="H1372" i="773"/>
  <c r="J1371" i="773"/>
  <c r="H1371" i="773"/>
  <c r="J1370" i="773"/>
  <c r="H1370" i="773"/>
  <c r="J1368" i="773"/>
  <c r="E1368" i="773"/>
  <c r="H1368" i="773" s="1"/>
  <c r="E1367" i="773"/>
  <c r="J1367" i="773" s="1"/>
  <c r="J1366" i="773"/>
  <c r="H1366" i="773"/>
  <c r="J1363" i="773"/>
  <c r="H1363" i="773"/>
  <c r="K1363" i="773" s="1"/>
  <c r="I1362" i="773"/>
  <c r="J1362" i="773" s="1"/>
  <c r="G1362" i="773"/>
  <c r="H1362" i="773" s="1"/>
  <c r="K1362" i="773" s="1"/>
  <c r="J1360" i="773"/>
  <c r="H1360" i="773"/>
  <c r="K1360" i="773" s="1"/>
  <c r="J1358" i="773"/>
  <c r="H1358" i="773"/>
  <c r="K1358" i="773" s="1"/>
  <c r="J1356" i="773"/>
  <c r="H1356" i="773"/>
  <c r="J1354" i="773"/>
  <c r="H1354" i="773"/>
  <c r="K1354" i="773" s="1"/>
  <c r="J1353" i="773"/>
  <c r="H1353" i="773"/>
  <c r="K1353" i="773" s="1"/>
  <c r="J1351" i="773"/>
  <c r="H1351" i="773"/>
  <c r="K1351" i="773" s="1"/>
  <c r="J1349" i="773"/>
  <c r="H1349" i="773"/>
  <c r="J1348" i="773"/>
  <c r="H1348" i="773"/>
  <c r="J1346" i="773"/>
  <c r="H1346" i="773"/>
  <c r="J1344" i="773"/>
  <c r="H1344" i="773"/>
  <c r="J1343" i="773"/>
  <c r="H1343" i="773"/>
  <c r="J1341" i="773"/>
  <c r="H1341" i="773"/>
  <c r="J1340" i="773"/>
  <c r="H1340" i="773"/>
  <c r="J1338" i="773"/>
  <c r="H1338" i="773"/>
  <c r="K1338" i="773" s="1"/>
  <c r="J1336" i="773"/>
  <c r="H1336" i="773"/>
  <c r="K1336" i="773" s="1"/>
  <c r="J1335" i="773"/>
  <c r="H1335" i="773"/>
  <c r="K1335" i="773" s="1"/>
  <c r="J1334" i="773"/>
  <c r="H1334" i="773"/>
  <c r="J1333" i="773"/>
  <c r="H1333" i="773"/>
  <c r="J1332" i="773"/>
  <c r="H1332" i="773"/>
  <c r="J1331" i="773"/>
  <c r="H1331" i="773"/>
  <c r="K1331" i="773" s="1"/>
  <c r="J1330" i="773"/>
  <c r="H1330" i="773"/>
  <c r="E1329" i="773"/>
  <c r="J1329" i="773" s="1"/>
  <c r="J1326" i="773"/>
  <c r="H1326" i="773"/>
  <c r="K1326" i="773" s="1"/>
  <c r="J1323" i="773"/>
  <c r="H1323" i="773"/>
  <c r="J1318" i="773"/>
  <c r="H1318" i="773"/>
  <c r="J1314" i="773"/>
  <c r="K1314" i="773" s="1"/>
  <c r="H1314" i="773"/>
  <c r="E1313" i="773"/>
  <c r="J1313" i="773" s="1"/>
  <c r="J1311" i="773"/>
  <c r="K1311" i="773" s="1"/>
  <c r="H1311" i="773"/>
  <c r="E1310" i="773"/>
  <c r="J1310" i="773" s="1"/>
  <c r="J1308" i="773"/>
  <c r="H1308" i="773"/>
  <c r="J1305" i="773"/>
  <c r="H1305" i="773"/>
  <c r="J1302" i="773"/>
  <c r="H1302" i="773"/>
  <c r="J1301" i="773"/>
  <c r="H1301" i="773"/>
  <c r="K1301" i="773" s="1"/>
  <c r="J1300" i="773"/>
  <c r="H1300" i="773"/>
  <c r="E1299" i="773"/>
  <c r="H1299" i="773" s="1"/>
  <c r="J1298" i="773"/>
  <c r="H1298" i="773"/>
  <c r="E1297" i="773"/>
  <c r="J1296" i="773"/>
  <c r="H1296" i="773"/>
  <c r="J1295" i="773"/>
  <c r="H1295" i="773"/>
  <c r="E1294" i="773"/>
  <c r="J1294" i="773" s="1"/>
  <c r="J1293" i="773"/>
  <c r="H1293" i="773"/>
  <c r="J1292" i="773"/>
  <c r="H1292" i="773"/>
  <c r="J1291" i="773"/>
  <c r="H1291" i="773"/>
  <c r="J1290" i="773"/>
  <c r="H1290" i="773"/>
  <c r="E1288" i="773"/>
  <c r="H1288" i="773" s="1"/>
  <c r="E1287" i="773"/>
  <c r="J1286" i="773"/>
  <c r="H1286" i="773"/>
  <c r="K1286" i="773" s="1"/>
  <c r="J1283" i="773"/>
  <c r="H1283" i="773"/>
  <c r="I1282" i="773"/>
  <c r="J1282" i="773" s="1"/>
  <c r="G1282" i="773"/>
  <c r="H1282" i="773" s="1"/>
  <c r="J1280" i="773"/>
  <c r="H1280" i="773"/>
  <c r="J1278" i="773"/>
  <c r="H1278" i="773"/>
  <c r="K1278" i="773" s="1"/>
  <c r="J1277" i="773"/>
  <c r="H1277" i="773"/>
  <c r="J1275" i="773"/>
  <c r="H1275" i="773"/>
  <c r="J1274" i="773"/>
  <c r="H1274" i="773"/>
  <c r="J1272" i="773"/>
  <c r="H1272" i="773"/>
  <c r="J1271" i="773"/>
  <c r="H1271" i="773"/>
  <c r="J1270" i="773"/>
  <c r="H1270" i="773"/>
  <c r="K1270" i="773" s="1"/>
  <c r="J1268" i="773"/>
  <c r="H1268" i="773"/>
  <c r="J1265" i="773"/>
  <c r="H1265" i="773"/>
  <c r="J1264" i="773"/>
  <c r="H1264" i="773"/>
  <c r="J1262" i="773"/>
  <c r="H1262" i="773"/>
  <c r="J1261" i="773"/>
  <c r="H1261" i="773"/>
  <c r="J1259" i="773"/>
  <c r="H1259" i="773"/>
  <c r="J1256" i="773"/>
  <c r="H1256" i="773"/>
  <c r="J1255" i="773"/>
  <c r="H1255" i="773"/>
  <c r="K1255" i="773" s="1"/>
  <c r="J1254" i="773"/>
  <c r="H1254" i="773"/>
  <c r="J1253" i="773"/>
  <c r="H1253" i="773"/>
  <c r="K1253" i="773" s="1"/>
  <c r="J1252" i="773"/>
  <c r="H1252" i="773"/>
  <c r="J1251" i="773"/>
  <c r="H1251" i="773"/>
  <c r="J1250" i="773"/>
  <c r="H1250" i="773"/>
  <c r="E1249" i="773"/>
  <c r="H1249" i="773" s="1"/>
  <c r="J1246" i="773"/>
  <c r="H1246" i="773"/>
  <c r="J1243" i="773"/>
  <c r="H1243" i="773"/>
  <c r="K1240" i="773"/>
  <c r="J1240" i="773"/>
  <c r="H1240" i="773"/>
  <c r="J1233" i="773"/>
  <c r="H1233" i="773"/>
  <c r="E1232" i="773"/>
  <c r="H1232" i="773" s="1"/>
  <c r="J1230" i="773"/>
  <c r="H1230" i="773"/>
  <c r="E1229" i="773"/>
  <c r="H1229" i="773" s="1"/>
  <c r="J1227" i="773"/>
  <c r="H1227" i="773"/>
  <c r="J1224" i="773"/>
  <c r="H1224" i="773"/>
  <c r="J1221" i="773"/>
  <c r="H1221" i="773"/>
  <c r="J1219" i="773"/>
  <c r="H1219" i="773"/>
  <c r="J1218" i="773"/>
  <c r="H1218" i="773"/>
  <c r="H1217" i="773"/>
  <c r="E1217" i="773"/>
  <c r="J1217" i="773" s="1"/>
  <c r="J1216" i="773"/>
  <c r="H1216" i="773"/>
  <c r="E1215" i="773"/>
  <c r="J1214" i="773"/>
  <c r="H1214" i="773"/>
  <c r="J1213" i="773"/>
  <c r="H1213" i="773"/>
  <c r="J1212" i="773"/>
  <c r="E1212" i="773"/>
  <c r="H1212" i="773" s="1"/>
  <c r="J1211" i="773"/>
  <c r="H1211" i="773"/>
  <c r="J1208" i="773"/>
  <c r="H1208" i="773"/>
  <c r="J1207" i="773"/>
  <c r="H1207" i="773"/>
  <c r="J1206" i="773"/>
  <c r="H1206" i="773"/>
  <c r="E1204" i="773"/>
  <c r="J1204" i="773" s="1"/>
  <c r="E1203" i="773"/>
  <c r="H1203" i="773" s="1"/>
  <c r="J1202" i="773"/>
  <c r="H1202" i="773"/>
  <c r="J1199" i="773"/>
  <c r="H1199" i="773"/>
  <c r="I1198" i="773"/>
  <c r="J1198" i="773" s="1"/>
  <c r="G1198" i="773"/>
  <c r="H1198" i="773" s="1"/>
  <c r="J1196" i="773"/>
  <c r="H1196" i="773"/>
  <c r="K1196" i="773" s="1"/>
  <c r="J1194" i="773"/>
  <c r="H1194" i="773"/>
  <c r="J1193" i="773"/>
  <c r="H1193" i="773"/>
  <c r="J1191" i="773"/>
  <c r="H1191" i="773"/>
  <c r="J1190" i="773"/>
  <c r="H1190" i="773"/>
  <c r="J1188" i="773"/>
  <c r="K1188" i="773" s="1"/>
  <c r="H1188" i="773"/>
  <c r="J1187" i="773"/>
  <c r="H1187" i="773"/>
  <c r="K1187" i="773" s="1"/>
  <c r="J1186" i="773"/>
  <c r="H1186" i="773"/>
  <c r="J1184" i="773"/>
  <c r="H1184" i="773"/>
  <c r="J1181" i="773"/>
  <c r="H1181" i="773"/>
  <c r="J1180" i="773"/>
  <c r="H1180" i="773"/>
  <c r="J1178" i="773"/>
  <c r="H1178" i="773"/>
  <c r="J1177" i="773"/>
  <c r="H1177" i="773"/>
  <c r="J1175" i="773"/>
  <c r="H1175" i="773"/>
  <c r="J1173" i="773"/>
  <c r="H1173" i="773"/>
  <c r="J1172" i="773"/>
  <c r="H1172" i="773"/>
  <c r="J1171" i="773"/>
  <c r="H1171" i="773"/>
  <c r="J1170" i="773"/>
  <c r="H1170" i="773"/>
  <c r="J1169" i="773"/>
  <c r="H1169" i="773"/>
  <c r="J1168" i="773"/>
  <c r="H1168" i="773"/>
  <c r="J1167" i="773"/>
  <c r="H1167" i="773"/>
  <c r="E1166" i="773"/>
  <c r="J1166" i="773" s="1"/>
  <c r="J1163" i="773"/>
  <c r="H1163" i="773"/>
  <c r="K1163" i="773" s="1"/>
  <c r="J1160" i="773"/>
  <c r="H1160" i="773"/>
  <c r="J1157" i="773"/>
  <c r="H1157" i="773"/>
  <c r="K1157" i="773" s="1"/>
  <c r="J1152" i="773"/>
  <c r="H1152" i="773"/>
  <c r="H1151" i="773"/>
  <c r="E1151" i="773"/>
  <c r="J1151" i="773" s="1"/>
  <c r="J1149" i="773"/>
  <c r="H1149" i="773"/>
  <c r="E1148" i="773"/>
  <c r="H1148" i="773" s="1"/>
  <c r="J1146" i="773"/>
  <c r="H1146" i="773"/>
  <c r="J1142" i="773"/>
  <c r="H1142" i="773"/>
  <c r="J1139" i="773"/>
  <c r="H1139" i="773"/>
  <c r="J1138" i="773"/>
  <c r="H1138" i="773"/>
  <c r="J1137" i="773"/>
  <c r="H1137" i="773"/>
  <c r="E1136" i="773"/>
  <c r="J1136" i="773" s="1"/>
  <c r="J1135" i="773"/>
  <c r="H1135" i="773"/>
  <c r="E1134" i="773"/>
  <c r="H1134" i="773" s="1"/>
  <c r="J1133" i="773"/>
  <c r="K1133" i="773" s="1"/>
  <c r="H1133" i="773"/>
  <c r="J1132" i="773"/>
  <c r="H1132" i="773"/>
  <c r="H1131" i="773"/>
  <c r="E1131" i="773"/>
  <c r="J1131" i="773" s="1"/>
  <c r="J1130" i="773"/>
  <c r="H1130" i="773"/>
  <c r="J1129" i="773"/>
  <c r="H1129" i="773"/>
  <c r="J1128" i="773"/>
  <c r="H1128" i="773"/>
  <c r="J1127" i="773"/>
  <c r="H1127" i="773"/>
  <c r="E1125" i="773"/>
  <c r="E1124" i="773"/>
  <c r="E1126" i="773" s="1"/>
  <c r="J1123" i="773"/>
  <c r="H1123" i="773"/>
  <c r="J1120" i="773"/>
  <c r="H1120" i="773"/>
  <c r="K1120" i="773" s="1"/>
  <c r="I1119" i="773"/>
  <c r="J1119" i="773" s="1"/>
  <c r="G1119" i="773"/>
  <c r="H1119" i="773" s="1"/>
  <c r="J1117" i="773"/>
  <c r="H1117" i="773"/>
  <c r="K1117" i="773" s="1"/>
  <c r="J1115" i="773"/>
  <c r="H1115" i="773"/>
  <c r="J1114" i="773"/>
  <c r="H1114" i="773"/>
  <c r="J1112" i="773"/>
  <c r="H1112" i="773"/>
  <c r="J1111" i="773"/>
  <c r="H1111" i="773"/>
  <c r="J1109" i="773"/>
  <c r="H1109" i="773"/>
  <c r="J1108" i="773"/>
  <c r="H1108" i="773"/>
  <c r="J1107" i="773"/>
  <c r="H1107" i="773"/>
  <c r="J1105" i="773"/>
  <c r="H1105" i="773"/>
  <c r="K1105" i="773" s="1"/>
  <c r="J1103" i="773"/>
  <c r="K1103" i="773" s="1"/>
  <c r="H1103" i="773"/>
  <c r="J1102" i="773"/>
  <c r="H1102" i="773"/>
  <c r="K1102" i="773" s="1"/>
  <c r="J1100" i="773"/>
  <c r="H1100" i="773"/>
  <c r="J1099" i="773"/>
  <c r="H1099" i="773"/>
  <c r="J1097" i="773"/>
  <c r="H1097" i="773"/>
  <c r="J1095" i="773"/>
  <c r="H1095" i="773"/>
  <c r="K1095" i="773" s="1"/>
  <c r="J1094" i="773"/>
  <c r="H1094" i="773"/>
  <c r="J1093" i="773"/>
  <c r="H1093" i="773"/>
  <c r="J1092" i="773"/>
  <c r="H1092" i="773"/>
  <c r="J1091" i="773"/>
  <c r="H1091" i="773"/>
  <c r="J1090" i="773"/>
  <c r="H1090" i="773"/>
  <c r="J1089" i="773"/>
  <c r="H1089" i="773"/>
  <c r="J1088" i="773"/>
  <c r="E1088" i="773"/>
  <c r="H1088" i="773" s="1"/>
  <c r="J1085" i="773"/>
  <c r="H1085" i="773"/>
  <c r="K1085" i="773" s="1"/>
  <c r="J1082" i="773"/>
  <c r="K1082" i="773" s="1"/>
  <c r="H1082" i="773"/>
  <c r="J1079" i="773"/>
  <c r="H1079" i="773"/>
  <c r="J1075" i="773"/>
  <c r="H1075" i="773"/>
  <c r="E1074" i="773"/>
  <c r="J1074" i="773" s="1"/>
  <c r="J1072" i="773"/>
  <c r="H1072" i="773"/>
  <c r="E1070" i="773"/>
  <c r="H1070" i="773" s="1"/>
  <c r="J1068" i="773"/>
  <c r="H1068" i="773"/>
  <c r="K1068" i="773" s="1"/>
  <c r="J1065" i="773"/>
  <c r="K1065" i="773" s="1"/>
  <c r="H1065" i="773"/>
  <c r="J1062" i="773"/>
  <c r="H1062" i="773"/>
  <c r="K1062" i="773" s="1"/>
  <c r="K1061" i="773"/>
  <c r="J1061" i="773"/>
  <c r="H1061" i="773"/>
  <c r="J1060" i="773"/>
  <c r="H1060" i="773"/>
  <c r="E1059" i="773"/>
  <c r="J1059" i="773" s="1"/>
  <c r="J1058" i="773"/>
  <c r="H1058" i="773"/>
  <c r="E1057" i="773"/>
  <c r="J1056" i="773"/>
  <c r="H1056" i="773"/>
  <c r="J1055" i="773"/>
  <c r="H1055" i="773"/>
  <c r="E1054" i="773"/>
  <c r="J1053" i="773"/>
  <c r="H1053" i="773"/>
  <c r="J1052" i="773"/>
  <c r="H1052" i="773"/>
  <c r="J1051" i="773"/>
  <c r="H1051" i="773"/>
  <c r="K1051" i="773" s="1"/>
  <c r="J1050" i="773"/>
  <c r="H1050" i="773"/>
  <c r="E1048" i="773"/>
  <c r="J1048" i="773" s="1"/>
  <c r="J1047" i="773"/>
  <c r="E1047" i="773"/>
  <c r="H1047" i="773" s="1"/>
  <c r="J1046" i="773"/>
  <c r="H1046" i="773"/>
  <c r="J1041" i="773"/>
  <c r="H1041" i="773"/>
  <c r="K1041" i="773" s="1"/>
  <c r="I1040" i="773"/>
  <c r="J1040" i="773" s="1"/>
  <c r="G1040" i="773"/>
  <c r="H1040" i="773" s="1"/>
  <c r="J1038" i="773"/>
  <c r="H1038" i="773"/>
  <c r="J1035" i="773"/>
  <c r="H1035" i="773"/>
  <c r="J1034" i="773"/>
  <c r="H1034" i="773"/>
  <c r="J1032" i="773"/>
  <c r="H1032" i="773"/>
  <c r="J1031" i="773"/>
  <c r="H1031" i="773"/>
  <c r="K1031" i="773" s="1"/>
  <c r="J1029" i="773"/>
  <c r="H1029" i="773"/>
  <c r="J1028" i="773"/>
  <c r="H1028" i="773"/>
  <c r="K1028" i="773" s="1"/>
  <c r="J1027" i="773"/>
  <c r="H1027" i="773"/>
  <c r="J1025" i="773"/>
  <c r="H1025" i="773"/>
  <c r="J1023" i="773"/>
  <c r="H1023" i="773"/>
  <c r="J1022" i="773"/>
  <c r="K1022" i="773" s="1"/>
  <c r="H1022" i="773"/>
  <c r="J1020" i="773"/>
  <c r="K1020" i="773" s="1"/>
  <c r="H1020" i="773"/>
  <c r="J1019" i="773"/>
  <c r="H1019" i="773"/>
  <c r="J1017" i="773"/>
  <c r="K1017" i="773" s="1"/>
  <c r="H1017" i="773"/>
  <c r="J1015" i="773"/>
  <c r="H1015" i="773"/>
  <c r="J1013" i="773"/>
  <c r="H1013" i="773"/>
  <c r="J1012" i="773"/>
  <c r="H1012" i="773"/>
  <c r="J1011" i="773"/>
  <c r="H1011" i="773"/>
  <c r="J1010" i="773"/>
  <c r="H1010" i="773"/>
  <c r="J1009" i="773"/>
  <c r="H1009" i="773"/>
  <c r="J1008" i="773"/>
  <c r="H1008" i="773"/>
  <c r="E1007" i="773"/>
  <c r="J1007" i="773" s="1"/>
  <c r="J1004" i="773"/>
  <c r="H1004" i="773"/>
  <c r="J1001" i="773"/>
  <c r="H1001" i="773"/>
  <c r="J998" i="773"/>
  <c r="H998" i="773"/>
  <c r="K998" i="773" s="1"/>
  <c r="J994" i="773"/>
  <c r="H994" i="773"/>
  <c r="E993" i="773"/>
  <c r="J993" i="773" s="1"/>
  <c r="J991" i="773"/>
  <c r="H991" i="773"/>
  <c r="E990" i="773"/>
  <c r="J990" i="773" s="1"/>
  <c r="J988" i="773"/>
  <c r="H988" i="773"/>
  <c r="J984" i="773"/>
  <c r="H984" i="773"/>
  <c r="J979" i="773"/>
  <c r="H979" i="773"/>
  <c r="K979" i="773" s="1"/>
  <c r="J978" i="773"/>
  <c r="H978" i="773"/>
  <c r="J977" i="773"/>
  <c r="H977" i="773"/>
  <c r="K977" i="773" s="1"/>
  <c r="E976" i="773"/>
  <c r="J975" i="773"/>
  <c r="H975" i="773"/>
  <c r="E974" i="773"/>
  <c r="J974" i="773" s="1"/>
  <c r="J973" i="773"/>
  <c r="H973" i="773"/>
  <c r="J972" i="773"/>
  <c r="H972" i="773"/>
  <c r="K972" i="773" s="1"/>
  <c r="E971" i="773"/>
  <c r="J970" i="773"/>
  <c r="H970" i="773"/>
  <c r="J969" i="773"/>
  <c r="H969" i="773"/>
  <c r="J968" i="773"/>
  <c r="H968" i="773"/>
  <c r="J967" i="773"/>
  <c r="H967" i="773"/>
  <c r="E965" i="773"/>
  <c r="H965" i="773" s="1"/>
  <c r="E964" i="773"/>
  <c r="J963" i="773"/>
  <c r="H963" i="773"/>
  <c r="J960" i="773"/>
  <c r="H960" i="773"/>
  <c r="I958" i="773"/>
  <c r="J958" i="773" s="1"/>
  <c r="G958" i="773"/>
  <c r="H958" i="773" s="1"/>
  <c r="J956" i="773"/>
  <c r="H956" i="773"/>
  <c r="J954" i="773"/>
  <c r="H954" i="773"/>
  <c r="J952" i="773"/>
  <c r="H952" i="773"/>
  <c r="J950" i="773"/>
  <c r="H950" i="773"/>
  <c r="J949" i="773"/>
  <c r="H949" i="773"/>
  <c r="J947" i="773"/>
  <c r="H947" i="773"/>
  <c r="J946" i="773"/>
  <c r="H946" i="773"/>
  <c r="J945" i="773"/>
  <c r="H945" i="773"/>
  <c r="J943" i="773"/>
  <c r="H943" i="773"/>
  <c r="J941" i="773"/>
  <c r="H941" i="773"/>
  <c r="J940" i="773"/>
  <c r="H940" i="773"/>
  <c r="K940" i="773" s="1"/>
  <c r="J938" i="773"/>
  <c r="H938" i="773"/>
  <c r="J937" i="773"/>
  <c r="H937" i="773"/>
  <c r="J935" i="773"/>
  <c r="H935" i="773"/>
  <c r="J933" i="773"/>
  <c r="H933" i="773"/>
  <c r="J932" i="773"/>
  <c r="H932" i="773"/>
  <c r="J931" i="773"/>
  <c r="H931" i="773"/>
  <c r="J929" i="773"/>
  <c r="H929" i="773"/>
  <c r="J928" i="773"/>
  <c r="H928" i="773"/>
  <c r="K928" i="773" s="1"/>
  <c r="J927" i="773"/>
  <c r="H927" i="773"/>
  <c r="J926" i="773"/>
  <c r="H926" i="773"/>
  <c r="K926" i="773" s="1"/>
  <c r="E925" i="773"/>
  <c r="H925" i="773" s="1"/>
  <c r="J922" i="773"/>
  <c r="H922" i="773"/>
  <c r="J919" i="773"/>
  <c r="H919" i="773"/>
  <c r="K919" i="773" s="1"/>
  <c r="J916" i="773"/>
  <c r="H916" i="773"/>
  <c r="J912" i="773"/>
  <c r="H912" i="773"/>
  <c r="E911" i="773"/>
  <c r="J911" i="773" s="1"/>
  <c r="J909" i="773"/>
  <c r="H909" i="773"/>
  <c r="J908" i="773"/>
  <c r="E908" i="773"/>
  <c r="H908" i="773" s="1"/>
  <c r="J906" i="773"/>
  <c r="H906" i="773"/>
  <c r="J903" i="773"/>
  <c r="H903" i="773"/>
  <c r="J899" i="773"/>
  <c r="H899" i="773"/>
  <c r="J898" i="773"/>
  <c r="H898" i="773"/>
  <c r="J897" i="773"/>
  <c r="H897" i="773"/>
  <c r="K897" i="773" s="1"/>
  <c r="E896" i="773"/>
  <c r="J895" i="773"/>
  <c r="H895" i="773"/>
  <c r="K895" i="773" s="1"/>
  <c r="E894" i="773"/>
  <c r="J893" i="773"/>
  <c r="H893" i="773"/>
  <c r="J892" i="773"/>
  <c r="K892" i="773" s="1"/>
  <c r="H892" i="773"/>
  <c r="E891" i="773"/>
  <c r="H891" i="773" s="1"/>
  <c r="J890" i="773"/>
  <c r="H890" i="773"/>
  <c r="K890" i="773" s="1"/>
  <c r="J889" i="773"/>
  <c r="H889" i="773"/>
  <c r="K889" i="773" s="1"/>
  <c r="J888" i="773"/>
  <c r="H888" i="773"/>
  <c r="K888" i="773" s="1"/>
  <c r="J887" i="773"/>
  <c r="H887" i="773"/>
  <c r="K887" i="773" s="1"/>
  <c r="E885" i="773"/>
  <c r="H885" i="773" s="1"/>
  <c r="E884" i="773"/>
  <c r="H884" i="773" s="1"/>
  <c r="J883" i="773"/>
  <c r="H883" i="773"/>
  <c r="J880" i="773"/>
  <c r="K880" i="773" s="1"/>
  <c r="H880" i="773"/>
  <c r="I879" i="773"/>
  <c r="J879" i="773" s="1"/>
  <c r="G879" i="773"/>
  <c r="H879" i="773" s="1"/>
  <c r="J877" i="773"/>
  <c r="H877" i="773"/>
  <c r="J875" i="773"/>
  <c r="H875" i="773"/>
  <c r="J873" i="773"/>
  <c r="K873" i="773" s="1"/>
  <c r="H873" i="773"/>
  <c r="J871" i="773"/>
  <c r="H871" i="773"/>
  <c r="J869" i="773"/>
  <c r="H869" i="773"/>
  <c r="J867" i="773"/>
  <c r="H867" i="773"/>
  <c r="J866" i="773"/>
  <c r="H866" i="773"/>
  <c r="J865" i="773"/>
  <c r="H865" i="773"/>
  <c r="J863" i="773"/>
  <c r="H863" i="773"/>
  <c r="J861" i="773"/>
  <c r="H861" i="773"/>
  <c r="J860" i="773"/>
  <c r="H860" i="773"/>
  <c r="J858" i="773"/>
  <c r="H858" i="773"/>
  <c r="J857" i="773"/>
  <c r="H857" i="773"/>
  <c r="K857" i="773" s="1"/>
  <c r="J855" i="773"/>
  <c r="H855" i="773"/>
  <c r="J853" i="773"/>
  <c r="H853" i="773"/>
  <c r="K853" i="773" s="1"/>
  <c r="J852" i="773"/>
  <c r="H852" i="773"/>
  <c r="J851" i="773"/>
  <c r="H851" i="773"/>
  <c r="J850" i="773"/>
  <c r="H850" i="773"/>
  <c r="J849" i="773"/>
  <c r="H849" i="773"/>
  <c r="J848" i="773"/>
  <c r="H848" i="773"/>
  <c r="J847" i="773"/>
  <c r="H847" i="773"/>
  <c r="K847" i="773" s="1"/>
  <c r="E846" i="773"/>
  <c r="J843" i="773"/>
  <c r="H843" i="773"/>
  <c r="J838" i="773"/>
  <c r="H838" i="773"/>
  <c r="K838" i="773" s="1"/>
  <c r="J835" i="773"/>
  <c r="H835" i="773"/>
  <c r="J831" i="773"/>
  <c r="H831" i="773"/>
  <c r="E830" i="773"/>
  <c r="J830" i="773" s="1"/>
  <c r="J828" i="773"/>
  <c r="H828" i="773"/>
  <c r="E827" i="773"/>
  <c r="H827" i="773" s="1"/>
  <c r="J825" i="773"/>
  <c r="H825" i="773"/>
  <c r="J822" i="773"/>
  <c r="H822" i="773"/>
  <c r="J819" i="773"/>
  <c r="K819" i="773" s="1"/>
  <c r="H819" i="773"/>
  <c r="J817" i="773"/>
  <c r="H817" i="773"/>
  <c r="K817" i="773" s="1"/>
  <c r="J816" i="773"/>
  <c r="K816" i="773" s="1"/>
  <c r="H816" i="773"/>
  <c r="E815" i="773"/>
  <c r="J815" i="773" s="1"/>
  <c r="J814" i="773"/>
  <c r="H814" i="773"/>
  <c r="E813" i="773"/>
  <c r="J812" i="773"/>
  <c r="H812" i="773"/>
  <c r="K812" i="773" s="1"/>
  <c r="J811" i="773"/>
  <c r="H811" i="773"/>
  <c r="E810" i="773"/>
  <c r="H810" i="773" s="1"/>
  <c r="J809" i="773"/>
  <c r="K809" i="773" s="1"/>
  <c r="H809" i="773"/>
  <c r="J808" i="773"/>
  <c r="H808" i="773"/>
  <c r="J807" i="773"/>
  <c r="H807" i="773"/>
  <c r="J806" i="773"/>
  <c r="H806" i="773"/>
  <c r="K806" i="773" s="1"/>
  <c r="E804" i="773"/>
  <c r="J804" i="773" s="1"/>
  <c r="E803" i="773"/>
  <c r="J802" i="773"/>
  <c r="H802" i="773"/>
  <c r="J799" i="773"/>
  <c r="H799" i="773"/>
  <c r="I798" i="773"/>
  <c r="J798" i="773" s="1"/>
  <c r="G798" i="773"/>
  <c r="H798" i="773" s="1"/>
  <c r="J796" i="773"/>
  <c r="H796" i="773"/>
  <c r="J794" i="773"/>
  <c r="H794" i="773"/>
  <c r="K794" i="773" s="1"/>
  <c r="J793" i="773"/>
  <c r="H793" i="773"/>
  <c r="J791" i="773"/>
  <c r="H791" i="773"/>
  <c r="J790" i="773"/>
  <c r="H790" i="773"/>
  <c r="J788" i="773"/>
  <c r="H788" i="773"/>
  <c r="K788" i="773" s="1"/>
  <c r="J786" i="773"/>
  <c r="H786" i="773"/>
  <c r="J785" i="773"/>
  <c r="H785" i="773"/>
  <c r="K785" i="773" s="1"/>
  <c r="J783" i="773"/>
  <c r="K783" i="773" s="1"/>
  <c r="H783" i="773"/>
  <c r="J781" i="773"/>
  <c r="H781" i="773"/>
  <c r="K781" i="773" s="1"/>
  <c r="J780" i="773"/>
  <c r="K780" i="773" s="1"/>
  <c r="H780" i="773"/>
  <c r="J778" i="773"/>
  <c r="H778" i="773"/>
  <c r="K778" i="773" s="1"/>
  <c r="J777" i="773"/>
  <c r="H777" i="773"/>
  <c r="J775" i="773"/>
  <c r="H775" i="773"/>
  <c r="K775" i="773" s="1"/>
  <c r="J773" i="773"/>
  <c r="K773" i="773" s="1"/>
  <c r="H773" i="773"/>
  <c r="J772" i="773"/>
  <c r="H772" i="773"/>
  <c r="J771" i="773"/>
  <c r="K771" i="773" s="1"/>
  <c r="H771" i="773"/>
  <c r="J770" i="773"/>
  <c r="H770" i="773"/>
  <c r="J769" i="773"/>
  <c r="H769" i="773"/>
  <c r="J768" i="773"/>
  <c r="H768" i="773"/>
  <c r="J767" i="773"/>
  <c r="K767" i="773" s="1"/>
  <c r="H767" i="773"/>
  <c r="E766" i="773"/>
  <c r="J766" i="773" s="1"/>
  <c r="J763" i="773"/>
  <c r="H763" i="773"/>
  <c r="J760" i="773"/>
  <c r="H760" i="773"/>
  <c r="J757" i="773"/>
  <c r="H757" i="773"/>
  <c r="J753" i="773"/>
  <c r="H753" i="773"/>
  <c r="K753" i="773" s="1"/>
  <c r="E752" i="773"/>
  <c r="J752" i="773" s="1"/>
  <c r="J750" i="773"/>
  <c r="H750" i="773"/>
  <c r="E749" i="773"/>
  <c r="J749" i="773" s="1"/>
  <c r="J747" i="773"/>
  <c r="H747" i="773"/>
  <c r="J744" i="773"/>
  <c r="H744" i="773"/>
  <c r="K744" i="773" s="1"/>
  <c r="J741" i="773"/>
  <c r="K741" i="773" s="1"/>
  <c r="H741" i="773"/>
  <c r="J740" i="773"/>
  <c r="H740" i="773"/>
  <c r="J739" i="773"/>
  <c r="H739" i="773"/>
  <c r="E738" i="773"/>
  <c r="J737" i="773"/>
  <c r="K737" i="773" s="1"/>
  <c r="H737" i="773"/>
  <c r="E736" i="773"/>
  <c r="J736" i="773" s="1"/>
  <c r="J735" i="773"/>
  <c r="H735" i="773"/>
  <c r="J734" i="773"/>
  <c r="H734" i="773"/>
  <c r="K734" i="773" s="1"/>
  <c r="E733" i="773"/>
  <c r="J733" i="773" s="1"/>
  <c r="J732" i="773"/>
  <c r="K732" i="773" s="1"/>
  <c r="H732" i="773"/>
  <c r="J731" i="773"/>
  <c r="H731" i="773"/>
  <c r="J730" i="773"/>
  <c r="H730" i="773"/>
  <c r="J729" i="773"/>
  <c r="H729" i="773"/>
  <c r="E727" i="773"/>
  <c r="E726" i="773"/>
  <c r="J726" i="773" s="1"/>
  <c r="J725" i="773"/>
  <c r="K725" i="773" s="1"/>
  <c r="H725" i="773"/>
  <c r="J722" i="773"/>
  <c r="K722" i="773" s="1"/>
  <c r="H722" i="773"/>
  <c r="I721" i="773"/>
  <c r="J721" i="773" s="1"/>
  <c r="G721" i="773"/>
  <c r="H721" i="773" s="1"/>
  <c r="J719" i="773"/>
  <c r="H719" i="773"/>
  <c r="J717" i="773"/>
  <c r="H717" i="773"/>
  <c r="J716" i="773"/>
  <c r="H716" i="773"/>
  <c r="J714" i="773"/>
  <c r="H714" i="773"/>
  <c r="K714" i="773" s="1"/>
  <c r="J713" i="773"/>
  <c r="H713" i="773"/>
  <c r="J711" i="773"/>
  <c r="H711" i="773"/>
  <c r="H710" i="773"/>
  <c r="E710" i="773"/>
  <c r="J710" i="773" s="1"/>
  <c r="J709" i="773"/>
  <c r="H709" i="773"/>
  <c r="J707" i="773"/>
  <c r="H707" i="773"/>
  <c r="J704" i="773"/>
  <c r="H704" i="773"/>
  <c r="J703" i="773"/>
  <c r="H703" i="773"/>
  <c r="J701" i="773"/>
  <c r="H701" i="773"/>
  <c r="J700" i="773"/>
  <c r="H700" i="773"/>
  <c r="J698" i="773"/>
  <c r="H698" i="773"/>
  <c r="J696" i="773"/>
  <c r="H696" i="773"/>
  <c r="K696" i="773" s="1"/>
  <c r="J695" i="773"/>
  <c r="H695" i="773"/>
  <c r="J694" i="773"/>
  <c r="H694" i="773"/>
  <c r="K694" i="773" s="1"/>
  <c r="K693" i="773"/>
  <c r="J693" i="773"/>
  <c r="H693" i="773"/>
  <c r="J692" i="773"/>
  <c r="H692" i="773"/>
  <c r="K692" i="773" s="1"/>
  <c r="J691" i="773"/>
  <c r="H691" i="773"/>
  <c r="J690" i="773"/>
  <c r="H690" i="773"/>
  <c r="K690" i="773" s="1"/>
  <c r="E689" i="773"/>
  <c r="H689" i="773" s="1"/>
  <c r="J686" i="773"/>
  <c r="H686" i="773"/>
  <c r="J683" i="773"/>
  <c r="H683" i="773"/>
  <c r="J680" i="773"/>
  <c r="H680" i="773"/>
  <c r="J674" i="773"/>
  <c r="H674" i="773"/>
  <c r="E673" i="773"/>
  <c r="J673" i="773" s="1"/>
  <c r="J671" i="773"/>
  <c r="H671" i="773"/>
  <c r="E670" i="773"/>
  <c r="H670" i="773" s="1"/>
  <c r="J668" i="773"/>
  <c r="H668" i="773"/>
  <c r="J665" i="773"/>
  <c r="H665" i="773"/>
  <c r="J662" i="773"/>
  <c r="H662" i="773"/>
  <c r="K662" i="773" s="1"/>
  <c r="J661" i="773"/>
  <c r="H661" i="773"/>
  <c r="E660" i="773"/>
  <c r="H660" i="773" s="1"/>
  <c r="J659" i="773"/>
  <c r="H659" i="773"/>
  <c r="J658" i="773"/>
  <c r="H658" i="773"/>
  <c r="E656" i="773"/>
  <c r="E657" i="773" s="1"/>
  <c r="J655" i="773"/>
  <c r="H655" i="773"/>
  <c r="J654" i="773"/>
  <c r="H654" i="773"/>
  <c r="J653" i="773"/>
  <c r="H653" i="773"/>
  <c r="J652" i="773"/>
  <c r="H652" i="773"/>
  <c r="J651" i="773"/>
  <c r="H651" i="773"/>
  <c r="J650" i="773"/>
  <c r="K650" i="773" s="1"/>
  <c r="H650" i="773"/>
  <c r="E647" i="773"/>
  <c r="J647" i="773" s="1"/>
  <c r="E646" i="773"/>
  <c r="J646" i="773" s="1"/>
  <c r="J643" i="773"/>
  <c r="H643" i="773"/>
  <c r="I642" i="773"/>
  <c r="J642" i="773" s="1"/>
  <c r="G642" i="773"/>
  <c r="H642" i="773" s="1"/>
  <c r="J640" i="773"/>
  <c r="H640" i="773"/>
  <c r="J638" i="773"/>
  <c r="H638" i="773"/>
  <c r="J637" i="773"/>
  <c r="H637" i="773"/>
  <c r="J635" i="773"/>
  <c r="H635" i="773"/>
  <c r="J634" i="773"/>
  <c r="H634" i="773"/>
  <c r="J632" i="773"/>
  <c r="H632" i="773"/>
  <c r="J631" i="773"/>
  <c r="H631" i="773"/>
  <c r="J630" i="773"/>
  <c r="H630" i="773"/>
  <c r="J628" i="773"/>
  <c r="H628" i="773"/>
  <c r="J626" i="773"/>
  <c r="H626" i="773"/>
  <c r="J625" i="773"/>
  <c r="H625" i="773"/>
  <c r="J623" i="773"/>
  <c r="H623" i="773"/>
  <c r="J622" i="773"/>
  <c r="H622" i="773"/>
  <c r="J620" i="773"/>
  <c r="H620" i="773"/>
  <c r="J618" i="773"/>
  <c r="H618" i="773"/>
  <c r="J617" i="773"/>
  <c r="H617" i="773"/>
  <c r="J616" i="773"/>
  <c r="H616" i="773"/>
  <c r="J615" i="773"/>
  <c r="H615" i="773"/>
  <c r="J614" i="773"/>
  <c r="H614" i="773"/>
  <c r="K614" i="773" s="1"/>
  <c r="J613" i="773"/>
  <c r="H613" i="773"/>
  <c r="J612" i="773"/>
  <c r="H612" i="773"/>
  <c r="K612" i="773" s="1"/>
  <c r="E611" i="773"/>
  <c r="J611" i="773" s="1"/>
  <c r="J608" i="773"/>
  <c r="H608" i="773"/>
  <c r="J605" i="773"/>
  <c r="H605" i="773"/>
  <c r="J602" i="773"/>
  <c r="H602" i="773"/>
  <c r="J598" i="773"/>
  <c r="H598" i="773"/>
  <c r="E597" i="773"/>
  <c r="J597" i="773" s="1"/>
  <c r="J595" i="773"/>
  <c r="H595" i="773"/>
  <c r="E593" i="773"/>
  <c r="J593" i="773" s="1"/>
  <c r="J591" i="773"/>
  <c r="H591" i="773"/>
  <c r="J588" i="773"/>
  <c r="H588" i="773"/>
  <c r="K588" i="773" s="1"/>
  <c r="J585" i="773"/>
  <c r="H585" i="773"/>
  <c r="J584" i="773"/>
  <c r="H584" i="773"/>
  <c r="K584" i="773" s="1"/>
  <c r="E583" i="773"/>
  <c r="H583" i="773" s="1"/>
  <c r="J582" i="773"/>
  <c r="H582" i="773"/>
  <c r="J581" i="773"/>
  <c r="H581" i="773"/>
  <c r="E580" i="773"/>
  <c r="J579" i="773"/>
  <c r="H579" i="773"/>
  <c r="K579" i="773" s="1"/>
  <c r="J578" i="773"/>
  <c r="H578" i="773"/>
  <c r="K578" i="773" s="1"/>
  <c r="J577" i="773"/>
  <c r="H577" i="773"/>
  <c r="J576" i="773"/>
  <c r="H576" i="773"/>
  <c r="J575" i="773"/>
  <c r="H575" i="773"/>
  <c r="J574" i="773"/>
  <c r="H574" i="773"/>
  <c r="K574" i="773" s="1"/>
  <c r="J573" i="773"/>
  <c r="H573" i="773"/>
  <c r="E571" i="773"/>
  <c r="J571" i="773" s="1"/>
  <c r="E570" i="773"/>
  <c r="J570" i="773" s="1"/>
  <c r="J569" i="773"/>
  <c r="H569" i="773"/>
  <c r="B566" i="773"/>
  <c r="J562" i="773"/>
  <c r="H562" i="773"/>
  <c r="J561" i="773"/>
  <c r="H561" i="773"/>
  <c r="J560" i="773"/>
  <c r="H560" i="773"/>
  <c r="J557" i="773"/>
  <c r="H557" i="773"/>
  <c r="J555" i="773"/>
  <c r="H555" i="773"/>
  <c r="J554" i="773"/>
  <c r="H554" i="773"/>
  <c r="K554" i="773" s="1"/>
  <c r="J551" i="773"/>
  <c r="H551" i="773"/>
  <c r="E550" i="773"/>
  <c r="H550" i="773" s="1"/>
  <c r="J548" i="773"/>
  <c r="H548" i="773"/>
  <c r="J547" i="773"/>
  <c r="H547" i="773"/>
  <c r="J546" i="773"/>
  <c r="H546" i="773"/>
  <c r="K546" i="773" s="1"/>
  <c r="J545" i="773"/>
  <c r="H545" i="773"/>
  <c r="K545" i="773" s="1"/>
  <c r="J544" i="773"/>
  <c r="H544" i="773"/>
  <c r="K544" i="773" s="1"/>
  <c r="J543" i="773"/>
  <c r="H543" i="773"/>
  <c r="K543" i="773" s="1"/>
  <c r="J542" i="773"/>
  <c r="H542" i="773"/>
  <c r="J541" i="773"/>
  <c r="K541" i="773" s="1"/>
  <c r="H541" i="773"/>
  <c r="J540" i="773"/>
  <c r="H540" i="773"/>
  <c r="J539" i="773"/>
  <c r="H539" i="773"/>
  <c r="J538" i="773"/>
  <c r="H538" i="773"/>
  <c r="K538" i="773" s="1"/>
  <c r="J537" i="773"/>
  <c r="G537" i="773"/>
  <c r="H537" i="773" s="1"/>
  <c r="K537" i="773" s="1"/>
  <c r="J536" i="773"/>
  <c r="H536" i="773"/>
  <c r="J534" i="773"/>
  <c r="H534" i="773"/>
  <c r="J533" i="773"/>
  <c r="H533" i="773"/>
  <c r="O532" i="773"/>
  <c r="J531" i="773"/>
  <c r="H531" i="773"/>
  <c r="J529" i="773"/>
  <c r="H529" i="773"/>
  <c r="J527" i="773"/>
  <c r="H527" i="773"/>
  <c r="J525" i="773"/>
  <c r="H525" i="773"/>
  <c r="J523" i="773"/>
  <c r="H523" i="773"/>
  <c r="J521" i="773"/>
  <c r="H521" i="773"/>
  <c r="J520" i="773"/>
  <c r="H520" i="773"/>
  <c r="J519" i="773"/>
  <c r="H519" i="773"/>
  <c r="N518" i="773"/>
  <c r="E518" i="773"/>
  <c r="J518" i="773" s="1"/>
  <c r="J515" i="773"/>
  <c r="K515" i="773" s="1"/>
  <c r="H515" i="773"/>
  <c r="J514" i="773"/>
  <c r="H514" i="773"/>
  <c r="J513" i="773"/>
  <c r="H513" i="773"/>
  <c r="J508" i="773"/>
  <c r="H508" i="773"/>
  <c r="J506" i="773"/>
  <c r="H506" i="773"/>
  <c r="J505" i="773"/>
  <c r="H505" i="773"/>
  <c r="J502" i="773"/>
  <c r="H502" i="773"/>
  <c r="E501" i="773"/>
  <c r="J499" i="773"/>
  <c r="H499" i="773"/>
  <c r="J498" i="773"/>
  <c r="H498" i="773"/>
  <c r="K498" i="773" s="1"/>
  <c r="J497" i="773"/>
  <c r="H497" i="773"/>
  <c r="J496" i="773"/>
  <c r="H496" i="773"/>
  <c r="J495" i="773"/>
  <c r="H495" i="773"/>
  <c r="J494" i="773"/>
  <c r="H494" i="773"/>
  <c r="J493" i="773"/>
  <c r="H493" i="773"/>
  <c r="K493" i="773" s="1"/>
  <c r="J492" i="773"/>
  <c r="H492" i="773"/>
  <c r="J491" i="773"/>
  <c r="H491" i="773"/>
  <c r="J490" i="773"/>
  <c r="K490" i="773" s="1"/>
  <c r="H490" i="773"/>
  <c r="J489" i="773"/>
  <c r="H489" i="773"/>
  <c r="J488" i="773"/>
  <c r="G488" i="773"/>
  <c r="H488" i="773" s="1"/>
  <c r="J487" i="773"/>
  <c r="H487" i="773"/>
  <c r="J485" i="773"/>
  <c r="H485" i="773"/>
  <c r="J484" i="773"/>
  <c r="H484" i="773"/>
  <c r="O483" i="773"/>
  <c r="J482" i="773"/>
  <c r="H482" i="773"/>
  <c r="J480" i="773"/>
  <c r="H480" i="773"/>
  <c r="J478" i="773"/>
  <c r="H478" i="773"/>
  <c r="J476" i="773"/>
  <c r="H476" i="773"/>
  <c r="J474" i="773"/>
  <c r="H474" i="773"/>
  <c r="J472" i="773"/>
  <c r="H472" i="773"/>
  <c r="J471" i="773"/>
  <c r="H471" i="773"/>
  <c r="J470" i="773"/>
  <c r="H470" i="773"/>
  <c r="N469" i="773"/>
  <c r="E469" i="773"/>
  <c r="J467" i="773"/>
  <c r="H467" i="773"/>
  <c r="J466" i="773"/>
  <c r="H466" i="773"/>
  <c r="K466" i="773" s="1"/>
  <c r="J465" i="773"/>
  <c r="H465" i="773"/>
  <c r="K465" i="773" s="1"/>
  <c r="J462" i="773"/>
  <c r="H462" i="773"/>
  <c r="J460" i="773"/>
  <c r="H460" i="773"/>
  <c r="J459" i="773"/>
  <c r="H459" i="773"/>
  <c r="J456" i="773"/>
  <c r="H456" i="773"/>
  <c r="E455" i="773"/>
  <c r="H455" i="773" s="1"/>
  <c r="J453" i="773"/>
  <c r="H453" i="773"/>
  <c r="K453" i="773" s="1"/>
  <c r="J452" i="773"/>
  <c r="H452" i="773"/>
  <c r="J451" i="773"/>
  <c r="H451" i="773"/>
  <c r="J450" i="773"/>
  <c r="H450" i="773"/>
  <c r="J449" i="773"/>
  <c r="H449" i="773"/>
  <c r="K449" i="773" s="1"/>
  <c r="J448" i="773"/>
  <c r="H448" i="773"/>
  <c r="J447" i="773"/>
  <c r="H447" i="773"/>
  <c r="K447" i="773" s="1"/>
  <c r="J446" i="773"/>
  <c r="H446" i="773"/>
  <c r="K446" i="773" s="1"/>
  <c r="J445" i="773"/>
  <c r="H445" i="773"/>
  <c r="J444" i="773"/>
  <c r="H444" i="773"/>
  <c r="J443" i="773"/>
  <c r="K443" i="773" s="1"/>
  <c r="H443" i="773"/>
  <c r="J442" i="773"/>
  <c r="G442" i="773"/>
  <c r="H442" i="773" s="1"/>
  <c r="K442" i="773" s="1"/>
  <c r="J441" i="773"/>
  <c r="H441" i="773"/>
  <c r="J439" i="773"/>
  <c r="H439" i="773"/>
  <c r="J438" i="773"/>
  <c r="H438" i="773"/>
  <c r="O437" i="773"/>
  <c r="J436" i="773"/>
  <c r="H436" i="773"/>
  <c r="J434" i="773"/>
  <c r="H434" i="773"/>
  <c r="J432" i="773"/>
  <c r="H432" i="773"/>
  <c r="J430" i="773"/>
  <c r="H430" i="773"/>
  <c r="K430" i="773" s="1"/>
  <c r="J428" i="773"/>
  <c r="H428" i="773"/>
  <c r="J426" i="773"/>
  <c r="H426" i="773"/>
  <c r="K426" i="773" s="1"/>
  <c r="K425" i="773"/>
  <c r="J425" i="773"/>
  <c r="H425" i="773"/>
  <c r="J424" i="773"/>
  <c r="H424" i="773"/>
  <c r="E423" i="773"/>
  <c r="J423" i="773" s="1"/>
  <c r="J421" i="773"/>
  <c r="H421" i="773"/>
  <c r="J420" i="773"/>
  <c r="H420" i="773"/>
  <c r="J419" i="773"/>
  <c r="H419" i="773"/>
  <c r="J416" i="773"/>
  <c r="H416" i="773"/>
  <c r="J414" i="773"/>
  <c r="H414" i="773"/>
  <c r="J413" i="773"/>
  <c r="H413" i="773"/>
  <c r="J410" i="773"/>
  <c r="H410" i="773"/>
  <c r="E409" i="773"/>
  <c r="N377" i="773" s="1"/>
  <c r="J407" i="773"/>
  <c r="H407" i="773"/>
  <c r="J406" i="773"/>
  <c r="H406" i="773"/>
  <c r="J405" i="773"/>
  <c r="H405" i="773"/>
  <c r="J404" i="773"/>
  <c r="H404" i="773"/>
  <c r="J403" i="773"/>
  <c r="H403" i="773"/>
  <c r="J402" i="773"/>
  <c r="H402" i="773"/>
  <c r="J401" i="773"/>
  <c r="H401" i="773"/>
  <c r="J400" i="773"/>
  <c r="H400" i="773"/>
  <c r="J399" i="773"/>
  <c r="H399" i="773"/>
  <c r="J398" i="773"/>
  <c r="H398" i="773"/>
  <c r="J397" i="773"/>
  <c r="H397" i="773"/>
  <c r="J396" i="773"/>
  <c r="G396" i="773"/>
  <c r="H396" i="773" s="1"/>
  <c r="J395" i="773"/>
  <c r="H395" i="773"/>
  <c r="J393" i="773"/>
  <c r="H393" i="773"/>
  <c r="J392" i="773"/>
  <c r="H392" i="773"/>
  <c r="O391" i="773"/>
  <c r="J390" i="773"/>
  <c r="K390" i="773" s="1"/>
  <c r="H390" i="773"/>
  <c r="J388" i="773"/>
  <c r="H388" i="773"/>
  <c r="J386" i="773"/>
  <c r="H386" i="773"/>
  <c r="J384" i="773"/>
  <c r="H384" i="773"/>
  <c r="J382" i="773"/>
  <c r="H382" i="773"/>
  <c r="J380" i="773"/>
  <c r="H380" i="773"/>
  <c r="K380" i="773" s="1"/>
  <c r="J379" i="773"/>
  <c r="H379" i="773"/>
  <c r="J378" i="773"/>
  <c r="H378" i="773"/>
  <c r="E377" i="773"/>
  <c r="H377" i="773" s="1"/>
  <c r="J375" i="773"/>
  <c r="H375" i="773"/>
  <c r="J374" i="773"/>
  <c r="H374" i="773"/>
  <c r="J373" i="773"/>
  <c r="H373" i="773"/>
  <c r="J370" i="773"/>
  <c r="H370" i="773"/>
  <c r="J368" i="773"/>
  <c r="H368" i="773"/>
  <c r="J367" i="773"/>
  <c r="H367" i="773"/>
  <c r="J364" i="773"/>
  <c r="H364" i="773"/>
  <c r="J363" i="773"/>
  <c r="E363" i="773"/>
  <c r="H363" i="773" s="1"/>
  <c r="J361" i="773"/>
  <c r="H361" i="773"/>
  <c r="J360" i="773"/>
  <c r="H360" i="773"/>
  <c r="J359" i="773"/>
  <c r="H359" i="773"/>
  <c r="K359" i="773" s="1"/>
  <c r="J358" i="773"/>
  <c r="H358" i="773"/>
  <c r="J357" i="773"/>
  <c r="H357" i="773"/>
  <c r="J356" i="773"/>
  <c r="H356" i="773"/>
  <c r="J355" i="773"/>
  <c r="H355" i="773"/>
  <c r="J354" i="773"/>
  <c r="K354" i="773" s="1"/>
  <c r="H354" i="773"/>
  <c r="J353" i="773"/>
  <c r="H353" i="773"/>
  <c r="K353" i="773" s="1"/>
  <c r="K352" i="773"/>
  <c r="J352" i="773"/>
  <c r="H352" i="773"/>
  <c r="J351" i="773"/>
  <c r="H351" i="773"/>
  <c r="J350" i="773"/>
  <c r="G350" i="773"/>
  <c r="H350" i="773" s="1"/>
  <c r="K350" i="773" s="1"/>
  <c r="J349" i="773"/>
  <c r="H349" i="773"/>
  <c r="J347" i="773"/>
  <c r="H347" i="773"/>
  <c r="K347" i="773" s="1"/>
  <c r="J346" i="773"/>
  <c r="H346" i="773"/>
  <c r="O345" i="773"/>
  <c r="J344" i="773"/>
  <c r="H344" i="773"/>
  <c r="J340" i="773"/>
  <c r="H340" i="773"/>
  <c r="J338" i="773"/>
  <c r="H338" i="773"/>
  <c r="K338" i="773" s="1"/>
  <c r="J336" i="773"/>
  <c r="H336" i="773"/>
  <c r="J334" i="773"/>
  <c r="H334" i="773"/>
  <c r="J332" i="773"/>
  <c r="H332" i="773"/>
  <c r="J331" i="773"/>
  <c r="H331" i="773"/>
  <c r="K331" i="773" s="1"/>
  <c r="J330" i="773"/>
  <c r="H330" i="773"/>
  <c r="N329" i="773"/>
  <c r="E329" i="773"/>
  <c r="J327" i="773"/>
  <c r="H327" i="773"/>
  <c r="J326" i="773"/>
  <c r="H326" i="773"/>
  <c r="J325" i="773"/>
  <c r="H325" i="773"/>
  <c r="J322" i="773"/>
  <c r="H322" i="773"/>
  <c r="J320" i="773"/>
  <c r="H320" i="773"/>
  <c r="J319" i="773"/>
  <c r="H319" i="773"/>
  <c r="K319" i="773" s="1"/>
  <c r="J316" i="773"/>
  <c r="H316" i="773"/>
  <c r="E314" i="773"/>
  <c r="H314" i="773" s="1"/>
  <c r="J312" i="773"/>
  <c r="K312" i="773" s="1"/>
  <c r="H312" i="773"/>
  <c r="J310" i="773"/>
  <c r="H310" i="773"/>
  <c r="K310" i="773" s="1"/>
  <c r="J309" i="773"/>
  <c r="H309" i="773"/>
  <c r="J308" i="773"/>
  <c r="H308" i="773"/>
  <c r="K308" i="773" s="1"/>
  <c r="J307" i="773"/>
  <c r="K307" i="773" s="1"/>
  <c r="H307" i="773"/>
  <c r="J306" i="773"/>
  <c r="H306" i="773"/>
  <c r="K306" i="773" s="1"/>
  <c r="J305" i="773"/>
  <c r="H305" i="773"/>
  <c r="J304" i="773"/>
  <c r="H304" i="773"/>
  <c r="K304" i="773" s="1"/>
  <c r="J303" i="773"/>
  <c r="H303" i="773"/>
  <c r="J302" i="773"/>
  <c r="K302" i="773" s="1"/>
  <c r="H302" i="773"/>
  <c r="J301" i="773"/>
  <c r="H301" i="773"/>
  <c r="J300" i="773"/>
  <c r="G300" i="773"/>
  <c r="H300" i="773" s="1"/>
  <c r="J299" i="773"/>
  <c r="H299" i="773"/>
  <c r="J297" i="773"/>
  <c r="H297" i="773"/>
  <c r="J296" i="773"/>
  <c r="H296" i="773"/>
  <c r="O295" i="773"/>
  <c r="J294" i="773"/>
  <c r="H294" i="773"/>
  <c r="J292" i="773"/>
  <c r="H292" i="773"/>
  <c r="J290" i="773"/>
  <c r="H290" i="773"/>
  <c r="J288" i="773"/>
  <c r="H288" i="773"/>
  <c r="J285" i="773"/>
  <c r="H285" i="773"/>
  <c r="J283" i="773"/>
  <c r="H283" i="773"/>
  <c r="J282" i="773"/>
  <c r="H282" i="773"/>
  <c r="K282" i="773" s="1"/>
  <c r="J281" i="773"/>
  <c r="H281" i="773"/>
  <c r="K281" i="773" s="1"/>
  <c r="N280" i="773"/>
  <c r="E280" i="773"/>
  <c r="J277" i="773"/>
  <c r="H277" i="773"/>
  <c r="J276" i="773"/>
  <c r="H276" i="773"/>
  <c r="J275" i="773"/>
  <c r="H275" i="773"/>
  <c r="J272" i="773"/>
  <c r="H272" i="773"/>
  <c r="K272" i="773" s="1"/>
  <c r="J270" i="773"/>
  <c r="H270" i="773"/>
  <c r="J269" i="773"/>
  <c r="H269" i="773"/>
  <c r="J266" i="773"/>
  <c r="H266" i="773"/>
  <c r="K266" i="773" s="1"/>
  <c r="E265" i="773"/>
  <c r="J265" i="773" s="1"/>
  <c r="J263" i="773"/>
  <c r="H263" i="773"/>
  <c r="J262" i="773"/>
  <c r="H262" i="773"/>
  <c r="K262" i="773" s="1"/>
  <c r="J261" i="773"/>
  <c r="H261" i="773"/>
  <c r="K261" i="773" s="1"/>
  <c r="J260" i="773"/>
  <c r="K260" i="773" s="1"/>
  <c r="H260" i="773"/>
  <c r="J259" i="773"/>
  <c r="H259" i="773"/>
  <c r="J258" i="773"/>
  <c r="H258" i="773"/>
  <c r="J257" i="773"/>
  <c r="K257" i="773" s="1"/>
  <c r="H257" i="773"/>
  <c r="J256" i="773"/>
  <c r="H256" i="773"/>
  <c r="J255" i="773"/>
  <c r="H255" i="773"/>
  <c r="J254" i="773"/>
  <c r="H254" i="773"/>
  <c r="J253" i="773"/>
  <c r="H253" i="773"/>
  <c r="J252" i="773"/>
  <c r="G252" i="773"/>
  <c r="H252" i="773" s="1"/>
  <c r="J251" i="773"/>
  <c r="H251" i="773"/>
  <c r="J249" i="773"/>
  <c r="H249" i="773"/>
  <c r="J248" i="773"/>
  <c r="H248" i="773"/>
  <c r="K248" i="773" s="1"/>
  <c r="O247" i="773"/>
  <c r="J246" i="773"/>
  <c r="H246" i="773"/>
  <c r="J244" i="773"/>
  <c r="H244" i="773"/>
  <c r="J242" i="773"/>
  <c r="H242" i="773"/>
  <c r="J240" i="773"/>
  <c r="H240" i="773"/>
  <c r="J238" i="773"/>
  <c r="H238" i="773"/>
  <c r="J236" i="773"/>
  <c r="H236" i="773"/>
  <c r="K236" i="773" s="1"/>
  <c r="J235" i="773"/>
  <c r="H235" i="773"/>
  <c r="J234" i="773"/>
  <c r="H234" i="773"/>
  <c r="E233" i="773"/>
  <c r="J225" i="773"/>
  <c r="H225" i="773"/>
  <c r="J224" i="773"/>
  <c r="H224" i="773"/>
  <c r="J223" i="773"/>
  <c r="H223" i="773"/>
  <c r="K223" i="773" s="1"/>
  <c r="J220" i="773"/>
  <c r="H220" i="773"/>
  <c r="J218" i="773"/>
  <c r="H218" i="773"/>
  <c r="J217" i="773"/>
  <c r="H217" i="773"/>
  <c r="J214" i="773"/>
  <c r="H214" i="773"/>
  <c r="E213" i="773"/>
  <c r="H213" i="773" s="1"/>
  <c r="J211" i="773"/>
  <c r="H211" i="773"/>
  <c r="J210" i="773"/>
  <c r="H210" i="773"/>
  <c r="J209" i="773"/>
  <c r="H209" i="773"/>
  <c r="K209" i="773" s="1"/>
  <c r="J208" i="773"/>
  <c r="H208" i="773"/>
  <c r="J207" i="773"/>
  <c r="H207" i="773"/>
  <c r="J206" i="773"/>
  <c r="H206" i="773"/>
  <c r="J205" i="773"/>
  <c r="K205" i="773" s="1"/>
  <c r="H205" i="773"/>
  <c r="J204" i="773"/>
  <c r="H204" i="773"/>
  <c r="J203" i="773"/>
  <c r="K203" i="773" s="1"/>
  <c r="H203" i="773"/>
  <c r="J202" i="773"/>
  <c r="H202" i="773"/>
  <c r="J201" i="773"/>
  <c r="H201" i="773"/>
  <c r="J200" i="773"/>
  <c r="G200" i="773"/>
  <c r="H200" i="773" s="1"/>
  <c r="J199" i="773"/>
  <c r="H199" i="773"/>
  <c r="J197" i="773"/>
  <c r="H197" i="773"/>
  <c r="J196" i="773"/>
  <c r="H196" i="773"/>
  <c r="O195" i="773"/>
  <c r="J194" i="773"/>
  <c r="K194" i="773" s="1"/>
  <c r="H194" i="773"/>
  <c r="J192" i="773"/>
  <c r="H192" i="773"/>
  <c r="J190" i="773"/>
  <c r="H190" i="773"/>
  <c r="J188" i="773"/>
  <c r="H188" i="773"/>
  <c r="J186" i="773"/>
  <c r="H186" i="773"/>
  <c r="J184" i="773"/>
  <c r="H184" i="773"/>
  <c r="J183" i="773"/>
  <c r="H183" i="773"/>
  <c r="J182" i="773"/>
  <c r="H182" i="773"/>
  <c r="K182" i="773" s="1"/>
  <c r="J181" i="773"/>
  <c r="H181" i="773"/>
  <c r="E181" i="773"/>
  <c r="J179" i="773"/>
  <c r="H179" i="773"/>
  <c r="J178" i="773"/>
  <c r="H178" i="773"/>
  <c r="J177" i="773"/>
  <c r="H177" i="773"/>
  <c r="J172" i="773"/>
  <c r="H172" i="773"/>
  <c r="J170" i="773"/>
  <c r="H170" i="773"/>
  <c r="J169" i="773"/>
  <c r="H169" i="773"/>
  <c r="J166" i="773"/>
  <c r="H166" i="773"/>
  <c r="H165" i="773"/>
  <c r="E165" i="773"/>
  <c r="J165" i="773" s="1"/>
  <c r="J163" i="773"/>
  <c r="H163" i="773"/>
  <c r="J162" i="773"/>
  <c r="H162" i="773"/>
  <c r="K162" i="773" s="1"/>
  <c r="J161" i="773"/>
  <c r="K161" i="773" s="1"/>
  <c r="H161" i="773"/>
  <c r="J160" i="773"/>
  <c r="H160" i="773"/>
  <c r="J159" i="773"/>
  <c r="H159" i="773"/>
  <c r="J158" i="773"/>
  <c r="H158" i="773"/>
  <c r="K158" i="773" s="1"/>
  <c r="J157" i="773"/>
  <c r="H157" i="773"/>
  <c r="J156" i="773"/>
  <c r="H156" i="773"/>
  <c r="J155" i="773"/>
  <c r="H155" i="773"/>
  <c r="J154" i="773"/>
  <c r="H154" i="773"/>
  <c r="K154" i="773" s="1"/>
  <c r="J153" i="773"/>
  <c r="H153" i="773"/>
  <c r="J152" i="773"/>
  <c r="G152" i="773"/>
  <c r="H152" i="773" s="1"/>
  <c r="K151" i="773"/>
  <c r="J151" i="773"/>
  <c r="H151" i="773"/>
  <c r="J149" i="773"/>
  <c r="H149" i="773"/>
  <c r="K149" i="773" s="1"/>
  <c r="J148" i="773"/>
  <c r="H148" i="773"/>
  <c r="J146" i="773"/>
  <c r="H146" i="773"/>
  <c r="J144" i="773"/>
  <c r="H144" i="773"/>
  <c r="J142" i="773"/>
  <c r="H142" i="773"/>
  <c r="K142" i="773" s="1"/>
  <c r="J140" i="773"/>
  <c r="H140" i="773"/>
  <c r="K140" i="773" s="1"/>
  <c r="J138" i="773"/>
  <c r="H138" i="773"/>
  <c r="J136" i="773"/>
  <c r="H136" i="773"/>
  <c r="K136" i="773" s="1"/>
  <c r="J135" i="773"/>
  <c r="H135" i="773"/>
  <c r="J134" i="773"/>
  <c r="H134" i="773"/>
  <c r="N133" i="773"/>
  <c r="E133" i="773"/>
  <c r="J133" i="773" s="1"/>
  <c r="J131" i="773"/>
  <c r="H131" i="773"/>
  <c r="J130" i="773"/>
  <c r="H130" i="773"/>
  <c r="J129" i="773"/>
  <c r="H129" i="773"/>
  <c r="K129" i="773" s="1"/>
  <c r="J126" i="773"/>
  <c r="H126" i="773"/>
  <c r="J124" i="773"/>
  <c r="H124" i="773"/>
  <c r="K124" i="773" s="1"/>
  <c r="J123" i="773"/>
  <c r="H123" i="773"/>
  <c r="J120" i="773"/>
  <c r="H120" i="773"/>
  <c r="K120" i="773" s="1"/>
  <c r="E117" i="773"/>
  <c r="J117" i="773" s="1"/>
  <c r="J115" i="773"/>
  <c r="H115" i="773"/>
  <c r="J114" i="773"/>
  <c r="H114" i="773"/>
  <c r="J113" i="773"/>
  <c r="H113" i="773"/>
  <c r="J112" i="773"/>
  <c r="H112" i="773"/>
  <c r="J111" i="773"/>
  <c r="H111" i="773"/>
  <c r="J110" i="773"/>
  <c r="H110" i="773"/>
  <c r="J109" i="773"/>
  <c r="H109" i="773"/>
  <c r="K109" i="773" s="1"/>
  <c r="J108" i="773"/>
  <c r="H108" i="773"/>
  <c r="J107" i="773"/>
  <c r="H107" i="773"/>
  <c r="J106" i="773"/>
  <c r="H106" i="773"/>
  <c r="E105" i="773"/>
  <c r="J105" i="773" s="1"/>
  <c r="J104" i="773"/>
  <c r="G104" i="773"/>
  <c r="H104" i="773" s="1"/>
  <c r="J103" i="773"/>
  <c r="H103" i="773"/>
  <c r="K103" i="773" s="1"/>
  <c r="J101" i="773"/>
  <c r="H101" i="773"/>
  <c r="E100" i="773"/>
  <c r="E84" i="773" s="1"/>
  <c r="O99" i="773"/>
  <c r="J98" i="773"/>
  <c r="H98" i="773"/>
  <c r="K98" i="773" s="1"/>
  <c r="O97" i="773"/>
  <c r="J96" i="773"/>
  <c r="H96" i="773"/>
  <c r="J94" i="773"/>
  <c r="H94" i="773"/>
  <c r="J92" i="773"/>
  <c r="H92" i="773"/>
  <c r="J89" i="773"/>
  <c r="H89" i="773"/>
  <c r="J87" i="773"/>
  <c r="H87" i="773"/>
  <c r="J86" i="773"/>
  <c r="H86" i="773"/>
  <c r="K86" i="773" s="1"/>
  <c r="J85" i="773"/>
  <c r="H85" i="773"/>
  <c r="J83" i="773"/>
  <c r="H83" i="773"/>
  <c r="J82" i="773"/>
  <c r="H82" i="773"/>
  <c r="K82" i="773" s="1"/>
  <c r="J81" i="773"/>
  <c r="H81" i="773"/>
  <c r="J80" i="773"/>
  <c r="H80" i="773"/>
  <c r="J77" i="773"/>
  <c r="H77" i="773"/>
  <c r="J75" i="773"/>
  <c r="H75" i="773"/>
  <c r="J74" i="773"/>
  <c r="H74" i="773"/>
  <c r="J71" i="773"/>
  <c r="H71" i="773"/>
  <c r="E70" i="773"/>
  <c r="J70" i="773" s="1"/>
  <c r="J68" i="773"/>
  <c r="H68" i="773"/>
  <c r="J67" i="773"/>
  <c r="H67" i="773"/>
  <c r="J66" i="773"/>
  <c r="H66" i="773"/>
  <c r="J65" i="773"/>
  <c r="H65" i="773"/>
  <c r="K65" i="773" s="1"/>
  <c r="J64" i="773"/>
  <c r="H64" i="773"/>
  <c r="J63" i="773"/>
  <c r="H63" i="773"/>
  <c r="J62" i="773"/>
  <c r="H62" i="773"/>
  <c r="K62" i="773" s="1"/>
  <c r="J61" i="773"/>
  <c r="H61" i="773"/>
  <c r="J60" i="773"/>
  <c r="H60" i="773"/>
  <c r="J59" i="773"/>
  <c r="H59" i="773"/>
  <c r="K59" i="773" s="1"/>
  <c r="J58" i="773"/>
  <c r="H58" i="773"/>
  <c r="J57" i="773"/>
  <c r="G57" i="773"/>
  <c r="H57" i="773" s="1"/>
  <c r="J56" i="773"/>
  <c r="H56" i="773"/>
  <c r="J54" i="773"/>
  <c r="H54" i="773"/>
  <c r="J53" i="773"/>
  <c r="H53" i="773"/>
  <c r="O52" i="773"/>
  <c r="J51" i="773"/>
  <c r="H51" i="773"/>
  <c r="J49" i="773"/>
  <c r="H49" i="773"/>
  <c r="J47" i="773"/>
  <c r="H47" i="773"/>
  <c r="K47" i="773" s="1"/>
  <c r="O46" i="773"/>
  <c r="O50" i="773" s="1"/>
  <c r="O54" i="773" s="1"/>
  <c r="J45" i="773"/>
  <c r="H45" i="773"/>
  <c r="K45" i="773" s="1"/>
  <c r="J43" i="773"/>
  <c r="H43" i="773"/>
  <c r="J41" i="773"/>
  <c r="K41" i="773" s="1"/>
  <c r="H41" i="773"/>
  <c r="J40" i="773"/>
  <c r="H40" i="773"/>
  <c r="J39" i="773"/>
  <c r="H39" i="773"/>
  <c r="E38" i="773"/>
  <c r="J38" i="773" s="1"/>
  <c r="B35" i="773"/>
  <c r="U33" i="773"/>
  <c r="T33" i="773"/>
  <c r="S33" i="773"/>
  <c r="R33" i="773"/>
  <c r="P33" i="773"/>
  <c r="O33" i="773"/>
  <c r="O35" i="773" s="1"/>
  <c r="N33" i="773"/>
  <c r="N35" i="773" s="1"/>
  <c r="M33" i="773"/>
  <c r="M35" i="773" s="1"/>
  <c r="B20" i="773"/>
  <c r="A20" i="773"/>
  <c r="B19" i="773"/>
  <c r="A19" i="773"/>
  <c r="J18" i="773"/>
  <c r="H18" i="773"/>
  <c r="B18" i="773"/>
  <c r="A18" i="773"/>
  <c r="B17" i="773"/>
  <c r="A17" i="773"/>
  <c r="B16" i="773"/>
  <c r="A16" i="773"/>
  <c r="B15" i="773"/>
  <c r="A15" i="773"/>
  <c r="B14" i="773"/>
  <c r="A14" i="773"/>
  <c r="B13" i="773"/>
  <c r="A13" i="773"/>
  <c r="B12" i="773"/>
  <c r="A12" i="773"/>
  <c r="K94" i="773" l="1"/>
  <c r="K126" i="773"/>
  <c r="K325" i="773"/>
  <c r="K327" i="773"/>
  <c r="K332" i="773"/>
  <c r="K356" i="773"/>
  <c r="K379" i="773"/>
  <c r="K382" i="773"/>
  <c r="K441" i="773"/>
  <c r="K799" i="773"/>
  <c r="J884" i="773"/>
  <c r="K884" i="773" s="1"/>
  <c r="K978" i="773"/>
  <c r="K984" i="773"/>
  <c r="K1050" i="773"/>
  <c r="K1052" i="773"/>
  <c r="K1119" i="773"/>
  <c r="K1152" i="773"/>
  <c r="K1160" i="773"/>
  <c r="K1206" i="773"/>
  <c r="K1296" i="773"/>
  <c r="K49" i="773"/>
  <c r="K53" i="773"/>
  <c r="K71" i="773"/>
  <c r="K75" i="773"/>
  <c r="K135" i="773"/>
  <c r="K138" i="773"/>
  <c r="K170" i="773"/>
  <c r="K202" i="773"/>
  <c r="K204" i="773"/>
  <c r="N233" i="773"/>
  <c r="K275" i="773"/>
  <c r="K301" i="773"/>
  <c r="K351" i="773"/>
  <c r="K396" i="773"/>
  <c r="K398" i="773"/>
  <c r="K402" i="773"/>
  <c r="K406" i="773"/>
  <c r="N423" i="773"/>
  <c r="K445" i="773"/>
  <c r="K484" i="773"/>
  <c r="K547" i="773"/>
  <c r="K575" i="773"/>
  <c r="K577" i="773"/>
  <c r="K581" i="773"/>
  <c r="K613" i="773"/>
  <c r="K615" i="773"/>
  <c r="K626" i="773"/>
  <c r="K630" i="773"/>
  <c r="K632" i="773"/>
  <c r="K635" i="773"/>
  <c r="K638" i="773"/>
  <c r="K653" i="773"/>
  <c r="K704" i="773"/>
  <c r="K757" i="773"/>
  <c r="K763" i="773"/>
  <c r="K848" i="773"/>
  <c r="K850" i="773"/>
  <c r="K852" i="773"/>
  <c r="K861" i="773"/>
  <c r="K893" i="773"/>
  <c r="K903" i="773"/>
  <c r="K929" i="773"/>
  <c r="K935" i="773"/>
  <c r="K941" i="773"/>
  <c r="K945" i="773"/>
  <c r="K963" i="773"/>
  <c r="K969" i="773"/>
  <c r="K991" i="773"/>
  <c r="K1094" i="773"/>
  <c r="K1199" i="773"/>
  <c r="K1292" i="773"/>
  <c r="K1370" i="773"/>
  <c r="K1404" i="773"/>
  <c r="J1413" i="773"/>
  <c r="K1487" i="773"/>
  <c r="K1497" i="773"/>
  <c r="H1531" i="773"/>
  <c r="J1531" i="773"/>
  <c r="K1966" i="773"/>
  <c r="K1151" i="773"/>
  <c r="K1169" i="773"/>
  <c r="K18" i="773"/>
  <c r="K64" i="773"/>
  <c r="K77" i="773"/>
  <c r="K81" i="773"/>
  <c r="K146" i="773"/>
  <c r="K214" i="773"/>
  <c r="H265" i="773"/>
  <c r="K395" i="773"/>
  <c r="K397" i="773"/>
  <c r="K405" i="773"/>
  <c r="K419" i="773"/>
  <c r="J455" i="773"/>
  <c r="K495" i="773"/>
  <c r="K497" i="773"/>
  <c r="K560" i="773"/>
  <c r="K668" i="773"/>
  <c r="K703" i="773"/>
  <c r="K946" i="773"/>
  <c r="K952" i="773"/>
  <c r="K960" i="773"/>
  <c r="K970" i="773"/>
  <c r="K975" i="773"/>
  <c r="K1009" i="773"/>
  <c r="K1032" i="773"/>
  <c r="K1035" i="773"/>
  <c r="K1040" i="773"/>
  <c r="K1130" i="773"/>
  <c r="J1134" i="773"/>
  <c r="H1136" i="773"/>
  <c r="K1138" i="773"/>
  <c r="K1142" i="773"/>
  <c r="K1172" i="773"/>
  <c r="K1178" i="773"/>
  <c r="K1186" i="773"/>
  <c r="K1194" i="773"/>
  <c r="K1198" i="773"/>
  <c r="K1202" i="773"/>
  <c r="E1205" i="773"/>
  <c r="H1205" i="773" s="1"/>
  <c r="K1216" i="773"/>
  <c r="K1424" i="773"/>
  <c r="K1430" i="773"/>
  <c r="K1433" i="773"/>
  <c r="K1445" i="773"/>
  <c r="K1478" i="773"/>
  <c r="K1482" i="773"/>
  <c r="K1488" i="773"/>
  <c r="K1507" i="773"/>
  <c r="J1516" i="773"/>
  <c r="H1516" i="773"/>
  <c r="J1610" i="773"/>
  <c r="H1610" i="773"/>
  <c r="K2369" i="773"/>
  <c r="K2486" i="773"/>
  <c r="K2661" i="773"/>
  <c r="K2705" i="773"/>
  <c r="K2709" i="773"/>
  <c r="K2714" i="773"/>
  <c r="K2753" i="773"/>
  <c r="K2755" i="773"/>
  <c r="K2921" i="773"/>
  <c r="K2931" i="773"/>
  <c r="K3124" i="773"/>
  <c r="K3130" i="773"/>
  <c r="K3154" i="773"/>
  <c r="K1613" i="773"/>
  <c r="K1615" i="773"/>
  <c r="K1629" i="773"/>
  <c r="K1706" i="773"/>
  <c r="K1871" i="773"/>
  <c r="K1875" i="773"/>
  <c r="K1877" i="773"/>
  <c r="K1879" i="773"/>
  <c r="K1915" i="773"/>
  <c r="K1917" i="773"/>
  <c r="K1920" i="773"/>
  <c r="K1924" i="773"/>
  <c r="K1930" i="773"/>
  <c r="K1934" i="773"/>
  <c r="K1936" i="773"/>
  <c r="K1938" i="773"/>
  <c r="K1958" i="773"/>
  <c r="K1960" i="773"/>
  <c r="K1962" i="773"/>
  <c r="K1977" i="773"/>
  <c r="K1984" i="773"/>
  <c r="K1987" i="773"/>
  <c r="K1989" i="773"/>
  <c r="K2110" i="773"/>
  <c r="K2115" i="773"/>
  <c r="K2117" i="773"/>
  <c r="K2121" i="773"/>
  <c r="K2123" i="773"/>
  <c r="K2125" i="773"/>
  <c r="K2130" i="773"/>
  <c r="K2132" i="773"/>
  <c r="K2479" i="773"/>
  <c r="K2482" i="773"/>
  <c r="K3305" i="773"/>
  <c r="K3317" i="773"/>
  <c r="K3325" i="773"/>
  <c r="K3334" i="773"/>
  <c r="K3345" i="773"/>
  <c r="K3358" i="773"/>
  <c r="J1577" i="773"/>
  <c r="K1598" i="773"/>
  <c r="K1618" i="773"/>
  <c r="K1632" i="773"/>
  <c r="K1723" i="773"/>
  <c r="K1725" i="773"/>
  <c r="K1730" i="773"/>
  <c r="K1732" i="773"/>
  <c r="K1734" i="773"/>
  <c r="K1743" i="773"/>
  <c r="K1745" i="773"/>
  <c r="K1747" i="773"/>
  <c r="K1753" i="773"/>
  <c r="K1755" i="773"/>
  <c r="K1757" i="773"/>
  <c r="K1759" i="773"/>
  <c r="K1764" i="773"/>
  <c r="K1766" i="773"/>
  <c r="K1770" i="773"/>
  <c r="K1772" i="773"/>
  <c r="K1774" i="773"/>
  <c r="K1776" i="773"/>
  <c r="K1791" i="773"/>
  <c r="K1797" i="773"/>
  <c r="K1897" i="773"/>
  <c r="K1967" i="773"/>
  <c r="K1969" i="773"/>
  <c r="K1978" i="773"/>
  <c r="K2170" i="773"/>
  <c r="K2235" i="773"/>
  <c r="K2237" i="773"/>
  <c r="K2239" i="773"/>
  <c r="K2441" i="773"/>
  <c r="K2446" i="773"/>
  <c r="K2469" i="773"/>
  <c r="K2475" i="773"/>
  <c r="K2512" i="773"/>
  <c r="K2590" i="773"/>
  <c r="K2617" i="773"/>
  <c r="K2724" i="773"/>
  <c r="K2783" i="773"/>
  <c r="K2830" i="773"/>
  <c r="K2889" i="773"/>
  <c r="K2954" i="773"/>
  <c r="K2957" i="773"/>
  <c r="K3051" i="773"/>
  <c r="K3117" i="773"/>
  <c r="K3125" i="773"/>
  <c r="K3149" i="773"/>
  <c r="K3151" i="773"/>
  <c r="J3167" i="773"/>
  <c r="H1511" i="773"/>
  <c r="K1521" i="773"/>
  <c r="K1526" i="773"/>
  <c r="K1567" i="773"/>
  <c r="K1578" i="773"/>
  <c r="K1582" i="773"/>
  <c r="K1587" i="773"/>
  <c r="K1589" i="773"/>
  <c r="K1663" i="773"/>
  <c r="K1667" i="773"/>
  <c r="K1679" i="773"/>
  <c r="Z1694" i="773"/>
  <c r="K1697" i="773"/>
  <c r="Z1699" i="773"/>
  <c r="Z1700" i="773"/>
  <c r="Z1702" i="773"/>
  <c r="Z1704" i="773"/>
  <c r="K1878" i="773"/>
  <c r="K1880" i="773"/>
  <c r="K1883" i="773"/>
  <c r="K1885" i="773"/>
  <c r="K1889" i="773"/>
  <c r="K1908" i="773"/>
  <c r="K1914" i="773"/>
  <c r="K1933" i="773"/>
  <c r="K1948" i="773"/>
  <c r="K1952" i="773"/>
  <c r="K1955" i="773"/>
  <c r="K1957" i="773"/>
  <c r="K1959" i="773"/>
  <c r="K1961" i="773"/>
  <c r="K1964" i="773"/>
  <c r="K1990" i="773"/>
  <c r="K1997" i="773"/>
  <c r="K1999" i="773"/>
  <c r="K2003" i="773"/>
  <c r="K2007" i="773"/>
  <c r="K2009" i="773"/>
  <c r="K2012" i="773"/>
  <c r="K2014" i="773"/>
  <c r="K2016" i="773"/>
  <c r="K2018" i="773"/>
  <c r="K2020" i="773"/>
  <c r="K2023" i="773"/>
  <c r="K2071" i="773"/>
  <c r="K2090" i="773"/>
  <c r="K2133" i="773"/>
  <c r="K2149" i="773"/>
  <c r="K2247" i="773"/>
  <c r="K2251" i="773"/>
  <c r="K2256" i="773"/>
  <c r="K2662" i="773"/>
  <c r="K2737" i="773"/>
  <c r="K2744" i="773"/>
  <c r="K2750" i="773"/>
  <c r="K2754" i="773"/>
  <c r="K2784" i="773"/>
  <c r="K2800" i="773"/>
  <c r="K2805" i="773"/>
  <c r="K2810" i="773"/>
  <c r="K2823" i="773"/>
  <c r="K2827" i="773"/>
  <c r="K2829" i="773"/>
  <c r="K2831" i="773"/>
  <c r="K2837" i="773"/>
  <c r="K2840" i="773"/>
  <c r="K2862" i="773"/>
  <c r="K2937" i="773"/>
  <c r="K2939" i="773"/>
  <c r="K2955" i="773"/>
  <c r="K3054" i="773"/>
  <c r="K3072" i="773"/>
  <c r="K3077" i="773"/>
  <c r="K3082" i="773"/>
  <c r="K3093" i="773"/>
  <c r="K3275" i="773"/>
  <c r="K3279" i="773"/>
  <c r="K3294" i="773"/>
  <c r="K3304" i="773"/>
  <c r="J1638" i="773"/>
  <c r="H1638" i="773"/>
  <c r="N38" i="773"/>
  <c r="K166" i="773"/>
  <c r="K225" i="773"/>
  <c r="H280" i="773"/>
  <c r="J280" i="773"/>
  <c r="H469" i="773"/>
  <c r="J469" i="773"/>
  <c r="H846" i="773"/>
  <c r="J846" i="773"/>
  <c r="H896" i="773"/>
  <c r="J896" i="773"/>
  <c r="K56" i="773"/>
  <c r="K80" i="773"/>
  <c r="H105" i="773"/>
  <c r="K105" i="773" s="1"/>
  <c r="K107" i="773"/>
  <c r="K111" i="773"/>
  <c r="K144" i="773"/>
  <c r="K156" i="773"/>
  <c r="K160" i="773"/>
  <c r="K178" i="773"/>
  <c r="K206" i="773"/>
  <c r="K210" i="773"/>
  <c r="K220" i="773"/>
  <c r="K251" i="773"/>
  <c r="K253" i="773"/>
  <c r="H894" i="773"/>
  <c r="J894" i="773"/>
  <c r="H964" i="773"/>
  <c r="E966" i="773"/>
  <c r="J966" i="773" s="1"/>
  <c r="J964" i="773"/>
  <c r="K1191" i="773"/>
  <c r="J976" i="773"/>
  <c r="H976" i="773"/>
  <c r="K54" i="773"/>
  <c r="K60" i="773"/>
  <c r="K74" i="773"/>
  <c r="K85" i="773"/>
  <c r="K87" i="773"/>
  <c r="K92" i="773"/>
  <c r="K96" i="773"/>
  <c r="K101" i="773"/>
  <c r="K104" i="773"/>
  <c r="K106" i="773"/>
  <c r="K108" i="773"/>
  <c r="K110" i="773"/>
  <c r="K112" i="773"/>
  <c r="K114" i="773"/>
  <c r="K123" i="773"/>
  <c r="K131" i="773"/>
  <c r="K134" i="773"/>
  <c r="K153" i="773"/>
  <c r="K157" i="773"/>
  <c r="K159" i="773"/>
  <c r="K186" i="773"/>
  <c r="K190" i="773"/>
  <c r="K196" i="773"/>
  <c r="K199" i="773"/>
  <c r="J738" i="773"/>
  <c r="H738" i="773"/>
  <c r="H813" i="773"/>
  <c r="J813" i="773"/>
  <c r="H1054" i="773"/>
  <c r="J1054" i="773"/>
  <c r="K1246" i="773"/>
  <c r="K254" i="773"/>
  <c r="K256" i="773"/>
  <c r="K258" i="773"/>
  <c r="K263" i="773"/>
  <c r="K344" i="773"/>
  <c r="K358" i="773"/>
  <c r="K386" i="773"/>
  <c r="K400" i="773"/>
  <c r="K403" i="773"/>
  <c r="K407" i="773"/>
  <c r="K456" i="773"/>
  <c r="K460" i="773"/>
  <c r="K471" i="773"/>
  <c r="K478" i="773"/>
  <c r="K482" i="773"/>
  <c r="K487" i="773"/>
  <c r="K489" i="773"/>
  <c r="K494" i="773"/>
  <c r="K496" i="773"/>
  <c r="K499" i="773"/>
  <c r="K505" i="773"/>
  <c r="K508" i="773"/>
  <c r="K514" i="773"/>
  <c r="K520" i="773"/>
  <c r="K523" i="773"/>
  <c r="K531" i="773"/>
  <c r="K623" i="773"/>
  <c r="K654" i="773"/>
  <c r="K710" i="773"/>
  <c r="K716" i="773"/>
  <c r="K719" i="773"/>
  <c r="K786" i="773"/>
  <c r="K790" i="773"/>
  <c r="K796" i="773"/>
  <c r="K855" i="773"/>
  <c r="K867" i="773"/>
  <c r="K871" i="773"/>
  <c r="K875" i="773"/>
  <c r="K956" i="773"/>
  <c r="K967" i="773"/>
  <c r="K1011" i="773"/>
  <c r="K1013" i="773"/>
  <c r="K1034" i="773"/>
  <c r="K1123" i="773"/>
  <c r="K1129" i="773"/>
  <c r="K1137" i="773"/>
  <c r="K1139" i="773"/>
  <c r="K1149" i="773"/>
  <c r="K1180" i="773"/>
  <c r="K1214" i="773"/>
  <c r="K1233" i="773"/>
  <c r="K1323" i="773"/>
  <c r="K1341" i="773"/>
  <c r="K1348" i="773"/>
  <c r="K1410" i="773"/>
  <c r="K270" i="773"/>
  <c r="K277" i="773"/>
  <c r="K285" i="773"/>
  <c r="K290" i="773"/>
  <c r="K294" i="773"/>
  <c r="K451" i="773"/>
  <c r="J550" i="773"/>
  <c r="K557" i="773"/>
  <c r="H571" i="773"/>
  <c r="K582" i="773"/>
  <c r="K598" i="773"/>
  <c r="K628" i="773"/>
  <c r="K655" i="773"/>
  <c r="J660" i="773"/>
  <c r="K660" i="773" s="1"/>
  <c r="K691" i="773"/>
  <c r="K717" i="773"/>
  <c r="K1053" i="773"/>
  <c r="K1055" i="773"/>
  <c r="H1059" i="773"/>
  <c r="K1059" i="773" s="1"/>
  <c r="H1074" i="773"/>
  <c r="K1074" i="773" s="1"/>
  <c r="K1089" i="773"/>
  <c r="K1093" i="773"/>
  <c r="K1099" i="773"/>
  <c r="K1259" i="773"/>
  <c r="J1299" i="773"/>
  <c r="K1299" i="773" s="1"/>
  <c r="H1310" i="773"/>
  <c r="K1310" i="773" s="1"/>
  <c r="H1380" i="773"/>
  <c r="K1382" i="773"/>
  <c r="K1413" i="773"/>
  <c r="K1448" i="773"/>
  <c r="K1501" i="773"/>
  <c r="K1508" i="773"/>
  <c r="K1576" i="773"/>
  <c r="K259" i="773"/>
  <c r="K297" i="773"/>
  <c r="K355" i="773"/>
  <c r="K361" i="773"/>
  <c r="K373" i="773"/>
  <c r="K399" i="773"/>
  <c r="K401" i="773"/>
  <c r="K410" i="773"/>
  <c r="K414" i="773"/>
  <c r="K432" i="773"/>
  <c r="K448" i="773"/>
  <c r="K450" i="773"/>
  <c r="K472" i="773"/>
  <c r="K491" i="773"/>
  <c r="K506" i="773"/>
  <c r="K519" i="773"/>
  <c r="K521" i="773"/>
  <c r="K529" i="773"/>
  <c r="K548" i="773"/>
  <c r="K551" i="773"/>
  <c r="K555" i="773"/>
  <c r="K562" i="773"/>
  <c r="K573" i="773"/>
  <c r="K585" i="773"/>
  <c r="K591" i="773"/>
  <c r="K602" i="773"/>
  <c r="K608" i="773"/>
  <c r="K634" i="773"/>
  <c r="K637" i="773"/>
  <c r="K652" i="773"/>
  <c r="K659" i="773"/>
  <c r="K661" i="773"/>
  <c r="K665" i="773"/>
  <c r="K695" i="773"/>
  <c r="K698" i="773"/>
  <c r="K701" i="773"/>
  <c r="K729" i="773"/>
  <c r="K768" i="773"/>
  <c r="K825" i="773"/>
  <c r="K866" i="773"/>
  <c r="K869" i="773"/>
  <c r="K909" i="773"/>
  <c r="J925" i="773"/>
  <c r="K925" i="773" s="1"/>
  <c r="K938" i="773"/>
  <c r="K988" i="773"/>
  <c r="K1008" i="773"/>
  <c r="K1015" i="773"/>
  <c r="K1019" i="773"/>
  <c r="K1025" i="773"/>
  <c r="K1046" i="773"/>
  <c r="K1058" i="773"/>
  <c r="K1072" i="773"/>
  <c r="K1088" i="773"/>
  <c r="K1090" i="773"/>
  <c r="K1092" i="773"/>
  <c r="K1097" i="773"/>
  <c r="K1109" i="773"/>
  <c r="K1112" i="773"/>
  <c r="K1115" i="773"/>
  <c r="J1124" i="773"/>
  <c r="K1132" i="773"/>
  <c r="K1134" i="773"/>
  <c r="K1136" i="773"/>
  <c r="K1146" i="773"/>
  <c r="K1193" i="773"/>
  <c r="K1213" i="773"/>
  <c r="K1219" i="773"/>
  <c r="K1224" i="773"/>
  <c r="J1232" i="773"/>
  <c r="K1232" i="773" s="1"/>
  <c r="K1250" i="773"/>
  <c r="K1254" i="773"/>
  <c r="K1256" i="773"/>
  <c r="K1268" i="773"/>
  <c r="K1271" i="773"/>
  <c r="K1280" i="773"/>
  <c r="K1298" i="773"/>
  <c r="K1300" i="773"/>
  <c r="K1302" i="773"/>
  <c r="K1428" i="773"/>
  <c r="K1466" i="773"/>
  <c r="K1516" i="773"/>
  <c r="K1519" i="773"/>
  <c r="K1527" i="773"/>
  <c r="K1535" i="773"/>
  <c r="K1549" i="773"/>
  <c r="K1556" i="773"/>
  <c r="K1568" i="773"/>
  <c r="H1570" i="773"/>
  <c r="K1570" i="773" s="1"/>
  <c r="K1573" i="773"/>
  <c r="K1584" i="773"/>
  <c r="H1592" i="773"/>
  <c r="K1592" i="773" s="1"/>
  <c r="K1600" i="773"/>
  <c r="K1611" i="773"/>
  <c r="K1676" i="773"/>
  <c r="K1709" i="773"/>
  <c r="K1792" i="773"/>
  <c r="K1946" i="773"/>
  <c r="K1965" i="773"/>
  <c r="K2001" i="773"/>
  <c r="K2119" i="773"/>
  <c r="K2311" i="773"/>
  <c r="K2318" i="773"/>
  <c r="K2324" i="773"/>
  <c r="K2357" i="773"/>
  <c r="K2514" i="773"/>
  <c r="K2545" i="773"/>
  <c r="K2551" i="773"/>
  <c r="K1616" i="773"/>
  <c r="K1635" i="773"/>
  <c r="K1637" i="773"/>
  <c r="K1643" i="773"/>
  <c r="K1649" i="773"/>
  <c r="K1659" i="773"/>
  <c r="K1670" i="773"/>
  <c r="K1672" i="773"/>
  <c r="Z1696" i="773"/>
  <c r="K1721" i="773"/>
  <c r="K1736" i="773"/>
  <c r="K1761" i="773"/>
  <c r="K1780" i="773"/>
  <c r="K1782" i="773"/>
  <c r="K1799" i="773"/>
  <c r="K1802" i="773"/>
  <c r="K1806" i="773"/>
  <c r="K1809" i="773"/>
  <c r="K1826" i="773"/>
  <c r="K1841" i="773"/>
  <c r="K1858" i="773"/>
  <c r="K1867" i="773"/>
  <c r="K1873" i="773"/>
  <c r="K1950" i="773"/>
  <c r="K1980" i="773"/>
  <c r="K1991" i="773"/>
  <c r="K1993" i="773"/>
  <c r="K1998" i="773"/>
  <c r="K2002" i="773"/>
  <c r="K2008" i="773"/>
  <c r="K2013" i="773"/>
  <c r="K2015" i="773"/>
  <c r="K2033" i="773"/>
  <c r="K2057" i="773"/>
  <c r="K2118" i="773"/>
  <c r="K2120" i="773"/>
  <c r="K2122" i="773"/>
  <c r="K2127" i="773"/>
  <c r="K2157" i="773"/>
  <c r="K2161" i="773"/>
  <c r="K2175" i="773"/>
  <c r="K2189" i="773"/>
  <c r="K2193" i="773"/>
  <c r="K2206" i="773"/>
  <c r="K2371" i="773"/>
  <c r="K2390" i="773"/>
  <c r="K2394" i="773"/>
  <c r="K2402" i="773"/>
  <c r="K2406" i="773"/>
  <c r="K2430" i="773"/>
  <c r="K2498" i="773"/>
  <c r="K2511" i="773"/>
  <c r="K2513" i="773"/>
  <c r="H2879" i="773"/>
  <c r="J2879" i="773"/>
  <c r="J2942" i="773"/>
  <c r="H2942" i="773"/>
  <c r="E3145" i="773"/>
  <c r="J3144" i="773"/>
  <c r="H3286" i="773"/>
  <c r="J3286" i="773"/>
  <c r="K1604" i="773"/>
  <c r="K1703" i="773"/>
  <c r="K1705" i="773"/>
  <c r="N1705" i="773" s="1"/>
  <c r="Z1709" i="773"/>
  <c r="K1712" i="773"/>
  <c r="K1715" i="773"/>
  <c r="K1722" i="773"/>
  <c r="K1733" i="773"/>
  <c r="K1737" i="773"/>
  <c r="K1741" i="773"/>
  <c r="K1746" i="773"/>
  <c r="K1752" i="773"/>
  <c r="K1756" i="773"/>
  <c r="K1760" i="773"/>
  <c r="K1765" i="773"/>
  <c r="K1769" i="773"/>
  <c r="K1771" i="773"/>
  <c r="K1773" i="773"/>
  <c r="K1775" i="773"/>
  <c r="K1789" i="773"/>
  <c r="K1793" i="773"/>
  <c r="K1814" i="773"/>
  <c r="K1816" i="773"/>
  <c r="K1818" i="773"/>
  <c r="K1820" i="773"/>
  <c r="K1823" i="773"/>
  <c r="K1825" i="773"/>
  <c r="K1827" i="773"/>
  <c r="K1829" i="773"/>
  <c r="K1835" i="773"/>
  <c r="K1846" i="773"/>
  <c r="K1849" i="773"/>
  <c r="K1851" i="773"/>
  <c r="K1853" i="773"/>
  <c r="K1862" i="773"/>
  <c r="K1864" i="773"/>
  <c r="K1866" i="773"/>
  <c r="K1872" i="773"/>
  <c r="K1874" i="773"/>
  <c r="K1876" i="773"/>
  <c r="K1886" i="773"/>
  <c r="K1892" i="773"/>
  <c r="K1894" i="773"/>
  <c r="K1925" i="773"/>
  <c r="K1968" i="773"/>
  <c r="K1970" i="773"/>
  <c r="K1974" i="773"/>
  <c r="K1986" i="773"/>
  <c r="K2024" i="773"/>
  <c r="K2030" i="773"/>
  <c r="K2032" i="773"/>
  <c r="K2037" i="773"/>
  <c r="K2039" i="773"/>
  <c r="K2042" i="773"/>
  <c r="K2045" i="773"/>
  <c r="K2049" i="773"/>
  <c r="K2051" i="773"/>
  <c r="K2053" i="773"/>
  <c r="K2056" i="773"/>
  <c r="K2058" i="773"/>
  <c r="K2060" i="773"/>
  <c r="K2062" i="773"/>
  <c r="K2066" i="773"/>
  <c r="K2072" i="773"/>
  <c r="K2074" i="773"/>
  <c r="K2078" i="773"/>
  <c r="K2081" i="773"/>
  <c r="K2083" i="773"/>
  <c r="K2085" i="773"/>
  <c r="K2087" i="773"/>
  <c r="K2089" i="773"/>
  <c r="K2091" i="773"/>
  <c r="K2096" i="773"/>
  <c r="K2098" i="773"/>
  <c r="K2101" i="773"/>
  <c r="K2104" i="773"/>
  <c r="K2106" i="773"/>
  <c r="K2108" i="773"/>
  <c r="K2126" i="773"/>
  <c r="K2129" i="773"/>
  <c r="K2131" i="773"/>
  <c r="K2136" i="773"/>
  <c r="K2139" i="773"/>
  <c r="K2141" i="773"/>
  <c r="K2143" i="773"/>
  <c r="K2147" i="773"/>
  <c r="K2152" i="773"/>
  <c r="K2163" i="773"/>
  <c r="K2165" i="773"/>
  <c r="K2167" i="773"/>
  <c r="K2169" i="773"/>
  <c r="K2181" i="773"/>
  <c r="K2185" i="773"/>
  <c r="K2188" i="773"/>
  <c r="K2190" i="773"/>
  <c r="K2192" i="773"/>
  <c r="K2197" i="773"/>
  <c r="K2201" i="773"/>
  <c r="K2205" i="773"/>
  <c r="K2207" i="773"/>
  <c r="K2225" i="773"/>
  <c r="K2246" i="773"/>
  <c r="K2250" i="773"/>
  <c r="K2252" i="773"/>
  <c r="K2254" i="773"/>
  <c r="K2263" i="773"/>
  <c r="K2270" i="773"/>
  <c r="K2272" i="773"/>
  <c r="K2280" i="773"/>
  <c r="K2282" i="773"/>
  <c r="K2286" i="773"/>
  <c r="K2289" i="773"/>
  <c r="K2297" i="773"/>
  <c r="K2304" i="773"/>
  <c r="K2308" i="773"/>
  <c r="K2310" i="773"/>
  <c r="K2315" i="773"/>
  <c r="K2317" i="773"/>
  <c r="K2319" i="773"/>
  <c r="K2321" i="773"/>
  <c r="K2323" i="773"/>
  <c r="K2325" i="773"/>
  <c r="K2328" i="773"/>
  <c r="K2330" i="773"/>
  <c r="K2332" i="773"/>
  <c r="K2345" i="773"/>
  <c r="K2350" i="773"/>
  <c r="K2356" i="773"/>
  <c r="K2370" i="773"/>
  <c r="K2372" i="773"/>
  <c r="K2385" i="773"/>
  <c r="K2387" i="773"/>
  <c r="K2401" i="773"/>
  <c r="K2403" i="773"/>
  <c r="K2405" i="773"/>
  <c r="K2408" i="773"/>
  <c r="K2410" i="773"/>
  <c r="K2417" i="773"/>
  <c r="K2420" i="773"/>
  <c r="K2422" i="773"/>
  <c r="K2434" i="773"/>
  <c r="K2437" i="773"/>
  <c r="K2439" i="773"/>
  <c r="K2445" i="773"/>
  <c r="K2449" i="773"/>
  <c r="K2456" i="773"/>
  <c r="K2463" i="773"/>
  <c r="K2471" i="773"/>
  <c r="K2474" i="773"/>
  <c r="K2497" i="773"/>
  <c r="K2518" i="773"/>
  <c r="K2524" i="773"/>
  <c r="K2526" i="773"/>
  <c r="K2529" i="773"/>
  <c r="K2583" i="773"/>
  <c r="K2591" i="773"/>
  <c r="J2693" i="773"/>
  <c r="H2693" i="773"/>
  <c r="K2693" i="773" s="1"/>
  <c r="J2788" i="773"/>
  <c r="H2788" i="773"/>
  <c r="E3134" i="773"/>
  <c r="J3134" i="773" s="1"/>
  <c r="J3133" i="773"/>
  <c r="K2861" i="773"/>
  <c r="K2959" i="773"/>
  <c r="K3126" i="773"/>
  <c r="K3171" i="773"/>
  <c r="K3179" i="773"/>
  <c r="K3198" i="773"/>
  <c r="K3218" i="773"/>
  <c r="N3218" i="773" s="1"/>
  <c r="O3218" i="773" s="1"/>
  <c r="K3256" i="773"/>
  <c r="K2642" i="773"/>
  <c r="K2651" i="773"/>
  <c r="J2665" i="773"/>
  <c r="J2668" i="773"/>
  <c r="H2758" i="773"/>
  <c r="K2758" i="773" s="1"/>
  <c r="K2770" i="773"/>
  <c r="K2774" i="773"/>
  <c r="J2782" i="773"/>
  <c r="K2782" i="773" s="1"/>
  <c r="K2844" i="773"/>
  <c r="K2865" i="773"/>
  <c r="H2878" i="773"/>
  <c r="K2878" i="773" s="1"/>
  <c r="K2919" i="773"/>
  <c r="K2961" i="773"/>
  <c r="K3017" i="773"/>
  <c r="J3022" i="773"/>
  <c r="K3022" i="773" s="1"/>
  <c r="K3026" i="773"/>
  <c r="J3032" i="773"/>
  <c r="K3032" i="773" s="1"/>
  <c r="E3062" i="773"/>
  <c r="H3062" i="773" s="1"/>
  <c r="H3118" i="773"/>
  <c r="K3118" i="773" s="1"/>
  <c r="K3212" i="773"/>
  <c r="K3221" i="773"/>
  <c r="N3221" i="773" s="1"/>
  <c r="O3221" i="773" s="1"/>
  <c r="K3253" i="773"/>
  <c r="N3253" i="773" s="1"/>
  <c r="H3266" i="773"/>
  <c r="K2610" i="773"/>
  <c r="K2612" i="773"/>
  <c r="K2614" i="773"/>
  <c r="K2623" i="773"/>
  <c r="K2626" i="773"/>
  <c r="K2630" i="773"/>
  <c r="K2637" i="773"/>
  <c r="K2639" i="773"/>
  <c r="K2643" i="773"/>
  <c r="K2645" i="773"/>
  <c r="K2653" i="773"/>
  <c r="K2656" i="773"/>
  <c r="K2682" i="773"/>
  <c r="K2684" i="773"/>
  <c r="K2704" i="773"/>
  <c r="K2722" i="773"/>
  <c r="K2752" i="773"/>
  <c r="K2769" i="773"/>
  <c r="K2771" i="773"/>
  <c r="K2773" i="773"/>
  <c r="K2778" i="773"/>
  <c r="H2787" i="773"/>
  <c r="K2787" i="773" s="1"/>
  <c r="K2797" i="773"/>
  <c r="K2801" i="773"/>
  <c r="K2806" i="773"/>
  <c r="K2811" i="773"/>
  <c r="K2814" i="773"/>
  <c r="K2816" i="773"/>
  <c r="K2822" i="773"/>
  <c r="K2843" i="773"/>
  <c r="K2860" i="773"/>
  <c r="K2867" i="773"/>
  <c r="K2883" i="773"/>
  <c r="K2887" i="773"/>
  <c r="K2895" i="773"/>
  <c r="K2898" i="773"/>
  <c r="K2914" i="773"/>
  <c r="K2927" i="773"/>
  <c r="K2933" i="773"/>
  <c r="K2952" i="773"/>
  <c r="K2977" i="773"/>
  <c r="K2979" i="773"/>
  <c r="K2984" i="773"/>
  <c r="K2989" i="773"/>
  <c r="K2994" i="773"/>
  <c r="K2996" i="773"/>
  <c r="K2998" i="773"/>
  <c r="K3006" i="773"/>
  <c r="K3015" i="773"/>
  <c r="K3018" i="773"/>
  <c r="K3021" i="773"/>
  <c r="K3025" i="773"/>
  <c r="K3028" i="773"/>
  <c r="K3041" i="773"/>
  <c r="K3056" i="773"/>
  <c r="J3059" i="773"/>
  <c r="K3059" i="773" s="1"/>
  <c r="K3073" i="773"/>
  <c r="K3078" i="773"/>
  <c r="K3084" i="773"/>
  <c r="K3088" i="773"/>
  <c r="K3094" i="773"/>
  <c r="E3119" i="773"/>
  <c r="J3119" i="773" s="1"/>
  <c r="K3159" i="773"/>
  <c r="K3214" i="773"/>
  <c r="N3214" i="773" s="1"/>
  <c r="K3220" i="773"/>
  <c r="N3220" i="773" s="1"/>
  <c r="O3220" i="773" s="1"/>
  <c r="K3241" i="773"/>
  <c r="N3241" i="773" s="1"/>
  <c r="O3241" i="773" s="1"/>
  <c r="K3246" i="773"/>
  <c r="K3269" i="773"/>
  <c r="K3273" i="773"/>
  <c r="N3273" i="773" s="1"/>
  <c r="K3282" i="773"/>
  <c r="H3290" i="773"/>
  <c r="K3315" i="773"/>
  <c r="K3321" i="773"/>
  <c r="K3340" i="773"/>
  <c r="K3353" i="773"/>
  <c r="K3365" i="773"/>
  <c r="K40" i="773"/>
  <c r="K66" i="773"/>
  <c r="K155" i="773"/>
  <c r="K207" i="773"/>
  <c r="K224" i="773"/>
  <c r="K238" i="773"/>
  <c r="K357" i="773"/>
  <c r="K374" i="773"/>
  <c r="K434" i="773"/>
  <c r="K467" i="773"/>
  <c r="K485" i="773"/>
  <c r="K750" i="773"/>
  <c r="J1550" i="773"/>
  <c r="H1550" i="773"/>
  <c r="K1828" i="773"/>
  <c r="K89" i="773"/>
  <c r="K169" i="773"/>
  <c r="K188" i="773"/>
  <c r="K197" i="773"/>
  <c r="K208" i="773"/>
  <c r="K255" i="773"/>
  <c r="K265" i="773"/>
  <c r="K276" i="773"/>
  <c r="K283" i="773"/>
  <c r="K326" i="773"/>
  <c r="K334" i="773"/>
  <c r="K346" i="773"/>
  <c r="K393" i="773"/>
  <c r="K459" i="773"/>
  <c r="K476" i="773"/>
  <c r="K617" i="773"/>
  <c r="H1468" i="773"/>
  <c r="J1468" i="773"/>
  <c r="K61" i="773"/>
  <c r="K67" i="773"/>
  <c r="K83" i="773"/>
  <c r="K130" i="773"/>
  <c r="K181" i="773"/>
  <c r="K240" i="773"/>
  <c r="K249" i="773"/>
  <c r="K296" i="773"/>
  <c r="K316" i="773"/>
  <c r="K364" i="773"/>
  <c r="K375" i="773"/>
  <c r="K436" i="773"/>
  <c r="K452" i="773"/>
  <c r="K502" i="773"/>
  <c r="K595" i="773"/>
  <c r="K674" i="773"/>
  <c r="J1673" i="773"/>
  <c r="H1673" i="773"/>
  <c r="J583" i="773"/>
  <c r="J3031" i="773"/>
  <c r="H3031" i="773"/>
  <c r="K43" i="773"/>
  <c r="K51" i="773"/>
  <c r="K68" i="773"/>
  <c r="K113" i="773"/>
  <c r="K172" i="773"/>
  <c r="K218" i="773"/>
  <c r="K242" i="773"/>
  <c r="K269" i="773"/>
  <c r="K349" i="773"/>
  <c r="K404" i="773"/>
  <c r="K428" i="773"/>
  <c r="K438" i="773"/>
  <c r="K444" i="773"/>
  <c r="K462" i="773"/>
  <c r="K470" i="773"/>
  <c r="K480" i="773"/>
  <c r="K492" i="773"/>
  <c r="H727" i="773"/>
  <c r="J727" i="773"/>
  <c r="H1126" i="773"/>
  <c r="J1126" i="773"/>
  <c r="K57" i="773"/>
  <c r="K63" i="773"/>
  <c r="K152" i="773"/>
  <c r="K163" i="773"/>
  <c r="K183" i="773"/>
  <c r="K200" i="773"/>
  <c r="K234" i="773"/>
  <c r="K244" i="773"/>
  <c r="K252" i="773"/>
  <c r="K299" i="773"/>
  <c r="K309" i="773"/>
  <c r="K320" i="773"/>
  <c r="K368" i="773"/>
  <c r="K388" i="773"/>
  <c r="K413" i="773"/>
  <c r="K421" i="773"/>
  <c r="K488" i="773"/>
  <c r="K1173" i="773"/>
  <c r="J2487" i="773"/>
  <c r="H2487" i="773"/>
  <c r="K583" i="773"/>
  <c r="H971" i="773"/>
  <c r="J971" i="773"/>
  <c r="E649" i="773"/>
  <c r="J649" i="773" s="1"/>
  <c r="H647" i="773"/>
  <c r="K647" i="773" s="1"/>
  <c r="H38" i="773"/>
  <c r="K58" i="773"/>
  <c r="H133" i="773"/>
  <c r="K148" i="773"/>
  <c r="K177" i="773"/>
  <c r="K201" i="773"/>
  <c r="K235" i="773"/>
  <c r="K246" i="773"/>
  <c r="K300" i="773"/>
  <c r="K305" i="773"/>
  <c r="K340" i="773"/>
  <c r="K360" i="773"/>
  <c r="K550" i="773"/>
  <c r="K879" i="773"/>
  <c r="K1079" i="773"/>
  <c r="K1168" i="773"/>
  <c r="J2848" i="773"/>
  <c r="H2848" i="773"/>
  <c r="K2848" i="773" s="1"/>
  <c r="K303" i="773"/>
  <c r="K165" i="773"/>
  <c r="K115" i="773"/>
  <c r="K211" i="773"/>
  <c r="J670" i="773"/>
  <c r="K670" i="773" s="1"/>
  <c r="K39" i="773"/>
  <c r="K392" i="773"/>
  <c r="K416" i="773"/>
  <c r="K474" i="773"/>
  <c r="K533" i="773"/>
  <c r="K949" i="773"/>
  <c r="K513" i="773"/>
  <c r="K539" i="773"/>
  <c r="K561" i="773"/>
  <c r="K605" i="773"/>
  <c r="K622" i="773"/>
  <c r="K686" i="773"/>
  <c r="K700" i="773"/>
  <c r="K709" i="773"/>
  <c r="K772" i="773"/>
  <c r="K822" i="773"/>
  <c r="K865" i="773"/>
  <c r="K908" i="773"/>
  <c r="K922" i="773"/>
  <c r="K937" i="773"/>
  <c r="K954" i="773"/>
  <c r="K1027" i="773"/>
  <c r="K1047" i="773"/>
  <c r="H1124" i="773"/>
  <c r="K1124" i="773" s="1"/>
  <c r="K1135" i="773"/>
  <c r="K1181" i="773"/>
  <c r="K1190" i="773"/>
  <c r="K1221" i="773"/>
  <c r="J1249" i="773"/>
  <c r="K1249" i="773" s="1"/>
  <c r="K1265" i="773"/>
  <c r="K1283" i="773"/>
  <c r="K1390" i="773"/>
  <c r="K1425" i="773"/>
  <c r="K1435" i="773"/>
  <c r="K1447" i="773"/>
  <c r="K1554" i="773"/>
  <c r="K1638" i="773"/>
  <c r="K1650" i="773"/>
  <c r="K1685" i="773"/>
  <c r="K1728" i="773"/>
  <c r="K1740" i="773"/>
  <c r="K1805" i="773"/>
  <c r="K1833" i="773"/>
  <c r="K1847" i="773"/>
  <c r="K1859" i="773"/>
  <c r="K1972" i="773"/>
  <c r="K2017" i="773"/>
  <c r="K2243" i="773"/>
  <c r="K2343" i="773"/>
  <c r="K2496" i="773"/>
  <c r="E2577" i="773"/>
  <c r="J2577" i="773" s="1"/>
  <c r="J2572" i="773"/>
  <c r="K2572" i="773" s="1"/>
  <c r="K2618" i="773"/>
  <c r="K2777" i="773"/>
  <c r="K2951" i="773"/>
  <c r="K3069" i="773"/>
  <c r="K3148" i="773"/>
  <c r="K3283" i="773"/>
  <c r="K540" i="773"/>
  <c r="K739" i="773"/>
  <c r="K807" i="773"/>
  <c r="K814" i="773"/>
  <c r="K1111" i="773"/>
  <c r="K1207" i="773"/>
  <c r="K1503" i="773"/>
  <c r="K1854" i="773"/>
  <c r="K2238" i="773"/>
  <c r="K525" i="773"/>
  <c r="K616" i="773"/>
  <c r="K640" i="773"/>
  <c r="K671" i="773"/>
  <c r="J689" i="773"/>
  <c r="K689" i="773" s="1"/>
  <c r="E728" i="773"/>
  <c r="J728" i="773" s="1"/>
  <c r="K740" i="773"/>
  <c r="K808" i="773"/>
  <c r="K843" i="773"/>
  <c r="K858" i="773"/>
  <c r="E886" i="773"/>
  <c r="J886" i="773" s="1"/>
  <c r="K898" i="773"/>
  <c r="K947" i="773"/>
  <c r="J965" i="773"/>
  <c r="E1049" i="773"/>
  <c r="K1054" i="773"/>
  <c r="K1175" i="773"/>
  <c r="K1208" i="773"/>
  <c r="K1251" i="773"/>
  <c r="K1295" i="773"/>
  <c r="J1374" i="773"/>
  <c r="K1393" i="773"/>
  <c r="K1419" i="773"/>
  <c r="K1490" i="773"/>
  <c r="K1506" i="773"/>
  <c r="K1517" i="773"/>
  <c r="K1528" i="773"/>
  <c r="K1544" i="773"/>
  <c r="K1588" i="773"/>
  <c r="K1594" i="773"/>
  <c r="K1602" i="773"/>
  <c r="K1639" i="773"/>
  <c r="J1652" i="773"/>
  <c r="K1658" i="773"/>
  <c r="K1687" i="773"/>
  <c r="Z1705" i="773"/>
  <c r="K1724" i="773"/>
  <c r="K1790" i="773"/>
  <c r="K1800" i="773"/>
  <c r="K1843" i="773"/>
  <c r="K1891" i="773"/>
  <c r="K1949" i="773"/>
  <c r="K2124" i="773"/>
  <c r="K2226" i="773"/>
  <c r="K2233" i="773"/>
  <c r="K2409" i="773"/>
  <c r="K2461" i="773"/>
  <c r="K2468" i="773"/>
  <c r="K2594" i="773"/>
  <c r="K2669" i="773"/>
  <c r="K2679" i="773"/>
  <c r="K2828" i="773"/>
  <c r="H2842" i="773"/>
  <c r="K3010" i="773"/>
  <c r="H597" i="773"/>
  <c r="K597" i="773" s="1"/>
  <c r="H611" i="773"/>
  <c r="K611" i="773" s="1"/>
  <c r="K1131" i="773"/>
  <c r="K3052" i="773"/>
  <c r="K527" i="773"/>
  <c r="K536" i="773"/>
  <c r="K569" i="773"/>
  <c r="K625" i="773"/>
  <c r="K642" i="773"/>
  <c r="K651" i="773"/>
  <c r="K711" i="773"/>
  <c r="K791" i="773"/>
  <c r="K828" i="773"/>
  <c r="K846" i="773"/>
  <c r="K860" i="773"/>
  <c r="K899" i="773"/>
  <c r="H911" i="773"/>
  <c r="K911" i="773" s="1"/>
  <c r="K932" i="773"/>
  <c r="J1070" i="773"/>
  <c r="K1070" i="773" s="1"/>
  <c r="K1127" i="773"/>
  <c r="J1148" i="773"/>
  <c r="K1170" i="773"/>
  <c r="K1177" i="773"/>
  <c r="H1475" i="773"/>
  <c r="K1475" i="773" s="1"/>
  <c r="K1628" i="773"/>
  <c r="J1653" i="773"/>
  <c r="K1750" i="773"/>
  <c r="K1768" i="773"/>
  <c r="K1807" i="773"/>
  <c r="K1844" i="773"/>
  <c r="K1869" i="773"/>
  <c r="K1887" i="773"/>
  <c r="K1910" i="773"/>
  <c r="K1929" i="773"/>
  <c r="K1956" i="773"/>
  <c r="K2213" i="773"/>
  <c r="K2221" i="773"/>
  <c r="K2525" i="773"/>
  <c r="K2533" i="773"/>
  <c r="K2708" i="773"/>
  <c r="K2821" i="773"/>
  <c r="H993" i="773"/>
  <c r="K993" i="773" s="1"/>
  <c r="K1243" i="773"/>
  <c r="H1313" i="773"/>
  <c r="K1313" i="773" s="1"/>
  <c r="H1329" i="773"/>
  <c r="K1329" i="773" s="1"/>
  <c r="K2936" i="773"/>
  <c r="K2995" i="773"/>
  <c r="K576" i="773"/>
  <c r="K721" i="773"/>
  <c r="K730" i="773"/>
  <c r="K769" i="773"/>
  <c r="K802" i="773"/>
  <c r="K912" i="773"/>
  <c r="K968" i="773"/>
  <c r="K973" i="773"/>
  <c r="J1203" i="773"/>
  <c r="K1203" i="773" s="1"/>
  <c r="J1229" i="773"/>
  <c r="K1396" i="773"/>
  <c r="H1470" i="773"/>
  <c r="K1470" i="773" s="1"/>
  <c r="K1485" i="773"/>
  <c r="H1552" i="773"/>
  <c r="K1552" i="773" s="1"/>
  <c r="J1675" i="773"/>
  <c r="H1717" i="773"/>
  <c r="H15" i="773" s="1"/>
  <c r="K1863" i="773"/>
  <c r="K1882" i="773"/>
  <c r="K1888" i="773"/>
  <c r="K1893" i="773"/>
  <c r="K1899" i="773"/>
  <c r="K1916" i="773"/>
  <c r="K1935" i="773"/>
  <c r="K1995" i="773"/>
  <c r="K2048" i="773"/>
  <c r="K2088" i="773"/>
  <c r="K2261" i="773"/>
  <c r="K2267" i="773"/>
  <c r="K2699" i="773"/>
  <c r="K3329" i="773"/>
  <c r="K542" i="773"/>
  <c r="K571" i="773"/>
  <c r="K618" i="773"/>
  <c r="K643" i="773"/>
  <c r="K680" i="773"/>
  <c r="K713" i="773"/>
  <c r="K731" i="773"/>
  <c r="K770" i="773"/>
  <c r="K777" i="773"/>
  <c r="K793" i="773"/>
  <c r="K811" i="773"/>
  <c r="H830" i="773"/>
  <c r="K830" i="773" s="1"/>
  <c r="K927" i="773"/>
  <c r="K950" i="773"/>
  <c r="K994" i="773"/>
  <c r="K1023" i="773"/>
  <c r="K1100" i="773"/>
  <c r="K1108" i="773"/>
  <c r="K1230" i="773"/>
  <c r="K1272" i="773"/>
  <c r="K1282" i="773"/>
  <c r="K1305" i="773"/>
  <c r="K1330" i="773"/>
  <c r="K1383" i="773"/>
  <c r="K1401" i="773"/>
  <c r="K1432" i="773"/>
  <c r="K1442" i="773"/>
  <c r="K1471" i="773"/>
  <c r="K1486" i="773"/>
  <c r="K1514" i="773"/>
  <c r="K1537" i="773"/>
  <c r="K1574" i="773"/>
  <c r="K1591" i="773"/>
  <c r="K1607" i="773"/>
  <c r="K1630" i="773"/>
  <c r="K1636" i="773"/>
  <c r="K1645" i="773"/>
  <c r="H1660" i="773"/>
  <c r="K1660" i="773" s="1"/>
  <c r="K1671" i="773"/>
  <c r="K1681" i="773"/>
  <c r="K1708" i="773"/>
  <c r="K1738" i="773"/>
  <c r="K1781" i="773"/>
  <c r="K1803" i="773"/>
  <c r="K1840" i="773"/>
  <c r="K1845" i="773"/>
  <c r="K1857" i="773"/>
  <c r="K2028" i="773"/>
  <c r="K2035" i="773"/>
  <c r="K2145" i="773"/>
  <c r="K2195" i="773"/>
  <c r="K2379" i="773"/>
  <c r="K2649" i="773"/>
  <c r="J2664" i="773"/>
  <c r="H2664" i="773"/>
  <c r="K3047" i="773"/>
  <c r="K2923" i="773"/>
  <c r="E572" i="773"/>
  <c r="J572" i="773" s="1"/>
  <c r="K620" i="773"/>
  <c r="K683" i="773"/>
  <c r="K707" i="773"/>
  <c r="K747" i="773"/>
  <c r="K760" i="773"/>
  <c r="K831" i="773"/>
  <c r="K943" i="773"/>
  <c r="K1167" i="773"/>
  <c r="K1379" i="773"/>
  <c r="K1387" i="773"/>
  <c r="K1515" i="773"/>
  <c r="K1553" i="773"/>
  <c r="K1575" i="773"/>
  <c r="H1597" i="773"/>
  <c r="K1597" i="773" s="1"/>
  <c r="K1620" i="773"/>
  <c r="K1661" i="773"/>
  <c r="K1683" i="773"/>
  <c r="K1727" i="773"/>
  <c r="K1787" i="773"/>
  <c r="E3156" i="773"/>
  <c r="J3156" i="773" s="1"/>
  <c r="J3155" i="773"/>
  <c r="K835" i="773"/>
  <c r="K849" i="773"/>
  <c r="K1010" i="773"/>
  <c r="K1075" i="773"/>
  <c r="K1318" i="773"/>
  <c r="K1417" i="773"/>
  <c r="K1608" i="773"/>
  <c r="K1884" i="773"/>
  <c r="K1901" i="773"/>
  <c r="K1918" i="773"/>
  <c r="K1937" i="773"/>
  <c r="K2183" i="773"/>
  <c r="K2329" i="773"/>
  <c r="K2624" i="773"/>
  <c r="K2691" i="773"/>
  <c r="J2790" i="773"/>
  <c r="H2790" i="773"/>
  <c r="K2875" i="773"/>
  <c r="K3030" i="773"/>
  <c r="K3075" i="773"/>
  <c r="H3155" i="773"/>
  <c r="J3228" i="773"/>
  <c r="H3228" i="773"/>
  <c r="K3301" i="773"/>
  <c r="K1971" i="773"/>
  <c r="K1994" i="773"/>
  <c r="K2000" i="773"/>
  <c r="K2010" i="773"/>
  <c r="K2022" i="773"/>
  <c r="K2047" i="773"/>
  <c r="K2177" i="773"/>
  <c r="K2182" i="773"/>
  <c r="K2194" i="773"/>
  <c r="K2220" i="773"/>
  <c r="K2232" i="773"/>
  <c r="K2316" i="773"/>
  <c r="K2342" i="773"/>
  <c r="K2349" i="773"/>
  <c r="K2386" i="773"/>
  <c r="K2509" i="773"/>
  <c r="H2515" i="773"/>
  <c r="K2515" i="773" s="1"/>
  <c r="K2531" i="773"/>
  <c r="K2538" i="773"/>
  <c r="J2575" i="773"/>
  <c r="K2611" i="773"/>
  <c r="K2647" i="773"/>
  <c r="K2668" i="773"/>
  <c r="K2678" i="773"/>
  <c r="E2697" i="773"/>
  <c r="K2776" i="773"/>
  <c r="K2788" i="773"/>
  <c r="K2834" i="773"/>
  <c r="K2874" i="773"/>
  <c r="K2903" i="773"/>
  <c r="K2922" i="773"/>
  <c r="J2940" i="773"/>
  <c r="K2950" i="773"/>
  <c r="K2981" i="773"/>
  <c r="K3002" i="773"/>
  <c r="K3009" i="773"/>
  <c r="K3023" i="773"/>
  <c r="J3029" i="773"/>
  <c r="K3029" i="773" s="1"/>
  <c r="K3040" i="773"/>
  <c r="J3058" i="773"/>
  <c r="K3058" i="773" s="1"/>
  <c r="K3081" i="773"/>
  <c r="K3137" i="773"/>
  <c r="K3160" i="773"/>
  <c r="K3261" i="773"/>
  <c r="N3261" i="773" s="1"/>
  <c r="K3271" i="773"/>
  <c r="K3308" i="773"/>
  <c r="K3076" i="773"/>
  <c r="K3127" i="773"/>
  <c r="K3163" i="773"/>
  <c r="K3238" i="773"/>
  <c r="N3238" i="773" s="1"/>
  <c r="O3238" i="773" s="1"/>
  <c r="K3278" i="773"/>
  <c r="K3302" i="773"/>
  <c r="K2168" i="773"/>
  <c r="K2504" i="773"/>
  <c r="K2561" i="773"/>
  <c r="K2657" i="773"/>
  <c r="K3222" i="773"/>
  <c r="N3222" i="773" s="1"/>
  <c r="O3222" i="773" s="1"/>
  <c r="K1973" i="773"/>
  <c r="K2305" i="773"/>
  <c r="H2423" i="773"/>
  <c r="K2423" i="773" s="1"/>
  <c r="K2613" i="773"/>
  <c r="H2687" i="773"/>
  <c r="K2687" i="773" s="1"/>
  <c r="K2716" i="773"/>
  <c r="K2739" i="773"/>
  <c r="K2772" i="773"/>
  <c r="K2794" i="773"/>
  <c r="K2815" i="773"/>
  <c r="H2849" i="773"/>
  <c r="K2849" i="773" s="1"/>
  <c r="K2924" i="773"/>
  <c r="K2958" i="773"/>
  <c r="K2990" i="773"/>
  <c r="K3048" i="773"/>
  <c r="H3061" i="773"/>
  <c r="K3061" i="773" s="1"/>
  <c r="K3070" i="773"/>
  <c r="K3089" i="773"/>
  <c r="K3139" i="773"/>
  <c r="K3264" i="773"/>
  <c r="K3272" i="773"/>
  <c r="N3272" i="773" s="1"/>
  <c r="K2179" i="773"/>
  <c r="K2203" i="773"/>
  <c r="K2210" i="773"/>
  <c r="K2299" i="773"/>
  <c r="K2306" i="773"/>
  <c r="K2312" i="773"/>
  <c r="K2331" i="773"/>
  <c r="K2339" i="773"/>
  <c r="K2352" i="773"/>
  <c r="K2375" i="773"/>
  <c r="K2382" i="773"/>
  <c r="J2388" i="773"/>
  <c r="K2388" i="773" s="1"/>
  <c r="K2412" i="773"/>
  <c r="K2433" i="773"/>
  <c r="K2455" i="773"/>
  <c r="J2505" i="773"/>
  <c r="K2505" i="773" s="1"/>
  <c r="J2573" i="773"/>
  <c r="K2573" i="773" s="1"/>
  <c r="H2596" i="773"/>
  <c r="K2596" i="773" s="1"/>
  <c r="K2620" i="773"/>
  <c r="K2644" i="773"/>
  <c r="K2659" i="773"/>
  <c r="K2675" i="773"/>
  <c r="K2723" i="773"/>
  <c r="K2747" i="773"/>
  <c r="K2761" i="773"/>
  <c r="K2809" i="773"/>
  <c r="K2838" i="773"/>
  <c r="K2863" i="773"/>
  <c r="K2893" i="773"/>
  <c r="K2926" i="773"/>
  <c r="K2991" i="773"/>
  <c r="K3013" i="773"/>
  <c r="K3020" i="773"/>
  <c r="K3042" i="773"/>
  <c r="K3049" i="773"/>
  <c r="K3071" i="773"/>
  <c r="K3092" i="773"/>
  <c r="K3132" i="773"/>
  <c r="K3150" i="773"/>
  <c r="K3158" i="773"/>
  <c r="K3229" i="773"/>
  <c r="K3244" i="773"/>
  <c r="N3244" i="773" s="1"/>
  <c r="K3255" i="773"/>
  <c r="N3255" i="773" s="1"/>
  <c r="K3295" i="773"/>
  <c r="K2019" i="773"/>
  <c r="K2943" i="773"/>
  <c r="K1992" i="773"/>
  <c r="K2217" i="773"/>
  <c r="K2307" i="773"/>
  <c r="H2395" i="773"/>
  <c r="K2395" i="773" s="1"/>
  <c r="H2574" i="773"/>
  <c r="K2574" i="773" s="1"/>
  <c r="J2666" i="773"/>
  <c r="K2666" i="773" s="1"/>
  <c r="J2688" i="773"/>
  <c r="J2694" i="773"/>
  <c r="K2694" i="773" s="1"/>
  <c r="K2780" i="773"/>
  <c r="K2802" i="773"/>
  <c r="H2851" i="773"/>
  <c r="K2851" i="773" s="1"/>
  <c r="K2871" i="773"/>
  <c r="K2900" i="773"/>
  <c r="K2934" i="773"/>
  <c r="K2953" i="773"/>
  <c r="E3033" i="773"/>
  <c r="K3043" i="773"/>
  <c r="J3062" i="773"/>
  <c r="K3062" i="773" s="1"/>
  <c r="K3085" i="773"/>
  <c r="K3141" i="773"/>
  <c r="J3266" i="773"/>
  <c r="K3296" i="773"/>
  <c r="K3337" i="773"/>
  <c r="K1954" i="773"/>
  <c r="K1975" i="773"/>
  <c r="K2026" i="773"/>
  <c r="K2154" i="773"/>
  <c r="K2187" i="773"/>
  <c r="K2199" i="773"/>
  <c r="K2224" i="773"/>
  <c r="K2236" i="773"/>
  <c r="K2241" i="773"/>
  <c r="K2253" i="773"/>
  <c r="K2271" i="773"/>
  <c r="K2290" i="773"/>
  <c r="K2320" i="773"/>
  <c r="K2334" i="773"/>
  <c r="K2358" i="773"/>
  <c r="K2398" i="773"/>
  <c r="J2414" i="773"/>
  <c r="K2414" i="773" s="1"/>
  <c r="K2429" i="773"/>
  <c r="K2448" i="773"/>
  <c r="K2472" i="773"/>
  <c r="K2494" i="773"/>
  <c r="J2507" i="773"/>
  <c r="K2507" i="773" s="1"/>
  <c r="K2557" i="773"/>
  <c r="K2569" i="773"/>
  <c r="K2585" i="773"/>
  <c r="K2615" i="773"/>
  <c r="K2683" i="773"/>
  <c r="K2689" i="773"/>
  <c r="K2718" i="773"/>
  <c r="K2765" i="773"/>
  <c r="K2804" i="773"/>
  <c r="K2826" i="773"/>
  <c r="K2888" i="773"/>
  <c r="K2907" i="773"/>
  <c r="K2986" i="773"/>
  <c r="K3008" i="773"/>
  <c r="K3014" i="773"/>
  <c r="K3044" i="773"/>
  <c r="K3065" i="773"/>
  <c r="K3086" i="773"/>
  <c r="H3133" i="773"/>
  <c r="K3143" i="773"/>
  <c r="K3231" i="773"/>
  <c r="N3231" i="773" s="1"/>
  <c r="K3281" i="773"/>
  <c r="K3288" i="773"/>
  <c r="K1988" i="773"/>
  <c r="K2212" i="773"/>
  <c r="K2291" i="773"/>
  <c r="K2336" i="773"/>
  <c r="K2341" i="773"/>
  <c r="J2415" i="773"/>
  <c r="K2415" i="773" s="1"/>
  <c r="J2508" i="773"/>
  <c r="K2508" i="773" s="1"/>
  <c r="K2598" i="773"/>
  <c r="K2646" i="773"/>
  <c r="H2667" i="773"/>
  <c r="K2667" i="773" s="1"/>
  <c r="K2677" i="773"/>
  <c r="H2696" i="773"/>
  <c r="K2696" i="773" s="1"/>
  <c r="K2743" i="773"/>
  <c r="H2873" i="773"/>
  <c r="K2928" i="773"/>
  <c r="H2940" i="773"/>
  <c r="K2940" i="773" s="1"/>
  <c r="K2947" i="773"/>
  <c r="J2962" i="773"/>
  <c r="K2962" i="773" s="1"/>
  <c r="H2970" i="773"/>
  <c r="K2970" i="773" s="1"/>
  <c r="K3001" i="773"/>
  <c r="K3036" i="773"/>
  <c r="K3068" i="773"/>
  <c r="K3080" i="773"/>
  <c r="K3087" i="773"/>
  <c r="K3215" i="773"/>
  <c r="N3215" i="773" s="1"/>
  <c r="K3259" i="773"/>
  <c r="K3307" i="773"/>
  <c r="K3327" i="773"/>
  <c r="H84" i="773"/>
  <c r="J84" i="773"/>
  <c r="V18" i="773"/>
  <c r="Q18" i="773"/>
  <c r="K133" i="773"/>
  <c r="J233" i="773"/>
  <c r="H233" i="773"/>
  <c r="J885" i="773"/>
  <c r="K885" i="773" s="1"/>
  <c r="N84" i="773"/>
  <c r="N181" i="773"/>
  <c r="K292" i="773"/>
  <c r="J314" i="773"/>
  <c r="K314" i="773" s="1"/>
  <c r="K367" i="773"/>
  <c r="K439" i="773"/>
  <c r="J501" i="773"/>
  <c r="H501" i="773"/>
  <c r="K631" i="773"/>
  <c r="J827" i="773"/>
  <c r="K827" i="773" s="1"/>
  <c r="K931" i="773"/>
  <c r="E805" i="773"/>
  <c r="H803" i="773"/>
  <c r="K192" i="773"/>
  <c r="J377" i="773"/>
  <c r="K377" i="773" s="1"/>
  <c r="K384" i="773"/>
  <c r="K424" i="773"/>
  <c r="K455" i="773"/>
  <c r="J580" i="773"/>
  <c r="H580" i="773"/>
  <c r="K735" i="773"/>
  <c r="J803" i="773"/>
  <c r="J810" i="773"/>
  <c r="K810" i="773" s="1"/>
  <c r="K958" i="773"/>
  <c r="K1004" i="773"/>
  <c r="J1125" i="773"/>
  <c r="H1125" i="773"/>
  <c r="H70" i="773"/>
  <c r="K70" i="773" s="1"/>
  <c r="H100" i="773"/>
  <c r="H117" i="773"/>
  <c r="K117" i="773" s="1"/>
  <c r="J213" i="773"/>
  <c r="K213" i="773" s="1"/>
  <c r="K370" i="773"/>
  <c r="H752" i="773"/>
  <c r="K752" i="773" s="1"/>
  <c r="K1029" i="773"/>
  <c r="J1287" i="773"/>
  <c r="H1287" i="773"/>
  <c r="E1289" i="773"/>
  <c r="J100" i="773"/>
  <c r="K179" i="773"/>
  <c r="K184" i="773"/>
  <c r="K336" i="773"/>
  <c r="K378" i="773"/>
  <c r="J409" i="773"/>
  <c r="H409" i="773"/>
  <c r="K534" i="773"/>
  <c r="H657" i="773"/>
  <c r="K657" i="773" s="1"/>
  <c r="J657" i="773"/>
  <c r="K916" i="773"/>
  <c r="K1148" i="773"/>
  <c r="J329" i="773"/>
  <c r="H329" i="773"/>
  <c r="K363" i="773"/>
  <c r="K420" i="773"/>
  <c r="K658" i="773"/>
  <c r="K798" i="773"/>
  <c r="K813" i="773"/>
  <c r="K1107" i="773"/>
  <c r="K38" i="773"/>
  <c r="K217" i="773"/>
  <c r="K288" i="773"/>
  <c r="K322" i="773"/>
  <c r="K330" i="773"/>
  <c r="H1297" i="773"/>
  <c r="J1297" i="773"/>
  <c r="K863" i="773"/>
  <c r="K906" i="773"/>
  <c r="K1001" i="773"/>
  <c r="J1205" i="773"/>
  <c r="K1205" i="773" s="1"/>
  <c r="K1212" i="773"/>
  <c r="K1217" i="773"/>
  <c r="K1229" i="773"/>
  <c r="K1333" i="773"/>
  <c r="K1349" i="773"/>
  <c r="K1368" i="773"/>
  <c r="K1473" i="773"/>
  <c r="K851" i="773"/>
  <c r="K1060" i="773"/>
  <c r="K1218" i="773"/>
  <c r="K1334" i="773"/>
  <c r="H1617" i="773"/>
  <c r="J1617" i="773"/>
  <c r="E648" i="773"/>
  <c r="K965" i="773"/>
  <c r="K1038" i="773"/>
  <c r="K1056" i="773"/>
  <c r="K1114" i="773"/>
  <c r="K1293" i="773"/>
  <c r="J1612" i="773"/>
  <c r="H1612" i="773"/>
  <c r="K1653" i="773"/>
  <c r="J1509" i="773"/>
  <c r="H1509" i="773"/>
  <c r="J1529" i="773"/>
  <c r="H1529" i="773"/>
  <c r="H423" i="773"/>
  <c r="K423" i="773" s="1"/>
  <c r="H518" i="773"/>
  <c r="K518" i="773" s="1"/>
  <c r="H593" i="773"/>
  <c r="K593" i="773" s="1"/>
  <c r="H736" i="773"/>
  <c r="K736" i="773" s="1"/>
  <c r="H804" i="773"/>
  <c r="K804" i="773" s="1"/>
  <c r="H1007" i="773"/>
  <c r="K1007" i="773" s="1"/>
  <c r="H1048" i="773"/>
  <c r="K1048" i="773" s="1"/>
  <c r="J1057" i="773"/>
  <c r="H1057" i="773"/>
  <c r="J1288" i="773"/>
  <c r="K1288" i="773" s="1"/>
  <c r="J1395" i="773"/>
  <c r="K1395" i="773" s="1"/>
  <c r="H570" i="773"/>
  <c r="H656" i="773"/>
  <c r="H766" i="773"/>
  <c r="K766" i="773" s="1"/>
  <c r="H815" i="773"/>
  <c r="K815" i="773" s="1"/>
  <c r="H966" i="773"/>
  <c r="K966" i="773" s="1"/>
  <c r="H1215" i="773"/>
  <c r="J1215" i="773"/>
  <c r="H1294" i="773"/>
  <c r="K1294" i="773" s="1"/>
  <c r="J1631" i="773"/>
  <c r="K1631" i="773" s="1"/>
  <c r="J656" i="773"/>
  <c r="H673" i="773"/>
  <c r="K673" i="773" s="1"/>
  <c r="H726" i="773"/>
  <c r="K726" i="773" s="1"/>
  <c r="H733" i="773"/>
  <c r="K733" i="773" s="1"/>
  <c r="H749" i="773"/>
  <c r="K749" i="773" s="1"/>
  <c r="K883" i="773"/>
  <c r="J891" i="773"/>
  <c r="K891" i="773" s="1"/>
  <c r="K933" i="773"/>
  <c r="H974" i="773"/>
  <c r="K974" i="773" s="1"/>
  <c r="H990" i="773"/>
  <c r="K990" i="773" s="1"/>
  <c r="K1012" i="773"/>
  <c r="K1091" i="773"/>
  <c r="K1128" i="773"/>
  <c r="H1166" i="773"/>
  <c r="K1166" i="773" s="1"/>
  <c r="K1184" i="773"/>
  <c r="H1204" i="773"/>
  <c r="K1204" i="773" s="1"/>
  <c r="K1274" i="773"/>
  <c r="K1372" i="773"/>
  <c r="J1377" i="773"/>
  <c r="K1377" i="773" s="1"/>
  <c r="K1523" i="773"/>
  <c r="J1536" i="773"/>
  <c r="H1536" i="773"/>
  <c r="H1572" i="773"/>
  <c r="J1572" i="773"/>
  <c r="K1577" i="773"/>
  <c r="H1680" i="773"/>
  <c r="J1680" i="773"/>
  <c r="H646" i="773"/>
  <c r="K646" i="773" s="1"/>
  <c r="K877" i="773"/>
  <c r="K1171" i="773"/>
  <c r="K1211" i="773"/>
  <c r="K1227" i="773"/>
  <c r="K1275" i="773"/>
  <c r="K1340" i="773"/>
  <c r="H1367" i="773"/>
  <c r="K1367" i="773" s="1"/>
  <c r="E1369" i="773"/>
  <c r="K1373" i="773"/>
  <c r="K1472" i="773"/>
  <c r="J1491" i="773"/>
  <c r="K1491" i="773" s="1"/>
  <c r="J1496" i="773"/>
  <c r="K1496" i="773" s="1"/>
  <c r="K1511" i="773"/>
  <c r="K1748" i="773"/>
  <c r="K1264" i="773"/>
  <c r="K1332" i="773"/>
  <c r="K1356" i="773"/>
  <c r="K1366" i="773"/>
  <c r="K1371" i="773"/>
  <c r="K1416" i="773"/>
  <c r="K1441" i="773"/>
  <c r="K1467" i="773"/>
  <c r="K1495" i="773"/>
  <c r="K1558" i="773"/>
  <c r="K1596" i="773"/>
  <c r="K1641" i="773"/>
  <c r="K1652" i="773"/>
  <c r="K1726" i="773"/>
  <c r="K1754" i="773"/>
  <c r="K2061" i="773"/>
  <c r="K1530" i="773"/>
  <c r="K1569" i="773"/>
  <c r="K1625" i="773"/>
  <c r="K1654" i="773"/>
  <c r="K1665" i="773"/>
  <c r="J1717" i="773"/>
  <c r="J15" i="773" s="1"/>
  <c r="Z1707" i="773"/>
  <c r="K1744" i="773"/>
  <c r="K1252" i="773"/>
  <c r="K1277" i="773"/>
  <c r="K1290" i="773"/>
  <c r="K1308" i="773"/>
  <c r="K1343" i="773"/>
  <c r="K1374" i="773"/>
  <c r="K1427" i="773"/>
  <c r="K1480" i="773"/>
  <c r="K1531" i="773"/>
  <c r="K1547" i="773"/>
  <c r="J1633" i="773"/>
  <c r="H1633" i="773"/>
  <c r="K1739" i="773"/>
  <c r="K1767" i="773"/>
  <c r="K1804" i="773"/>
  <c r="K1261" i="773"/>
  <c r="K1291" i="773"/>
  <c r="K1344" i="773"/>
  <c r="K1380" i="773"/>
  <c r="K1414" i="773"/>
  <c r="K1437" i="773"/>
  <c r="K1465" i="773"/>
  <c r="K1499" i="773"/>
  <c r="K1532" i="773"/>
  <c r="K1634" i="773"/>
  <c r="K1735" i="773"/>
  <c r="K1763" i="773"/>
  <c r="J2413" i="773"/>
  <c r="H2413" i="773"/>
  <c r="H2364" i="773"/>
  <c r="H16" i="773" s="1"/>
  <c r="K1720" i="773"/>
  <c r="K1262" i="773"/>
  <c r="K1346" i="773"/>
  <c r="K1381" i="773"/>
  <c r="J1392" i="773"/>
  <c r="K1392" i="773" s="1"/>
  <c r="K1415" i="773"/>
  <c r="K1439" i="773"/>
  <c r="K1533" i="773"/>
  <c r="K1539" i="773"/>
  <c r="J1557" i="773"/>
  <c r="H1557" i="773"/>
  <c r="J1590" i="773"/>
  <c r="K1590" i="773" s="1"/>
  <c r="K1595" i="773"/>
  <c r="K1614" i="773"/>
  <c r="K1675" i="773"/>
  <c r="K1701" i="773"/>
  <c r="J2364" i="773"/>
  <c r="J16" i="773" s="1"/>
  <c r="K1731" i="773"/>
  <c r="K1758" i="773"/>
  <c r="K1795" i="773"/>
  <c r="J2384" i="773"/>
  <c r="H2384" i="773"/>
  <c r="K2384" i="773" s="1"/>
  <c r="K2873" i="773"/>
  <c r="K1832" i="773"/>
  <c r="K1909" i="773"/>
  <c r="K1927" i="773"/>
  <c r="K1944" i="773"/>
  <c r="K2079" i="773"/>
  <c r="K2097" i="773"/>
  <c r="K2116" i="773"/>
  <c r="K2262" i="773"/>
  <c r="K2281" i="773"/>
  <c r="K2298" i="773"/>
  <c r="K2392" i="773"/>
  <c r="K2426" i="773"/>
  <c r="K2447" i="773"/>
  <c r="K2484" i="773"/>
  <c r="K2546" i="773"/>
  <c r="H2601" i="773"/>
  <c r="E2605" i="773"/>
  <c r="J2601" i="773"/>
  <c r="K2813" i="773"/>
  <c r="N3271" i="773"/>
  <c r="K1903" i="773"/>
  <c r="K1921" i="773"/>
  <c r="K1939" i="773"/>
  <c r="K2086" i="773"/>
  <c r="K2105" i="773"/>
  <c r="K2257" i="773"/>
  <c r="K2274" i="773"/>
  <c r="K2293" i="773"/>
  <c r="K2493" i="773"/>
  <c r="H2595" i="773"/>
  <c r="J2595" i="773"/>
  <c r="H2880" i="773"/>
  <c r="J2880" i="773"/>
  <c r="H2658" i="773"/>
  <c r="J2658" i="773"/>
  <c r="K1904" i="773"/>
  <c r="K1922" i="773"/>
  <c r="K1940" i="773"/>
  <c r="K2075" i="773"/>
  <c r="K2092" i="773"/>
  <c r="K2111" i="773"/>
  <c r="K2258" i="773"/>
  <c r="K2276" i="773"/>
  <c r="K2294" i="773"/>
  <c r="K2368" i="773"/>
  <c r="K2442" i="773"/>
  <c r="K2465" i="773"/>
  <c r="K2522" i="773"/>
  <c r="K2603" i="773"/>
  <c r="J3060" i="773"/>
  <c r="H3060" i="773"/>
  <c r="K1905" i="773"/>
  <c r="K1923" i="773"/>
  <c r="K1941" i="773"/>
  <c r="K2004" i="773"/>
  <c r="K2076" i="773"/>
  <c r="K2094" i="773"/>
  <c r="K2112" i="773"/>
  <c r="K2259" i="773"/>
  <c r="K2278" i="773"/>
  <c r="K2295" i="773"/>
  <c r="J2416" i="773"/>
  <c r="H2416" i="773"/>
  <c r="K2443" i="773"/>
  <c r="K2467" i="773"/>
  <c r="K2608" i="773"/>
  <c r="H2850" i="773"/>
  <c r="J2850" i="773"/>
  <c r="K1912" i="773"/>
  <c r="K1931" i="773"/>
  <c r="K2005" i="773"/>
  <c r="K2077" i="773"/>
  <c r="K2095" i="773"/>
  <c r="K2114" i="773"/>
  <c r="K2178" i="773"/>
  <c r="K2248" i="773"/>
  <c r="K2265" i="773"/>
  <c r="K2284" i="773"/>
  <c r="K2301" i="773"/>
  <c r="K2502" i="773"/>
  <c r="K1913" i="773"/>
  <c r="K1932" i="773"/>
  <c r="K2006" i="773"/>
  <c r="K2084" i="773"/>
  <c r="K2103" i="773"/>
  <c r="K2249" i="773"/>
  <c r="K2266" i="773"/>
  <c r="K2285" i="773"/>
  <c r="K2302" i="773"/>
  <c r="K2432" i="773"/>
  <c r="K2454" i="773"/>
  <c r="J2476" i="773"/>
  <c r="H2476" i="773"/>
  <c r="K2833" i="773"/>
  <c r="K2759" i="773"/>
  <c r="J3277" i="773"/>
  <c r="H3277" i="773"/>
  <c r="K3290" i="773"/>
  <c r="H2480" i="773"/>
  <c r="K2480" i="773" s="1"/>
  <c r="H2506" i="773"/>
  <c r="K2506" i="773" s="1"/>
  <c r="K2559" i="773"/>
  <c r="J2602" i="773"/>
  <c r="H2602" i="773"/>
  <c r="K2602" i="773" s="1"/>
  <c r="K2650" i="773"/>
  <c r="K2721" i="773"/>
  <c r="K2730" i="773"/>
  <c r="K2742" i="773"/>
  <c r="K2749" i="773"/>
  <c r="J2759" i="773"/>
  <c r="K2807" i="773"/>
  <c r="K2879" i="773"/>
  <c r="K3211" i="773"/>
  <c r="K2535" i="773"/>
  <c r="K2541" i="773"/>
  <c r="K2554" i="773"/>
  <c r="K2575" i="773"/>
  <c r="K2628" i="773"/>
  <c r="K2638" i="773"/>
  <c r="K2688" i="773"/>
  <c r="J2760" i="773"/>
  <c r="H2760" i="773"/>
  <c r="J2972" i="773"/>
  <c r="H2972" i="773"/>
  <c r="J3168" i="773"/>
  <c r="H3168" i="773"/>
  <c r="J3285" i="773"/>
  <c r="H3285" i="773"/>
  <c r="K3285" i="773" s="1"/>
  <c r="H2847" i="773"/>
  <c r="E2852" i="773"/>
  <c r="J2945" i="773"/>
  <c r="H2945" i="773"/>
  <c r="K3112" i="773"/>
  <c r="J2576" i="773"/>
  <c r="K2576" i="773" s="1"/>
  <c r="H2695" i="773"/>
  <c r="K2695" i="773" s="1"/>
  <c r="K2711" i="773"/>
  <c r="K2717" i="773"/>
  <c r="K2738" i="773"/>
  <c r="K2842" i="773"/>
  <c r="J2847" i="773"/>
  <c r="K2876" i="773"/>
  <c r="K2896" i="773"/>
  <c r="J2757" i="773"/>
  <c r="H2757" i="773"/>
  <c r="K2890" i="773"/>
  <c r="K2913" i="773"/>
  <c r="J2963" i="773"/>
  <c r="H2963" i="773"/>
  <c r="K2592" i="773"/>
  <c r="J2604" i="773"/>
  <c r="K2604" i="773" s="1"/>
  <c r="K2665" i="773"/>
  <c r="K2706" i="773"/>
  <c r="K2712" i="773"/>
  <c r="J2751" i="773"/>
  <c r="K2751" i="773" s="1"/>
  <c r="K2798" i="773"/>
  <c r="K2817" i="773"/>
  <c r="E2881" i="773"/>
  <c r="H2877" i="773"/>
  <c r="K2877" i="773" s="1"/>
  <c r="J3145" i="773"/>
  <c r="H3145" i="773"/>
  <c r="J2789" i="773"/>
  <c r="H2789" i="773"/>
  <c r="K2568" i="773"/>
  <c r="K2587" i="773"/>
  <c r="K2707" i="773"/>
  <c r="J2762" i="773"/>
  <c r="K2762" i="773" s="1"/>
  <c r="K2799" i="773"/>
  <c r="K2818" i="773"/>
  <c r="K2886" i="773"/>
  <c r="K2905" i="773"/>
  <c r="E2791" i="773"/>
  <c r="K3111" i="773"/>
  <c r="H3144" i="773"/>
  <c r="H3167" i="773"/>
  <c r="K3167" i="773" s="1"/>
  <c r="H2968" i="773"/>
  <c r="H2971" i="773"/>
  <c r="K2971" i="773" s="1"/>
  <c r="H3156" i="773"/>
  <c r="K3156" i="773" s="1"/>
  <c r="E3251" i="773"/>
  <c r="J2968" i="773"/>
  <c r="H2941" i="773"/>
  <c r="K2941" i="773" s="1"/>
  <c r="H2944" i="773"/>
  <c r="K2944" i="773" s="1"/>
  <c r="H3053" i="773"/>
  <c r="K3053" i="773" s="1"/>
  <c r="K3097" i="773"/>
  <c r="K3108" i="773" s="1"/>
  <c r="H3134" i="773"/>
  <c r="K3134" i="773" s="1"/>
  <c r="H3289" i="773"/>
  <c r="K3289" i="773" s="1"/>
  <c r="H2872" i="773"/>
  <c r="K2872" i="773" s="1"/>
  <c r="H2969" i="773"/>
  <c r="K2969" i="773" s="1"/>
  <c r="H3249" i="773"/>
  <c r="K3249" i="773" s="1"/>
  <c r="H3268" i="773"/>
  <c r="K3268" i="773" s="1"/>
  <c r="H3287" i="773"/>
  <c r="K3287" i="773" s="1"/>
  <c r="H3119" i="773" l="1"/>
  <c r="K3119" i="773" s="1"/>
  <c r="H2577" i="773"/>
  <c r="K2577" i="773" s="1"/>
  <c r="H886" i="773"/>
  <c r="K886" i="773" s="1"/>
  <c r="K1617" i="773"/>
  <c r="K738" i="773"/>
  <c r="K894" i="773"/>
  <c r="K896" i="773"/>
  <c r="K1610" i="773"/>
  <c r="K727" i="773"/>
  <c r="N3366" i="773"/>
  <c r="N3369" i="773" s="1"/>
  <c r="K3266" i="773"/>
  <c r="K976" i="773"/>
  <c r="K2968" i="773"/>
  <c r="J3207" i="773"/>
  <c r="J19" i="773" s="1"/>
  <c r="K2963" i="773"/>
  <c r="N2302" i="773"/>
  <c r="K1529" i="773"/>
  <c r="K1126" i="773"/>
  <c r="K1673" i="773"/>
  <c r="K2942" i="773"/>
  <c r="N2243" i="773"/>
  <c r="N3264" i="773"/>
  <c r="O3264" i="773" s="1"/>
  <c r="N2360" i="773"/>
  <c r="N2185" i="773"/>
  <c r="K3168" i="773"/>
  <c r="K2595" i="773"/>
  <c r="Z1711" i="773"/>
  <c r="K329" i="773"/>
  <c r="N2068" i="773"/>
  <c r="N2010" i="773"/>
  <c r="K3031" i="773"/>
  <c r="K1550" i="773"/>
  <c r="K964" i="773"/>
  <c r="K280" i="773"/>
  <c r="M327" i="773" s="1"/>
  <c r="H1692" i="773"/>
  <c r="H14" i="773" s="1"/>
  <c r="K3144" i="773"/>
  <c r="N1835" i="773"/>
  <c r="K1717" i="773"/>
  <c r="N1717" i="773" s="1"/>
  <c r="N1605" i="773"/>
  <c r="K15" i="773"/>
  <c r="K1057" i="773"/>
  <c r="K1509" i="773"/>
  <c r="N1524" i="773" s="1"/>
  <c r="H572" i="773"/>
  <c r="K572" i="773" s="1"/>
  <c r="K3133" i="773"/>
  <c r="N1895" i="773"/>
  <c r="K3286" i="773"/>
  <c r="K469" i="773"/>
  <c r="K233" i="773"/>
  <c r="M277" i="773" s="1"/>
  <c r="N2127" i="773"/>
  <c r="N3213" i="773"/>
  <c r="N1504" i="773"/>
  <c r="M467" i="773"/>
  <c r="K501" i="773"/>
  <c r="H3033" i="773"/>
  <c r="J3033" i="773"/>
  <c r="K2487" i="773"/>
  <c r="K2972" i="773"/>
  <c r="K3374" i="773"/>
  <c r="J1692" i="773"/>
  <c r="J14" i="773" s="1"/>
  <c r="K14" i="773" s="1"/>
  <c r="M375" i="773"/>
  <c r="H649" i="773"/>
  <c r="K649" i="773" s="1"/>
  <c r="J566" i="773"/>
  <c r="J12" i="773" s="1"/>
  <c r="K1125" i="773"/>
  <c r="N1200" i="773" s="1"/>
  <c r="H2697" i="773"/>
  <c r="J2697" i="773"/>
  <c r="K1468" i="773"/>
  <c r="K2945" i="773"/>
  <c r="N3003" i="773" s="1"/>
  <c r="K2416" i="773"/>
  <c r="K3060" i="773"/>
  <c r="K1572" i="773"/>
  <c r="N1585" i="773" s="1"/>
  <c r="K1287" i="773"/>
  <c r="M225" i="773"/>
  <c r="K3228" i="773"/>
  <c r="K2601" i="773"/>
  <c r="K1536" i="773"/>
  <c r="N1545" i="773" s="1"/>
  <c r="K3155" i="773"/>
  <c r="H1049" i="773"/>
  <c r="J1049" i="773"/>
  <c r="K3145" i="773"/>
  <c r="N1952" i="773"/>
  <c r="N1668" i="773"/>
  <c r="K1215" i="773"/>
  <c r="N1284" i="773" s="1"/>
  <c r="O38" i="773"/>
  <c r="K84" i="773"/>
  <c r="H728" i="773"/>
  <c r="K728" i="773" s="1"/>
  <c r="N800" i="773" s="1"/>
  <c r="K2664" i="773"/>
  <c r="K2790" i="773"/>
  <c r="K971" i="773"/>
  <c r="N1042" i="773" s="1"/>
  <c r="Q15" i="773"/>
  <c r="V15" i="773"/>
  <c r="J3251" i="773"/>
  <c r="J3371" i="773" s="1"/>
  <c r="J20" i="773" s="1"/>
  <c r="H3251" i="773"/>
  <c r="H3371" i="773" s="1"/>
  <c r="H20" i="773" s="1"/>
  <c r="K3277" i="773"/>
  <c r="K1557" i="773"/>
  <c r="K16" i="773"/>
  <c r="K1633" i="773"/>
  <c r="N1646" i="773" s="1"/>
  <c r="K1612" i="773"/>
  <c r="N1626" i="773" s="1"/>
  <c r="M82" i="773"/>
  <c r="H566" i="773"/>
  <c r="H12" i="773" s="1"/>
  <c r="M3290" i="773"/>
  <c r="K2757" i="773"/>
  <c r="N1565" i="773"/>
  <c r="K1680" i="773"/>
  <c r="N1688" i="773" s="1"/>
  <c r="K656" i="773"/>
  <c r="H1289" i="773"/>
  <c r="J1289" i="773"/>
  <c r="M421" i="773"/>
  <c r="M179" i="773"/>
  <c r="J1369" i="773"/>
  <c r="H1369" i="773"/>
  <c r="K570" i="773"/>
  <c r="K2789" i="773"/>
  <c r="J2605" i="773"/>
  <c r="H2605" i="773"/>
  <c r="K2413" i="773"/>
  <c r="N2547" i="773" s="1"/>
  <c r="M562" i="773"/>
  <c r="K1297" i="773"/>
  <c r="K409" i="773"/>
  <c r="K803" i="773"/>
  <c r="J648" i="773"/>
  <c r="H648" i="773"/>
  <c r="J805" i="773"/>
  <c r="H805" i="773"/>
  <c r="K805" i="773" s="1"/>
  <c r="H3207" i="773"/>
  <c r="H19" i="773" s="1"/>
  <c r="K19" i="773" s="1"/>
  <c r="K2760" i="773"/>
  <c r="K2658" i="773"/>
  <c r="K580" i="773"/>
  <c r="K2476" i="773"/>
  <c r="J2791" i="773"/>
  <c r="H2791" i="773"/>
  <c r="J2852" i="773"/>
  <c r="H2852" i="773"/>
  <c r="N961" i="773"/>
  <c r="J2881" i="773"/>
  <c r="H2881" i="773"/>
  <c r="K2881" i="773" s="1"/>
  <c r="K2847" i="773"/>
  <c r="K2850" i="773"/>
  <c r="K2880" i="773"/>
  <c r="N1776" i="773"/>
  <c r="K2364" i="773"/>
  <c r="K100" i="773"/>
  <c r="M131" i="773" l="1"/>
  <c r="K3207" i="773"/>
  <c r="K2791" i="773"/>
  <c r="K1289" i="773"/>
  <c r="H3095" i="773"/>
  <c r="H17" i="773" s="1"/>
  <c r="N2823" i="773"/>
  <c r="M515" i="773"/>
  <c r="J1462" i="773"/>
  <c r="J13" i="773" s="1"/>
  <c r="K1692" i="773"/>
  <c r="N1364" i="773"/>
  <c r="K2697" i="773"/>
  <c r="N2732" i="773" s="1"/>
  <c r="J3095" i="773"/>
  <c r="J17" i="773" s="1"/>
  <c r="K17" i="773" s="1"/>
  <c r="K3033" i="773"/>
  <c r="N3094" i="773" s="1"/>
  <c r="N1483" i="773"/>
  <c r="K566" i="773"/>
  <c r="K1049" i="773"/>
  <c r="N1121" i="773" s="1"/>
  <c r="N881" i="773"/>
  <c r="K3251" i="773"/>
  <c r="K12" i="773"/>
  <c r="K2852" i="773"/>
  <c r="N2914" i="773" s="1"/>
  <c r="V19" i="773"/>
  <c r="Q19" i="773"/>
  <c r="K2605" i="773"/>
  <c r="K20" i="773"/>
  <c r="H1462" i="773"/>
  <c r="H13" i="773" s="1"/>
  <c r="K13" i="773" s="1"/>
  <c r="V16" i="773"/>
  <c r="Q16" i="773"/>
  <c r="K648" i="773"/>
  <c r="N723" i="773" s="1"/>
  <c r="N642" i="773"/>
  <c r="K1369" i="773"/>
  <c r="N1449" i="773" s="1"/>
  <c r="V14" i="773"/>
  <c r="Q14" i="773"/>
  <c r="V17" i="773" l="1"/>
  <c r="Q17" i="773"/>
  <c r="J35" i="773"/>
  <c r="J14" i="284" s="1"/>
  <c r="K1462" i="773"/>
  <c r="Q20" i="773"/>
  <c r="V20" i="773"/>
  <c r="K3095" i="773"/>
  <c r="N2639" i="773"/>
  <c r="V12" i="773"/>
  <c r="Q12" i="773"/>
  <c r="K35" i="773"/>
  <c r="H35" i="773"/>
  <c r="H14" i="284" s="1"/>
  <c r="N3249" i="773"/>
  <c r="O3249" i="773" s="1"/>
  <c r="K3371" i="773"/>
  <c r="N3284" i="773"/>
  <c r="Q13" i="773"/>
  <c r="V13" i="773"/>
  <c r="V33" i="773" l="1"/>
  <c r="V35" i="773"/>
  <c r="M37" i="773"/>
  <c r="M40" i="773" s="1"/>
  <c r="P38" i="773"/>
  <c r="P35" i="773"/>
  <c r="J21" i="284" l="1"/>
  <c r="B59" i="772"/>
  <c r="J54" i="772"/>
  <c r="H54" i="772"/>
  <c r="J53" i="772"/>
  <c r="H53" i="772"/>
  <c r="J52" i="772"/>
  <c r="H52" i="772"/>
  <c r="J51" i="772"/>
  <c r="H51" i="772"/>
  <c r="K51" i="772" s="1"/>
  <c r="B48" i="772"/>
  <c r="J46" i="772"/>
  <c r="H46" i="772"/>
  <c r="J45" i="772"/>
  <c r="H45" i="772"/>
  <c r="J44" i="772"/>
  <c r="H44" i="772"/>
  <c r="J43" i="772"/>
  <c r="H43" i="772"/>
  <c r="B40" i="772"/>
  <c r="J38" i="772"/>
  <c r="H38" i="772"/>
  <c r="J37" i="772"/>
  <c r="H37" i="772"/>
  <c r="B34" i="772"/>
  <c r="B14" i="772"/>
  <c r="A14" i="772"/>
  <c r="B13" i="772"/>
  <c r="A13" i="772"/>
  <c r="B12" i="772"/>
  <c r="A12" i="772"/>
  <c r="B32" i="771"/>
  <c r="J17" i="771"/>
  <c r="H17" i="771"/>
  <c r="K17" i="771" s="1"/>
  <c r="J16" i="771"/>
  <c r="H16" i="771"/>
  <c r="J15" i="771"/>
  <c r="H15" i="771"/>
  <c r="J14" i="771"/>
  <c r="H14" i="771"/>
  <c r="K14" i="771" s="1"/>
  <c r="J13" i="771"/>
  <c r="H13" i="771"/>
  <c r="K13" i="771" s="1"/>
  <c r="J12" i="771"/>
  <c r="H12" i="771"/>
  <c r="H134" i="770"/>
  <c r="H16" i="770" s="1"/>
  <c r="B134" i="770"/>
  <c r="J115" i="770"/>
  <c r="K115" i="770" s="1"/>
  <c r="J114" i="770"/>
  <c r="J113" i="770"/>
  <c r="K113" i="770" s="1"/>
  <c r="J112" i="770"/>
  <c r="K112" i="770" s="1"/>
  <c r="B109" i="770"/>
  <c r="K106" i="770"/>
  <c r="J105" i="770"/>
  <c r="O103" i="770"/>
  <c r="J103" i="770"/>
  <c r="H103" i="770"/>
  <c r="O102" i="770"/>
  <c r="J102" i="770"/>
  <c r="H102" i="770"/>
  <c r="O101" i="770"/>
  <c r="J101" i="770"/>
  <c r="H101" i="770"/>
  <c r="O100" i="770"/>
  <c r="J100" i="770"/>
  <c r="H100" i="770"/>
  <c r="O99" i="770"/>
  <c r="E99" i="770"/>
  <c r="J99" i="770" s="1"/>
  <c r="O98" i="770"/>
  <c r="E98" i="770"/>
  <c r="H98" i="770" s="1"/>
  <c r="J97" i="770"/>
  <c r="O96" i="770"/>
  <c r="J96" i="770"/>
  <c r="H96" i="770"/>
  <c r="O95" i="770"/>
  <c r="J95" i="770"/>
  <c r="H95" i="770"/>
  <c r="O94" i="770"/>
  <c r="J94" i="770"/>
  <c r="H94" i="770"/>
  <c r="O93" i="770"/>
  <c r="E93" i="770"/>
  <c r="J93" i="770" s="1"/>
  <c r="O92" i="770"/>
  <c r="J92" i="770"/>
  <c r="H92" i="770"/>
  <c r="O91" i="770"/>
  <c r="E91" i="770"/>
  <c r="H91" i="770" s="1"/>
  <c r="I89" i="770"/>
  <c r="J89" i="770" s="1"/>
  <c r="H89" i="770"/>
  <c r="I88" i="770"/>
  <c r="J88" i="770" s="1"/>
  <c r="H88" i="770"/>
  <c r="I87" i="770"/>
  <c r="J87" i="770" s="1"/>
  <c r="H87" i="770"/>
  <c r="B84" i="770"/>
  <c r="J81" i="770"/>
  <c r="H81" i="770"/>
  <c r="J80" i="770"/>
  <c r="H80" i="770"/>
  <c r="E78" i="770"/>
  <c r="J78" i="770" s="1"/>
  <c r="B78" i="770"/>
  <c r="E77" i="770"/>
  <c r="J77" i="770" s="1"/>
  <c r="B77" i="770"/>
  <c r="E76" i="770"/>
  <c r="H76" i="770" s="1"/>
  <c r="B76" i="770"/>
  <c r="E75" i="770"/>
  <c r="H75" i="770" s="1"/>
  <c r="B75" i="770"/>
  <c r="E74" i="770"/>
  <c r="J74" i="770" s="1"/>
  <c r="B74" i="770"/>
  <c r="E73" i="770"/>
  <c r="J73" i="770" s="1"/>
  <c r="B73" i="770"/>
  <c r="B70" i="770"/>
  <c r="J53" i="770"/>
  <c r="H53" i="770"/>
  <c r="J52" i="770"/>
  <c r="H52" i="770"/>
  <c r="J51" i="770"/>
  <c r="H51" i="770"/>
  <c r="J50" i="770"/>
  <c r="H50" i="770"/>
  <c r="J49" i="770"/>
  <c r="H49" i="770"/>
  <c r="B46" i="770"/>
  <c r="K45" i="770"/>
  <c r="I44" i="770"/>
  <c r="I43" i="770"/>
  <c r="E43" i="770"/>
  <c r="B43" i="770"/>
  <c r="I42" i="770"/>
  <c r="E42" i="770"/>
  <c r="B42" i="770"/>
  <c r="J41" i="770"/>
  <c r="I40" i="770"/>
  <c r="E40" i="770"/>
  <c r="B40" i="770"/>
  <c r="I39" i="770"/>
  <c r="E39" i="770"/>
  <c r="H39" i="770" s="1"/>
  <c r="B39" i="770"/>
  <c r="I37" i="770"/>
  <c r="E37" i="770"/>
  <c r="B37" i="770"/>
  <c r="N17" i="770"/>
  <c r="B16" i="770"/>
  <c r="A16" i="770"/>
  <c r="N16" i="770" s="1"/>
  <c r="B15" i="770"/>
  <c r="A15" i="770"/>
  <c r="N15" i="770" s="1"/>
  <c r="B14" i="770"/>
  <c r="A14" i="770"/>
  <c r="N14" i="770" s="1"/>
  <c r="B13" i="770"/>
  <c r="A13" i="770"/>
  <c r="N13" i="770" s="1"/>
  <c r="B12" i="770"/>
  <c r="A12" i="770"/>
  <c r="N12" i="770" s="1"/>
  <c r="B359" i="769"/>
  <c r="O341" i="769"/>
  <c r="J341" i="769"/>
  <c r="H341" i="769"/>
  <c r="K341" i="769" s="1"/>
  <c r="O340" i="769"/>
  <c r="J340" i="769"/>
  <c r="H340" i="769"/>
  <c r="K340" i="769" s="1"/>
  <c r="O339" i="769"/>
  <c r="J339" i="769"/>
  <c r="H339" i="769"/>
  <c r="O338" i="769"/>
  <c r="E338" i="769"/>
  <c r="O337" i="769"/>
  <c r="E337" i="769"/>
  <c r="J337" i="769" s="1"/>
  <c r="O336" i="769"/>
  <c r="J336" i="769"/>
  <c r="H336" i="769"/>
  <c r="O327" i="769"/>
  <c r="J327" i="769"/>
  <c r="H327" i="769"/>
  <c r="O326" i="769"/>
  <c r="J326" i="769"/>
  <c r="H326" i="769"/>
  <c r="O325" i="769"/>
  <c r="E325" i="769"/>
  <c r="J325" i="769" s="1"/>
  <c r="O324" i="769"/>
  <c r="E324" i="769"/>
  <c r="H324" i="769" s="1"/>
  <c r="O323" i="769"/>
  <c r="E323" i="769"/>
  <c r="H323" i="769" s="1"/>
  <c r="O322" i="769"/>
  <c r="J322" i="769"/>
  <c r="H322" i="769"/>
  <c r="I320" i="769"/>
  <c r="J320" i="769" s="1"/>
  <c r="H320" i="769"/>
  <c r="I319" i="769"/>
  <c r="J319" i="769" s="1"/>
  <c r="H319" i="769"/>
  <c r="I318" i="769"/>
  <c r="J318" i="769" s="1"/>
  <c r="H318" i="769"/>
  <c r="I317" i="769"/>
  <c r="J317" i="769" s="1"/>
  <c r="H317" i="769"/>
  <c r="I316" i="769"/>
  <c r="J316" i="769" s="1"/>
  <c r="H316" i="769"/>
  <c r="I315" i="769"/>
  <c r="J315" i="769" s="1"/>
  <c r="H315" i="769"/>
  <c r="I314" i="769"/>
  <c r="J314" i="769" s="1"/>
  <c r="H314" i="769"/>
  <c r="I313" i="769"/>
  <c r="J313" i="769" s="1"/>
  <c r="H313" i="769"/>
  <c r="I312" i="769"/>
  <c r="J312" i="769" s="1"/>
  <c r="H312" i="769"/>
  <c r="I311" i="769"/>
  <c r="J311" i="769" s="1"/>
  <c r="H311" i="769"/>
  <c r="I310" i="769"/>
  <c r="J310" i="769" s="1"/>
  <c r="H310" i="769"/>
  <c r="I309" i="769"/>
  <c r="J309" i="769" s="1"/>
  <c r="H309" i="769"/>
  <c r="I308" i="769"/>
  <c r="J308" i="769" s="1"/>
  <c r="H308" i="769"/>
  <c r="I307" i="769"/>
  <c r="J307" i="769" s="1"/>
  <c r="H307" i="769"/>
  <c r="I306" i="769"/>
  <c r="J306" i="769" s="1"/>
  <c r="H306" i="769"/>
  <c r="I305" i="769"/>
  <c r="J305" i="769" s="1"/>
  <c r="H305" i="769"/>
  <c r="B302" i="769"/>
  <c r="E300" i="769"/>
  <c r="F300" i="769" s="1"/>
  <c r="B300" i="769"/>
  <c r="E299" i="769"/>
  <c r="F299" i="769" s="1"/>
  <c r="B299" i="769"/>
  <c r="E297" i="769"/>
  <c r="J297" i="769" s="1"/>
  <c r="B297" i="769"/>
  <c r="E296" i="769"/>
  <c r="J296" i="769" s="1"/>
  <c r="B296" i="769"/>
  <c r="E295" i="769"/>
  <c r="J295" i="769" s="1"/>
  <c r="B295" i="769"/>
  <c r="E294" i="769"/>
  <c r="J294" i="769" s="1"/>
  <c r="B294" i="769"/>
  <c r="E292" i="769"/>
  <c r="F292" i="769" s="1"/>
  <c r="B292" i="769"/>
  <c r="E291" i="769"/>
  <c r="J291" i="769" s="1"/>
  <c r="B291" i="769"/>
  <c r="E290" i="769"/>
  <c r="J290" i="769" s="1"/>
  <c r="B290" i="769"/>
  <c r="E289" i="769"/>
  <c r="J289" i="769" s="1"/>
  <c r="B289" i="769"/>
  <c r="E288" i="769"/>
  <c r="J288" i="769" s="1"/>
  <c r="B288" i="769"/>
  <c r="E287" i="769"/>
  <c r="J287" i="769" s="1"/>
  <c r="B287" i="769"/>
  <c r="E286" i="769"/>
  <c r="F286" i="769" s="1"/>
  <c r="B286" i="769"/>
  <c r="E285" i="769"/>
  <c r="J285" i="769" s="1"/>
  <c r="B285" i="769"/>
  <c r="E284" i="769"/>
  <c r="J284" i="769" s="1"/>
  <c r="B284" i="769"/>
  <c r="E283" i="769"/>
  <c r="J283" i="769" s="1"/>
  <c r="B283" i="769"/>
  <c r="E282" i="769"/>
  <c r="J282" i="769" s="1"/>
  <c r="B282" i="769"/>
  <c r="E281" i="769"/>
  <c r="J281" i="769" s="1"/>
  <c r="B281" i="769"/>
  <c r="E280" i="769"/>
  <c r="F280" i="769" s="1"/>
  <c r="B280" i="769"/>
  <c r="E279" i="769"/>
  <c r="J279" i="769" s="1"/>
  <c r="B279" i="769"/>
  <c r="J277" i="769"/>
  <c r="H277" i="769"/>
  <c r="F277" i="769"/>
  <c r="J275" i="769"/>
  <c r="E275" i="769"/>
  <c r="H275" i="769" s="1"/>
  <c r="B275" i="769"/>
  <c r="E274" i="769"/>
  <c r="B274" i="769"/>
  <c r="E273" i="769"/>
  <c r="J273" i="769" s="1"/>
  <c r="B273" i="769"/>
  <c r="E272" i="769"/>
  <c r="H272" i="769" s="1"/>
  <c r="B272" i="769"/>
  <c r="E271" i="769"/>
  <c r="B271" i="769"/>
  <c r="E270" i="769"/>
  <c r="J270" i="769" s="1"/>
  <c r="B270" i="769"/>
  <c r="E268" i="769"/>
  <c r="J268" i="769" s="1"/>
  <c r="B268" i="769"/>
  <c r="E265" i="769"/>
  <c r="J265" i="769" s="1"/>
  <c r="B265" i="769"/>
  <c r="E264" i="769"/>
  <c r="J264" i="769" s="1"/>
  <c r="B264" i="769"/>
  <c r="F263" i="769"/>
  <c r="E263" i="769"/>
  <c r="J263" i="769" s="1"/>
  <c r="B263" i="769"/>
  <c r="E262" i="769"/>
  <c r="J262" i="769" s="1"/>
  <c r="B262" i="769"/>
  <c r="B259" i="769"/>
  <c r="I254" i="769"/>
  <c r="J254" i="769" s="1"/>
  <c r="H254" i="769"/>
  <c r="J253" i="769"/>
  <c r="H253" i="769"/>
  <c r="E252" i="769"/>
  <c r="B249" i="769"/>
  <c r="J245" i="769"/>
  <c r="H245" i="769"/>
  <c r="G246" i="769" s="1"/>
  <c r="H246" i="769" s="1"/>
  <c r="J241" i="769"/>
  <c r="H241" i="769"/>
  <c r="J240" i="769"/>
  <c r="H240" i="769"/>
  <c r="J239" i="769"/>
  <c r="H239" i="769"/>
  <c r="J238" i="769"/>
  <c r="H238" i="769"/>
  <c r="J237" i="769"/>
  <c r="H237" i="769"/>
  <c r="B234" i="769"/>
  <c r="J229" i="769"/>
  <c r="H229" i="769"/>
  <c r="J228" i="769"/>
  <c r="H228" i="769"/>
  <c r="J226" i="769"/>
  <c r="H226" i="769"/>
  <c r="G220" i="769"/>
  <c r="J216" i="769"/>
  <c r="H216" i="769"/>
  <c r="J215" i="769"/>
  <c r="H215" i="769"/>
  <c r="J213" i="769"/>
  <c r="H213" i="769"/>
  <c r="B209" i="769"/>
  <c r="K201" i="769"/>
  <c r="J200" i="769"/>
  <c r="H200" i="769"/>
  <c r="E198" i="769"/>
  <c r="J198" i="769" s="1"/>
  <c r="E197" i="769"/>
  <c r="J197" i="769" s="1"/>
  <c r="E196" i="769"/>
  <c r="E195" i="769"/>
  <c r="H195" i="769" s="1"/>
  <c r="E194" i="769"/>
  <c r="J194" i="769" s="1"/>
  <c r="E193" i="769"/>
  <c r="J193" i="769" s="1"/>
  <c r="I191" i="769"/>
  <c r="E191" i="769"/>
  <c r="I190" i="769"/>
  <c r="H190" i="769"/>
  <c r="E190" i="769"/>
  <c r="I188" i="769"/>
  <c r="E188" i="769"/>
  <c r="H188" i="769" s="1"/>
  <c r="I187" i="769"/>
  <c r="E187" i="769"/>
  <c r="H187" i="769" s="1"/>
  <c r="B184" i="769"/>
  <c r="O178" i="769"/>
  <c r="J178" i="769"/>
  <c r="H178" i="769"/>
  <c r="O177" i="769"/>
  <c r="J177" i="769"/>
  <c r="H177" i="769"/>
  <c r="O176" i="769"/>
  <c r="J176" i="769"/>
  <c r="H176" i="769"/>
  <c r="O175" i="769"/>
  <c r="J175" i="769"/>
  <c r="H175" i="769"/>
  <c r="J170" i="769"/>
  <c r="H170" i="769"/>
  <c r="J169" i="769"/>
  <c r="H169" i="769"/>
  <c r="J168" i="769"/>
  <c r="H168" i="769"/>
  <c r="J167" i="769"/>
  <c r="H167" i="769"/>
  <c r="J166" i="769"/>
  <c r="H166" i="769"/>
  <c r="J165" i="769"/>
  <c r="H165" i="769"/>
  <c r="J164" i="769"/>
  <c r="H164" i="769"/>
  <c r="J163" i="769"/>
  <c r="H163" i="769"/>
  <c r="J162" i="769"/>
  <c r="H162" i="769"/>
  <c r="B159" i="769"/>
  <c r="J153" i="769"/>
  <c r="H153" i="769"/>
  <c r="J151" i="769"/>
  <c r="H151" i="769"/>
  <c r="B148" i="769"/>
  <c r="J145" i="769"/>
  <c r="K145" i="769" s="1"/>
  <c r="I144" i="769"/>
  <c r="J144" i="769" s="1"/>
  <c r="H144" i="769"/>
  <c r="I143" i="769"/>
  <c r="J143" i="769" s="1"/>
  <c r="H143" i="769"/>
  <c r="I142" i="769"/>
  <c r="J142" i="769" s="1"/>
  <c r="H142" i="769"/>
  <c r="I141" i="769"/>
  <c r="J141" i="769" s="1"/>
  <c r="H141" i="769"/>
  <c r="B138" i="769"/>
  <c r="I137" i="769"/>
  <c r="E136" i="769"/>
  <c r="H136" i="769" s="1"/>
  <c r="B136" i="769"/>
  <c r="E135" i="769"/>
  <c r="B135" i="769"/>
  <c r="E134" i="769"/>
  <c r="J134" i="769" s="1"/>
  <c r="B134" i="769"/>
  <c r="E133" i="769"/>
  <c r="J133" i="769" s="1"/>
  <c r="B133" i="769"/>
  <c r="I129" i="769"/>
  <c r="E129" i="769"/>
  <c r="B129" i="769"/>
  <c r="I128" i="769"/>
  <c r="E128" i="769"/>
  <c r="H128" i="769" s="1"/>
  <c r="B128" i="769"/>
  <c r="I127" i="769"/>
  <c r="E127" i="769"/>
  <c r="B127" i="769"/>
  <c r="I126" i="769"/>
  <c r="E126" i="769"/>
  <c r="H126" i="769" s="1"/>
  <c r="B126" i="769"/>
  <c r="I125" i="769"/>
  <c r="E125" i="769"/>
  <c r="B125" i="769"/>
  <c r="I124" i="769"/>
  <c r="E124" i="769"/>
  <c r="H124" i="769" s="1"/>
  <c r="B124" i="769"/>
  <c r="I123" i="769"/>
  <c r="E123" i="769"/>
  <c r="B123" i="769"/>
  <c r="I122" i="769"/>
  <c r="E122" i="769"/>
  <c r="B122" i="769"/>
  <c r="I121" i="769"/>
  <c r="E121" i="769"/>
  <c r="B121" i="769"/>
  <c r="I120" i="769"/>
  <c r="E120" i="769"/>
  <c r="B120" i="769"/>
  <c r="I118" i="769"/>
  <c r="E118" i="769"/>
  <c r="B118" i="769"/>
  <c r="I117" i="769"/>
  <c r="E117" i="769"/>
  <c r="H117" i="769" s="1"/>
  <c r="B117" i="769"/>
  <c r="I116" i="769"/>
  <c r="E116" i="769"/>
  <c r="B116" i="769"/>
  <c r="I115" i="769"/>
  <c r="E115" i="769"/>
  <c r="H115" i="769" s="1"/>
  <c r="B115" i="769"/>
  <c r="I114" i="769"/>
  <c r="E114" i="769"/>
  <c r="B114" i="769"/>
  <c r="I113" i="769"/>
  <c r="E113" i="769"/>
  <c r="H113" i="769" s="1"/>
  <c r="B113" i="769"/>
  <c r="I112" i="769"/>
  <c r="E112" i="769"/>
  <c r="B112" i="769"/>
  <c r="I111" i="769"/>
  <c r="E111" i="769"/>
  <c r="B111" i="769"/>
  <c r="I108" i="769"/>
  <c r="E108" i="769"/>
  <c r="B108" i="769"/>
  <c r="I107" i="769"/>
  <c r="E107" i="769"/>
  <c r="H107" i="769" s="1"/>
  <c r="B107" i="769"/>
  <c r="I106" i="769"/>
  <c r="E106" i="769"/>
  <c r="B106" i="769"/>
  <c r="I105" i="769"/>
  <c r="E105" i="769"/>
  <c r="B105" i="769"/>
  <c r="I104" i="769"/>
  <c r="E104" i="769"/>
  <c r="B104" i="769"/>
  <c r="I103" i="769"/>
  <c r="E103" i="769"/>
  <c r="B103" i="769"/>
  <c r="I102" i="769"/>
  <c r="E102" i="769"/>
  <c r="B102" i="769"/>
  <c r="I101" i="769"/>
  <c r="E101" i="769"/>
  <c r="H101" i="769" s="1"/>
  <c r="B101" i="769"/>
  <c r="I100" i="769"/>
  <c r="E100" i="769"/>
  <c r="B100" i="769"/>
  <c r="I99" i="769"/>
  <c r="E99" i="769"/>
  <c r="H99" i="769" s="1"/>
  <c r="B99" i="769"/>
  <c r="I98" i="769"/>
  <c r="E98" i="769"/>
  <c r="H98" i="769" s="1"/>
  <c r="B98" i="769"/>
  <c r="I97" i="769"/>
  <c r="E97" i="769"/>
  <c r="B97" i="769"/>
  <c r="B94" i="769"/>
  <c r="E90" i="769"/>
  <c r="H90" i="769" s="1"/>
  <c r="B84" i="769"/>
  <c r="I79" i="769"/>
  <c r="I76" i="769"/>
  <c r="E76" i="769"/>
  <c r="B76" i="769"/>
  <c r="I75" i="769"/>
  <c r="E75" i="769"/>
  <c r="H75" i="769" s="1"/>
  <c r="B75" i="769"/>
  <c r="I74" i="769"/>
  <c r="E74" i="769"/>
  <c r="B74" i="769"/>
  <c r="I73" i="769"/>
  <c r="E73" i="769"/>
  <c r="H73" i="769" s="1"/>
  <c r="B73" i="769"/>
  <c r="I72" i="769"/>
  <c r="E72" i="769"/>
  <c r="B72" i="769"/>
  <c r="I71" i="769"/>
  <c r="E71" i="769"/>
  <c r="H71" i="769" s="1"/>
  <c r="B71" i="769"/>
  <c r="I70" i="769"/>
  <c r="E70" i="769"/>
  <c r="B70" i="769"/>
  <c r="I69" i="769"/>
  <c r="H69" i="769"/>
  <c r="E69" i="769"/>
  <c r="B69" i="769"/>
  <c r="I68" i="769"/>
  <c r="E68" i="769"/>
  <c r="B68" i="769"/>
  <c r="I67" i="769"/>
  <c r="E67" i="769"/>
  <c r="H67" i="769" s="1"/>
  <c r="B67" i="769"/>
  <c r="I66" i="769"/>
  <c r="E66" i="769"/>
  <c r="B66" i="769"/>
  <c r="I65" i="769"/>
  <c r="E65" i="769"/>
  <c r="B65" i="769"/>
  <c r="I63" i="769"/>
  <c r="E63" i="769"/>
  <c r="B63" i="769"/>
  <c r="I62" i="769"/>
  <c r="E62" i="769"/>
  <c r="B62" i="769"/>
  <c r="B59" i="769"/>
  <c r="I56" i="769"/>
  <c r="J56" i="769" s="1"/>
  <c r="H56" i="769"/>
  <c r="K55" i="769"/>
  <c r="H55" i="769"/>
  <c r="I53" i="769"/>
  <c r="J53" i="769" s="1"/>
  <c r="H53" i="769"/>
  <c r="I52" i="769"/>
  <c r="J52" i="769" s="1"/>
  <c r="H52" i="769"/>
  <c r="I51" i="769"/>
  <c r="J51" i="769" s="1"/>
  <c r="H51" i="769"/>
  <c r="I50" i="769"/>
  <c r="J50" i="769" s="1"/>
  <c r="H50" i="769"/>
  <c r="I49" i="769"/>
  <c r="J49" i="769" s="1"/>
  <c r="H49" i="769"/>
  <c r="I48" i="769"/>
  <c r="J48" i="769" s="1"/>
  <c r="H48" i="769"/>
  <c r="B45" i="769"/>
  <c r="I40" i="769"/>
  <c r="J40" i="769" s="1"/>
  <c r="H40" i="769"/>
  <c r="H39" i="769"/>
  <c r="K39" i="769" s="1"/>
  <c r="I38" i="769"/>
  <c r="J38" i="769" s="1"/>
  <c r="H38" i="769"/>
  <c r="I37" i="769"/>
  <c r="J37" i="769" s="1"/>
  <c r="H37" i="769"/>
  <c r="B25" i="769"/>
  <c r="A25" i="769"/>
  <c r="B24" i="769"/>
  <c r="A24" i="769"/>
  <c r="B23" i="769"/>
  <c r="A23" i="769"/>
  <c r="N23" i="769" s="1"/>
  <c r="B22" i="769"/>
  <c r="A22" i="769"/>
  <c r="N22" i="769" s="1"/>
  <c r="B21" i="769"/>
  <c r="A21" i="769"/>
  <c r="N21" i="769" s="1"/>
  <c r="B20" i="769"/>
  <c r="A20" i="769"/>
  <c r="N20" i="769" s="1"/>
  <c r="B19" i="769"/>
  <c r="A19" i="769"/>
  <c r="N19" i="769" s="1"/>
  <c r="O19" i="769" s="1" a="1"/>
  <c r="O19" i="769" s="1"/>
  <c r="B18" i="769"/>
  <c r="A18" i="769"/>
  <c r="N18" i="769" s="1"/>
  <c r="B17" i="769"/>
  <c r="A17" i="769"/>
  <c r="N17" i="769" s="1"/>
  <c r="B16" i="769"/>
  <c r="A16" i="769"/>
  <c r="N16" i="769" s="1"/>
  <c r="B15" i="769"/>
  <c r="A15" i="769"/>
  <c r="N15" i="769" s="1"/>
  <c r="B14" i="769"/>
  <c r="A14" i="769"/>
  <c r="N14" i="769" s="1"/>
  <c r="B13" i="769"/>
  <c r="A13" i="769"/>
  <c r="N13" i="769" s="1"/>
  <c r="B12" i="769"/>
  <c r="A12" i="769"/>
  <c r="N12" i="769" s="1"/>
  <c r="B277" i="768"/>
  <c r="O273" i="768"/>
  <c r="J273" i="768"/>
  <c r="H273" i="768"/>
  <c r="O272" i="768"/>
  <c r="J272" i="768"/>
  <c r="H272" i="768"/>
  <c r="O271" i="768"/>
  <c r="J271" i="768"/>
  <c r="H271" i="768"/>
  <c r="O270" i="768"/>
  <c r="J270" i="768"/>
  <c r="H270" i="768"/>
  <c r="O269" i="768"/>
  <c r="E269" i="768"/>
  <c r="J269" i="768" s="1"/>
  <c r="O268" i="768"/>
  <c r="E268" i="768"/>
  <c r="J268" i="768" s="1"/>
  <c r="O266" i="768"/>
  <c r="J266" i="768"/>
  <c r="K266" i="768" s="1"/>
  <c r="H266" i="768"/>
  <c r="O265" i="768"/>
  <c r="J265" i="768"/>
  <c r="H265" i="768"/>
  <c r="O264" i="768"/>
  <c r="J264" i="768"/>
  <c r="H264" i="768"/>
  <c r="O263" i="768"/>
  <c r="J263" i="768"/>
  <c r="H263" i="768"/>
  <c r="O262" i="768"/>
  <c r="E262" i="768"/>
  <c r="O261" i="768"/>
  <c r="E261" i="768"/>
  <c r="J261" i="768" s="1"/>
  <c r="I255" i="768"/>
  <c r="J255" i="768" s="1"/>
  <c r="K255" i="768" s="1"/>
  <c r="H255" i="768"/>
  <c r="I254" i="768"/>
  <c r="J254" i="768" s="1"/>
  <c r="H254" i="768"/>
  <c r="K254" i="768" s="1"/>
  <c r="I253" i="768"/>
  <c r="J253" i="768" s="1"/>
  <c r="H253" i="768"/>
  <c r="I252" i="768"/>
  <c r="J252" i="768" s="1"/>
  <c r="H252" i="768"/>
  <c r="B249" i="768"/>
  <c r="E248" i="768"/>
  <c r="B248" i="768"/>
  <c r="E246" i="768"/>
  <c r="F246" i="768" s="1"/>
  <c r="B246" i="768"/>
  <c r="E245" i="768"/>
  <c r="B245" i="768"/>
  <c r="E244" i="768"/>
  <c r="H244" i="768" s="1"/>
  <c r="B244" i="768"/>
  <c r="E243" i="768"/>
  <c r="J243" i="768" s="1"/>
  <c r="B243" i="768"/>
  <c r="H241" i="768"/>
  <c r="E241" i="768"/>
  <c r="F241" i="768" s="1"/>
  <c r="B241" i="768"/>
  <c r="E240" i="768"/>
  <c r="B240" i="768"/>
  <c r="E239" i="768"/>
  <c r="F239" i="768" s="1"/>
  <c r="B239" i="768"/>
  <c r="H238" i="768"/>
  <c r="K238" i="768" s="1"/>
  <c r="E238" i="768"/>
  <c r="J238" i="768" s="1"/>
  <c r="B238" i="768"/>
  <c r="E237" i="768"/>
  <c r="B237" i="768"/>
  <c r="E236" i="768"/>
  <c r="B236" i="768"/>
  <c r="H235" i="768"/>
  <c r="K235" i="768" s="1"/>
  <c r="E235" i="768"/>
  <c r="J235" i="768" s="1"/>
  <c r="B235" i="768"/>
  <c r="E234" i="768"/>
  <c r="H234" i="768" s="1"/>
  <c r="B234" i="768"/>
  <c r="F233" i="768"/>
  <c r="E233" i="768"/>
  <c r="J233" i="768" s="1"/>
  <c r="B233" i="768"/>
  <c r="H232" i="768"/>
  <c r="E232" i="768"/>
  <c r="F232" i="768" s="1"/>
  <c r="B232" i="768"/>
  <c r="E231" i="768"/>
  <c r="B231" i="768"/>
  <c r="H230" i="768"/>
  <c r="E230" i="768"/>
  <c r="F230" i="768" s="1"/>
  <c r="B230" i="768"/>
  <c r="H229" i="768"/>
  <c r="K229" i="768" s="1"/>
  <c r="E229" i="768"/>
  <c r="J229" i="768" s="1"/>
  <c r="B229" i="768"/>
  <c r="E228" i="768"/>
  <c r="B228" i="768"/>
  <c r="E227" i="768"/>
  <c r="B227" i="768"/>
  <c r="E226" i="768"/>
  <c r="B226" i="768"/>
  <c r="E225" i="768"/>
  <c r="B225" i="768"/>
  <c r="E224" i="768"/>
  <c r="J224" i="768" s="1"/>
  <c r="B224" i="768"/>
  <c r="E222" i="768"/>
  <c r="J222" i="768" s="1"/>
  <c r="B222" i="768"/>
  <c r="J220" i="768"/>
  <c r="H220" i="768"/>
  <c r="F220" i="768"/>
  <c r="J219" i="768"/>
  <c r="H219" i="768"/>
  <c r="F219" i="768"/>
  <c r="J218" i="768"/>
  <c r="H218" i="768"/>
  <c r="F218" i="768"/>
  <c r="E216" i="768"/>
  <c r="J216" i="768" s="1"/>
  <c r="B216" i="768"/>
  <c r="E215" i="768"/>
  <c r="J215" i="768" s="1"/>
  <c r="B215" i="768"/>
  <c r="E214" i="768"/>
  <c r="H214" i="768" s="1"/>
  <c r="B214" i="768"/>
  <c r="E212" i="768"/>
  <c r="B212" i="768"/>
  <c r="E211" i="768"/>
  <c r="B211" i="768"/>
  <c r="H210" i="768"/>
  <c r="E210" i="768"/>
  <c r="B210" i="768"/>
  <c r="H209" i="768"/>
  <c r="E209" i="768"/>
  <c r="F209" i="768" s="1"/>
  <c r="B209" i="768"/>
  <c r="E208" i="768"/>
  <c r="B208" i="768"/>
  <c r="E207" i="768"/>
  <c r="F207" i="768" s="1"/>
  <c r="B207" i="768"/>
  <c r="E206" i="768"/>
  <c r="B206" i="768"/>
  <c r="E205" i="768"/>
  <c r="B205" i="768"/>
  <c r="E204" i="768"/>
  <c r="J204" i="768" s="1"/>
  <c r="B204" i="768"/>
  <c r="E203" i="768"/>
  <c r="H203" i="768" s="1"/>
  <c r="B203" i="768"/>
  <c r="B200" i="768"/>
  <c r="I194" i="768"/>
  <c r="J194" i="768" s="1"/>
  <c r="H194" i="768"/>
  <c r="J193" i="768"/>
  <c r="H193" i="768"/>
  <c r="E192" i="768"/>
  <c r="I195" i="768" s="1"/>
  <c r="J195" i="768" s="1"/>
  <c r="B189" i="768"/>
  <c r="J186" i="768"/>
  <c r="H186" i="768"/>
  <c r="J182" i="768"/>
  <c r="H182" i="768"/>
  <c r="J181" i="768"/>
  <c r="H181" i="768"/>
  <c r="J180" i="768"/>
  <c r="H180" i="768"/>
  <c r="J179" i="768"/>
  <c r="H179" i="768"/>
  <c r="J178" i="768"/>
  <c r="H178" i="768"/>
  <c r="B175" i="768"/>
  <c r="J172" i="768"/>
  <c r="H172" i="768"/>
  <c r="J171" i="768"/>
  <c r="H171" i="768"/>
  <c r="J169" i="768"/>
  <c r="H169" i="768"/>
  <c r="K169" i="768" s="1"/>
  <c r="G163" i="768"/>
  <c r="J159" i="768"/>
  <c r="H159" i="768"/>
  <c r="J158" i="768"/>
  <c r="H158" i="768"/>
  <c r="J156" i="768"/>
  <c r="H156" i="768"/>
  <c r="K156" i="768" s="1"/>
  <c r="B152" i="768"/>
  <c r="K151" i="768"/>
  <c r="J150" i="768"/>
  <c r="H150" i="768"/>
  <c r="K150" i="768" s="1"/>
  <c r="J148" i="768"/>
  <c r="H148" i="768"/>
  <c r="E147" i="768"/>
  <c r="H147" i="768" s="1"/>
  <c r="J146" i="768"/>
  <c r="K146" i="768" s="1"/>
  <c r="H146" i="768"/>
  <c r="E145" i="768"/>
  <c r="E144" i="768"/>
  <c r="J143" i="768"/>
  <c r="H143" i="768"/>
  <c r="I141" i="768"/>
  <c r="E141" i="768"/>
  <c r="I140" i="768"/>
  <c r="J140" i="768" s="1"/>
  <c r="H140" i="768"/>
  <c r="I138" i="768"/>
  <c r="J138" i="768" s="1"/>
  <c r="E138" i="768"/>
  <c r="H138" i="768" s="1"/>
  <c r="I137" i="768"/>
  <c r="J137" i="768" s="1"/>
  <c r="H137" i="768"/>
  <c r="B134" i="768"/>
  <c r="O127" i="768"/>
  <c r="J127" i="768"/>
  <c r="K127" i="768" s="1"/>
  <c r="H127" i="768"/>
  <c r="O126" i="768"/>
  <c r="J126" i="768"/>
  <c r="H126" i="768"/>
  <c r="O125" i="768"/>
  <c r="J125" i="768"/>
  <c r="H125" i="768"/>
  <c r="J120" i="768"/>
  <c r="H120" i="768"/>
  <c r="J119" i="768"/>
  <c r="H119" i="768"/>
  <c r="J118" i="768"/>
  <c r="H118" i="768"/>
  <c r="J117" i="768"/>
  <c r="H117" i="768"/>
  <c r="J116" i="768"/>
  <c r="H116" i="768"/>
  <c r="J115" i="768"/>
  <c r="H115" i="768"/>
  <c r="J114" i="768"/>
  <c r="H114" i="768"/>
  <c r="J113" i="768"/>
  <c r="H113" i="768"/>
  <c r="J112" i="768"/>
  <c r="H112" i="768"/>
  <c r="B109" i="768"/>
  <c r="E107" i="768"/>
  <c r="H107" i="768" s="1"/>
  <c r="B102" i="768"/>
  <c r="I98" i="768"/>
  <c r="E97" i="768"/>
  <c r="H97" i="768" s="1"/>
  <c r="B97" i="768"/>
  <c r="E95" i="768"/>
  <c r="J95" i="768" s="1"/>
  <c r="B95" i="768"/>
  <c r="E94" i="768"/>
  <c r="B94" i="768"/>
  <c r="E93" i="768"/>
  <c r="H93" i="768" s="1"/>
  <c r="B93" i="768"/>
  <c r="E92" i="768"/>
  <c r="J92" i="768" s="1"/>
  <c r="B92" i="768"/>
  <c r="J90" i="768"/>
  <c r="E90" i="768"/>
  <c r="H90" i="768" s="1"/>
  <c r="B90" i="768"/>
  <c r="J89" i="768"/>
  <c r="H89" i="768"/>
  <c r="E89" i="768"/>
  <c r="B89" i="768"/>
  <c r="E88" i="768"/>
  <c r="B88" i="768"/>
  <c r="I87" i="768"/>
  <c r="E87" i="768"/>
  <c r="B87" i="768"/>
  <c r="B84" i="768"/>
  <c r="E80" i="768"/>
  <c r="J80" i="768" s="1"/>
  <c r="E78" i="768"/>
  <c r="J78" i="768" s="1"/>
  <c r="B74" i="768"/>
  <c r="I68" i="768"/>
  <c r="J67" i="768"/>
  <c r="K67" i="768" s="1"/>
  <c r="I65" i="768"/>
  <c r="E65" i="768"/>
  <c r="H65" i="768" s="1"/>
  <c r="B65" i="768"/>
  <c r="I64" i="768"/>
  <c r="E64" i="768"/>
  <c r="H64" i="768" s="1"/>
  <c r="B64" i="768"/>
  <c r="I63" i="768"/>
  <c r="E63" i="768"/>
  <c r="B63" i="768"/>
  <c r="I62" i="768"/>
  <c r="E62" i="768"/>
  <c r="H62" i="768" s="1"/>
  <c r="B62" i="768"/>
  <c r="B59" i="768"/>
  <c r="I52" i="768"/>
  <c r="J52" i="768" s="1"/>
  <c r="H52" i="768"/>
  <c r="K52" i="768" s="1"/>
  <c r="H51" i="768"/>
  <c r="I48" i="768"/>
  <c r="J48" i="768" s="1"/>
  <c r="K48" i="768" s="1"/>
  <c r="H48" i="768"/>
  <c r="I47" i="768"/>
  <c r="J47" i="768" s="1"/>
  <c r="H47" i="768"/>
  <c r="B44" i="768"/>
  <c r="I39" i="768"/>
  <c r="J39" i="768" s="1"/>
  <c r="H39" i="768"/>
  <c r="H38" i="768"/>
  <c r="K38" i="768" s="1"/>
  <c r="I37" i="768"/>
  <c r="J37" i="768" s="1"/>
  <c r="H37" i="768"/>
  <c r="B24" i="768"/>
  <c r="A24" i="768"/>
  <c r="B23" i="768"/>
  <c r="A23" i="768"/>
  <c r="N23" i="768" s="1"/>
  <c r="B22" i="768"/>
  <c r="A22" i="768"/>
  <c r="N22" i="768" s="1"/>
  <c r="B21" i="768"/>
  <c r="A21" i="768"/>
  <c r="N21" i="768" s="1"/>
  <c r="B20" i="768"/>
  <c r="A20" i="768"/>
  <c r="N20" i="768" s="1"/>
  <c r="B19" i="768"/>
  <c r="A19" i="768"/>
  <c r="N19" i="768" s="1"/>
  <c r="B18" i="768"/>
  <c r="A18" i="768"/>
  <c r="N18" i="768" s="1"/>
  <c r="B17" i="768"/>
  <c r="A17" i="768"/>
  <c r="N17" i="768" s="1"/>
  <c r="B16" i="768"/>
  <c r="A16" i="768"/>
  <c r="N16" i="768" s="1"/>
  <c r="N15" i="768"/>
  <c r="B15" i="768"/>
  <c r="A15" i="768"/>
  <c r="B14" i="768"/>
  <c r="A14" i="768"/>
  <c r="N14" i="768" s="1"/>
  <c r="B13" i="768"/>
  <c r="A13" i="768"/>
  <c r="N13" i="768" s="1"/>
  <c r="N12" i="768"/>
  <c r="B12" i="768"/>
  <c r="A12" i="768"/>
  <c r="B282" i="767"/>
  <c r="O278" i="767"/>
  <c r="J278" i="767"/>
  <c r="H278" i="767"/>
  <c r="O277" i="767"/>
  <c r="J277" i="767"/>
  <c r="K277" i="767" s="1"/>
  <c r="H277" i="767"/>
  <c r="O276" i="767"/>
  <c r="J276" i="767"/>
  <c r="H276" i="767"/>
  <c r="O275" i="767"/>
  <c r="J275" i="767"/>
  <c r="H275" i="767"/>
  <c r="K275" i="767" s="1"/>
  <c r="O274" i="767"/>
  <c r="E274" i="767"/>
  <c r="J274" i="767" s="1"/>
  <c r="O273" i="767"/>
  <c r="E273" i="767"/>
  <c r="J273" i="767" s="1"/>
  <c r="O271" i="767"/>
  <c r="J271" i="767"/>
  <c r="H271" i="767"/>
  <c r="O270" i="767"/>
  <c r="K270" i="767"/>
  <c r="J270" i="767"/>
  <c r="H270" i="767"/>
  <c r="O269" i="767"/>
  <c r="H269" i="767"/>
  <c r="K269" i="767" s="1"/>
  <c r="E269" i="767"/>
  <c r="J269" i="767" s="1"/>
  <c r="O268" i="767"/>
  <c r="E268" i="767"/>
  <c r="O267" i="767"/>
  <c r="J267" i="767"/>
  <c r="K267" i="767" s="1"/>
  <c r="E267" i="767"/>
  <c r="H267" i="767" s="1"/>
  <c r="O266" i="767"/>
  <c r="K266" i="767"/>
  <c r="J266" i="767"/>
  <c r="H266" i="767"/>
  <c r="I263" i="767"/>
  <c r="J263" i="767" s="1"/>
  <c r="H263" i="767"/>
  <c r="I262" i="767"/>
  <c r="J262" i="767" s="1"/>
  <c r="K262" i="767" s="1"/>
  <c r="H262" i="767"/>
  <c r="I261" i="767"/>
  <c r="J261" i="767" s="1"/>
  <c r="H261" i="767"/>
  <c r="I260" i="767"/>
  <c r="J260" i="767" s="1"/>
  <c r="H260" i="767"/>
  <c r="J259" i="767"/>
  <c r="I259" i="767"/>
  <c r="H259" i="767"/>
  <c r="I258" i="767"/>
  <c r="J258" i="767" s="1"/>
  <c r="H258" i="767"/>
  <c r="I257" i="767"/>
  <c r="J257" i="767" s="1"/>
  <c r="H257" i="767"/>
  <c r="I256" i="767"/>
  <c r="J256" i="767" s="1"/>
  <c r="H256" i="767"/>
  <c r="J255" i="767"/>
  <c r="I255" i="767"/>
  <c r="H255" i="767"/>
  <c r="B252" i="767"/>
  <c r="J249" i="767"/>
  <c r="K249" i="767" s="1"/>
  <c r="E249" i="767"/>
  <c r="H249" i="767" s="1"/>
  <c r="B249" i="767"/>
  <c r="H247" i="767"/>
  <c r="E247" i="767"/>
  <c r="B247" i="767"/>
  <c r="E246" i="767"/>
  <c r="B246" i="767"/>
  <c r="E245" i="767"/>
  <c r="J245" i="767" s="1"/>
  <c r="B245" i="767"/>
  <c r="E244" i="767"/>
  <c r="B244" i="767"/>
  <c r="E243" i="767"/>
  <c r="B243" i="767"/>
  <c r="E242" i="767"/>
  <c r="F242" i="767" s="1"/>
  <c r="B242" i="767"/>
  <c r="E241" i="767"/>
  <c r="B241" i="767"/>
  <c r="E240" i="767"/>
  <c r="B240" i="767"/>
  <c r="E238" i="767"/>
  <c r="J238" i="767" s="1"/>
  <c r="B238" i="767"/>
  <c r="F237" i="767"/>
  <c r="E237" i="767"/>
  <c r="H237" i="767" s="1"/>
  <c r="B237" i="767"/>
  <c r="J236" i="767"/>
  <c r="H236" i="767"/>
  <c r="E236" i="767"/>
  <c r="F236" i="767" s="1"/>
  <c r="B236" i="767"/>
  <c r="E235" i="767"/>
  <c r="J235" i="767" s="1"/>
  <c r="B235" i="767"/>
  <c r="F234" i="767"/>
  <c r="E234" i="767"/>
  <c r="H234" i="767" s="1"/>
  <c r="B234" i="767"/>
  <c r="E233" i="767"/>
  <c r="H233" i="767" s="1"/>
  <c r="B233" i="767"/>
  <c r="E232" i="767"/>
  <c r="B232" i="767"/>
  <c r="E231" i="767"/>
  <c r="B231" i="767"/>
  <c r="E230" i="767"/>
  <c r="B230" i="767"/>
  <c r="E229" i="767"/>
  <c r="B229" i="767"/>
  <c r="E228" i="767"/>
  <c r="F228" i="767" s="1"/>
  <c r="B228" i="767"/>
  <c r="E227" i="767"/>
  <c r="B227" i="767"/>
  <c r="E226" i="767"/>
  <c r="H226" i="767" s="1"/>
  <c r="B226" i="767"/>
  <c r="E225" i="767"/>
  <c r="H225" i="767" s="1"/>
  <c r="B225" i="767"/>
  <c r="E224" i="767"/>
  <c r="H224" i="767" s="1"/>
  <c r="B224" i="767"/>
  <c r="E223" i="767"/>
  <c r="B223" i="767"/>
  <c r="E222" i="767"/>
  <c r="F222" i="767" s="1"/>
  <c r="B222" i="767"/>
  <c r="E221" i="767"/>
  <c r="B221" i="767"/>
  <c r="E220" i="767"/>
  <c r="J220" i="767" s="1"/>
  <c r="B220" i="767"/>
  <c r="F219" i="767"/>
  <c r="E219" i="767"/>
  <c r="J219" i="767" s="1"/>
  <c r="B219" i="767"/>
  <c r="E218" i="767"/>
  <c r="B218" i="767"/>
  <c r="E217" i="767"/>
  <c r="B217" i="767"/>
  <c r="E216" i="767"/>
  <c r="B216" i="767"/>
  <c r="J215" i="767"/>
  <c r="E215" i="767"/>
  <c r="H215" i="767" s="1"/>
  <c r="K215" i="767" s="1"/>
  <c r="B215" i="767"/>
  <c r="E214" i="767"/>
  <c r="F214" i="767" s="1"/>
  <c r="B214" i="767"/>
  <c r="J212" i="767"/>
  <c r="H212" i="767"/>
  <c r="F212" i="767"/>
  <c r="J211" i="767"/>
  <c r="H211" i="767"/>
  <c r="F211" i="767"/>
  <c r="E209" i="767"/>
  <c r="B209" i="767"/>
  <c r="E208" i="767"/>
  <c r="B208" i="767"/>
  <c r="E206" i="767"/>
  <c r="B206" i="767"/>
  <c r="N205" i="767"/>
  <c r="E205" i="767"/>
  <c r="F205" i="767" s="1"/>
  <c r="B205" i="767"/>
  <c r="E204" i="767"/>
  <c r="B204" i="767"/>
  <c r="E203" i="767"/>
  <c r="F203" i="767" s="1"/>
  <c r="B203" i="767"/>
  <c r="E202" i="767"/>
  <c r="B202" i="767"/>
  <c r="E201" i="767"/>
  <c r="F201" i="767" s="1"/>
  <c r="B201" i="767"/>
  <c r="E200" i="767"/>
  <c r="B200" i="767"/>
  <c r="E199" i="767"/>
  <c r="F199" i="767" s="1"/>
  <c r="B199" i="767"/>
  <c r="B196" i="767"/>
  <c r="I192" i="767"/>
  <c r="J192" i="767" s="1"/>
  <c r="H192" i="767"/>
  <c r="J191" i="767"/>
  <c r="H191" i="767"/>
  <c r="K191" i="767" s="1"/>
  <c r="E190" i="767"/>
  <c r="I193" i="767" s="1"/>
  <c r="J193" i="767" s="1"/>
  <c r="B187" i="767"/>
  <c r="J183" i="767"/>
  <c r="H183" i="767"/>
  <c r="J182" i="767"/>
  <c r="K182" i="767" s="1"/>
  <c r="H182" i="767"/>
  <c r="J181" i="767"/>
  <c r="H181" i="767"/>
  <c r="J180" i="767"/>
  <c r="H180" i="767"/>
  <c r="J179" i="767"/>
  <c r="H179" i="767"/>
  <c r="G184" i="767" s="1"/>
  <c r="B176" i="767"/>
  <c r="J172" i="767"/>
  <c r="K172" i="767" s="1"/>
  <c r="H172" i="767"/>
  <c r="J171" i="767"/>
  <c r="H171" i="767"/>
  <c r="K171" i="767" s="1"/>
  <c r="J169" i="767"/>
  <c r="H169" i="767"/>
  <c r="G163" i="767"/>
  <c r="J159" i="767"/>
  <c r="H159" i="767"/>
  <c r="J158" i="767"/>
  <c r="H158" i="767"/>
  <c r="K158" i="767" s="1"/>
  <c r="J156" i="767"/>
  <c r="H156" i="767"/>
  <c r="B152" i="767"/>
  <c r="K151" i="767"/>
  <c r="K150" i="767"/>
  <c r="J150" i="767"/>
  <c r="H150" i="767"/>
  <c r="J148" i="767"/>
  <c r="H148" i="767"/>
  <c r="E148" i="767"/>
  <c r="E147" i="767"/>
  <c r="E146" i="767"/>
  <c r="H146" i="767" s="1"/>
  <c r="E145" i="767"/>
  <c r="E144" i="767"/>
  <c r="J144" i="767" s="1"/>
  <c r="E143" i="767"/>
  <c r="I141" i="767"/>
  <c r="E141" i="767"/>
  <c r="H141" i="767" s="1"/>
  <c r="I140" i="767"/>
  <c r="J140" i="767" s="1"/>
  <c r="K140" i="767" s="1"/>
  <c r="H140" i="767"/>
  <c r="I138" i="767"/>
  <c r="E138" i="767"/>
  <c r="H138" i="767" s="1"/>
  <c r="I137" i="767"/>
  <c r="J137" i="767" s="1"/>
  <c r="H137" i="767"/>
  <c r="B134" i="767"/>
  <c r="O128" i="767"/>
  <c r="J128" i="767"/>
  <c r="H128" i="767"/>
  <c r="O127" i="767"/>
  <c r="J127" i="767"/>
  <c r="K127" i="767" s="1"/>
  <c r="H127" i="767"/>
  <c r="O126" i="767"/>
  <c r="J126" i="767"/>
  <c r="K126" i="767" s="1"/>
  <c r="H126" i="767"/>
  <c r="O125" i="767"/>
  <c r="J125" i="767"/>
  <c r="H125" i="767"/>
  <c r="G131" i="767" s="1"/>
  <c r="J120" i="767"/>
  <c r="H120" i="767"/>
  <c r="J119" i="767"/>
  <c r="H119" i="767"/>
  <c r="K119" i="767" s="1"/>
  <c r="J118" i="767"/>
  <c r="H118" i="767"/>
  <c r="J117" i="767"/>
  <c r="H117" i="767"/>
  <c r="J116" i="767"/>
  <c r="H116" i="767"/>
  <c r="J115" i="767"/>
  <c r="H115" i="767"/>
  <c r="K115" i="767" s="1"/>
  <c r="J114" i="767"/>
  <c r="H114" i="767"/>
  <c r="J113" i="767"/>
  <c r="H113" i="767"/>
  <c r="J112" i="767"/>
  <c r="H112" i="767"/>
  <c r="B109" i="767"/>
  <c r="H104" i="767"/>
  <c r="K104" i="767" s="1"/>
  <c r="E104" i="767"/>
  <c r="J104" i="767" s="1"/>
  <c r="E102" i="767"/>
  <c r="B99" i="767"/>
  <c r="I94" i="767"/>
  <c r="E93" i="767"/>
  <c r="J93" i="767" s="1"/>
  <c r="B93" i="767"/>
  <c r="E92" i="767"/>
  <c r="H92" i="767" s="1"/>
  <c r="B92" i="767"/>
  <c r="E91" i="767"/>
  <c r="B91" i="767"/>
  <c r="E90" i="767"/>
  <c r="J90" i="767" s="1"/>
  <c r="B90" i="767"/>
  <c r="E88" i="767"/>
  <c r="J88" i="767" s="1"/>
  <c r="B88" i="767"/>
  <c r="E87" i="767"/>
  <c r="J87" i="767" s="1"/>
  <c r="B87" i="767"/>
  <c r="B84" i="767"/>
  <c r="E81" i="767"/>
  <c r="H81" i="767" s="1"/>
  <c r="E79" i="767"/>
  <c r="I76" i="767"/>
  <c r="J76" i="767" s="1"/>
  <c r="H76" i="767"/>
  <c r="B75" i="767"/>
  <c r="K73" i="767"/>
  <c r="H73" i="767"/>
  <c r="E71" i="767"/>
  <c r="B71" i="767"/>
  <c r="B68" i="767"/>
  <c r="I64" i="767"/>
  <c r="J64" i="767" s="1"/>
  <c r="K64" i="767" s="1"/>
  <c r="H64" i="767"/>
  <c r="H63" i="767"/>
  <c r="K63" i="767" s="1"/>
  <c r="I61" i="767"/>
  <c r="J61" i="767" s="1"/>
  <c r="H61" i="767"/>
  <c r="I60" i="767"/>
  <c r="J60" i="767" s="1"/>
  <c r="H60" i="767"/>
  <c r="J59" i="767"/>
  <c r="K59" i="767" s="1"/>
  <c r="I59" i="767"/>
  <c r="H59" i="767"/>
  <c r="I58" i="767"/>
  <c r="J58" i="767" s="1"/>
  <c r="H58" i="767"/>
  <c r="I57" i="767"/>
  <c r="J57" i="767" s="1"/>
  <c r="H57" i="767"/>
  <c r="I56" i="767"/>
  <c r="J56" i="767" s="1"/>
  <c r="H56" i="767"/>
  <c r="I55" i="767"/>
  <c r="J55" i="767" s="1"/>
  <c r="H55" i="767"/>
  <c r="I54" i="767"/>
  <c r="J54" i="767" s="1"/>
  <c r="H54" i="767"/>
  <c r="I53" i="767"/>
  <c r="J53" i="767" s="1"/>
  <c r="K53" i="767" s="1"/>
  <c r="H53" i="767"/>
  <c r="I52" i="767"/>
  <c r="J52" i="767" s="1"/>
  <c r="H52" i="767"/>
  <c r="I51" i="767"/>
  <c r="J51" i="767" s="1"/>
  <c r="H51" i="767"/>
  <c r="I50" i="767"/>
  <c r="J50" i="767" s="1"/>
  <c r="H50" i="767"/>
  <c r="I49" i="767"/>
  <c r="J49" i="767" s="1"/>
  <c r="H49" i="767"/>
  <c r="I48" i="767"/>
  <c r="J48" i="767" s="1"/>
  <c r="H48" i="767"/>
  <c r="B45" i="767"/>
  <c r="I40" i="767"/>
  <c r="J40" i="767" s="1"/>
  <c r="H40" i="767"/>
  <c r="H39" i="767"/>
  <c r="K39" i="767" s="1"/>
  <c r="I38" i="767"/>
  <c r="J38" i="767" s="1"/>
  <c r="H38" i="767"/>
  <c r="I37" i="767"/>
  <c r="J37" i="767" s="1"/>
  <c r="H37" i="767"/>
  <c r="B24" i="767"/>
  <c r="A24" i="767"/>
  <c r="B23" i="767"/>
  <c r="A23" i="767"/>
  <c r="N23" i="767" s="1"/>
  <c r="B22" i="767"/>
  <c r="A22" i="767"/>
  <c r="N22" i="767" s="1"/>
  <c r="B21" i="767"/>
  <c r="A21" i="767"/>
  <c r="N21" i="767" s="1"/>
  <c r="B20" i="767"/>
  <c r="A20" i="767"/>
  <c r="N20" i="767" s="1"/>
  <c r="B19" i="767"/>
  <c r="A19" i="767"/>
  <c r="N19" i="767" s="1"/>
  <c r="B18" i="767"/>
  <c r="A18" i="767"/>
  <c r="N18" i="767" s="1"/>
  <c r="B17" i="767"/>
  <c r="A17" i="767"/>
  <c r="N17" i="767" s="1"/>
  <c r="B16" i="767"/>
  <c r="A16" i="767"/>
  <c r="N16" i="767" s="1"/>
  <c r="B15" i="767"/>
  <c r="A15" i="767"/>
  <c r="N15" i="767" s="1"/>
  <c r="O15" i="767" s="1" a="1"/>
  <c r="O15" i="767" s="1"/>
  <c r="B14" i="767"/>
  <c r="A14" i="767"/>
  <c r="N14" i="767" s="1"/>
  <c r="B13" i="767"/>
  <c r="A13" i="767"/>
  <c r="N13" i="767" s="1"/>
  <c r="B12" i="767"/>
  <c r="A12" i="767"/>
  <c r="N12" i="767" s="1"/>
  <c r="B282" i="766"/>
  <c r="O279" i="766"/>
  <c r="J279" i="766"/>
  <c r="H279" i="766"/>
  <c r="O278" i="766"/>
  <c r="J278" i="766"/>
  <c r="H278" i="766"/>
  <c r="O277" i="766"/>
  <c r="J277" i="766"/>
  <c r="H277" i="766"/>
  <c r="O276" i="766"/>
  <c r="J276" i="766"/>
  <c r="H276" i="766"/>
  <c r="O275" i="766"/>
  <c r="E275" i="766"/>
  <c r="H275" i="766" s="1"/>
  <c r="O274" i="766"/>
  <c r="E274" i="766"/>
  <c r="J274" i="766" s="1"/>
  <c r="O272" i="766"/>
  <c r="J272" i="766"/>
  <c r="H272" i="766"/>
  <c r="K272" i="766" s="1"/>
  <c r="O271" i="766"/>
  <c r="J271" i="766"/>
  <c r="H271" i="766"/>
  <c r="K271" i="766" s="1"/>
  <c r="O270" i="766"/>
  <c r="J270" i="766"/>
  <c r="H270" i="766"/>
  <c r="O269" i="766"/>
  <c r="E269" i="766"/>
  <c r="H269" i="766" s="1"/>
  <c r="O268" i="766"/>
  <c r="E268" i="766"/>
  <c r="O267" i="766"/>
  <c r="E267" i="766"/>
  <c r="J265" i="766"/>
  <c r="I265" i="766"/>
  <c r="H265" i="766"/>
  <c r="I264" i="766"/>
  <c r="J264" i="766" s="1"/>
  <c r="H264" i="766"/>
  <c r="I263" i="766"/>
  <c r="J263" i="766" s="1"/>
  <c r="H263" i="766"/>
  <c r="J262" i="766"/>
  <c r="I262" i="766"/>
  <c r="H262" i="766"/>
  <c r="I261" i="766"/>
  <c r="J261" i="766" s="1"/>
  <c r="H261" i="766"/>
  <c r="I260" i="766"/>
  <c r="J260" i="766" s="1"/>
  <c r="H260" i="766"/>
  <c r="I259" i="766"/>
  <c r="J259" i="766" s="1"/>
  <c r="H259" i="766"/>
  <c r="I258" i="766"/>
  <c r="J258" i="766" s="1"/>
  <c r="H258" i="766"/>
  <c r="B255" i="766"/>
  <c r="F252" i="766"/>
  <c r="E252" i="766"/>
  <c r="B252" i="766"/>
  <c r="J250" i="766"/>
  <c r="K250" i="766" s="1"/>
  <c r="F250" i="766"/>
  <c r="E250" i="766"/>
  <c r="H250" i="766" s="1"/>
  <c r="B250" i="766"/>
  <c r="E249" i="766"/>
  <c r="B249" i="766"/>
  <c r="E248" i="766"/>
  <c r="F248" i="766" s="1"/>
  <c r="B248" i="766"/>
  <c r="F247" i="766"/>
  <c r="E247" i="766"/>
  <c r="H247" i="766" s="1"/>
  <c r="B247" i="766"/>
  <c r="E246" i="766"/>
  <c r="B246" i="766"/>
  <c r="E244" i="766"/>
  <c r="H244" i="766" s="1"/>
  <c r="B244" i="766"/>
  <c r="J243" i="766"/>
  <c r="E243" i="766"/>
  <c r="H243" i="766" s="1"/>
  <c r="B243" i="766"/>
  <c r="E242" i="766"/>
  <c r="F242" i="766" s="1"/>
  <c r="B242" i="766"/>
  <c r="E241" i="766"/>
  <c r="F241" i="766" s="1"/>
  <c r="B241" i="766"/>
  <c r="J240" i="766"/>
  <c r="E240" i="766"/>
  <c r="F240" i="766" s="1"/>
  <c r="B240" i="766"/>
  <c r="E239" i="766"/>
  <c r="B239" i="766"/>
  <c r="E238" i="766"/>
  <c r="B238" i="766"/>
  <c r="F237" i="766"/>
  <c r="E237" i="766"/>
  <c r="B237" i="766"/>
  <c r="J236" i="766"/>
  <c r="H236" i="766"/>
  <c r="E236" i="766"/>
  <c r="F236" i="766" s="1"/>
  <c r="B236" i="766"/>
  <c r="E235" i="766"/>
  <c r="B235" i="766"/>
  <c r="E234" i="766"/>
  <c r="B234" i="766"/>
  <c r="E233" i="766"/>
  <c r="B233" i="766"/>
  <c r="F232" i="766"/>
  <c r="E232" i="766"/>
  <c r="H232" i="766" s="1"/>
  <c r="B232" i="766"/>
  <c r="F231" i="766"/>
  <c r="E231" i="766"/>
  <c r="J231" i="766" s="1"/>
  <c r="B231" i="766"/>
  <c r="H230" i="766"/>
  <c r="E230" i="766"/>
  <c r="F230" i="766" s="1"/>
  <c r="B230" i="766"/>
  <c r="E229" i="766"/>
  <c r="B229" i="766"/>
  <c r="H228" i="766"/>
  <c r="K228" i="766" s="1"/>
  <c r="E228" i="766"/>
  <c r="J228" i="766" s="1"/>
  <c r="B228" i="766"/>
  <c r="H227" i="766"/>
  <c r="K227" i="766" s="1"/>
  <c r="E227" i="766"/>
  <c r="J227" i="766" s="1"/>
  <c r="B227" i="766"/>
  <c r="J226" i="766"/>
  <c r="E226" i="766"/>
  <c r="F226" i="766" s="1"/>
  <c r="B226" i="766"/>
  <c r="F225" i="766"/>
  <c r="E225" i="766"/>
  <c r="B225" i="766"/>
  <c r="H224" i="766"/>
  <c r="F224" i="766"/>
  <c r="E224" i="766"/>
  <c r="J224" i="766" s="1"/>
  <c r="B224" i="766"/>
  <c r="K222" i="766"/>
  <c r="J222" i="766"/>
  <c r="H222" i="766"/>
  <c r="F222" i="766"/>
  <c r="J221" i="766"/>
  <c r="H221" i="766"/>
  <c r="F221" i="766"/>
  <c r="E219" i="766"/>
  <c r="J219" i="766" s="1"/>
  <c r="B219" i="766"/>
  <c r="E218" i="766"/>
  <c r="B218" i="766"/>
  <c r="E216" i="766"/>
  <c r="F216" i="766" s="1"/>
  <c r="B216" i="766"/>
  <c r="J215" i="766"/>
  <c r="E215" i="766"/>
  <c r="B215" i="766"/>
  <c r="E214" i="766"/>
  <c r="B214" i="766"/>
  <c r="E213" i="766"/>
  <c r="B213" i="766"/>
  <c r="J212" i="766"/>
  <c r="K212" i="766" s="1"/>
  <c r="F212" i="766"/>
  <c r="E212" i="766"/>
  <c r="H212" i="766" s="1"/>
  <c r="B212" i="766"/>
  <c r="E211" i="766"/>
  <c r="B211" i="766"/>
  <c r="E210" i="766"/>
  <c r="J210" i="766" s="1"/>
  <c r="B210" i="766"/>
  <c r="F209" i="766"/>
  <c r="E209" i="766"/>
  <c r="B209" i="766"/>
  <c r="F208" i="766"/>
  <c r="E208" i="766"/>
  <c r="H208" i="766" s="1"/>
  <c r="B208" i="766"/>
  <c r="E207" i="766"/>
  <c r="B207" i="766"/>
  <c r="E206" i="766"/>
  <c r="B206" i="766"/>
  <c r="B203" i="766"/>
  <c r="I200" i="766"/>
  <c r="J200" i="766" s="1"/>
  <c r="H200" i="766"/>
  <c r="J199" i="766"/>
  <c r="H199" i="766"/>
  <c r="K199" i="766" s="1"/>
  <c r="E198" i="766"/>
  <c r="J198" i="766" s="1"/>
  <c r="B195" i="766"/>
  <c r="J191" i="766"/>
  <c r="H191" i="766"/>
  <c r="J190" i="766"/>
  <c r="H190" i="766"/>
  <c r="J189" i="766"/>
  <c r="H189" i="766"/>
  <c r="J188" i="766"/>
  <c r="H188" i="766"/>
  <c r="K188" i="766" s="1"/>
  <c r="J187" i="766"/>
  <c r="H187" i="766"/>
  <c r="B184" i="766"/>
  <c r="J179" i="766"/>
  <c r="H179" i="766"/>
  <c r="K179" i="766" s="1"/>
  <c r="J178" i="766"/>
  <c r="H178" i="766"/>
  <c r="K178" i="766" s="1"/>
  <c r="J177" i="766"/>
  <c r="H177" i="766"/>
  <c r="J176" i="766"/>
  <c r="H176" i="766"/>
  <c r="K176" i="766" s="1"/>
  <c r="G170" i="766"/>
  <c r="J166" i="766"/>
  <c r="H166" i="766"/>
  <c r="J165" i="766"/>
  <c r="H165" i="766"/>
  <c r="K165" i="766" s="1"/>
  <c r="J163" i="766"/>
  <c r="H163" i="766"/>
  <c r="B159" i="766"/>
  <c r="K158" i="766"/>
  <c r="J157" i="766"/>
  <c r="H157" i="766"/>
  <c r="H155" i="766"/>
  <c r="E155" i="766"/>
  <c r="J155" i="766" s="1"/>
  <c r="E154" i="766"/>
  <c r="H154" i="766" s="1"/>
  <c r="E153" i="766"/>
  <c r="J153" i="766" s="1"/>
  <c r="E152" i="766"/>
  <c r="J152" i="766" s="1"/>
  <c r="J151" i="766"/>
  <c r="H151" i="766"/>
  <c r="E150" i="766"/>
  <c r="H150" i="766" s="1"/>
  <c r="I148" i="766"/>
  <c r="E148" i="766"/>
  <c r="H148" i="766" s="1"/>
  <c r="I147" i="766"/>
  <c r="J147" i="766" s="1"/>
  <c r="H147" i="766"/>
  <c r="I145" i="766"/>
  <c r="J145" i="766" s="1"/>
  <c r="H145" i="766"/>
  <c r="I144" i="766"/>
  <c r="E144" i="766"/>
  <c r="B141" i="766"/>
  <c r="O136" i="766"/>
  <c r="J136" i="766"/>
  <c r="H136" i="766"/>
  <c r="O135" i="766"/>
  <c r="J135" i="766"/>
  <c r="H135" i="766"/>
  <c r="O134" i="766"/>
  <c r="J134" i="766"/>
  <c r="H134" i="766"/>
  <c r="O133" i="766"/>
  <c r="J133" i="766"/>
  <c r="H133" i="766"/>
  <c r="K133" i="766" s="1"/>
  <c r="J128" i="766"/>
  <c r="H128" i="766"/>
  <c r="K128" i="766" s="1"/>
  <c r="J127" i="766"/>
  <c r="H127" i="766"/>
  <c r="J126" i="766"/>
  <c r="H126" i="766"/>
  <c r="K126" i="766" s="1"/>
  <c r="J125" i="766"/>
  <c r="H125" i="766"/>
  <c r="J124" i="766"/>
  <c r="H124" i="766"/>
  <c r="J123" i="766"/>
  <c r="H123" i="766"/>
  <c r="J122" i="766"/>
  <c r="H122" i="766"/>
  <c r="K122" i="766" s="1"/>
  <c r="J121" i="766"/>
  <c r="H121" i="766"/>
  <c r="J120" i="766"/>
  <c r="H120" i="766"/>
  <c r="B117" i="766"/>
  <c r="E114" i="766"/>
  <c r="E112" i="766"/>
  <c r="B109" i="766"/>
  <c r="I106" i="766"/>
  <c r="J105" i="766"/>
  <c r="E105" i="766"/>
  <c r="H105" i="766" s="1"/>
  <c r="B105" i="766"/>
  <c r="H104" i="766"/>
  <c r="K104" i="766" s="1"/>
  <c r="E104" i="766"/>
  <c r="J104" i="766" s="1"/>
  <c r="B104" i="766"/>
  <c r="E103" i="766"/>
  <c r="B103" i="766"/>
  <c r="E102" i="766"/>
  <c r="J102" i="766" s="1"/>
  <c r="B102" i="766"/>
  <c r="I100" i="766"/>
  <c r="E100" i="766"/>
  <c r="B100" i="766"/>
  <c r="I99" i="766"/>
  <c r="E99" i="766"/>
  <c r="H99" i="766" s="1"/>
  <c r="B99" i="766"/>
  <c r="I98" i="766"/>
  <c r="E98" i="766"/>
  <c r="H98" i="766" s="1"/>
  <c r="B98" i="766"/>
  <c r="B95" i="766"/>
  <c r="E90" i="766"/>
  <c r="E164" i="766" s="1"/>
  <c r="E88" i="766"/>
  <c r="B84" i="766"/>
  <c r="I76" i="766"/>
  <c r="H75" i="766"/>
  <c r="K75" i="766" s="1"/>
  <c r="I73" i="766"/>
  <c r="E73" i="766"/>
  <c r="H73" i="766" s="1"/>
  <c r="B73" i="766"/>
  <c r="I72" i="766"/>
  <c r="E72" i="766"/>
  <c r="B72" i="766"/>
  <c r="B69" i="766"/>
  <c r="I64" i="766"/>
  <c r="J64" i="766" s="1"/>
  <c r="K64" i="766" s="1"/>
  <c r="H64" i="766"/>
  <c r="H63" i="766"/>
  <c r="K63" i="766" s="1"/>
  <c r="I61" i="766"/>
  <c r="J61" i="766" s="1"/>
  <c r="H61" i="766"/>
  <c r="J60" i="766"/>
  <c r="I60" i="766"/>
  <c r="H60" i="766"/>
  <c r="I59" i="766"/>
  <c r="J59" i="766" s="1"/>
  <c r="H59" i="766"/>
  <c r="I58" i="766"/>
  <c r="J58" i="766" s="1"/>
  <c r="H58" i="766"/>
  <c r="J57" i="766"/>
  <c r="I57" i="766"/>
  <c r="H57" i="766"/>
  <c r="I56" i="766"/>
  <c r="J56" i="766" s="1"/>
  <c r="H56" i="766"/>
  <c r="I55" i="766"/>
  <c r="J55" i="766" s="1"/>
  <c r="H55" i="766"/>
  <c r="I54" i="766"/>
  <c r="J54" i="766" s="1"/>
  <c r="H54" i="766"/>
  <c r="I53" i="766"/>
  <c r="J53" i="766" s="1"/>
  <c r="H53" i="766"/>
  <c r="K53" i="766" s="1"/>
  <c r="J52" i="766"/>
  <c r="K52" i="766" s="1"/>
  <c r="I52" i="766"/>
  <c r="H52" i="766"/>
  <c r="J51" i="766"/>
  <c r="K51" i="766" s="1"/>
  <c r="I51" i="766"/>
  <c r="H51" i="766"/>
  <c r="I50" i="766"/>
  <c r="J50" i="766" s="1"/>
  <c r="H50" i="766"/>
  <c r="I49" i="766"/>
  <c r="J49" i="766" s="1"/>
  <c r="H49" i="766"/>
  <c r="I48" i="766"/>
  <c r="J48" i="766" s="1"/>
  <c r="H48" i="766"/>
  <c r="B45" i="766"/>
  <c r="J40" i="766"/>
  <c r="I40" i="766"/>
  <c r="H40" i="766"/>
  <c r="H39" i="766"/>
  <c r="J38" i="766"/>
  <c r="I38" i="766"/>
  <c r="H38" i="766"/>
  <c r="J37" i="766"/>
  <c r="I37" i="766"/>
  <c r="H37" i="766"/>
  <c r="B24" i="766"/>
  <c r="A24" i="766"/>
  <c r="B23" i="766"/>
  <c r="A23" i="766"/>
  <c r="B22" i="766"/>
  <c r="A22" i="766"/>
  <c r="N22" i="766" s="1"/>
  <c r="B21" i="766"/>
  <c r="A21" i="766"/>
  <c r="N21" i="766" s="1"/>
  <c r="N20" i="766"/>
  <c r="B20" i="766"/>
  <c r="A20" i="766"/>
  <c r="B19" i="766"/>
  <c r="A19" i="766"/>
  <c r="N19" i="766" s="1"/>
  <c r="B18" i="766"/>
  <c r="A18" i="766"/>
  <c r="N18" i="766" s="1"/>
  <c r="N17" i="766"/>
  <c r="B17" i="766"/>
  <c r="A17" i="766"/>
  <c r="B16" i="766"/>
  <c r="A16" i="766"/>
  <c r="N16" i="766" s="1"/>
  <c r="B15" i="766"/>
  <c r="A15" i="766"/>
  <c r="N15" i="766" s="1"/>
  <c r="N14" i="766"/>
  <c r="B14" i="766"/>
  <c r="A14" i="766"/>
  <c r="B13" i="766"/>
  <c r="A13" i="766"/>
  <c r="N13" i="766" s="1"/>
  <c r="B12" i="766"/>
  <c r="A12" i="766"/>
  <c r="N12" i="766" s="1"/>
  <c r="B272" i="765"/>
  <c r="O269" i="765"/>
  <c r="J269" i="765"/>
  <c r="H269" i="765"/>
  <c r="K269" i="765" s="1"/>
  <c r="O268" i="765"/>
  <c r="J268" i="765"/>
  <c r="H268" i="765"/>
  <c r="K268" i="765" s="1"/>
  <c r="O267" i="765"/>
  <c r="J267" i="765"/>
  <c r="H267" i="765"/>
  <c r="O266" i="765"/>
  <c r="J266" i="765"/>
  <c r="H266" i="765"/>
  <c r="O265" i="765"/>
  <c r="E265" i="765"/>
  <c r="O264" i="765"/>
  <c r="E264" i="765"/>
  <c r="O262" i="765"/>
  <c r="J262" i="765"/>
  <c r="H262" i="765"/>
  <c r="O261" i="765"/>
  <c r="J261" i="765"/>
  <c r="H261" i="765"/>
  <c r="K261" i="765" s="1"/>
  <c r="O260" i="765"/>
  <c r="J260" i="765"/>
  <c r="H260" i="765"/>
  <c r="O259" i="765"/>
  <c r="E259" i="765"/>
  <c r="O258" i="765"/>
  <c r="E258" i="765"/>
  <c r="O257" i="765"/>
  <c r="E257" i="765"/>
  <c r="I254" i="765"/>
  <c r="J254" i="765" s="1"/>
  <c r="K254" i="765" s="1"/>
  <c r="H254" i="765"/>
  <c r="I253" i="765"/>
  <c r="J253" i="765" s="1"/>
  <c r="H253" i="765"/>
  <c r="K253" i="765" s="1"/>
  <c r="I252" i="765"/>
  <c r="J252" i="765" s="1"/>
  <c r="H252" i="765"/>
  <c r="I251" i="765"/>
  <c r="J251" i="765" s="1"/>
  <c r="H251" i="765"/>
  <c r="K251" i="765" s="1"/>
  <c r="I250" i="765"/>
  <c r="J250" i="765" s="1"/>
  <c r="H250" i="765"/>
  <c r="I249" i="765"/>
  <c r="J249" i="765" s="1"/>
  <c r="H249" i="765"/>
  <c r="K249" i="765" s="1"/>
  <c r="J248" i="765"/>
  <c r="I248" i="765"/>
  <c r="H248" i="765"/>
  <c r="I247" i="765"/>
  <c r="J247" i="765" s="1"/>
  <c r="H247" i="765"/>
  <c r="I246" i="765"/>
  <c r="J246" i="765" s="1"/>
  <c r="H246" i="765"/>
  <c r="K246" i="765" s="1"/>
  <c r="I245" i="765"/>
  <c r="J245" i="765" s="1"/>
  <c r="K245" i="765" s="1"/>
  <c r="H245" i="765"/>
  <c r="I244" i="765"/>
  <c r="J244" i="765" s="1"/>
  <c r="H244" i="765"/>
  <c r="B241" i="765"/>
  <c r="E239" i="765"/>
  <c r="B239" i="765"/>
  <c r="E237" i="765"/>
  <c r="B237" i="765"/>
  <c r="F236" i="765"/>
  <c r="E236" i="765"/>
  <c r="J236" i="765" s="1"/>
  <c r="B236" i="765"/>
  <c r="E235" i="765"/>
  <c r="B235" i="765"/>
  <c r="F234" i="765"/>
  <c r="E234" i="765"/>
  <c r="J234" i="765" s="1"/>
  <c r="B234" i="765"/>
  <c r="E233" i="765"/>
  <c r="B233" i="765"/>
  <c r="E232" i="765"/>
  <c r="J232" i="765" s="1"/>
  <c r="B232" i="765"/>
  <c r="E230" i="765"/>
  <c r="B230" i="765"/>
  <c r="E229" i="765"/>
  <c r="B229" i="765"/>
  <c r="E228" i="765"/>
  <c r="J228" i="765" s="1"/>
  <c r="B228" i="765"/>
  <c r="F227" i="765"/>
  <c r="E227" i="765"/>
  <c r="J227" i="765" s="1"/>
  <c r="B227" i="765"/>
  <c r="E226" i="765"/>
  <c r="B226" i="765"/>
  <c r="F225" i="765"/>
  <c r="E225" i="765"/>
  <c r="H225" i="765" s="1"/>
  <c r="B225" i="765"/>
  <c r="E224" i="765"/>
  <c r="B224" i="765"/>
  <c r="E223" i="765"/>
  <c r="J223" i="765" s="1"/>
  <c r="B223" i="765"/>
  <c r="H222" i="765"/>
  <c r="E222" i="765"/>
  <c r="F222" i="765" s="1"/>
  <c r="B222" i="765"/>
  <c r="J221" i="765"/>
  <c r="H221" i="765"/>
  <c r="E221" i="765"/>
  <c r="F221" i="765" s="1"/>
  <c r="B221" i="765"/>
  <c r="J220" i="765"/>
  <c r="H220" i="765"/>
  <c r="E220" i="765"/>
  <c r="F220" i="765" s="1"/>
  <c r="B220" i="765"/>
  <c r="E219" i="765"/>
  <c r="B219" i="765"/>
  <c r="E218" i="765"/>
  <c r="B218" i="765"/>
  <c r="E217" i="765"/>
  <c r="B217" i="765"/>
  <c r="E216" i="765"/>
  <c r="J216" i="765" s="1"/>
  <c r="B216" i="765"/>
  <c r="E215" i="765"/>
  <c r="B215" i="765"/>
  <c r="E214" i="765"/>
  <c r="B214" i="765"/>
  <c r="E213" i="765"/>
  <c r="J213" i="765" s="1"/>
  <c r="B213" i="765"/>
  <c r="E212" i="765"/>
  <c r="J212" i="765" s="1"/>
  <c r="B212" i="765"/>
  <c r="E211" i="765"/>
  <c r="J211" i="765" s="1"/>
  <c r="B211" i="765"/>
  <c r="J209" i="765"/>
  <c r="H209" i="765"/>
  <c r="K209" i="765" s="1"/>
  <c r="F209" i="765"/>
  <c r="J208" i="765"/>
  <c r="H208" i="765"/>
  <c r="F208" i="765"/>
  <c r="E206" i="765"/>
  <c r="J206" i="765" s="1"/>
  <c r="B206" i="765"/>
  <c r="E204" i="765"/>
  <c r="J204" i="765" s="1"/>
  <c r="B204" i="765"/>
  <c r="E203" i="765"/>
  <c r="J203" i="765" s="1"/>
  <c r="B203" i="765"/>
  <c r="E202" i="765"/>
  <c r="B202" i="765"/>
  <c r="E201" i="765"/>
  <c r="B201" i="765"/>
  <c r="E200" i="765"/>
  <c r="B200" i="765"/>
  <c r="E199" i="765"/>
  <c r="J199" i="765" s="1"/>
  <c r="B199" i="765"/>
  <c r="E198" i="765"/>
  <c r="B198" i="765"/>
  <c r="E197" i="765"/>
  <c r="J197" i="765" s="1"/>
  <c r="B197" i="765"/>
  <c r="E196" i="765"/>
  <c r="B196" i="765"/>
  <c r="I189" i="765"/>
  <c r="J189" i="765" s="1"/>
  <c r="H189" i="765"/>
  <c r="J188" i="765"/>
  <c r="H188" i="765"/>
  <c r="K188" i="765" s="1"/>
  <c r="E187" i="765"/>
  <c r="G190" i="765" s="1"/>
  <c r="H190" i="765" s="1"/>
  <c r="B184" i="765"/>
  <c r="J177" i="765"/>
  <c r="H177" i="765"/>
  <c r="J176" i="765"/>
  <c r="H176" i="765"/>
  <c r="J175" i="765"/>
  <c r="H175" i="765"/>
  <c r="J174" i="765"/>
  <c r="H174" i="765"/>
  <c r="J173" i="765"/>
  <c r="H173" i="765"/>
  <c r="B170" i="765"/>
  <c r="J166" i="765"/>
  <c r="H166" i="765"/>
  <c r="J165" i="765"/>
  <c r="H165" i="765"/>
  <c r="E164" i="765"/>
  <c r="J163" i="765"/>
  <c r="H163" i="765"/>
  <c r="G156" i="765"/>
  <c r="J152" i="765"/>
  <c r="H152" i="765"/>
  <c r="J151" i="765"/>
  <c r="K151" i="765" s="1"/>
  <c r="H151" i="765"/>
  <c r="J149" i="765"/>
  <c r="H149" i="765"/>
  <c r="J148" i="765"/>
  <c r="H148" i="765"/>
  <c r="B145" i="765"/>
  <c r="K144" i="765"/>
  <c r="J143" i="765"/>
  <c r="K143" i="765" s="1"/>
  <c r="H143" i="765"/>
  <c r="E141" i="765"/>
  <c r="E140" i="765"/>
  <c r="J140" i="765" s="1"/>
  <c r="E139" i="765"/>
  <c r="E138" i="765"/>
  <c r="J138" i="765" s="1"/>
  <c r="H137" i="765"/>
  <c r="K137" i="765" s="1"/>
  <c r="E137" i="765"/>
  <c r="J137" i="765" s="1"/>
  <c r="E136" i="765"/>
  <c r="J136" i="765" s="1"/>
  <c r="I134" i="765"/>
  <c r="J134" i="765" s="1"/>
  <c r="K134" i="765" s="1"/>
  <c r="H134" i="765"/>
  <c r="I133" i="765"/>
  <c r="J133" i="765" s="1"/>
  <c r="H133" i="765"/>
  <c r="I131" i="765"/>
  <c r="E131" i="765"/>
  <c r="H131" i="765" s="1"/>
  <c r="I130" i="765"/>
  <c r="J130" i="765" s="1"/>
  <c r="H130" i="765"/>
  <c r="B127" i="765"/>
  <c r="O118" i="765"/>
  <c r="J118" i="765"/>
  <c r="H118" i="765"/>
  <c r="K118" i="765" s="1"/>
  <c r="O117" i="765"/>
  <c r="J117" i="765"/>
  <c r="H117" i="765"/>
  <c r="O116" i="765"/>
  <c r="J116" i="765"/>
  <c r="H116" i="765"/>
  <c r="O115" i="765"/>
  <c r="J115" i="765"/>
  <c r="H115" i="765"/>
  <c r="J110" i="765"/>
  <c r="H110" i="765"/>
  <c r="J109" i="765"/>
  <c r="H109" i="765"/>
  <c r="K109" i="765" s="1"/>
  <c r="J108" i="765"/>
  <c r="H108" i="765"/>
  <c r="J107" i="765"/>
  <c r="H107" i="765"/>
  <c r="K107" i="765" s="1"/>
  <c r="J106" i="765"/>
  <c r="H106" i="765"/>
  <c r="J105" i="765"/>
  <c r="H105" i="765"/>
  <c r="J104" i="765"/>
  <c r="H104" i="765"/>
  <c r="J103" i="765"/>
  <c r="H103" i="765"/>
  <c r="K103" i="765" s="1"/>
  <c r="J102" i="765"/>
  <c r="H102" i="765"/>
  <c r="B99" i="765"/>
  <c r="E97" i="765"/>
  <c r="E95" i="765"/>
  <c r="B92" i="765"/>
  <c r="I90" i="765"/>
  <c r="J89" i="765"/>
  <c r="E89" i="765"/>
  <c r="H89" i="765" s="1"/>
  <c r="B89" i="765"/>
  <c r="H88" i="765"/>
  <c r="K88" i="765" s="1"/>
  <c r="E88" i="765"/>
  <c r="J88" i="765" s="1"/>
  <c r="B88" i="765"/>
  <c r="E87" i="765"/>
  <c r="B87" i="765"/>
  <c r="E86" i="765"/>
  <c r="J86" i="765" s="1"/>
  <c r="B86" i="765"/>
  <c r="I83" i="765"/>
  <c r="E83" i="765"/>
  <c r="B83" i="765"/>
  <c r="I82" i="765"/>
  <c r="J82" i="765" s="1"/>
  <c r="E82" i="765"/>
  <c r="H82" i="765" s="1"/>
  <c r="B82" i="765"/>
  <c r="I81" i="765"/>
  <c r="E81" i="765"/>
  <c r="B81" i="765"/>
  <c r="B78" i="765"/>
  <c r="E74" i="765"/>
  <c r="B70" i="765"/>
  <c r="J65" i="765"/>
  <c r="H65" i="765"/>
  <c r="H64" i="765"/>
  <c r="K64" i="765" s="1"/>
  <c r="I62" i="765"/>
  <c r="J62" i="765" s="1"/>
  <c r="H62" i="765"/>
  <c r="I61" i="765"/>
  <c r="J61" i="765" s="1"/>
  <c r="H61" i="765"/>
  <c r="J60" i="765"/>
  <c r="I60" i="765"/>
  <c r="H60" i="765"/>
  <c r="K60" i="765" s="1"/>
  <c r="J59" i="765"/>
  <c r="I59" i="765"/>
  <c r="H59" i="765"/>
  <c r="I58" i="765"/>
  <c r="J58" i="765" s="1"/>
  <c r="K58" i="765" s="1"/>
  <c r="H58" i="765"/>
  <c r="I57" i="765"/>
  <c r="J57" i="765" s="1"/>
  <c r="K57" i="765" s="1"/>
  <c r="H57" i="765"/>
  <c r="I56" i="765"/>
  <c r="J56" i="765" s="1"/>
  <c r="H56" i="765"/>
  <c r="I55" i="765"/>
  <c r="J55" i="765" s="1"/>
  <c r="H55" i="765"/>
  <c r="I54" i="765"/>
  <c r="J54" i="765" s="1"/>
  <c r="K54" i="765" s="1"/>
  <c r="H54" i="765"/>
  <c r="I53" i="765"/>
  <c r="J53" i="765" s="1"/>
  <c r="H53" i="765"/>
  <c r="I52" i="765"/>
  <c r="J52" i="765" s="1"/>
  <c r="H52" i="765"/>
  <c r="I51" i="765"/>
  <c r="J51" i="765" s="1"/>
  <c r="H51" i="765"/>
  <c r="K51" i="765" s="1"/>
  <c r="J50" i="765"/>
  <c r="I50" i="765"/>
  <c r="H50" i="765"/>
  <c r="K50" i="765" s="1"/>
  <c r="I49" i="765"/>
  <c r="J49" i="765" s="1"/>
  <c r="H49" i="765"/>
  <c r="I48" i="765"/>
  <c r="J48" i="765" s="1"/>
  <c r="H48" i="765"/>
  <c r="B45" i="765"/>
  <c r="J40" i="765"/>
  <c r="H40" i="765"/>
  <c r="K39" i="765"/>
  <c r="H39" i="765"/>
  <c r="I38" i="765"/>
  <c r="J38" i="765" s="1"/>
  <c r="H38" i="765"/>
  <c r="I37" i="765"/>
  <c r="J37" i="765" s="1"/>
  <c r="H37" i="765"/>
  <c r="B23" i="765"/>
  <c r="A23" i="765"/>
  <c r="B22" i="765"/>
  <c r="A22" i="765"/>
  <c r="N22" i="765" s="1"/>
  <c r="B21" i="765"/>
  <c r="A21" i="765"/>
  <c r="N21" i="765" s="1"/>
  <c r="N20" i="765"/>
  <c r="B20" i="765"/>
  <c r="A20" i="765"/>
  <c r="B19" i="765"/>
  <c r="A19" i="765"/>
  <c r="N19" i="765" s="1"/>
  <c r="B18" i="765"/>
  <c r="A18" i="765"/>
  <c r="N18" i="765" s="1"/>
  <c r="B17" i="765"/>
  <c r="A17" i="765"/>
  <c r="N17" i="765" s="1"/>
  <c r="B16" i="765"/>
  <c r="A16" i="765"/>
  <c r="N16" i="765" s="1"/>
  <c r="N15" i="765"/>
  <c r="B15" i="765"/>
  <c r="A15" i="765"/>
  <c r="N14" i="765"/>
  <c r="B14" i="765"/>
  <c r="A14" i="765"/>
  <c r="B13" i="765"/>
  <c r="A13" i="765"/>
  <c r="N13" i="765" s="1"/>
  <c r="B12" i="765"/>
  <c r="A12" i="765"/>
  <c r="N12" i="765" s="1"/>
  <c r="B295" i="764"/>
  <c r="O292" i="764"/>
  <c r="J292" i="764"/>
  <c r="H292" i="764"/>
  <c r="O291" i="764"/>
  <c r="J291" i="764"/>
  <c r="H291" i="764"/>
  <c r="O290" i="764"/>
  <c r="J290" i="764"/>
  <c r="H290" i="764"/>
  <c r="K290" i="764" s="1"/>
  <c r="O289" i="764"/>
  <c r="J289" i="764"/>
  <c r="H289" i="764"/>
  <c r="O288" i="764"/>
  <c r="E288" i="764"/>
  <c r="O287" i="764"/>
  <c r="J287" i="764"/>
  <c r="H287" i="764"/>
  <c r="K287" i="764" s="1"/>
  <c r="E287" i="764"/>
  <c r="O285" i="764"/>
  <c r="J285" i="764"/>
  <c r="H285" i="764"/>
  <c r="O284" i="764"/>
  <c r="J284" i="764"/>
  <c r="H284" i="764"/>
  <c r="K284" i="764" s="1"/>
  <c r="O283" i="764"/>
  <c r="J283" i="764"/>
  <c r="H283" i="764"/>
  <c r="O282" i="764"/>
  <c r="J282" i="764"/>
  <c r="H282" i="764"/>
  <c r="E282" i="764"/>
  <c r="O281" i="764"/>
  <c r="J281" i="764"/>
  <c r="H281" i="764"/>
  <c r="E281" i="764"/>
  <c r="O280" i="764"/>
  <c r="E280" i="764"/>
  <c r="J278" i="764"/>
  <c r="K278" i="764" s="1"/>
  <c r="I274" i="764"/>
  <c r="J274" i="764" s="1"/>
  <c r="H274" i="764"/>
  <c r="I273" i="764"/>
  <c r="J273" i="764" s="1"/>
  <c r="H273" i="764"/>
  <c r="I272" i="764"/>
  <c r="J272" i="764" s="1"/>
  <c r="H272" i="764"/>
  <c r="K272" i="764" s="1"/>
  <c r="J271" i="764"/>
  <c r="I271" i="764"/>
  <c r="H271" i="764"/>
  <c r="I270" i="764"/>
  <c r="J270" i="764" s="1"/>
  <c r="H270" i="764"/>
  <c r="I269" i="764"/>
  <c r="J269" i="764" s="1"/>
  <c r="H269" i="764"/>
  <c r="I268" i="764"/>
  <c r="J268" i="764" s="1"/>
  <c r="H268" i="764"/>
  <c r="I267" i="764"/>
  <c r="J267" i="764" s="1"/>
  <c r="H267" i="764"/>
  <c r="I266" i="764"/>
  <c r="J266" i="764" s="1"/>
  <c r="H266" i="764"/>
  <c r="I265" i="764"/>
  <c r="J265" i="764" s="1"/>
  <c r="H265" i="764"/>
  <c r="I264" i="764"/>
  <c r="J264" i="764" s="1"/>
  <c r="H264" i="764"/>
  <c r="B261" i="764"/>
  <c r="H258" i="764"/>
  <c r="E258" i="764"/>
  <c r="J258" i="764" s="1"/>
  <c r="B258" i="764"/>
  <c r="E256" i="764"/>
  <c r="J256" i="764" s="1"/>
  <c r="B256" i="764"/>
  <c r="E255" i="764"/>
  <c r="B255" i="764"/>
  <c r="E254" i="764"/>
  <c r="B254" i="764"/>
  <c r="E253" i="764"/>
  <c r="F253" i="764" s="1"/>
  <c r="B253" i="764"/>
  <c r="E252" i="764"/>
  <c r="B252" i="764"/>
  <c r="E251" i="764"/>
  <c r="H251" i="764" s="1"/>
  <c r="B251" i="764"/>
  <c r="E250" i="764"/>
  <c r="H250" i="764" s="1"/>
  <c r="B250" i="764"/>
  <c r="E249" i="764"/>
  <c r="B249" i="764"/>
  <c r="E247" i="764"/>
  <c r="B247" i="764"/>
  <c r="E246" i="764"/>
  <c r="B246" i="764"/>
  <c r="E245" i="764"/>
  <c r="B245" i="764"/>
  <c r="F244" i="764"/>
  <c r="E244" i="764"/>
  <c r="H244" i="764" s="1"/>
  <c r="B244" i="764"/>
  <c r="E243" i="764"/>
  <c r="B243" i="764"/>
  <c r="E242" i="764"/>
  <c r="B242" i="764"/>
  <c r="E241" i="764"/>
  <c r="F241" i="764" s="1"/>
  <c r="B241" i="764"/>
  <c r="E240" i="764"/>
  <c r="J240" i="764" s="1"/>
  <c r="B240" i="764"/>
  <c r="E239" i="764"/>
  <c r="H239" i="764" s="1"/>
  <c r="B239" i="764"/>
  <c r="E238" i="764"/>
  <c r="B238" i="764"/>
  <c r="E237" i="764"/>
  <c r="J237" i="764" s="1"/>
  <c r="B237" i="764"/>
  <c r="E236" i="764"/>
  <c r="B236" i="764"/>
  <c r="F235" i="764"/>
  <c r="E235" i="764"/>
  <c r="B235" i="764"/>
  <c r="H234" i="764"/>
  <c r="E234" i="764"/>
  <c r="F234" i="764" s="1"/>
  <c r="B234" i="764"/>
  <c r="E233" i="764"/>
  <c r="B233" i="764"/>
  <c r="J232" i="764"/>
  <c r="E232" i="764"/>
  <c r="B232" i="764"/>
  <c r="E231" i="764"/>
  <c r="B231" i="764"/>
  <c r="E230" i="764"/>
  <c r="B230" i="764"/>
  <c r="J229" i="764"/>
  <c r="F229" i="764"/>
  <c r="E229" i="764"/>
  <c r="H229" i="764" s="1"/>
  <c r="B229" i="764"/>
  <c r="E228" i="764"/>
  <c r="B228" i="764"/>
  <c r="E227" i="764"/>
  <c r="F227" i="764" s="1"/>
  <c r="B227" i="764"/>
  <c r="F226" i="764"/>
  <c r="E226" i="764"/>
  <c r="B226" i="764"/>
  <c r="E225" i="764"/>
  <c r="H225" i="764" s="1"/>
  <c r="B225" i="764"/>
  <c r="J223" i="764"/>
  <c r="H223" i="764"/>
  <c r="F223" i="764"/>
  <c r="J222" i="764"/>
  <c r="K222" i="764" s="1"/>
  <c r="H222" i="764"/>
  <c r="F222" i="764"/>
  <c r="E220" i="764"/>
  <c r="F220" i="764" s="1"/>
  <c r="B220" i="764"/>
  <c r="H218" i="764"/>
  <c r="E218" i="764"/>
  <c r="J218" i="764" s="1"/>
  <c r="B218" i="764"/>
  <c r="J217" i="764"/>
  <c r="F217" i="764"/>
  <c r="E217" i="764"/>
  <c r="H217" i="764" s="1"/>
  <c r="B217" i="764"/>
  <c r="J215" i="764"/>
  <c r="H215" i="764"/>
  <c r="E215" i="764"/>
  <c r="F215" i="764" s="1"/>
  <c r="B215" i="764"/>
  <c r="H214" i="764"/>
  <c r="E214" i="764"/>
  <c r="J214" i="764" s="1"/>
  <c r="B214" i="764"/>
  <c r="E213" i="764"/>
  <c r="F213" i="764" s="1"/>
  <c r="B213" i="764"/>
  <c r="F212" i="764"/>
  <c r="E212" i="764"/>
  <c r="H212" i="764" s="1"/>
  <c r="B212" i="764"/>
  <c r="F211" i="764"/>
  <c r="E211" i="764"/>
  <c r="H211" i="764" s="1"/>
  <c r="B211" i="764"/>
  <c r="E210" i="764"/>
  <c r="F210" i="764" s="1"/>
  <c r="B210" i="764"/>
  <c r="H209" i="764"/>
  <c r="E209" i="764"/>
  <c r="J209" i="764" s="1"/>
  <c r="B209" i="764"/>
  <c r="J208" i="764"/>
  <c r="F208" i="764"/>
  <c r="E208" i="764"/>
  <c r="H208" i="764" s="1"/>
  <c r="B208" i="764"/>
  <c r="J207" i="764"/>
  <c r="H207" i="764"/>
  <c r="E207" i="764"/>
  <c r="F207" i="764" s="1"/>
  <c r="B207" i="764"/>
  <c r="B204" i="764"/>
  <c r="I202" i="764"/>
  <c r="J202" i="764" s="1"/>
  <c r="K202" i="764" s="1"/>
  <c r="H202" i="764"/>
  <c r="J201" i="764"/>
  <c r="K201" i="764" s="1"/>
  <c r="H201" i="764"/>
  <c r="H200" i="764"/>
  <c r="E200" i="764"/>
  <c r="I203" i="764" s="1"/>
  <c r="J203" i="764" s="1"/>
  <c r="B197" i="764"/>
  <c r="J194" i="764"/>
  <c r="H194" i="764"/>
  <c r="J193" i="764"/>
  <c r="H193" i="764"/>
  <c r="J192" i="764"/>
  <c r="H192" i="764"/>
  <c r="J191" i="764"/>
  <c r="H191" i="764"/>
  <c r="J190" i="764"/>
  <c r="H190" i="764"/>
  <c r="B187" i="764"/>
  <c r="K185" i="764"/>
  <c r="J185" i="764"/>
  <c r="H185" i="764"/>
  <c r="J184" i="764"/>
  <c r="H184" i="764"/>
  <c r="J182" i="764"/>
  <c r="H182" i="764"/>
  <c r="G172" i="764"/>
  <c r="J168" i="764"/>
  <c r="K168" i="764" s="1"/>
  <c r="H168" i="764"/>
  <c r="J167" i="764"/>
  <c r="H167" i="764"/>
  <c r="K167" i="764" s="1"/>
  <c r="J165" i="764"/>
  <c r="H165" i="764"/>
  <c r="B161" i="764"/>
  <c r="K159" i="764"/>
  <c r="J158" i="764"/>
  <c r="H158" i="764"/>
  <c r="E156" i="764"/>
  <c r="J156" i="764" s="1"/>
  <c r="H155" i="764"/>
  <c r="E155" i="764"/>
  <c r="J155" i="764" s="1"/>
  <c r="E154" i="764"/>
  <c r="E153" i="764"/>
  <c r="H153" i="764" s="1"/>
  <c r="E152" i="764"/>
  <c r="H152" i="764" s="1"/>
  <c r="J151" i="764"/>
  <c r="K151" i="764" s="1"/>
  <c r="H151" i="764"/>
  <c r="I149" i="764"/>
  <c r="J149" i="764" s="1"/>
  <c r="H149" i="764"/>
  <c r="I148" i="764"/>
  <c r="J148" i="764" s="1"/>
  <c r="K148" i="764" s="1"/>
  <c r="H148" i="764"/>
  <c r="I146" i="764"/>
  <c r="E146" i="764"/>
  <c r="H146" i="764" s="1"/>
  <c r="I145" i="764"/>
  <c r="J145" i="764" s="1"/>
  <c r="H145" i="764"/>
  <c r="B142" i="764"/>
  <c r="O137" i="764"/>
  <c r="J137" i="764"/>
  <c r="H137" i="764"/>
  <c r="O136" i="764"/>
  <c r="J136" i="764"/>
  <c r="H136" i="764"/>
  <c r="O135" i="764"/>
  <c r="J135" i="764"/>
  <c r="H135" i="764"/>
  <c r="K135" i="764" s="1"/>
  <c r="O134" i="764"/>
  <c r="J134" i="764"/>
  <c r="H134" i="764"/>
  <c r="J129" i="764"/>
  <c r="H129" i="764"/>
  <c r="J128" i="764"/>
  <c r="H128" i="764"/>
  <c r="K128" i="764" s="1"/>
  <c r="J127" i="764"/>
  <c r="H127" i="764"/>
  <c r="J126" i="764"/>
  <c r="H126" i="764"/>
  <c r="J125" i="764"/>
  <c r="H125" i="764"/>
  <c r="J124" i="764"/>
  <c r="H124" i="764"/>
  <c r="K124" i="764" s="1"/>
  <c r="J123" i="764"/>
  <c r="K123" i="764" s="1"/>
  <c r="H123" i="764"/>
  <c r="J122" i="764"/>
  <c r="H122" i="764"/>
  <c r="K121" i="764"/>
  <c r="J121" i="764"/>
  <c r="H121" i="764"/>
  <c r="B118" i="764"/>
  <c r="E113" i="764"/>
  <c r="H111" i="764"/>
  <c r="E111" i="764"/>
  <c r="J111" i="764" s="1"/>
  <c r="B108" i="764"/>
  <c r="I104" i="764"/>
  <c r="E103" i="764"/>
  <c r="B103" i="764"/>
  <c r="E102" i="764"/>
  <c r="B102" i="764"/>
  <c r="E101" i="764"/>
  <c r="J101" i="764" s="1"/>
  <c r="B101" i="764"/>
  <c r="E100" i="764"/>
  <c r="H100" i="764" s="1"/>
  <c r="B100" i="764"/>
  <c r="E98" i="764"/>
  <c r="H98" i="764" s="1"/>
  <c r="B98" i="764"/>
  <c r="E97" i="764"/>
  <c r="B97" i="764"/>
  <c r="B94" i="764"/>
  <c r="E90" i="764"/>
  <c r="J90" i="764" s="1"/>
  <c r="J88" i="764"/>
  <c r="E88" i="764"/>
  <c r="H88" i="764" s="1"/>
  <c r="B84" i="764"/>
  <c r="I80" i="764"/>
  <c r="H79" i="764"/>
  <c r="K79" i="764" s="1"/>
  <c r="J77" i="764"/>
  <c r="K77" i="764" s="1"/>
  <c r="I76" i="764"/>
  <c r="E76" i="764"/>
  <c r="H76" i="764" s="1"/>
  <c r="B76" i="764"/>
  <c r="I75" i="764"/>
  <c r="E75" i="764"/>
  <c r="H75" i="764" s="1"/>
  <c r="B75" i="764"/>
  <c r="J74" i="764"/>
  <c r="B72" i="764"/>
  <c r="J68" i="764"/>
  <c r="I68" i="764"/>
  <c r="H68" i="764"/>
  <c r="H67" i="764"/>
  <c r="K67" i="764" s="1"/>
  <c r="J65" i="764"/>
  <c r="I65" i="764"/>
  <c r="H65" i="764"/>
  <c r="I64" i="764"/>
  <c r="J64" i="764" s="1"/>
  <c r="H64" i="764"/>
  <c r="I63" i="764"/>
  <c r="J63" i="764" s="1"/>
  <c r="K63" i="764" s="1"/>
  <c r="H63" i="764"/>
  <c r="I62" i="764"/>
  <c r="J62" i="764" s="1"/>
  <c r="H62" i="764"/>
  <c r="I61" i="764"/>
  <c r="J61" i="764" s="1"/>
  <c r="H61" i="764"/>
  <c r="K60" i="764"/>
  <c r="I60" i="764"/>
  <c r="J60" i="764" s="1"/>
  <c r="H60" i="764"/>
  <c r="I59" i="764"/>
  <c r="J59" i="764" s="1"/>
  <c r="H59" i="764"/>
  <c r="J58" i="764"/>
  <c r="I58" i="764"/>
  <c r="H58" i="764"/>
  <c r="I57" i="764"/>
  <c r="J57" i="764" s="1"/>
  <c r="H57" i="764"/>
  <c r="I56" i="764"/>
  <c r="J56" i="764" s="1"/>
  <c r="H56" i="764"/>
  <c r="J55" i="764"/>
  <c r="I55" i="764"/>
  <c r="H55" i="764"/>
  <c r="I54" i="764"/>
  <c r="J54" i="764" s="1"/>
  <c r="H54" i="764"/>
  <c r="I53" i="764"/>
  <c r="J53" i="764" s="1"/>
  <c r="H53" i="764"/>
  <c r="I52" i="764"/>
  <c r="J52" i="764" s="1"/>
  <c r="H52" i="764"/>
  <c r="I51" i="764"/>
  <c r="J51" i="764" s="1"/>
  <c r="H51" i="764"/>
  <c r="I50" i="764"/>
  <c r="J50" i="764" s="1"/>
  <c r="H50" i="764"/>
  <c r="B47" i="764"/>
  <c r="I41" i="764"/>
  <c r="J41" i="764" s="1"/>
  <c r="H41" i="764"/>
  <c r="H40" i="764"/>
  <c r="K40" i="764" s="1"/>
  <c r="I39" i="764"/>
  <c r="J39" i="764" s="1"/>
  <c r="K39" i="764" s="1"/>
  <c r="H39" i="764"/>
  <c r="I38" i="764"/>
  <c r="J38" i="764" s="1"/>
  <c r="H38" i="764"/>
  <c r="B24" i="764"/>
  <c r="A24" i="764"/>
  <c r="B23" i="764"/>
  <c r="A23" i="764"/>
  <c r="N23" i="764" s="1"/>
  <c r="B22" i="764"/>
  <c r="A22" i="764"/>
  <c r="N22" i="764" s="1"/>
  <c r="B21" i="764"/>
  <c r="A21" i="764"/>
  <c r="N21" i="764" s="1"/>
  <c r="B20" i="764"/>
  <c r="A20" i="764"/>
  <c r="N20" i="764" s="1"/>
  <c r="B19" i="764"/>
  <c r="A19" i="764"/>
  <c r="N19" i="764" s="1"/>
  <c r="B18" i="764"/>
  <c r="A18" i="764"/>
  <c r="N18" i="764" s="1"/>
  <c r="B17" i="764"/>
  <c r="A17" i="764"/>
  <c r="N17" i="764" s="1"/>
  <c r="B16" i="764"/>
  <c r="A16" i="764"/>
  <c r="N16" i="764" s="1"/>
  <c r="B15" i="764"/>
  <c r="A15" i="764"/>
  <c r="N15" i="764" s="1"/>
  <c r="B14" i="764"/>
  <c r="A14" i="764"/>
  <c r="N14" i="764" s="1"/>
  <c r="B13" i="764"/>
  <c r="A13" i="764"/>
  <c r="N13" i="764" s="1"/>
  <c r="B12" i="764"/>
  <c r="A12" i="764"/>
  <c r="N12" i="764" s="1"/>
  <c r="B303" i="763"/>
  <c r="O300" i="763"/>
  <c r="J300" i="763"/>
  <c r="H300" i="763"/>
  <c r="O299" i="763"/>
  <c r="J299" i="763"/>
  <c r="H299" i="763"/>
  <c r="O298" i="763"/>
  <c r="J298" i="763"/>
  <c r="H298" i="763"/>
  <c r="O297" i="763"/>
  <c r="E297" i="763"/>
  <c r="H297" i="763" s="1"/>
  <c r="O296" i="763"/>
  <c r="J296" i="763"/>
  <c r="E296" i="763"/>
  <c r="H296" i="763" s="1"/>
  <c r="O295" i="763"/>
  <c r="E295" i="763"/>
  <c r="H295" i="763" s="1"/>
  <c r="O293" i="763"/>
  <c r="J293" i="763"/>
  <c r="H293" i="763"/>
  <c r="O292" i="763"/>
  <c r="J292" i="763"/>
  <c r="H292" i="763"/>
  <c r="O291" i="763"/>
  <c r="J291" i="763"/>
  <c r="H291" i="763"/>
  <c r="K291" i="763" s="1"/>
  <c r="O290" i="763"/>
  <c r="J290" i="763"/>
  <c r="E290" i="763"/>
  <c r="H290" i="763" s="1"/>
  <c r="O289" i="763"/>
  <c r="E289" i="763"/>
  <c r="J289" i="763" s="1"/>
  <c r="O288" i="763"/>
  <c r="E288" i="763"/>
  <c r="K286" i="763"/>
  <c r="J285" i="763"/>
  <c r="I285" i="763"/>
  <c r="H285" i="763"/>
  <c r="K285" i="763" s="1"/>
  <c r="I284" i="763"/>
  <c r="J284" i="763" s="1"/>
  <c r="H284" i="763"/>
  <c r="I283" i="763"/>
  <c r="J283" i="763" s="1"/>
  <c r="H283" i="763"/>
  <c r="J282" i="763"/>
  <c r="I282" i="763"/>
  <c r="H282" i="763"/>
  <c r="J281" i="763"/>
  <c r="I281" i="763"/>
  <c r="H281" i="763"/>
  <c r="I280" i="763"/>
  <c r="J280" i="763" s="1"/>
  <c r="H280" i="763"/>
  <c r="J279" i="763"/>
  <c r="K279" i="763" s="1"/>
  <c r="I279" i="763"/>
  <c r="H279" i="763"/>
  <c r="J278" i="763"/>
  <c r="I278" i="763"/>
  <c r="H278" i="763"/>
  <c r="I277" i="763"/>
  <c r="J277" i="763" s="1"/>
  <c r="H277" i="763"/>
  <c r="K277" i="763" s="1"/>
  <c r="I276" i="763"/>
  <c r="J276" i="763" s="1"/>
  <c r="H276" i="763"/>
  <c r="I275" i="763"/>
  <c r="J275" i="763" s="1"/>
  <c r="H275" i="763"/>
  <c r="I274" i="763"/>
  <c r="J274" i="763" s="1"/>
  <c r="H274" i="763"/>
  <c r="B271" i="763"/>
  <c r="E268" i="763"/>
  <c r="J268" i="763" s="1"/>
  <c r="B268" i="763"/>
  <c r="J266" i="763"/>
  <c r="H266" i="763"/>
  <c r="F266" i="763"/>
  <c r="E266" i="763"/>
  <c r="B266" i="763"/>
  <c r="E265" i="763"/>
  <c r="B265" i="763"/>
  <c r="E264" i="763"/>
  <c r="J264" i="763" s="1"/>
  <c r="B264" i="763"/>
  <c r="E263" i="763"/>
  <c r="B263" i="763"/>
  <c r="E262" i="763"/>
  <c r="B262" i="763"/>
  <c r="J260" i="763"/>
  <c r="E260" i="763"/>
  <c r="B260" i="763"/>
  <c r="H259" i="763"/>
  <c r="K259" i="763" s="1"/>
  <c r="F259" i="763"/>
  <c r="E259" i="763"/>
  <c r="J259" i="763" s="1"/>
  <c r="B259" i="763"/>
  <c r="J258" i="763"/>
  <c r="F258" i="763"/>
  <c r="E258" i="763"/>
  <c r="H258" i="763" s="1"/>
  <c r="B258" i="763"/>
  <c r="E257" i="763"/>
  <c r="J257" i="763" s="1"/>
  <c r="B257" i="763"/>
  <c r="E256" i="763"/>
  <c r="B256" i="763"/>
  <c r="H255" i="763"/>
  <c r="K255" i="763" s="1"/>
  <c r="E255" i="763"/>
  <c r="J255" i="763" s="1"/>
  <c r="B255" i="763"/>
  <c r="E254" i="763"/>
  <c r="B254" i="763"/>
  <c r="F253" i="763"/>
  <c r="E253" i="763"/>
  <c r="H253" i="763" s="1"/>
  <c r="B253" i="763"/>
  <c r="E252" i="763"/>
  <c r="B252" i="763"/>
  <c r="E251" i="763"/>
  <c r="B251" i="763"/>
  <c r="E250" i="763"/>
  <c r="F250" i="763" s="1"/>
  <c r="B250" i="763"/>
  <c r="J249" i="763"/>
  <c r="F249" i="763"/>
  <c r="E249" i="763"/>
  <c r="H249" i="763" s="1"/>
  <c r="B249" i="763"/>
  <c r="J247" i="763"/>
  <c r="H247" i="763"/>
  <c r="K247" i="763" s="1"/>
  <c r="F247" i="763"/>
  <c r="J246" i="763"/>
  <c r="H246" i="763"/>
  <c r="F246" i="763"/>
  <c r="J245" i="763"/>
  <c r="H245" i="763"/>
  <c r="K245" i="763" s="1"/>
  <c r="F245" i="763"/>
  <c r="J244" i="763"/>
  <c r="H244" i="763"/>
  <c r="F244" i="763"/>
  <c r="J243" i="763"/>
  <c r="H243" i="763"/>
  <c r="F243" i="763"/>
  <c r="J242" i="763"/>
  <c r="H242" i="763"/>
  <c r="F242" i="763"/>
  <c r="J241" i="763"/>
  <c r="H241" i="763"/>
  <c r="F241" i="763"/>
  <c r="E239" i="763"/>
  <c r="F239" i="763" s="1"/>
  <c r="B239" i="763"/>
  <c r="J237" i="763"/>
  <c r="E237" i="763"/>
  <c r="B237" i="763"/>
  <c r="E236" i="763"/>
  <c r="B236" i="763"/>
  <c r="E235" i="763"/>
  <c r="B235" i="763"/>
  <c r="H234" i="763"/>
  <c r="J233" i="763"/>
  <c r="H233" i="763"/>
  <c r="E233" i="763"/>
  <c r="F233" i="763" s="1"/>
  <c r="B233" i="763"/>
  <c r="E232" i="763"/>
  <c r="B232" i="763"/>
  <c r="E231" i="763"/>
  <c r="F231" i="763" s="1"/>
  <c r="B231" i="763"/>
  <c r="E230" i="763"/>
  <c r="B230" i="763"/>
  <c r="E229" i="763"/>
  <c r="B229" i="763"/>
  <c r="E228" i="763"/>
  <c r="J228" i="763" s="1"/>
  <c r="B228" i="763"/>
  <c r="E227" i="763"/>
  <c r="F227" i="763" s="1"/>
  <c r="B227" i="763"/>
  <c r="E226" i="763"/>
  <c r="H226" i="763" s="1"/>
  <c r="B226" i="763"/>
  <c r="E225" i="763"/>
  <c r="F225" i="763" s="1"/>
  <c r="B225" i="763"/>
  <c r="J224" i="763"/>
  <c r="E224" i="763"/>
  <c r="H224" i="763" s="1"/>
  <c r="B224" i="763"/>
  <c r="E223" i="763"/>
  <c r="B223" i="763"/>
  <c r="E222" i="763"/>
  <c r="B222" i="763"/>
  <c r="F221" i="763"/>
  <c r="E221" i="763"/>
  <c r="H221" i="763" s="1"/>
  <c r="B221" i="763"/>
  <c r="E220" i="763"/>
  <c r="B220" i="763"/>
  <c r="B217" i="763"/>
  <c r="J215" i="763"/>
  <c r="I215" i="763"/>
  <c r="H215" i="763"/>
  <c r="J214" i="763"/>
  <c r="H214" i="763"/>
  <c r="E213" i="763"/>
  <c r="G216" i="763" s="1"/>
  <c r="H216" i="763" s="1"/>
  <c r="B210" i="763"/>
  <c r="J206" i="763"/>
  <c r="K206" i="763" s="1"/>
  <c r="H206" i="763"/>
  <c r="J205" i="763"/>
  <c r="H205" i="763"/>
  <c r="J204" i="763"/>
  <c r="H204" i="763"/>
  <c r="K203" i="763"/>
  <c r="J203" i="763"/>
  <c r="H203" i="763"/>
  <c r="J202" i="763"/>
  <c r="H202" i="763"/>
  <c r="J201" i="763"/>
  <c r="H201" i="763"/>
  <c r="K201" i="763" s="1"/>
  <c r="J200" i="763"/>
  <c r="H200" i="763"/>
  <c r="K200" i="763" s="1"/>
  <c r="J198" i="763"/>
  <c r="K198" i="763" s="1"/>
  <c r="J197" i="763"/>
  <c r="K197" i="763" s="1"/>
  <c r="J196" i="763"/>
  <c r="H196" i="763"/>
  <c r="J192" i="763"/>
  <c r="H192" i="763"/>
  <c r="J191" i="763"/>
  <c r="H191" i="763"/>
  <c r="K191" i="763" s="1"/>
  <c r="J190" i="763"/>
  <c r="H190" i="763"/>
  <c r="K190" i="763" s="1"/>
  <c r="J189" i="763"/>
  <c r="H189" i="763"/>
  <c r="J188" i="763"/>
  <c r="K188" i="763" s="1"/>
  <c r="H188" i="763"/>
  <c r="B185" i="763"/>
  <c r="J180" i="763"/>
  <c r="H180" i="763"/>
  <c r="J179" i="763"/>
  <c r="H179" i="763"/>
  <c r="K179" i="763" s="1"/>
  <c r="J177" i="763"/>
  <c r="H177" i="763"/>
  <c r="K177" i="763" s="1"/>
  <c r="G171" i="763"/>
  <c r="J167" i="763"/>
  <c r="H167" i="763"/>
  <c r="J166" i="763"/>
  <c r="K166" i="763" s="1"/>
  <c r="H166" i="763"/>
  <c r="E165" i="763"/>
  <c r="E178" i="763" s="1"/>
  <c r="E171" i="763" s="1"/>
  <c r="J164" i="763"/>
  <c r="H164" i="763"/>
  <c r="B160" i="763"/>
  <c r="K159" i="763"/>
  <c r="J158" i="763"/>
  <c r="H158" i="763"/>
  <c r="E156" i="763"/>
  <c r="J156" i="763" s="1"/>
  <c r="E155" i="763"/>
  <c r="H155" i="763" s="1"/>
  <c r="E154" i="763"/>
  <c r="E153" i="763"/>
  <c r="E152" i="763"/>
  <c r="E151" i="763"/>
  <c r="H151" i="763" s="1"/>
  <c r="I149" i="763"/>
  <c r="J149" i="763" s="1"/>
  <c r="H149" i="763"/>
  <c r="K149" i="763" s="1"/>
  <c r="I148" i="763"/>
  <c r="E148" i="763"/>
  <c r="H148" i="763" s="1"/>
  <c r="I146" i="763"/>
  <c r="E146" i="763"/>
  <c r="H146" i="763" s="1"/>
  <c r="I145" i="763"/>
  <c r="E145" i="763"/>
  <c r="H145" i="763" s="1"/>
  <c r="B142" i="763"/>
  <c r="O136" i="763"/>
  <c r="J136" i="763"/>
  <c r="H136" i="763"/>
  <c r="O135" i="763"/>
  <c r="K135" i="763"/>
  <c r="J135" i="763"/>
  <c r="H135" i="763"/>
  <c r="O134" i="763"/>
  <c r="K134" i="763"/>
  <c r="J134" i="763"/>
  <c r="H134" i="763"/>
  <c r="G138" i="763" s="1"/>
  <c r="J129" i="763"/>
  <c r="H129" i="763"/>
  <c r="K129" i="763" s="1"/>
  <c r="J128" i="763"/>
  <c r="H128" i="763"/>
  <c r="K128" i="763" s="1"/>
  <c r="J127" i="763"/>
  <c r="H127" i="763"/>
  <c r="J126" i="763"/>
  <c r="H126" i="763"/>
  <c r="J125" i="763"/>
  <c r="H125" i="763"/>
  <c r="K125" i="763" s="1"/>
  <c r="J124" i="763"/>
  <c r="H124" i="763"/>
  <c r="K124" i="763" s="1"/>
  <c r="J123" i="763"/>
  <c r="H123" i="763"/>
  <c r="J122" i="763"/>
  <c r="H122" i="763"/>
  <c r="J121" i="763"/>
  <c r="H121" i="763"/>
  <c r="B118" i="763"/>
  <c r="H115" i="763"/>
  <c r="K115" i="763" s="1"/>
  <c r="E115" i="763"/>
  <c r="J115" i="763" s="1"/>
  <c r="B110" i="763"/>
  <c r="I108" i="763"/>
  <c r="E107" i="763"/>
  <c r="B107" i="763"/>
  <c r="E106" i="763"/>
  <c r="B106" i="763"/>
  <c r="E105" i="763"/>
  <c r="B105" i="763"/>
  <c r="E104" i="763"/>
  <c r="E108" i="763" s="1"/>
  <c r="B104" i="763"/>
  <c r="E102" i="763"/>
  <c r="B102" i="763"/>
  <c r="J101" i="763"/>
  <c r="E101" i="763"/>
  <c r="H101" i="763" s="1"/>
  <c r="B101" i="763"/>
  <c r="E100" i="763"/>
  <c r="H100" i="763" s="1"/>
  <c r="B100" i="763"/>
  <c r="E99" i="763"/>
  <c r="J99" i="763" s="1"/>
  <c r="B99" i="763"/>
  <c r="B96" i="763"/>
  <c r="E91" i="763"/>
  <c r="E113" i="763" s="1"/>
  <c r="J113" i="763" s="1"/>
  <c r="J118" i="763" s="1"/>
  <c r="B85" i="763"/>
  <c r="I82" i="763"/>
  <c r="H81" i="763"/>
  <c r="K81" i="763" s="1"/>
  <c r="I79" i="763"/>
  <c r="E79" i="763"/>
  <c r="B79" i="763"/>
  <c r="B76" i="763"/>
  <c r="J72" i="763"/>
  <c r="H72" i="763"/>
  <c r="H71" i="763"/>
  <c r="K71" i="763" s="1"/>
  <c r="J69" i="763"/>
  <c r="I69" i="763"/>
  <c r="H69" i="763"/>
  <c r="I68" i="763"/>
  <c r="J68" i="763" s="1"/>
  <c r="H68" i="763"/>
  <c r="I67" i="763"/>
  <c r="J67" i="763" s="1"/>
  <c r="H67" i="763"/>
  <c r="K67" i="763" s="1"/>
  <c r="I66" i="763"/>
  <c r="J66" i="763" s="1"/>
  <c r="H66" i="763"/>
  <c r="I65" i="763"/>
  <c r="J65" i="763" s="1"/>
  <c r="H65" i="763"/>
  <c r="I64" i="763"/>
  <c r="J64" i="763" s="1"/>
  <c r="H64" i="763"/>
  <c r="J63" i="763"/>
  <c r="I63" i="763"/>
  <c r="H63" i="763"/>
  <c r="I62" i="763"/>
  <c r="J62" i="763" s="1"/>
  <c r="H62" i="763"/>
  <c r="I61" i="763"/>
  <c r="J61" i="763" s="1"/>
  <c r="K61" i="763" s="1"/>
  <c r="H61" i="763"/>
  <c r="I60" i="763"/>
  <c r="J60" i="763" s="1"/>
  <c r="H60" i="763"/>
  <c r="I59" i="763"/>
  <c r="J59" i="763" s="1"/>
  <c r="K59" i="763" s="1"/>
  <c r="H59" i="763"/>
  <c r="I58" i="763"/>
  <c r="J58" i="763" s="1"/>
  <c r="H58" i="763"/>
  <c r="J57" i="763"/>
  <c r="I57" i="763"/>
  <c r="H57" i="763"/>
  <c r="K57" i="763" s="1"/>
  <c r="I56" i="763"/>
  <c r="J56" i="763" s="1"/>
  <c r="H56" i="763"/>
  <c r="I55" i="763"/>
  <c r="J55" i="763" s="1"/>
  <c r="H55" i="763"/>
  <c r="I54" i="763"/>
  <c r="J54" i="763" s="1"/>
  <c r="H54" i="763"/>
  <c r="I53" i="763"/>
  <c r="J53" i="763" s="1"/>
  <c r="H53" i="763"/>
  <c r="K53" i="763" s="1"/>
  <c r="I52" i="763"/>
  <c r="J52" i="763" s="1"/>
  <c r="H52" i="763"/>
  <c r="J51" i="763"/>
  <c r="I51" i="763"/>
  <c r="H51" i="763"/>
  <c r="I50" i="763"/>
  <c r="J50" i="763" s="1"/>
  <c r="H50" i="763"/>
  <c r="B47" i="763"/>
  <c r="J41" i="763"/>
  <c r="K41" i="763" s="1"/>
  <c r="I40" i="763"/>
  <c r="E40" i="763"/>
  <c r="E39" i="763"/>
  <c r="H39" i="763" s="1"/>
  <c r="K39" i="763" s="1"/>
  <c r="I38" i="763"/>
  <c r="J38" i="763" s="1"/>
  <c r="H38" i="763"/>
  <c r="N25" i="763"/>
  <c r="N24" i="763"/>
  <c r="B24" i="763"/>
  <c r="A24" i="763"/>
  <c r="B23" i="763"/>
  <c r="A23" i="763"/>
  <c r="N23" i="763" s="1"/>
  <c r="B22" i="763"/>
  <c r="A22" i="763"/>
  <c r="N22" i="763" s="1"/>
  <c r="B21" i="763"/>
  <c r="A21" i="763"/>
  <c r="N21" i="763" s="1"/>
  <c r="B20" i="763"/>
  <c r="A20" i="763"/>
  <c r="N20" i="763" s="1"/>
  <c r="B19" i="763"/>
  <c r="A19" i="763"/>
  <c r="N19" i="763" s="1"/>
  <c r="B18" i="763"/>
  <c r="A18" i="763"/>
  <c r="N18" i="763" s="1"/>
  <c r="J17" i="763"/>
  <c r="B17" i="763"/>
  <c r="A17" i="763"/>
  <c r="N17" i="763" s="1"/>
  <c r="B16" i="763"/>
  <c r="A16" i="763"/>
  <c r="N16" i="763" s="1"/>
  <c r="B15" i="763"/>
  <c r="A15" i="763"/>
  <c r="N15" i="763" s="1"/>
  <c r="B14" i="763"/>
  <c r="A14" i="763"/>
  <c r="N14" i="763" s="1"/>
  <c r="B13" i="763"/>
  <c r="A13" i="763"/>
  <c r="B12" i="763"/>
  <c r="A12" i="763"/>
  <c r="B323" i="762"/>
  <c r="O319" i="762"/>
  <c r="J319" i="762"/>
  <c r="H319" i="762"/>
  <c r="O318" i="762"/>
  <c r="J318" i="762"/>
  <c r="H318" i="762"/>
  <c r="O317" i="762"/>
  <c r="J317" i="762"/>
  <c r="H317" i="762"/>
  <c r="O316" i="762"/>
  <c r="E316" i="762"/>
  <c r="J316" i="762" s="1"/>
  <c r="O315" i="762"/>
  <c r="E315" i="762"/>
  <c r="O314" i="762"/>
  <c r="E314" i="762"/>
  <c r="J314" i="762" s="1"/>
  <c r="J312" i="762"/>
  <c r="H312" i="762"/>
  <c r="O310" i="762"/>
  <c r="J310" i="762"/>
  <c r="H310" i="762"/>
  <c r="O309" i="762"/>
  <c r="J309" i="762"/>
  <c r="H309" i="762"/>
  <c r="O308" i="762"/>
  <c r="J308" i="762"/>
  <c r="H308" i="762"/>
  <c r="O307" i="762"/>
  <c r="E307" i="762"/>
  <c r="J307" i="762" s="1"/>
  <c r="O306" i="762"/>
  <c r="E306" i="762"/>
  <c r="H306" i="762" s="1"/>
  <c r="O305" i="762"/>
  <c r="E305" i="762"/>
  <c r="H305" i="762" s="1"/>
  <c r="I302" i="762"/>
  <c r="J302" i="762" s="1"/>
  <c r="H302" i="762"/>
  <c r="I301" i="762"/>
  <c r="J301" i="762" s="1"/>
  <c r="H301" i="762"/>
  <c r="I300" i="762"/>
  <c r="J300" i="762" s="1"/>
  <c r="H300" i="762"/>
  <c r="I299" i="762"/>
  <c r="J299" i="762" s="1"/>
  <c r="H299" i="762"/>
  <c r="I298" i="762"/>
  <c r="J298" i="762" s="1"/>
  <c r="H298" i="762"/>
  <c r="I297" i="762"/>
  <c r="J297" i="762" s="1"/>
  <c r="H297" i="762"/>
  <c r="I296" i="762"/>
  <c r="J296" i="762" s="1"/>
  <c r="H296" i="762"/>
  <c r="I295" i="762"/>
  <c r="J295" i="762" s="1"/>
  <c r="H295" i="762"/>
  <c r="I294" i="762"/>
  <c r="J294" i="762" s="1"/>
  <c r="H294" i="762"/>
  <c r="I293" i="762"/>
  <c r="J293" i="762" s="1"/>
  <c r="H293" i="762"/>
  <c r="I292" i="762"/>
  <c r="J292" i="762" s="1"/>
  <c r="H292" i="762"/>
  <c r="I291" i="762"/>
  <c r="J291" i="762" s="1"/>
  <c r="H291" i="762"/>
  <c r="B288" i="762"/>
  <c r="E286" i="762"/>
  <c r="F286" i="762" s="1"/>
  <c r="B286" i="762"/>
  <c r="E285" i="762"/>
  <c r="B285" i="762"/>
  <c r="E284" i="762"/>
  <c r="J284" i="762" s="1"/>
  <c r="B284" i="762"/>
  <c r="E282" i="762"/>
  <c r="F282" i="762" s="1"/>
  <c r="B282" i="762"/>
  <c r="E281" i="762"/>
  <c r="H281" i="762" s="1"/>
  <c r="B281" i="762"/>
  <c r="E280" i="762"/>
  <c r="F280" i="762" s="1"/>
  <c r="B280" i="762"/>
  <c r="E279" i="762"/>
  <c r="B279" i="762"/>
  <c r="E278" i="762"/>
  <c r="H278" i="762" s="1"/>
  <c r="B278" i="762"/>
  <c r="E277" i="762"/>
  <c r="B277" i="762"/>
  <c r="E275" i="762"/>
  <c r="F275" i="762" s="1"/>
  <c r="B275" i="762"/>
  <c r="E274" i="762"/>
  <c r="J274" i="762" s="1"/>
  <c r="B274" i="762"/>
  <c r="E273" i="762"/>
  <c r="F273" i="762" s="1"/>
  <c r="B273" i="762"/>
  <c r="E272" i="762"/>
  <c r="B272" i="762"/>
  <c r="E271" i="762"/>
  <c r="F271" i="762" s="1"/>
  <c r="B271" i="762"/>
  <c r="E270" i="762"/>
  <c r="B270" i="762"/>
  <c r="E269" i="762"/>
  <c r="B269" i="762"/>
  <c r="E268" i="762"/>
  <c r="F268" i="762" s="1"/>
  <c r="B268" i="762"/>
  <c r="E267" i="762"/>
  <c r="F267" i="762" s="1"/>
  <c r="B267" i="762"/>
  <c r="E266" i="762"/>
  <c r="F266" i="762" s="1"/>
  <c r="B266" i="762"/>
  <c r="E265" i="762"/>
  <c r="F265" i="762" s="1"/>
  <c r="B265" i="762"/>
  <c r="E264" i="762"/>
  <c r="B264" i="762"/>
  <c r="E263" i="762"/>
  <c r="F263" i="762" s="1"/>
  <c r="B263" i="762"/>
  <c r="E262" i="762"/>
  <c r="J262" i="762" s="1"/>
  <c r="B262" i="762"/>
  <c r="E261" i="762"/>
  <c r="B261" i="762"/>
  <c r="E260" i="762"/>
  <c r="B260" i="762"/>
  <c r="E259" i="762"/>
  <c r="F259" i="762" s="1"/>
  <c r="B259" i="762"/>
  <c r="E258" i="762"/>
  <c r="J258" i="762" s="1"/>
  <c r="B258" i="762"/>
  <c r="E257" i="762"/>
  <c r="F257" i="762" s="1"/>
  <c r="B257" i="762"/>
  <c r="J255" i="762"/>
  <c r="H255" i="762"/>
  <c r="F255" i="762"/>
  <c r="J254" i="762"/>
  <c r="H254" i="762"/>
  <c r="F254" i="762"/>
  <c r="J253" i="762"/>
  <c r="H253" i="762"/>
  <c r="F253" i="762"/>
  <c r="J252" i="762"/>
  <c r="H252" i="762"/>
  <c r="F252" i="762"/>
  <c r="J251" i="762"/>
  <c r="H251" i="762"/>
  <c r="F251" i="762"/>
  <c r="J249" i="762"/>
  <c r="K249" i="762" s="1"/>
  <c r="F249" i="762"/>
  <c r="J248" i="762"/>
  <c r="H248" i="762"/>
  <c r="F248" i="762"/>
  <c r="J247" i="762"/>
  <c r="H247" i="762"/>
  <c r="F247" i="762"/>
  <c r="E245" i="762"/>
  <c r="B245" i="762"/>
  <c r="E242" i="762"/>
  <c r="J242" i="762" s="1"/>
  <c r="B242" i="762"/>
  <c r="E241" i="762"/>
  <c r="B241" i="762"/>
  <c r="E240" i="762"/>
  <c r="J240" i="762" s="1"/>
  <c r="B240" i="762"/>
  <c r="E238" i="762"/>
  <c r="B238" i="762"/>
  <c r="E237" i="762"/>
  <c r="B237" i="762"/>
  <c r="E236" i="762"/>
  <c r="H236" i="762" s="1"/>
  <c r="B236" i="762"/>
  <c r="E235" i="762"/>
  <c r="J235" i="762" s="1"/>
  <c r="B235" i="762"/>
  <c r="E234" i="762"/>
  <c r="H234" i="762" s="1"/>
  <c r="B234" i="762"/>
  <c r="E233" i="762"/>
  <c r="J233" i="762" s="1"/>
  <c r="B233" i="762"/>
  <c r="E232" i="762"/>
  <c r="F232" i="762" s="1"/>
  <c r="B232" i="762"/>
  <c r="E231" i="762"/>
  <c r="J231" i="762" s="1"/>
  <c r="B231" i="762"/>
  <c r="E230" i="762"/>
  <c r="B230" i="762"/>
  <c r="E229" i="762"/>
  <c r="B229" i="762"/>
  <c r="E228" i="762"/>
  <c r="B228" i="762"/>
  <c r="E227" i="762"/>
  <c r="F227" i="762" s="1"/>
  <c r="B227" i="762"/>
  <c r="E226" i="762"/>
  <c r="B226" i="762"/>
  <c r="E225" i="762"/>
  <c r="J225" i="762" s="1"/>
  <c r="B225" i="762"/>
  <c r="B222" i="762"/>
  <c r="I219" i="762"/>
  <c r="J219" i="762" s="1"/>
  <c r="H219" i="762"/>
  <c r="J218" i="762"/>
  <c r="H218" i="762"/>
  <c r="E217" i="762"/>
  <c r="I220" i="762" s="1"/>
  <c r="J220" i="762" s="1"/>
  <c r="I215" i="762"/>
  <c r="J215" i="762" s="1"/>
  <c r="H215" i="762"/>
  <c r="B214" i="762"/>
  <c r="J210" i="762"/>
  <c r="H210" i="762"/>
  <c r="J209" i="762"/>
  <c r="H209" i="762"/>
  <c r="J208" i="762"/>
  <c r="H208" i="762"/>
  <c r="J207" i="762"/>
  <c r="H207" i="762"/>
  <c r="J206" i="762"/>
  <c r="H206" i="762"/>
  <c r="J196" i="762"/>
  <c r="H196" i="762"/>
  <c r="J195" i="762"/>
  <c r="H195" i="762"/>
  <c r="J194" i="762"/>
  <c r="H194" i="762"/>
  <c r="J193" i="762"/>
  <c r="H193" i="762"/>
  <c r="J192" i="762"/>
  <c r="H192" i="762"/>
  <c r="B189" i="762"/>
  <c r="J188" i="762"/>
  <c r="K188" i="762" s="1"/>
  <c r="J187" i="762"/>
  <c r="K187" i="762" s="1"/>
  <c r="J186" i="762"/>
  <c r="K186" i="762" s="1"/>
  <c r="J185" i="762"/>
  <c r="H185" i="762"/>
  <c r="J184" i="762"/>
  <c r="H184" i="762"/>
  <c r="J182" i="762"/>
  <c r="H182" i="762"/>
  <c r="G175" i="762"/>
  <c r="J171" i="762"/>
  <c r="H171" i="762"/>
  <c r="J170" i="762"/>
  <c r="H170" i="762"/>
  <c r="J168" i="762"/>
  <c r="H168" i="762"/>
  <c r="B164" i="762"/>
  <c r="K163" i="762"/>
  <c r="J162" i="762"/>
  <c r="H162" i="762"/>
  <c r="E160" i="762"/>
  <c r="E159" i="762"/>
  <c r="H159" i="762" s="1"/>
  <c r="E158" i="762"/>
  <c r="J158" i="762" s="1"/>
  <c r="E157" i="762"/>
  <c r="E156" i="762"/>
  <c r="H156" i="762" s="1"/>
  <c r="E155" i="762"/>
  <c r="J155" i="762" s="1"/>
  <c r="I153" i="762"/>
  <c r="E153" i="762"/>
  <c r="H153" i="762" s="1"/>
  <c r="I152" i="762"/>
  <c r="E152" i="762"/>
  <c r="I150" i="762"/>
  <c r="E150" i="762"/>
  <c r="H150" i="762" s="1"/>
  <c r="I149" i="762"/>
  <c r="E149" i="762"/>
  <c r="H149" i="762" s="1"/>
  <c r="B146" i="762"/>
  <c r="O141" i="762"/>
  <c r="J141" i="762"/>
  <c r="H141" i="762"/>
  <c r="O140" i="762"/>
  <c r="J140" i="762"/>
  <c r="H140" i="762"/>
  <c r="O139" i="762"/>
  <c r="J139" i="762"/>
  <c r="H139" i="762"/>
  <c r="O138" i="762"/>
  <c r="J138" i="762"/>
  <c r="H138" i="762"/>
  <c r="O137" i="762"/>
  <c r="J137" i="762"/>
  <c r="H137" i="762"/>
  <c r="J131" i="762"/>
  <c r="H131" i="762"/>
  <c r="J130" i="762"/>
  <c r="H130" i="762"/>
  <c r="J129" i="762"/>
  <c r="H129" i="762"/>
  <c r="J128" i="762"/>
  <c r="H128" i="762"/>
  <c r="J127" i="762"/>
  <c r="H127" i="762"/>
  <c r="J126" i="762"/>
  <c r="H126" i="762"/>
  <c r="J125" i="762"/>
  <c r="H125" i="762"/>
  <c r="B122" i="762"/>
  <c r="J120" i="762"/>
  <c r="H120" i="762"/>
  <c r="J119" i="762"/>
  <c r="H119" i="762"/>
  <c r="E118" i="762"/>
  <c r="H118" i="762" s="1"/>
  <c r="J115" i="762"/>
  <c r="H115" i="762"/>
  <c r="B113" i="762"/>
  <c r="I109" i="762"/>
  <c r="E108" i="762"/>
  <c r="J108" i="762" s="1"/>
  <c r="B108" i="762"/>
  <c r="E107" i="762"/>
  <c r="J107" i="762" s="1"/>
  <c r="B107" i="762"/>
  <c r="E106" i="762"/>
  <c r="H106" i="762" s="1"/>
  <c r="B106" i="762"/>
  <c r="E105" i="762"/>
  <c r="B105" i="762"/>
  <c r="I103" i="762"/>
  <c r="E103" i="762"/>
  <c r="B103" i="762"/>
  <c r="I102" i="762"/>
  <c r="E102" i="762"/>
  <c r="H102" i="762" s="1"/>
  <c r="B102" i="762"/>
  <c r="I101" i="762"/>
  <c r="E101" i="762"/>
  <c r="B101" i="762"/>
  <c r="I100" i="762"/>
  <c r="E100" i="762"/>
  <c r="H100" i="762" s="1"/>
  <c r="B100" i="762"/>
  <c r="I99" i="762"/>
  <c r="E99" i="762"/>
  <c r="B99" i="762"/>
  <c r="B96" i="762"/>
  <c r="E88" i="762"/>
  <c r="E167" i="762" s="1"/>
  <c r="H167" i="762" s="1"/>
  <c r="B84" i="762"/>
  <c r="J78" i="762"/>
  <c r="H78" i="762"/>
  <c r="J76" i="762"/>
  <c r="K76" i="762" s="1"/>
  <c r="E75" i="762"/>
  <c r="H75" i="762" s="1"/>
  <c r="B75" i="762"/>
  <c r="E74" i="762"/>
  <c r="B74" i="762"/>
  <c r="E73" i="762"/>
  <c r="B73" i="762"/>
  <c r="E72" i="762"/>
  <c r="B72" i="762"/>
  <c r="B69" i="762"/>
  <c r="I63" i="762"/>
  <c r="E63" i="762"/>
  <c r="H63" i="762" s="1"/>
  <c r="B63" i="762"/>
  <c r="I62" i="762"/>
  <c r="E62" i="762"/>
  <c r="H62" i="762" s="1"/>
  <c r="B62" i="762"/>
  <c r="I61" i="762"/>
  <c r="E61" i="762"/>
  <c r="B61" i="762"/>
  <c r="I60" i="762"/>
  <c r="E60" i="762"/>
  <c r="B60" i="762"/>
  <c r="I59" i="762"/>
  <c r="E59" i="762"/>
  <c r="H59" i="762" s="1"/>
  <c r="B59" i="762"/>
  <c r="I58" i="762"/>
  <c r="E58" i="762"/>
  <c r="B58" i="762"/>
  <c r="I57" i="762"/>
  <c r="E57" i="762"/>
  <c r="H57" i="762" s="1"/>
  <c r="B57" i="762"/>
  <c r="I56" i="762"/>
  <c r="E56" i="762"/>
  <c r="B56" i="762"/>
  <c r="I55" i="762"/>
  <c r="E55" i="762"/>
  <c r="H55" i="762" s="1"/>
  <c r="B55" i="762"/>
  <c r="I54" i="762"/>
  <c r="E54" i="762"/>
  <c r="H54" i="762" s="1"/>
  <c r="B54" i="762"/>
  <c r="I53" i="762"/>
  <c r="E53" i="762"/>
  <c r="H53" i="762" s="1"/>
  <c r="B53" i="762"/>
  <c r="I52" i="762"/>
  <c r="E52" i="762"/>
  <c r="B52" i="762"/>
  <c r="I51" i="762"/>
  <c r="E51" i="762"/>
  <c r="B51" i="762"/>
  <c r="I50" i="762"/>
  <c r="E50" i="762"/>
  <c r="B50" i="762"/>
  <c r="I49" i="762"/>
  <c r="E49" i="762"/>
  <c r="B49" i="762"/>
  <c r="I48" i="762"/>
  <c r="E48" i="762"/>
  <c r="H48" i="762" s="1"/>
  <c r="B48" i="762"/>
  <c r="I47" i="762"/>
  <c r="E47" i="762"/>
  <c r="B47" i="762"/>
  <c r="B44" i="762"/>
  <c r="J40" i="762"/>
  <c r="H40" i="762"/>
  <c r="H39" i="762"/>
  <c r="K39" i="762" s="1"/>
  <c r="I38" i="762"/>
  <c r="J38" i="762" s="1"/>
  <c r="H38" i="762"/>
  <c r="B24" i="762"/>
  <c r="A24" i="762"/>
  <c r="N24" i="762" s="1"/>
  <c r="B23" i="762"/>
  <c r="A23" i="762"/>
  <c r="N23" i="762" s="1"/>
  <c r="B22" i="762"/>
  <c r="A22" i="762"/>
  <c r="N22" i="762" s="1"/>
  <c r="B21" i="762"/>
  <c r="A21" i="762"/>
  <c r="N21" i="762" s="1"/>
  <c r="B20" i="762"/>
  <c r="A20" i="762"/>
  <c r="N20" i="762" s="1"/>
  <c r="B19" i="762"/>
  <c r="A19" i="762"/>
  <c r="N19" i="762" s="1"/>
  <c r="B18" i="762"/>
  <c r="A18" i="762"/>
  <c r="N18" i="762" s="1"/>
  <c r="B17" i="762"/>
  <c r="A17" i="762"/>
  <c r="N17" i="762" s="1"/>
  <c r="B16" i="762"/>
  <c r="A16" i="762"/>
  <c r="N16" i="762" s="1"/>
  <c r="B15" i="762"/>
  <c r="A15" i="762"/>
  <c r="N15" i="762" s="1"/>
  <c r="B14" i="762"/>
  <c r="A14" i="762"/>
  <c r="N14" i="762" s="1"/>
  <c r="B13" i="762"/>
  <c r="A13" i="762"/>
  <c r="N13" i="762" s="1"/>
  <c r="B12" i="762"/>
  <c r="A12" i="762"/>
  <c r="N12" i="762" s="1"/>
  <c r="H222" i="761"/>
  <c r="B222" i="761"/>
  <c r="J218" i="761"/>
  <c r="K218" i="761" s="1"/>
  <c r="J217" i="761"/>
  <c r="J216" i="761"/>
  <c r="K216" i="761" s="1"/>
  <c r="B213" i="761"/>
  <c r="O208" i="761"/>
  <c r="J208" i="761"/>
  <c r="H208" i="761"/>
  <c r="O207" i="761"/>
  <c r="J207" i="761"/>
  <c r="H207" i="761"/>
  <c r="O206" i="761"/>
  <c r="J206" i="761"/>
  <c r="H206" i="761"/>
  <c r="K206" i="761" s="1"/>
  <c r="O205" i="761"/>
  <c r="J205" i="761"/>
  <c r="H205" i="761"/>
  <c r="J203" i="761"/>
  <c r="H203" i="761"/>
  <c r="J201" i="761"/>
  <c r="H201" i="761"/>
  <c r="J200" i="761"/>
  <c r="H200" i="761"/>
  <c r="J199" i="761"/>
  <c r="H199" i="761"/>
  <c r="J198" i="761"/>
  <c r="H198" i="761"/>
  <c r="K198" i="761" s="1"/>
  <c r="J197" i="761"/>
  <c r="H197" i="761"/>
  <c r="J195" i="761"/>
  <c r="H195" i="761"/>
  <c r="K195" i="761" s="1"/>
  <c r="J194" i="761"/>
  <c r="H194" i="761"/>
  <c r="J193" i="761"/>
  <c r="H193" i="761"/>
  <c r="J192" i="761"/>
  <c r="H192" i="761"/>
  <c r="B189" i="761"/>
  <c r="E188" i="761"/>
  <c r="B188" i="761"/>
  <c r="F186" i="761"/>
  <c r="E186" i="761"/>
  <c r="H186" i="761" s="1"/>
  <c r="B186" i="761"/>
  <c r="E185" i="761"/>
  <c r="B185" i="761"/>
  <c r="F184" i="761"/>
  <c r="E184" i="761"/>
  <c r="H184" i="761" s="1"/>
  <c r="B184" i="761"/>
  <c r="E183" i="761"/>
  <c r="B183" i="761"/>
  <c r="E182" i="761"/>
  <c r="B182" i="761"/>
  <c r="E181" i="761"/>
  <c r="B181" i="761"/>
  <c r="E180" i="761"/>
  <c r="F180" i="761" s="1"/>
  <c r="B180" i="761"/>
  <c r="E179" i="761"/>
  <c r="F179" i="761" s="1"/>
  <c r="B179" i="761"/>
  <c r="E178" i="761"/>
  <c r="B178" i="761"/>
  <c r="J177" i="761"/>
  <c r="E177" i="761"/>
  <c r="H177" i="761" s="1"/>
  <c r="B177" i="761"/>
  <c r="E175" i="761"/>
  <c r="B175" i="761"/>
  <c r="E174" i="761"/>
  <c r="H174" i="761" s="1"/>
  <c r="B174" i="761"/>
  <c r="E172" i="761"/>
  <c r="J172" i="761" s="1"/>
  <c r="B172" i="761"/>
  <c r="E170" i="761"/>
  <c r="H170" i="761" s="1"/>
  <c r="B170" i="761"/>
  <c r="F169" i="761"/>
  <c r="E169" i="761"/>
  <c r="H169" i="761" s="1"/>
  <c r="B169" i="761"/>
  <c r="E168" i="761"/>
  <c r="B168" i="761"/>
  <c r="E167" i="761"/>
  <c r="J167" i="761" s="1"/>
  <c r="B167" i="761"/>
  <c r="E166" i="761"/>
  <c r="B166" i="761"/>
  <c r="B163" i="761"/>
  <c r="J159" i="761"/>
  <c r="I159" i="761"/>
  <c r="H159" i="761"/>
  <c r="J158" i="761"/>
  <c r="H158" i="761"/>
  <c r="K158" i="761" s="1"/>
  <c r="B154" i="761"/>
  <c r="J152" i="761"/>
  <c r="K152" i="761" s="1"/>
  <c r="H152" i="761"/>
  <c r="J151" i="761"/>
  <c r="H151" i="761"/>
  <c r="J150" i="761"/>
  <c r="H150" i="761"/>
  <c r="J147" i="761"/>
  <c r="H147" i="761"/>
  <c r="J146" i="761"/>
  <c r="H146" i="761"/>
  <c r="K145" i="761"/>
  <c r="J145" i="761"/>
  <c r="H145" i="761"/>
  <c r="J144" i="761"/>
  <c r="H144" i="761"/>
  <c r="J143" i="761"/>
  <c r="H143" i="761"/>
  <c r="B140" i="761"/>
  <c r="J137" i="761"/>
  <c r="H137" i="761"/>
  <c r="J135" i="761"/>
  <c r="H135" i="761"/>
  <c r="B130" i="761"/>
  <c r="K126" i="761"/>
  <c r="H125" i="761"/>
  <c r="K125" i="761" s="1"/>
  <c r="E125" i="761"/>
  <c r="J125" i="761" s="1"/>
  <c r="J124" i="761"/>
  <c r="E124" i="761"/>
  <c r="H124" i="761" s="1"/>
  <c r="E123" i="761"/>
  <c r="J121" i="761"/>
  <c r="H121" i="761"/>
  <c r="J120" i="761"/>
  <c r="H120" i="761"/>
  <c r="J119" i="761"/>
  <c r="H119" i="761"/>
  <c r="J118" i="761"/>
  <c r="H118" i="761"/>
  <c r="J117" i="761"/>
  <c r="H117" i="761"/>
  <c r="J116" i="761"/>
  <c r="H116" i="761"/>
  <c r="I114" i="761"/>
  <c r="E114" i="761"/>
  <c r="H114" i="761" s="1"/>
  <c r="I113" i="761"/>
  <c r="E113" i="761"/>
  <c r="H113" i="761" s="1"/>
  <c r="I110" i="761"/>
  <c r="J110" i="761" s="1"/>
  <c r="H110" i="761"/>
  <c r="I109" i="761"/>
  <c r="E109" i="761"/>
  <c r="B106" i="761"/>
  <c r="O99" i="761"/>
  <c r="J99" i="761"/>
  <c r="H99" i="761"/>
  <c r="O98" i="761"/>
  <c r="J98" i="761"/>
  <c r="H98" i="761"/>
  <c r="O97" i="761"/>
  <c r="J97" i="761"/>
  <c r="H97" i="761"/>
  <c r="O96" i="761"/>
  <c r="J96" i="761"/>
  <c r="H96" i="761"/>
  <c r="J91" i="761"/>
  <c r="H91" i="761"/>
  <c r="J90" i="761"/>
  <c r="H90" i="761"/>
  <c r="J89" i="761"/>
  <c r="H89" i="761"/>
  <c r="J88" i="761"/>
  <c r="H88" i="761"/>
  <c r="J87" i="761"/>
  <c r="H87" i="761"/>
  <c r="J86" i="761"/>
  <c r="H86" i="761"/>
  <c r="K85" i="761"/>
  <c r="J85" i="761"/>
  <c r="H85" i="761"/>
  <c r="B82" i="761"/>
  <c r="J76" i="761"/>
  <c r="E76" i="761"/>
  <c r="H76" i="761" s="1"/>
  <c r="B76" i="761"/>
  <c r="E75" i="761"/>
  <c r="H75" i="761" s="1"/>
  <c r="B75" i="761"/>
  <c r="E74" i="761"/>
  <c r="B74" i="761"/>
  <c r="E73" i="761"/>
  <c r="H73" i="761" s="1"/>
  <c r="B73" i="761"/>
  <c r="J71" i="761"/>
  <c r="H71" i="761"/>
  <c r="J70" i="761"/>
  <c r="H70" i="761"/>
  <c r="E68" i="761"/>
  <c r="B68" i="761"/>
  <c r="E67" i="761"/>
  <c r="B67" i="761"/>
  <c r="J66" i="761"/>
  <c r="E66" i="761"/>
  <c r="H66" i="761" s="1"/>
  <c r="B66" i="761"/>
  <c r="E65" i="761"/>
  <c r="J65" i="761" s="1"/>
  <c r="B65" i="761"/>
  <c r="E64" i="761"/>
  <c r="H64" i="761" s="1"/>
  <c r="B64" i="761"/>
  <c r="E63" i="761"/>
  <c r="B63" i="761"/>
  <c r="E62" i="761"/>
  <c r="B62" i="761"/>
  <c r="E61" i="761"/>
  <c r="B61" i="761"/>
  <c r="B58" i="761"/>
  <c r="E52" i="761"/>
  <c r="J51" i="761"/>
  <c r="H51" i="761"/>
  <c r="J49" i="761"/>
  <c r="E49" i="761"/>
  <c r="B45" i="761"/>
  <c r="J40" i="761"/>
  <c r="H40" i="761"/>
  <c r="J39" i="761"/>
  <c r="H39" i="761"/>
  <c r="I38" i="761"/>
  <c r="E38" i="761"/>
  <c r="I37" i="761"/>
  <c r="E37" i="761"/>
  <c r="H37" i="761" s="1"/>
  <c r="H22" i="761"/>
  <c r="B22" i="761"/>
  <c r="A22" i="761"/>
  <c r="N22" i="761" s="1"/>
  <c r="B21" i="761"/>
  <c r="A21" i="761"/>
  <c r="N21" i="761" s="1"/>
  <c r="B20" i="761"/>
  <c r="A20" i="761"/>
  <c r="N20" i="761" s="1"/>
  <c r="B19" i="761"/>
  <c r="A19" i="761"/>
  <c r="N19" i="761" s="1"/>
  <c r="N18" i="761"/>
  <c r="B18" i="761"/>
  <c r="A18" i="761"/>
  <c r="B17" i="761"/>
  <c r="A17" i="761"/>
  <c r="N17" i="761" s="1"/>
  <c r="B16" i="761"/>
  <c r="A16" i="761"/>
  <c r="N16" i="761" s="1"/>
  <c r="B15" i="761"/>
  <c r="A15" i="761"/>
  <c r="N15" i="761" s="1"/>
  <c r="B14" i="761"/>
  <c r="A14" i="761"/>
  <c r="N14" i="761" s="1"/>
  <c r="N13" i="761"/>
  <c r="B13" i="761"/>
  <c r="A13" i="761"/>
  <c r="N12" i="761"/>
  <c r="B12" i="761"/>
  <c r="A12" i="761"/>
  <c r="H209" i="760"/>
  <c r="H22" i="760" s="1"/>
  <c r="B209" i="760"/>
  <c r="J203" i="760"/>
  <c r="K203" i="760" s="1"/>
  <c r="J202" i="760"/>
  <c r="K202" i="760" s="1"/>
  <c r="K209" i="760" s="1"/>
  <c r="B199" i="760"/>
  <c r="O195" i="760"/>
  <c r="J195" i="760"/>
  <c r="H195" i="760"/>
  <c r="O194" i="760"/>
  <c r="J194" i="760"/>
  <c r="H194" i="760"/>
  <c r="O193" i="760"/>
  <c r="J193" i="760"/>
  <c r="H193" i="760"/>
  <c r="J191" i="760"/>
  <c r="H191" i="760"/>
  <c r="K191" i="760" s="1"/>
  <c r="J189" i="760"/>
  <c r="H189" i="760"/>
  <c r="K189" i="760" s="1"/>
  <c r="J188" i="760"/>
  <c r="H188" i="760"/>
  <c r="K188" i="760" s="1"/>
  <c r="J187" i="760"/>
  <c r="H187" i="760"/>
  <c r="K187" i="760" s="1"/>
  <c r="J186" i="760"/>
  <c r="H186" i="760"/>
  <c r="J184" i="760"/>
  <c r="H184" i="760"/>
  <c r="J183" i="760"/>
  <c r="K183" i="760" s="1"/>
  <c r="H183" i="760"/>
  <c r="J182" i="760"/>
  <c r="K182" i="760" s="1"/>
  <c r="H182" i="760"/>
  <c r="J181" i="760"/>
  <c r="H181" i="760"/>
  <c r="B178" i="760"/>
  <c r="E172" i="760"/>
  <c r="H172" i="760" s="1"/>
  <c r="B172" i="760"/>
  <c r="E170" i="760"/>
  <c r="J170" i="760" s="1"/>
  <c r="B170" i="760"/>
  <c r="E169" i="760"/>
  <c r="H169" i="760" s="1"/>
  <c r="B169" i="760"/>
  <c r="E168" i="760"/>
  <c r="B168" i="760"/>
  <c r="E167" i="760"/>
  <c r="B167" i="760"/>
  <c r="J166" i="760"/>
  <c r="E166" i="760"/>
  <c r="H166" i="760" s="1"/>
  <c r="K166" i="760" s="1"/>
  <c r="B166" i="760"/>
  <c r="J165" i="760"/>
  <c r="E165" i="760"/>
  <c r="H165" i="760" s="1"/>
  <c r="B165" i="760"/>
  <c r="E164" i="760"/>
  <c r="J164" i="760" s="1"/>
  <c r="B164" i="760"/>
  <c r="E163" i="760"/>
  <c r="B163" i="760"/>
  <c r="J162" i="760"/>
  <c r="E162" i="760"/>
  <c r="H162" i="760" s="1"/>
  <c r="B162" i="760"/>
  <c r="E161" i="760"/>
  <c r="B161" i="760"/>
  <c r="E157" i="760"/>
  <c r="B157" i="760"/>
  <c r="E156" i="760"/>
  <c r="H156" i="760" s="1"/>
  <c r="B156" i="760"/>
  <c r="H154" i="760"/>
  <c r="E154" i="760"/>
  <c r="J154" i="760" s="1"/>
  <c r="B154" i="760"/>
  <c r="E153" i="760"/>
  <c r="B153" i="760"/>
  <c r="E151" i="760"/>
  <c r="J151" i="760" s="1"/>
  <c r="B151" i="760"/>
  <c r="E150" i="760"/>
  <c r="B150" i="760"/>
  <c r="E149" i="760"/>
  <c r="B149" i="760"/>
  <c r="E148" i="760"/>
  <c r="H148" i="760" s="1"/>
  <c r="B148" i="760"/>
  <c r="E147" i="760"/>
  <c r="H147" i="760" s="1"/>
  <c r="B147" i="760"/>
  <c r="H146" i="760"/>
  <c r="K146" i="760" s="1"/>
  <c r="E146" i="760"/>
  <c r="J146" i="760" s="1"/>
  <c r="B146" i="760"/>
  <c r="B143" i="760"/>
  <c r="J137" i="760"/>
  <c r="H137" i="760"/>
  <c r="B134" i="760"/>
  <c r="J131" i="760"/>
  <c r="H131" i="760"/>
  <c r="J130" i="760"/>
  <c r="H130" i="760"/>
  <c r="J129" i="760"/>
  <c r="H129" i="760"/>
  <c r="J126" i="760"/>
  <c r="H126" i="760"/>
  <c r="K126" i="760" s="1"/>
  <c r="J125" i="760"/>
  <c r="H125" i="760"/>
  <c r="J124" i="760"/>
  <c r="H124" i="760"/>
  <c r="K124" i="760" s="1"/>
  <c r="J123" i="760"/>
  <c r="H123" i="760"/>
  <c r="K123" i="760" s="1"/>
  <c r="J122" i="760"/>
  <c r="H122" i="760"/>
  <c r="K122" i="760" s="1"/>
  <c r="B119" i="760"/>
  <c r="E116" i="760"/>
  <c r="J116" i="760" s="1"/>
  <c r="J114" i="760"/>
  <c r="H114" i="760"/>
  <c r="K114" i="760" s="1"/>
  <c r="B109" i="760"/>
  <c r="J106" i="760"/>
  <c r="H106" i="760"/>
  <c r="E105" i="760"/>
  <c r="J103" i="760"/>
  <c r="H103" i="760"/>
  <c r="E102" i="760"/>
  <c r="J102" i="760" s="1"/>
  <c r="B99" i="760"/>
  <c r="O94" i="760"/>
  <c r="J94" i="760"/>
  <c r="H94" i="760"/>
  <c r="O93" i="760"/>
  <c r="J93" i="760"/>
  <c r="H93" i="760"/>
  <c r="J88" i="760"/>
  <c r="K88" i="760" s="1"/>
  <c r="H88" i="760"/>
  <c r="J87" i="760"/>
  <c r="H87" i="760"/>
  <c r="G90" i="760" s="1"/>
  <c r="H90" i="760" s="1"/>
  <c r="B84" i="760"/>
  <c r="E79" i="760"/>
  <c r="J79" i="760" s="1"/>
  <c r="B79" i="760"/>
  <c r="H78" i="760"/>
  <c r="K78" i="760" s="1"/>
  <c r="E78" i="760"/>
  <c r="J78" i="760" s="1"/>
  <c r="B78" i="760"/>
  <c r="E77" i="760"/>
  <c r="B77" i="760"/>
  <c r="E76" i="760"/>
  <c r="B76" i="760"/>
  <c r="J74" i="760"/>
  <c r="H74" i="760"/>
  <c r="J73" i="760"/>
  <c r="H73" i="760"/>
  <c r="E71" i="760"/>
  <c r="H71" i="760" s="1"/>
  <c r="B71" i="760"/>
  <c r="E70" i="760"/>
  <c r="B70" i="760"/>
  <c r="J69" i="760"/>
  <c r="E69" i="760"/>
  <c r="H69" i="760" s="1"/>
  <c r="B69" i="760"/>
  <c r="E68" i="760"/>
  <c r="H68" i="760" s="1"/>
  <c r="B68" i="760"/>
  <c r="E67" i="760"/>
  <c r="H67" i="760" s="1"/>
  <c r="B67" i="760"/>
  <c r="J66" i="760"/>
  <c r="K66" i="760" s="1"/>
  <c r="E66" i="760"/>
  <c r="H66" i="760" s="1"/>
  <c r="B66" i="760"/>
  <c r="E65" i="760"/>
  <c r="B65" i="760"/>
  <c r="E64" i="760"/>
  <c r="H64" i="760" s="1"/>
  <c r="B64" i="760"/>
  <c r="J63" i="760"/>
  <c r="E63" i="760"/>
  <c r="H63" i="760" s="1"/>
  <c r="B63" i="760"/>
  <c r="E62" i="760"/>
  <c r="B62" i="760"/>
  <c r="B59" i="760"/>
  <c r="E51" i="760"/>
  <c r="H51" i="760" s="1"/>
  <c r="J50" i="760"/>
  <c r="H50" i="760"/>
  <c r="K50" i="760" s="1"/>
  <c r="E49" i="760"/>
  <c r="B45" i="760"/>
  <c r="I40" i="760"/>
  <c r="J40" i="760" s="1"/>
  <c r="H40" i="760"/>
  <c r="H39" i="760"/>
  <c r="K39" i="760" s="1"/>
  <c r="I38" i="760"/>
  <c r="E38" i="760"/>
  <c r="H38" i="760" s="1"/>
  <c r="I37" i="760"/>
  <c r="E37" i="760"/>
  <c r="N22" i="760"/>
  <c r="B22" i="760"/>
  <c r="A22" i="760"/>
  <c r="B21" i="760"/>
  <c r="A21" i="760"/>
  <c r="N21" i="760" s="1"/>
  <c r="B20" i="760"/>
  <c r="A20" i="760"/>
  <c r="N20" i="760" s="1"/>
  <c r="B19" i="760"/>
  <c r="A19" i="760"/>
  <c r="N19" i="760" s="1"/>
  <c r="B18" i="760"/>
  <c r="A18" i="760"/>
  <c r="N18" i="760" s="1"/>
  <c r="B17" i="760"/>
  <c r="A17" i="760"/>
  <c r="N17" i="760" s="1"/>
  <c r="B16" i="760"/>
  <c r="A16" i="760"/>
  <c r="N16" i="760" s="1"/>
  <c r="B15" i="760"/>
  <c r="A15" i="760"/>
  <c r="N15" i="760" s="1"/>
  <c r="B14" i="760"/>
  <c r="A14" i="760"/>
  <c r="N14" i="760" s="1"/>
  <c r="B13" i="760"/>
  <c r="A13" i="760"/>
  <c r="N13" i="760" s="1"/>
  <c r="B12" i="760"/>
  <c r="A12" i="760"/>
  <c r="N12" i="760" s="1"/>
  <c r="H159" i="759"/>
  <c r="H19" i="759" s="1"/>
  <c r="H156" i="759"/>
  <c r="K156" i="759" s="1"/>
  <c r="K159" i="759" s="1"/>
  <c r="J153" i="759"/>
  <c r="H153" i="759"/>
  <c r="F153" i="759"/>
  <c r="J152" i="759"/>
  <c r="H152" i="759"/>
  <c r="F152" i="759"/>
  <c r="J150" i="759"/>
  <c r="H150" i="759"/>
  <c r="F150" i="759"/>
  <c r="J149" i="759"/>
  <c r="H149" i="759"/>
  <c r="F149" i="759"/>
  <c r="J148" i="759"/>
  <c r="H148" i="759"/>
  <c r="F148" i="759"/>
  <c r="J143" i="759"/>
  <c r="H143" i="759"/>
  <c r="K143" i="759" s="1"/>
  <c r="E142" i="759"/>
  <c r="J142" i="759" s="1"/>
  <c r="J136" i="759"/>
  <c r="H136" i="759"/>
  <c r="J132" i="759"/>
  <c r="H132" i="759"/>
  <c r="J131" i="759"/>
  <c r="H131" i="759"/>
  <c r="J130" i="759"/>
  <c r="H130" i="759"/>
  <c r="J125" i="759"/>
  <c r="H125" i="759"/>
  <c r="J124" i="759"/>
  <c r="H124" i="759"/>
  <c r="J122" i="759"/>
  <c r="H122" i="759"/>
  <c r="J120" i="759"/>
  <c r="H120" i="759"/>
  <c r="J119" i="759"/>
  <c r="H119" i="759"/>
  <c r="J116" i="759"/>
  <c r="H116" i="759"/>
  <c r="J115" i="759"/>
  <c r="H115" i="759"/>
  <c r="J113" i="759"/>
  <c r="H113" i="759"/>
  <c r="J112" i="759"/>
  <c r="H112" i="759"/>
  <c r="J111" i="759"/>
  <c r="H111" i="759"/>
  <c r="K108" i="759"/>
  <c r="J108" i="759"/>
  <c r="H108" i="759"/>
  <c r="J106" i="759"/>
  <c r="H106" i="759"/>
  <c r="K106" i="759" s="1"/>
  <c r="J105" i="759"/>
  <c r="H105" i="759"/>
  <c r="K105" i="759" s="1"/>
  <c r="J104" i="759"/>
  <c r="H104" i="759"/>
  <c r="J103" i="759"/>
  <c r="H103" i="759"/>
  <c r="J102" i="759"/>
  <c r="H102" i="759"/>
  <c r="J101" i="759"/>
  <c r="H101" i="759"/>
  <c r="J100" i="759"/>
  <c r="H100" i="759"/>
  <c r="J99" i="759"/>
  <c r="H99" i="759"/>
  <c r="J98" i="759"/>
  <c r="H98" i="759"/>
  <c r="J96" i="759"/>
  <c r="H96" i="759"/>
  <c r="J95" i="759"/>
  <c r="H95" i="759"/>
  <c r="J93" i="759"/>
  <c r="H93" i="759"/>
  <c r="J92" i="759"/>
  <c r="H92" i="759"/>
  <c r="K92" i="759" s="1"/>
  <c r="J91" i="759"/>
  <c r="K91" i="759" s="1"/>
  <c r="H91" i="759"/>
  <c r="J90" i="759"/>
  <c r="H90" i="759"/>
  <c r="J89" i="759"/>
  <c r="H89" i="759"/>
  <c r="J88" i="759"/>
  <c r="H88" i="759"/>
  <c r="J87" i="759"/>
  <c r="H87" i="759"/>
  <c r="J86" i="759"/>
  <c r="H86" i="759"/>
  <c r="J84" i="759"/>
  <c r="H84" i="759"/>
  <c r="J83" i="759"/>
  <c r="K83" i="759" s="1"/>
  <c r="H83" i="759"/>
  <c r="J82" i="759"/>
  <c r="H82" i="759"/>
  <c r="J81" i="759"/>
  <c r="H81" i="759"/>
  <c r="J74" i="759"/>
  <c r="H74" i="759"/>
  <c r="J73" i="759"/>
  <c r="H73" i="759"/>
  <c r="J72" i="759"/>
  <c r="H72" i="759"/>
  <c r="E70" i="759"/>
  <c r="J70" i="759" s="1"/>
  <c r="J78" i="759" s="1"/>
  <c r="J14" i="759" s="1"/>
  <c r="O61" i="759"/>
  <c r="J61" i="759"/>
  <c r="H61" i="759"/>
  <c r="K54" i="759"/>
  <c r="J54" i="759"/>
  <c r="H54" i="759"/>
  <c r="J53" i="759"/>
  <c r="H53" i="759"/>
  <c r="K53" i="759" s="1"/>
  <c r="J52" i="759"/>
  <c r="H52" i="759"/>
  <c r="K51" i="759"/>
  <c r="J51" i="759"/>
  <c r="H51" i="759"/>
  <c r="J50" i="759"/>
  <c r="H50" i="759"/>
  <c r="J40" i="759"/>
  <c r="H40" i="759"/>
  <c r="J39" i="759"/>
  <c r="H39" i="759"/>
  <c r="J38" i="759"/>
  <c r="H38" i="759"/>
  <c r="J36" i="759"/>
  <c r="H36" i="759"/>
  <c r="K36" i="759" s="1"/>
  <c r="N20" i="759"/>
  <c r="O20" i="759" s="1" a="1"/>
  <c r="O20" i="759" s="1"/>
  <c r="J19" i="759"/>
  <c r="B19" i="759"/>
  <c r="A19" i="759"/>
  <c r="N19" i="759" s="1"/>
  <c r="O19" i="759" s="1" a="1"/>
  <c r="O19" i="759" s="1"/>
  <c r="B18" i="759"/>
  <c r="A18" i="759"/>
  <c r="N18" i="759" s="1"/>
  <c r="O18" i="759" s="1" a="1"/>
  <c r="O18" i="759" s="1"/>
  <c r="B17" i="759"/>
  <c r="A17" i="759"/>
  <c r="N17" i="759" s="1"/>
  <c r="O17" i="759" s="1" a="1"/>
  <c r="O17" i="759" s="1"/>
  <c r="B16" i="759"/>
  <c r="A16" i="759"/>
  <c r="N16" i="759" s="1"/>
  <c r="O16" i="759" s="1" a="1"/>
  <c r="O16" i="759" s="1"/>
  <c r="B15" i="759"/>
  <c r="A15" i="759"/>
  <c r="N15" i="759" s="1"/>
  <c r="O15" i="759" s="1" a="1"/>
  <c r="O15" i="759" s="1"/>
  <c r="N14" i="759"/>
  <c r="O14" i="759" s="1" a="1"/>
  <c r="O14" i="759" s="1"/>
  <c r="B14" i="759"/>
  <c r="A14" i="759"/>
  <c r="B13" i="759"/>
  <c r="A13" i="759"/>
  <c r="N13" i="759" s="1"/>
  <c r="O13" i="759" s="1" a="1"/>
  <c r="O13" i="759" s="1"/>
  <c r="B12" i="759"/>
  <c r="A12" i="759"/>
  <c r="N12" i="759" s="1"/>
  <c r="O12" i="759" s="1" a="1"/>
  <c r="O12" i="759" s="1"/>
  <c r="B31" i="758"/>
  <c r="B24" i="758"/>
  <c r="B23" i="758"/>
  <c r="B22" i="758"/>
  <c r="B21" i="758"/>
  <c r="B20" i="758"/>
  <c r="B19" i="758"/>
  <c r="B18" i="758"/>
  <c r="B17" i="758"/>
  <c r="B16" i="758"/>
  <c r="B15" i="758"/>
  <c r="B14" i="758"/>
  <c r="B13" i="758"/>
  <c r="K134" i="757"/>
  <c r="J134" i="757"/>
  <c r="J18" i="757" s="1"/>
  <c r="H134" i="757"/>
  <c r="B134" i="757"/>
  <c r="B117" i="757"/>
  <c r="I112" i="757"/>
  <c r="J112" i="757" s="1"/>
  <c r="H112" i="757"/>
  <c r="I111" i="757"/>
  <c r="J111" i="757" s="1"/>
  <c r="H111" i="757"/>
  <c r="H117" i="757" s="1"/>
  <c r="H17" i="757" s="1"/>
  <c r="B109" i="757"/>
  <c r="J104" i="757"/>
  <c r="H104" i="757"/>
  <c r="K104" i="757" s="1"/>
  <c r="J103" i="757"/>
  <c r="H103" i="757"/>
  <c r="H101" i="757"/>
  <c r="K101" i="757" s="1"/>
  <c r="H100" i="757"/>
  <c r="K100" i="757" s="1"/>
  <c r="H99" i="757"/>
  <c r="K99" i="757" s="1"/>
  <c r="H98" i="757"/>
  <c r="K98" i="757" s="1"/>
  <c r="H97" i="757"/>
  <c r="K97" i="757" s="1"/>
  <c r="K96" i="757"/>
  <c r="H96" i="757"/>
  <c r="G95" i="757"/>
  <c r="I95" i="757" s="1"/>
  <c r="J95" i="757" s="1"/>
  <c r="H93" i="757"/>
  <c r="K93" i="757" s="1"/>
  <c r="H92" i="757"/>
  <c r="K92" i="757" s="1"/>
  <c r="H91" i="757"/>
  <c r="K91" i="757" s="1"/>
  <c r="H90" i="757"/>
  <c r="K90" i="757" s="1"/>
  <c r="H89" i="757"/>
  <c r="K89" i="757" s="1"/>
  <c r="H88" i="757"/>
  <c r="K88" i="757" s="1"/>
  <c r="I87" i="757"/>
  <c r="J87" i="757" s="1"/>
  <c r="H87" i="757"/>
  <c r="B84" i="757"/>
  <c r="I82" i="757"/>
  <c r="J82" i="757" s="1"/>
  <c r="H82" i="757"/>
  <c r="J81" i="757"/>
  <c r="H81" i="757"/>
  <c r="B76" i="757"/>
  <c r="J75" i="757"/>
  <c r="G75" i="757"/>
  <c r="H75" i="757" s="1"/>
  <c r="K75" i="757" s="1"/>
  <c r="J73" i="757"/>
  <c r="H73" i="757"/>
  <c r="J71" i="757"/>
  <c r="H71" i="757"/>
  <c r="J69" i="757"/>
  <c r="H69" i="757"/>
  <c r="J67" i="757"/>
  <c r="H67" i="757"/>
  <c r="K67" i="757" s="1"/>
  <c r="J66" i="757"/>
  <c r="K66" i="757" s="1"/>
  <c r="H66" i="757"/>
  <c r="J64" i="757"/>
  <c r="H64" i="757"/>
  <c r="K64" i="757" s="1"/>
  <c r="J62" i="757"/>
  <c r="H62" i="757"/>
  <c r="J61" i="757"/>
  <c r="H61" i="757"/>
  <c r="B59" i="757"/>
  <c r="O54" i="757"/>
  <c r="J54" i="757"/>
  <c r="H54" i="757"/>
  <c r="O53" i="757"/>
  <c r="J53" i="757"/>
  <c r="H53" i="757"/>
  <c r="J47" i="757"/>
  <c r="H47" i="757"/>
  <c r="J46" i="757"/>
  <c r="H46" i="757"/>
  <c r="K46" i="757" s="1"/>
  <c r="J45" i="757"/>
  <c r="H45" i="757"/>
  <c r="J44" i="757"/>
  <c r="H44" i="757"/>
  <c r="K44" i="757" s="1"/>
  <c r="J43" i="757"/>
  <c r="H43" i="757"/>
  <c r="J42" i="757"/>
  <c r="H42" i="757"/>
  <c r="J41" i="757"/>
  <c r="H41" i="757"/>
  <c r="J40" i="757"/>
  <c r="K40" i="757" s="1"/>
  <c r="H40" i="757"/>
  <c r="J39" i="757"/>
  <c r="H39" i="757"/>
  <c r="K38" i="757"/>
  <c r="J38" i="757"/>
  <c r="H38" i="757"/>
  <c r="B34" i="757"/>
  <c r="H18" i="757"/>
  <c r="K18" i="757" s="1"/>
  <c r="B18" i="757"/>
  <c r="A18" i="757"/>
  <c r="B17" i="757"/>
  <c r="A17" i="757"/>
  <c r="B16" i="757"/>
  <c r="A16" i="757"/>
  <c r="B15" i="757"/>
  <c r="A15" i="757"/>
  <c r="B14" i="757"/>
  <c r="A14" i="757"/>
  <c r="B13" i="757"/>
  <c r="A13" i="757"/>
  <c r="B12" i="757"/>
  <c r="K134" i="756"/>
  <c r="J134" i="756"/>
  <c r="H134" i="756"/>
  <c r="H18" i="756" s="1"/>
  <c r="B134" i="756"/>
  <c r="B118" i="756"/>
  <c r="I112" i="756"/>
  <c r="J112" i="756" s="1"/>
  <c r="H112" i="756"/>
  <c r="I111" i="756"/>
  <c r="J111" i="756" s="1"/>
  <c r="H111" i="756"/>
  <c r="B109" i="756"/>
  <c r="J105" i="756"/>
  <c r="H105" i="756"/>
  <c r="J104" i="756"/>
  <c r="H104" i="756"/>
  <c r="H101" i="756"/>
  <c r="K101" i="756" s="1"/>
  <c r="H100" i="756"/>
  <c r="K100" i="756" s="1"/>
  <c r="H99" i="756"/>
  <c r="K99" i="756" s="1"/>
  <c r="H98" i="756"/>
  <c r="K98" i="756" s="1"/>
  <c r="H97" i="756"/>
  <c r="K97" i="756" s="1"/>
  <c r="H96" i="756"/>
  <c r="K96" i="756" s="1"/>
  <c r="G95" i="756"/>
  <c r="I95" i="756" s="1"/>
  <c r="J95" i="756" s="1"/>
  <c r="H93" i="756"/>
  <c r="K93" i="756" s="1"/>
  <c r="H92" i="756"/>
  <c r="K92" i="756" s="1"/>
  <c r="H91" i="756"/>
  <c r="K91" i="756" s="1"/>
  <c r="H90" i="756"/>
  <c r="K90" i="756" s="1"/>
  <c r="H89" i="756"/>
  <c r="K89" i="756" s="1"/>
  <c r="H88" i="756"/>
  <c r="K88" i="756" s="1"/>
  <c r="I87" i="756"/>
  <c r="J87" i="756" s="1"/>
  <c r="H87" i="756"/>
  <c r="B84" i="756"/>
  <c r="I82" i="756"/>
  <c r="J82" i="756" s="1"/>
  <c r="H82" i="756"/>
  <c r="J81" i="756"/>
  <c r="H81" i="756"/>
  <c r="J80" i="756"/>
  <c r="H80" i="756"/>
  <c r="J78" i="756"/>
  <c r="H78" i="756"/>
  <c r="B76" i="756"/>
  <c r="J73" i="756"/>
  <c r="K73" i="756" s="1"/>
  <c r="H73" i="756"/>
  <c r="J71" i="756"/>
  <c r="H71" i="756"/>
  <c r="J69" i="756"/>
  <c r="H69" i="756"/>
  <c r="K69" i="756" s="1"/>
  <c r="K67" i="756"/>
  <c r="J67" i="756"/>
  <c r="H67" i="756"/>
  <c r="J66" i="756"/>
  <c r="H66" i="756"/>
  <c r="J64" i="756"/>
  <c r="H64" i="756"/>
  <c r="J62" i="756"/>
  <c r="H62" i="756"/>
  <c r="J61" i="756"/>
  <c r="H61" i="756"/>
  <c r="B59" i="756"/>
  <c r="G57" i="756"/>
  <c r="O54" i="756"/>
  <c r="J54" i="756"/>
  <c r="H54" i="756"/>
  <c r="O53" i="756"/>
  <c r="J53" i="756"/>
  <c r="H53" i="756"/>
  <c r="K53" i="756" s="1"/>
  <c r="J47" i="756"/>
  <c r="K47" i="756" s="1"/>
  <c r="H47" i="756"/>
  <c r="J46" i="756"/>
  <c r="H46" i="756"/>
  <c r="J45" i="756"/>
  <c r="H45" i="756"/>
  <c r="J44" i="756"/>
  <c r="H44" i="756"/>
  <c r="K43" i="756"/>
  <c r="J43" i="756"/>
  <c r="H43" i="756"/>
  <c r="J42" i="756"/>
  <c r="H42" i="756"/>
  <c r="K42" i="756" s="1"/>
  <c r="J41" i="756"/>
  <c r="H41" i="756"/>
  <c r="J40" i="756"/>
  <c r="K40" i="756" s="1"/>
  <c r="H40" i="756"/>
  <c r="J39" i="756"/>
  <c r="H39" i="756"/>
  <c r="J38" i="756"/>
  <c r="H38" i="756"/>
  <c r="B34" i="756"/>
  <c r="J18" i="756"/>
  <c r="B18" i="756"/>
  <c r="A18" i="756"/>
  <c r="B17" i="756"/>
  <c r="A17" i="756"/>
  <c r="B16" i="756"/>
  <c r="A16" i="756"/>
  <c r="B15" i="756"/>
  <c r="A15" i="756"/>
  <c r="B14" i="756"/>
  <c r="A14" i="756"/>
  <c r="B13" i="756"/>
  <c r="A13" i="756"/>
  <c r="B12" i="756"/>
  <c r="H134" i="755"/>
  <c r="H18" i="755" s="1"/>
  <c r="B134" i="755"/>
  <c r="J117" i="755"/>
  <c r="B116" i="755"/>
  <c r="I112" i="755"/>
  <c r="J112" i="755" s="1"/>
  <c r="H112" i="755"/>
  <c r="I111" i="755"/>
  <c r="J111" i="755" s="1"/>
  <c r="H111" i="755"/>
  <c r="B109" i="755"/>
  <c r="J106" i="755"/>
  <c r="H106" i="755"/>
  <c r="J105" i="755"/>
  <c r="H105" i="755"/>
  <c r="K105" i="755" s="1"/>
  <c r="J104" i="755"/>
  <c r="H104" i="755"/>
  <c r="H101" i="755"/>
  <c r="K101" i="755" s="1"/>
  <c r="H100" i="755"/>
  <c r="K100" i="755" s="1"/>
  <c r="H99" i="755"/>
  <c r="K99" i="755" s="1"/>
  <c r="H98" i="755"/>
  <c r="K98" i="755" s="1"/>
  <c r="H97" i="755"/>
  <c r="K97" i="755" s="1"/>
  <c r="H96" i="755"/>
  <c r="K96" i="755" s="1"/>
  <c r="G95" i="755"/>
  <c r="H93" i="755"/>
  <c r="K93" i="755" s="1"/>
  <c r="H92" i="755"/>
  <c r="K92" i="755" s="1"/>
  <c r="H91" i="755"/>
  <c r="K91" i="755" s="1"/>
  <c r="H90" i="755"/>
  <c r="K90" i="755" s="1"/>
  <c r="H89" i="755"/>
  <c r="K89" i="755" s="1"/>
  <c r="H88" i="755"/>
  <c r="K88" i="755" s="1"/>
  <c r="I87" i="755"/>
  <c r="J87" i="755" s="1"/>
  <c r="H87" i="755"/>
  <c r="B84" i="755"/>
  <c r="J81" i="755"/>
  <c r="H81" i="755"/>
  <c r="K81" i="755" s="1"/>
  <c r="J80" i="755"/>
  <c r="H80" i="755"/>
  <c r="J78" i="755"/>
  <c r="H78" i="755"/>
  <c r="B76" i="755"/>
  <c r="J73" i="755"/>
  <c r="H73" i="755"/>
  <c r="J71" i="755"/>
  <c r="H71" i="755"/>
  <c r="J69" i="755"/>
  <c r="H69" i="755"/>
  <c r="J67" i="755"/>
  <c r="H67" i="755"/>
  <c r="J66" i="755"/>
  <c r="H66" i="755"/>
  <c r="J64" i="755"/>
  <c r="H64" i="755"/>
  <c r="J62" i="755"/>
  <c r="H62" i="755"/>
  <c r="J61" i="755"/>
  <c r="H61" i="755"/>
  <c r="B59" i="755"/>
  <c r="O54" i="755"/>
  <c r="J54" i="755"/>
  <c r="K54" i="755" s="1"/>
  <c r="H54" i="755"/>
  <c r="O53" i="755"/>
  <c r="J53" i="755"/>
  <c r="K53" i="755" s="1"/>
  <c r="H53" i="755"/>
  <c r="G55" i="755" s="1"/>
  <c r="J47" i="755"/>
  <c r="H47" i="755"/>
  <c r="K47" i="755" s="1"/>
  <c r="J46" i="755"/>
  <c r="H46" i="755"/>
  <c r="K46" i="755" s="1"/>
  <c r="J45" i="755"/>
  <c r="H45" i="755"/>
  <c r="J44" i="755"/>
  <c r="H44" i="755"/>
  <c r="K44" i="755" s="1"/>
  <c r="J43" i="755"/>
  <c r="K43" i="755" s="1"/>
  <c r="H43" i="755"/>
  <c r="J42" i="755"/>
  <c r="H42" i="755"/>
  <c r="J41" i="755"/>
  <c r="H41" i="755"/>
  <c r="J40" i="755"/>
  <c r="H40" i="755"/>
  <c r="K40" i="755" s="1"/>
  <c r="J39" i="755"/>
  <c r="H39" i="755"/>
  <c r="K39" i="755" s="1"/>
  <c r="J38" i="755"/>
  <c r="H38" i="755"/>
  <c r="B34" i="755"/>
  <c r="B18" i="755"/>
  <c r="A18" i="755"/>
  <c r="B17" i="755"/>
  <c r="A17" i="755"/>
  <c r="B16" i="755"/>
  <c r="A16" i="755"/>
  <c r="B15" i="755"/>
  <c r="A15" i="755"/>
  <c r="B14" i="755"/>
  <c r="A14" i="755"/>
  <c r="B13" i="755"/>
  <c r="A13" i="755"/>
  <c r="B12" i="755"/>
  <c r="K134" i="754"/>
  <c r="J134" i="754"/>
  <c r="J18" i="754" s="1"/>
  <c r="K18" i="754" s="1"/>
  <c r="H134" i="754"/>
  <c r="H18" i="754" s="1"/>
  <c r="B134" i="754"/>
  <c r="B118" i="754"/>
  <c r="I112" i="754"/>
  <c r="J112" i="754" s="1"/>
  <c r="H112" i="754"/>
  <c r="I111" i="754"/>
  <c r="J111" i="754" s="1"/>
  <c r="H111" i="754"/>
  <c r="B109" i="754"/>
  <c r="J106" i="754"/>
  <c r="H106" i="754"/>
  <c r="J105" i="754"/>
  <c r="H105" i="754"/>
  <c r="J104" i="754"/>
  <c r="H104" i="754"/>
  <c r="K104" i="754" s="1"/>
  <c r="H101" i="754"/>
  <c r="K101" i="754" s="1"/>
  <c r="K100" i="754"/>
  <c r="H100" i="754"/>
  <c r="H99" i="754"/>
  <c r="K99" i="754" s="1"/>
  <c r="H98" i="754"/>
  <c r="K98" i="754" s="1"/>
  <c r="H97" i="754"/>
  <c r="K97" i="754" s="1"/>
  <c r="H96" i="754"/>
  <c r="K96" i="754" s="1"/>
  <c r="I95" i="754"/>
  <c r="J95" i="754" s="1"/>
  <c r="H95" i="754"/>
  <c r="G95" i="754"/>
  <c r="H93" i="754"/>
  <c r="K93" i="754" s="1"/>
  <c r="K92" i="754"/>
  <c r="H92" i="754"/>
  <c r="H91" i="754"/>
  <c r="K91" i="754" s="1"/>
  <c r="H90" i="754"/>
  <c r="K90" i="754" s="1"/>
  <c r="H89" i="754"/>
  <c r="K89" i="754" s="1"/>
  <c r="H88" i="754"/>
  <c r="K88" i="754" s="1"/>
  <c r="I87" i="754"/>
  <c r="J87" i="754" s="1"/>
  <c r="H87" i="754"/>
  <c r="B84" i="754"/>
  <c r="J81" i="754"/>
  <c r="H81" i="754"/>
  <c r="H84" i="754" s="1"/>
  <c r="H15" i="754" s="1"/>
  <c r="J78" i="754"/>
  <c r="H78" i="754"/>
  <c r="B76" i="754"/>
  <c r="J73" i="754"/>
  <c r="H73" i="754"/>
  <c r="J71" i="754"/>
  <c r="H71" i="754"/>
  <c r="J69" i="754"/>
  <c r="K69" i="754" s="1"/>
  <c r="H69" i="754"/>
  <c r="J67" i="754"/>
  <c r="H67" i="754"/>
  <c r="J66" i="754"/>
  <c r="H66" i="754"/>
  <c r="J64" i="754"/>
  <c r="H64" i="754"/>
  <c r="K64" i="754" s="1"/>
  <c r="J62" i="754"/>
  <c r="H62" i="754"/>
  <c r="J61" i="754"/>
  <c r="H61" i="754"/>
  <c r="B59" i="754"/>
  <c r="O54" i="754"/>
  <c r="J54" i="754"/>
  <c r="H54" i="754"/>
  <c r="O53" i="754"/>
  <c r="J53" i="754"/>
  <c r="H53" i="754"/>
  <c r="J47" i="754"/>
  <c r="H47" i="754"/>
  <c r="J46" i="754"/>
  <c r="H46" i="754"/>
  <c r="J45" i="754"/>
  <c r="H45" i="754"/>
  <c r="J44" i="754"/>
  <c r="H44" i="754"/>
  <c r="K44" i="754" s="1"/>
  <c r="J43" i="754"/>
  <c r="H43" i="754"/>
  <c r="J42" i="754"/>
  <c r="H42" i="754"/>
  <c r="J41" i="754"/>
  <c r="H41" i="754"/>
  <c r="J40" i="754"/>
  <c r="H40" i="754"/>
  <c r="K40" i="754" s="1"/>
  <c r="J39" i="754"/>
  <c r="H39" i="754"/>
  <c r="J38" i="754"/>
  <c r="H38" i="754"/>
  <c r="B34" i="754"/>
  <c r="B18" i="754"/>
  <c r="A18" i="754"/>
  <c r="B17" i="754"/>
  <c r="A17" i="754"/>
  <c r="B16" i="754"/>
  <c r="A16" i="754"/>
  <c r="B15" i="754"/>
  <c r="A15" i="754"/>
  <c r="B14" i="754"/>
  <c r="A14" i="754"/>
  <c r="B13" i="754"/>
  <c r="A13" i="754"/>
  <c r="B12" i="754"/>
  <c r="K134" i="753"/>
  <c r="J134" i="753"/>
  <c r="J18" i="753" s="1"/>
  <c r="H134" i="753"/>
  <c r="H18" i="753" s="1"/>
  <c r="B134" i="753"/>
  <c r="B118" i="753"/>
  <c r="I112" i="753"/>
  <c r="J112" i="753" s="1"/>
  <c r="K112" i="753" s="1"/>
  <c r="H112" i="753"/>
  <c r="I111" i="753"/>
  <c r="J111" i="753" s="1"/>
  <c r="H111" i="753"/>
  <c r="B109" i="753"/>
  <c r="J106" i="753"/>
  <c r="H106" i="753"/>
  <c r="K106" i="753" s="1"/>
  <c r="J105" i="753"/>
  <c r="K105" i="753" s="1"/>
  <c r="H105" i="753"/>
  <c r="J104" i="753"/>
  <c r="H104" i="753"/>
  <c r="K104" i="753" s="1"/>
  <c r="K101" i="753"/>
  <c r="H101" i="753"/>
  <c r="H100" i="753"/>
  <c r="K100" i="753" s="1"/>
  <c r="H99" i="753"/>
  <c r="K99" i="753" s="1"/>
  <c r="K98" i="753"/>
  <c r="H98" i="753"/>
  <c r="H97" i="753"/>
  <c r="K97" i="753" s="1"/>
  <c r="H96" i="753"/>
  <c r="K96" i="753" s="1"/>
  <c r="G95" i="753"/>
  <c r="H93" i="753"/>
  <c r="K93" i="753" s="1"/>
  <c r="K92" i="753"/>
  <c r="H92" i="753"/>
  <c r="H91" i="753"/>
  <c r="K91" i="753" s="1"/>
  <c r="H90" i="753"/>
  <c r="K90" i="753" s="1"/>
  <c r="H89" i="753"/>
  <c r="K89" i="753" s="1"/>
  <c r="H88" i="753"/>
  <c r="K88" i="753" s="1"/>
  <c r="I87" i="753"/>
  <c r="J87" i="753" s="1"/>
  <c r="H87" i="753"/>
  <c r="B84" i="753"/>
  <c r="J81" i="753"/>
  <c r="H81" i="753"/>
  <c r="J78" i="753"/>
  <c r="H78" i="753"/>
  <c r="B76" i="753"/>
  <c r="J73" i="753"/>
  <c r="H73" i="753"/>
  <c r="J71" i="753"/>
  <c r="H71" i="753"/>
  <c r="J69" i="753"/>
  <c r="H69" i="753"/>
  <c r="J67" i="753"/>
  <c r="H67" i="753"/>
  <c r="J66" i="753"/>
  <c r="H66" i="753"/>
  <c r="K66" i="753" s="1"/>
  <c r="J64" i="753"/>
  <c r="H64" i="753"/>
  <c r="K64" i="753" s="1"/>
  <c r="J62" i="753"/>
  <c r="H62" i="753"/>
  <c r="J61" i="753"/>
  <c r="H61" i="753"/>
  <c r="B59" i="753"/>
  <c r="O54" i="753"/>
  <c r="J54" i="753"/>
  <c r="H54" i="753"/>
  <c r="O53" i="753"/>
  <c r="J53" i="753"/>
  <c r="K53" i="753" s="1"/>
  <c r="H53" i="753"/>
  <c r="J47" i="753"/>
  <c r="H47" i="753"/>
  <c r="L46" i="753"/>
  <c r="J46" i="753"/>
  <c r="H46" i="753"/>
  <c r="K46" i="753" s="1"/>
  <c r="K45" i="753"/>
  <c r="J45" i="753"/>
  <c r="H45" i="753"/>
  <c r="J44" i="753"/>
  <c r="K44" i="753" s="1"/>
  <c r="H44" i="753"/>
  <c r="J43" i="753"/>
  <c r="H43" i="753"/>
  <c r="K43" i="753" s="1"/>
  <c r="J42" i="753"/>
  <c r="H42" i="753"/>
  <c r="J41" i="753"/>
  <c r="H41" i="753"/>
  <c r="K40" i="753"/>
  <c r="J40" i="753"/>
  <c r="H40" i="753"/>
  <c r="J39" i="753"/>
  <c r="K39" i="753" s="1"/>
  <c r="H39" i="753"/>
  <c r="J38" i="753"/>
  <c r="H38" i="753"/>
  <c r="B34" i="753"/>
  <c r="B18" i="753"/>
  <c r="A18" i="753"/>
  <c r="B17" i="753"/>
  <c r="A17" i="753"/>
  <c r="B16" i="753"/>
  <c r="A16" i="753"/>
  <c r="B15" i="753"/>
  <c r="A15" i="753"/>
  <c r="B14" i="753"/>
  <c r="A14" i="753"/>
  <c r="B13" i="753"/>
  <c r="A13" i="753"/>
  <c r="B12" i="753"/>
  <c r="H134" i="752"/>
  <c r="H18" i="752" s="1"/>
  <c r="B134" i="752"/>
  <c r="J119" i="752"/>
  <c r="J134" i="752" s="1"/>
  <c r="J18" i="752" s="1"/>
  <c r="B118" i="752"/>
  <c r="I112" i="752"/>
  <c r="J112" i="752" s="1"/>
  <c r="H112" i="752"/>
  <c r="I111" i="752"/>
  <c r="J111" i="752" s="1"/>
  <c r="J118" i="752" s="1"/>
  <c r="J17" i="752" s="1"/>
  <c r="H111" i="752"/>
  <c r="B109" i="752"/>
  <c r="J105" i="752"/>
  <c r="H105" i="752"/>
  <c r="J104" i="752"/>
  <c r="H104" i="752"/>
  <c r="H101" i="752"/>
  <c r="K101" i="752" s="1"/>
  <c r="H100" i="752"/>
  <c r="K100" i="752" s="1"/>
  <c r="H99" i="752"/>
  <c r="K99" i="752" s="1"/>
  <c r="H98" i="752"/>
  <c r="K98" i="752" s="1"/>
  <c r="H97" i="752"/>
  <c r="K97" i="752" s="1"/>
  <c r="H96" i="752"/>
  <c r="K96" i="752" s="1"/>
  <c r="J95" i="752"/>
  <c r="H95" i="752"/>
  <c r="K95" i="752" s="1"/>
  <c r="G95" i="752"/>
  <c r="I95" i="752" s="1"/>
  <c r="H93" i="752"/>
  <c r="K93" i="752" s="1"/>
  <c r="K92" i="752"/>
  <c r="H92" i="752"/>
  <c r="H91" i="752"/>
  <c r="K91" i="752" s="1"/>
  <c r="H90" i="752"/>
  <c r="K90" i="752" s="1"/>
  <c r="H89" i="752"/>
  <c r="K89" i="752" s="1"/>
  <c r="H88" i="752"/>
  <c r="K88" i="752" s="1"/>
  <c r="I87" i="752"/>
  <c r="J87" i="752" s="1"/>
  <c r="H87" i="752"/>
  <c r="B84" i="752"/>
  <c r="J78" i="752"/>
  <c r="J84" i="752" s="1"/>
  <c r="J15" i="752" s="1"/>
  <c r="H78" i="752"/>
  <c r="H84" i="752" s="1"/>
  <c r="H15" i="752" s="1"/>
  <c r="B76" i="752"/>
  <c r="J73" i="752"/>
  <c r="H73" i="752"/>
  <c r="J71" i="752"/>
  <c r="H71" i="752"/>
  <c r="J69" i="752"/>
  <c r="H69" i="752"/>
  <c r="J67" i="752"/>
  <c r="H67" i="752"/>
  <c r="J66" i="752"/>
  <c r="K66" i="752" s="1"/>
  <c r="H66" i="752"/>
  <c r="J64" i="752"/>
  <c r="H64" i="752"/>
  <c r="K64" i="752" s="1"/>
  <c r="J62" i="752"/>
  <c r="H62" i="752"/>
  <c r="J61" i="752"/>
  <c r="H61" i="752"/>
  <c r="B59" i="752"/>
  <c r="O54" i="752"/>
  <c r="J54" i="752"/>
  <c r="K54" i="752" s="1"/>
  <c r="H54" i="752"/>
  <c r="O53" i="752"/>
  <c r="J53" i="752"/>
  <c r="H53" i="752"/>
  <c r="J47" i="752"/>
  <c r="H47" i="752"/>
  <c r="J46" i="752"/>
  <c r="H46" i="752"/>
  <c r="J45" i="752"/>
  <c r="K45" i="752" s="1"/>
  <c r="H45" i="752"/>
  <c r="J44" i="752"/>
  <c r="H44" i="752"/>
  <c r="J43" i="752"/>
  <c r="H43" i="752"/>
  <c r="J42" i="752"/>
  <c r="H42" i="752"/>
  <c r="K42" i="752" s="1"/>
  <c r="J41" i="752"/>
  <c r="H41" i="752"/>
  <c r="K41" i="752" s="1"/>
  <c r="J40" i="752"/>
  <c r="H40" i="752"/>
  <c r="J39" i="752"/>
  <c r="H39" i="752"/>
  <c r="J38" i="752"/>
  <c r="H38" i="752"/>
  <c r="B34" i="752"/>
  <c r="B18" i="752"/>
  <c r="A18" i="752"/>
  <c r="B17" i="752"/>
  <c r="A17" i="752"/>
  <c r="B16" i="752"/>
  <c r="A16" i="752"/>
  <c r="B15" i="752"/>
  <c r="A15" i="752"/>
  <c r="B14" i="752"/>
  <c r="A14" i="752"/>
  <c r="B13" i="752"/>
  <c r="A13" i="752"/>
  <c r="B12" i="752"/>
  <c r="H134" i="751"/>
  <c r="H18" i="751" s="1"/>
  <c r="B134" i="751"/>
  <c r="J119" i="751"/>
  <c r="B118" i="751"/>
  <c r="I112" i="751"/>
  <c r="J112" i="751" s="1"/>
  <c r="H112" i="751"/>
  <c r="I111" i="751"/>
  <c r="J111" i="751" s="1"/>
  <c r="H111" i="751"/>
  <c r="B109" i="751"/>
  <c r="J105" i="751"/>
  <c r="H105" i="751"/>
  <c r="J104" i="751"/>
  <c r="H104" i="751"/>
  <c r="H101" i="751"/>
  <c r="K101" i="751" s="1"/>
  <c r="H100" i="751"/>
  <c r="K100" i="751" s="1"/>
  <c r="H99" i="751"/>
  <c r="K99" i="751" s="1"/>
  <c r="M98" i="751"/>
  <c r="H98" i="751"/>
  <c r="K98" i="751" s="1"/>
  <c r="M97" i="751"/>
  <c r="K97" i="751"/>
  <c r="H97" i="751"/>
  <c r="M96" i="751"/>
  <c r="H96" i="751"/>
  <c r="K96" i="751" s="1"/>
  <c r="G95" i="751"/>
  <c r="M94" i="751"/>
  <c r="H93" i="751"/>
  <c r="K93" i="751" s="1"/>
  <c r="H92" i="751"/>
  <c r="K92" i="751" s="1"/>
  <c r="H91" i="751"/>
  <c r="K91" i="751" s="1"/>
  <c r="H90" i="751"/>
  <c r="K90" i="751" s="1"/>
  <c r="H89" i="751"/>
  <c r="K89" i="751" s="1"/>
  <c r="H88" i="751"/>
  <c r="K88" i="751" s="1"/>
  <c r="I87" i="751"/>
  <c r="J87" i="751" s="1"/>
  <c r="H87" i="751"/>
  <c r="B84" i="751"/>
  <c r="K78" i="751"/>
  <c r="K84" i="751" s="1"/>
  <c r="J78" i="751"/>
  <c r="J84" i="751" s="1"/>
  <c r="J15" i="751" s="1"/>
  <c r="H78" i="751"/>
  <c r="H84" i="751" s="1"/>
  <c r="H15" i="751" s="1"/>
  <c r="B76" i="751"/>
  <c r="J73" i="751"/>
  <c r="H73" i="751"/>
  <c r="J71" i="751"/>
  <c r="H71" i="751"/>
  <c r="J69" i="751"/>
  <c r="H69" i="751"/>
  <c r="J67" i="751"/>
  <c r="H67" i="751"/>
  <c r="J66" i="751"/>
  <c r="H66" i="751"/>
  <c r="J64" i="751"/>
  <c r="H64" i="751"/>
  <c r="K64" i="751" s="1"/>
  <c r="J62" i="751"/>
  <c r="H62" i="751"/>
  <c r="K62" i="751" s="1"/>
  <c r="J61" i="751"/>
  <c r="H61" i="751"/>
  <c r="B59" i="751"/>
  <c r="O54" i="751"/>
  <c r="K54" i="751"/>
  <c r="J54" i="751"/>
  <c r="H54" i="751"/>
  <c r="O53" i="751"/>
  <c r="J53" i="751"/>
  <c r="H53" i="751"/>
  <c r="G56" i="751" s="1"/>
  <c r="J47" i="751"/>
  <c r="H47" i="751"/>
  <c r="J46" i="751"/>
  <c r="H46" i="751"/>
  <c r="J45" i="751"/>
  <c r="H45" i="751"/>
  <c r="J44" i="751"/>
  <c r="H44" i="751"/>
  <c r="J43" i="751"/>
  <c r="H43" i="751"/>
  <c r="J42" i="751"/>
  <c r="H42" i="751"/>
  <c r="J41" i="751"/>
  <c r="H41" i="751"/>
  <c r="K41" i="751" s="1"/>
  <c r="K40" i="751"/>
  <c r="J40" i="751"/>
  <c r="H40" i="751"/>
  <c r="J39" i="751"/>
  <c r="H39" i="751"/>
  <c r="J38" i="751"/>
  <c r="H38" i="751"/>
  <c r="B34" i="751"/>
  <c r="B18" i="751"/>
  <c r="A18" i="751"/>
  <c r="B17" i="751"/>
  <c r="A17" i="751"/>
  <c r="B16" i="751"/>
  <c r="A16" i="751"/>
  <c r="B15" i="751"/>
  <c r="A15" i="751"/>
  <c r="B14" i="751"/>
  <c r="A14" i="751"/>
  <c r="B13" i="751"/>
  <c r="A13" i="751"/>
  <c r="B12" i="751"/>
  <c r="K134" i="750"/>
  <c r="J134" i="750"/>
  <c r="J18" i="750" s="1"/>
  <c r="H134" i="750"/>
  <c r="H18" i="750" s="1"/>
  <c r="B134" i="750"/>
  <c r="B130" i="750"/>
  <c r="I126" i="750"/>
  <c r="J126" i="750" s="1"/>
  <c r="H126" i="750"/>
  <c r="I125" i="750"/>
  <c r="J125" i="750" s="1"/>
  <c r="H125" i="750"/>
  <c r="H130" i="750" s="1"/>
  <c r="H17" i="750" s="1"/>
  <c r="B123" i="750"/>
  <c r="J120" i="750"/>
  <c r="H120" i="750"/>
  <c r="K120" i="750" s="1"/>
  <c r="E119" i="750"/>
  <c r="H117" i="750"/>
  <c r="K117" i="750" s="1"/>
  <c r="H116" i="750"/>
  <c r="K116" i="750" s="1"/>
  <c r="H115" i="750"/>
  <c r="K115" i="750" s="1"/>
  <c r="M114" i="750"/>
  <c r="H114" i="750"/>
  <c r="K114" i="750" s="1"/>
  <c r="M113" i="750"/>
  <c r="H113" i="750"/>
  <c r="K113" i="750" s="1"/>
  <c r="M112" i="750"/>
  <c r="H112" i="750"/>
  <c r="K112" i="750" s="1"/>
  <c r="G111" i="750"/>
  <c r="M110" i="750"/>
  <c r="H108" i="750"/>
  <c r="K108" i="750" s="1"/>
  <c r="H107" i="750"/>
  <c r="K107" i="750" s="1"/>
  <c r="H106" i="750"/>
  <c r="K106" i="750" s="1"/>
  <c r="H105" i="750"/>
  <c r="K105" i="750" s="1"/>
  <c r="H104" i="750"/>
  <c r="K104" i="750" s="1"/>
  <c r="H103" i="750"/>
  <c r="K103" i="750" s="1"/>
  <c r="I102" i="750"/>
  <c r="J102" i="750" s="1"/>
  <c r="H102" i="750"/>
  <c r="B99" i="750"/>
  <c r="J89" i="750"/>
  <c r="K89" i="750" s="1"/>
  <c r="H89" i="750"/>
  <c r="J86" i="750"/>
  <c r="H86" i="750"/>
  <c r="H99" i="750" s="1"/>
  <c r="H15" i="750" s="1"/>
  <c r="B84" i="750"/>
  <c r="J73" i="750"/>
  <c r="H73" i="750"/>
  <c r="K73" i="750" s="1"/>
  <c r="J71" i="750"/>
  <c r="H71" i="750"/>
  <c r="J69" i="750"/>
  <c r="H69" i="750"/>
  <c r="J67" i="750"/>
  <c r="H67" i="750"/>
  <c r="J66" i="750"/>
  <c r="K66" i="750" s="1"/>
  <c r="H66" i="750"/>
  <c r="J64" i="750"/>
  <c r="H64" i="750"/>
  <c r="J62" i="750"/>
  <c r="H62" i="750"/>
  <c r="J61" i="750"/>
  <c r="H61" i="750"/>
  <c r="B59" i="750"/>
  <c r="O54" i="750"/>
  <c r="J54" i="750"/>
  <c r="H54" i="750"/>
  <c r="K54" i="750" s="1"/>
  <c r="O53" i="750"/>
  <c r="J53" i="750"/>
  <c r="H53" i="750"/>
  <c r="J47" i="750"/>
  <c r="H47" i="750"/>
  <c r="J46" i="750"/>
  <c r="H46" i="750"/>
  <c r="K46" i="750" s="1"/>
  <c r="J45" i="750"/>
  <c r="H45" i="750"/>
  <c r="J44" i="750"/>
  <c r="H44" i="750"/>
  <c r="J43" i="750"/>
  <c r="H43" i="750"/>
  <c r="K43" i="750" s="1"/>
  <c r="J42" i="750"/>
  <c r="H42" i="750"/>
  <c r="K42" i="750" s="1"/>
  <c r="J41" i="750"/>
  <c r="H41" i="750"/>
  <c r="J40" i="750"/>
  <c r="H40" i="750"/>
  <c r="J39" i="750"/>
  <c r="H39" i="750"/>
  <c r="J38" i="750"/>
  <c r="H38" i="750"/>
  <c r="K38" i="750" s="1"/>
  <c r="B34" i="750"/>
  <c r="B18" i="750"/>
  <c r="A18" i="750"/>
  <c r="B17" i="750"/>
  <c r="A17" i="750"/>
  <c r="B16" i="750"/>
  <c r="A16" i="750"/>
  <c r="B15" i="750"/>
  <c r="A15" i="750"/>
  <c r="B14" i="750"/>
  <c r="A14" i="750"/>
  <c r="B13" i="750"/>
  <c r="A13" i="750"/>
  <c r="B12" i="750"/>
  <c r="K134" i="749"/>
  <c r="J134" i="749"/>
  <c r="J19" i="749" s="1"/>
  <c r="H134" i="749"/>
  <c r="H19" i="749" s="1"/>
  <c r="B134" i="749"/>
  <c r="B130" i="749"/>
  <c r="I127" i="749"/>
  <c r="J127" i="749" s="1"/>
  <c r="H127" i="749"/>
  <c r="I126" i="749"/>
  <c r="J126" i="749" s="1"/>
  <c r="H126" i="749"/>
  <c r="I125" i="749"/>
  <c r="J125" i="749" s="1"/>
  <c r="H125" i="749"/>
  <c r="J123" i="749"/>
  <c r="H123" i="749"/>
  <c r="H17" i="749" s="1"/>
  <c r="B123" i="749"/>
  <c r="H119" i="749"/>
  <c r="K119" i="749" s="1"/>
  <c r="K123" i="749" s="1"/>
  <c r="B116" i="749"/>
  <c r="J112" i="749"/>
  <c r="H112" i="749"/>
  <c r="J111" i="749"/>
  <c r="H111" i="749"/>
  <c r="K109" i="749"/>
  <c r="H109" i="749"/>
  <c r="H108" i="749"/>
  <c r="K108" i="749" s="1"/>
  <c r="H107" i="749"/>
  <c r="K107" i="749" s="1"/>
  <c r="M106" i="749"/>
  <c r="H106" i="749"/>
  <c r="K106" i="749" s="1"/>
  <c r="M105" i="749"/>
  <c r="K105" i="749"/>
  <c r="H105" i="749"/>
  <c r="M104" i="749"/>
  <c r="H104" i="749"/>
  <c r="K104" i="749" s="1"/>
  <c r="G103" i="749"/>
  <c r="M102" i="749"/>
  <c r="H101" i="749"/>
  <c r="K101" i="749" s="1"/>
  <c r="H100" i="749"/>
  <c r="K100" i="749" s="1"/>
  <c r="H99" i="749"/>
  <c r="K99" i="749" s="1"/>
  <c r="H98" i="749"/>
  <c r="K98" i="749" s="1"/>
  <c r="H97" i="749"/>
  <c r="K97" i="749" s="1"/>
  <c r="H96" i="749"/>
  <c r="I95" i="749"/>
  <c r="J95" i="749" s="1"/>
  <c r="H95" i="749"/>
  <c r="K95" i="749" s="1"/>
  <c r="B92" i="749"/>
  <c r="J90" i="749"/>
  <c r="H90" i="749"/>
  <c r="J89" i="749"/>
  <c r="K89" i="749" s="1"/>
  <c r="H89" i="749"/>
  <c r="J88" i="749"/>
  <c r="H88" i="749"/>
  <c r="J86" i="749"/>
  <c r="H86" i="749"/>
  <c r="B84" i="749"/>
  <c r="J76" i="749"/>
  <c r="H76" i="749"/>
  <c r="J74" i="749"/>
  <c r="H74" i="749"/>
  <c r="K74" i="749" s="1"/>
  <c r="J72" i="749"/>
  <c r="H72" i="749"/>
  <c r="J70" i="749"/>
  <c r="H70" i="749"/>
  <c r="K70" i="749" s="1"/>
  <c r="J68" i="749"/>
  <c r="K68" i="749" s="1"/>
  <c r="H68" i="749"/>
  <c r="J67" i="749"/>
  <c r="H67" i="749"/>
  <c r="J65" i="749"/>
  <c r="H65" i="749"/>
  <c r="J64" i="749"/>
  <c r="H64" i="749"/>
  <c r="K64" i="749" s="1"/>
  <c r="J62" i="749"/>
  <c r="H62" i="749"/>
  <c r="B59" i="749"/>
  <c r="O54" i="749"/>
  <c r="J54" i="749"/>
  <c r="H54" i="749"/>
  <c r="K54" i="749" s="1"/>
  <c r="O53" i="749"/>
  <c r="J53" i="749"/>
  <c r="H53" i="749"/>
  <c r="J47" i="749"/>
  <c r="H47" i="749"/>
  <c r="J46" i="749"/>
  <c r="H46" i="749"/>
  <c r="J45" i="749"/>
  <c r="H45" i="749"/>
  <c r="J44" i="749"/>
  <c r="H44" i="749"/>
  <c r="K44" i="749" s="1"/>
  <c r="J43" i="749"/>
  <c r="H43" i="749"/>
  <c r="J42" i="749"/>
  <c r="H42" i="749"/>
  <c r="K41" i="749"/>
  <c r="J41" i="749"/>
  <c r="H41" i="749"/>
  <c r="J40" i="749"/>
  <c r="H40" i="749"/>
  <c r="J39" i="749"/>
  <c r="H39" i="749"/>
  <c r="K39" i="749" s="1"/>
  <c r="J38" i="749"/>
  <c r="H38" i="749"/>
  <c r="B34" i="749"/>
  <c r="B19" i="749"/>
  <c r="A19" i="749"/>
  <c r="B18" i="749"/>
  <c r="A18" i="749"/>
  <c r="J17" i="749"/>
  <c r="B17" i="749"/>
  <c r="A17" i="749"/>
  <c r="B16" i="749"/>
  <c r="A16" i="749"/>
  <c r="B15" i="749"/>
  <c r="A15" i="749"/>
  <c r="B14" i="749"/>
  <c r="A14" i="749"/>
  <c r="B13" i="749"/>
  <c r="A13" i="749"/>
  <c r="B12" i="749"/>
  <c r="K134" i="748"/>
  <c r="J134" i="748"/>
  <c r="J18" i="748" s="1"/>
  <c r="H134" i="748"/>
  <c r="H18" i="748" s="1"/>
  <c r="B134" i="748"/>
  <c r="B126" i="748"/>
  <c r="I112" i="748"/>
  <c r="J112" i="748" s="1"/>
  <c r="H112" i="748"/>
  <c r="I111" i="748"/>
  <c r="J111" i="748" s="1"/>
  <c r="H111" i="748"/>
  <c r="B109" i="748"/>
  <c r="J105" i="748"/>
  <c r="K105" i="748" s="1"/>
  <c r="H105" i="748"/>
  <c r="H101" i="748"/>
  <c r="K101" i="748" s="1"/>
  <c r="H100" i="748"/>
  <c r="K100" i="748" s="1"/>
  <c r="H99" i="748"/>
  <c r="K99" i="748" s="1"/>
  <c r="H98" i="748"/>
  <c r="K98" i="748" s="1"/>
  <c r="H97" i="748"/>
  <c r="H96" i="748"/>
  <c r="K96" i="748" s="1"/>
  <c r="H95" i="748"/>
  <c r="G95" i="748"/>
  <c r="I95" i="748" s="1"/>
  <c r="J95" i="748" s="1"/>
  <c r="H93" i="748"/>
  <c r="K93" i="748" s="1"/>
  <c r="H92" i="748"/>
  <c r="K92" i="748" s="1"/>
  <c r="K91" i="748"/>
  <c r="H91" i="748"/>
  <c r="H90" i="748"/>
  <c r="K90" i="748" s="1"/>
  <c r="K89" i="748"/>
  <c r="H89" i="748"/>
  <c r="H88" i="748"/>
  <c r="K88" i="748" s="1"/>
  <c r="I87" i="748"/>
  <c r="J87" i="748" s="1"/>
  <c r="J109" i="748" s="1"/>
  <c r="J16" i="748" s="1"/>
  <c r="H87" i="748"/>
  <c r="B84" i="748"/>
  <c r="J79" i="748"/>
  <c r="H79" i="748"/>
  <c r="K79" i="748" s="1"/>
  <c r="J78" i="748"/>
  <c r="H78" i="748"/>
  <c r="B75" i="748"/>
  <c r="K73" i="748"/>
  <c r="J73" i="748"/>
  <c r="H73" i="748"/>
  <c r="J71" i="748"/>
  <c r="H71" i="748"/>
  <c r="J69" i="748"/>
  <c r="H69" i="748"/>
  <c r="K69" i="748" s="1"/>
  <c r="K67" i="748"/>
  <c r="J67" i="748"/>
  <c r="H67" i="748"/>
  <c r="J66" i="748"/>
  <c r="H66" i="748"/>
  <c r="K66" i="748" s="1"/>
  <c r="J64" i="748"/>
  <c r="K64" i="748" s="1"/>
  <c r="H64" i="748"/>
  <c r="J62" i="748"/>
  <c r="H62" i="748"/>
  <c r="J61" i="748"/>
  <c r="H61" i="748"/>
  <c r="B59" i="748"/>
  <c r="O54" i="748"/>
  <c r="J54" i="748"/>
  <c r="H54" i="748"/>
  <c r="K54" i="748" s="1"/>
  <c r="O53" i="748"/>
  <c r="J53" i="748"/>
  <c r="H53" i="748"/>
  <c r="J47" i="748"/>
  <c r="H47" i="748"/>
  <c r="K47" i="748" s="1"/>
  <c r="J46" i="748"/>
  <c r="H46" i="748"/>
  <c r="J45" i="748"/>
  <c r="K45" i="748" s="1"/>
  <c r="H45" i="748"/>
  <c r="J44" i="748"/>
  <c r="H44" i="748"/>
  <c r="K44" i="748" s="1"/>
  <c r="J43" i="748"/>
  <c r="H43" i="748"/>
  <c r="J42" i="748"/>
  <c r="H42" i="748"/>
  <c r="J41" i="748"/>
  <c r="H41" i="748"/>
  <c r="K41" i="748" s="1"/>
  <c r="J40" i="748"/>
  <c r="H40" i="748"/>
  <c r="J39" i="748"/>
  <c r="H39" i="748"/>
  <c r="J38" i="748"/>
  <c r="H38" i="748"/>
  <c r="B34" i="748"/>
  <c r="B18" i="748"/>
  <c r="A18" i="748"/>
  <c r="B17" i="748"/>
  <c r="A17" i="748"/>
  <c r="B16" i="748"/>
  <c r="A16" i="748"/>
  <c r="B15" i="748"/>
  <c r="A15" i="748"/>
  <c r="B14" i="748"/>
  <c r="A14" i="748"/>
  <c r="B13" i="748"/>
  <c r="A13" i="748"/>
  <c r="B12" i="748"/>
  <c r="K129" i="747"/>
  <c r="J129" i="747"/>
  <c r="J18" i="747" s="1"/>
  <c r="H129" i="747"/>
  <c r="B129" i="747"/>
  <c r="B127" i="747"/>
  <c r="I113" i="747"/>
  <c r="J113" i="747" s="1"/>
  <c r="H113" i="747"/>
  <c r="I112" i="747"/>
  <c r="J112" i="747" s="1"/>
  <c r="H112" i="747"/>
  <c r="I111" i="747"/>
  <c r="J111" i="747" s="1"/>
  <c r="H111" i="747"/>
  <c r="B109" i="747"/>
  <c r="J106" i="747"/>
  <c r="H106" i="747"/>
  <c r="H101" i="747"/>
  <c r="K101" i="747" s="1"/>
  <c r="H100" i="747"/>
  <c r="K100" i="747" s="1"/>
  <c r="H99" i="747"/>
  <c r="K99" i="747" s="1"/>
  <c r="H98" i="747"/>
  <c r="K98" i="747" s="1"/>
  <c r="H97" i="747"/>
  <c r="K97" i="747" s="1"/>
  <c r="H96" i="747"/>
  <c r="K96" i="747" s="1"/>
  <c r="G95" i="747"/>
  <c r="H93" i="747"/>
  <c r="K93" i="747" s="1"/>
  <c r="H92" i="747"/>
  <c r="K92" i="747" s="1"/>
  <c r="H91" i="747"/>
  <c r="K91" i="747" s="1"/>
  <c r="H90" i="747"/>
  <c r="K90" i="747" s="1"/>
  <c r="H89" i="747"/>
  <c r="K89" i="747" s="1"/>
  <c r="H88" i="747"/>
  <c r="K88" i="747" s="1"/>
  <c r="I87" i="747"/>
  <c r="J87" i="747" s="1"/>
  <c r="H87" i="747"/>
  <c r="B84" i="747"/>
  <c r="J79" i="747"/>
  <c r="H79" i="747"/>
  <c r="J78" i="747"/>
  <c r="H78" i="747"/>
  <c r="J77" i="747"/>
  <c r="K77" i="747" s="1"/>
  <c r="H77" i="747"/>
  <c r="B75" i="747"/>
  <c r="J73" i="747"/>
  <c r="H73" i="747"/>
  <c r="J71" i="747"/>
  <c r="H71" i="747"/>
  <c r="J69" i="747"/>
  <c r="K69" i="747" s="1"/>
  <c r="H69" i="747"/>
  <c r="J67" i="747"/>
  <c r="H67" i="747"/>
  <c r="J66" i="747"/>
  <c r="H66" i="747"/>
  <c r="J64" i="747"/>
  <c r="H64" i="747"/>
  <c r="K64" i="747" s="1"/>
  <c r="J62" i="747"/>
  <c r="H62" i="747"/>
  <c r="J61" i="747"/>
  <c r="H61" i="747"/>
  <c r="B59" i="747"/>
  <c r="O54" i="747"/>
  <c r="J54" i="747"/>
  <c r="H54" i="747"/>
  <c r="O53" i="747"/>
  <c r="J53" i="747"/>
  <c r="H53" i="747"/>
  <c r="J47" i="747"/>
  <c r="H47" i="747"/>
  <c r="J46" i="747"/>
  <c r="H46" i="747"/>
  <c r="K46" i="747" s="1"/>
  <c r="J45" i="747"/>
  <c r="H45" i="747"/>
  <c r="J44" i="747"/>
  <c r="H44" i="747"/>
  <c r="J43" i="747"/>
  <c r="K43" i="747" s="1"/>
  <c r="H43" i="747"/>
  <c r="J42" i="747"/>
  <c r="H42" i="747"/>
  <c r="J41" i="747"/>
  <c r="H41" i="747"/>
  <c r="J40" i="747"/>
  <c r="H40" i="747"/>
  <c r="J39" i="747"/>
  <c r="K39" i="747" s="1"/>
  <c r="H39" i="747"/>
  <c r="J38" i="747"/>
  <c r="H38" i="747"/>
  <c r="B34" i="747"/>
  <c r="H18" i="747"/>
  <c r="K18" i="747" s="1"/>
  <c r="B18" i="747"/>
  <c r="A18" i="747"/>
  <c r="B17" i="747"/>
  <c r="A17" i="747"/>
  <c r="B16" i="747"/>
  <c r="A16" i="747"/>
  <c r="B15" i="747"/>
  <c r="A15" i="747"/>
  <c r="B14" i="747"/>
  <c r="A14" i="747"/>
  <c r="B13" i="747"/>
  <c r="A13" i="747"/>
  <c r="B12" i="747"/>
  <c r="B109" i="746"/>
  <c r="J92" i="746"/>
  <c r="J109" i="746" s="1"/>
  <c r="J14" i="746" s="1"/>
  <c r="G92" i="746"/>
  <c r="I92" i="746" s="1"/>
  <c r="B91" i="746"/>
  <c r="H90" i="746"/>
  <c r="K90" i="746" s="1"/>
  <c r="H89" i="746"/>
  <c r="K89" i="746" s="1"/>
  <c r="I86" i="746"/>
  <c r="J86" i="746" s="1"/>
  <c r="H86" i="746"/>
  <c r="K86" i="746" s="1"/>
  <c r="G84" i="746"/>
  <c r="J82" i="746"/>
  <c r="H82" i="746"/>
  <c r="K82" i="746" s="1"/>
  <c r="J80" i="746"/>
  <c r="H80" i="746"/>
  <c r="K80" i="746" s="1"/>
  <c r="J78" i="746"/>
  <c r="H78" i="746"/>
  <c r="K78" i="746" s="1"/>
  <c r="J77" i="746"/>
  <c r="H77" i="746"/>
  <c r="K77" i="746" s="1"/>
  <c r="K75" i="746"/>
  <c r="J75" i="746"/>
  <c r="H75" i="746"/>
  <c r="J73" i="746"/>
  <c r="H73" i="746"/>
  <c r="K73" i="746" s="1"/>
  <c r="I71" i="746"/>
  <c r="J71" i="746" s="1"/>
  <c r="H71" i="746"/>
  <c r="J69" i="746"/>
  <c r="H69" i="746"/>
  <c r="I63" i="746"/>
  <c r="J63" i="746" s="1"/>
  <c r="H63" i="746"/>
  <c r="K62" i="746"/>
  <c r="B59" i="746"/>
  <c r="O54" i="746"/>
  <c r="J54" i="746"/>
  <c r="H54" i="746"/>
  <c r="O53" i="746"/>
  <c r="J53" i="746"/>
  <c r="H53" i="746"/>
  <c r="J47" i="746"/>
  <c r="H47" i="746"/>
  <c r="J46" i="746"/>
  <c r="H46" i="746"/>
  <c r="J45" i="746"/>
  <c r="H45" i="746"/>
  <c r="J44" i="746"/>
  <c r="H44" i="746"/>
  <c r="G50" i="746" s="1"/>
  <c r="B34" i="746"/>
  <c r="B14" i="746"/>
  <c r="A14" i="746"/>
  <c r="B13" i="746"/>
  <c r="A13" i="746"/>
  <c r="B12" i="746"/>
  <c r="A12" i="746"/>
  <c r="B34" i="745"/>
  <c r="B25" i="745"/>
  <c r="B24" i="745"/>
  <c r="B23" i="745"/>
  <c r="B22" i="745"/>
  <c r="B21" i="745"/>
  <c r="B20" i="745"/>
  <c r="B19" i="745"/>
  <c r="B18" i="745"/>
  <c r="B17" i="745"/>
  <c r="B16" i="745"/>
  <c r="B15" i="745"/>
  <c r="B14" i="745"/>
  <c r="B60" i="744"/>
  <c r="J42" i="744"/>
  <c r="G42" i="744"/>
  <c r="H42" i="744" s="1"/>
  <c r="K42" i="744" s="1"/>
  <c r="G39" i="744"/>
  <c r="J37" i="744"/>
  <c r="H37" i="744"/>
  <c r="B34" i="744"/>
  <c r="B12" i="744"/>
  <c r="A12" i="744"/>
  <c r="B84" i="743"/>
  <c r="J77" i="743"/>
  <c r="G77" i="743"/>
  <c r="H77" i="743" s="1"/>
  <c r="G75" i="743"/>
  <c r="H75" i="743" s="1"/>
  <c r="J72" i="743"/>
  <c r="K72" i="743" s="1"/>
  <c r="H72" i="743"/>
  <c r="G73" i="743" s="1"/>
  <c r="I73" i="743" s="1"/>
  <c r="J73" i="743" s="1"/>
  <c r="B69" i="743"/>
  <c r="J64" i="743"/>
  <c r="G64" i="743"/>
  <c r="H64" i="743" s="1"/>
  <c r="O59" i="743"/>
  <c r="J59" i="743"/>
  <c r="H59" i="743"/>
  <c r="O58" i="743"/>
  <c r="J58" i="743"/>
  <c r="H58" i="743"/>
  <c r="K58" i="743" s="1"/>
  <c r="J53" i="743"/>
  <c r="H53" i="743"/>
  <c r="G54" i="743" s="1"/>
  <c r="I54" i="743" s="1"/>
  <c r="J54" i="743" s="1"/>
  <c r="B50" i="743"/>
  <c r="J47" i="743"/>
  <c r="H47" i="743"/>
  <c r="J45" i="743"/>
  <c r="H45" i="743"/>
  <c r="K45" i="743" s="1"/>
  <c r="J43" i="743"/>
  <c r="H43" i="743"/>
  <c r="J38" i="743"/>
  <c r="H38" i="743"/>
  <c r="G41" i="743" s="1"/>
  <c r="B34" i="743"/>
  <c r="B14" i="743"/>
  <c r="A14" i="743"/>
  <c r="B13" i="743"/>
  <c r="A13" i="743"/>
  <c r="B12" i="743"/>
  <c r="A12" i="743"/>
  <c r="B136" i="742"/>
  <c r="J126" i="742"/>
  <c r="H126" i="742"/>
  <c r="J124" i="742"/>
  <c r="H124" i="742"/>
  <c r="J123" i="742"/>
  <c r="K123" i="742" s="1"/>
  <c r="H123" i="742"/>
  <c r="J121" i="742"/>
  <c r="H121" i="742"/>
  <c r="J116" i="742"/>
  <c r="H116" i="742"/>
  <c r="J115" i="742"/>
  <c r="H115" i="742"/>
  <c r="J114" i="742"/>
  <c r="H114" i="742"/>
  <c r="J113" i="742"/>
  <c r="H113" i="742"/>
  <c r="J112" i="742"/>
  <c r="H112" i="742"/>
  <c r="B109" i="742"/>
  <c r="J105" i="742"/>
  <c r="G105" i="742"/>
  <c r="H105" i="742" s="1"/>
  <c r="G102" i="742"/>
  <c r="I102" i="742" s="1"/>
  <c r="J102" i="742" s="1"/>
  <c r="G101" i="742"/>
  <c r="I101" i="742" s="1"/>
  <c r="J101" i="742" s="1"/>
  <c r="J100" i="742"/>
  <c r="H100" i="742"/>
  <c r="B97" i="742"/>
  <c r="J91" i="742"/>
  <c r="G91" i="742"/>
  <c r="H91" i="742" s="1"/>
  <c r="J90" i="742"/>
  <c r="H90" i="742"/>
  <c r="G90" i="742"/>
  <c r="J89" i="742"/>
  <c r="G89" i="742"/>
  <c r="H89" i="742" s="1"/>
  <c r="K89" i="742" s="1"/>
  <c r="J88" i="742"/>
  <c r="K88" i="742" s="1"/>
  <c r="G88" i="742"/>
  <c r="H88" i="742" s="1"/>
  <c r="J86" i="742"/>
  <c r="G86" i="742"/>
  <c r="H86" i="742" s="1"/>
  <c r="K86" i="742" s="1"/>
  <c r="O81" i="742"/>
  <c r="J81" i="742"/>
  <c r="K81" i="742" s="1"/>
  <c r="H81" i="742"/>
  <c r="O80" i="742"/>
  <c r="J80" i="742"/>
  <c r="H80" i="742"/>
  <c r="O79" i="742"/>
  <c r="J79" i="742"/>
  <c r="H79" i="742"/>
  <c r="O78" i="742"/>
  <c r="J78" i="742"/>
  <c r="H78" i="742"/>
  <c r="O77" i="742"/>
  <c r="J77" i="742"/>
  <c r="H77" i="742"/>
  <c r="O76" i="742"/>
  <c r="J76" i="742"/>
  <c r="H76" i="742"/>
  <c r="O75" i="742"/>
  <c r="J75" i="742"/>
  <c r="H75" i="742"/>
  <c r="J70" i="742"/>
  <c r="H70" i="742"/>
  <c r="J69" i="742"/>
  <c r="H69" i="742"/>
  <c r="J68" i="742"/>
  <c r="H68" i="742"/>
  <c r="J67" i="742"/>
  <c r="H67" i="742"/>
  <c r="G73" i="742" s="1"/>
  <c r="I73" i="742" s="1"/>
  <c r="J73" i="742" s="1"/>
  <c r="B64" i="742"/>
  <c r="J61" i="742"/>
  <c r="H61" i="742"/>
  <c r="K61" i="742" s="1"/>
  <c r="J57" i="742"/>
  <c r="H57" i="742"/>
  <c r="J56" i="742"/>
  <c r="H56" i="742"/>
  <c r="J54" i="742"/>
  <c r="H54" i="742"/>
  <c r="J52" i="742"/>
  <c r="H52" i="742"/>
  <c r="J50" i="742"/>
  <c r="H50" i="742"/>
  <c r="J49" i="742"/>
  <c r="H49" i="742"/>
  <c r="J48" i="742"/>
  <c r="H48" i="742"/>
  <c r="J43" i="742"/>
  <c r="H43" i="742"/>
  <c r="K43" i="742" s="1"/>
  <c r="J42" i="742"/>
  <c r="H42" i="742"/>
  <c r="J41" i="742"/>
  <c r="H41" i="742"/>
  <c r="J40" i="742"/>
  <c r="H40" i="742"/>
  <c r="J39" i="742"/>
  <c r="H39" i="742"/>
  <c r="J38" i="742"/>
  <c r="H38" i="742"/>
  <c r="B34" i="742"/>
  <c r="B15" i="742"/>
  <c r="A15" i="742"/>
  <c r="B14" i="742"/>
  <c r="A14" i="742"/>
  <c r="B13" i="742"/>
  <c r="A13" i="742"/>
  <c r="B12" i="742"/>
  <c r="A12" i="742"/>
  <c r="B136" i="741"/>
  <c r="J126" i="741"/>
  <c r="H126" i="741"/>
  <c r="J124" i="741"/>
  <c r="H124" i="741"/>
  <c r="J123" i="741"/>
  <c r="H123" i="741"/>
  <c r="K123" i="741" s="1"/>
  <c r="J121" i="741"/>
  <c r="H121" i="741"/>
  <c r="J116" i="741"/>
  <c r="H116" i="741"/>
  <c r="K116" i="741" s="1"/>
  <c r="J115" i="741"/>
  <c r="H115" i="741"/>
  <c r="J114" i="741"/>
  <c r="H114" i="741"/>
  <c r="K114" i="741" s="1"/>
  <c r="J113" i="741"/>
  <c r="H113" i="741"/>
  <c r="J112" i="741"/>
  <c r="H112" i="741"/>
  <c r="G117" i="741" s="1"/>
  <c r="B109" i="741"/>
  <c r="J104" i="741"/>
  <c r="G104" i="741"/>
  <c r="H104" i="741" s="1"/>
  <c r="J99" i="741"/>
  <c r="H99" i="741"/>
  <c r="B96" i="741"/>
  <c r="J91" i="741"/>
  <c r="G91" i="741"/>
  <c r="H91" i="741" s="1"/>
  <c r="K91" i="741" s="1"/>
  <c r="J90" i="741"/>
  <c r="G90" i="741"/>
  <c r="H90" i="741" s="1"/>
  <c r="J89" i="741"/>
  <c r="G89" i="741"/>
  <c r="H89" i="741" s="1"/>
  <c r="K89" i="741" s="1"/>
  <c r="J88" i="741"/>
  <c r="G88" i="741"/>
  <c r="H88" i="741" s="1"/>
  <c r="J86" i="741"/>
  <c r="G86" i="741"/>
  <c r="H86" i="741" s="1"/>
  <c r="K86" i="741" s="1"/>
  <c r="O81" i="741"/>
  <c r="J81" i="741"/>
  <c r="H81" i="741"/>
  <c r="O80" i="741"/>
  <c r="J80" i="741"/>
  <c r="H80" i="741"/>
  <c r="O79" i="741"/>
  <c r="J79" i="741"/>
  <c r="H79" i="741"/>
  <c r="K79" i="741" s="1"/>
  <c r="O78" i="741"/>
  <c r="J78" i="741"/>
  <c r="H78" i="741"/>
  <c r="O77" i="741"/>
  <c r="J77" i="741"/>
  <c r="H77" i="741"/>
  <c r="K77" i="741" s="1"/>
  <c r="O76" i="741"/>
  <c r="J76" i="741"/>
  <c r="H76" i="741"/>
  <c r="K76" i="741" s="1"/>
  <c r="J71" i="741"/>
  <c r="H71" i="741"/>
  <c r="J70" i="741"/>
  <c r="H70" i="741"/>
  <c r="K69" i="741"/>
  <c r="J69" i="741"/>
  <c r="H69" i="741"/>
  <c r="J68" i="741"/>
  <c r="H68" i="741"/>
  <c r="B65" i="741"/>
  <c r="J61" i="741"/>
  <c r="H61" i="741"/>
  <c r="K61" i="741" s="1"/>
  <c r="J57" i="741"/>
  <c r="H57" i="741"/>
  <c r="J56" i="741"/>
  <c r="H56" i="741"/>
  <c r="J54" i="741"/>
  <c r="H54" i="741"/>
  <c r="J52" i="741"/>
  <c r="H52" i="741"/>
  <c r="K52" i="741" s="1"/>
  <c r="J50" i="741"/>
  <c r="H50" i="741"/>
  <c r="K50" i="741" s="1"/>
  <c r="J49" i="741"/>
  <c r="H49" i="741"/>
  <c r="J48" i="741"/>
  <c r="H48" i="741"/>
  <c r="K48" i="741" s="1"/>
  <c r="J43" i="741"/>
  <c r="H43" i="741"/>
  <c r="K43" i="741" s="1"/>
  <c r="J42" i="741"/>
  <c r="H42" i="741"/>
  <c r="K42" i="741" s="1"/>
  <c r="J41" i="741"/>
  <c r="H41" i="741"/>
  <c r="K41" i="741" s="1"/>
  <c r="J40" i="741"/>
  <c r="H40" i="741"/>
  <c r="J39" i="741"/>
  <c r="H39" i="741"/>
  <c r="J38" i="741"/>
  <c r="H38" i="741"/>
  <c r="K38" i="741" s="1"/>
  <c r="B34" i="741"/>
  <c r="B15" i="741"/>
  <c r="A15" i="741"/>
  <c r="B14" i="741"/>
  <c r="A14" i="741"/>
  <c r="B13" i="741"/>
  <c r="A13" i="741"/>
  <c r="B12" i="741"/>
  <c r="A12" i="741"/>
  <c r="B136" i="740"/>
  <c r="J127" i="740"/>
  <c r="H127" i="740"/>
  <c r="J125" i="740"/>
  <c r="H125" i="740"/>
  <c r="J124" i="740"/>
  <c r="H124" i="740"/>
  <c r="J122" i="740"/>
  <c r="H122" i="740"/>
  <c r="J121" i="740"/>
  <c r="H121" i="740"/>
  <c r="J116" i="740"/>
  <c r="H116" i="740"/>
  <c r="J115" i="740"/>
  <c r="H115" i="740"/>
  <c r="J114" i="740"/>
  <c r="H114" i="740"/>
  <c r="J113" i="740"/>
  <c r="H113" i="740"/>
  <c r="J112" i="740"/>
  <c r="H112" i="740"/>
  <c r="B109" i="740"/>
  <c r="J104" i="740"/>
  <c r="G104" i="740"/>
  <c r="H104" i="740" s="1"/>
  <c r="K104" i="740" s="1"/>
  <c r="J99" i="740"/>
  <c r="H99" i="740"/>
  <c r="G102" i="740" s="1"/>
  <c r="B96" i="740"/>
  <c r="J91" i="740"/>
  <c r="G91" i="740"/>
  <c r="H91" i="740" s="1"/>
  <c r="J90" i="740"/>
  <c r="G90" i="740"/>
  <c r="H90" i="740" s="1"/>
  <c r="K90" i="740" s="1"/>
  <c r="J89" i="740"/>
  <c r="H89" i="740"/>
  <c r="G89" i="740"/>
  <c r="J88" i="740"/>
  <c r="G88" i="740"/>
  <c r="H88" i="740" s="1"/>
  <c r="K88" i="740" s="1"/>
  <c r="J86" i="740"/>
  <c r="G86" i="740"/>
  <c r="H86" i="740" s="1"/>
  <c r="O80" i="740"/>
  <c r="J80" i="740"/>
  <c r="H80" i="740"/>
  <c r="O79" i="740"/>
  <c r="J79" i="740"/>
  <c r="H79" i="740"/>
  <c r="O78" i="740"/>
  <c r="J78" i="740"/>
  <c r="H78" i="740"/>
  <c r="K78" i="740" s="1"/>
  <c r="O77" i="740"/>
  <c r="J77" i="740"/>
  <c r="H77" i="740"/>
  <c r="O76" i="740"/>
  <c r="J76" i="740"/>
  <c r="H76" i="740"/>
  <c r="O75" i="740"/>
  <c r="J75" i="740"/>
  <c r="H75" i="740"/>
  <c r="J70" i="740"/>
  <c r="H70" i="740"/>
  <c r="J69" i="740"/>
  <c r="H69" i="740"/>
  <c r="J68" i="740"/>
  <c r="H68" i="740"/>
  <c r="K68" i="740" s="1"/>
  <c r="J67" i="740"/>
  <c r="H67" i="740"/>
  <c r="B64" i="740"/>
  <c r="J61" i="740"/>
  <c r="H61" i="740"/>
  <c r="J58" i="740"/>
  <c r="H58" i="740"/>
  <c r="J57" i="740"/>
  <c r="H57" i="740"/>
  <c r="K57" i="740" s="1"/>
  <c r="J55" i="740"/>
  <c r="H55" i="740"/>
  <c r="K55" i="740" s="1"/>
  <c r="J54" i="740"/>
  <c r="H54" i="740"/>
  <c r="J52" i="740"/>
  <c r="H52" i="740"/>
  <c r="K52" i="740" s="1"/>
  <c r="J50" i="740"/>
  <c r="H50" i="740"/>
  <c r="K50" i="740" s="1"/>
  <c r="J49" i="740"/>
  <c r="H49" i="740"/>
  <c r="J48" i="740"/>
  <c r="H48" i="740"/>
  <c r="K48" i="740" s="1"/>
  <c r="J43" i="740"/>
  <c r="H43" i="740"/>
  <c r="K43" i="740" s="1"/>
  <c r="J42" i="740"/>
  <c r="H42" i="740"/>
  <c r="J41" i="740"/>
  <c r="H41" i="740"/>
  <c r="K41" i="740" s="1"/>
  <c r="J40" i="740"/>
  <c r="H40" i="740"/>
  <c r="K40" i="740" s="1"/>
  <c r="J39" i="740"/>
  <c r="H39" i="740"/>
  <c r="J38" i="740"/>
  <c r="H38" i="740"/>
  <c r="K38" i="740" s="1"/>
  <c r="B34" i="740"/>
  <c r="B15" i="740"/>
  <c r="A15" i="740"/>
  <c r="B14" i="740"/>
  <c r="A14" i="740"/>
  <c r="B13" i="740"/>
  <c r="A13" i="740"/>
  <c r="B12" i="740"/>
  <c r="A12" i="740"/>
  <c r="B136" i="739"/>
  <c r="J126" i="739"/>
  <c r="H126" i="739"/>
  <c r="J124" i="739"/>
  <c r="H124" i="739"/>
  <c r="K124" i="739" s="1"/>
  <c r="J123" i="739"/>
  <c r="K123" i="739" s="1"/>
  <c r="H123" i="739"/>
  <c r="J121" i="739"/>
  <c r="K121" i="739" s="1"/>
  <c r="H121" i="739"/>
  <c r="J116" i="739"/>
  <c r="K116" i="739" s="1"/>
  <c r="H116" i="739"/>
  <c r="J115" i="739"/>
  <c r="H115" i="739"/>
  <c r="K114" i="739"/>
  <c r="J114" i="739"/>
  <c r="H114" i="739"/>
  <c r="J113" i="739"/>
  <c r="H113" i="739"/>
  <c r="K113" i="739" s="1"/>
  <c r="J112" i="739"/>
  <c r="H112" i="739"/>
  <c r="B109" i="739"/>
  <c r="J105" i="739"/>
  <c r="G105" i="739"/>
  <c r="H105" i="739" s="1"/>
  <c r="H102" i="739"/>
  <c r="J100" i="739"/>
  <c r="H100" i="739"/>
  <c r="G102" i="739" s="1"/>
  <c r="I102" i="739" s="1"/>
  <c r="J102" i="739" s="1"/>
  <c r="B97" i="739"/>
  <c r="J91" i="739"/>
  <c r="G91" i="739"/>
  <c r="H91" i="739" s="1"/>
  <c r="K91" i="739" s="1"/>
  <c r="J90" i="739"/>
  <c r="G90" i="739"/>
  <c r="H90" i="739" s="1"/>
  <c r="J89" i="739"/>
  <c r="G89" i="739"/>
  <c r="H89" i="739" s="1"/>
  <c r="K89" i="739" s="1"/>
  <c r="J88" i="739"/>
  <c r="G88" i="739"/>
  <c r="H88" i="739" s="1"/>
  <c r="K88" i="739" s="1"/>
  <c r="J86" i="739"/>
  <c r="G86" i="739"/>
  <c r="H86" i="739" s="1"/>
  <c r="K86" i="739" s="1"/>
  <c r="O80" i="739"/>
  <c r="J80" i="739"/>
  <c r="H80" i="739"/>
  <c r="O79" i="739"/>
  <c r="J79" i="739"/>
  <c r="H79" i="739"/>
  <c r="K79" i="739" s="1"/>
  <c r="O78" i="739"/>
  <c r="K78" i="739"/>
  <c r="J78" i="739"/>
  <c r="H78" i="739"/>
  <c r="O77" i="739"/>
  <c r="J77" i="739"/>
  <c r="H77" i="739"/>
  <c r="O76" i="739"/>
  <c r="J76" i="739"/>
  <c r="H76" i="739"/>
  <c r="O75" i="739"/>
  <c r="J75" i="739"/>
  <c r="H75" i="739"/>
  <c r="J70" i="739"/>
  <c r="H70" i="739"/>
  <c r="J69" i="739"/>
  <c r="H69" i="739"/>
  <c r="K69" i="739" s="1"/>
  <c r="J68" i="739"/>
  <c r="H68" i="739"/>
  <c r="J67" i="739"/>
  <c r="H67" i="739"/>
  <c r="K67" i="739" s="1"/>
  <c r="B64" i="739"/>
  <c r="J61" i="739"/>
  <c r="H61" i="739"/>
  <c r="J57" i="739"/>
  <c r="K57" i="739" s="1"/>
  <c r="H57" i="739"/>
  <c r="J56" i="739"/>
  <c r="H56" i="739"/>
  <c r="J54" i="739"/>
  <c r="H54" i="739"/>
  <c r="J52" i="739"/>
  <c r="H52" i="739"/>
  <c r="J50" i="739"/>
  <c r="H50" i="739"/>
  <c r="J49" i="739"/>
  <c r="H49" i="739"/>
  <c r="K49" i="739" s="1"/>
  <c r="J48" i="739"/>
  <c r="K48" i="739" s="1"/>
  <c r="H48" i="739"/>
  <c r="J43" i="739"/>
  <c r="H43" i="739"/>
  <c r="K43" i="739" s="1"/>
  <c r="J42" i="739"/>
  <c r="H42" i="739"/>
  <c r="J41" i="739"/>
  <c r="H41" i="739"/>
  <c r="J40" i="739"/>
  <c r="H40" i="739"/>
  <c r="J39" i="739"/>
  <c r="H39" i="739"/>
  <c r="J38" i="739"/>
  <c r="H38" i="739"/>
  <c r="B34" i="739"/>
  <c r="B15" i="739"/>
  <c r="A15" i="739"/>
  <c r="B14" i="739"/>
  <c r="A14" i="739"/>
  <c r="B13" i="739"/>
  <c r="A13" i="739"/>
  <c r="B12" i="739"/>
  <c r="A12" i="739"/>
  <c r="B136" i="738"/>
  <c r="J125" i="738"/>
  <c r="H125" i="738"/>
  <c r="J123" i="738"/>
  <c r="H123" i="738"/>
  <c r="K123" i="738" s="1"/>
  <c r="J121" i="738"/>
  <c r="H121" i="738"/>
  <c r="J116" i="738"/>
  <c r="H116" i="738"/>
  <c r="K116" i="738" s="1"/>
  <c r="J115" i="738"/>
  <c r="H115" i="738"/>
  <c r="K115" i="738" s="1"/>
  <c r="J114" i="738"/>
  <c r="H114" i="738"/>
  <c r="J113" i="738"/>
  <c r="H113" i="738"/>
  <c r="K113" i="738" s="1"/>
  <c r="J112" i="738"/>
  <c r="H112" i="738"/>
  <c r="B109" i="738"/>
  <c r="J105" i="738"/>
  <c r="G105" i="738"/>
  <c r="H105" i="738" s="1"/>
  <c r="K105" i="738" s="1"/>
  <c r="J100" i="738"/>
  <c r="H100" i="738"/>
  <c r="G103" i="738" s="1"/>
  <c r="B97" i="738"/>
  <c r="J91" i="738"/>
  <c r="G91" i="738"/>
  <c r="H91" i="738" s="1"/>
  <c r="K91" i="738" s="1"/>
  <c r="J90" i="738"/>
  <c r="H90" i="738"/>
  <c r="G90" i="738"/>
  <c r="J89" i="738"/>
  <c r="G89" i="738"/>
  <c r="H89" i="738" s="1"/>
  <c r="K89" i="738" s="1"/>
  <c r="J88" i="738"/>
  <c r="G88" i="738"/>
  <c r="H88" i="738" s="1"/>
  <c r="J86" i="738"/>
  <c r="G86" i="738"/>
  <c r="H86" i="738" s="1"/>
  <c r="K86" i="738" s="1"/>
  <c r="O81" i="738"/>
  <c r="J81" i="738"/>
  <c r="H81" i="738"/>
  <c r="O80" i="738"/>
  <c r="J80" i="738"/>
  <c r="H80" i="738"/>
  <c r="K80" i="738" s="1"/>
  <c r="O79" i="738"/>
  <c r="J79" i="738"/>
  <c r="H79" i="738"/>
  <c r="O78" i="738"/>
  <c r="J78" i="738"/>
  <c r="H78" i="738"/>
  <c r="G83" i="738" s="1"/>
  <c r="O77" i="738"/>
  <c r="J77" i="738"/>
  <c r="H77" i="738"/>
  <c r="O76" i="738"/>
  <c r="J76" i="738"/>
  <c r="H76" i="738"/>
  <c r="J71" i="738"/>
  <c r="H71" i="738"/>
  <c r="K71" i="738" s="1"/>
  <c r="J70" i="738"/>
  <c r="H70" i="738"/>
  <c r="K70" i="738" s="1"/>
  <c r="J69" i="738"/>
  <c r="H69" i="738"/>
  <c r="J68" i="738"/>
  <c r="H68" i="738"/>
  <c r="B65" i="738"/>
  <c r="J61" i="738"/>
  <c r="H61" i="738"/>
  <c r="J57" i="738"/>
  <c r="H57" i="738"/>
  <c r="J56" i="738"/>
  <c r="H56" i="738"/>
  <c r="J54" i="738"/>
  <c r="H54" i="738"/>
  <c r="J52" i="738"/>
  <c r="K52" i="738" s="1"/>
  <c r="H52" i="738"/>
  <c r="J50" i="738"/>
  <c r="H50" i="738"/>
  <c r="K49" i="738"/>
  <c r="J49" i="738"/>
  <c r="H49" i="738"/>
  <c r="J48" i="738"/>
  <c r="H48" i="738"/>
  <c r="K48" i="738" s="1"/>
  <c r="J43" i="738"/>
  <c r="H43" i="738"/>
  <c r="K43" i="738" s="1"/>
  <c r="J42" i="738"/>
  <c r="H42" i="738"/>
  <c r="K42" i="738" s="1"/>
  <c r="J41" i="738"/>
  <c r="H41" i="738"/>
  <c r="K41" i="738" s="1"/>
  <c r="J40" i="738"/>
  <c r="H40" i="738"/>
  <c r="J39" i="738"/>
  <c r="H39" i="738"/>
  <c r="J38" i="738"/>
  <c r="H38" i="738"/>
  <c r="B34" i="738"/>
  <c r="B15" i="738"/>
  <c r="A15" i="738"/>
  <c r="B14" i="738"/>
  <c r="A14" i="738"/>
  <c r="B13" i="738"/>
  <c r="A13" i="738"/>
  <c r="B12" i="738"/>
  <c r="A12" i="738"/>
  <c r="B135" i="737"/>
  <c r="J125" i="737"/>
  <c r="H125" i="737"/>
  <c r="J123" i="737"/>
  <c r="H123" i="737"/>
  <c r="K123" i="737" s="1"/>
  <c r="J121" i="737"/>
  <c r="H121" i="737"/>
  <c r="J116" i="737"/>
  <c r="H116" i="737"/>
  <c r="K116" i="737" s="1"/>
  <c r="J115" i="737"/>
  <c r="H115" i="737"/>
  <c r="K115" i="737" s="1"/>
  <c r="J114" i="737"/>
  <c r="H114" i="737"/>
  <c r="J113" i="737"/>
  <c r="H113" i="737"/>
  <c r="J112" i="737"/>
  <c r="H112" i="737"/>
  <c r="K112" i="737" s="1"/>
  <c r="B109" i="737"/>
  <c r="J104" i="737"/>
  <c r="G104" i="737"/>
  <c r="H104" i="737" s="1"/>
  <c r="J99" i="737"/>
  <c r="H99" i="737"/>
  <c r="G102" i="737" s="1"/>
  <c r="B96" i="737"/>
  <c r="J91" i="737"/>
  <c r="G91" i="737"/>
  <c r="H91" i="737" s="1"/>
  <c r="K91" i="737" s="1"/>
  <c r="J90" i="737"/>
  <c r="G90" i="737"/>
  <c r="H90" i="737" s="1"/>
  <c r="K90" i="737" s="1"/>
  <c r="J89" i="737"/>
  <c r="G89" i="737"/>
  <c r="H89" i="737" s="1"/>
  <c r="J88" i="737"/>
  <c r="G88" i="737"/>
  <c r="H88" i="737" s="1"/>
  <c r="J86" i="737"/>
  <c r="G86" i="737"/>
  <c r="H86" i="737" s="1"/>
  <c r="K86" i="737" s="1"/>
  <c r="O81" i="737"/>
  <c r="J81" i="737"/>
  <c r="H81" i="737"/>
  <c r="K81" i="737" s="1"/>
  <c r="O80" i="737"/>
  <c r="J80" i="737"/>
  <c r="H80" i="737"/>
  <c r="O79" i="737"/>
  <c r="J79" i="737"/>
  <c r="K79" i="737" s="1"/>
  <c r="H79" i="737"/>
  <c r="O78" i="737"/>
  <c r="J78" i="737"/>
  <c r="H78" i="737"/>
  <c r="O77" i="737"/>
  <c r="J77" i="737"/>
  <c r="H77" i="737"/>
  <c r="O76" i="737"/>
  <c r="J76" i="737"/>
  <c r="H76" i="737"/>
  <c r="J71" i="737"/>
  <c r="H71" i="737"/>
  <c r="J70" i="737"/>
  <c r="H70" i="737"/>
  <c r="J69" i="737"/>
  <c r="H69" i="737"/>
  <c r="J68" i="737"/>
  <c r="H68" i="737"/>
  <c r="B65" i="737"/>
  <c r="J63" i="737"/>
  <c r="H63" i="737"/>
  <c r="J61" i="737"/>
  <c r="H61" i="737"/>
  <c r="J59" i="737"/>
  <c r="H59" i="737"/>
  <c r="J58" i="737"/>
  <c r="H58" i="737"/>
  <c r="K58" i="737" s="1"/>
  <c r="J56" i="737"/>
  <c r="K56" i="737" s="1"/>
  <c r="H56" i="737"/>
  <c r="J55" i="737"/>
  <c r="H55" i="737"/>
  <c r="J53" i="737"/>
  <c r="H53" i="737"/>
  <c r="J51" i="737"/>
  <c r="H51" i="737"/>
  <c r="J50" i="737"/>
  <c r="K50" i="737" s="1"/>
  <c r="H50" i="737"/>
  <c r="J49" i="737"/>
  <c r="H49" i="737"/>
  <c r="K48" i="737"/>
  <c r="J48" i="737"/>
  <c r="H48" i="737"/>
  <c r="J43" i="737"/>
  <c r="H43" i="737"/>
  <c r="J42" i="737"/>
  <c r="K42" i="737" s="1"/>
  <c r="H42" i="737"/>
  <c r="J41" i="737"/>
  <c r="H41" i="737"/>
  <c r="J40" i="737"/>
  <c r="H40" i="737"/>
  <c r="K40" i="737" s="1"/>
  <c r="J39" i="737"/>
  <c r="H39" i="737"/>
  <c r="J38" i="737"/>
  <c r="H38" i="737"/>
  <c r="B34" i="737"/>
  <c r="B15" i="737"/>
  <c r="A15" i="737"/>
  <c r="B14" i="737"/>
  <c r="A14" i="737"/>
  <c r="B13" i="737"/>
  <c r="A13" i="737"/>
  <c r="B12" i="737"/>
  <c r="A12" i="737"/>
  <c r="B135" i="736"/>
  <c r="J133" i="736"/>
  <c r="H133" i="736"/>
  <c r="K133" i="736" s="1"/>
  <c r="J131" i="736"/>
  <c r="H131" i="736"/>
  <c r="J129" i="736"/>
  <c r="H129" i="736"/>
  <c r="J128" i="736"/>
  <c r="H128" i="736"/>
  <c r="J123" i="736"/>
  <c r="H123" i="736"/>
  <c r="K123" i="736" s="1"/>
  <c r="J122" i="736"/>
  <c r="H122" i="736"/>
  <c r="J121" i="736"/>
  <c r="H121" i="736"/>
  <c r="J120" i="736"/>
  <c r="H120" i="736"/>
  <c r="J119" i="736"/>
  <c r="H119" i="736"/>
  <c r="G124" i="736" s="1"/>
  <c r="B116" i="736"/>
  <c r="J115" i="736"/>
  <c r="H115" i="736"/>
  <c r="K115" i="736" s="1"/>
  <c r="J113" i="736"/>
  <c r="G113" i="736"/>
  <c r="H113" i="736" s="1"/>
  <c r="K113" i="736" s="1"/>
  <c r="J111" i="736"/>
  <c r="H111" i="736"/>
  <c r="K111" i="736" s="1"/>
  <c r="J110" i="736"/>
  <c r="G110" i="736"/>
  <c r="H110" i="736" s="1"/>
  <c r="J109" i="736"/>
  <c r="H109" i="736"/>
  <c r="J104" i="736"/>
  <c r="H104" i="736"/>
  <c r="G106" i="736" s="1"/>
  <c r="H106" i="736" s="1"/>
  <c r="J99" i="736"/>
  <c r="H99" i="736"/>
  <c r="J98" i="736"/>
  <c r="H98" i="736"/>
  <c r="K98" i="736" s="1"/>
  <c r="J97" i="736"/>
  <c r="H97" i="736"/>
  <c r="J96" i="736"/>
  <c r="H96" i="736"/>
  <c r="K96" i="736" s="1"/>
  <c r="J95" i="736"/>
  <c r="H95" i="736"/>
  <c r="B92" i="736"/>
  <c r="J91" i="736"/>
  <c r="G91" i="736"/>
  <c r="H91" i="736" s="1"/>
  <c r="J90" i="736"/>
  <c r="G90" i="736"/>
  <c r="H90" i="736" s="1"/>
  <c r="K90" i="736" s="1"/>
  <c r="J89" i="736"/>
  <c r="G89" i="736"/>
  <c r="H89" i="736" s="1"/>
  <c r="K89" i="736" s="1"/>
  <c r="J88" i="736"/>
  <c r="G88" i="736"/>
  <c r="H88" i="736" s="1"/>
  <c r="K88" i="736" s="1"/>
  <c r="J86" i="736"/>
  <c r="H86" i="736"/>
  <c r="K86" i="736" s="1"/>
  <c r="G86" i="736"/>
  <c r="O81" i="736"/>
  <c r="J81" i="736"/>
  <c r="H81" i="736"/>
  <c r="O80" i="736"/>
  <c r="J80" i="736"/>
  <c r="H80" i="736"/>
  <c r="K80" i="736" s="1"/>
  <c r="O79" i="736"/>
  <c r="J79" i="736"/>
  <c r="H79" i="736"/>
  <c r="O78" i="736"/>
  <c r="J78" i="736"/>
  <c r="H78" i="736"/>
  <c r="G82" i="736" s="1"/>
  <c r="O77" i="736"/>
  <c r="J77" i="736"/>
  <c r="H77" i="736"/>
  <c r="O76" i="736"/>
  <c r="J76" i="736"/>
  <c r="H76" i="736"/>
  <c r="K76" i="736" s="1"/>
  <c r="J71" i="736"/>
  <c r="H71" i="736"/>
  <c r="J70" i="736"/>
  <c r="H70" i="736"/>
  <c r="J69" i="736"/>
  <c r="H69" i="736"/>
  <c r="J68" i="736"/>
  <c r="H68" i="736"/>
  <c r="J67" i="736"/>
  <c r="H67" i="736"/>
  <c r="B64" i="736"/>
  <c r="J63" i="736"/>
  <c r="H63" i="736"/>
  <c r="J61" i="736"/>
  <c r="H61" i="736"/>
  <c r="J58" i="736"/>
  <c r="H58" i="736"/>
  <c r="J57" i="736"/>
  <c r="H57" i="736"/>
  <c r="J55" i="736"/>
  <c r="H55" i="736"/>
  <c r="K55" i="736" s="1"/>
  <c r="J54" i="736"/>
  <c r="H54" i="736"/>
  <c r="J52" i="736"/>
  <c r="H52" i="736"/>
  <c r="J50" i="736"/>
  <c r="H50" i="736"/>
  <c r="J49" i="736"/>
  <c r="H49" i="736"/>
  <c r="K49" i="736" s="1"/>
  <c r="J48" i="736"/>
  <c r="H48" i="736"/>
  <c r="J43" i="736"/>
  <c r="H43" i="736"/>
  <c r="J42" i="736"/>
  <c r="H42" i="736"/>
  <c r="J41" i="736"/>
  <c r="K41" i="736" s="1"/>
  <c r="H41" i="736"/>
  <c r="J40" i="736"/>
  <c r="H40" i="736"/>
  <c r="J39" i="736"/>
  <c r="H39" i="736"/>
  <c r="J38" i="736"/>
  <c r="H38" i="736"/>
  <c r="G45" i="736" s="1"/>
  <c r="I45" i="736" s="1"/>
  <c r="J45" i="736" s="1"/>
  <c r="B34" i="736"/>
  <c r="B15" i="736"/>
  <c r="A15" i="736"/>
  <c r="B14" i="736"/>
  <c r="A14" i="736"/>
  <c r="B13" i="736"/>
  <c r="A13" i="736"/>
  <c r="B12" i="736"/>
  <c r="A12" i="736"/>
  <c r="B84" i="735"/>
  <c r="J67" i="735"/>
  <c r="G67" i="735"/>
  <c r="H67" i="735" s="1"/>
  <c r="O62" i="735"/>
  <c r="J62" i="735"/>
  <c r="H62" i="735"/>
  <c r="G65" i="735" s="1"/>
  <c r="H65" i="735" s="1"/>
  <c r="B59" i="735"/>
  <c r="J50" i="735"/>
  <c r="H50" i="735"/>
  <c r="K50" i="735" s="1"/>
  <c r="J48" i="735"/>
  <c r="H48" i="735"/>
  <c r="J46" i="735"/>
  <c r="H46" i="735"/>
  <c r="J45" i="735"/>
  <c r="H45" i="735"/>
  <c r="J40" i="735"/>
  <c r="H40" i="735"/>
  <c r="J39" i="735"/>
  <c r="H39" i="735"/>
  <c r="J38" i="735"/>
  <c r="H38" i="735"/>
  <c r="K38" i="735" s="1"/>
  <c r="B34" i="735"/>
  <c r="B13" i="735"/>
  <c r="A13" i="735"/>
  <c r="B12" i="735"/>
  <c r="A12" i="735"/>
  <c r="B86" i="734"/>
  <c r="O79" i="734"/>
  <c r="J79" i="734"/>
  <c r="H79" i="734"/>
  <c r="G81" i="734" s="1"/>
  <c r="B76" i="734"/>
  <c r="J69" i="734"/>
  <c r="H69" i="734"/>
  <c r="K69" i="734" s="1"/>
  <c r="G69" i="734"/>
  <c r="J68" i="734"/>
  <c r="G68" i="734"/>
  <c r="H68" i="734" s="1"/>
  <c r="K68" i="734" s="1"/>
  <c r="J67" i="734"/>
  <c r="G67" i="734"/>
  <c r="H67" i="734" s="1"/>
  <c r="O62" i="734"/>
  <c r="J62" i="734"/>
  <c r="H62" i="734"/>
  <c r="K62" i="734" s="1"/>
  <c r="O61" i="734"/>
  <c r="J61" i="734"/>
  <c r="H61" i="734"/>
  <c r="J56" i="734"/>
  <c r="H56" i="734"/>
  <c r="J55" i="734"/>
  <c r="H55" i="734"/>
  <c r="J54" i="734"/>
  <c r="H54" i="734"/>
  <c r="B51" i="734"/>
  <c r="J49" i="734"/>
  <c r="H49" i="734"/>
  <c r="J47" i="734"/>
  <c r="H47" i="734"/>
  <c r="J45" i="734"/>
  <c r="H45" i="734"/>
  <c r="J40" i="734"/>
  <c r="K40" i="734" s="1"/>
  <c r="H40" i="734"/>
  <c r="J39" i="734"/>
  <c r="H39" i="734"/>
  <c r="J38" i="734"/>
  <c r="H38" i="734"/>
  <c r="B34" i="734"/>
  <c r="B14" i="734"/>
  <c r="A14" i="734"/>
  <c r="B13" i="734"/>
  <c r="A13" i="734"/>
  <c r="B12" i="734"/>
  <c r="A12" i="734"/>
  <c r="B210" i="733"/>
  <c r="I197" i="733"/>
  <c r="J197" i="733" s="1"/>
  <c r="H197" i="733"/>
  <c r="J196" i="733"/>
  <c r="I196" i="733"/>
  <c r="H196" i="733"/>
  <c r="B193" i="733"/>
  <c r="O189" i="733"/>
  <c r="J189" i="733"/>
  <c r="H189" i="733"/>
  <c r="O188" i="733"/>
  <c r="J188" i="733"/>
  <c r="H188" i="733"/>
  <c r="O187" i="733"/>
  <c r="J187" i="733"/>
  <c r="H187" i="733"/>
  <c r="J184" i="733"/>
  <c r="H184" i="733"/>
  <c r="J183" i="733"/>
  <c r="H183" i="733"/>
  <c r="J182" i="733"/>
  <c r="H182" i="733"/>
  <c r="K182" i="733" s="1"/>
  <c r="H180" i="733"/>
  <c r="K180" i="733" s="1"/>
  <c r="G180" i="733"/>
  <c r="I180" i="733" s="1"/>
  <c r="J180" i="733" s="1"/>
  <c r="G179" i="733"/>
  <c r="H179" i="733" s="1"/>
  <c r="I178" i="733"/>
  <c r="J178" i="733" s="1"/>
  <c r="G178" i="733"/>
  <c r="H178" i="733" s="1"/>
  <c r="B175" i="733"/>
  <c r="J174" i="733"/>
  <c r="H174" i="733"/>
  <c r="J172" i="733"/>
  <c r="H172" i="733"/>
  <c r="J170" i="733"/>
  <c r="H170" i="733"/>
  <c r="K170" i="733" s="1"/>
  <c r="J168" i="733"/>
  <c r="H168" i="733"/>
  <c r="J163" i="733"/>
  <c r="H163" i="733"/>
  <c r="B160" i="733"/>
  <c r="J156" i="733"/>
  <c r="H156" i="733"/>
  <c r="K154" i="733"/>
  <c r="J154" i="733"/>
  <c r="H154" i="733"/>
  <c r="J153" i="733"/>
  <c r="H153" i="733"/>
  <c r="J151" i="733"/>
  <c r="H151" i="733"/>
  <c r="J150" i="733"/>
  <c r="H150" i="733"/>
  <c r="J148" i="733"/>
  <c r="H148" i="733"/>
  <c r="J146" i="733"/>
  <c r="H146" i="733"/>
  <c r="J145" i="733"/>
  <c r="H145" i="733"/>
  <c r="J140" i="733"/>
  <c r="H140" i="733"/>
  <c r="J139" i="733"/>
  <c r="H139" i="733"/>
  <c r="J138" i="733"/>
  <c r="H138" i="733"/>
  <c r="G141" i="733" s="1"/>
  <c r="I141" i="733" s="1"/>
  <c r="J141" i="733" s="1"/>
  <c r="B135" i="733"/>
  <c r="J130" i="733"/>
  <c r="H130" i="733"/>
  <c r="J128" i="733"/>
  <c r="H128" i="733"/>
  <c r="J126" i="733"/>
  <c r="H126" i="733"/>
  <c r="J124" i="733"/>
  <c r="H124" i="733"/>
  <c r="J122" i="733"/>
  <c r="G122" i="733"/>
  <c r="H122" i="733" s="1"/>
  <c r="J117" i="733"/>
  <c r="H117" i="733"/>
  <c r="J116" i="733"/>
  <c r="H116" i="733"/>
  <c r="J115" i="733"/>
  <c r="H115" i="733"/>
  <c r="J110" i="733"/>
  <c r="G110" i="733"/>
  <c r="H110" i="733" s="1"/>
  <c r="G112" i="733" s="1"/>
  <c r="I108" i="733"/>
  <c r="E108" i="733"/>
  <c r="B105" i="733"/>
  <c r="J102" i="733"/>
  <c r="H102" i="733"/>
  <c r="J101" i="733"/>
  <c r="H101" i="733"/>
  <c r="J99" i="733"/>
  <c r="H99" i="733"/>
  <c r="J97" i="733"/>
  <c r="H97" i="733"/>
  <c r="J95" i="733"/>
  <c r="H95" i="733"/>
  <c r="J94" i="733"/>
  <c r="H94" i="733"/>
  <c r="O89" i="733"/>
  <c r="K89" i="733"/>
  <c r="J89" i="733"/>
  <c r="H89" i="733"/>
  <c r="O88" i="733"/>
  <c r="J88" i="733"/>
  <c r="K88" i="733" s="1"/>
  <c r="H88" i="733"/>
  <c r="O87" i="733"/>
  <c r="J87" i="733"/>
  <c r="H87" i="733"/>
  <c r="J82" i="733"/>
  <c r="H82" i="733"/>
  <c r="J81" i="733"/>
  <c r="H81" i="733"/>
  <c r="J80" i="733"/>
  <c r="H80" i="733"/>
  <c r="J75" i="733"/>
  <c r="H75" i="733"/>
  <c r="J74" i="733"/>
  <c r="H74" i="733"/>
  <c r="G76" i="733" s="1"/>
  <c r="J73" i="733"/>
  <c r="H73" i="733"/>
  <c r="I71" i="733"/>
  <c r="J71" i="733" s="1"/>
  <c r="H71" i="733"/>
  <c r="I70" i="733"/>
  <c r="J70" i="733" s="1"/>
  <c r="H70" i="733"/>
  <c r="I69" i="733"/>
  <c r="J69" i="733" s="1"/>
  <c r="H69" i="733"/>
  <c r="J68" i="733"/>
  <c r="I68" i="733"/>
  <c r="H68" i="733"/>
  <c r="B65" i="733"/>
  <c r="J62" i="733"/>
  <c r="H62" i="733"/>
  <c r="J59" i="733"/>
  <c r="H59" i="733"/>
  <c r="J58" i="733"/>
  <c r="H58" i="733"/>
  <c r="J56" i="733"/>
  <c r="H56" i="733"/>
  <c r="J54" i="733"/>
  <c r="H54" i="733"/>
  <c r="J52" i="733"/>
  <c r="H52" i="733"/>
  <c r="K52" i="733" s="1"/>
  <c r="J50" i="733"/>
  <c r="H50" i="733"/>
  <c r="J49" i="733"/>
  <c r="H49" i="733"/>
  <c r="J47" i="733"/>
  <c r="H47" i="733"/>
  <c r="N42" i="733"/>
  <c r="O42" i="733" s="1"/>
  <c r="J42" i="733"/>
  <c r="H42" i="733"/>
  <c r="N41" i="733"/>
  <c r="O41" i="733" s="1"/>
  <c r="J41" i="733"/>
  <c r="H41" i="733"/>
  <c r="N40" i="733"/>
  <c r="O40" i="733" s="1"/>
  <c r="J40" i="733"/>
  <c r="H40" i="733"/>
  <c r="B35" i="733"/>
  <c r="B18" i="733"/>
  <c r="A18" i="733"/>
  <c r="B17" i="733"/>
  <c r="A17" i="733"/>
  <c r="B16" i="733"/>
  <c r="A16" i="733"/>
  <c r="B15" i="733"/>
  <c r="A15" i="733"/>
  <c r="B14" i="733"/>
  <c r="A14" i="733"/>
  <c r="B13" i="733"/>
  <c r="A13" i="733"/>
  <c r="B12" i="733"/>
  <c r="A12" i="733"/>
  <c r="B31" i="732"/>
  <c r="B25" i="732"/>
  <c r="B24" i="732"/>
  <c r="B23" i="732"/>
  <c r="B22" i="732"/>
  <c r="B21" i="732"/>
  <c r="B20" i="732"/>
  <c r="B19" i="732"/>
  <c r="B18" i="732"/>
  <c r="B17" i="732"/>
  <c r="B16" i="732"/>
  <c r="B15" i="732"/>
  <c r="B14" i="732"/>
  <c r="B57" i="731"/>
  <c r="O46" i="731"/>
  <c r="J46" i="731"/>
  <c r="H46" i="731"/>
  <c r="G47" i="731" s="1"/>
  <c r="H47" i="731" s="1"/>
  <c r="J44" i="731"/>
  <c r="H44" i="731"/>
  <c r="G37" i="731"/>
  <c r="H37" i="731" s="1"/>
  <c r="J36" i="731"/>
  <c r="G36" i="731"/>
  <c r="H36" i="731" s="1"/>
  <c r="B34" i="731"/>
  <c r="B13" i="731"/>
  <c r="A13" i="731"/>
  <c r="B57" i="730"/>
  <c r="O46" i="730"/>
  <c r="J46" i="730"/>
  <c r="H46" i="730"/>
  <c r="J44" i="730"/>
  <c r="K44" i="730" s="1"/>
  <c r="H44" i="730"/>
  <c r="G37" i="730"/>
  <c r="J36" i="730"/>
  <c r="G36" i="730"/>
  <c r="H36" i="730" s="1"/>
  <c r="B34" i="730"/>
  <c r="B13" i="730"/>
  <c r="A13" i="730"/>
  <c r="B57" i="729"/>
  <c r="O46" i="729"/>
  <c r="J46" i="729"/>
  <c r="H46" i="729"/>
  <c r="G47" i="729" s="1"/>
  <c r="J44" i="729"/>
  <c r="H44" i="729"/>
  <c r="G37" i="729"/>
  <c r="I37" i="729" s="1"/>
  <c r="J37" i="729" s="1"/>
  <c r="J36" i="729"/>
  <c r="G36" i="729"/>
  <c r="H36" i="729" s="1"/>
  <c r="B34" i="729"/>
  <c r="B13" i="729"/>
  <c r="A13" i="729"/>
  <c r="B57" i="728"/>
  <c r="O46" i="728"/>
  <c r="J46" i="728"/>
  <c r="H46" i="728"/>
  <c r="G47" i="728" s="1"/>
  <c r="J44" i="728"/>
  <c r="H44" i="728"/>
  <c r="G37" i="728"/>
  <c r="J36" i="728"/>
  <c r="G36" i="728"/>
  <c r="H36" i="728" s="1"/>
  <c r="B34" i="728"/>
  <c r="B13" i="728"/>
  <c r="A13" i="728"/>
  <c r="B57" i="727"/>
  <c r="O46" i="727"/>
  <c r="J46" i="727"/>
  <c r="H46" i="727"/>
  <c r="K46" i="727" s="1"/>
  <c r="J44" i="727"/>
  <c r="H44" i="727"/>
  <c r="G37" i="727"/>
  <c r="I37" i="727" s="1"/>
  <c r="J37" i="727" s="1"/>
  <c r="J36" i="727"/>
  <c r="K36" i="727" s="1"/>
  <c r="G36" i="727"/>
  <c r="H36" i="727" s="1"/>
  <c r="B34" i="727"/>
  <c r="B13" i="727"/>
  <c r="A13" i="727"/>
  <c r="B57" i="726"/>
  <c r="O46" i="726"/>
  <c r="J46" i="726"/>
  <c r="H46" i="726"/>
  <c r="G47" i="726" s="1"/>
  <c r="I47" i="726" s="1"/>
  <c r="J47" i="726" s="1"/>
  <c r="J44" i="726"/>
  <c r="H44" i="726"/>
  <c r="H37" i="726"/>
  <c r="K37" i="726" s="1"/>
  <c r="G37" i="726"/>
  <c r="I37" i="726" s="1"/>
  <c r="J37" i="726" s="1"/>
  <c r="J36" i="726"/>
  <c r="G36" i="726"/>
  <c r="H36" i="726" s="1"/>
  <c r="B34" i="726"/>
  <c r="B13" i="726"/>
  <c r="A13" i="726"/>
  <c r="B57" i="725"/>
  <c r="O46" i="725"/>
  <c r="J46" i="725"/>
  <c r="H46" i="725"/>
  <c r="J44" i="725"/>
  <c r="H44" i="725"/>
  <c r="I37" i="725"/>
  <c r="J37" i="725" s="1"/>
  <c r="G37" i="725"/>
  <c r="H37" i="725" s="1"/>
  <c r="J36" i="725"/>
  <c r="G36" i="725"/>
  <c r="H36" i="725" s="1"/>
  <c r="B34" i="725"/>
  <c r="B13" i="725"/>
  <c r="A13" i="725"/>
  <c r="B57" i="724"/>
  <c r="O46" i="724"/>
  <c r="J46" i="724"/>
  <c r="H46" i="724"/>
  <c r="G47" i="724" s="1"/>
  <c r="H47" i="724" s="1"/>
  <c r="J44" i="724"/>
  <c r="H44" i="724"/>
  <c r="G37" i="724"/>
  <c r="H37" i="724" s="1"/>
  <c r="J36" i="724"/>
  <c r="H36" i="724"/>
  <c r="B34" i="724"/>
  <c r="B13" i="724"/>
  <c r="A13" i="724"/>
  <c r="B57" i="723"/>
  <c r="O48" i="723"/>
  <c r="J48" i="723"/>
  <c r="H48" i="723"/>
  <c r="G49" i="723" s="1"/>
  <c r="H49" i="723" s="1"/>
  <c r="J46" i="723"/>
  <c r="H46" i="723"/>
  <c r="G39" i="723"/>
  <c r="H39" i="723" s="1"/>
  <c r="J38" i="723"/>
  <c r="H38" i="723"/>
  <c r="J37" i="723"/>
  <c r="H37" i="723"/>
  <c r="J36" i="723"/>
  <c r="H36" i="723"/>
  <c r="B34" i="723"/>
  <c r="B13" i="723"/>
  <c r="A13" i="723"/>
  <c r="B57" i="722"/>
  <c r="O51" i="722"/>
  <c r="J51" i="722"/>
  <c r="H51" i="722"/>
  <c r="O49" i="722"/>
  <c r="J49" i="722"/>
  <c r="H49" i="722"/>
  <c r="G52" i="722" s="1"/>
  <c r="J47" i="722"/>
  <c r="H47" i="722"/>
  <c r="G39" i="722"/>
  <c r="I39" i="722" s="1"/>
  <c r="J39" i="722" s="1"/>
  <c r="J38" i="722"/>
  <c r="H38" i="722"/>
  <c r="J37" i="722"/>
  <c r="H37" i="722"/>
  <c r="J36" i="722"/>
  <c r="K36" i="722" s="1"/>
  <c r="H36" i="722"/>
  <c r="B34" i="722"/>
  <c r="B13" i="722"/>
  <c r="A13" i="722"/>
  <c r="B58" i="721"/>
  <c r="J55" i="721"/>
  <c r="K55" i="721" s="1"/>
  <c r="J53" i="721"/>
  <c r="H53" i="721"/>
  <c r="K53" i="721" s="1"/>
  <c r="J52" i="721"/>
  <c r="H52" i="721"/>
  <c r="J49" i="721"/>
  <c r="H49" i="721"/>
  <c r="G50" i="721" s="1"/>
  <c r="J47" i="721"/>
  <c r="K47" i="721" s="1"/>
  <c r="H47" i="721"/>
  <c r="J46" i="721"/>
  <c r="H46" i="721"/>
  <c r="I45" i="721"/>
  <c r="J45" i="721" s="1"/>
  <c r="H45" i="721"/>
  <c r="I44" i="721"/>
  <c r="J44" i="721" s="1"/>
  <c r="H44" i="721"/>
  <c r="I43" i="721"/>
  <c r="J43" i="721" s="1"/>
  <c r="H43" i="721"/>
  <c r="I42" i="721"/>
  <c r="J42" i="721" s="1"/>
  <c r="H42" i="721"/>
  <c r="I40" i="721"/>
  <c r="J40" i="721" s="1"/>
  <c r="K40" i="721" s="1"/>
  <c r="H40" i="721"/>
  <c r="I39" i="721"/>
  <c r="J39" i="721" s="1"/>
  <c r="H39" i="721"/>
  <c r="J38" i="721"/>
  <c r="K38" i="721" s="1"/>
  <c r="I38" i="721"/>
  <c r="H38" i="721"/>
  <c r="I37" i="721"/>
  <c r="J37" i="721" s="1"/>
  <c r="H37" i="721"/>
  <c r="B34" i="721"/>
  <c r="B13" i="721"/>
  <c r="A13" i="721"/>
  <c r="B32" i="720"/>
  <c r="B23" i="720"/>
  <c r="B22" i="720"/>
  <c r="B21" i="720"/>
  <c r="B20" i="720"/>
  <c r="B19" i="720"/>
  <c r="B18" i="720"/>
  <c r="B17" i="720"/>
  <c r="B16" i="720"/>
  <c r="B15" i="720"/>
  <c r="B14" i="720"/>
  <c r="B13" i="720"/>
  <c r="K54" i="772" l="1"/>
  <c r="K44" i="772"/>
  <c r="K52" i="772"/>
  <c r="K52" i="721"/>
  <c r="K47" i="722"/>
  <c r="K36" i="723"/>
  <c r="K36" i="724"/>
  <c r="K37" i="725"/>
  <c r="K44" i="727"/>
  <c r="K44" i="728"/>
  <c r="K44" i="729"/>
  <c r="K44" i="731"/>
  <c r="K47" i="733"/>
  <c r="K50" i="733"/>
  <c r="K54" i="733"/>
  <c r="G78" i="733"/>
  <c r="I78" i="733" s="1"/>
  <c r="J78" i="733" s="1"/>
  <c r="G119" i="733"/>
  <c r="K124" i="733"/>
  <c r="G41" i="734"/>
  <c r="K47" i="734"/>
  <c r="K39" i="742"/>
  <c r="K111" i="747"/>
  <c r="K36" i="731"/>
  <c r="I47" i="731"/>
  <c r="J47" i="731" s="1"/>
  <c r="K47" i="731" s="1"/>
  <c r="K42" i="733"/>
  <c r="K81" i="733"/>
  <c r="K95" i="733"/>
  <c r="K102" i="733"/>
  <c r="K163" i="733"/>
  <c r="K178" i="733"/>
  <c r="K67" i="734"/>
  <c r="K115" i="742"/>
  <c r="H41" i="743"/>
  <c r="I41" i="743"/>
  <c r="J41" i="743" s="1"/>
  <c r="J126" i="748"/>
  <c r="J17" i="748" s="1"/>
  <c r="K111" i="748"/>
  <c r="K42" i="721"/>
  <c r="I37" i="724"/>
  <c r="J37" i="724" s="1"/>
  <c r="K36" i="726"/>
  <c r="K46" i="731"/>
  <c r="G44" i="733"/>
  <c r="H44" i="733" s="1"/>
  <c r="K56" i="733"/>
  <c r="K74" i="733"/>
  <c r="K101" i="733"/>
  <c r="K145" i="733"/>
  <c r="K148" i="733"/>
  <c r="K168" i="733"/>
  <c r="K184" i="733"/>
  <c r="K39" i="734"/>
  <c r="K45" i="734"/>
  <c r="K41" i="737"/>
  <c r="K88" i="738"/>
  <c r="K86" i="740"/>
  <c r="K48" i="735"/>
  <c r="K40" i="736"/>
  <c r="K50" i="736"/>
  <c r="K54" i="736"/>
  <c r="K57" i="736"/>
  <c r="K61" i="736"/>
  <c r="K79" i="736"/>
  <c r="K91" i="736"/>
  <c r="K97" i="736"/>
  <c r="G105" i="736"/>
  <c r="K59" i="737"/>
  <c r="K63" i="737"/>
  <c r="K104" i="737"/>
  <c r="K56" i="738"/>
  <c r="K61" i="738"/>
  <c r="G102" i="738"/>
  <c r="K114" i="738"/>
  <c r="K125" i="738"/>
  <c r="K38" i="739"/>
  <c r="K40" i="739"/>
  <c r="K50" i="739"/>
  <c r="K70" i="739"/>
  <c r="G101" i="739"/>
  <c r="G71" i="740"/>
  <c r="K70" i="740"/>
  <c r="K76" i="740"/>
  <c r="K80" i="740"/>
  <c r="K115" i="740"/>
  <c r="K54" i="741"/>
  <c r="K57" i="741"/>
  <c r="K90" i="741"/>
  <c r="K121" i="741"/>
  <c r="K124" i="741"/>
  <c r="K69" i="742"/>
  <c r="G74" i="743"/>
  <c r="I74" i="743" s="1"/>
  <c r="J74" i="743" s="1"/>
  <c r="K63" i="746"/>
  <c r="K71" i="746"/>
  <c r="H92" i="746"/>
  <c r="H109" i="746" s="1"/>
  <c r="H14" i="746" s="1"/>
  <c r="K14" i="746" s="1"/>
  <c r="K112" i="747"/>
  <c r="K53" i="748"/>
  <c r="J84" i="748"/>
  <c r="J15" i="748" s="1"/>
  <c r="K87" i="748"/>
  <c r="K18" i="748"/>
  <c r="K43" i="749"/>
  <c r="K65" i="749"/>
  <c r="K66" i="751"/>
  <c r="K69" i="751"/>
  <c r="K18" i="753"/>
  <c r="K66" i="754"/>
  <c r="K105" i="754"/>
  <c r="J118" i="754"/>
  <c r="J17" i="754" s="1"/>
  <c r="K45" i="755"/>
  <c r="G57" i="755"/>
  <c r="H57" i="755" s="1"/>
  <c r="K62" i="755"/>
  <c r="K80" i="756"/>
  <c r="K47" i="757"/>
  <c r="J117" i="757"/>
  <c r="J17" i="757" s="1"/>
  <c r="E77" i="761"/>
  <c r="K159" i="761"/>
  <c r="J170" i="761"/>
  <c r="K51" i="763"/>
  <c r="J226" i="763"/>
  <c r="H264" i="763"/>
  <c r="O14" i="764" a="1"/>
  <c r="O14" i="764" s="1"/>
  <c r="O22" i="764" a="1"/>
  <c r="O22" i="764" s="1"/>
  <c r="K267" i="764"/>
  <c r="G119" i="765"/>
  <c r="G121" i="765"/>
  <c r="F226" i="765"/>
  <c r="H226" i="765"/>
  <c r="K54" i="766"/>
  <c r="K230" i="766"/>
  <c r="K49" i="767"/>
  <c r="K256" i="767"/>
  <c r="K17" i="757"/>
  <c r="K38" i="759"/>
  <c r="K40" i="759"/>
  <c r="K73" i="759"/>
  <c r="K86" i="759"/>
  <c r="K88" i="759"/>
  <c r="K93" i="759"/>
  <c r="K125" i="759"/>
  <c r="K131" i="759"/>
  <c r="E80" i="760"/>
  <c r="J71" i="760"/>
  <c r="K74" i="760"/>
  <c r="H102" i="760"/>
  <c r="K106" i="760"/>
  <c r="K125" i="760"/>
  <c r="K129" i="760"/>
  <c r="J148" i="760"/>
  <c r="J169" i="760"/>
  <c r="K169" i="760" s="1"/>
  <c r="K184" i="760"/>
  <c r="H65" i="761"/>
  <c r="K65" i="761" s="1"/>
  <c r="K98" i="761"/>
  <c r="K147" i="761"/>
  <c r="K54" i="763"/>
  <c r="K56" i="763"/>
  <c r="H91" i="763"/>
  <c r="K101" i="763"/>
  <c r="J146" i="763"/>
  <c r="K146" i="763" s="1"/>
  <c r="K167" i="763"/>
  <c r="F224" i="763"/>
  <c r="H237" i="763"/>
  <c r="K237" i="763" s="1"/>
  <c r="F237" i="763"/>
  <c r="H257" i="763"/>
  <c r="K257" i="763" s="1"/>
  <c r="H289" i="763"/>
  <c r="K292" i="763"/>
  <c r="K293" i="763"/>
  <c r="K296" i="763"/>
  <c r="K299" i="763"/>
  <c r="J139" i="765"/>
  <c r="H139" i="765"/>
  <c r="F239" i="765"/>
  <c r="J239" i="765"/>
  <c r="H239" i="765"/>
  <c r="K239" i="765" s="1"/>
  <c r="H246" i="766"/>
  <c r="J246" i="766"/>
  <c r="K37" i="768"/>
  <c r="H44" i="768"/>
  <c r="H12" i="768" s="1"/>
  <c r="H88" i="768"/>
  <c r="J88" i="768"/>
  <c r="K63" i="736"/>
  <c r="K69" i="736"/>
  <c r="K77" i="736"/>
  <c r="K43" i="737"/>
  <c r="K71" i="737"/>
  <c r="K40" i="738"/>
  <c r="K76" i="739"/>
  <c r="G103" i="739"/>
  <c r="K61" i="740"/>
  <c r="K69" i="740"/>
  <c r="K79" i="740"/>
  <c r="K116" i="740"/>
  <c r="G74" i="741"/>
  <c r="K90" i="742"/>
  <c r="K100" i="742"/>
  <c r="G103" i="742"/>
  <c r="I103" i="742" s="1"/>
  <c r="J103" i="742" s="1"/>
  <c r="K114" i="742"/>
  <c r="K73" i="747"/>
  <c r="K42" i="748"/>
  <c r="K126" i="749"/>
  <c r="J130" i="749"/>
  <c r="J18" i="749" s="1"/>
  <c r="J99" i="750"/>
  <c r="J15" i="750" s="1"/>
  <c r="K126" i="750"/>
  <c r="K78" i="752"/>
  <c r="K84" i="752" s="1"/>
  <c r="G50" i="753"/>
  <c r="K69" i="753"/>
  <c r="K73" i="753"/>
  <c r="G57" i="754"/>
  <c r="K54" i="754"/>
  <c r="K111" i="754"/>
  <c r="K80" i="755"/>
  <c r="H95" i="756"/>
  <c r="K112" i="756"/>
  <c r="K54" i="757"/>
  <c r="K71" i="757"/>
  <c r="J109" i="757"/>
  <c r="J16" i="757" s="1"/>
  <c r="H95" i="757"/>
  <c r="K170" i="761"/>
  <c r="K226" i="763"/>
  <c r="H236" i="763"/>
  <c r="F236" i="763"/>
  <c r="O17" i="764" a="1"/>
  <c r="O17" i="764" s="1"/>
  <c r="K59" i="765"/>
  <c r="H259" i="765"/>
  <c r="J259" i="765"/>
  <c r="J212" i="768"/>
  <c r="F212" i="768"/>
  <c r="G80" i="734"/>
  <c r="K43" i="736"/>
  <c r="G101" i="736"/>
  <c r="K120" i="736"/>
  <c r="K55" i="737"/>
  <c r="K61" i="737"/>
  <c r="G73" i="737"/>
  <c r="G84" i="738"/>
  <c r="K121" i="738"/>
  <c r="K52" i="739"/>
  <c r="K100" i="739"/>
  <c r="K48" i="742"/>
  <c r="K54" i="742"/>
  <c r="K57" i="742"/>
  <c r="K44" i="746"/>
  <c r="K46" i="746"/>
  <c r="G56" i="746"/>
  <c r="K106" i="747"/>
  <c r="K39" i="748"/>
  <c r="G56" i="750"/>
  <c r="K71" i="750"/>
  <c r="K86" i="750"/>
  <c r="K99" i="750" s="1"/>
  <c r="K62" i="752"/>
  <c r="K67" i="752"/>
  <c r="K104" i="752"/>
  <c r="G56" i="753"/>
  <c r="K41" i="754"/>
  <c r="K43" i="754"/>
  <c r="K71" i="754"/>
  <c r="K112" i="754"/>
  <c r="H116" i="755"/>
  <c r="H17" i="755" s="1"/>
  <c r="K46" i="756"/>
  <c r="K81" i="756"/>
  <c r="K69" i="757"/>
  <c r="J84" i="757"/>
  <c r="J15" i="757" s="1"/>
  <c r="K74" i="759"/>
  <c r="K84" i="759"/>
  <c r="K132" i="759"/>
  <c r="K153" i="759"/>
  <c r="J64" i="760"/>
  <c r="J67" i="760"/>
  <c r="H79" i="760"/>
  <c r="H116" i="760"/>
  <c r="K116" i="760" s="1"/>
  <c r="K154" i="760"/>
  <c r="K181" i="760"/>
  <c r="K40" i="761"/>
  <c r="K51" i="761"/>
  <c r="J73" i="761"/>
  <c r="K88" i="761"/>
  <c r="K110" i="761"/>
  <c r="J114" i="761"/>
  <c r="K135" i="761"/>
  <c r="K146" i="761"/>
  <c r="F170" i="761"/>
  <c r="J184" i="761"/>
  <c r="J100" i="763"/>
  <c r="K100" i="763" s="1"/>
  <c r="K189" i="763"/>
  <c r="J213" i="763"/>
  <c r="F226" i="763"/>
  <c r="J236" i="763"/>
  <c r="K244" i="763"/>
  <c r="K249" i="763"/>
  <c r="J253" i="763"/>
  <c r="F264" i="763"/>
  <c r="K282" i="763"/>
  <c r="J97" i="764"/>
  <c r="E104" i="764"/>
  <c r="H97" i="764"/>
  <c r="K97" i="764" s="1"/>
  <c r="F224" i="765"/>
  <c r="J224" i="765"/>
  <c r="J229" i="765"/>
  <c r="F229" i="765"/>
  <c r="H63" i="768"/>
  <c r="K63" i="768" s="1"/>
  <c r="J63" i="768"/>
  <c r="K242" i="763"/>
  <c r="K281" i="763"/>
  <c r="K55" i="764"/>
  <c r="K68" i="764"/>
  <c r="K182" i="764"/>
  <c r="K192" i="764"/>
  <c r="K194" i="764"/>
  <c r="J212" i="764"/>
  <c r="K217" i="764"/>
  <c r="F240" i="764"/>
  <c r="K283" i="764"/>
  <c r="F204" i="765"/>
  <c r="F211" i="765"/>
  <c r="F223" i="765"/>
  <c r="J225" i="765"/>
  <c r="F232" i="765"/>
  <c r="K266" i="765"/>
  <c r="K40" i="766"/>
  <c r="K57" i="766"/>
  <c r="K60" i="766"/>
  <c r="J99" i="766"/>
  <c r="H226" i="766"/>
  <c r="F227" i="766"/>
  <c r="F228" i="766"/>
  <c r="J232" i="766"/>
  <c r="H240" i="766"/>
  <c r="K240" i="766" s="1"/>
  <c r="K258" i="766"/>
  <c r="K270" i="766"/>
  <c r="J275" i="766"/>
  <c r="K275" i="766" s="1"/>
  <c r="K48" i="767"/>
  <c r="H87" i="767"/>
  <c r="H88" i="767"/>
  <c r="K88" i="767" s="1"/>
  <c r="G123" i="767"/>
  <c r="H123" i="767" s="1"/>
  <c r="K120" i="767"/>
  <c r="K179" i="767"/>
  <c r="J234" i="767"/>
  <c r="K234" i="767" s="1"/>
  <c r="F249" i="767"/>
  <c r="K278" i="767"/>
  <c r="J64" i="768"/>
  <c r="K171" i="768"/>
  <c r="H239" i="768"/>
  <c r="F243" i="768"/>
  <c r="K253" i="768"/>
  <c r="K62" i="764"/>
  <c r="K88" i="764"/>
  <c r="K125" i="764"/>
  <c r="K127" i="764"/>
  <c r="K136" i="764"/>
  <c r="K165" i="764"/>
  <c r="K207" i="764"/>
  <c r="K215" i="764"/>
  <c r="F258" i="764"/>
  <c r="K281" i="764"/>
  <c r="K282" i="764"/>
  <c r="K292" i="764"/>
  <c r="K49" i="765"/>
  <c r="K52" i="765"/>
  <c r="K56" i="765"/>
  <c r="H140" i="765"/>
  <c r="K140" i="765" s="1"/>
  <c r="K149" i="765"/>
  <c r="K163" i="765"/>
  <c r="K208" i="765"/>
  <c r="F213" i="765"/>
  <c r="K221" i="765"/>
  <c r="K262" i="765"/>
  <c r="H153" i="766"/>
  <c r="K153" i="766" s="1"/>
  <c r="K163" i="766"/>
  <c r="K166" i="766"/>
  <c r="K200" i="766"/>
  <c r="K226" i="766"/>
  <c r="K264" i="766"/>
  <c r="K40" i="767"/>
  <c r="K50" i="767"/>
  <c r="K61" i="767"/>
  <c r="K159" i="767"/>
  <c r="K236" i="767"/>
  <c r="K258" i="767"/>
  <c r="K259" i="767"/>
  <c r="K261" i="767"/>
  <c r="K116" i="768"/>
  <c r="K140" i="768"/>
  <c r="K158" i="768"/>
  <c r="K194" i="768"/>
  <c r="K220" i="768"/>
  <c r="K265" i="768"/>
  <c r="K272" i="768"/>
  <c r="H97" i="769"/>
  <c r="E137" i="769"/>
  <c r="J272" i="769"/>
  <c r="K169" i="769"/>
  <c r="J191" i="769"/>
  <c r="H264" i="769"/>
  <c r="F285" i="769"/>
  <c r="H32" i="771"/>
  <c r="H20" i="284" s="1"/>
  <c r="K37" i="772"/>
  <c r="O15" i="764" a="1"/>
  <c r="O15" i="764" s="1"/>
  <c r="K54" i="764"/>
  <c r="K58" i="764"/>
  <c r="K149" i="764"/>
  <c r="J211" i="764"/>
  <c r="K211" i="764" s="1"/>
  <c r="K285" i="764"/>
  <c r="K40" i="765"/>
  <c r="K53" i="765"/>
  <c r="K82" i="765"/>
  <c r="K166" i="765"/>
  <c r="K174" i="765"/>
  <c r="K48" i="766"/>
  <c r="J148" i="766"/>
  <c r="J230" i="766"/>
  <c r="H231" i="766"/>
  <c r="K56" i="767"/>
  <c r="J138" i="767"/>
  <c r="K138" i="767" s="1"/>
  <c r="K192" i="767"/>
  <c r="H219" i="767"/>
  <c r="K219" i="767" s="1"/>
  <c r="K276" i="767"/>
  <c r="E98" i="768"/>
  <c r="K117" i="768"/>
  <c r="K119" i="768"/>
  <c r="K126" i="768"/>
  <c r="K138" i="768"/>
  <c r="J209" i="768"/>
  <c r="K218" i="768"/>
  <c r="K263" i="768"/>
  <c r="K264" i="768"/>
  <c r="K270" i="768"/>
  <c r="K271" i="768"/>
  <c r="J103" i="769"/>
  <c r="K151" i="769"/>
  <c r="K322" i="769"/>
  <c r="H325" i="769"/>
  <c r="K43" i="772"/>
  <c r="E44" i="770"/>
  <c r="K53" i="770"/>
  <c r="K81" i="770"/>
  <c r="K102" i="770"/>
  <c r="K46" i="735"/>
  <c r="K67" i="735"/>
  <c r="K40" i="735"/>
  <c r="K45" i="735"/>
  <c r="G63" i="735"/>
  <c r="I63" i="735" s="1"/>
  <c r="J63" i="735" s="1"/>
  <c r="K38" i="772"/>
  <c r="K181" i="768"/>
  <c r="K179" i="768"/>
  <c r="H187" i="765"/>
  <c r="G178" i="765"/>
  <c r="K237" i="769"/>
  <c r="H73" i="770"/>
  <c r="K73" i="770" s="1"/>
  <c r="K96" i="770"/>
  <c r="K100" i="770"/>
  <c r="K88" i="770"/>
  <c r="H105" i="762"/>
  <c r="E109" i="762"/>
  <c r="K247" i="762"/>
  <c r="J257" i="762"/>
  <c r="K257" i="762" s="1"/>
  <c r="K129" i="764"/>
  <c r="K120" i="768"/>
  <c r="K124" i="766"/>
  <c r="K122" i="764"/>
  <c r="K127" i="763"/>
  <c r="K91" i="761"/>
  <c r="K50" i="759"/>
  <c r="G56" i="759"/>
  <c r="I47" i="728"/>
  <c r="J47" i="728" s="1"/>
  <c r="H47" i="728"/>
  <c r="I103" i="738"/>
  <c r="J103" i="738" s="1"/>
  <c r="H103" i="738"/>
  <c r="H56" i="750"/>
  <c r="I56" i="750"/>
  <c r="J56" i="750" s="1"/>
  <c r="H119" i="733"/>
  <c r="I119" i="733"/>
  <c r="J119" i="733" s="1"/>
  <c r="H41" i="734"/>
  <c r="I41" i="734"/>
  <c r="J41" i="734" s="1"/>
  <c r="H102" i="740"/>
  <c r="I102" i="740"/>
  <c r="J102" i="740" s="1"/>
  <c r="I49" i="723"/>
  <c r="J49" i="723" s="1"/>
  <c r="K49" i="723" s="1"/>
  <c r="J57" i="726"/>
  <c r="J13" i="726" s="1"/>
  <c r="J34" i="726" s="1"/>
  <c r="J18" i="720" s="1"/>
  <c r="I37" i="731"/>
  <c r="J37" i="731" s="1"/>
  <c r="J57" i="731" s="1"/>
  <c r="J13" i="731" s="1"/>
  <c r="J34" i="731" s="1"/>
  <c r="J23" i="720" s="1"/>
  <c r="K40" i="733"/>
  <c r="J210" i="733"/>
  <c r="J18" i="733" s="1"/>
  <c r="G107" i="736"/>
  <c r="G83" i="737"/>
  <c r="G84" i="737"/>
  <c r="I84" i="737" s="1"/>
  <c r="J84" i="737" s="1"/>
  <c r="K99" i="740"/>
  <c r="G44" i="742"/>
  <c r="G56" i="743"/>
  <c r="K53" i="743"/>
  <c r="G55" i="743"/>
  <c r="H55" i="743" s="1"/>
  <c r="G49" i="748"/>
  <c r="G48" i="748"/>
  <c r="H48" i="748" s="1"/>
  <c r="G51" i="748"/>
  <c r="K37" i="722"/>
  <c r="K37" i="723"/>
  <c r="I47" i="724"/>
  <c r="J47" i="724" s="1"/>
  <c r="K47" i="724" s="1"/>
  <c r="K44" i="725"/>
  <c r="H37" i="727"/>
  <c r="K37" i="727" s="1"/>
  <c r="K49" i="733"/>
  <c r="K59" i="733"/>
  <c r="K69" i="733"/>
  <c r="K71" i="733"/>
  <c r="K94" i="733"/>
  <c r="G111" i="733"/>
  <c r="K128" i="733"/>
  <c r="K140" i="733"/>
  <c r="K174" i="733"/>
  <c r="K197" i="733"/>
  <c r="K49" i="734"/>
  <c r="K55" i="734"/>
  <c r="K39" i="736"/>
  <c r="K58" i="736"/>
  <c r="K68" i="736"/>
  <c r="K104" i="736"/>
  <c r="K121" i="736"/>
  <c r="K128" i="736"/>
  <c r="K131" i="736"/>
  <c r="K53" i="737"/>
  <c r="K69" i="737"/>
  <c r="K76" i="737"/>
  <c r="K125" i="737"/>
  <c r="K54" i="738"/>
  <c r="K57" i="738"/>
  <c r="K69" i="738"/>
  <c r="K79" i="738"/>
  <c r="G101" i="738"/>
  <c r="K56" i="739"/>
  <c r="K61" i="739"/>
  <c r="K77" i="739"/>
  <c r="K105" i="739"/>
  <c r="K49" i="740"/>
  <c r="K58" i="740"/>
  <c r="G100" i="740"/>
  <c r="H100" i="740" s="1"/>
  <c r="K70" i="741"/>
  <c r="G82" i="741"/>
  <c r="G83" i="741"/>
  <c r="G84" i="741"/>
  <c r="K88" i="741"/>
  <c r="K41" i="742"/>
  <c r="H102" i="742"/>
  <c r="K102" i="742" s="1"/>
  <c r="K41" i="743"/>
  <c r="I75" i="743"/>
  <c r="J75" i="743" s="1"/>
  <c r="K75" i="743" s="1"/>
  <c r="I84" i="746"/>
  <c r="J84" i="746" s="1"/>
  <c r="H84" i="746"/>
  <c r="K40" i="747"/>
  <c r="K42" i="747"/>
  <c r="K62" i="748"/>
  <c r="K95" i="748"/>
  <c r="K111" i="749"/>
  <c r="K17" i="749"/>
  <c r="K125" i="750"/>
  <c r="K130" i="750" s="1"/>
  <c r="J130" i="750"/>
  <c r="J17" i="750" s="1"/>
  <c r="K17" i="750"/>
  <c r="G50" i="752"/>
  <c r="K15" i="752"/>
  <c r="I95" i="753"/>
  <c r="J95" i="753" s="1"/>
  <c r="H95" i="753"/>
  <c r="K95" i="753" s="1"/>
  <c r="K46" i="754"/>
  <c r="I57" i="754"/>
  <c r="J57" i="754" s="1"/>
  <c r="H57" i="754"/>
  <c r="K57" i="754" s="1"/>
  <c r="J57" i="724"/>
  <c r="J13" i="724" s="1"/>
  <c r="J34" i="724" s="1"/>
  <c r="J16" i="720" s="1"/>
  <c r="G43" i="733"/>
  <c r="H43" i="733" s="1"/>
  <c r="K88" i="737"/>
  <c r="G44" i="741"/>
  <c r="I111" i="750"/>
  <c r="J111" i="750" s="1"/>
  <c r="M111" i="750" s="1"/>
  <c r="H111" i="750"/>
  <c r="H119" i="750"/>
  <c r="J119" i="750"/>
  <c r="K38" i="722"/>
  <c r="K38" i="723"/>
  <c r="K44" i="724"/>
  <c r="G47" i="727"/>
  <c r="I47" i="727" s="1"/>
  <c r="J47" i="727" s="1"/>
  <c r="J57" i="727" s="1"/>
  <c r="J13" i="727" s="1"/>
  <c r="J34" i="727" s="1"/>
  <c r="J19" i="720" s="1"/>
  <c r="K46" i="728"/>
  <c r="K46" i="729"/>
  <c r="K46" i="730"/>
  <c r="I44" i="733"/>
  <c r="J44" i="733" s="1"/>
  <c r="K44" i="733" s="1"/>
  <c r="K58" i="733"/>
  <c r="K62" i="733"/>
  <c r="K70" i="733"/>
  <c r="K117" i="733"/>
  <c r="K122" i="733"/>
  <c r="K130" i="733"/>
  <c r="K150" i="733"/>
  <c r="K156" i="733"/>
  <c r="K172" i="733"/>
  <c r="K56" i="734"/>
  <c r="K39" i="735"/>
  <c r="K42" i="736"/>
  <c r="K52" i="736"/>
  <c r="K81" i="736"/>
  <c r="I106" i="736"/>
  <c r="J106" i="736" s="1"/>
  <c r="K106" i="736" s="1"/>
  <c r="K122" i="736"/>
  <c r="K49" i="737"/>
  <c r="K51" i="737"/>
  <c r="K70" i="737"/>
  <c r="K39" i="738"/>
  <c r="K50" i="738"/>
  <c r="G72" i="738"/>
  <c r="K78" i="738"/>
  <c r="K81" i="738"/>
  <c r="K39" i="739"/>
  <c r="K54" i="739"/>
  <c r="K75" i="739"/>
  <c r="K80" i="739"/>
  <c r="K90" i="739"/>
  <c r="K115" i="739"/>
  <c r="K126" i="739"/>
  <c r="K39" i="740"/>
  <c r="K77" i="740"/>
  <c r="K89" i="740"/>
  <c r="K114" i="740"/>
  <c r="K121" i="740"/>
  <c r="K124" i="740"/>
  <c r="K127" i="740"/>
  <c r="K80" i="741"/>
  <c r="K81" i="741"/>
  <c r="K42" i="742"/>
  <c r="G82" i="742"/>
  <c r="K79" i="742"/>
  <c r="K80" i="742"/>
  <c r="H101" i="742"/>
  <c r="H54" i="743"/>
  <c r="I39" i="744"/>
  <c r="J39" i="744" s="1"/>
  <c r="H39" i="744"/>
  <c r="G49" i="746"/>
  <c r="K45" i="746"/>
  <c r="G55" i="746"/>
  <c r="H55" i="746" s="1"/>
  <c r="K54" i="746"/>
  <c r="K47" i="747"/>
  <c r="K79" i="747"/>
  <c r="I95" i="747"/>
  <c r="J95" i="747" s="1"/>
  <c r="H95" i="747"/>
  <c r="K113" i="747"/>
  <c r="K43" i="748"/>
  <c r="K127" i="749"/>
  <c r="K44" i="750"/>
  <c r="G57" i="750"/>
  <c r="I57" i="750" s="1"/>
  <c r="J57" i="750" s="1"/>
  <c r="K53" i="750"/>
  <c r="K18" i="750"/>
  <c r="K71" i="751"/>
  <c r="H55" i="755"/>
  <c r="I55" i="755"/>
  <c r="J55" i="755" s="1"/>
  <c r="K46" i="749"/>
  <c r="K67" i="749"/>
  <c r="K88" i="749"/>
  <c r="K90" i="749"/>
  <c r="K64" i="750"/>
  <c r="K44" i="751"/>
  <c r="K46" i="751"/>
  <c r="K112" i="751"/>
  <c r="K40" i="752"/>
  <c r="K43" i="752"/>
  <c r="J76" i="752"/>
  <c r="J14" i="752" s="1"/>
  <c r="K69" i="752"/>
  <c r="K73" i="752"/>
  <c r="K105" i="752"/>
  <c r="K47" i="753"/>
  <c r="K67" i="753"/>
  <c r="K71" i="753"/>
  <c r="J109" i="753"/>
  <c r="K67" i="754"/>
  <c r="H118" i="754"/>
  <c r="H17" i="754" s="1"/>
  <c r="K17" i="754" s="1"/>
  <c r="J76" i="755"/>
  <c r="J14" i="755" s="1"/>
  <c r="K64" i="755"/>
  <c r="K67" i="755"/>
  <c r="K71" i="755"/>
  <c r="K45" i="756"/>
  <c r="K95" i="756"/>
  <c r="K104" i="756"/>
  <c r="K42" i="757"/>
  <c r="K82" i="757"/>
  <c r="K95" i="757"/>
  <c r="K90" i="759"/>
  <c r="K96" i="759"/>
  <c r="K101" i="759"/>
  <c r="K103" i="759"/>
  <c r="K120" i="759"/>
  <c r="O13" i="760" a="1"/>
  <c r="O13" i="760" s="1"/>
  <c r="K69" i="760"/>
  <c r="H77" i="760"/>
  <c r="J77" i="760"/>
  <c r="J105" i="760"/>
  <c r="J109" i="760" s="1"/>
  <c r="J16" i="760" s="1"/>
  <c r="H105" i="760"/>
  <c r="K105" i="760" s="1"/>
  <c r="K148" i="760"/>
  <c r="J156" i="760"/>
  <c r="J75" i="761"/>
  <c r="K75" i="761" s="1"/>
  <c r="K121" i="761"/>
  <c r="K194" i="761"/>
  <c r="I138" i="763"/>
  <c r="J138" i="763" s="1"/>
  <c r="H138" i="763"/>
  <c r="H220" i="763"/>
  <c r="F220" i="763"/>
  <c r="H76" i="754"/>
  <c r="H14" i="754" s="1"/>
  <c r="G51" i="755"/>
  <c r="J76" i="757"/>
  <c r="J14" i="757" s="1"/>
  <c r="H46" i="759"/>
  <c r="H12" i="759" s="1"/>
  <c r="O14" i="760" a="1"/>
  <c r="O14" i="760" s="1"/>
  <c r="J38" i="760"/>
  <c r="H65" i="760"/>
  <c r="J65" i="760"/>
  <c r="H76" i="760"/>
  <c r="J76" i="760"/>
  <c r="O17" i="760" a="1"/>
  <c r="O17" i="760" s="1"/>
  <c r="J209" i="760"/>
  <c r="J22" i="760" s="1"/>
  <c r="J67" i="761"/>
  <c r="H67" i="761"/>
  <c r="K67" i="761" s="1"/>
  <c r="J157" i="761"/>
  <c r="G160" i="761"/>
  <c r="H160" i="761" s="1"/>
  <c r="F166" i="761"/>
  <c r="H166" i="761"/>
  <c r="F188" i="761"/>
  <c r="J188" i="761"/>
  <c r="K66" i="763"/>
  <c r="K69" i="763"/>
  <c r="K72" i="763"/>
  <c r="E89" i="763"/>
  <c r="J89" i="763" s="1"/>
  <c r="E82" i="763"/>
  <c r="H82" i="763" s="1"/>
  <c r="H79" i="763"/>
  <c r="H104" i="763"/>
  <c r="K104" i="763" s="1"/>
  <c r="J104" i="763"/>
  <c r="H106" i="763"/>
  <c r="J106" i="763"/>
  <c r="K214" i="763"/>
  <c r="K278" i="763"/>
  <c r="K209" i="764"/>
  <c r="K218" i="764"/>
  <c r="K113" i="740"/>
  <c r="K122" i="740"/>
  <c r="K49" i="741"/>
  <c r="K78" i="741"/>
  <c r="K113" i="741"/>
  <c r="K115" i="741"/>
  <c r="K40" i="742"/>
  <c r="K49" i="742"/>
  <c r="K52" i="742"/>
  <c r="K70" i="742"/>
  <c r="K78" i="742"/>
  <c r="K91" i="742"/>
  <c r="K116" i="742"/>
  <c r="K126" i="742"/>
  <c r="K47" i="743"/>
  <c r="G48" i="746"/>
  <c r="H48" i="746" s="1"/>
  <c r="G51" i="746"/>
  <c r="I51" i="746" s="1"/>
  <c r="J51" i="746" s="1"/>
  <c r="K41" i="747"/>
  <c r="K44" i="747"/>
  <c r="K54" i="747"/>
  <c r="K78" i="747"/>
  <c r="K38" i="748"/>
  <c r="K46" i="748"/>
  <c r="K71" i="748"/>
  <c r="K42" i="749"/>
  <c r="K47" i="749"/>
  <c r="K62" i="750"/>
  <c r="K67" i="750"/>
  <c r="K43" i="751"/>
  <c r="K45" i="751"/>
  <c r="K47" i="751"/>
  <c r="J76" i="751"/>
  <c r="J14" i="751" s="1"/>
  <c r="K104" i="751"/>
  <c r="K71" i="752"/>
  <c r="J109" i="752"/>
  <c r="J16" i="752" s="1"/>
  <c r="J84" i="753"/>
  <c r="K45" i="754"/>
  <c r="K73" i="754"/>
  <c r="K69" i="755"/>
  <c r="K73" i="755"/>
  <c r="J84" i="755"/>
  <c r="J15" i="755" s="1"/>
  <c r="K111" i="755"/>
  <c r="K39" i="756"/>
  <c r="K41" i="756"/>
  <c r="K62" i="756"/>
  <c r="K43" i="757"/>
  <c r="K81" i="757"/>
  <c r="K103" i="757"/>
  <c r="K39" i="759"/>
  <c r="K46" i="759" s="1"/>
  <c r="H70" i="759"/>
  <c r="K70" i="759" s="1"/>
  <c r="K112" i="759"/>
  <c r="K115" i="759"/>
  <c r="K119" i="759"/>
  <c r="H142" i="759"/>
  <c r="K149" i="759"/>
  <c r="J155" i="759"/>
  <c r="J18" i="759" s="1"/>
  <c r="J51" i="760"/>
  <c r="K64" i="760"/>
  <c r="J68" i="760"/>
  <c r="K68" i="760" s="1"/>
  <c r="K71" i="760"/>
  <c r="J147" i="760"/>
  <c r="K147" i="760" s="1"/>
  <c r="H157" i="760"/>
  <c r="J157" i="760"/>
  <c r="J37" i="761"/>
  <c r="E133" i="761"/>
  <c r="H49" i="761"/>
  <c r="K49" i="761" s="1"/>
  <c r="H63" i="761"/>
  <c r="J63" i="761"/>
  <c r="K76" i="761"/>
  <c r="K143" i="761"/>
  <c r="J166" i="761"/>
  <c r="F174" i="761"/>
  <c r="J174" i="761"/>
  <c r="H178" i="761"/>
  <c r="J178" i="761"/>
  <c r="H188" i="761"/>
  <c r="J40" i="763"/>
  <c r="J47" i="763" s="1"/>
  <c r="J12" i="763" s="1"/>
  <c r="H40" i="763"/>
  <c r="J76" i="763"/>
  <c r="J13" i="763" s="1"/>
  <c r="K63" i="763"/>
  <c r="F230" i="763"/>
  <c r="H230" i="763"/>
  <c r="J230" i="763"/>
  <c r="K233" i="763"/>
  <c r="F235" i="763"/>
  <c r="J235" i="763"/>
  <c r="H235" i="763"/>
  <c r="F262" i="763"/>
  <c r="J262" i="763"/>
  <c r="K262" i="763" s="1"/>
  <c r="H262" i="763"/>
  <c r="K45" i="747"/>
  <c r="K62" i="747"/>
  <c r="K66" i="747"/>
  <c r="H84" i="747"/>
  <c r="H15" i="747" s="1"/>
  <c r="J75" i="748"/>
  <c r="J14" i="748" s="1"/>
  <c r="G49" i="749"/>
  <c r="K76" i="749"/>
  <c r="K112" i="749"/>
  <c r="K19" i="749"/>
  <c r="K45" i="750"/>
  <c r="K47" i="750"/>
  <c r="J84" i="750"/>
  <c r="J14" i="750" s="1"/>
  <c r="K69" i="750"/>
  <c r="K67" i="751"/>
  <c r="K76" i="751" s="1"/>
  <c r="K73" i="751"/>
  <c r="K18" i="752"/>
  <c r="K42" i="753"/>
  <c r="K81" i="753"/>
  <c r="J118" i="753"/>
  <c r="J17" i="753" s="1"/>
  <c r="K39" i="754"/>
  <c r="K47" i="754"/>
  <c r="K106" i="754"/>
  <c r="K104" i="755"/>
  <c r="K64" i="756"/>
  <c r="K82" i="756"/>
  <c r="K45" i="757"/>
  <c r="K62" i="757"/>
  <c r="K19" i="759"/>
  <c r="J70" i="760"/>
  <c r="H70" i="760"/>
  <c r="K70" i="760" s="1"/>
  <c r="J149" i="760"/>
  <c r="H149" i="760"/>
  <c r="K156" i="760"/>
  <c r="J167" i="760"/>
  <c r="H167" i="760"/>
  <c r="H172" i="761"/>
  <c r="K172" i="761" s="1"/>
  <c r="F172" i="761"/>
  <c r="J105" i="763"/>
  <c r="H105" i="763"/>
  <c r="H107" i="763"/>
  <c r="J107" i="763"/>
  <c r="H152" i="763"/>
  <c r="J152" i="763"/>
  <c r="F251" i="763"/>
  <c r="J251" i="763"/>
  <c r="K251" i="763" s="1"/>
  <c r="H251" i="763"/>
  <c r="H265" i="763"/>
  <c r="J265" i="763"/>
  <c r="I178" i="765"/>
  <c r="J178" i="765" s="1"/>
  <c r="H178" i="765"/>
  <c r="J79" i="763"/>
  <c r="G139" i="763"/>
  <c r="J148" i="763"/>
  <c r="O15" i="763" a="1"/>
  <c r="O15" i="763" s="1"/>
  <c r="K289" i="763"/>
  <c r="J98" i="764"/>
  <c r="K98" i="764" s="1"/>
  <c r="J100" i="764"/>
  <c r="H210" i="764"/>
  <c r="H213" i="764"/>
  <c r="H220" i="764"/>
  <c r="H227" i="764"/>
  <c r="H233" i="764"/>
  <c r="F233" i="764"/>
  <c r="J246" i="764"/>
  <c r="H246" i="764"/>
  <c r="K246" i="764" s="1"/>
  <c r="F246" i="764"/>
  <c r="J249" i="764"/>
  <c r="H249" i="764"/>
  <c r="H252" i="764"/>
  <c r="K252" i="764" s="1"/>
  <c r="F252" i="764"/>
  <c r="O14" i="765" a="1"/>
  <c r="O14" i="765" s="1"/>
  <c r="H97" i="765"/>
  <c r="J97" i="765"/>
  <c r="I119" i="765"/>
  <c r="J119" i="765" s="1"/>
  <c r="H119" i="765"/>
  <c r="J141" i="765"/>
  <c r="H141" i="765"/>
  <c r="K141" i="765" s="1"/>
  <c r="J219" i="765"/>
  <c r="H219" i="765"/>
  <c r="F219" i="765"/>
  <c r="F235" i="765"/>
  <c r="H235" i="765"/>
  <c r="G139" i="766"/>
  <c r="K135" i="766"/>
  <c r="J229" i="766"/>
  <c r="K229" i="766" s="1"/>
  <c r="F229" i="766"/>
  <c r="H229" i="766"/>
  <c r="K105" i="756"/>
  <c r="K73" i="757"/>
  <c r="K111" i="757"/>
  <c r="K72" i="759"/>
  <c r="K87" i="759"/>
  <c r="K95" i="759"/>
  <c r="K98" i="759"/>
  <c r="K102" i="759"/>
  <c r="K113" i="759"/>
  <c r="K116" i="759"/>
  <c r="K136" i="759"/>
  <c r="K152" i="759"/>
  <c r="K94" i="760"/>
  <c r="K103" i="760"/>
  <c r="K131" i="760"/>
  <c r="K165" i="760"/>
  <c r="K193" i="760"/>
  <c r="K71" i="761"/>
  <c r="K90" i="761"/>
  <c r="K97" i="761"/>
  <c r="K117" i="761"/>
  <c r="K119" i="761"/>
  <c r="K144" i="761"/>
  <c r="K151" i="761"/>
  <c r="K199" i="761"/>
  <c r="K201" i="761"/>
  <c r="K207" i="761"/>
  <c r="K171" i="762"/>
  <c r="K301" i="762"/>
  <c r="K60" i="763"/>
  <c r="K68" i="763"/>
  <c r="J82" i="763"/>
  <c r="K123" i="763"/>
  <c r="K136" i="763"/>
  <c r="J151" i="763"/>
  <c r="K151" i="763" s="1"/>
  <c r="J155" i="763"/>
  <c r="K155" i="763" s="1"/>
  <c r="K164" i="763"/>
  <c r="K196" i="763"/>
  <c r="K205" i="763"/>
  <c r="K241" i="763"/>
  <c r="F255" i="763"/>
  <c r="F257" i="763"/>
  <c r="K284" i="763"/>
  <c r="J295" i="763"/>
  <c r="K295" i="763" s="1"/>
  <c r="K41" i="764"/>
  <c r="K51" i="764"/>
  <c r="H156" i="764"/>
  <c r="K156" i="764" s="1"/>
  <c r="F209" i="764"/>
  <c r="J210" i="764"/>
  <c r="J213" i="764"/>
  <c r="F214" i="764"/>
  <c r="F218" i="764"/>
  <c r="J220" i="764"/>
  <c r="J227" i="764"/>
  <c r="H232" i="764"/>
  <c r="F232" i="764"/>
  <c r="J233" i="764"/>
  <c r="J234" i="764"/>
  <c r="K234" i="764" s="1"/>
  <c r="H240" i="764"/>
  <c r="K240" i="764" s="1"/>
  <c r="F249" i="764"/>
  <c r="F251" i="764"/>
  <c r="J251" i="764"/>
  <c r="K251" i="764" s="1"/>
  <c r="J252" i="764"/>
  <c r="K264" i="764"/>
  <c r="J87" i="765"/>
  <c r="H87" i="765"/>
  <c r="H121" i="765"/>
  <c r="I121" i="765"/>
  <c r="J121" i="765" s="1"/>
  <c r="J200" i="765"/>
  <c r="H200" i="765"/>
  <c r="F200" i="765"/>
  <c r="F214" i="765"/>
  <c r="J214" i="765"/>
  <c r="H214" i="765"/>
  <c r="K49" i="766"/>
  <c r="J103" i="766"/>
  <c r="H103" i="766"/>
  <c r="J234" i="766"/>
  <c r="H234" i="766"/>
  <c r="F234" i="766"/>
  <c r="K214" i="764"/>
  <c r="J238" i="764"/>
  <c r="F238" i="764"/>
  <c r="F242" i="764"/>
  <c r="J242" i="764"/>
  <c r="F245" i="764"/>
  <c r="J245" i="764"/>
  <c r="H245" i="764"/>
  <c r="J247" i="764"/>
  <c r="F247" i="764"/>
  <c r="H254" i="764"/>
  <c r="F254" i="764"/>
  <c r="J288" i="764"/>
  <c r="H288" i="764"/>
  <c r="E150" i="765"/>
  <c r="J74" i="765"/>
  <c r="J78" i="765" s="1"/>
  <c r="J14" i="765" s="1"/>
  <c r="H74" i="765"/>
  <c r="F230" i="765"/>
  <c r="H230" i="765"/>
  <c r="H45" i="766"/>
  <c r="H12" i="766" s="1"/>
  <c r="K39" i="766"/>
  <c r="J112" i="766"/>
  <c r="H112" i="766"/>
  <c r="O15" i="766" a="1"/>
  <c r="O15" i="766" s="1"/>
  <c r="H211" i="766"/>
  <c r="F211" i="766"/>
  <c r="J211" i="766"/>
  <c r="O22" i="760" a="1"/>
  <c r="O22" i="760" s="1"/>
  <c r="O20" i="760" a="1"/>
  <c r="O20" i="760" s="1"/>
  <c r="K63" i="760"/>
  <c r="O16" i="760" a="1"/>
  <c r="O16" i="760" s="1"/>
  <c r="K73" i="760"/>
  <c r="K194" i="760"/>
  <c r="K195" i="760"/>
  <c r="K70" i="761"/>
  <c r="K89" i="761"/>
  <c r="J113" i="761"/>
  <c r="K113" i="761" s="1"/>
  <c r="K116" i="761"/>
  <c r="K120" i="761"/>
  <c r="J169" i="761"/>
  <c r="J186" i="761"/>
  <c r="K186" i="761" s="1"/>
  <c r="K200" i="761"/>
  <c r="K208" i="761"/>
  <c r="K55" i="763"/>
  <c r="K58" i="763"/>
  <c r="K62" i="763"/>
  <c r="J91" i="763"/>
  <c r="H113" i="763"/>
  <c r="K192" i="763"/>
  <c r="K204" i="763"/>
  <c r="J221" i="763"/>
  <c r="K221" i="763" s="1"/>
  <c r="K243" i="763"/>
  <c r="K264" i="763"/>
  <c r="K266" i="763"/>
  <c r="K57" i="764"/>
  <c r="J76" i="764"/>
  <c r="H101" i="764"/>
  <c r="K101" i="764" s="1"/>
  <c r="K126" i="764"/>
  <c r="K137" i="764"/>
  <c r="J146" i="764"/>
  <c r="K146" i="764" s="1"/>
  <c r="J153" i="764"/>
  <c r="K153" i="764" s="1"/>
  <c r="K158" i="764"/>
  <c r="E164" i="764"/>
  <c r="K184" i="764"/>
  <c r="K212" i="764"/>
  <c r="H241" i="764"/>
  <c r="J241" i="764"/>
  <c r="H242" i="764"/>
  <c r="J254" i="764"/>
  <c r="K62" i="765"/>
  <c r="J215" i="765"/>
  <c r="H215" i="765"/>
  <c r="F215" i="765"/>
  <c r="J217" i="765"/>
  <c r="H217" i="765"/>
  <c r="K217" i="765" s="1"/>
  <c r="F217" i="765"/>
  <c r="K229" i="765"/>
  <c r="K50" i="766"/>
  <c r="H207" i="766"/>
  <c r="J207" i="766"/>
  <c r="F207" i="766"/>
  <c r="J233" i="766"/>
  <c r="H233" i="766"/>
  <c r="K233" i="766" s="1"/>
  <c r="F233" i="766"/>
  <c r="J239" i="766"/>
  <c r="H239" i="766"/>
  <c r="F239" i="766"/>
  <c r="K57" i="767"/>
  <c r="J71" i="767"/>
  <c r="E74" i="767"/>
  <c r="H74" i="767" s="1"/>
  <c r="H71" i="767"/>
  <c r="H75" i="767" s="1"/>
  <c r="H14" i="767" s="1"/>
  <c r="K258" i="764"/>
  <c r="J83" i="765"/>
  <c r="K165" i="765"/>
  <c r="K176" i="765"/>
  <c r="K189" i="765"/>
  <c r="H211" i="765"/>
  <c r="K211" i="765" s="1"/>
  <c r="H213" i="765"/>
  <c r="K213" i="765" s="1"/>
  <c r="J222" i="765"/>
  <c r="H223" i="765"/>
  <c r="K223" i="765" s="1"/>
  <c r="J226" i="765"/>
  <c r="K226" i="765" s="1"/>
  <c r="H227" i="765"/>
  <c r="K227" i="765" s="1"/>
  <c r="H229" i="765"/>
  <c r="H232" i="765"/>
  <c r="K232" i="765" s="1"/>
  <c r="H234" i="765"/>
  <c r="H236" i="765"/>
  <c r="K236" i="765" s="1"/>
  <c r="K248" i="765"/>
  <c r="K56" i="766"/>
  <c r="K58" i="766"/>
  <c r="K59" i="766"/>
  <c r="K61" i="766"/>
  <c r="E76" i="766"/>
  <c r="E106" i="766"/>
  <c r="H106" i="766" s="1"/>
  <c r="H218" i="766"/>
  <c r="J218" i="766"/>
  <c r="J238" i="766"/>
  <c r="H238" i="766"/>
  <c r="H274" i="766"/>
  <c r="H145" i="767"/>
  <c r="J145" i="767"/>
  <c r="H202" i="767"/>
  <c r="J202" i="767"/>
  <c r="F202" i="767"/>
  <c r="J217" i="767"/>
  <c r="H217" i="767"/>
  <c r="F217" i="767"/>
  <c r="K39" i="768"/>
  <c r="K274" i="764"/>
  <c r="K291" i="764"/>
  <c r="K55" i="765"/>
  <c r="K61" i="765"/>
  <c r="H83" i="765"/>
  <c r="K115" i="765"/>
  <c r="H136" i="765"/>
  <c r="K136" i="765" s="1"/>
  <c r="H138" i="765"/>
  <c r="K138" i="765" s="1"/>
  <c r="K152" i="765"/>
  <c r="K177" i="765"/>
  <c r="H224" i="765"/>
  <c r="K224" i="765" s="1"/>
  <c r="K260" i="765"/>
  <c r="H100" i="766"/>
  <c r="J100" i="766"/>
  <c r="H102" i="766"/>
  <c r="K102" i="766" s="1"/>
  <c r="J150" i="766"/>
  <c r="K150" i="766" s="1"/>
  <c r="H152" i="766"/>
  <c r="J154" i="766"/>
  <c r="K154" i="766" s="1"/>
  <c r="K190" i="766"/>
  <c r="F218" i="766"/>
  <c r="K224" i="766"/>
  <c r="J225" i="766"/>
  <c r="H225" i="766"/>
  <c r="K232" i="766"/>
  <c r="J237" i="766"/>
  <c r="H237" i="766"/>
  <c r="F238" i="766"/>
  <c r="J242" i="766"/>
  <c r="H242" i="766"/>
  <c r="K242" i="766" s="1"/>
  <c r="K273" i="764"/>
  <c r="K289" i="764"/>
  <c r="K106" i="765"/>
  <c r="I190" i="765"/>
  <c r="J190" i="765" s="1"/>
  <c r="K247" i="765"/>
  <c r="K259" i="765"/>
  <c r="K267" i="765"/>
  <c r="K99" i="766"/>
  <c r="K145" i="766"/>
  <c r="G201" i="766"/>
  <c r="H201" i="766" s="1"/>
  <c r="H198" i="766"/>
  <c r="K198" i="766" s="1"/>
  <c r="J235" i="766"/>
  <c r="H235" i="766"/>
  <c r="F235" i="766"/>
  <c r="K236" i="766"/>
  <c r="J241" i="766"/>
  <c r="H241" i="766"/>
  <c r="H252" i="766"/>
  <c r="J252" i="766"/>
  <c r="J147" i="767"/>
  <c r="H147" i="767"/>
  <c r="J221" i="767"/>
  <c r="H221" i="767"/>
  <c r="F221" i="767"/>
  <c r="H223" i="767"/>
  <c r="J223" i="767"/>
  <c r="F223" i="767"/>
  <c r="K225" i="767"/>
  <c r="K64" i="768"/>
  <c r="K259" i="766"/>
  <c r="K262" i="766"/>
  <c r="K278" i="766"/>
  <c r="K118" i="767"/>
  <c r="K181" i="767"/>
  <c r="F245" i="767"/>
  <c r="H274" i="767"/>
  <c r="O19" i="768" a="1"/>
  <c r="O19" i="768" s="1"/>
  <c r="J65" i="768"/>
  <c r="E105" i="768"/>
  <c r="G184" i="768"/>
  <c r="I184" i="768" s="1"/>
  <c r="J184" i="768" s="1"/>
  <c r="H212" i="768"/>
  <c r="K212" i="768" s="1"/>
  <c r="F214" i="768"/>
  <c r="H215" i="768"/>
  <c r="K215" i="768" s="1"/>
  <c r="H216" i="768"/>
  <c r="K216" i="768" s="1"/>
  <c r="J230" i="768"/>
  <c r="J234" i="768"/>
  <c r="K234" i="768" s="1"/>
  <c r="J239" i="768"/>
  <c r="H268" i="768"/>
  <c r="K268" i="768" s="1"/>
  <c r="H269" i="768"/>
  <c r="K269" i="768" s="1"/>
  <c r="K273" i="768"/>
  <c r="H198" i="769"/>
  <c r="F282" i="769"/>
  <c r="H286" i="769"/>
  <c r="K312" i="769"/>
  <c r="K51" i="770"/>
  <c r="K53" i="772"/>
  <c r="K59" i="772" s="1"/>
  <c r="K136" i="766"/>
  <c r="K151" i="766"/>
  <c r="K191" i="766"/>
  <c r="K231" i="766"/>
  <c r="J244" i="766"/>
  <c r="K244" i="766" s="1"/>
  <c r="F246" i="766"/>
  <c r="K265" i="766"/>
  <c r="J269" i="766"/>
  <c r="K276" i="766"/>
  <c r="J45" i="767"/>
  <c r="J12" i="767" s="1"/>
  <c r="K55" i="767"/>
  <c r="K113" i="767"/>
  <c r="H144" i="767"/>
  <c r="K144" i="767" s="1"/>
  <c r="K183" i="767"/>
  <c r="H190" i="767"/>
  <c r="G193" i="767"/>
  <c r="H193" i="767" s="1"/>
  <c r="K193" i="767" s="1"/>
  <c r="K212" i="767"/>
  <c r="H214" i="767"/>
  <c r="F215" i="767"/>
  <c r="J222" i="767"/>
  <c r="F224" i="767"/>
  <c r="J225" i="767"/>
  <c r="F233" i="767"/>
  <c r="H245" i="767"/>
  <c r="K245" i="767" s="1"/>
  <c r="H273" i="767"/>
  <c r="H78" i="768"/>
  <c r="H92" i="768"/>
  <c r="K92" i="768" s="1"/>
  <c r="J93" i="768"/>
  <c r="K93" i="768" s="1"/>
  <c r="J97" i="768"/>
  <c r="K118" i="768"/>
  <c r="K143" i="768"/>
  <c r="J147" i="768"/>
  <c r="E155" i="768"/>
  <c r="K159" i="768"/>
  <c r="K186" i="768"/>
  <c r="G195" i="768"/>
  <c r="H195" i="768" s="1"/>
  <c r="K195" i="768" s="1"/>
  <c r="J203" i="768"/>
  <c r="K203" i="768" s="1"/>
  <c r="H204" i="768"/>
  <c r="K204" i="768" s="1"/>
  <c r="J214" i="768"/>
  <c r="K214" i="768" s="1"/>
  <c r="K37" i="769"/>
  <c r="K52" i="769"/>
  <c r="J122" i="769"/>
  <c r="K178" i="769"/>
  <c r="K254" i="769"/>
  <c r="F273" i="769"/>
  <c r="F279" i="769"/>
  <c r="H282" i="769"/>
  <c r="K103" i="770"/>
  <c r="K12" i="771"/>
  <c r="K16" i="771"/>
  <c r="K46" i="772"/>
  <c r="O12" i="767" a="1"/>
  <c r="O12" i="767" s="1"/>
  <c r="K38" i="767"/>
  <c r="K51" i="767"/>
  <c r="K54" i="767"/>
  <c r="J92" i="767"/>
  <c r="K92" i="767" s="1"/>
  <c r="H93" i="767"/>
  <c r="K93" i="767" s="1"/>
  <c r="K114" i="767"/>
  <c r="K117" i="767"/>
  <c r="J141" i="767"/>
  <c r="J146" i="767"/>
  <c r="K156" i="767"/>
  <c r="K169" i="767"/>
  <c r="J190" i="767"/>
  <c r="J196" i="767" s="1"/>
  <c r="J22" i="767" s="1"/>
  <c r="K211" i="767"/>
  <c r="J214" i="767"/>
  <c r="J224" i="767"/>
  <c r="K224" i="767" s="1"/>
  <c r="J233" i="767"/>
  <c r="K233" i="767" s="1"/>
  <c r="J62" i="768"/>
  <c r="K89" i="768"/>
  <c r="H95" i="768"/>
  <c r="K95" i="768" s="1"/>
  <c r="J107" i="768"/>
  <c r="K107" i="768" s="1"/>
  <c r="K115" i="768"/>
  <c r="K148" i="768"/>
  <c r="K172" i="768"/>
  <c r="K209" i="768"/>
  <c r="F229" i="768"/>
  <c r="J232" i="768"/>
  <c r="K232" i="768" s="1"/>
  <c r="F238" i="768"/>
  <c r="J241" i="768"/>
  <c r="K241" i="768" s="1"/>
  <c r="H243" i="768"/>
  <c r="K243" i="768" s="1"/>
  <c r="J244" i="768"/>
  <c r="K244" i="768" s="1"/>
  <c r="J98" i="769"/>
  <c r="K98" i="769" s="1"/>
  <c r="J99" i="769"/>
  <c r="J159" i="769"/>
  <c r="J18" i="769" s="1"/>
  <c r="K216" i="769"/>
  <c r="H273" i="769"/>
  <c r="K273" i="769" s="1"/>
  <c r="H295" i="769"/>
  <c r="K309" i="769"/>
  <c r="K89" i="770"/>
  <c r="O20" i="767" a="1"/>
  <c r="O20" i="767" s="1"/>
  <c r="J44" i="768"/>
  <c r="J12" i="768" s="1"/>
  <c r="K12" i="768" s="1"/>
  <c r="K240" i="769"/>
  <c r="K253" i="769"/>
  <c r="F291" i="769"/>
  <c r="K95" i="770"/>
  <c r="K15" i="771"/>
  <c r="K45" i="772"/>
  <c r="K48" i="772" s="1"/>
  <c r="J75" i="770"/>
  <c r="K75" i="770" s="1"/>
  <c r="K101" i="770"/>
  <c r="O15" i="770" a="1"/>
  <c r="O15" i="770" s="1"/>
  <c r="J76" i="770"/>
  <c r="K76" i="770" s="1"/>
  <c r="K49" i="770"/>
  <c r="J134" i="770"/>
  <c r="J16" i="770" s="1"/>
  <c r="J42" i="770"/>
  <c r="H99" i="770"/>
  <c r="K99" i="770" s="1"/>
  <c r="H42" i="770"/>
  <c r="O17" i="770" a="1"/>
  <c r="O17" i="770" s="1"/>
  <c r="K52" i="770"/>
  <c r="G54" i="770"/>
  <c r="H54" i="770" s="1"/>
  <c r="G55" i="770"/>
  <c r="I55" i="770" s="1"/>
  <c r="J55" i="770" s="1"/>
  <c r="J91" i="770"/>
  <c r="K91" i="770" s="1"/>
  <c r="K114" i="770"/>
  <c r="K134" i="770" s="1"/>
  <c r="K50" i="770"/>
  <c r="K87" i="770"/>
  <c r="K92" i="770"/>
  <c r="J43" i="770"/>
  <c r="H93" i="770"/>
  <c r="K93" i="770" s="1"/>
  <c r="H78" i="770"/>
  <c r="K78" i="770" s="1"/>
  <c r="J98" i="770"/>
  <c r="K98" i="770" s="1"/>
  <c r="K80" i="770"/>
  <c r="K94" i="770"/>
  <c r="J120" i="769"/>
  <c r="J124" i="769"/>
  <c r="K168" i="769"/>
  <c r="K177" i="769"/>
  <c r="J190" i="769"/>
  <c r="K190" i="769" s="1"/>
  <c r="K198" i="769"/>
  <c r="H268" i="769"/>
  <c r="K268" i="769" s="1"/>
  <c r="K315" i="769"/>
  <c r="F283" i="769"/>
  <c r="F296" i="769"/>
  <c r="J65" i="769"/>
  <c r="K226" i="769"/>
  <c r="H270" i="769"/>
  <c r="F288" i="769"/>
  <c r="K339" i="769"/>
  <c r="J136" i="769"/>
  <c r="K136" i="769" s="1"/>
  <c r="F264" i="769"/>
  <c r="H280" i="769"/>
  <c r="K280" i="769" s="1"/>
  <c r="H288" i="769"/>
  <c r="K288" i="769" s="1"/>
  <c r="H292" i="769"/>
  <c r="O15" i="769" a="1"/>
  <c r="O15" i="769" s="1"/>
  <c r="G179" i="769"/>
  <c r="K241" i="769"/>
  <c r="K275" i="769"/>
  <c r="K308" i="769"/>
  <c r="K166" i="769"/>
  <c r="J195" i="769"/>
  <c r="K195" i="769" s="1"/>
  <c r="K215" i="769"/>
  <c r="F262" i="769"/>
  <c r="K272" i="769"/>
  <c r="F289" i="769"/>
  <c r="K318" i="769"/>
  <c r="K51" i="769"/>
  <c r="K176" i="769"/>
  <c r="J187" i="769"/>
  <c r="K187" i="769" s="1"/>
  <c r="H262" i="769"/>
  <c r="F295" i="769"/>
  <c r="J105" i="769"/>
  <c r="K143" i="769"/>
  <c r="K167" i="769"/>
  <c r="F268" i="769"/>
  <c r="K56" i="769"/>
  <c r="K50" i="769"/>
  <c r="J101" i="769"/>
  <c r="K101" i="769" s="1"/>
  <c r="J128" i="769"/>
  <c r="K128" i="769" s="1"/>
  <c r="H134" i="769"/>
  <c r="K165" i="769"/>
  <c r="E214" i="769"/>
  <c r="K228" i="769"/>
  <c r="H263" i="769"/>
  <c r="K263" i="769" s="1"/>
  <c r="J280" i="769"/>
  <c r="J286" i="769"/>
  <c r="J292" i="769"/>
  <c r="K314" i="769"/>
  <c r="J323" i="769"/>
  <c r="H197" i="769"/>
  <c r="K197" i="769" s="1"/>
  <c r="F284" i="769"/>
  <c r="F290" i="769"/>
  <c r="F297" i="769"/>
  <c r="O16" i="769" a="1"/>
  <c r="O16" i="769" s="1"/>
  <c r="H105" i="769"/>
  <c r="F281" i="769"/>
  <c r="H284" i="769"/>
  <c r="F287" i="769"/>
  <c r="H290" i="769"/>
  <c r="F294" i="769"/>
  <c r="H297" i="769"/>
  <c r="K297" i="769" s="1"/>
  <c r="J324" i="769"/>
  <c r="K324" i="769" s="1"/>
  <c r="K49" i="769"/>
  <c r="K53" i="769"/>
  <c r="J71" i="769"/>
  <c r="K71" i="769" s="1"/>
  <c r="J90" i="769"/>
  <c r="J111" i="769"/>
  <c r="H122" i="769"/>
  <c r="K122" i="769" s="1"/>
  <c r="K311" i="769"/>
  <c r="H111" i="769"/>
  <c r="K264" i="769"/>
  <c r="K320" i="769"/>
  <c r="O21" i="769" a="1"/>
  <c r="O21" i="769" s="1"/>
  <c r="H45" i="769"/>
  <c r="H12" i="769" s="1"/>
  <c r="J115" i="769"/>
  <c r="K115" i="769" s="1"/>
  <c r="K144" i="769"/>
  <c r="K270" i="769"/>
  <c r="K316" i="769"/>
  <c r="O18" i="769" a="1"/>
  <c r="O18" i="769" s="1"/>
  <c r="O12" i="769" a="1"/>
  <c r="O12" i="769" s="1"/>
  <c r="K38" i="769"/>
  <c r="H65" i="769"/>
  <c r="H103" i="769"/>
  <c r="K103" i="769" s="1"/>
  <c r="H133" i="769"/>
  <c r="K133" i="769" s="1"/>
  <c r="H194" i="769"/>
  <c r="K194" i="769" s="1"/>
  <c r="I246" i="769"/>
  <c r="J246" i="769" s="1"/>
  <c r="H337" i="769"/>
  <c r="K337" i="769" s="1"/>
  <c r="O13" i="769" a="1"/>
  <c r="O13" i="769" s="1"/>
  <c r="J100" i="769"/>
  <c r="K100" i="769" s="1"/>
  <c r="H120" i="769"/>
  <c r="K120" i="769" s="1"/>
  <c r="K163" i="769"/>
  <c r="K238" i="769"/>
  <c r="F265" i="769"/>
  <c r="K313" i="769"/>
  <c r="K317" i="769"/>
  <c r="K124" i="769"/>
  <c r="J188" i="769"/>
  <c r="K188" i="769" s="1"/>
  <c r="K213" i="769"/>
  <c r="H265" i="769"/>
  <c r="K265" i="769" s="1"/>
  <c r="K326" i="769"/>
  <c r="J73" i="769"/>
  <c r="K73" i="769" s="1"/>
  <c r="H159" i="769"/>
  <c r="H18" i="769" s="1"/>
  <c r="K293" i="762"/>
  <c r="K308" i="762"/>
  <c r="J44" i="762"/>
  <c r="J12" i="762" s="1"/>
  <c r="J102" i="762"/>
  <c r="K115" i="762"/>
  <c r="K138" i="762"/>
  <c r="K255" i="762"/>
  <c r="K252" i="762"/>
  <c r="K210" i="762"/>
  <c r="K170" i="762"/>
  <c r="K207" i="762"/>
  <c r="K218" i="762"/>
  <c r="K119" i="762"/>
  <c r="K182" i="762"/>
  <c r="K193" i="762"/>
  <c r="J62" i="762"/>
  <c r="K62" i="762" s="1"/>
  <c r="K184" i="762"/>
  <c r="K141" i="762"/>
  <c r="K215" i="762"/>
  <c r="K253" i="762"/>
  <c r="K312" i="762"/>
  <c r="H265" i="762"/>
  <c r="K294" i="762"/>
  <c r="K208" i="762"/>
  <c r="K129" i="762"/>
  <c r="K296" i="762"/>
  <c r="K302" i="762"/>
  <c r="K130" i="762"/>
  <c r="J52" i="762"/>
  <c r="J60" i="762"/>
  <c r="J105" i="762"/>
  <c r="K206" i="762"/>
  <c r="K318" i="762"/>
  <c r="K40" i="762"/>
  <c r="H217" i="762"/>
  <c r="F231" i="762"/>
  <c r="F274" i="762"/>
  <c r="H280" i="762"/>
  <c r="E79" i="762"/>
  <c r="J79" i="762" s="1"/>
  <c r="K102" i="762"/>
  <c r="J106" i="762"/>
  <c r="K120" i="762"/>
  <c r="K139" i="762"/>
  <c r="J217" i="762"/>
  <c r="H274" i="762"/>
  <c r="K274" i="762" s="1"/>
  <c r="J280" i="762"/>
  <c r="H314" i="762"/>
  <c r="K314" i="762" s="1"/>
  <c r="J57" i="762"/>
  <c r="K57" i="762" s="1"/>
  <c r="K248" i="762"/>
  <c r="F262" i="762"/>
  <c r="J54" i="762"/>
  <c r="K54" i="762" s="1"/>
  <c r="H262" i="762"/>
  <c r="K262" i="762" s="1"/>
  <c r="J58" i="762"/>
  <c r="F258" i="762"/>
  <c r="H271" i="762"/>
  <c r="K126" i="762"/>
  <c r="G143" i="762"/>
  <c r="I143" i="762" s="1"/>
  <c r="J143" i="762" s="1"/>
  <c r="J153" i="762"/>
  <c r="K153" i="762" s="1"/>
  <c r="G220" i="762"/>
  <c r="H220" i="762" s="1"/>
  <c r="K220" i="762" s="1"/>
  <c r="J55" i="762"/>
  <c r="K55" i="762" s="1"/>
  <c r="J75" i="762"/>
  <c r="K75" i="762" s="1"/>
  <c r="H155" i="762"/>
  <c r="K155" i="762" s="1"/>
  <c r="K168" i="762"/>
  <c r="H259" i="762"/>
  <c r="H263" i="762"/>
  <c r="H267" i="762"/>
  <c r="K196" i="762"/>
  <c r="J263" i="762"/>
  <c r="H284" i="762"/>
  <c r="K284" i="762" s="1"/>
  <c r="J63" i="762"/>
  <c r="K63" i="762" s="1"/>
  <c r="K185" i="762"/>
  <c r="H233" i="762"/>
  <c r="K233" i="762" s="1"/>
  <c r="K299" i="762"/>
  <c r="K309" i="762"/>
  <c r="O17" i="762" a="1"/>
  <c r="O17" i="762" s="1"/>
  <c r="H158" i="762"/>
  <c r="K158" i="762" s="1"/>
  <c r="J306" i="762"/>
  <c r="H58" i="762"/>
  <c r="H72" i="762"/>
  <c r="K78" i="762"/>
  <c r="H107" i="762"/>
  <c r="K107" i="762" s="1"/>
  <c r="K195" i="762"/>
  <c r="H273" i="762"/>
  <c r="J282" i="762"/>
  <c r="F225" i="762"/>
  <c r="F240" i="762"/>
  <c r="J48" i="762"/>
  <c r="K48" i="762" s="1"/>
  <c r="J72" i="762"/>
  <c r="J100" i="762"/>
  <c r="J159" i="762"/>
  <c r="K159" i="762" s="1"/>
  <c r="H307" i="762"/>
  <c r="K307" i="762" s="1"/>
  <c r="F235" i="762"/>
  <c r="K292" i="762"/>
  <c r="K317" i="762"/>
  <c r="K297" i="762"/>
  <c r="H225" i="762"/>
  <c r="J53" i="762"/>
  <c r="K53" i="762" s="1"/>
  <c r="H88" i="762"/>
  <c r="K88" i="762" s="1"/>
  <c r="K162" i="762"/>
  <c r="J232" i="762"/>
  <c r="F242" i="762"/>
  <c r="O12" i="762" a="1"/>
  <c r="O12" i="762" s="1"/>
  <c r="J88" i="762"/>
  <c r="K140" i="762"/>
  <c r="J149" i="762"/>
  <c r="K149" i="762" s="1"/>
  <c r="H242" i="762"/>
  <c r="K242" i="762" s="1"/>
  <c r="G142" i="762"/>
  <c r="I142" i="762" s="1"/>
  <c r="J142" i="762" s="1"/>
  <c r="J150" i="762"/>
  <c r="K150" i="762" s="1"/>
  <c r="F233" i="762"/>
  <c r="J271" i="762"/>
  <c r="J275" i="762"/>
  <c r="K298" i="762"/>
  <c r="J305" i="762"/>
  <c r="K305" i="762" s="1"/>
  <c r="K46" i="721"/>
  <c r="G54" i="721"/>
  <c r="H54" i="721" s="1"/>
  <c r="I101" i="736"/>
  <c r="J101" i="736" s="1"/>
  <c r="H101" i="736"/>
  <c r="K82" i="733"/>
  <c r="G83" i="733"/>
  <c r="I50" i="721"/>
  <c r="J50" i="721" s="1"/>
  <c r="J58" i="721" s="1"/>
  <c r="J13" i="721" s="1"/>
  <c r="J34" i="721" s="1"/>
  <c r="J13" i="720" s="1"/>
  <c r="H50" i="721"/>
  <c r="H57" i="723"/>
  <c r="H13" i="723" s="1"/>
  <c r="I54" i="721"/>
  <c r="J54" i="721" s="1"/>
  <c r="K36" i="725"/>
  <c r="I102" i="738"/>
  <c r="J102" i="738" s="1"/>
  <c r="H102" i="738"/>
  <c r="K44" i="721"/>
  <c r="I47" i="729"/>
  <c r="J47" i="729" s="1"/>
  <c r="H47" i="729"/>
  <c r="I72" i="738"/>
  <c r="J72" i="738" s="1"/>
  <c r="H72" i="738"/>
  <c r="K45" i="721"/>
  <c r="I37" i="728"/>
  <c r="J37" i="728" s="1"/>
  <c r="J57" i="728" s="1"/>
  <c r="J13" i="728" s="1"/>
  <c r="J34" i="728" s="1"/>
  <c r="J20" i="720" s="1"/>
  <c r="H37" i="728"/>
  <c r="K37" i="728" s="1"/>
  <c r="G47" i="730"/>
  <c r="I76" i="733"/>
  <c r="J76" i="733" s="1"/>
  <c r="H76" i="733"/>
  <c r="K196" i="733"/>
  <c r="K210" i="733" s="1"/>
  <c r="H210" i="733"/>
  <c r="H18" i="733" s="1"/>
  <c r="K18" i="733" s="1"/>
  <c r="I112" i="733"/>
  <c r="J112" i="733" s="1"/>
  <c r="H112" i="733"/>
  <c r="K112" i="733" s="1"/>
  <c r="K119" i="733"/>
  <c r="K36" i="729"/>
  <c r="H57" i="724"/>
  <c r="H13" i="724" s="1"/>
  <c r="H47" i="727"/>
  <c r="K36" i="730"/>
  <c r="H45" i="736"/>
  <c r="K45" i="736" s="1"/>
  <c r="K37" i="721"/>
  <c r="H52" i="722"/>
  <c r="I52" i="722"/>
  <c r="J52" i="722" s="1"/>
  <c r="J57" i="722" s="1"/>
  <c r="J13" i="722" s="1"/>
  <c r="J34" i="722" s="1"/>
  <c r="J14" i="720" s="1"/>
  <c r="J57" i="729"/>
  <c r="J13" i="729" s="1"/>
  <c r="J34" i="729" s="1"/>
  <c r="J21" i="720" s="1"/>
  <c r="I73" i="737"/>
  <c r="J73" i="737" s="1"/>
  <c r="H73" i="737"/>
  <c r="I50" i="746"/>
  <c r="J50" i="746" s="1"/>
  <c r="H50" i="746"/>
  <c r="I39" i="723"/>
  <c r="J39" i="723" s="1"/>
  <c r="K39" i="723" s="1"/>
  <c r="G47" i="725"/>
  <c r="K46" i="725"/>
  <c r="K46" i="726"/>
  <c r="I43" i="733"/>
  <c r="J43" i="733" s="1"/>
  <c r="K43" i="733" s="1"/>
  <c r="G84" i="733"/>
  <c r="K80" i="733"/>
  <c r="G85" i="733"/>
  <c r="I81" i="734"/>
  <c r="J81" i="734" s="1"/>
  <c r="H81" i="734"/>
  <c r="I65" i="735"/>
  <c r="J65" i="735" s="1"/>
  <c r="K65" i="735" s="1"/>
  <c r="H82" i="741"/>
  <c r="I82" i="741"/>
  <c r="J82" i="741" s="1"/>
  <c r="K40" i="749"/>
  <c r="H50" i="753"/>
  <c r="I50" i="753"/>
  <c r="J50" i="753" s="1"/>
  <c r="H47" i="726"/>
  <c r="K47" i="726" s="1"/>
  <c r="K36" i="728"/>
  <c r="K75" i="733"/>
  <c r="K87" i="733"/>
  <c r="G91" i="733"/>
  <c r="G90" i="733"/>
  <c r="G92" i="733"/>
  <c r="G113" i="733"/>
  <c r="G142" i="733"/>
  <c r="K138" i="733"/>
  <c r="G143" i="733"/>
  <c r="G166" i="733"/>
  <c r="G165" i="733"/>
  <c r="G164" i="733"/>
  <c r="K188" i="733"/>
  <c r="K68" i="741"/>
  <c r="G72" i="741"/>
  <c r="G73" i="741"/>
  <c r="K46" i="723"/>
  <c r="K37" i="724"/>
  <c r="K97" i="733"/>
  <c r="H108" i="733"/>
  <c r="J108" i="733"/>
  <c r="K126" i="733"/>
  <c r="K41" i="734"/>
  <c r="K48" i="736"/>
  <c r="H82" i="736"/>
  <c r="I82" i="736"/>
  <c r="J82" i="736" s="1"/>
  <c r="I124" i="736"/>
  <c r="J124" i="736" s="1"/>
  <c r="H124" i="736"/>
  <c r="K42" i="739"/>
  <c r="G46" i="739"/>
  <c r="I48" i="746"/>
  <c r="J48" i="746" s="1"/>
  <c r="I48" i="748"/>
  <c r="J48" i="748" s="1"/>
  <c r="K49" i="721"/>
  <c r="K49" i="722"/>
  <c r="G120" i="733"/>
  <c r="G118" i="733"/>
  <c r="K153" i="733"/>
  <c r="G185" i="733"/>
  <c r="K183" i="733"/>
  <c r="K189" i="733"/>
  <c r="K61" i="734"/>
  <c r="G63" i="734"/>
  <c r="G65" i="734"/>
  <c r="G64" i="734"/>
  <c r="G41" i="735"/>
  <c r="G43" i="735"/>
  <c r="G42" i="735"/>
  <c r="G84" i="736"/>
  <c r="G74" i="737"/>
  <c r="G72" i="737"/>
  <c r="K68" i="737"/>
  <c r="I83" i="737"/>
  <c r="J83" i="737" s="1"/>
  <c r="H83" i="737"/>
  <c r="I83" i="738"/>
  <c r="J83" i="738" s="1"/>
  <c r="H83" i="738"/>
  <c r="H51" i="748"/>
  <c r="I51" i="748"/>
  <c r="J51" i="748" s="1"/>
  <c r="G58" i="734"/>
  <c r="K54" i="734"/>
  <c r="G59" i="734"/>
  <c r="G57" i="734"/>
  <c r="I105" i="736"/>
  <c r="J105" i="736" s="1"/>
  <c r="H105" i="736"/>
  <c r="K105" i="736" s="1"/>
  <c r="I84" i="738"/>
  <c r="J84" i="738" s="1"/>
  <c r="H84" i="738"/>
  <c r="K42" i="740"/>
  <c r="K67" i="742"/>
  <c r="K51" i="722"/>
  <c r="K48" i="723"/>
  <c r="H37" i="729"/>
  <c r="K37" i="729" s="1"/>
  <c r="H37" i="730"/>
  <c r="I37" i="730"/>
  <c r="J37" i="730" s="1"/>
  <c r="H57" i="731"/>
  <c r="H13" i="731" s="1"/>
  <c r="K115" i="733"/>
  <c r="G44" i="737"/>
  <c r="K38" i="737"/>
  <c r="G45" i="737"/>
  <c r="G83" i="740"/>
  <c r="G82" i="740"/>
  <c r="K75" i="740"/>
  <c r="G81" i="740"/>
  <c r="I117" i="741"/>
  <c r="J117" i="741" s="1"/>
  <c r="H117" i="741"/>
  <c r="I44" i="742"/>
  <c r="J44" i="742" s="1"/>
  <c r="H44" i="742"/>
  <c r="K46" i="724"/>
  <c r="K44" i="726"/>
  <c r="K110" i="733"/>
  <c r="K116" i="733"/>
  <c r="K146" i="733"/>
  <c r="I179" i="733"/>
  <c r="J179" i="733" s="1"/>
  <c r="K179" i="733" s="1"/>
  <c r="I102" i="737"/>
  <c r="J102" i="737" s="1"/>
  <c r="H102" i="737"/>
  <c r="H111" i="733"/>
  <c r="I111" i="733"/>
  <c r="J111" i="733" s="1"/>
  <c r="G42" i="734"/>
  <c r="K38" i="734"/>
  <c r="G43" i="734"/>
  <c r="I80" i="734"/>
  <c r="J80" i="734" s="1"/>
  <c r="H80" i="734"/>
  <c r="G44" i="736"/>
  <c r="G46" i="736"/>
  <c r="K111" i="752"/>
  <c r="H118" i="752"/>
  <c r="H17" i="752" s="1"/>
  <c r="K17" i="752" s="1"/>
  <c r="K43" i="721"/>
  <c r="H39" i="722"/>
  <c r="K39" i="722" s="1"/>
  <c r="H78" i="733"/>
  <c r="K78" i="733" s="1"/>
  <c r="H141" i="733"/>
  <c r="H101" i="739"/>
  <c r="I101" i="739"/>
  <c r="J101" i="739" s="1"/>
  <c r="I100" i="740"/>
  <c r="J100" i="740" s="1"/>
  <c r="K39" i="721"/>
  <c r="K37" i="731"/>
  <c r="K57" i="731" s="1"/>
  <c r="K187" i="733"/>
  <c r="G190" i="733"/>
  <c r="K38" i="736"/>
  <c r="K95" i="736"/>
  <c r="G102" i="736"/>
  <c r="G100" i="736"/>
  <c r="G46" i="737"/>
  <c r="G44" i="738"/>
  <c r="G45" i="738"/>
  <c r="G46" i="738"/>
  <c r="K38" i="738"/>
  <c r="G73" i="738"/>
  <c r="G74" i="738"/>
  <c r="K68" i="738"/>
  <c r="J109" i="738"/>
  <c r="J14" i="738" s="1"/>
  <c r="K100" i="738"/>
  <c r="H74" i="741"/>
  <c r="I74" i="741"/>
  <c r="J74" i="741" s="1"/>
  <c r="J109" i="742"/>
  <c r="J14" i="742" s="1"/>
  <c r="G45" i="733"/>
  <c r="G77" i="733"/>
  <c r="K73" i="733"/>
  <c r="K139" i="733"/>
  <c r="K71" i="736"/>
  <c r="K39" i="737"/>
  <c r="K78" i="737"/>
  <c r="K77" i="738"/>
  <c r="K41" i="739"/>
  <c r="G73" i="739"/>
  <c r="K68" i="739"/>
  <c r="G72" i="739"/>
  <c r="K104" i="741"/>
  <c r="K126" i="741"/>
  <c r="I57" i="756"/>
  <c r="J57" i="756" s="1"/>
  <c r="H57" i="756"/>
  <c r="K57" i="756" s="1"/>
  <c r="K151" i="733"/>
  <c r="G72" i="736"/>
  <c r="K67" i="736"/>
  <c r="G74" i="736"/>
  <c r="G73" i="736"/>
  <c r="I101" i="738"/>
  <c r="J101" i="738" s="1"/>
  <c r="H101" i="738"/>
  <c r="K101" i="738" s="1"/>
  <c r="G118" i="738"/>
  <c r="K112" i="738"/>
  <c r="G117" i="738"/>
  <c r="G119" i="738"/>
  <c r="K39" i="741"/>
  <c r="G45" i="741"/>
  <c r="K113" i="742"/>
  <c r="G119" i="742"/>
  <c r="H123" i="750"/>
  <c r="H16" i="750" s="1"/>
  <c r="K46" i="752"/>
  <c r="G48" i="752"/>
  <c r="K89" i="737"/>
  <c r="H71" i="740"/>
  <c r="I71" i="740"/>
  <c r="J71" i="740" s="1"/>
  <c r="K102" i="740"/>
  <c r="G45" i="742"/>
  <c r="G46" i="742"/>
  <c r="K38" i="742"/>
  <c r="K101" i="742"/>
  <c r="K95" i="747"/>
  <c r="H84" i="750"/>
  <c r="H14" i="750" s="1"/>
  <c r="K14" i="750" s="1"/>
  <c r="K40" i="741"/>
  <c r="I82" i="742"/>
  <c r="J82" i="742" s="1"/>
  <c r="H82" i="742"/>
  <c r="K82" i="742" s="1"/>
  <c r="G57" i="747"/>
  <c r="G55" i="747"/>
  <c r="G56" i="747"/>
  <c r="K53" i="747"/>
  <c r="J75" i="747"/>
  <c r="J14" i="747" s="1"/>
  <c r="H109" i="748"/>
  <c r="H16" i="748" s="1"/>
  <c r="K16" i="748" s="1"/>
  <c r="K97" i="748"/>
  <c r="I49" i="749"/>
  <c r="J49" i="749" s="1"/>
  <c r="H49" i="749"/>
  <c r="I56" i="753"/>
  <c r="J56" i="753" s="1"/>
  <c r="H56" i="753"/>
  <c r="K118" i="754"/>
  <c r="K41" i="733"/>
  <c r="G64" i="735"/>
  <c r="K62" i="735"/>
  <c r="K129" i="736"/>
  <c r="H84" i="737"/>
  <c r="K84" i="737" s="1"/>
  <c r="G118" i="737"/>
  <c r="K113" i="737"/>
  <c r="G117" i="737"/>
  <c r="K90" i="738"/>
  <c r="K103" i="738"/>
  <c r="K125" i="740"/>
  <c r="G101" i="741"/>
  <c r="K99" i="741"/>
  <c r="G100" i="741"/>
  <c r="G102" i="741"/>
  <c r="H73" i="742"/>
  <c r="K73" i="742" s="1"/>
  <c r="K54" i="743"/>
  <c r="K47" i="746"/>
  <c r="J91" i="746"/>
  <c r="J13" i="746" s="1"/>
  <c r="H127" i="747"/>
  <c r="H17" i="747" s="1"/>
  <c r="K112" i="748"/>
  <c r="K126" i="748" s="1"/>
  <c r="H126" i="748"/>
  <c r="H17" i="748" s="1"/>
  <c r="K17" i="748" s="1"/>
  <c r="H50" i="752"/>
  <c r="I50" i="752"/>
  <c r="J50" i="752" s="1"/>
  <c r="G50" i="757"/>
  <c r="I56" i="759"/>
  <c r="J56" i="759" s="1"/>
  <c r="H56" i="759"/>
  <c r="K110" i="736"/>
  <c r="G126" i="736"/>
  <c r="G125" i="736"/>
  <c r="K77" i="737"/>
  <c r="G82" i="737"/>
  <c r="K114" i="737"/>
  <c r="K121" i="737"/>
  <c r="K71" i="741"/>
  <c r="G72" i="742"/>
  <c r="K68" i="742"/>
  <c r="K62" i="749"/>
  <c r="H84" i="749"/>
  <c r="H14" i="749" s="1"/>
  <c r="K40" i="750"/>
  <c r="G48" i="750"/>
  <c r="G51" i="750"/>
  <c r="I51" i="755"/>
  <c r="J51" i="755" s="1"/>
  <c r="H51" i="755"/>
  <c r="H118" i="756"/>
  <c r="H17" i="756" s="1"/>
  <c r="K111" i="756"/>
  <c r="K118" i="756" s="1"/>
  <c r="K68" i="733"/>
  <c r="K99" i="733"/>
  <c r="K119" i="736"/>
  <c r="G82" i="739"/>
  <c r="G119" i="740"/>
  <c r="K76" i="742"/>
  <c r="G83" i="742"/>
  <c r="K38" i="743"/>
  <c r="K87" i="751"/>
  <c r="K86" i="749"/>
  <c r="K92" i="749" s="1"/>
  <c r="J92" i="749"/>
  <c r="J15" i="749" s="1"/>
  <c r="G50" i="751"/>
  <c r="K42" i="751"/>
  <c r="G56" i="752"/>
  <c r="G57" i="752"/>
  <c r="K53" i="752"/>
  <c r="H76" i="755"/>
  <c r="H14" i="755" s="1"/>
  <c r="K14" i="755" s="1"/>
  <c r="K106" i="755"/>
  <c r="G82" i="734"/>
  <c r="K79" i="734"/>
  <c r="K76" i="738"/>
  <c r="G82" i="738"/>
  <c r="K102" i="739"/>
  <c r="G118" i="739"/>
  <c r="G117" i="739"/>
  <c r="K112" i="739"/>
  <c r="G101" i="740"/>
  <c r="H49" i="746"/>
  <c r="I49" i="746"/>
  <c r="J49" i="746" s="1"/>
  <c r="H51" i="746"/>
  <c r="K51" i="746" s="1"/>
  <c r="K53" i="749"/>
  <c r="G57" i="749"/>
  <c r="G55" i="749"/>
  <c r="G56" i="749"/>
  <c r="K38" i="753"/>
  <c r="G48" i="753"/>
  <c r="G49" i="753"/>
  <c r="G51" i="753"/>
  <c r="J153" i="760"/>
  <c r="H153" i="760"/>
  <c r="O12" i="761" a="1"/>
  <c r="O12" i="761" s="1"/>
  <c r="O18" i="761" a="1"/>
  <c r="O18" i="761" s="1"/>
  <c r="O17" i="761" a="1"/>
  <c r="O17" i="761" s="1"/>
  <c r="G101" i="737"/>
  <c r="G45" i="739"/>
  <c r="G118" i="740"/>
  <c r="G117" i="740"/>
  <c r="K112" i="740"/>
  <c r="I84" i="741"/>
  <c r="J84" i="741" s="1"/>
  <c r="H84" i="741"/>
  <c r="K50" i="742"/>
  <c r="K105" i="742"/>
  <c r="K124" i="742"/>
  <c r="K64" i="743"/>
  <c r="H76" i="751"/>
  <c r="H14" i="751" s="1"/>
  <c r="K14" i="751" s="1"/>
  <c r="H109" i="752"/>
  <c r="H16" i="752" s="1"/>
  <c r="K16" i="752" s="1"/>
  <c r="K87" i="752"/>
  <c r="K109" i="752" s="1"/>
  <c r="J109" i="754"/>
  <c r="J16" i="754" s="1"/>
  <c r="K87" i="754"/>
  <c r="H78" i="759"/>
  <c r="H14" i="759" s="1"/>
  <c r="K14" i="759" s="1"/>
  <c r="K99" i="759"/>
  <c r="K53" i="757"/>
  <c r="G57" i="757"/>
  <c r="G55" i="757"/>
  <c r="G56" i="757"/>
  <c r="H76" i="757"/>
  <c r="H14" i="757" s="1"/>
  <c r="K14" i="757" s="1"/>
  <c r="K70" i="736"/>
  <c r="K78" i="736"/>
  <c r="G119" i="739"/>
  <c r="K59" i="743"/>
  <c r="G60" i="743"/>
  <c r="K77" i="743"/>
  <c r="K87" i="747"/>
  <c r="J109" i="747"/>
  <c r="J16" i="747" s="1"/>
  <c r="H109" i="747"/>
  <c r="H16" i="747" s="1"/>
  <c r="K16" i="747" s="1"/>
  <c r="G55" i="752"/>
  <c r="G48" i="754"/>
  <c r="G51" i="754"/>
  <c r="G49" i="754"/>
  <c r="G50" i="754"/>
  <c r="K38" i="754"/>
  <c r="K78" i="759"/>
  <c r="G48" i="747"/>
  <c r="G51" i="747"/>
  <c r="K38" i="747"/>
  <c r="G50" i="747"/>
  <c r="G49" i="747"/>
  <c r="I95" i="751"/>
  <c r="J95" i="751" s="1"/>
  <c r="H95" i="751"/>
  <c r="K95" i="751" s="1"/>
  <c r="K54" i="753"/>
  <c r="G57" i="753"/>
  <c r="G55" i="753"/>
  <c r="J116" i="755"/>
  <c r="J17" i="755" s="1"/>
  <c r="K112" i="755"/>
  <c r="K116" i="755" s="1"/>
  <c r="G49" i="757"/>
  <c r="K41" i="757"/>
  <c r="G45" i="740"/>
  <c r="J123" i="750"/>
  <c r="J16" i="750" s="1"/>
  <c r="J134" i="751"/>
  <c r="J18" i="751" s="1"/>
  <c r="K18" i="751" s="1"/>
  <c r="K119" i="751"/>
  <c r="K134" i="751" s="1"/>
  <c r="K17" i="755"/>
  <c r="J37" i="760"/>
  <c r="J45" i="760" s="1"/>
  <c r="J12" i="760" s="1"/>
  <c r="H37" i="760"/>
  <c r="G83" i="736"/>
  <c r="G100" i="737"/>
  <c r="K99" i="737"/>
  <c r="G44" i="739"/>
  <c r="K54" i="740"/>
  <c r="K56" i="741"/>
  <c r="K112" i="741"/>
  <c r="K56" i="742"/>
  <c r="K121" i="742"/>
  <c r="I55" i="743"/>
  <c r="J55" i="743" s="1"/>
  <c r="H73" i="743"/>
  <c r="I55" i="746"/>
  <c r="J55" i="746" s="1"/>
  <c r="K55" i="746" s="1"/>
  <c r="K84" i="747"/>
  <c r="H49" i="748"/>
  <c r="I49" i="748"/>
  <c r="J49" i="748" s="1"/>
  <c r="H92" i="749"/>
  <c r="H15" i="749" s="1"/>
  <c r="K125" i="749"/>
  <c r="K130" i="749" s="1"/>
  <c r="H130" i="749"/>
  <c r="H18" i="749" s="1"/>
  <c r="K18" i="749" s="1"/>
  <c r="I56" i="751"/>
  <c r="J56" i="751" s="1"/>
  <c r="H56" i="751"/>
  <c r="H109" i="754"/>
  <c r="H16" i="754" s="1"/>
  <c r="G83" i="739"/>
  <c r="G72" i="740"/>
  <c r="K67" i="740"/>
  <c r="I83" i="741"/>
  <c r="J83" i="741" s="1"/>
  <c r="H83" i="741"/>
  <c r="K83" i="741" s="1"/>
  <c r="G118" i="741"/>
  <c r="G119" i="741"/>
  <c r="I56" i="746"/>
  <c r="J56" i="746" s="1"/>
  <c r="H56" i="746"/>
  <c r="K56" i="746" s="1"/>
  <c r="K92" i="746"/>
  <c r="K109" i="746" s="1"/>
  <c r="H75" i="748"/>
  <c r="H14" i="748" s="1"/>
  <c r="K14" i="748" s="1"/>
  <c r="K39" i="750"/>
  <c r="K119" i="750"/>
  <c r="K111" i="751"/>
  <c r="K118" i="751" s="1"/>
  <c r="H118" i="751"/>
  <c r="H17" i="751" s="1"/>
  <c r="G51" i="752"/>
  <c r="G49" i="752"/>
  <c r="K38" i="752"/>
  <c r="K41" i="753"/>
  <c r="K42" i="754"/>
  <c r="K62" i="754"/>
  <c r="K76" i="754" s="1"/>
  <c r="K42" i="755"/>
  <c r="K44" i="756"/>
  <c r="G48" i="756"/>
  <c r="K66" i="756"/>
  <c r="J118" i="756"/>
  <c r="J17" i="756" s="1"/>
  <c r="G133" i="759"/>
  <c r="K130" i="759"/>
  <c r="K137" i="760"/>
  <c r="O20" i="761" a="1"/>
  <c r="O20" i="761" s="1"/>
  <c r="G84" i="742"/>
  <c r="G50" i="748"/>
  <c r="I103" i="749"/>
  <c r="J103" i="749" s="1"/>
  <c r="H103" i="749"/>
  <c r="G57" i="751"/>
  <c r="K53" i="751"/>
  <c r="G55" i="751"/>
  <c r="K62" i="753"/>
  <c r="K76" i="753" s="1"/>
  <c r="H84" i="756"/>
  <c r="H15" i="756" s="1"/>
  <c r="K78" i="756"/>
  <c r="K84" i="756" s="1"/>
  <c r="K18" i="756"/>
  <c r="K104" i="759"/>
  <c r="J123" i="761"/>
  <c r="H123" i="761"/>
  <c r="K109" i="736"/>
  <c r="G44" i="740"/>
  <c r="G46" i="740"/>
  <c r="G73" i="740"/>
  <c r="K75" i="742"/>
  <c r="G40" i="743"/>
  <c r="G39" i="743"/>
  <c r="K67" i="747"/>
  <c r="J84" i="747"/>
  <c r="J15" i="747" s="1"/>
  <c r="K15" i="747" s="1"/>
  <c r="K40" i="748"/>
  <c r="K72" i="749"/>
  <c r="K96" i="749"/>
  <c r="K15" i="750"/>
  <c r="K56" i="750"/>
  <c r="G50" i="755"/>
  <c r="K55" i="755"/>
  <c r="K87" i="755"/>
  <c r="J109" i="756"/>
  <c r="J16" i="756" s="1"/>
  <c r="J127" i="759"/>
  <c r="J15" i="759" s="1"/>
  <c r="K122" i="759"/>
  <c r="O14" i="761" a="1"/>
  <c r="O14" i="761" s="1"/>
  <c r="O18" i="760" a="1"/>
  <c r="O18" i="760" s="1"/>
  <c r="O15" i="760" a="1"/>
  <c r="O15" i="760" s="1"/>
  <c r="O21" i="760" a="1"/>
  <c r="O21" i="760" s="1"/>
  <c r="K40" i="760"/>
  <c r="H61" i="761"/>
  <c r="J61" i="761"/>
  <c r="H185" i="761"/>
  <c r="F185" i="761"/>
  <c r="J185" i="761"/>
  <c r="J237" i="762"/>
  <c r="F237" i="762"/>
  <c r="H237" i="762"/>
  <c r="F285" i="762"/>
  <c r="J285" i="762"/>
  <c r="H285" i="762"/>
  <c r="K99" i="736"/>
  <c r="K80" i="737"/>
  <c r="G71" i="742"/>
  <c r="K109" i="748"/>
  <c r="K45" i="749"/>
  <c r="J84" i="749"/>
  <c r="J14" i="749" s="1"/>
  <c r="G51" i="751"/>
  <c r="G48" i="751"/>
  <c r="G49" i="751"/>
  <c r="K38" i="751"/>
  <c r="G55" i="754"/>
  <c r="G56" i="754"/>
  <c r="K53" i="754"/>
  <c r="J134" i="755"/>
  <c r="J18" i="755" s="1"/>
  <c r="K18" i="755" s="1"/>
  <c r="K117" i="755"/>
  <c r="K134" i="755" s="1"/>
  <c r="G55" i="756"/>
  <c r="K54" i="756"/>
  <c r="G57" i="759"/>
  <c r="K52" i="759"/>
  <c r="G62" i="759"/>
  <c r="G63" i="759"/>
  <c r="K61" i="759"/>
  <c r="G64" i="759"/>
  <c r="H127" i="759"/>
  <c r="H15" i="759" s="1"/>
  <c r="K15" i="759" s="1"/>
  <c r="K89" i="759"/>
  <c r="G134" i="759"/>
  <c r="J229" i="762"/>
  <c r="F229" i="762"/>
  <c r="J127" i="747"/>
  <c r="J17" i="747" s="1"/>
  <c r="G55" i="748"/>
  <c r="G57" i="748"/>
  <c r="G56" i="748"/>
  <c r="H84" i="753"/>
  <c r="H15" i="753" s="1"/>
  <c r="K78" i="753"/>
  <c r="K84" i="753" s="1"/>
  <c r="K78" i="755"/>
  <c r="K84" i="755" s="1"/>
  <c r="H84" i="755"/>
  <c r="H15" i="755" s="1"/>
  <c r="K15" i="755" s="1"/>
  <c r="K38" i="756"/>
  <c r="H155" i="759"/>
  <c r="H18" i="759" s="1"/>
  <c r="K18" i="759" s="1"/>
  <c r="K148" i="759"/>
  <c r="J150" i="760"/>
  <c r="H150" i="760"/>
  <c r="O19" i="761" a="1"/>
  <c r="O19" i="761" s="1"/>
  <c r="H229" i="762"/>
  <c r="G81" i="739"/>
  <c r="K77" i="742"/>
  <c r="H91" i="746"/>
  <c r="H13" i="746" s="1"/>
  <c r="K13" i="746" s="1"/>
  <c r="H75" i="747"/>
  <c r="H14" i="747" s="1"/>
  <c r="K71" i="747"/>
  <c r="K127" i="747"/>
  <c r="K78" i="748"/>
  <c r="K84" i="748" s="1"/>
  <c r="H84" i="748"/>
  <c r="H15" i="748" s="1"/>
  <c r="K15" i="748" s="1"/>
  <c r="K111" i="750"/>
  <c r="K81" i="754"/>
  <c r="K87" i="757"/>
  <c r="K109" i="757" s="1"/>
  <c r="H109" i="757"/>
  <c r="H16" i="757" s="1"/>
  <c r="K16" i="757" s="1"/>
  <c r="I90" i="760"/>
  <c r="J90" i="760" s="1"/>
  <c r="K90" i="760" s="1"/>
  <c r="O22" i="761" a="1"/>
  <c r="O22" i="761" s="1"/>
  <c r="K87" i="761"/>
  <c r="G92" i="761"/>
  <c r="K47" i="752"/>
  <c r="J76" i="753"/>
  <c r="J14" i="753" s="1"/>
  <c r="G49" i="755"/>
  <c r="G48" i="755"/>
  <c r="K38" i="755"/>
  <c r="K84" i="757"/>
  <c r="K100" i="759"/>
  <c r="G138" i="760"/>
  <c r="H138" i="760" s="1"/>
  <c r="I138" i="760"/>
  <c r="J138" i="760" s="1"/>
  <c r="J143" i="760" s="1"/>
  <c r="J19" i="760" s="1"/>
  <c r="K162" i="760"/>
  <c r="O15" i="761" a="1"/>
  <c r="O15" i="761" s="1"/>
  <c r="H175" i="761"/>
  <c r="J175" i="761"/>
  <c r="F175" i="761"/>
  <c r="H180" i="761"/>
  <c r="J180" i="761"/>
  <c r="G209" i="761"/>
  <c r="K205" i="761"/>
  <c r="G71" i="739"/>
  <c r="G118" i="742"/>
  <c r="G38" i="744"/>
  <c r="G40" i="744"/>
  <c r="G57" i="746"/>
  <c r="K53" i="746"/>
  <c r="G48" i="749"/>
  <c r="G50" i="749"/>
  <c r="K38" i="749"/>
  <c r="H57" i="750"/>
  <c r="K57" i="750" s="1"/>
  <c r="J84" i="756"/>
  <c r="J15" i="756" s="1"/>
  <c r="J62" i="760"/>
  <c r="H62" i="760"/>
  <c r="G96" i="760"/>
  <c r="G97" i="760"/>
  <c r="G95" i="760"/>
  <c r="J163" i="760"/>
  <c r="H163" i="760"/>
  <c r="J52" i="761"/>
  <c r="J58" i="761" s="1"/>
  <c r="J13" i="761" s="1"/>
  <c r="H52" i="761"/>
  <c r="G119" i="737"/>
  <c r="G46" i="741"/>
  <c r="H109" i="742"/>
  <c r="H14" i="742" s="1"/>
  <c r="K14" i="742" s="1"/>
  <c r="H103" i="742"/>
  <c r="K103" i="742" s="1"/>
  <c r="K109" i="742" s="1"/>
  <c r="G62" i="743"/>
  <c r="G61" i="743"/>
  <c r="H74" i="743"/>
  <c r="K74" i="743" s="1"/>
  <c r="G51" i="749"/>
  <c r="K41" i="750"/>
  <c r="K15" i="751"/>
  <c r="K105" i="751"/>
  <c r="I57" i="755"/>
  <c r="J57" i="755" s="1"/>
  <c r="K57" i="755" s="1"/>
  <c r="H76" i="756"/>
  <c r="H14" i="756" s="1"/>
  <c r="H49" i="760"/>
  <c r="J49" i="760"/>
  <c r="J59" i="760" s="1"/>
  <c r="J13" i="760" s="1"/>
  <c r="G89" i="760"/>
  <c r="G91" i="760"/>
  <c r="K87" i="760"/>
  <c r="H151" i="760"/>
  <c r="K151" i="760" s="1"/>
  <c r="J109" i="761"/>
  <c r="H109" i="761"/>
  <c r="J168" i="761"/>
  <c r="H168" i="761"/>
  <c r="K168" i="761" s="1"/>
  <c r="F168" i="761"/>
  <c r="K126" i="763"/>
  <c r="G132" i="763"/>
  <c r="H132" i="763" s="1"/>
  <c r="K91" i="740"/>
  <c r="K112" i="742"/>
  <c r="G117" i="742"/>
  <c r="K37" i="744"/>
  <c r="K69" i="746"/>
  <c r="K39" i="752"/>
  <c r="K44" i="752"/>
  <c r="H109" i="753"/>
  <c r="H16" i="753" s="1"/>
  <c r="K87" i="753"/>
  <c r="K109" i="753" s="1"/>
  <c r="G51" i="756"/>
  <c r="J76" i="756"/>
  <c r="J14" i="756" s="1"/>
  <c r="H109" i="756"/>
  <c r="H16" i="756" s="1"/>
  <c r="K87" i="756"/>
  <c r="K109" i="756" s="1"/>
  <c r="K39" i="757"/>
  <c r="G51" i="757"/>
  <c r="K112" i="757"/>
  <c r="K117" i="757" s="1"/>
  <c r="K150" i="759"/>
  <c r="K93" i="760"/>
  <c r="H182" i="761"/>
  <c r="F182" i="761"/>
  <c r="J182" i="761"/>
  <c r="K217" i="761"/>
  <c r="K222" i="761" s="1"/>
  <c r="J222" i="761"/>
  <c r="J22" i="761" s="1"/>
  <c r="F230" i="762"/>
  <c r="H230" i="762"/>
  <c r="J230" i="762"/>
  <c r="J102" i="763"/>
  <c r="H102" i="763"/>
  <c r="O21" i="762" a="1"/>
  <c r="O21" i="762" s="1"/>
  <c r="H160" i="762"/>
  <c r="J160" i="762"/>
  <c r="O12" i="760" a="1"/>
  <c r="O12" i="760" s="1"/>
  <c r="J183" i="761"/>
  <c r="H183" i="761"/>
  <c r="F183" i="761"/>
  <c r="O22" i="762" a="1"/>
  <c r="O22" i="762" s="1"/>
  <c r="K131" i="762"/>
  <c r="G134" i="762"/>
  <c r="K50" i="763"/>
  <c r="H76" i="763"/>
  <c r="H13" i="763" s="1"/>
  <c r="K13" i="763" s="1"/>
  <c r="G55" i="750"/>
  <c r="K102" i="750"/>
  <c r="K41" i="755"/>
  <c r="O19" i="760" a="1"/>
  <c r="O19" i="760" s="1"/>
  <c r="H109" i="760"/>
  <c r="H16" i="760" s="1"/>
  <c r="K102" i="760"/>
  <c r="K109" i="760" s="1"/>
  <c r="E112" i="760"/>
  <c r="J168" i="760"/>
  <c r="H168" i="760"/>
  <c r="J172" i="760"/>
  <c r="K172" i="760" s="1"/>
  <c r="K51" i="760"/>
  <c r="K67" i="760"/>
  <c r="H161" i="760"/>
  <c r="J161" i="760"/>
  <c r="K186" i="760"/>
  <c r="K184" i="761"/>
  <c r="O21" i="761" a="1"/>
  <c r="O21" i="761" s="1"/>
  <c r="J62" i="761"/>
  <c r="H62" i="761"/>
  <c r="J179" i="761"/>
  <c r="H179" i="761"/>
  <c r="K38" i="762"/>
  <c r="H44" i="762"/>
  <c r="H12" i="762" s="1"/>
  <c r="K194" i="762"/>
  <c r="G197" i="762"/>
  <c r="O14" i="763" a="1"/>
  <c r="O14" i="763" s="1"/>
  <c r="H263" i="763"/>
  <c r="J263" i="763"/>
  <c r="F263" i="763"/>
  <c r="G102" i="761"/>
  <c r="K96" i="761"/>
  <c r="G101" i="761"/>
  <c r="G100" i="761"/>
  <c r="F181" i="761"/>
  <c r="H181" i="761"/>
  <c r="F226" i="762"/>
  <c r="J226" i="762"/>
  <c r="H226" i="762"/>
  <c r="J260" i="762"/>
  <c r="H260" i="762"/>
  <c r="J118" i="751"/>
  <c r="J17" i="751" s="1"/>
  <c r="H76" i="753"/>
  <c r="H14" i="753" s="1"/>
  <c r="H118" i="753"/>
  <c r="H17" i="753" s="1"/>
  <c r="K17" i="753" s="1"/>
  <c r="K111" i="753"/>
  <c r="K118" i="753" s="1"/>
  <c r="K78" i="754"/>
  <c r="I95" i="755"/>
  <c r="J95" i="755" s="1"/>
  <c r="J109" i="755" s="1"/>
  <c r="J16" i="755" s="1"/>
  <c r="H95" i="755"/>
  <c r="G56" i="756"/>
  <c r="H84" i="757"/>
  <c r="H15" i="757" s="1"/>
  <c r="K15" i="757" s="1"/>
  <c r="J46" i="759"/>
  <c r="J12" i="759" s="1"/>
  <c r="K12" i="759" s="1"/>
  <c r="J145" i="759"/>
  <c r="J17" i="759" s="1"/>
  <c r="K38" i="760"/>
  <c r="J74" i="761"/>
  <c r="H74" i="761"/>
  <c r="J181" i="761"/>
  <c r="H56" i="762"/>
  <c r="J56" i="762"/>
  <c r="J118" i="762"/>
  <c r="K118" i="762" s="1"/>
  <c r="F260" i="762"/>
  <c r="K43" i="743"/>
  <c r="J84" i="743"/>
  <c r="J14" i="743" s="1"/>
  <c r="G49" i="750"/>
  <c r="G50" i="750"/>
  <c r="K119" i="752"/>
  <c r="K134" i="752" s="1"/>
  <c r="J76" i="754"/>
  <c r="J14" i="754" s="1"/>
  <c r="K14" i="754" s="1"/>
  <c r="J84" i="754"/>
  <c r="J15" i="754" s="1"/>
  <c r="K15" i="754" s="1"/>
  <c r="K95" i="754"/>
  <c r="G56" i="755"/>
  <c r="K76" i="757"/>
  <c r="K111" i="759"/>
  <c r="H164" i="760"/>
  <c r="K164" i="760" s="1"/>
  <c r="H170" i="760"/>
  <c r="K170" i="760" s="1"/>
  <c r="J68" i="761"/>
  <c r="H68" i="761"/>
  <c r="K193" i="761"/>
  <c r="J222" i="762"/>
  <c r="J22" i="762" s="1"/>
  <c r="K219" i="762"/>
  <c r="K295" i="762"/>
  <c r="H254" i="763"/>
  <c r="F254" i="763"/>
  <c r="J254" i="763"/>
  <c r="O24" i="762" a="1"/>
  <c r="O24" i="762" s="1"/>
  <c r="J101" i="762"/>
  <c r="H101" i="762"/>
  <c r="F241" i="762"/>
  <c r="J241" i="762"/>
  <c r="H241" i="762"/>
  <c r="F261" i="762"/>
  <c r="J261" i="762"/>
  <c r="H261" i="762"/>
  <c r="O18" i="763" a="1"/>
  <c r="O18" i="763" s="1"/>
  <c r="O13" i="762" a="1"/>
  <c r="O13" i="762" s="1"/>
  <c r="O19" i="762" a="1"/>
  <c r="O19" i="762" s="1"/>
  <c r="H51" i="762"/>
  <c r="J51" i="762"/>
  <c r="H108" i="762"/>
  <c r="K108" i="762" s="1"/>
  <c r="K291" i="762"/>
  <c r="O14" i="762" a="1"/>
  <c r="O14" i="762" s="1"/>
  <c r="F236" i="762"/>
  <c r="J236" i="762"/>
  <c r="K236" i="762" s="1"/>
  <c r="J154" i="763"/>
  <c r="H154" i="763"/>
  <c r="O16" i="761" a="1"/>
  <c r="O16" i="761" s="1"/>
  <c r="K73" i="761"/>
  <c r="K86" i="761"/>
  <c r="K72" i="762"/>
  <c r="J264" i="762"/>
  <c r="F264" i="762"/>
  <c r="H264" i="762"/>
  <c r="J268" i="762"/>
  <c r="H268" i="762"/>
  <c r="J272" i="762"/>
  <c r="F272" i="762"/>
  <c r="H272" i="762"/>
  <c r="K300" i="762"/>
  <c r="K306" i="762"/>
  <c r="O20" i="763" a="1"/>
  <c r="O20" i="763" s="1"/>
  <c r="O25" i="763" a="1"/>
  <c r="O25" i="763" s="1"/>
  <c r="J171" i="763"/>
  <c r="H171" i="763"/>
  <c r="O23" i="762" a="1"/>
  <c r="O23" i="762" s="1"/>
  <c r="K106" i="762"/>
  <c r="G144" i="762"/>
  <c r="H157" i="762"/>
  <c r="J157" i="762"/>
  <c r="J281" i="762"/>
  <c r="K281" i="762" s="1"/>
  <c r="F281" i="762"/>
  <c r="O20" i="762" a="1"/>
  <c r="O20" i="762" s="1"/>
  <c r="J73" i="762"/>
  <c r="H73" i="762"/>
  <c r="F238" i="762"/>
  <c r="H238" i="762"/>
  <c r="O17" i="763" a="1"/>
  <c r="O17" i="763" s="1"/>
  <c r="I139" i="763"/>
  <c r="J139" i="763" s="1"/>
  <c r="H139" i="763"/>
  <c r="K145" i="764"/>
  <c r="K39" i="751"/>
  <c r="G128" i="760"/>
  <c r="G127" i="760"/>
  <c r="K99" i="761"/>
  <c r="H49" i="762"/>
  <c r="J49" i="762"/>
  <c r="H60" i="762"/>
  <c r="J167" i="762"/>
  <c r="K167" i="762" s="1"/>
  <c r="J227" i="762"/>
  <c r="H227" i="762"/>
  <c r="J238" i="762"/>
  <c r="K254" i="762"/>
  <c r="J265" i="762"/>
  <c r="F269" i="762"/>
  <c r="J269" i="762"/>
  <c r="H269" i="762"/>
  <c r="F278" i="762"/>
  <c r="J278" i="762"/>
  <c r="K278" i="762" s="1"/>
  <c r="H316" i="762"/>
  <c r="K316" i="762" s="1"/>
  <c r="J222" i="763"/>
  <c r="H222" i="763"/>
  <c r="F222" i="763"/>
  <c r="O15" i="762" a="1"/>
  <c r="O15" i="762" s="1"/>
  <c r="K137" i="762"/>
  <c r="F245" i="762"/>
  <c r="J245" i="762"/>
  <c r="H245" i="762"/>
  <c r="K251" i="762"/>
  <c r="K64" i="763"/>
  <c r="H76" i="752"/>
  <c r="H14" i="752" s="1"/>
  <c r="K14" i="752" s="1"/>
  <c r="K112" i="752"/>
  <c r="K66" i="755"/>
  <c r="K76" i="755" s="1"/>
  <c r="G49" i="756"/>
  <c r="G50" i="756"/>
  <c r="K71" i="756"/>
  <c r="K82" i="759"/>
  <c r="K79" i="760"/>
  <c r="K39" i="761"/>
  <c r="K166" i="761"/>
  <c r="K197" i="761"/>
  <c r="K100" i="762"/>
  <c r="G133" i="762"/>
  <c r="G132" i="762"/>
  <c r="J266" i="762"/>
  <c r="H266" i="762"/>
  <c r="J270" i="762"/>
  <c r="H270" i="762"/>
  <c r="F270" i="762"/>
  <c r="H252" i="763"/>
  <c r="K252" i="763" s="1"/>
  <c r="J252" i="763"/>
  <c r="F252" i="763"/>
  <c r="K111" i="764"/>
  <c r="O16" i="762" a="1"/>
  <c r="O16" i="762" s="1"/>
  <c r="J50" i="762"/>
  <c r="H50" i="762"/>
  <c r="K192" i="762"/>
  <c r="F228" i="762"/>
  <c r="J228" i="762"/>
  <c r="H228" i="762"/>
  <c r="J279" i="762"/>
  <c r="H279" i="762"/>
  <c r="F279" i="762"/>
  <c r="O21" i="763" a="1"/>
  <c r="O21" i="763" s="1"/>
  <c r="O13" i="761" a="1"/>
  <c r="O13" i="761" s="1"/>
  <c r="K63" i="761"/>
  <c r="K66" i="761"/>
  <c r="K124" i="761"/>
  <c r="K137" i="761"/>
  <c r="H61" i="762"/>
  <c r="J61" i="762"/>
  <c r="K125" i="762"/>
  <c r="G198" i="762"/>
  <c r="K209" i="762"/>
  <c r="H232" i="762"/>
  <c r="H235" i="762"/>
  <c r="K235" i="762" s="1"/>
  <c r="H240" i="762"/>
  <c r="K240" i="762" s="1"/>
  <c r="J259" i="762"/>
  <c r="G194" i="763"/>
  <c r="K202" i="763"/>
  <c r="O24" i="763" a="1"/>
  <c r="O24" i="763" s="1"/>
  <c r="J231" i="763"/>
  <c r="H231" i="763"/>
  <c r="O23" i="763" a="1"/>
  <c r="O23" i="763" s="1"/>
  <c r="K180" i="763"/>
  <c r="F228" i="763"/>
  <c r="H228" i="763"/>
  <c r="K228" i="763" s="1"/>
  <c r="O19" i="764" a="1"/>
  <c r="O19" i="764" s="1"/>
  <c r="O18" i="764" a="1"/>
  <c r="O18" i="764" s="1"/>
  <c r="O13" i="764" a="1"/>
  <c r="O13" i="764" s="1"/>
  <c r="F231" i="764"/>
  <c r="J231" i="764"/>
  <c r="H231" i="764"/>
  <c r="J255" i="764"/>
  <c r="F255" i="764"/>
  <c r="H255" i="764"/>
  <c r="K177" i="761"/>
  <c r="E65" i="762"/>
  <c r="H47" i="762"/>
  <c r="E66" i="762"/>
  <c r="J47" i="762"/>
  <c r="J103" i="762"/>
  <c r="J152" i="762"/>
  <c r="O19" i="763" a="1"/>
  <c r="O19" i="763" s="1"/>
  <c r="K65" i="763"/>
  <c r="H213" i="763"/>
  <c r="I216" i="763"/>
  <c r="J216" i="763" s="1"/>
  <c r="K216" i="763" s="1"/>
  <c r="K258" i="763"/>
  <c r="G48" i="757"/>
  <c r="G55" i="759"/>
  <c r="K81" i="759"/>
  <c r="K130" i="760"/>
  <c r="K157" i="760"/>
  <c r="K37" i="761"/>
  <c r="G148" i="761"/>
  <c r="K169" i="761"/>
  <c r="F177" i="761"/>
  <c r="K203" i="761"/>
  <c r="H52" i="762"/>
  <c r="K52" i="762" s="1"/>
  <c r="H103" i="762"/>
  <c r="K127" i="762"/>
  <c r="H152" i="762"/>
  <c r="J156" i="762"/>
  <c r="K156" i="762" s="1"/>
  <c r="H275" i="762"/>
  <c r="H282" i="762"/>
  <c r="K282" i="762" s="1"/>
  <c r="J286" i="762"/>
  <c r="H286" i="762"/>
  <c r="H89" i="763"/>
  <c r="E163" i="763"/>
  <c r="J217" i="763"/>
  <c r="J22" i="763" s="1"/>
  <c r="F232" i="763"/>
  <c r="J232" i="763"/>
  <c r="H232" i="763"/>
  <c r="K246" i="763"/>
  <c r="H268" i="763"/>
  <c r="K268" i="763" s="1"/>
  <c r="F268" i="763"/>
  <c r="K38" i="764"/>
  <c r="K47" i="764" s="1"/>
  <c r="H47" i="764"/>
  <c r="H12" i="764" s="1"/>
  <c r="G196" i="764"/>
  <c r="K193" i="764"/>
  <c r="O22" i="763" a="1"/>
  <c r="O22" i="763" s="1"/>
  <c r="K138" i="763"/>
  <c r="H223" i="763"/>
  <c r="F223" i="763"/>
  <c r="O18" i="762" a="1"/>
  <c r="O18" i="762" s="1"/>
  <c r="J59" i="762"/>
  <c r="K59" i="762" s="1"/>
  <c r="J74" i="762"/>
  <c r="H74" i="762"/>
  <c r="K128" i="762"/>
  <c r="H231" i="762"/>
  <c r="K231" i="762" s="1"/>
  <c r="F234" i="762"/>
  <c r="J234" i="762"/>
  <c r="K234" i="762" s="1"/>
  <c r="H258" i="762"/>
  <c r="K258" i="762" s="1"/>
  <c r="K79" i="763"/>
  <c r="H85" i="763"/>
  <c r="H14" i="763" s="1"/>
  <c r="J220" i="763"/>
  <c r="K220" i="763" s="1"/>
  <c r="J223" i="763"/>
  <c r="J229" i="763"/>
  <c r="F229" i="763"/>
  <c r="H229" i="763"/>
  <c r="H239" i="763"/>
  <c r="H256" i="763"/>
  <c r="J256" i="763"/>
  <c r="G301" i="763"/>
  <c r="H102" i="764"/>
  <c r="J102" i="764"/>
  <c r="G138" i="764"/>
  <c r="G140" i="764"/>
  <c r="G139" i="764"/>
  <c r="K134" i="764"/>
  <c r="J38" i="761"/>
  <c r="J45" i="761" s="1"/>
  <c r="J12" i="761" s="1"/>
  <c r="G93" i="761"/>
  <c r="J277" i="762"/>
  <c r="H277" i="762"/>
  <c r="J315" i="762"/>
  <c r="H315" i="762"/>
  <c r="K52" i="763"/>
  <c r="J85" i="763"/>
  <c r="J14" i="763" s="1"/>
  <c r="K91" i="763"/>
  <c r="H156" i="763"/>
  <c r="K156" i="763" s="1"/>
  <c r="H165" i="763"/>
  <c r="J165" i="763"/>
  <c r="J239" i="763"/>
  <c r="K253" i="763"/>
  <c r="F256" i="763"/>
  <c r="J297" i="763"/>
  <c r="K297" i="763" s="1"/>
  <c r="J72" i="764"/>
  <c r="J13" i="764" s="1"/>
  <c r="K124" i="759"/>
  <c r="G196" i="760"/>
  <c r="H38" i="761"/>
  <c r="H45" i="761" s="1"/>
  <c r="H12" i="761" s="1"/>
  <c r="H58" i="761"/>
  <c r="H13" i="761" s="1"/>
  <c r="J64" i="761"/>
  <c r="K64" i="761" s="1"/>
  <c r="G94" i="761"/>
  <c r="K118" i="761"/>
  <c r="G149" i="761"/>
  <c r="H167" i="761"/>
  <c r="K167" i="761" s="1"/>
  <c r="F167" i="761"/>
  <c r="K174" i="761"/>
  <c r="F178" i="761"/>
  <c r="J99" i="762"/>
  <c r="H99" i="762"/>
  <c r="K225" i="762"/>
  <c r="J267" i="762"/>
  <c r="J273" i="762"/>
  <c r="F277" i="762"/>
  <c r="F284" i="762"/>
  <c r="K319" i="762"/>
  <c r="K158" i="763"/>
  <c r="K215" i="763"/>
  <c r="K274" i="763"/>
  <c r="K290" i="763"/>
  <c r="J103" i="764"/>
  <c r="H103" i="764"/>
  <c r="G130" i="763"/>
  <c r="G131" i="763"/>
  <c r="H131" i="763" s="1"/>
  <c r="J178" i="763"/>
  <c r="H178" i="763"/>
  <c r="O20" i="764" a="1"/>
  <c r="O20" i="764" s="1"/>
  <c r="H280" i="764"/>
  <c r="J280" i="764"/>
  <c r="J95" i="765"/>
  <c r="J99" i="765" s="1"/>
  <c r="J16" i="765" s="1"/>
  <c r="H95" i="765"/>
  <c r="O23" i="764" a="1"/>
  <c r="O23" i="764" s="1"/>
  <c r="K82" i="763"/>
  <c r="K121" i="763"/>
  <c r="K148" i="763"/>
  <c r="K224" i="763"/>
  <c r="H227" i="763"/>
  <c r="J227" i="763"/>
  <c r="O12" i="764" a="1"/>
  <c r="O12" i="764" s="1"/>
  <c r="K150" i="761"/>
  <c r="I160" i="761"/>
  <c r="J160" i="761" s="1"/>
  <c r="K160" i="761" s="1"/>
  <c r="H157" i="761"/>
  <c r="K310" i="762"/>
  <c r="K122" i="763"/>
  <c r="H225" i="763"/>
  <c r="J225" i="763"/>
  <c r="H250" i="763"/>
  <c r="J250" i="763"/>
  <c r="H260" i="763"/>
  <c r="K260" i="763" s="1"/>
  <c r="F260" i="763"/>
  <c r="K275" i="763"/>
  <c r="K52" i="764"/>
  <c r="K56" i="764"/>
  <c r="H90" i="764"/>
  <c r="H113" i="764"/>
  <c r="H118" i="764" s="1"/>
  <c r="H17" i="764" s="1"/>
  <c r="J113" i="764"/>
  <c r="J118" i="764" s="1"/>
  <c r="J17" i="764" s="1"/>
  <c r="K232" i="764"/>
  <c r="O16" i="764" a="1"/>
  <c r="O16" i="764" s="1"/>
  <c r="H226" i="764"/>
  <c r="J226" i="764"/>
  <c r="K276" i="763"/>
  <c r="K283" i="763"/>
  <c r="J288" i="763"/>
  <c r="H288" i="763"/>
  <c r="K298" i="763"/>
  <c r="J75" i="764"/>
  <c r="K75" i="764" s="1"/>
  <c r="E80" i="764"/>
  <c r="K100" i="764"/>
  <c r="G130" i="764"/>
  <c r="G131" i="764"/>
  <c r="H131" i="764" s="1"/>
  <c r="G132" i="764"/>
  <c r="H132" i="764" s="1"/>
  <c r="K155" i="764"/>
  <c r="J164" i="764"/>
  <c r="H164" i="764"/>
  <c r="K242" i="764"/>
  <c r="O15" i="765" a="1"/>
  <c r="O15" i="765" s="1"/>
  <c r="O12" i="765" a="1"/>
  <c r="O12" i="765" s="1"/>
  <c r="H164" i="765"/>
  <c r="J164" i="765"/>
  <c r="J236" i="764"/>
  <c r="H236" i="764"/>
  <c r="F236" i="764"/>
  <c r="J250" i="764"/>
  <c r="K250" i="764" s="1"/>
  <c r="F250" i="764"/>
  <c r="O13" i="765" a="1"/>
  <c r="O13" i="765" s="1"/>
  <c r="J70" i="765"/>
  <c r="J13" i="765" s="1"/>
  <c r="O21" i="764" a="1"/>
  <c r="O21" i="764" s="1"/>
  <c r="E166" i="764"/>
  <c r="K191" i="764"/>
  <c r="G195" i="764"/>
  <c r="J243" i="764"/>
  <c r="H243" i="764"/>
  <c r="K243" i="764" s="1"/>
  <c r="F243" i="764"/>
  <c r="G293" i="764"/>
  <c r="K114" i="761"/>
  <c r="K192" i="761"/>
  <c r="K38" i="763"/>
  <c r="H47" i="763"/>
  <c r="H12" i="763" s="1"/>
  <c r="J145" i="763"/>
  <c r="J153" i="763"/>
  <c r="H153" i="763"/>
  <c r="K265" i="763"/>
  <c r="J47" i="764"/>
  <c r="J12" i="764" s="1"/>
  <c r="K208" i="764"/>
  <c r="J230" i="764"/>
  <c r="F230" i="764"/>
  <c r="F237" i="764"/>
  <c r="K270" i="764"/>
  <c r="O16" i="763" a="1"/>
  <c r="O16" i="763" s="1"/>
  <c r="H99" i="763"/>
  <c r="F265" i="763"/>
  <c r="K59" i="764"/>
  <c r="J152" i="764"/>
  <c r="K152" i="764" s="1"/>
  <c r="K227" i="764"/>
  <c r="H230" i="764"/>
  <c r="H237" i="764"/>
  <c r="K237" i="764" s="1"/>
  <c r="K266" i="764"/>
  <c r="O17" i="765" a="1"/>
  <c r="O17" i="765" s="1"/>
  <c r="K89" i="765"/>
  <c r="O21" i="765" a="1"/>
  <c r="O21" i="765" s="1"/>
  <c r="J196" i="765"/>
  <c r="F196" i="765"/>
  <c r="H196" i="765"/>
  <c r="F237" i="765"/>
  <c r="H237" i="765"/>
  <c r="K237" i="765" s="1"/>
  <c r="J237" i="765"/>
  <c r="J225" i="764"/>
  <c r="K225" i="764" s="1"/>
  <c r="F225" i="764"/>
  <c r="J228" i="764"/>
  <c r="F228" i="764"/>
  <c r="H228" i="764"/>
  <c r="K148" i="765"/>
  <c r="K50" i="764"/>
  <c r="H72" i="764"/>
  <c r="H13" i="764" s="1"/>
  <c r="K13" i="764" s="1"/>
  <c r="J94" i="764"/>
  <c r="J15" i="764" s="1"/>
  <c r="H154" i="764"/>
  <c r="J154" i="764"/>
  <c r="K38" i="765"/>
  <c r="G112" i="765"/>
  <c r="H112" i="765" s="1"/>
  <c r="H201" i="765"/>
  <c r="F201" i="765"/>
  <c r="J201" i="765"/>
  <c r="K222" i="765"/>
  <c r="K269" i="766"/>
  <c r="K277" i="766"/>
  <c r="G280" i="766"/>
  <c r="O20" i="766" a="1"/>
  <c r="O20" i="766" s="1"/>
  <c r="J198" i="765"/>
  <c r="F198" i="765"/>
  <c r="H198" i="765"/>
  <c r="K220" i="765"/>
  <c r="J258" i="765"/>
  <c r="H258" i="765"/>
  <c r="O17" i="766" a="1"/>
  <c r="O17" i="766" s="1"/>
  <c r="K123" i="766"/>
  <c r="G129" i="766"/>
  <c r="H213" i="766"/>
  <c r="J213" i="766"/>
  <c r="F213" i="766"/>
  <c r="G193" i="763"/>
  <c r="K300" i="763"/>
  <c r="K223" i="764"/>
  <c r="K229" i="764"/>
  <c r="K121" i="765"/>
  <c r="K173" i="765"/>
  <c r="J69" i="766"/>
  <c r="J13" i="766" s="1"/>
  <c r="K112" i="766"/>
  <c r="K102" i="765"/>
  <c r="K215" i="765"/>
  <c r="F218" i="765"/>
  <c r="J218" i="765"/>
  <c r="H218" i="765"/>
  <c r="O21" i="766" a="1"/>
  <c r="O21" i="766" s="1"/>
  <c r="J235" i="764"/>
  <c r="H235" i="764"/>
  <c r="H264" i="765"/>
  <c r="J264" i="765"/>
  <c r="O22" i="766" a="1"/>
  <c r="O22" i="766" s="1"/>
  <c r="E162" i="766"/>
  <c r="J88" i="766"/>
  <c r="H88" i="766"/>
  <c r="O12" i="766" a="1"/>
  <c r="O12" i="766" s="1"/>
  <c r="H164" i="766"/>
  <c r="J164" i="766"/>
  <c r="E170" i="766"/>
  <c r="G137" i="763"/>
  <c r="K235" i="763"/>
  <c r="K280" i="763"/>
  <c r="K53" i="764"/>
  <c r="K64" i="764"/>
  <c r="K76" i="764"/>
  <c r="J200" i="764"/>
  <c r="J204" i="764" s="1"/>
  <c r="J22" i="764" s="1"/>
  <c r="G203" i="764"/>
  <c r="H203" i="764" s="1"/>
  <c r="H238" i="764"/>
  <c r="K238" i="764" s="1"/>
  <c r="J244" i="764"/>
  <c r="K244" i="764" s="1"/>
  <c r="H253" i="764"/>
  <c r="K253" i="764" s="1"/>
  <c r="J253" i="764"/>
  <c r="H86" i="765"/>
  <c r="K86" i="765" s="1"/>
  <c r="E90" i="765"/>
  <c r="G113" i="765"/>
  <c r="H113" i="765" s="1"/>
  <c r="K104" i="765"/>
  <c r="H265" i="765"/>
  <c r="J265" i="765"/>
  <c r="H45" i="765"/>
  <c r="H12" i="765" s="1"/>
  <c r="K37" i="765"/>
  <c r="F233" i="765"/>
  <c r="H233" i="765"/>
  <c r="K61" i="764"/>
  <c r="F239" i="764"/>
  <c r="J239" i="764"/>
  <c r="K239" i="764" s="1"/>
  <c r="H247" i="764"/>
  <c r="K247" i="764" s="1"/>
  <c r="F256" i="764"/>
  <c r="H256" i="764"/>
  <c r="K256" i="764" s="1"/>
  <c r="J45" i="765"/>
  <c r="J12" i="765" s="1"/>
  <c r="K105" i="765"/>
  <c r="J233" i="765"/>
  <c r="O19" i="766" a="1"/>
  <c r="O19" i="766" s="1"/>
  <c r="J45" i="766"/>
  <c r="J12" i="766" s="1"/>
  <c r="K37" i="766"/>
  <c r="G131" i="766"/>
  <c r="H131" i="766" s="1"/>
  <c r="G130" i="766"/>
  <c r="H130" i="766" s="1"/>
  <c r="K121" i="766"/>
  <c r="O16" i="766" a="1"/>
  <c r="O16" i="766" s="1"/>
  <c r="O22" i="765" a="1"/>
  <c r="O22" i="765" s="1"/>
  <c r="K133" i="765"/>
  <c r="H145" i="765"/>
  <c r="H18" i="765" s="1"/>
  <c r="H197" i="765"/>
  <c r="K197" i="765" s="1"/>
  <c r="F197" i="765"/>
  <c r="K252" i="765"/>
  <c r="H69" i="766"/>
  <c r="H13" i="766" s="1"/>
  <c r="K13" i="766" s="1"/>
  <c r="K55" i="766"/>
  <c r="K69" i="766" s="1"/>
  <c r="O14" i="766" a="1"/>
  <c r="O14" i="766" s="1"/>
  <c r="K148" i="766"/>
  <c r="H210" i="766"/>
  <c r="K210" i="766" s="1"/>
  <c r="F210" i="766"/>
  <c r="H249" i="766"/>
  <c r="J249" i="766"/>
  <c r="F249" i="766"/>
  <c r="H268" i="766"/>
  <c r="J268" i="766"/>
  <c r="O19" i="767" a="1"/>
  <c r="O19" i="767" s="1"/>
  <c r="K65" i="764"/>
  <c r="K74" i="764"/>
  <c r="K268" i="764"/>
  <c r="H70" i="765"/>
  <c r="H13" i="765" s="1"/>
  <c r="K13" i="765" s="1"/>
  <c r="H78" i="765"/>
  <c r="H14" i="765" s="1"/>
  <c r="K14" i="765" s="1"/>
  <c r="K74" i="765"/>
  <c r="K78" i="765" s="1"/>
  <c r="K110" i="765"/>
  <c r="K190" i="765"/>
  <c r="H90" i="766"/>
  <c r="J90" i="766"/>
  <c r="J114" i="766"/>
  <c r="J117" i="766" s="1"/>
  <c r="J17" i="766" s="1"/>
  <c r="H114" i="766"/>
  <c r="H144" i="766"/>
  <c r="J144" i="766"/>
  <c r="J159" i="766" s="1"/>
  <c r="J19" i="766" s="1"/>
  <c r="O18" i="766" a="1"/>
  <c r="O18" i="766" s="1"/>
  <c r="O13" i="766" a="1"/>
  <c r="O13" i="766" s="1"/>
  <c r="O18" i="765" a="1"/>
  <c r="O18" i="765" s="1"/>
  <c r="K48" i="765"/>
  <c r="K130" i="765"/>
  <c r="J241" i="767"/>
  <c r="H241" i="767"/>
  <c r="F241" i="767"/>
  <c r="K38" i="766"/>
  <c r="J72" i="766"/>
  <c r="H72" i="766"/>
  <c r="K120" i="766"/>
  <c r="K125" i="766"/>
  <c r="H216" i="766"/>
  <c r="J216" i="766"/>
  <c r="K260" i="766"/>
  <c r="O21" i="767" a="1"/>
  <c r="O21" i="767" s="1"/>
  <c r="O23" i="767" a="1"/>
  <c r="O23" i="767" s="1"/>
  <c r="O14" i="767" a="1"/>
  <c r="O14" i="767" s="1"/>
  <c r="O13" i="767" a="1"/>
  <c r="O13" i="767" s="1"/>
  <c r="O17" i="767" a="1"/>
  <c r="O17" i="767" s="1"/>
  <c r="J230" i="767"/>
  <c r="F230" i="767"/>
  <c r="H230" i="767"/>
  <c r="H246" i="767"/>
  <c r="K246" i="767" s="1"/>
  <c r="F246" i="767"/>
  <c r="J246" i="767"/>
  <c r="O16" i="765" a="1"/>
  <c r="O16" i="765" s="1"/>
  <c r="G111" i="765"/>
  <c r="G120" i="765"/>
  <c r="K116" i="765"/>
  <c r="H206" i="765"/>
  <c r="K206" i="765" s="1"/>
  <c r="F206" i="765"/>
  <c r="K225" i="765"/>
  <c r="G193" i="766"/>
  <c r="K237" i="766"/>
  <c r="K261" i="766"/>
  <c r="K37" i="767"/>
  <c r="K45" i="767" s="1"/>
  <c r="H45" i="767"/>
  <c r="H12" i="767" s="1"/>
  <c r="H231" i="767"/>
  <c r="J231" i="767"/>
  <c r="F231" i="767"/>
  <c r="K190" i="764"/>
  <c r="K233" i="764"/>
  <c r="K271" i="764"/>
  <c r="H193" i="765"/>
  <c r="H21" i="765" s="1"/>
  <c r="J202" i="765"/>
  <c r="F202" i="765"/>
  <c r="I131" i="767"/>
  <c r="J131" i="767" s="1"/>
  <c r="H131" i="767"/>
  <c r="O20" i="765" a="1"/>
  <c r="O20" i="765" s="1"/>
  <c r="J131" i="765"/>
  <c r="K131" i="765" s="1"/>
  <c r="J187" i="765"/>
  <c r="J193" i="765" s="1"/>
  <c r="J21" i="765" s="1"/>
  <c r="H202" i="765"/>
  <c r="F216" i="765"/>
  <c r="H216" i="765"/>
  <c r="K216" i="765" s="1"/>
  <c r="F228" i="765"/>
  <c r="H228" i="765"/>
  <c r="K228" i="765" s="1"/>
  <c r="K234" i="765"/>
  <c r="K100" i="766"/>
  <c r="K189" i="766"/>
  <c r="J267" i="766"/>
  <c r="H267" i="766"/>
  <c r="F218" i="767"/>
  <c r="J218" i="767"/>
  <c r="H218" i="767"/>
  <c r="F232" i="767"/>
  <c r="J232" i="767"/>
  <c r="H232" i="767"/>
  <c r="K257" i="767"/>
  <c r="O22" i="767" a="1"/>
  <c r="O22" i="767" s="1"/>
  <c r="K76" i="767"/>
  <c r="O16" i="767" a="1"/>
  <c r="O16" i="767" s="1"/>
  <c r="K249" i="764"/>
  <c r="K265" i="764"/>
  <c r="K65" i="765"/>
  <c r="K108" i="765"/>
  <c r="H203" i="765"/>
  <c r="K203" i="765" s="1"/>
  <c r="F203" i="765"/>
  <c r="K250" i="765"/>
  <c r="K134" i="766"/>
  <c r="G138" i="766"/>
  <c r="G137" i="766"/>
  <c r="H215" i="766"/>
  <c r="K215" i="766" s="1"/>
  <c r="F215" i="766"/>
  <c r="H219" i="766"/>
  <c r="K219" i="766" s="1"/>
  <c r="F219" i="766"/>
  <c r="K137" i="767"/>
  <c r="K241" i="764"/>
  <c r="K254" i="764"/>
  <c r="K269" i="764"/>
  <c r="J81" i="765"/>
  <c r="H81" i="765"/>
  <c r="F212" i="765"/>
  <c r="H212" i="765"/>
  <c r="K212" i="765" s="1"/>
  <c r="J257" i="765"/>
  <c r="H257" i="765"/>
  <c r="H109" i="766"/>
  <c r="H16" i="766" s="1"/>
  <c r="K105" i="766"/>
  <c r="H139" i="766"/>
  <c r="I139" i="766"/>
  <c r="J139" i="766" s="1"/>
  <c r="H206" i="766"/>
  <c r="F206" i="766"/>
  <c r="J206" i="766"/>
  <c r="I184" i="767"/>
  <c r="J184" i="767" s="1"/>
  <c r="H184" i="767"/>
  <c r="J81" i="767"/>
  <c r="K81" i="767" s="1"/>
  <c r="E157" i="767"/>
  <c r="J236" i="768"/>
  <c r="F236" i="768"/>
  <c r="H236" i="768"/>
  <c r="O18" i="768" a="1"/>
  <c r="O18" i="768" s="1"/>
  <c r="H59" i="768"/>
  <c r="H13" i="768" s="1"/>
  <c r="K51" i="768"/>
  <c r="O18" i="767" a="1"/>
  <c r="O18" i="767" s="1"/>
  <c r="G121" i="767"/>
  <c r="K112" i="767"/>
  <c r="G122" i="767"/>
  <c r="H122" i="767" s="1"/>
  <c r="K114" i="768"/>
  <c r="K175" i="765"/>
  <c r="G192" i="766"/>
  <c r="K187" i="766"/>
  <c r="K243" i="766"/>
  <c r="J74" i="767"/>
  <c r="J75" i="767" s="1"/>
  <c r="J14" i="767" s="1"/>
  <c r="H90" i="767"/>
  <c r="K90" i="767" s="1"/>
  <c r="K141" i="767"/>
  <c r="F216" i="767"/>
  <c r="H216" i="767"/>
  <c r="J216" i="767"/>
  <c r="H227" i="767"/>
  <c r="J227" i="767"/>
  <c r="F227" i="767"/>
  <c r="H268" i="767"/>
  <c r="J268" i="767"/>
  <c r="O23" i="768" a="1"/>
  <c r="O23" i="768" s="1"/>
  <c r="K117" i="765"/>
  <c r="K244" i="765"/>
  <c r="J98" i="766"/>
  <c r="K155" i="766"/>
  <c r="J208" i="766"/>
  <c r="K208" i="766" s="1"/>
  <c r="H214" i="766"/>
  <c r="J214" i="766"/>
  <c r="F214" i="766"/>
  <c r="J247" i="766"/>
  <c r="K247" i="766" s="1"/>
  <c r="J91" i="767"/>
  <c r="H91" i="767"/>
  <c r="J143" i="767"/>
  <c r="J152" i="767" s="1"/>
  <c r="J19" i="767" s="1"/>
  <c r="H143" i="767"/>
  <c r="K180" i="767"/>
  <c r="G185" i="767"/>
  <c r="H200" i="767"/>
  <c r="J200" i="767"/>
  <c r="H208" i="767"/>
  <c r="F208" i="767"/>
  <c r="J208" i="767"/>
  <c r="O22" i="768" a="1"/>
  <c r="O22" i="768" s="1"/>
  <c r="O20" i="768" a="1"/>
  <c r="O20" i="768" s="1"/>
  <c r="G129" i="768"/>
  <c r="K125" i="768"/>
  <c r="G130" i="768"/>
  <c r="G128" i="768"/>
  <c r="H68" i="767"/>
  <c r="H13" i="767" s="1"/>
  <c r="G129" i="767"/>
  <c r="G130" i="767"/>
  <c r="K125" i="767"/>
  <c r="K148" i="767"/>
  <c r="F200" i="767"/>
  <c r="K214" i="767"/>
  <c r="H222" i="767"/>
  <c r="K222" i="767" s="1"/>
  <c r="H228" i="767"/>
  <c r="J228" i="767"/>
  <c r="H238" i="767"/>
  <c r="K238" i="767" s="1"/>
  <c r="F238" i="767"/>
  <c r="J243" i="767"/>
  <c r="H243" i="767"/>
  <c r="F243" i="767"/>
  <c r="H199" i="765"/>
  <c r="K199" i="765" s="1"/>
  <c r="F199" i="765"/>
  <c r="H204" i="765"/>
  <c r="K204" i="765" s="1"/>
  <c r="J235" i="765"/>
  <c r="K235" i="765" s="1"/>
  <c r="K147" i="766"/>
  <c r="H209" i="766"/>
  <c r="J209" i="766"/>
  <c r="H248" i="766"/>
  <c r="J248" i="766"/>
  <c r="K279" i="766"/>
  <c r="H204" i="767"/>
  <c r="J204" i="767"/>
  <c r="F204" i="767"/>
  <c r="J209" i="767"/>
  <c r="F209" i="767"/>
  <c r="F247" i="767"/>
  <c r="J247" i="767"/>
  <c r="K247" i="767" s="1"/>
  <c r="K274" i="767"/>
  <c r="K87" i="767"/>
  <c r="H209" i="767"/>
  <c r="H244" i="767"/>
  <c r="F244" i="767"/>
  <c r="K260" i="767"/>
  <c r="J145" i="768"/>
  <c r="H145" i="768"/>
  <c r="K145" i="768" s="1"/>
  <c r="J227" i="768"/>
  <c r="H227" i="768"/>
  <c r="F227" i="768"/>
  <c r="O19" i="765" a="1"/>
  <c r="O19" i="765" s="1"/>
  <c r="G179" i="765"/>
  <c r="J230" i="765"/>
  <c r="K230" i="765" s="1"/>
  <c r="J73" i="766"/>
  <c r="K73" i="766" s="1"/>
  <c r="K127" i="766"/>
  <c r="K60" i="767"/>
  <c r="F220" i="767"/>
  <c r="H220" i="767"/>
  <c r="K220" i="767" s="1"/>
  <c r="H229" i="767"/>
  <c r="J229" i="767"/>
  <c r="F229" i="767"/>
  <c r="H240" i="767"/>
  <c r="F240" i="767"/>
  <c r="J240" i="767"/>
  <c r="J244" i="767"/>
  <c r="J248" i="768"/>
  <c r="H248" i="768"/>
  <c r="F248" i="768"/>
  <c r="K71" i="767"/>
  <c r="H79" i="767"/>
  <c r="E155" i="767"/>
  <c r="J79" i="767"/>
  <c r="K145" i="767"/>
  <c r="O12" i="768" a="1"/>
  <c r="O12" i="768" s="1"/>
  <c r="H94" i="768"/>
  <c r="J94" i="768"/>
  <c r="J105" i="768"/>
  <c r="J109" i="768" s="1"/>
  <c r="J17" i="768" s="1"/>
  <c r="H105" i="768"/>
  <c r="K137" i="768"/>
  <c r="O15" i="768" a="1"/>
  <c r="O15" i="768" s="1"/>
  <c r="H144" i="768"/>
  <c r="J144" i="768"/>
  <c r="J228" i="768"/>
  <c r="H228" i="768"/>
  <c r="J231" i="768"/>
  <c r="F231" i="768"/>
  <c r="H231" i="768"/>
  <c r="H87" i="768"/>
  <c r="K90" i="768"/>
  <c r="F228" i="768"/>
  <c r="O13" i="768" a="1"/>
  <c r="O13" i="768" s="1"/>
  <c r="J87" i="768"/>
  <c r="K178" i="768"/>
  <c r="G183" i="768"/>
  <c r="H224" i="768"/>
  <c r="K224" i="768" s="1"/>
  <c r="F224" i="768"/>
  <c r="J106" i="766"/>
  <c r="K106" i="766" s="1"/>
  <c r="K152" i="766"/>
  <c r="K157" i="766"/>
  <c r="J102" i="767"/>
  <c r="J109" i="767" s="1"/>
  <c r="J17" i="767" s="1"/>
  <c r="H102" i="767"/>
  <c r="K128" i="767"/>
  <c r="K146" i="767"/>
  <c r="J203" i="767"/>
  <c r="H203" i="767"/>
  <c r="K203" i="767" s="1"/>
  <c r="J206" i="767"/>
  <c r="F206" i="767"/>
  <c r="H206" i="767"/>
  <c r="K97" i="768"/>
  <c r="G122" i="768"/>
  <c r="H122" i="768" s="1"/>
  <c r="G123" i="768"/>
  <c r="H123" i="768" s="1"/>
  <c r="G121" i="768"/>
  <c r="J210" i="768"/>
  <c r="K210" i="768" s="1"/>
  <c r="F210" i="768"/>
  <c r="O16" i="768" a="1"/>
  <c r="O16" i="768" s="1"/>
  <c r="J59" i="768"/>
  <c r="J13" i="768" s="1"/>
  <c r="K47" i="768"/>
  <c r="K59" i="768" s="1"/>
  <c r="K112" i="768"/>
  <c r="J225" i="768"/>
  <c r="F225" i="768"/>
  <c r="H225" i="768"/>
  <c r="O14" i="768" a="1"/>
  <c r="O14" i="768" s="1"/>
  <c r="K78" i="768"/>
  <c r="H84" i="768"/>
  <c r="H15" i="768" s="1"/>
  <c r="F211" i="768"/>
  <c r="H211" i="768"/>
  <c r="J237" i="768"/>
  <c r="H237" i="768"/>
  <c r="J240" i="768"/>
  <c r="F240" i="768"/>
  <c r="K177" i="766"/>
  <c r="I201" i="766"/>
  <c r="J201" i="766" s="1"/>
  <c r="K201" i="766" s="1"/>
  <c r="K203" i="766" s="1"/>
  <c r="K221" i="766"/>
  <c r="K274" i="766"/>
  <c r="J68" i="767"/>
  <c r="J13" i="767" s="1"/>
  <c r="K52" i="767"/>
  <c r="K116" i="767"/>
  <c r="J201" i="767"/>
  <c r="H201" i="767"/>
  <c r="K201" i="767" s="1"/>
  <c r="G279" i="767"/>
  <c r="K273" i="767"/>
  <c r="K44" i="768"/>
  <c r="J84" i="768"/>
  <c r="J15" i="768" s="1"/>
  <c r="J211" i="768"/>
  <c r="J226" i="768"/>
  <c r="H226" i="768"/>
  <c r="F226" i="768"/>
  <c r="F237" i="768"/>
  <c r="H240" i="768"/>
  <c r="K240" i="768" s="1"/>
  <c r="H203" i="766"/>
  <c r="H22" i="766" s="1"/>
  <c r="K263" i="766"/>
  <c r="K221" i="767"/>
  <c r="K65" i="768"/>
  <c r="H80" i="768"/>
  <c r="K80" i="768" s="1"/>
  <c r="E157" i="768"/>
  <c r="J192" i="768"/>
  <c r="J200" i="768" s="1"/>
  <c r="J22" i="768" s="1"/>
  <c r="H192" i="768"/>
  <c r="J208" i="768"/>
  <c r="H208" i="768"/>
  <c r="K208" i="768" s="1"/>
  <c r="F208" i="768"/>
  <c r="H262" i="768"/>
  <c r="J262" i="768"/>
  <c r="J199" i="767"/>
  <c r="H199" i="767"/>
  <c r="K202" i="767"/>
  <c r="J205" i="767"/>
  <c r="H205" i="767"/>
  <c r="K147" i="768"/>
  <c r="K180" i="768"/>
  <c r="F205" i="768"/>
  <c r="J205" i="768"/>
  <c r="H205" i="768"/>
  <c r="K252" i="768"/>
  <c r="O17" i="768" a="1"/>
  <c r="O17" i="768" s="1"/>
  <c r="K58" i="767"/>
  <c r="J226" i="767"/>
  <c r="K226" i="767" s="1"/>
  <c r="F226" i="767"/>
  <c r="K255" i="767"/>
  <c r="K271" i="767"/>
  <c r="E68" i="768"/>
  <c r="J206" i="768"/>
  <c r="H206" i="768"/>
  <c r="F206" i="768"/>
  <c r="O21" i="768" a="1"/>
  <c r="O21" i="768" s="1"/>
  <c r="K62" i="768"/>
  <c r="K182" i="768"/>
  <c r="K239" i="768"/>
  <c r="H246" i="768"/>
  <c r="J246" i="768"/>
  <c r="E94" i="767"/>
  <c r="H235" i="767"/>
  <c r="K235" i="767" s="1"/>
  <c r="F235" i="767"/>
  <c r="H242" i="767"/>
  <c r="J242" i="767"/>
  <c r="K263" i="767"/>
  <c r="H207" i="768"/>
  <c r="J207" i="768"/>
  <c r="K230" i="768"/>
  <c r="K88" i="768"/>
  <c r="K219" i="768"/>
  <c r="J141" i="768"/>
  <c r="F203" i="768"/>
  <c r="F222" i="768"/>
  <c r="F234" i="768"/>
  <c r="F244" i="768"/>
  <c r="H261" i="768"/>
  <c r="K261" i="768" s="1"/>
  <c r="H59" i="769"/>
  <c r="H13" i="769" s="1"/>
  <c r="K48" i="769"/>
  <c r="E79" i="769"/>
  <c r="J62" i="769"/>
  <c r="E78" i="769"/>
  <c r="H62" i="769"/>
  <c r="J113" i="769"/>
  <c r="K113" i="769" s="1"/>
  <c r="J116" i="769"/>
  <c r="H116" i="769"/>
  <c r="K116" i="769" s="1"/>
  <c r="K170" i="769"/>
  <c r="F225" i="767"/>
  <c r="H141" i="768"/>
  <c r="F215" i="768"/>
  <c r="H222" i="768"/>
  <c r="K222" i="768" s="1"/>
  <c r="J45" i="769"/>
  <c r="J12" i="769" s="1"/>
  <c r="J59" i="769"/>
  <c r="J13" i="769" s="1"/>
  <c r="K99" i="769"/>
  <c r="J102" i="769"/>
  <c r="H102" i="769"/>
  <c r="J129" i="769"/>
  <c r="H129" i="769"/>
  <c r="K153" i="769"/>
  <c r="K159" i="769" s="1"/>
  <c r="H193" i="769"/>
  <c r="K193" i="769" s="1"/>
  <c r="K200" i="769"/>
  <c r="O23" i="769" a="1"/>
  <c r="O23" i="769" s="1"/>
  <c r="O14" i="769" a="1"/>
  <c r="O14" i="769" s="1"/>
  <c r="J63" i="769"/>
  <c r="H63" i="769"/>
  <c r="J70" i="769"/>
  <c r="H70" i="769"/>
  <c r="G180" i="769"/>
  <c r="G181" i="769"/>
  <c r="K175" i="769"/>
  <c r="J97" i="769"/>
  <c r="J106" i="769"/>
  <c r="H106" i="769"/>
  <c r="I179" i="769"/>
  <c r="J179" i="769" s="1"/>
  <c r="H179" i="769"/>
  <c r="K292" i="769"/>
  <c r="J245" i="768"/>
  <c r="F245" i="768"/>
  <c r="J121" i="769"/>
  <c r="H121" i="769"/>
  <c r="J338" i="769"/>
  <c r="H338" i="769"/>
  <c r="K113" i="768"/>
  <c r="F204" i="768"/>
  <c r="F216" i="768"/>
  <c r="F235" i="768"/>
  <c r="H245" i="768"/>
  <c r="K246" i="769"/>
  <c r="K284" i="769"/>
  <c r="K305" i="769"/>
  <c r="O17" i="769" a="1"/>
  <c r="O17" i="769" s="1"/>
  <c r="J196" i="769"/>
  <c r="H196" i="769"/>
  <c r="K239" i="769"/>
  <c r="J237" i="767"/>
  <c r="K237" i="767" s="1"/>
  <c r="K193" i="768"/>
  <c r="H233" i="768"/>
  <c r="K233" i="768" s="1"/>
  <c r="J125" i="769"/>
  <c r="H125" i="769"/>
  <c r="O22" i="769" a="1"/>
  <c r="O22" i="769" s="1"/>
  <c r="J112" i="769"/>
  <c r="H112" i="769"/>
  <c r="O20" i="769" a="1"/>
  <c r="O20" i="769" s="1"/>
  <c r="J148" i="769"/>
  <c r="J17" i="769" s="1"/>
  <c r="K306" i="769"/>
  <c r="G274" i="768"/>
  <c r="J72" i="769"/>
  <c r="H72" i="769"/>
  <c r="H271" i="769"/>
  <c r="J271" i="769"/>
  <c r="K336" i="769"/>
  <c r="O14" i="770" a="1"/>
  <c r="O14" i="770" s="1"/>
  <c r="J37" i="770"/>
  <c r="H37" i="770"/>
  <c r="J67" i="769"/>
  <c r="K67" i="769" s="1"/>
  <c r="J75" i="769"/>
  <c r="K75" i="769" s="1"/>
  <c r="K142" i="769"/>
  <c r="G172" i="769"/>
  <c r="H172" i="769" s="1"/>
  <c r="K164" i="769"/>
  <c r="K245" i="769"/>
  <c r="G247" i="769"/>
  <c r="J274" i="769"/>
  <c r="H274" i="769"/>
  <c r="F274" i="769"/>
  <c r="J108" i="769"/>
  <c r="H108" i="769"/>
  <c r="J118" i="769"/>
  <c r="H118" i="769"/>
  <c r="J127" i="769"/>
  <c r="H127" i="769"/>
  <c r="K282" i="769"/>
  <c r="K290" i="769"/>
  <c r="K325" i="769"/>
  <c r="O12" i="770" a="1"/>
  <c r="O12" i="770" s="1"/>
  <c r="G104" i="770"/>
  <c r="K32" i="771"/>
  <c r="O16" i="770" a="1"/>
  <c r="O16" i="770" s="1"/>
  <c r="J40" i="770"/>
  <c r="H40" i="770"/>
  <c r="J68" i="769"/>
  <c r="H68" i="769"/>
  <c r="J76" i="769"/>
  <c r="H76" i="769"/>
  <c r="K90" i="769"/>
  <c r="K229" i="769"/>
  <c r="K310" i="769"/>
  <c r="K323" i="769"/>
  <c r="O13" i="770" a="1"/>
  <c r="O13" i="770" s="1"/>
  <c r="J104" i="769"/>
  <c r="H104" i="769"/>
  <c r="J114" i="769"/>
  <c r="H114" i="769"/>
  <c r="J123" i="769"/>
  <c r="H123" i="769"/>
  <c r="K134" i="769"/>
  <c r="G171" i="769"/>
  <c r="G173" i="769"/>
  <c r="H173" i="769" s="1"/>
  <c r="K277" i="769"/>
  <c r="K286" i="769"/>
  <c r="K295" i="769"/>
  <c r="K327" i="769"/>
  <c r="J66" i="769"/>
  <c r="H66" i="769"/>
  <c r="J74" i="769"/>
  <c r="H74" i="769"/>
  <c r="J107" i="769"/>
  <c r="K107" i="769" s="1"/>
  <c r="J117" i="769"/>
  <c r="K117" i="769" s="1"/>
  <c r="J126" i="769"/>
  <c r="K126" i="769" s="1"/>
  <c r="G255" i="769"/>
  <c r="H255" i="769" s="1"/>
  <c r="J252" i="769"/>
  <c r="I255" i="769"/>
  <c r="J255" i="769" s="1"/>
  <c r="H252" i="769"/>
  <c r="K307" i="769"/>
  <c r="K319" i="769"/>
  <c r="K40" i="769"/>
  <c r="K45" i="769" s="1"/>
  <c r="J69" i="769"/>
  <c r="K69" i="769" s="1"/>
  <c r="J135" i="769"/>
  <c r="H135" i="769"/>
  <c r="H148" i="769"/>
  <c r="H17" i="769" s="1"/>
  <c r="K141" i="769"/>
  <c r="K162" i="769"/>
  <c r="K262" i="769"/>
  <c r="J39" i="770"/>
  <c r="K39" i="770" s="1"/>
  <c r="H191" i="769"/>
  <c r="H279" i="769"/>
  <c r="K279" i="769" s="1"/>
  <c r="H281" i="769"/>
  <c r="K281" i="769" s="1"/>
  <c r="H283" i="769"/>
  <c r="K283" i="769" s="1"/>
  <c r="H285" i="769"/>
  <c r="K285" i="769" s="1"/>
  <c r="H287" i="769"/>
  <c r="K287" i="769" s="1"/>
  <c r="H289" i="769"/>
  <c r="K289" i="769" s="1"/>
  <c r="H291" i="769"/>
  <c r="K291" i="769" s="1"/>
  <c r="H294" i="769"/>
  <c r="K294" i="769" s="1"/>
  <c r="H296" i="769"/>
  <c r="K296" i="769" s="1"/>
  <c r="J32" i="771"/>
  <c r="J20" i="284" s="1"/>
  <c r="H40" i="772"/>
  <c r="H12" i="772" s="1"/>
  <c r="H43" i="770"/>
  <c r="H74" i="770"/>
  <c r="K74" i="770" s="1"/>
  <c r="H48" i="772"/>
  <c r="H13" i="772" s="1"/>
  <c r="K13" i="772" s="1"/>
  <c r="G242" i="769"/>
  <c r="H77" i="770"/>
  <c r="K77" i="770" s="1"/>
  <c r="H59" i="772"/>
  <c r="H14" i="772" s="1"/>
  <c r="K14" i="772" s="1"/>
  <c r="K40" i="772" l="1"/>
  <c r="K16" i="760"/>
  <c r="K280" i="764"/>
  <c r="K16" i="756"/>
  <c r="J178" i="760"/>
  <c r="J20" i="760" s="1"/>
  <c r="H57" i="728"/>
  <c r="H13" i="728" s="1"/>
  <c r="K47" i="727"/>
  <c r="K57" i="727" s="1"/>
  <c r="K83" i="765"/>
  <c r="K217" i="767"/>
  <c r="K107" i="763"/>
  <c r="K236" i="763"/>
  <c r="I103" i="739"/>
  <c r="J103" i="739" s="1"/>
  <c r="J109" i="739" s="1"/>
  <c r="J14" i="739" s="1"/>
  <c r="H103" i="739"/>
  <c r="K246" i="766"/>
  <c r="K74" i="767"/>
  <c r="K233" i="765"/>
  <c r="K164" i="766"/>
  <c r="K244" i="767"/>
  <c r="K227" i="767"/>
  <c r="K236" i="768"/>
  <c r="K90" i="766"/>
  <c r="K198" i="765"/>
  <c r="K250" i="763"/>
  <c r="K182" i="761"/>
  <c r="K14" i="747"/>
  <c r="K109" i="747"/>
  <c r="K80" i="734"/>
  <c r="K50" i="753"/>
  <c r="K47" i="729"/>
  <c r="K213" i="764"/>
  <c r="K105" i="763"/>
  <c r="K149" i="760"/>
  <c r="K230" i="763"/>
  <c r="K139" i="765"/>
  <c r="K231" i="767"/>
  <c r="K94" i="768"/>
  <c r="K196" i="769"/>
  <c r="K106" i="769"/>
  <c r="K240" i="767"/>
  <c r="K184" i="767"/>
  <c r="K213" i="766"/>
  <c r="K164" i="765"/>
  <c r="K223" i="763"/>
  <c r="K124" i="736"/>
  <c r="J57" i="723"/>
  <c r="J13" i="723" s="1"/>
  <c r="J34" i="723" s="1"/>
  <c r="J15" i="720" s="1"/>
  <c r="K18" i="769"/>
  <c r="K65" i="769"/>
  <c r="K111" i="769"/>
  <c r="K225" i="766"/>
  <c r="K218" i="766"/>
  <c r="K288" i="764"/>
  <c r="K234" i="766"/>
  <c r="K65" i="760"/>
  <c r="K77" i="760"/>
  <c r="I54" i="770"/>
  <c r="J54" i="770" s="1"/>
  <c r="J70" i="770" s="1"/>
  <c r="J13" i="770" s="1"/>
  <c r="J84" i="770"/>
  <c r="J14" i="770" s="1"/>
  <c r="K232" i="762"/>
  <c r="K105" i="762"/>
  <c r="H63" i="735"/>
  <c r="K63" i="735" s="1"/>
  <c r="H55" i="770"/>
  <c r="K55" i="770" s="1"/>
  <c r="H184" i="768"/>
  <c r="K184" i="768" s="1"/>
  <c r="K178" i="765"/>
  <c r="K12" i="769"/>
  <c r="K260" i="762"/>
  <c r="K51" i="762"/>
  <c r="K66" i="769"/>
  <c r="K211" i="768"/>
  <c r="K144" i="768"/>
  <c r="K209" i="767"/>
  <c r="K214" i="766"/>
  <c r="K230" i="767"/>
  <c r="K145" i="765"/>
  <c r="K265" i="765"/>
  <c r="J261" i="764"/>
  <c r="J23" i="764" s="1"/>
  <c r="K227" i="763"/>
  <c r="K239" i="763"/>
  <c r="K232" i="763"/>
  <c r="K231" i="763"/>
  <c r="K171" i="763"/>
  <c r="K123" i="750"/>
  <c r="K183" i="761"/>
  <c r="K175" i="761"/>
  <c r="K75" i="747"/>
  <c r="K49" i="748"/>
  <c r="K57" i="726"/>
  <c r="J155" i="768"/>
  <c r="H155" i="768"/>
  <c r="K155" i="768" s="1"/>
  <c r="H76" i="766"/>
  <c r="K76" i="766" s="1"/>
  <c r="J76" i="766"/>
  <c r="K211" i="766"/>
  <c r="K210" i="764"/>
  <c r="K188" i="761"/>
  <c r="J15" i="753"/>
  <c r="J16" i="753"/>
  <c r="I44" i="741"/>
  <c r="J44" i="741" s="1"/>
  <c r="H44" i="741"/>
  <c r="I56" i="743"/>
  <c r="J56" i="743" s="1"/>
  <c r="H56" i="743"/>
  <c r="K245" i="768"/>
  <c r="J152" i="768"/>
  <c r="J19" i="768" s="1"/>
  <c r="J249" i="768"/>
  <c r="J23" i="768" s="1"/>
  <c r="K228" i="768"/>
  <c r="J84" i="767"/>
  <c r="J15" i="767" s="1"/>
  <c r="K218" i="767"/>
  <c r="K21" i="765"/>
  <c r="K241" i="767"/>
  <c r="J145" i="765"/>
  <c r="J18" i="765" s="1"/>
  <c r="K45" i="765"/>
  <c r="K222" i="763"/>
  <c r="K15" i="756"/>
  <c r="K16" i="754"/>
  <c r="K14" i="749"/>
  <c r="K50" i="752"/>
  <c r="K56" i="753"/>
  <c r="K74" i="741"/>
  <c r="K100" i="740"/>
  <c r="K57" i="724"/>
  <c r="K51" i="748"/>
  <c r="K57" i="723"/>
  <c r="K54" i="721"/>
  <c r="K101" i="736"/>
  <c r="K223" i="767"/>
  <c r="K147" i="767"/>
  <c r="K241" i="766"/>
  <c r="K235" i="766"/>
  <c r="K238" i="766"/>
  <c r="K207" i="766"/>
  <c r="H118" i="763"/>
  <c r="H17" i="763" s="1"/>
  <c r="K17" i="763" s="1"/>
  <c r="K113" i="763"/>
  <c r="K118" i="763" s="1"/>
  <c r="K214" i="765"/>
  <c r="K97" i="765"/>
  <c r="K152" i="763"/>
  <c r="K167" i="760"/>
  <c r="K178" i="761"/>
  <c r="K106" i="763"/>
  <c r="K76" i="760"/>
  <c r="I107" i="736"/>
  <c r="J107" i="736" s="1"/>
  <c r="H107" i="736"/>
  <c r="K74" i="769"/>
  <c r="K68" i="769"/>
  <c r="K68" i="767"/>
  <c r="K248" i="768"/>
  <c r="J84" i="766"/>
  <c r="J14" i="766" s="1"/>
  <c r="K70" i="765"/>
  <c r="J95" i="766"/>
  <c r="J15" i="766" s="1"/>
  <c r="K218" i="765"/>
  <c r="K17" i="764"/>
  <c r="K73" i="762"/>
  <c r="K154" i="763"/>
  <c r="K68" i="761"/>
  <c r="K95" i="755"/>
  <c r="K263" i="763"/>
  <c r="K16" i="753"/>
  <c r="J189" i="761"/>
  <c r="J20" i="761" s="1"/>
  <c r="K103" i="749"/>
  <c r="K116" i="749" s="1"/>
  <c r="K15" i="749"/>
  <c r="K153" i="760"/>
  <c r="K49" i="746"/>
  <c r="K117" i="741"/>
  <c r="K83" i="738"/>
  <c r="K76" i="733"/>
  <c r="K102" i="738"/>
  <c r="K50" i="721"/>
  <c r="K58" i="721" s="1"/>
  <c r="H196" i="767"/>
  <c r="H22" i="767" s="1"/>
  <c r="K22" i="767" s="1"/>
  <c r="K190" i="767"/>
  <c r="K196" i="767" s="1"/>
  <c r="E156" i="765"/>
  <c r="H150" i="765"/>
  <c r="J150" i="765"/>
  <c r="K245" i="764"/>
  <c r="K103" i="766"/>
  <c r="K200" i="765"/>
  <c r="K87" i="765"/>
  <c r="K219" i="765"/>
  <c r="K119" i="765"/>
  <c r="K220" i="764"/>
  <c r="H80" i="760"/>
  <c r="J80" i="760"/>
  <c r="K40" i="763"/>
  <c r="K47" i="763" s="1"/>
  <c r="K142" i="759"/>
  <c r="K145" i="759" s="1"/>
  <c r="H145" i="759"/>
  <c r="H17" i="759" s="1"/>
  <c r="K17" i="759" s="1"/>
  <c r="J96" i="763"/>
  <c r="J15" i="763" s="1"/>
  <c r="K76" i="752"/>
  <c r="K84" i="750"/>
  <c r="K39" i="744"/>
  <c r="K75" i="748"/>
  <c r="K84" i="746"/>
  <c r="K91" i="746" s="1"/>
  <c r="J109" i="766"/>
  <c r="J16" i="766" s="1"/>
  <c r="K45" i="766"/>
  <c r="K15" i="753"/>
  <c r="K252" i="766"/>
  <c r="K239" i="766"/>
  <c r="J133" i="761"/>
  <c r="J140" i="761" s="1"/>
  <c r="J17" i="761" s="1"/>
  <c r="H133" i="761"/>
  <c r="K47" i="728"/>
  <c r="K57" i="728" s="1"/>
  <c r="K42" i="770"/>
  <c r="K84" i="770"/>
  <c r="K43" i="770"/>
  <c r="K40" i="770"/>
  <c r="K338" i="769"/>
  <c r="K123" i="769"/>
  <c r="J209" i="769"/>
  <c r="J20" i="769" s="1"/>
  <c r="K114" i="769"/>
  <c r="K76" i="769"/>
  <c r="K112" i="769"/>
  <c r="K105" i="769"/>
  <c r="K125" i="769"/>
  <c r="K59" i="769"/>
  <c r="K129" i="769"/>
  <c r="J302" i="769"/>
  <c r="J24" i="769" s="1"/>
  <c r="H214" i="769"/>
  <c r="E220" i="769"/>
  <c r="J214" i="769"/>
  <c r="K70" i="769"/>
  <c r="K127" i="769"/>
  <c r="K72" i="769"/>
  <c r="K17" i="769"/>
  <c r="H222" i="762"/>
  <c r="H22" i="762" s="1"/>
  <c r="K22" i="762" s="1"/>
  <c r="K280" i="762"/>
  <c r="K266" i="762"/>
  <c r="K273" i="762"/>
  <c r="K44" i="762"/>
  <c r="K265" i="762"/>
  <c r="K263" i="762"/>
  <c r="K267" i="762"/>
  <c r="K275" i="762"/>
  <c r="K259" i="762"/>
  <c r="K60" i="762"/>
  <c r="K269" i="762"/>
  <c r="H143" i="762"/>
  <c r="K143" i="762" s="1"/>
  <c r="K217" i="762"/>
  <c r="K222" i="762" s="1"/>
  <c r="K271" i="762"/>
  <c r="H79" i="762"/>
  <c r="H84" i="762" s="1"/>
  <c r="H14" i="762" s="1"/>
  <c r="K61" i="762"/>
  <c r="K230" i="762"/>
  <c r="K241" i="762"/>
  <c r="K58" i="762"/>
  <c r="K245" i="762"/>
  <c r="K228" i="762"/>
  <c r="K285" i="762"/>
  <c r="K152" i="762"/>
  <c r="K50" i="762"/>
  <c r="K56" i="762"/>
  <c r="K272" i="762"/>
  <c r="K261" i="762"/>
  <c r="K157" i="762"/>
  <c r="K268" i="762"/>
  <c r="K264" i="762"/>
  <c r="K226" i="762"/>
  <c r="J164" i="762"/>
  <c r="J19" i="762" s="1"/>
  <c r="H142" i="762"/>
  <c r="K142" i="762" s="1"/>
  <c r="K270" i="762"/>
  <c r="K160" i="762"/>
  <c r="K14" i="767"/>
  <c r="E88" i="769"/>
  <c r="H78" i="769"/>
  <c r="J78" i="769"/>
  <c r="I183" i="768"/>
  <c r="J183" i="768" s="1"/>
  <c r="J189" i="768" s="1"/>
  <c r="J21" i="768" s="1"/>
  <c r="H183" i="768"/>
  <c r="I111" i="765"/>
  <c r="J111" i="765" s="1"/>
  <c r="H111" i="765"/>
  <c r="K12" i="767"/>
  <c r="I242" i="769"/>
  <c r="J242" i="769" s="1"/>
  <c r="H242" i="769"/>
  <c r="K141" i="768"/>
  <c r="H200" i="768"/>
  <c r="H22" i="768" s="1"/>
  <c r="K22" i="768" s="1"/>
  <c r="K192" i="768"/>
  <c r="K200" i="768" s="1"/>
  <c r="H84" i="767"/>
  <c r="H15" i="767" s="1"/>
  <c r="K15" i="767" s="1"/>
  <c r="K79" i="767"/>
  <c r="H157" i="767"/>
  <c r="K157" i="767" s="1"/>
  <c r="E163" i="767"/>
  <c r="J157" i="767"/>
  <c r="K135" i="769"/>
  <c r="K274" i="769"/>
  <c r="H44" i="770"/>
  <c r="H46" i="770" s="1"/>
  <c r="H12" i="770" s="1"/>
  <c r="J44" i="770"/>
  <c r="J46" i="770" s="1"/>
  <c r="J12" i="770" s="1"/>
  <c r="H181" i="769"/>
  <c r="I181" i="769"/>
  <c r="J181" i="769" s="1"/>
  <c r="K13" i="769"/>
  <c r="K207" i="768"/>
  <c r="K225" i="768"/>
  <c r="K75" i="767"/>
  <c r="I129" i="768"/>
  <c r="J129" i="768" s="1"/>
  <c r="H129" i="768"/>
  <c r="K91" i="767"/>
  <c r="K257" i="765"/>
  <c r="K187" i="765"/>
  <c r="K193" i="765" s="1"/>
  <c r="H162" i="766"/>
  <c r="J162" i="766"/>
  <c r="K201" i="765"/>
  <c r="K228" i="764"/>
  <c r="J241" i="765"/>
  <c r="J22" i="765" s="1"/>
  <c r="K99" i="763"/>
  <c r="E172" i="764"/>
  <c r="H166" i="764"/>
  <c r="J166" i="764"/>
  <c r="K226" i="764"/>
  <c r="H94" i="761"/>
  <c r="I94" i="761"/>
  <c r="J94" i="761" s="1"/>
  <c r="K277" i="762"/>
  <c r="I138" i="764"/>
  <c r="J138" i="764" s="1"/>
  <c r="H138" i="764"/>
  <c r="K227" i="762"/>
  <c r="I127" i="760"/>
  <c r="J127" i="760" s="1"/>
  <c r="H127" i="760"/>
  <c r="H56" i="755"/>
  <c r="I56" i="755"/>
  <c r="J56" i="755" s="1"/>
  <c r="K84" i="754"/>
  <c r="K181" i="761"/>
  <c r="K161" i="760"/>
  <c r="H62" i="743"/>
  <c r="I62" i="743"/>
  <c r="J62" i="743" s="1"/>
  <c r="I97" i="760"/>
  <c r="J97" i="760" s="1"/>
  <c r="H97" i="760"/>
  <c r="I48" i="749"/>
  <c r="J48" i="749" s="1"/>
  <c r="H48" i="749"/>
  <c r="K180" i="761"/>
  <c r="I49" i="755"/>
  <c r="J49" i="755" s="1"/>
  <c r="H49" i="755"/>
  <c r="H109" i="755"/>
  <c r="H16" i="755" s="1"/>
  <c r="K16" i="755" s="1"/>
  <c r="H55" i="754"/>
  <c r="I55" i="754"/>
  <c r="J55" i="754" s="1"/>
  <c r="I51" i="752"/>
  <c r="J51" i="752" s="1"/>
  <c r="H51" i="752"/>
  <c r="H118" i="741"/>
  <c r="I118" i="741"/>
  <c r="J118" i="741" s="1"/>
  <c r="H44" i="739"/>
  <c r="I44" i="739"/>
  <c r="J44" i="739" s="1"/>
  <c r="K55" i="743"/>
  <c r="H49" i="754"/>
  <c r="I49" i="754"/>
  <c r="J49" i="754" s="1"/>
  <c r="K84" i="741"/>
  <c r="H109" i="751"/>
  <c r="H16" i="751" s="1"/>
  <c r="I72" i="742"/>
  <c r="J72" i="742" s="1"/>
  <c r="H72" i="742"/>
  <c r="H100" i="741"/>
  <c r="I100" i="741"/>
  <c r="J100" i="741" s="1"/>
  <c r="K71" i="740"/>
  <c r="I45" i="741"/>
  <c r="J45" i="741" s="1"/>
  <c r="H45" i="741"/>
  <c r="H44" i="738"/>
  <c r="I44" i="738"/>
  <c r="J44" i="738" s="1"/>
  <c r="H34" i="731"/>
  <c r="H23" i="720" s="1"/>
  <c r="K13" i="731"/>
  <c r="K34" i="731" s="1"/>
  <c r="K23" i="720" s="1"/>
  <c r="H41" i="735"/>
  <c r="I41" i="735"/>
  <c r="J41" i="735" s="1"/>
  <c r="H57" i="726"/>
  <c r="H13" i="726" s="1"/>
  <c r="K48" i="748"/>
  <c r="I72" i="741"/>
  <c r="J72" i="741" s="1"/>
  <c r="H72" i="741"/>
  <c r="H113" i="733"/>
  <c r="K113" i="733" s="1"/>
  <c r="I113" i="733"/>
  <c r="J113" i="733" s="1"/>
  <c r="K50" i="746"/>
  <c r="H252" i="767"/>
  <c r="H23" i="767" s="1"/>
  <c r="K199" i="767"/>
  <c r="E163" i="768"/>
  <c r="J157" i="768"/>
  <c r="H157" i="768"/>
  <c r="I121" i="768"/>
  <c r="J121" i="768" s="1"/>
  <c r="H121" i="768"/>
  <c r="K102" i="767"/>
  <c r="K109" i="767" s="1"/>
  <c r="H109" i="767"/>
  <c r="H17" i="767" s="1"/>
  <c r="K17" i="767" s="1"/>
  <c r="K152" i="768"/>
  <c r="I121" i="767"/>
  <c r="J121" i="767" s="1"/>
  <c r="H121" i="767"/>
  <c r="J108" i="763"/>
  <c r="J110" i="763" s="1"/>
  <c r="J16" i="763" s="1"/>
  <c r="H108" i="763"/>
  <c r="J160" i="763"/>
  <c r="J19" i="763" s="1"/>
  <c r="K145" i="763"/>
  <c r="J104" i="764"/>
  <c r="J108" i="764" s="1"/>
  <c r="J16" i="764" s="1"/>
  <c r="H104" i="764"/>
  <c r="J77" i="761"/>
  <c r="J82" i="761" s="1"/>
  <c r="J14" i="761" s="1"/>
  <c r="H77" i="761"/>
  <c r="J271" i="763"/>
  <c r="J23" i="763" s="1"/>
  <c r="I194" i="763"/>
  <c r="J194" i="763" s="1"/>
  <c r="H194" i="763"/>
  <c r="I128" i="760"/>
  <c r="J128" i="760" s="1"/>
  <c r="H128" i="760"/>
  <c r="K12" i="762"/>
  <c r="H55" i="750"/>
  <c r="I55" i="750"/>
  <c r="J55" i="750" s="1"/>
  <c r="I51" i="756"/>
  <c r="J51" i="756" s="1"/>
  <c r="H51" i="756"/>
  <c r="H288" i="762"/>
  <c r="H23" i="762" s="1"/>
  <c r="K49" i="760"/>
  <c r="K59" i="760" s="1"/>
  <c r="H59" i="760"/>
  <c r="H13" i="760" s="1"/>
  <c r="K13" i="760" s="1"/>
  <c r="I96" i="760"/>
  <c r="J96" i="760" s="1"/>
  <c r="H96" i="760"/>
  <c r="I63" i="759"/>
  <c r="J63" i="759" s="1"/>
  <c r="H63" i="759"/>
  <c r="K61" i="761"/>
  <c r="K109" i="755"/>
  <c r="I39" i="743"/>
  <c r="J39" i="743" s="1"/>
  <c r="H39" i="743"/>
  <c r="K17" i="751"/>
  <c r="H51" i="753"/>
  <c r="I51" i="753"/>
  <c r="J51" i="753" s="1"/>
  <c r="K17" i="756"/>
  <c r="I72" i="736"/>
  <c r="J72" i="736" s="1"/>
  <c r="H72" i="736"/>
  <c r="H46" i="737"/>
  <c r="I46" i="737"/>
  <c r="J46" i="737" s="1"/>
  <c r="H43" i="734"/>
  <c r="I43" i="734"/>
  <c r="J43" i="734" s="1"/>
  <c r="H81" i="740"/>
  <c r="I81" i="740"/>
  <c r="J81" i="740" s="1"/>
  <c r="I57" i="734"/>
  <c r="J57" i="734" s="1"/>
  <c r="H57" i="734"/>
  <c r="K48" i="746"/>
  <c r="H92" i="733"/>
  <c r="I92" i="733"/>
  <c r="J92" i="733" s="1"/>
  <c r="I84" i="733"/>
  <c r="J84" i="733" s="1"/>
  <c r="H84" i="733"/>
  <c r="I185" i="767"/>
  <c r="J185" i="767" s="1"/>
  <c r="J187" i="767" s="1"/>
  <c r="J21" i="767" s="1"/>
  <c r="H185" i="767"/>
  <c r="J252" i="767"/>
  <c r="J23" i="767" s="1"/>
  <c r="H152" i="768"/>
  <c r="H19" i="768" s="1"/>
  <c r="K268" i="767"/>
  <c r="K202" i="765"/>
  <c r="I193" i="766"/>
  <c r="J193" i="766" s="1"/>
  <c r="H193" i="766"/>
  <c r="K144" i="766"/>
  <c r="K159" i="766" s="1"/>
  <c r="H159" i="766"/>
  <c r="H19" i="766" s="1"/>
  <c r="K19" i="766" s="1"/>
  <c r="K12" i="763"/>
  <c r="H130" i="764"/>
  <c r="I130" i="764"/>
  <c r="J130" i="764" s="1"/>
  <c r="K99" i="762"/>
  <c r="K14" i="763"/>
  <c r="K127" i="759"/>
  <c r="H100" i="761"/>
  <c r="I100" i="761"/>
  <c r="J100" i="761" s="1"/>
  <c r="K14" i="756"/>
  <c r="H84" i="760"/>
  <c r="H14" i="760" s="1"/>
  <c r="K62" i="760"/>
  <c r="I57" i="746"/>
  <c r="J57" i="746" s="1"/>
  <c r="J59" i="746" s="1"/>
  <c r="J12" i="746" s="1"/>
  <c r="J34" i="746" s="1"/>
  <c r="J14" i="745" s="1"/>
  <c r="H57" i="746"/>
  <c r="H59" i="746" s="1"/>
  <c r="H12" i="746" s="1"/>
  <c r="K150" i="760"/>
  <c r="H178" i="760"/>
  <c r="H20" i="760" s="1"/>
  <c r="K20" i="760" s="1"/>
  <c r="I56" i="748"/>
  <c r="J56" i="748" s="1"/>
  <c r="H56" i="748"/>
  <c r="I62" i="759"/>
  <c r="J62" i="759" s="1"/>
  <c r="H62" i="759"/>
  <c r="I49" i="751"/>
  <c r="J49" i="751" s="1"/>
  <c r="H49" i="751"/>
  <c r="H40" i="743"/>
  <c r="I40" i="743"/>
  <c r="J40" i="743" s="1"/>
  <c r="H50" i="748"/>
  <c r="I50" i="748"/>
  <c r="J50" i="748" s="1"/>
  <c r="K76" i="756"/>
  <c r="H100" i="737"/>
  <c r="I100" i="737"/>
  <c r="J100" i="737" s="1"/>
  <c r="M95" i="751"/>
  <c r="J109" i="751"/>
  <c r="J16" i="751" s="1"/>
  <c r="H51" i="754"/>
  <c r="I51" i="754"/>
  <c r="J51" i="754" s="1"/>
  <c r="I119" i="739"/>
  <c r="J119" i="739" s="1"/>
  <c r="H119" i="739"/>
  <c r="K109" i="754"/>
  <c r="I49" i="753"/>
  <c r="J49" i="753" s="1"/>
  <c r="H49" i="753"/>
  <c r="K51" i="755"/>
  <c r="I101" i="741"/>
  <c r="J101" i="741" s="1"/>
  <c r="H101" i="741"/>
  <c r="K109" i="738"/>
  <c r="H100" i="736"/>
  <c r="I100" i="736"/>
  <c r="J100" i="736" s="1"/>
  <c r="K37" i="730"/>
  <c r="H59" i="734"/>
  <c r="K59" i="734" s="1"/>
  <c r="I59" i="734"/>
  <c r="J59" i="734" s="1"/>
  <c r="H64" i="734"/>
  <c r="I64" i="734"/>
  <c r="J64" i="734" s="1"/>
  <c r="K108" i="733"/>
  <c r="I90" i="733"/>
  <c r="J90" i="733" s="1"/>
  <c r="H90" i="733"/>
  <c r="K90" i="733" s="1"/>
  <c r="K73" i="737"/>
  <c r="K72" i="738"/>
  <c r="J255" i="766"/>
  <c r="J23" i="766" s="1"/>
  <c r="K216" i="766"/>
  <c r="K114" i="766"/>
  <c r="H117" i="766"/>
  <c r="H17" i="766" s="1"/>
  <c r="K17" i="766" s="1"/>
  <c r="H90" i="765"/>
  <c r="J90" i="765"/>
  <c r="K264" i="765"/>
  <c r="G270" i="765"/>
  <c r="K225" i="763"/>
  <c r="I217" i="763"/>
  <c r="J109" i="762"/>
  <c r="J113" i="762" s="1"/>
  <c r="J16" i="762" s="1"/>
  <c r="H109" i="762"/>
  <c r="K13" i="761"/>
  <c r="K102" i="764"/>
  <c r="K85" i="763"/>
  <c r="I55" i="759"/>
  <c r="J55" i="759" s="1"/>
  <c r="H55" i="759"/>
  <c r="H66" i="762"/>
  <c r="J66" i="762"/>
  <c r="J69" i="762" s="1"/>
  <c r="J13" i="762" s="1"/>
  <c r="H189" i="761"/>
  <c r="H20" i="761" s="1"/>
  <c r="K20" i="761" s="1"/>
  <c r="J161" i="764"/>
  <c r="J19" i="764" s="1"/>
  <c r="K74" i="761"/>
  <c r="K14" i="753"/>
  <c r="H101" i="761"/>
  <c r="I101" i="761"/>
  <c r="J101" i="761" s="1"/>
  <c r="K179" i="761"/>
  <c r="K76" i="763"/>
  <c r="K102" i="763"/>
  <c r="I40" i="744"/>
  <c r="J40" i="744" s="1"/>
  <c r="H40" i="744"/>
  <c r="J163" i="761"/>
  <c r="J19" i="761" s="1"/>
  <c r="I57" i="748"/>
  <c r="J57" i="748" s="1"/>
  <c r="H57" i="748"/>
  <c r="I48" i="751"/>
  <c r="J48" i="751" s="1"/>
  <c r="H48" i="751"/>
  <c r="I50" i="755"/>
  <c r="J50" i="755" s="1"/>
  <c r="H50" i="755"/>
  <c r="H84" i="742"/>
  <c r="I84" i="742"/>
  <c r="J84" i="742" s="1"/>
  <c r="I48" i="756"/>
  <c r="J48" i="756" s="1"/>
  <c r="H48" i="756"/>
  <c r="I45" i="740"/>
  <c r="J45" i="740" s="1"/>
  <c r="H45" i="740"/>
  <c r="K45" i="740" s="1"/>
  <c r="H49" i="747"/>
  <c r="I49" i="747"/>
  <c r="J49" i="747" s="1"/>
  <c r="H48" i="754"/>
  <c r="I48" i="754"/>
  <c r="J48" i="754" s="1"/>
  <c r="I117" i="740"/>
  <c r="J117" i="740" s="1"/>
  <c r="H117" i="740"/>
  <c r="H101" i="740"/>
  <c r="I101" i="740"/>
  <c r="J101" i="740" s="1"/>
  <c r="J109" i="740" s="1"/>
  <c r="J14" i="740" s="1"/>
  <c r="H83" i="742"/>
  <c r="I83" i="742"/>
  <c r="J83" i="742" s="1"/>
  <c r="I64" i="735"/>
  <c r="J64" i="735" s="1"/>
  <c r="J84" i="735" s="1"/>
  <c r="J13" i="735" s="1"/>
  <c r="H64" i="735"/>
  <c r="I56" i="747"/>
  <c r="J56" i="747" s="1"/>
  <c r="H56" i="747"/>
  <c r="H119" i="738"/>
  <c r="I119" i="738"/>
  <c r="J119" i="738" s="1"/>
  <c r="H102" i="736"/>
  <c r="I102" i="736"/>
  <c r="J102" i="736" s="1"/>
  <c r="K101" i="739"/>
  <c r="H109" i="739"/>
  <c r="H14" i="739" s="1"/>
  <c r="H42" i="734"/>
  <c r="I42" i="734"/>
  <c r="J42" i="734" s="1"/>
  <c r="H82" i="740"/>
  <c r="I82" i="740"/>
  <c r="J82" i="740" s="1"/>
  <c r="K83" i="737"/>
  <c r="I65" i="734"/>
  <c r="J65" i="734" s="1"/>
  <c r="H65" i="734"/>
  <c r="H46" i="739"/>
  <c r="I46" i="739"/>
  <c r="J46" i="739" s="1"/>
  <c r="I91" i="733"/>
  <c r="J91" i="733" s="1"/>
  <c r="H91" i="733"/>
  <c r="I83" i="733"/>
  <c r="J83" i="733" s="1"/>
  <c r="H83" i="733"/>
  <c r="I180" i="769"/>
  <c r="J180" i="769" s="1"/>
  <c r="H180" i="769"/>
  <c r="I247" i="769"/>
  <c r="J247" i="769" s="1"/>
  <c r="H247" i="769"/>
  <c r="K191" i="769"/>
  <c r="K209" i="769" s="1"/>
  <c r="H209" i="769"/>
  <c r="H20" i="769" s="1"/>
  <c r="G342" i="769"/>
  <c r="H98" i="768"/>
  <c r="J98" i="768"/>
  <c r="J102" i="768" s="1"/>
  <c r="J16" i="768" s="1"/>
  <c r="H109" i="768"/>
  <c r="H17" i="768" s="1"/>
  <c r="K17" i="768" s="1"/>
  <c r="K105" i="768"/>
  <c r="K109" i="768" s="1"/>
  <c r="K12" i="772"/>
  <c r="K34" i="772" s="1"/>
  <c r="H34" i="772"/>
  <c r="H21" i="284" s="1"/>
  <c r="H84" i="770"/>
  <c r="H14" i="770" s="1"/>
  <c r="I171" i="769"/>
  <c r="J171" i="769" s="1"/>
  <c r="H171" i="769"/>
  <c r="K121" i="769"/>
  <c r="K179" i="769"/>
  <c r="K63" i="769"/>
  <c r="K102" i="769"/>
  <c r="K242" i="767"/>
  <c r="K206" i="768"/>
  <c r="H102" i="768"/>
  <c r="H16" i="768" s="1"/>
  <c r="K87" i="768"/>
  <c r="I130" i="767"/>
  <c r="J130" i="767" s="1"/>
  <c r="H130" i="767"/>
  <c r="H92" i="765"/>
  <c r="H15" i="765" s="1"/>
  <c r="K81" i="765"/>
  <c r="K267" i="766"/>
  <c r="J203" i="766"/>
  <c r="J22" i="766" s="1"/>
  <c r="K22" i="766" s="1"/>
  <c r="H137" i="763"/>
  <c r="I137" i="763"/>
  <c r="J137" i="763" s="1"/>
  <c r="K117" i="766"/>
  <c r="J80" i="764"/>
  <c r="J84" i="764" s="1"/>
  <c r="J14" i="764" s="1"/>
  <c r="H80" i="764"/>
  <c r="K38" i="761"/>
  <c r="I301" i="763"/>
  <c r="J301" i="763" s="1"/>
  <c r="J303" i="763" s="1"/>
  <c r="J24" i="763" s="1"/>
  <c r="H301" i="763"/>
  <c r="K103" i="762"/>
  <c r="I48" i="757"/>
  <c r="J48" i="757" s="1"/>
  <c r="H48" i="757"/>
  <c r="K47" i="762"/>
  <c r="H134" i="762"/>
  <c r="I134" i="762"/>
  <c r="J134" i="762" s="1"/>
  <c r="H46" i="741"/>
  <c r="K46" i="741" s="1"/>
  <c r="I46" i="741"/>
  <c r="J46" i="741" s="1"/>
  <c r="I38" i="744"/>
  <c r="J38" i="744" s="1"/>
  <c r="H38" i="744"/>
  <c r="H92" i="761"/>
  <c r="I92" i="761"/>
  <c r="J92" i="761" s="1"/>
  <c r="K155" i="759"/>
  <c r="I55" i="748"/>
  <c r="J55" i="748" s="1"/>
  <c r="H55" i="748"/>
  <c r="I57" i="759"/>
  <c r="J57" i="759" s="1"/>
  <c r="H57" i="759"/>
  <c r="H51" i="751"/>
  <c r="I51" i="751"/>
  <c r="J51" i="751" s="1"/>
  <c r="I72" i="740"/>
  <c r="J72" i="740" s="1"/>
  <c r="H72" i="740"/>
  <c r="H84" i="743"/>
  <c r="H14" i="743" s="1"/>
  <c r="K14" i="743" s="1"/>
  <c r="K73" i="743"/>
  <c r="K84" i="743" s="1"/>
  <c r="I83" i="736"/>
  <c r="J83" i="736" s="1"/>
  <c r="H83" i="736"/>
  <c r="I50" i="747"/>
  <c r="J50" i="747" s="1"/>
  <c r="H50" i="747"/>
  <c r="I55" i="752"/>
  <c r="J55" i="752" s="1"/>
  <c r="H55" i="752"/>
  <c r="I118" i="740"/>
  <c r="J118" i="740" s="1"/>
  <c r="H118" i="740"/>
  <c r="I48" i="753"/>
  <c r="J48" i="753" s="1"/>
  <c r="H48" i="753"/>
  <c r="H57" i="752"/>
  <c r="I57" i="752"/>
  <c r="J57" i="752" s="1"/>
  <c r="I51" i="750"/>
  <c r="J51" i="750" s="1"/>
  <c r="H51" i="750"/>
  <c r="I82" i="737"/>
  <c r="J82" i="737" s="1"/>
  <c r="H82" i="737"/>
  <c r="K17" i="747"/>
  <c r="I55" i="747"/>
  <c r="J55" i="747" s="1"/>
  <c r="H55" i="747"/>
  <c r="K55" i="747" s="1"/>
  <c r="I48" i="752"/>
  <c r="J48" i="752" s="1"/>
  <c r="H48" i="752"/>
  <c r="H83" i="740"/>
  <c r="I83" i="740"/>
  <c r="J83" i="740" s="1"/>
  <c r="I58" i="734"/>
  <c r="J58" i="734" s="1"/>
  <c r="H58" i="734"/>
  <c r="H63" i="734"/>
  <c r="I63" i="734"/>
  <c r="J63" i="734" s="1"/>
  <c r="H249" i="768"/>
  <c r="H23" i="768" s="1"/>
  <c r="K23" i="768" s="1"/>
  <c r="K204" i="767"/>
  <c r="K118" i="769"/>
  <c r="K271" i="769"/>
  <c r="K205" i="768"/>
  <c r="I279" i="767"/>
  <c r="J279" i="767" s="1"/>
  <c r="J282" i="767" s="1"/>
  <c r="J24" i="767" s="1"/>
  <c r="H279" i="767"/>
  <c r="K237" i="768"/>
  <c r="K231" i="768"/>
  <c r="K243" i="767"/>
  <c r="I129" i="767"/>
  <c r="J129" i="767" s="1"/>
  <c r="H129" i="767"/>
  <c r="K208" i="767"/>
  <c r="K13" i="768"/>
  <c r="H255" i="766"/>
  <c r="H23" i="766" s="1"/>
  <c r="K23" i="766" s="1"/>
  <c r="K206" i="766"/>
  <c r="J92" i="765"/>
  <c r="J15" i="765" s="1"/>
  <c r="I137" i="766"/>
  <c r="J137" i="766" s="1"/>
  <c r="H137" i="766"/>
  <c r="K84" i="767"/>
  <c r="K235" i="764"/>
  <c r="H280" i="766"/>
  <c r="I280" i="766"/>
  <c r="J280" i="766" s="1"/>
  <c r="J282" i="766" s="1"/>
  <c r="J24" i="766" s="1"/>
  <c r="K200" i="764"/>
  <c r="K113" i="764"/>
  <c r="K118" i="764" s="1"/>
  <c r="K178" i="763"/>
  <c r="H196" i="760"/>
  <c r="I196" i="760"/>
  <c r="J196" i="760" s="1"/>
  <c r="J199" i="760" s="1"/>
  <c r="J21" i="760" s="1"/>
  <c r="K165" i="763"/>
  <c r="H164" i="762"/>
  <c r="H19" i="762" s="1"/>
  <c r="H271" i="763"/>
  <c r="H23" i="763" s="1"/>
  <c r="K23" i="763" s="1"/>
  <c r="E91" i="762"/>
  <c r="E116" i="762"/>
  <c r="H65" i="762"/>
  <c r="K65" i="762" s="1"/>
  <c r="K139" i="763"/>
  <c r="J84" i="762"/>
  <c r="J14" i="762" s="1"/>
  <c r="K101" i="762"/>
  <c r="H50" i="750"/>
  <c r="I50" i="750"/>
  <c r="J50" i="750" s="1"/>
  <c r="H102" i="761"/>
  <c r="I102" i="761"/>
  <c r="J102" i="761" s="1"/>
  <c r="K62" i="761"/>
  <c r="K168" i="760"/>
  <c r="H119" i="737"/>
  <c r="K119" i="737" s="1"/>
  <c r="I119" i="737"/>
  <c r="J119" i="737" s="1"/>
  <c r="H118" i="742"/>
  <c r="I118" i="742"/>
  <c r="J118" i="742" s="1"/>
  <c r="K237" i="762"/>
  <c r="I73" i="740"/>
  <c r="J73" i="740" s="1"/>
  <c r="H73" i="740"/>
  <c r="H83" i="739"/>
  <c r="I83" i="739"/>
  <c r="J83" i="739" s="1"/>
  <c r="I117" i="739"/>
  <c r="J117" i="739" s="1"/>
  <c r="H117" i="739"/>
  <c r="I56" i="752"/>
  <c r="J56" i="752" s="1"/>
  <c r="H56" i="752"/>
  <c r="I119" i="740"/>
  <c r="J119" i="740" s="1"/>
  <c r="H119" i="740"/>
  <c r="I57" i="747"/>
  <c r="J57" i="747" s="1"/>
  <c r="H57" i="747"/>
  <c r="H117" i="738"/>
  <c r="I117" i="738"/>
  <c r="J117" i="738" s="1"/>
  <c r="H109" i="738"/>
  <c r="H14" i="738" s="1"/>
  <c r="K14" i="738" s="1"/>
  <c r="K118" i="752"/>
  <c r="K111" i="733"/>
  <c r="I47" i="730"/>
  <c r="J47" i="730" s="1"/>
  <c r="J57" i="730" s="1"/>
  <c r="J13" i="730" s="1"/>
  <c r="J34" i="730" s="1"/>
  <c r="J22" i="720" s="1"/>
  <c r="H47" i="730"/>
  <c r="H274" i="768"/>
  <c r="H277" i="768" s="1"/>
  <c r="H24" i="768" s="1"/>
  <c r="I274" i="768"/>
  <c r="J274" i="768" s="1"/>
  <c r="J277" i="768" s="1"/>
  <c r="J24" i="768" s="1"/>
  <c r="H302" i="769"/>
  <c r="H24" i="769" s="1"/>
  <c r="K24" i="769" s="1"/>
  <c r="I104" i="770"/>
  <c r="J104" i="770" s="1"/>
  <c r="J109" i="770" s="1"/>
  <c r="J15" i="770" s="1"/>
  <c r="H104" i="770"/>
  <c r="J170" i="766"/>
  <c r="H170" i="766"/>
  <c r="H161" i="764"/>
  <c r="H19" i="764" s="1"/>
  <c r="K19" i="764" s="1"/>
  <c r="K154" i="764"/>
  <c r="K161" i="764" s="1"/>
  <c r="I293" i="764"/>
  <c r="J293" i="764" s="1"/>
  <c r="J295" i="764" s="1"/>
  <c r="J24" i="764" s="1"/>
  <c r="H293" i="764"/>
  <c r="H295" i="764" s="1"/>
  <c r="H24" i="764" s="1"/>
  <c r="H94" i="764"/>
  <c r="H15" i="764" s="1"/>
  <c r="K15" i="764" s="1"/>
  <c r="K90" i="764"/>
  <c r="K94" i="764" s="1"/>
  <c r="I49" i="750"/>
  <c r="J49" i="750" s="1"/>
  <c r="H49" i="750"/>
  <c r="H130" i="761"/>
  <c r="H16" i="761" s="1"/>
  <c r="K109" i="761"/>
  <c r="I71" i="739"/>
  <c r="J71" i="739" s="1"/>
  <c r="H71" i="739"/>
  <c r="I46" i="740"/>
  <c r="J46" i="740" s="1"/>
  <c r="H46" i="740"/>
  <c r="K37" i="760"/>
  <c r="K45" i="760" s="1"/>
  <c r="H45" i="760"/>
  <c r="H12" i="760" s="1"/>
  <c r="I45" i="739"/>
  <c r="J45" i="739" s="1"/>
  <c r="H45" i="739"/>
  <c r="I118" i="739"/>
  <c r="J118" i="739" s="1"/>
  <c r="H118" i="739"/>
  <c r="I48" i="750"/>
  <c r="J48" i="750" s="1"/>
  <c r="H48" i="750"/>
  <c r="I125" i="736"/>
  <c r="J125" i="736" s="1"/>
  <c r="H125" i="736"/>
  <c r="H74" i="738"/>
  <c r="I74" i="738"/>
  <c r="J74" i="738" s="1"/>
  <c r="I190" i="733"/>
  <c r="J190" i="733" s="1"/>
  <c r="H190" i="733"/>
  <c r="H72" i="737"/>
  <c r="I72" i="737"/>
  <c r="J72" i="737" s="1"/>
  <c r="I164" i="733"/>
  <c r="J164" i="733" s="1"/>
  <c r="H164" i="733"/>
  <c r="H47" i="725"/>
  <c r="I47" i="725"/>
  <c r="J47" i="725" s="1"/>
  <c r="J57" i="725" s="1"/>
  <c r="J13" i="725" s="1"/>
  <c r="J34" i="725" s="1"/>
  <c r="J17" i="720" s="1"/>
  <c r="K57" i="729"/>
  <c r="J68" i="768"/>
  <c r="J74" i="768" s="1"/>
  <c r="J14" i="768" s="1"/>
  <c r="H68" i="768"/>
  <c r="K206" i="767"/>
  <c r="H179" i="765"/>
  <c r="I179" i="765"/>
  <c r="J179" i="765" s="1"/>
  <c r="J184" i="765" s="1"/>
  <c r="J20" i="765" s="1"/>
  <c r="H192" i="766"/>
  <c r="I192" i="766"/>
  <c r="J192" i="766" s="1"/>
  <c r="J195" i="766" s="1"/>
  <c r="J21" i="766" s="1"/>
  <c r="H138" i="766"/>
  <c r="K138" i="766" s="1"/>
  <c r="I138" i="766"/>
  <c r="J138" i="766" s="1"/>
  <c r="H259" i="769"/>
  <c r="H23" i="769" s="1"/>
  <c r="K252" i="769"/>
  <c r="K108" i="769"/>
  <c r="K97" i="769"/>
  <c r="K62" i="769"/>
  <c r="H94" i="767"/>
  <c r="J94" i="767"/>
  <c r="J99" i="767" s="1"/>
  <c r="J16" i="767" s="1"/>
  <c r="K262" i="768"/>
  <c r="K248" i="766"/>
  <c r="K13" i="767"/>
  <c r="K200" i="767"/>
  <c r="K216" i="767"/>
  <c r="K139" i="766"/>
  <c r="K131" i="767"/>
  <c r="I120" i="765"/>
  <c r="J120" i="765" s="1"/>
  <c r="H120" i="765"/>
  <c r="K268" i="766"/>
  <c r="H129" i="766"/>
  <c r="I129" i="766"/>
  <c r="J129" i="766" s="1"/>
  <c r="K230" i="764"/>
  <c r="K288" i="763"/>
  <c r="J288" i="762"/>
  <c r="J23" i="762" s="1"/>
  <c r="I93" i="761"/>
  <c r="J93" i="761" s="1"/>
  <c r="H93" i="761"/>
  <c r="K256" i="763"/>
  <c r="H196" i="764"/>
  <c r="I196" i="764"/>
  <c r="J196" i="764" s="1"/>
  <c r="J163" i="763"/>
  <c r="J185" i="763" s="1"/>
  <c r="J20" i="763" s="1"/>
  <c r="H163" i="763"/>
  <c r="K213" i="763"/>
  <c r="K217" i="763" s="1"/>
  <c r="H217" i="763"/>
  <c r="H22" i="763" s="1"/>
  <c r="K22" i="763" s="1"/>
  <c r="K255" i="764"/>
  <c r="I198" i="762"/>
  <c r="J198" i="762" s="1"/>
  <c r="H198" i="762"/>
  <c r="K49" i="762"/>
  <c r="H112" i="760"/>
  <c r="J112" i="760"/>
  <c r="J119" i="760" s="1"/>
  <c r="J17" i="760" s="1"/>
  <c r="J130" i="761"/>
  <c r="J16" i="761" s="1"/>
  <c r="K52" i="761"/>
  <c r="K58" i="761" s="1"/>
  <c r="K138" i="760"/>
  <c r="K143" i="760" s="1"/>
  <c r="H55" i="756"/>
  <c r="I55" i="756"/>
  <c r="J55" i="756" s="1"/>
  <c r="H116" i="749"/>
  <c r="H16" i="749" s="1"/>
  <c r="I44" i="740"/>
  <c r="J44" i="740" s="1"/>
  <c r="H44" i="740"/>
  <c r="H55" i="751"/>
  <c r="K55" i="751" s="1"/>
  <c r="I55" i="751"/>
  <c r="J55" i="751" s="1"/>
  <c r="K56" i="751"/>
  <c r="I49" i="757"/>
  <c r="J49" i="757" s="1"/>
  <c r="H49" i="757"/>
  <c r="I51" i="747"/>
  <c r="J51" i="747" s="1"/>
  <c r="H51" i="747"/>
  <c r="H101" i="737"/>
  <c r="I101" i="737"/>
  <c r="J101" i="737" s="1"/>
  <c r="H56" i="749"/>
  <c r="I56" i="749"/>
  <c r="J56" i="749" s="1"/>
  <c r="H50" i="751"/>
  <c r="I50" i="751"/>
  <c r="J50" i="751" s="1"/>
  <c r="I82" i="739"/>
  <c r="J82" i="739" s="1"/>
  <c r="H82" i="739"/>
  <c r="I126" i="736"/>
  <c r="J126" i="736" s="1"/>
  <c r="H126" i="736"/>
  <c r="H135" i="736" s="1"/>
  <c r="H15" i="736" s="1"/>
  <c r="H46" i="742"/>
  <c r="I46" i="742"/>
  <c r="J46" i="742" s="1"/>
  <c r="K16" i="750"/>
  <c r="I118" i="738"/>
  <c r="J118" i="738" s="1"/>
  <c r="H118" i="738"/>
  <c r="H73" i="738"/>
  <c r="I73" i="738"/>
  <c r="J73" i="738" s="1"/>
  <c r="I46" i="736"/>
  <c r="J46" i="736" s="1"/>
  <c r="H46" i="736"/>
  <c r="I45" i="737"/>
  <c r="J45" i="737" s="1"/>
  <c r="H45" i="737"/>
  <c r="I74" i="737"/>
  <c r="J74" i="737" s="1"/>
  <c r="H74" i="737"/>
  <c r="I165" i="733"/>
  <c r="J165" i="733" s="1"/>
  <c r="H165" i="733"/>
  <c r="K13" i="728"/>
  <c r="K34" i="728" s="1"/>
  <c r="K20" i="720" s="1"/>
  <c r="H34" i="728"/>
  <c r="H20" i="720" s="1"/>
  <c r="K82" i="741"/>
  <c r="K52" i="722"/>
  <c r="K57" i="722" s="1"/>
  <c r="K13" i="724"/>
  <c r="K34" i="724" s="1"/>
  <c r="K16" i="720" s="1"/>
  <c r="H34" i="724"/>
  <c r="H16" i="720" s="1"/>
  <c r="H57" i="729"/>
  <c r="H13" i="729" s="1"/>
  <c r="H58" i="721"/>
  <c r="H13" i="721" s="1"/>
  <c r="H51" i="757"/>
  <c r="I51" i="757"/>
  <c r="J51" i="757" s="1"/>
  <c r="I117" i="742"/>
  <c r="J117" i="742" s="1"/>
  <c r="H117" i="742"/>
  <c r="H51" i="749"/>
  <c r="I51" i="749"/>
  <c r="J51" i="749" s="1"/>
  <c r="H134" i="759"/>
  <c r="I134" i="759"/>
  <c r="J134" i="759" s="1"/>
  <c r="I48" i="747"/>
  <c r="J48" i="747" s="1"/>
  <c r="H48" i="747"/>
  <c r="I56" i="757"/>
  <c r="J56" i="757" s="1"/>
  <c r="H56" i="757"/>
  <c r="H55" i="749"/>
  <c r="K55" i="749" s="1"/>
  <c r="I55" i="749"/>
  <c r="J55" i="749" s="1"/>
  <c r="I82" i="738"/>
  <c r="J82" i="738" s="1"/>
  <c r="H82" i="738"/>
  <c r="H117" i="737"/>
  <c r="I117" i="737"/>
  <c r="J117" i="737" s="1"/>
  <c r="H45" i="742"/>
  <c r="I45" i="742"/>
  <c r="J45" i="742" s="1"/>
  <c r="I119" i="742"/>
  <c r="J119" i="742" s="1"/>
  <c r="H119" i="742"/>
  <c r="H72" i="739"/>
  <c r="I72" i="739"/>
  <c r="J72" i="739" s="1"/>
  <c r="H77" i="733"/>
  <c r="K77" i="733" s="1"/>
  <c r="I77" i="733"/>
  <c r="J77" i="733" s="1"/>
  <c r="K141" i="733"/>
  <c r="H44" i="736"/>
  <c r="I44" i="736"/>
  <c r="J44" i="736" s="1"/>
  <c r="J64" i="736" s="1"/>
  <c r="J12" i="736" s="1"/>
  <c r="H84" i="736"/>
  <c r="I84" i="736"/>
  <c r="J84" i="736" s="1"/>
  <c r="I185" i="733"/>
  <c r="J185" i="733" s="1"/>
  <c r="H185" i="733"/>
  <c r="H166" i="733"/>
  <c r="I166" i="733"/>
  <c r="J166" i="733" s="1"/>
  <c r="H261" i="764"/>
  <c r="H23" i="764" s="1"/>
  <c r="K23" i="764" s="1"/>
  <c r="H163" i="761"/>
  <c r="H19" i="761" s="1"/>
  <c r="K157" i="761"/>
  <c r="K163" i="761" s="1"/>
  <c r="I130" i="763"/>
  <c r="J130" i="763" s="1"/>
  <c r="H130" i="763"/>
  <c r="K89" i="763"/>
  <c r="K96" i="763" s="1"/>
  <c r="H96" i="763"/>
  <c r="H15" i="763" s="1"/>
  <c r="K15" i="763" s="1"/>
  <c r="J259" i="769"/>
  <c r="J23" i="769" s="1"/>
  <c r="H137" i="769"/>
  <c r="H138" i="769" s="1"/>
  <c r="H16" i="769" s="1"/>
  <c r="J137" i="769"/>
  <c r="J138" i="769" s="1"/>
  <c r="J16" i="769" s="1"/>
  <c r="K246" i="768"/>
  <c r="K15" i="768"/>
  <c r="K209" i="766"/>
  <c r="H128" i="768"/>
  <c r="I128" i="768"/>
  <c r="J128" i="768" s="1"/>
  <c r="K16" i="766"/>
  <c r="K72" i="766"/>
  <c r="K72" i="764"/>
  <c r="K164" i="764"/>
  <c r="K103" i="764"/>
  <c r="K229" i="763"/>
  <c r="K74" i="762"/>
  <c r="K12" i="764"/>
  <c r="K286" i="762"/>
  <c r="I148" i="761"/>
  <c r="J148" i="761" s="1"/>
  <c r="H148" i="761"/>
  <c r="I56" i="756"/>
  <c r="J56" i="756" s="1"/>
  <c r="H56" i="756"/>
  <c r="K163" i="760"/>
  <c r="I71" i="742"/>
  <c r="J71" i="742" s="1"/>
  <c r="J97" i="742" s="1"/>
  <c r="J13" i="742" s="1"/>
  <c r="H71" i="742"/>
  <c r="K123" i="761"/>
  <c r="I57" i="751"/>
  <c r="J57" i="751" s="1"/>
  <c r="H57" i="751"/>
  <c r="I55" i="757"/>
  <c r="J55" i="757" s="1"/>
  <c r="H55" i="757"/>
  <c r="I57" i="749"/>
  <c r="J57" i="749" s="1"/>
  <c r="H57" i="749"/>
  <c r="K84" i="749"/>
  <c r="K56" i="759"/>
  <c r="K49" i="749"/>
  <c r="I45" i="733"/>
  <c r="J45" i="733" s="1"/>
  <c r="J65" i="733" s="1"/>
  <c r="J12" i="733" s="1"/>
  <c r="H45" i="733"/>
  <c r="I46" i="738"/>
  <c r="J46" i="738" s="1"/>
  <c r="H46" i="738"/>
  <c r="K102" i="737"/>
  <c r="K44" i="742"/>
  <c r="I44" i="737"/>
  <c r="J44" i="737" s="1"/>
  <c r="J65" i="737" s="1"/>
  <c r="J12" i="737" s="1"/>
  <c r="H44" i="737"/>
  <c r="K84" i="738"/>
  <c r="K82" i="736"/>
  <c r="H57" i="722"/>
  <c r="H13" i="722" s="1"/>
  <c r="I143" i="733"/>
  <c r="J143" i="733" s="1"/>
  <c r="H143" i="733"/>
  <c r="K143" i="733" s="1"/>
  <c r="K81" i="734"/>
  <c r="H57" i="727"/>
  <c r="H13" i="727" s="1"/>
  <c r="K12" i="765"/>
  <c r="K203" i="764"/>
  <c r="H204" i="764"/>
  <c r="H22" i="764" s="1"/>
  <c r="K22" i="764" s="1"/>
  <c r="K148" i="769"/>
  <c r="K255" i="769"/>
  <c r="K104" i="769"/>
  <c r="K37" i="770"/>
  <c r="J79" i="769"/>
  <c r="H79" i="769"/>
  <c r="K205" i="767"/>
  <c r="K226" i="768"/>
  <c r="K84" i="768"/>
  <c r="H155" i="767"/>
  <c r="J155" i="767"/>
  <c r="K229" i="767"/>
  <c r="K227" i="768"/>
  <c r="K228" i="767"/>
  <c r="H130" i="768"/>
  <c r="I130" i="768"/>
  <c r="J130" i="768" s="1"/>
  <c r="K143" i="767"/>
  <c r="K152" i="767" s="1"/>
  <c r="H152" i="767"/>
  <c r="H19" i="767" s="1"/>
  <c r="K19" i="767" s="1"/>
  <c r="K98" i="766"/>
  <c r="K109" i="766" s="1"/>
  <c r="K232" i="767"/>
  <c r="K249" i="766"/>
  <c r="K18" i="765"/>
  <c r="K88" i="766"/>
  <c r="K95" i="766" s="1"/>
  <c r="H95" i="766"/>
  <c r="H15" i="766" s="1"/>
  <c r="K15" i="766" s="1"/>
  <c r="K258" i="765"/>
  <c r="H241" i="765"/>
  <c r="H22" i="765" s="1"/>
  <c r="K22" i="765" s="1"/>
  <c r="K196" i="765"/>
  <c r="H195" i="764"/>
  <c r="I195" i="764"/>
  <c r="J195" i="764" s="1"/>
  <c r="K236" i="764"/>
  <c r="H99" i="765"/>
  <c r="H16" i="765" s="1"/>
  <c r="K16" i="765" s="1"/>
  <c r="K95" i="765"/>
  <c r="K99" i="765" s="1"/>
  <c r="I149" i="761"/>
  <c r="J149" i="761" s="1"/>
  <c r="H149" i="761"/>
  <c r="K315" i="762"/>
  <c r="G320" i="762"/>
  <c r="H139" i="764"/>
  <c r="I139" i="764"/>
  <c r="J139" i="764" s="1"/>
  <c r="K45" i="761"/>
  <c r="K231" i="764"/>
  <c r="K279" i="762"/>
  <c r="I132" i="762"/>
  <c r="J132" i="762" s="1"/>
  <c r="H132" i="762"/>
  <c r="H50" i="756"/>
  <c r="K50" i="756" s="1"/>
  <c r="I50" i="756"/>
  <c r="J50" i="756" s="1"/>
  <c r="K254" i="763"/>
  <c r="H197" i="762"/>
  <c r="I197" i="762"/>
  <c r="J197" i="762" s="1"/>
  <c r="H91" i="760"/>
  <c r="I91" i="760"/>
  <c r="J91" i="760" s="1"/>
  <c r="H209" i="761"/>
  <c r="I209" i="761"/>
  <c r="J209" i="761" s="1"/>
  <c r="J213" i="761" s="1"/>
  <c r="J21" i="761" s="1"/>
  <c r="I81" i="739"/>
  <c r="J81" i="739" s="1"/>
  <c r="H81" i="739"/>
  <c r="K185" i="761"/>
  <c r="H133" i="759"/>
  <c r="I133" i="759"/>
  <c r="J133" i="759" s="1"/>
  <c r="J139" i="759" s="1"/>
  <c r="J16" i="759" s="1"/>
  <c r="I119" i="741"/>
  <c r="J119" i="741" s="1"/>
  <c r="H119" i="741"/>
  <c r="H55" i="753"/>
  <c r="K55" i="753" s="1"/>
  <c r="I55" i="753"/>
  <c r="J55" i="753" s="1"/>
  <c r="I57" i="757"/>
  <c r="J57" i="757" s="1"/>
  <c r="H57" i="757"/>
  <c r="H118" i="737"/>
  <c r="I118" i="737"/>
  <c r="J118" i="737" s="1"/>
  <c r="H73" i="736"/>
  <c r="I73" i="736"/>
  <c r="J73" i="736" s="1"/>
  <c r="I45" i="738"/>
  <c r="J45" i="738" s="1"/>
  <c r="H45" i="738"/>
  <c r="H42" i="735"/>
  <c r="I42" i="735"/>
  <c r="J42" i="735" s="1"/>
  <c r="H118" i="733"/>
  <c r="I118" i="733"/>
  <c r="J118" i="733" s="1"/>
  <c r="K13" i="723"/>
  <c r="K34" i="723" s="1"/>
  <c r="K15" i="720" s="1"/>
  <c r="H34" i="723"/>
  <c r="H15" i="720" s="1"/>
  <c r="I193" i="763"/>
  <c r="J193" i="763" s="1"/>
  <c r="J210" i="763" s="1"/>
  <c r="J21" i="763" s="1"/>
  <c r="H193" i="763"/>
  <c r="K153" i="763"/>
  <c r="H160" i="763"/>
  <c r="H19" i="763" s="1"/>
  <c r="K19" i="763" s="1"/>
  <c r="I140" i="764"/>
  <c r="J140" i="764" s="1"/>
  <c r="H140" i="764"/>
  <c r="K12" i="761"/>
  <c r="I133" i="762"/>
  <c r="J133" i="762" s="1"/>
  <c r="H133" i="762"/>
  <c r="I49" i="756"/>
  <c r="J49" i="756" s="1"/>
  <c r="H49" i="756"/>
  <c r="K238" i="762"/>
  <c r="I144" i="762"/>
  <c r="J144" i="762" s="1"/>
  <c r="H144" i="762"/>
  <c r="I89" i="760"/>
  <c r="J89" i="760" s="1"/>
  <c r="H89" i="760"/>
  <c r="H61" i="743"/>
  <c r="I61" i="743"/>
  <c r="J61" i="743" s="1"/>
  <c r="I95" i="760"/>
  <c r="J95" i="760" s="1"/>
  <c r="H95" i="760"/>
  <c r="I50" i="749"/>
  <c r="J50" i="749" s="1"/>
  <c r="H50" i="749"/>
  <c r="I48" i="755"/>
  <c r="J48" i="755" s="1"/>
  <c r="J59" i="755" s="1"/>
  <c r="J13" i="755" s="1"/>
  <c r="J34" i="755" s="1"/>
  <c r="J23" i="745" s="1"/>
  <c r="H48" i="755"/>
  <c r="K229" i="762"/>
  <c r="I64" i="759"/>
  <c r="J64" i="759" s="1"/>
  <c r="H64" i="759"/>
  <c r="H56" i="754"/>
  <c r="I56" i="754"/>
  <c r="J56" i="754" s="1"/>
  <c r="H143" i="760"/>
  <c r="H19" i="760" s="1"/>
  <c r="K19" i="760" s="1"/>
  <c r="M103" i="749"/>
  <c r="J116" i="749"/>
  <c r="J16" i="749" s="1"/>
  <c r="I49" i="752"/>
  <c r="J49" i="752" s="1"/>
  <c r="H49" i="752"/>
  <c r="I57" i="753"/>
  <c r="J57" i="753" s="1"/>
  <c r="H57" i="753"/>
  <c r="I50" i="754"/>
  <c r="J50" i="754" s="1"/>
  <c r="H50" i="754"/>
  <c r="I60" i="743"/>
  <c r="J60" i="743" s="1"/>
  <c r="H60" i="743"/>
  <c r="I82" i="734"/>
  <c r="J82" i="734" s="1"/>
  <c r="J86" i="734" s="1"/>
  <c r="J14" i="734" s="1"/>
  <c r="H82" i="734"/>
  <c r="K109" i="751"/>
  <c r="I50" i="757"/>
  <c r="J50" i="757" s="1"/>
  <c r="H50" i="757"/>
  <c r="K50" i="757" s="1"/>
  <c r="H102" i="741"/>
  <c r="K102" i="741" s="1"/>
  <c r="I102" i="741"/>
  <c r="J102" i="741" s="1"/>
  <c r="H74" i="736"/>
  <c r="I74" i="736"/>
  <c r="J74" i="736" s="1"/>
  <c r="I73" i="739"/>
  <c r="J73" i="739" s="1"/>
  <c r="H73" i="739"/>
  <c r="H43" i="735"/>
  <c r="I43" i="735"/>
  <c r="J43" i="735" s="1"/>
  <c r="H120" i="733"/>
  <c r="I120" i="733"/>
  <c r="J120" i="733" s="1"/>
  <c r="I73" i="741"/>
  <c r="J73" i="741" s="1"/>
  <c r="H73" i="741"/>
  <c r="K73" i="741" s="1"/>
  <c r="I142" i="733"/>
  <c r="J142" i="733" s="1"/>
  <c r="J160" i="733" s="1"/>
  <c r="J15" i="733" s="1"/>
  <c r="H142" i="733"/>
  <c r="H85" i="733"/>
  <c r="I85" i="733"/>
  <c r="J85" i="733" s="1"/>
  <c r="K12" i="766"/>
  <c r="K56" i="754" l="1"/>
  <c r="K130" i="768"/>
  <c r="K50" i="751"/>
  <c r="K55" i="756"/>
  <c r="K83" i="739"/>
  <c r="J96" i="740"/>
  <c r="J13" i="740" s="1"/>
  <c r="K14" i="739"/>
  <c r="K49" i="754"/>
  <c r="K80" i="760"/>
  <c r="K107" i="736"/>
  <c r="K73" i="736"/>
  <c r="K72" i="739"/>
  <c r="K73" i="740"/>
  <c r="K109" i="739"/>
  <c r="K64" i="734"/>
  <c r="K49" i="752"/>
  <c r="K50" i="749"/>
  <c r="K140" i="764"/>
  <c r="K82" i="737"/>
  <c r="K118" i="740"/>
  <c r="K56" i="747"/>
  <c r="K50" i="755"/>
  <c r="K193" i="766"/>
  <c r="K51" i="756"/>
  <c r="K51" i="752"/>
  <c r="K44" i="741"/>
  <c r="K103" i="739"/>
  <c r="K14" i="770"/>
  <c r="K54" i="770"/>
  <c r="K70" i="770" s="1"/>
  <c r="K64" i="735"/>
  <c r="K84" i="735" s="1"/>
  <c r="K42" i="735"/>
  <c r="H70" i="770"/>
  <c r="H13" i="770" s="1"/>
  <c r="K13" i="770" s="1"/>
  <c r="J197" i="764"/>
  <c r="J21" i="764" s="1"/>
  <c r="K108" i="763"/>
  <c r="K110" i="763" s="1"/>
  <c r="K77" i="761"/>
  <c r="K94" i="761"/>
  <c r="K91" i="760"/>
  <c r="K43" i="735"/>
  <c r="J135" i="733"/>
  <c r="J14" i="733" s="1"/>
  <c r="K57" i="757"/>
  <c r="K241" i="765"/>
  <c r="J154" i="761"/>
  <c r="J18" i="761" s="1"/>
  <c r="K84" i="766"/>
  <c r="K19" i="761"/>
  <c r="K84" i="736"/>
  <c r="K56" i="757"/>
  <c r="K51" i="749"/>
  <c r="K51" i="747"/>
  <c r="K93" i="761"/>
  <c r="K130" i="761"/>
  <c r="K118" i="742"/>
  <c r="K63" i="734"/>
  <c r="K119" i="738"/>
  <c r="K101" i="740"/>
  <c r="K109" i="740" s="1"/>
  <c r="K189" i="761"/>
  <c r="J116" i="736"/>
  <c r="J14" i="736" s="1"/>
  <c r="K84" i="760"/>
  <c r="K43" i="734"/>
  <c r="K96" i="760"/>
  <c r="K55" i="750"/>
  <c r="K194" i="763"/>
  <c r="H140" i="761"/>
  <c r="H17" i="761" s="1"/>
  <c r="K17" i="761" s="1"/>
  <c r="K133" i="761"/>
  <c r="K140" i="761" s="1"/>
  <c r="K142" i="733"/>
  <c r="K160" i="733" s="1"/>
  <c r="H84" i="766"/>
  <c r="H14" i="766" s="1"/>
  <c r="K14" i="766" s="1"/>
  <c r="K46" i="736"/>
  <c r="K16" i="761"/>
  <c r="K58" i="734"/>
  <c r="K51" i="750"/>
  <c r="K57" i="759"/>
  <c r="K271" i="763"/>
  <c r="K19" i="768"/>
  <c r="H82" i="761"/>
  <c r="H14" i="761" s="1"/>
  <c r="K14" i="761" s="1"/>
  <c r="K150" i="765"/>
  <c r="K56" i="743"/>
  <c r="J135" i="736"/>
  <c r="J15" i="736" s="1"/>
  <c r="K15" i="736" s="1"/>
  <c r="J69" i="743"/>
  <c r="J13" i="743" s="1"/>
  <c r="K64" i="759"/>
  <c r="K45" i="738"/>
  <c r="H84" i="735"/>
  <c r="H13" i="735" s="1"/>
  <c r="K13" i="735" s="1"/>
  <c r="J193" i="733"/>
  <c r="J17" i="733" s="1"/>
  <c r="J105" i="733"/>
  <c r="J13" i="733" s="1"/>
  <c r="K119" i="742"/>
  <c r="J136" i="742"/>
  <c r="J15" i="742" s="1"/>
  <c r="K165" i="733"/>
  <c r="K126" i="736"/>
  <c r="K49" i="757"/>
  <c r="K190" i="733"/>
  <c r="K125" i="736"/>
  <c r="K135" i="736" s="1"/>
  <c r="J32" i="720"/>
  <c r="J16" i="284" s="1"/>
  <c r="K57" i="747"/>
  <c r="K129" i="767"/>
  <c r="K83" i="742"/>
  <c r="K90" i="765"/>
  <c r="K92" i="765" s="1"/>
  <c r="K49" i="753"/>
  <c r="K49" i="751"/>
  <c r="K128" i="760"/>
  <c r="K72" i="742"/>
  <c r="K49" i="755"/>
  <c r="J156" i="765"/>
  <c r="J170" i="765" s="1"/>
  <c r="J19" i="765" s="1"/>
  <c r="H156" i="765"/>
  <c r="K156" i="765" s="1"/>
  <c r="J84" i="760"/>
  <c r="J14" i="760" s="1"/>
  <c r="K14" i="760" s="1"/>
  <c r="J34" i="770"/>
  <c r="J24" i="758" s="1"/>
  <c r="K20" i="769"/>
  <c r="K247" i="769"/>
  <c r="J84" i="769"/>
  <c r="J14" i="769" s="1"/>
  <c r="K302" i="769"/>
  <c r="J220" i="769"/>
  <c r="H220" i="769"/>
  <c r="K220" i="769" s="1"/>
  <c r="E227" i="769"/>
  <c r="K214" i="769"/>
  <c r="J214" i="762"/>
  <c r="J21" i="762" s="1"/>
  <c r="K79" i="762"/>
  <c r="K84" i="762" s="1"/>
  <c r="K144" i="762"/>
  <c r="K19" i="762"/>
  <c r="K198" i="762"/>
  <c r="K66" i="762"/>
  <c r="K69" i="762" s="1"/>
  <c r="K288" i="762"/>
  <c r="K164" i="762"/>
  <c r="K120" i="733"/>
  <c r="K95" i="760"/>
  <c r="K133" i="762"/>
  <c r="K139" i="764"/>
  <c r="K46" i="738"/>
  <c r="K137" i="769"/>
  <c r="K138" i="769" s="1"/>
  <c r="K166" i="733"/>
  <c r="K134" i="759"/>
  <c r="K45" i="737"/>
  <c r="H185" i="763"/>
  <c r="H20" i="763" s="1"/>
  <c r="K20" i="763" s="1"/>
  <c r="K163" i="763"/>
  <c r="K185" i="763" s="1"/>
  <c r="K129" i="766"/>
  <c r="H141" i="766"/>
  <c r="H18" i="766" s="1"/>
  <c r="J59" i="750"/>
  <c r="J13" i="750" s="1"/>
  <c r="J34" i="750" s="1"/>
  <c r="J18" i="745" s="1"/>
  <c r="J97" i="739"/>
  <c r="J13" i="739" s="1"/>
  <c r="K274" i="768"/>
  <c r="K277" i="768" s="1"/>
  <c r="K249" i="768"/>
  <c r="K48" i="752"/>
  <c r="H59" i="752"/>
  <c r="H13" i="752" s="1"/>
  <c r="K48" i="753"/>
  <c r="H59" i="753"/>
  <c r="H13" i="753" s="1"/>
  <c r="K72" i="740"/>
  <c r="H96" i="740"/>
  <c r="H13" i="740" s="1"/>
  <c r="K13" i="740" s="1"/>
  <c r="J60" i="744"/>
  <c r="J12" i="744" s="1"/>
  <c r="J34" i="744" s="1"/>
  <c r="J25" i="732" s="1"/>
  <c r="J59" i="757"/>
  <c r="J13" i="757" s="1"/>
  <c r="J34" i="757" s="1"/>
  <c r="J25" i="745" s="1"/>
  <c r="K137" i="763"/>
  <c r="K65" i="734"/>
  <c r="J59" i="754"/>
  <c r="J13" i="754" s="1"/>
  <c r="J34" i="754" s="1"/>
  <c r="J22" i="745" s="1"/>
  <c r="K101" i="761"/>
  <c r="J59" i="748"/>
  <c r="J13" i="748" s="1"/>
  <c r="J34" i="748" s="1"/>
  <c r="J16" i="745" s="1"/>
  <c r="K57" i="746"/>
  <c r="K59" i="746" s="1"/>
  <c r="K46" i="737"/>
  <c r="K82" i="761"/>
  <c r="K104" i="764"/>
  <c r="K108" i="764" s="1"/>
  <c r="K62" i="743"/>
  <c r="K111" i="765"/>
  <c r="H127" i="765"/>
  <c r="H17" i="765" s="1"/>
  <c r="K197" i="762"/>
  <c r="H214" i="762"/>
  <c r="H21" i="762" s="1"/>
  <c r="I320" i="762"/>
  <c r="J320" i="762" s="1"/>
  <c r="J323" i="762" s="1"/>
  <c r="J24" i="762" s="1"/>
  <c r="H320" i="762"/>
  <c r="K79" i="769"/>
  <c r="H34" i="722"/>
  <c r="H14" i="720" s="1"/>
  <c r="K13" i="722"/>
  <c r="K34" i="722" s="1"/>
  <c r="K14" i="720" s="1"/>
  <c r="K57" i="751"/>
  <c r="K148" i="761"/>
  <c r="H154" i="761"/>
  <c r="H18" i="761" s="1"/>
  <c r="K18" i="761" s="1"/>
  <c r="K185" i="733"/>
  <c r="K193" i="733" s="1"/>
  <c r="H193" i="733"/>
  <c r="H17" i="733" s="1"/>
  <c r="K17" i="733" s="1"/>
  <c r="K82" i="738"/>
  <c r="K13" i="721"/>
  <c r="K34" i="721" s="1"/>
  <c r="K13" i="720" s="1"/>
  <c r="H34" i="721"/>
  <c r="H13" i="720" s="1"/>
  <c r="K82" i="739"/>
  <c r="K192" i="766"/>
  <c r="K195" i="766" s="1"/>
  <c r="H195" i="766"/>
  <c r="H21" i="766" s="1"/>
  <c r="K21" i="766" s="1"/>
  <c r="K118" i="739"/>
  <c r="K170" i="766"/>
  <c r="K119" i="740"/>
  <c r="J59" i="752"/>
  <c r="J13" i="752" s="1"/>
  <c r="J34" i="752" s="1"/>
  <c r="J20" i="745" s="1"/>
  <c r="J59" i="753"/>
  <c r="J13" i="753" s="1"/>
  <c r="J34" i="753" s="1"/>
  <c r="J21" i="745" s="1"/>
  <c r="K180" i="769"/>
  <c r="K83" i="733"/>
  <c r="K48" i="754"/>
  <c r="H59" i="754"/>
  <c r="H13" i="754" s="1"/>
  <c r="K48" i="751"/>
  <c r="K59" i="751" s="1"/>
  <c r="H59" i="751"/>
  <c r="H13" i="751" s="1"/>
  <c r="K109" i="762"/>
  <c r="K113" i="762" s="1"/>
  <c r="K50" i="748"/>
  <c r="H59" i="748"/>
  <c r="H13" i="748" s="1"/>
  <c r="H113" i="762"/>
  <c r="H16" i="762" s="1"/>
  <c r="K16" i="762" s="1"/>
  <c r="K57" i="734"/>
  <c r="H76" i="734"/>
  <c r="H13" i="734" s="1"/>
  <c r="K72" i="736"/>
  <c r="H92" i="736"/>
  <c r="H13" i="736" s="1"/>
  <c r="K16" i="751"/>
  <c r="I113" i="765"/>
  <c r="J113" i="765" s="1"/>
  <c r="K113" i="765" s="1"/>
  <c r="I112" i="765"/>
  <c r="J112" i="765" s="1"/>
  <c r="K112" i="765" s="1"/>
  <c r="K133" i="759"/>
  <c r="K139" i="759" s="1"/>
  <c r="H139" i="759"/>
  <c r="H16" i="759" s="1"/>
  <c r="K16" i="759" s="1"/>
  <c r="K204" i="764"/>
  <c r="K301" i="763"/>
  <c r="K303" i="763" s="1"/>
  <c r="H303" i="763"/>
  <c r="H24" i="763" s="1"/>
  <c r="K24" i="763" s="1"/>
  <c r="J59" i="751"/>
  <c r="J13" i="751" s="1"/>
  <c r="J34" i="751" s="1"/>
  <c r="J19" i="745" s="1"/>
  <c r="I132" i="764"/>
  <c r="J132" i="764" s="1"/>
  <c r="K132" i="764" s="1"/>
  <c r="I131" i="764"/>
  <c r="J131" i="764" s="1"/>
  <c r="K131" i="764" s="1"/>
  <c r="J76" i="734"/>
  <c r="J13" i="734" s="1"/>
  <c r="J92" i="736"/>
  <c r="J13" i="736" s="1"/>
  <c r="K121" i="768"/>
  <c r="H134" i="768"/>
  <c r="H18" i="768" s="1"/>
  <c r="K55" i="754"/>
  <c r="J184" i="766"/>
  <c r="J20" i="766" s="1"/>
  <c r="K183" i="768"/>
  <c r="K189" i="768" s="1"/>
  <c r="H189" i="768"/>
  <c r="H21" i="768" s="1"/>
  <c r="K21" i="768" s="1"/>
  <c r="K45" i="733"/>
  <c r="K65" i="733" s="1"/>
  <c r="H65" i="733"/>
  <c r="H12" i="733" s="1"/>
  <c r="K73" i="739"/>
  <c r="K61" i="743"/>
  <c r="K118" i="733"/>
  <c r="K118" i="737"/>
  <c r="K149" i="761"/>
  <c r="K12" i="770"/>
  <c r="K117" i="742"/>
  <c r="K136" i="742" s="1"/>
  <c r="H136" i="742"/>
  <c r="H15" i="742" s="1"/>
  <c r="K15" i="742" s="1"/>
  <c r="K196" i="764"/>
  <c r="K120" i="765"/>
  <c r="K94" i="767"/>
  <c r="K99" i="767" s="1"/>
  <c r="H99" i="767"/>
  <c r="H16" i="767" s="1"/>
  <c r="K179" i="765"/>
  <c r="K184" i="765" s="1"/>
  <c r="H184" i="765"/>
  <c r="H20" i="765" s="1"/>
  <c r="K20" i="765" s="1"/>
  <c r="K45" i="739"/>
  <c r="K49" i="750"/>
  <c r="K56" i="752"/>
  <c r="K51" i="751"/>
  <c r="K98" i="768"/>
  <c r="K102" i="768" s="1"/>
  <c r="K49" i="747"/>
  <c r="K57" i="748"/>
  <c r="K100" i="736"/>
  <c r="H116" i="736"/>
  <c r="H14" i="736" s="1"/>
  <c r="K119" i="739"/>
  <c r="K40" i="743"/>
  <c r="K130" i="764"/>
  <c r="H142" i="764"/>
  <c r="H18" i="764" s="1"/>
  <c r="K84" i="733"/>
  <c r="K63" i="759"/>
  <c r="K160" i="763"/>
  <c r="I123" i="768"/>
  <c r="J123" i="768" s="1"/>
  <c r="K123" i="768" s="1"/>
  <c r="I122" i="768"/>
  <c r="J122" i="768" s="1"/>
  <c r="K122" i="768" s="1"/>
  <c r="J65" i="738"/>
  <c r="J12" i="738" s="1"/>
  <c r="K261" i="764"/>
  <c r="K162" i="766"/>
  <c r="H184" i="766"/>
  <c r="H20" i="766" s="1"/>
  <c r="K181" i="769"/>
  <c r="K60" i="743"/>
  <c r="K69" i="743" s="1"/>
  <c r="H69" i="743"/>
  <c r="H13" i="743" s="1"/>
  <c r="K13" i="743" s="1"/>
  <c r="K89" i="760"/>
  <c r="H99" i="760"/>
  <c r="H15" i="760" s="1"/>
  <c r="K81" i="739"/>
  <c r="K71" i="742"/>
  <c r="H97" i="742"/>
  <c r="H13" i="742" s="1"/>
  <c r="K13" i="742" s="1"/>
  <c r="J97" i="738"/>
  <c r="J13" i="738" s="1"/>
  <c r="K112" i="760"/>
  <c r="K119" i="760" s="1"/>
  <c r="H119" i="760"/>
  <c r="H17" i="760" s="1"/>
  <c r="K17" i="760" s="1"/>
  <c r="K16" i="769"/>
  <c r="K280" i="766"/>
  <c r="K282" i="766" s="1"/>
  <c r="H282" i="766"/>
  <c r="H24" i="766" s="1"/>
  <c r="K24" i="766" s="1"/>
  <c r="K55" i="752"/>
  <c r="K157" i="768"/>
  <c r="K44" i="738"/>
  <c r="H65" i="738"/>
  <c r="H12" i="738" s="1"/>
  <c r="K82" i="734"/>
  <c r="K86" i="734" s="1"/>
  <c r="H86" i="734"/>
  <c r="H14" i="734" s="1"/>
  <c r="K14" i="734" s="1"/>
  <c r="J99" i="760"/>
  <c r="J15" i="760" s="1"/>
  <c r="K132" i="762"/>
  <c r="H146" i="762"/>
  <c r="H18" i="762" s="1"/>
  <c r="K130" i="763"/>
  <c r="H142" i="763"/>
  <c r="H18" i="763" s="1"/>
  <c r="K73" i="738"/>
  <c r="H97" i="738"/>
  <c r="H13" i="738" s="1"/>
  <c r="K13" i="738" s="1"/>
  <c r="K44" i="740"/>
  <c r="H64" i="740"/>
  <c r="H12" i="740" s="1"/>
  <c r="H84" i="769"/>
  <c r="H14" i="769" s="1"/>
  <c r="K74" i="738"/>
  <c r="K104" i="770"/>
  <c r="K109" i="770" s="1"/>
  <c r="H109" i="770"/>
  <c r="H15" i="770" s="1"/>
  <c r="K15" i="770" s="1"/>
  <c r="K117" i="739"/>
  <c r="H136" i="739"/>
  <c r="H15" i="739" s="1"/>
  <c r="J116" i="762"/>
  <c r="J122" i="762" s="1"/>
  <c r="J17" i="762" s="1"/>
  <c r="H116" i="762"/>
  <c r="K134" i="762"/>
  <c r="K15" i="765"/>
  <c r="I342" i="769"/>
  <c r="J342" i="769" s="1"/>
  <c r="J359" i="769" s="1"/>
  <c r="J25" i="769" s="1"/>
  <c r="H342" i="769"/>
  <c r="K82" i="740"/>
  <c r="H135" i="733"/>
  <c r="H14" i="733" s="1"/>
  <c r="K14" i="733" s="1"/>
  <c r="K185" i="767"/>
  <c r="K187" i="767" s="1"/>
  <c r="H187" i="767"/>
  <c r="H21" i="767" s="1"/>
  <c r="K21" i="767" s="1"/>
  <c r="K72" i="741"/>
  <c r="K96" i="741" s="1"/>
  <c r="H96" i="741"/>
  <c r="H13" i="741" s="1"/>
  <c r="K56" i="755"/>
  <c r="K44" i="770"/>
  <c r="K46" i="770" s="1"/>
  <c r="K85" i="733"/>
  <c r="K74" i="736"/>
  <c r="K50" i="754"/>
  <c r="J146" i="762"/>
  <c r="J18" i="762" s="1"/>
  <c r="K44" i="737"/>
  <c r="H65" i="737"/>
  <c r="H12" i="737" s="1"/>
  <c r="K128" i="768"/>
  <c r="I132" i="763"/>
  <c r="J132" i="763" s="1"/>
  <c r="K132" i="763" s="1"/>
  <c r="I131" i="763"/>
  <c r="J131" i="763" s="1"/>
  <c r="K131" i="763" s="1"/>
  <c r="K51" i="757"/>
  <c r="K118" i="738"/>
  <c r="K56" i="749"/>
  <c r="J64" i="740"/>
  <c r="J12" i="740" s="1"/>
  <c r="K12" i="760"/>
  <c r="K47" i="730"/>
  <c r="K57" i="730" s="1"/>
  <c r="H57" i="730"/>
  <c r="H13" i="730" s="1"/>
  <c r="J136" i="739"/>
  <c r="J15" i="739" s="1"/>
  <c r="E169" i="762"/>
  <c r="J91" i="762"/>
  <c r="J96" i="762" s="1"/>
  <c r="J15" i="762" s="1"/>
  <c r="H91" i="762"/>
  <c r="K50" i="747"/>
  <c r="K55" i="748"/>
  <c r="K14" i="762"/>
  <c r="K80" i="764"/>
  <c r="K84" i="764" s="1"/>
  <c r="H84" i="764"/>
  <c r="H14" i="764" s="1"/>
  <c r="K130" i="767"/>
  <c r="J51" i="734"/>
  <c r="J12" i="734" s="1"/>
  <c r="J34" i="734" s="1"/>
  <c r="J15" i="732" s="1"/>
  <c r="K40" i="744"/>
  <c r="K101" i="741"/>
  <c r="K51" i="754"/>
  <c r="K62" i="759"/>
  <c r="K100" i="761"/>
  <c r="K51" i="753"/>
  <c r="E170" i="768"/>
  <c r="J163" i="768"/>
  <c r="H163" i="768"/>
  <c r="J96" i="741"/>
  <c r="J13" i="741" s="1"/>
  <c r="K45" i="741"/>
  <c r="K65" i="741" s="1"/>
  <c r="H65" i="741"/>
  <c r="H12" i="741" s="1"/>
  <c r="J64" i="739"/>
  <c r="J12" i="739" s="1"/>
  <c r="K127" i="760"/>
  <c r="H134" i="760"/>
  <c r="H18" i="760" s="1"/>
  <c r="K166" i="764"/>
  <c r="K78" i="769"/>
  <c r="K84" i="769" s="1"/>
  <c r="H108" i="764"/>
  <c r="H16" i="764" s="1"/>
  <c r="K16" i="764" s="1"/>
  <c r="K155" i="767"/>
  <c r="J64" i="742"/>
  <c r="J12" i="742" s="1"/>
  <c r="J34" i="742" s="1"/>
  <c r="J23" i="732" s="1"/>
  <c r="K48" i="747"/>
  <c r="H59" i="747"/>
  <c r="H13" i="747" s="1"/>
  <c r="K16" i="749"/>
  <c r="K68" i="768"/>
  <c r="K74" i="768" s="1"/>
  <c r="H74" i="768"/>
  <c r="H14" i="768" s="1"/>
  <c r="K47" i="725"/>
  <c r="K57" i="725" s="1"/>
  <c r="H57" i="725"/>
  <c r="H13" i="725" s="1"/>
  <c r="K171" i="769"/>
  <c r="H184" i="769"/>
  <c r="H19" i="769" s="1"/>
  <c r="K42" i="734"/>
  <c r="K51" i="734" s="1"/>
  <c r="H51" i="734"/>
  <c r="H12" i="734" s="1"/>
  <c r="K48" i="756"/>
  <c r="H59" i="756"/>
  <c r="H13" i="756" s="1"/>
  <c r="I270" i="765"/>
  <c r="J270" i="765" s="1"/>
  <c r="J272" i="765" s="1"/>
  <c r="J23" i="765" s="1"/>
  <c r="H270" i="765"/>
  <c r="K252" i="767"/>
  <c r="J65" i="741"/>
  <c r="J12" i="741" s="1"/>
  <c r="K44" i="739"/>
  <c r="H64" i="739"/>
  <c r="H12" i="739" s="1"/>
  <c r="K48" i="749"/>
  <c r="H59" i="749"/>
  <c r="H13" i="749" s="1"/>
  <c r="J134" i="760"/>
  <c r="J18" i="760" s="1"/>
  <c r="H172" i="764"/>
  <c r="E183" i="764"/>
  <c r="J172" i="764"/>
  <c r="E212" i="769"/>
  <c r="J88" i="769"/>
  <c r="J94" i="769" s="1"/>
  <c r="J15" i="769" s="1"/>
  <c r="H88" i="769"/>
  <c r="K57" i="753"/>
  <c r="K48" i="755"/>
  <c r="H59" i="755"/>
  <c r="H13" i="755" s="1"/>
  <c r="K209" i="761"/>
  <c r="K213" i="761" s="1"/>
  <c r="H213" i="761"/>
  <c r="H21" i="761" s="1"/>
  <c r="K21" i="761" s="1"/>
  <c r="K57" i="749"/>
  <c r="J34" i="736"/>
  <c r="J17" i="732" s="1"/>
  <c r="K45" i="742"/>
  <c r="H64" i="742"/>
  <c r="H12" i="742" s="1"/>
  <c r="J59" i="747"/>
  <c r="J13" i="747" s="1"/>
  <c r="J34" i="747" s="1"/>
  <c r="J15" i="745" s="1"/>
  <c r="K101" i="737"/>
  <c r="K259" i="769"/>
  <c r="K164" i="733"/>
  <c r="H175" i="733"/>
  <c r="H16" i="733" s="1"/>
  <c r="K46" i="740"/>
  <c r="K293" i="764"/>
  <c r="K295" i="764" s="1"/>
  <c r="K102" i="761"/>
  <c r="K137" i="766"/>
  <c r="K83" i="736"/>
  <c r="I172" i="769"/>
  <c r="J172" i="769" s="1"/>
  <c r="K172" i="769" s="1"/>
  <c r="I173" i="769"/>
  <c r="J173" i="769" s="1"/>
  <c r="K173" i="769" s="1"/>
  <c r="K91" i="733"/>
  <c r="J59" i="756"/>
  <c r="J13" i="756" s="1"/>
  <c r="J34" i="756" s="1"/>
  <c r="J24" i="745" s="1"/>
  <c r="K55" i="759"/>
  <c r="H67" i="759"/>
  <c r="H13" i="759" s="1"/>
  <c r="K56" i="748"/>
  <c r="K92" i="733"/>
  <c r="K81" i="740"/>
  <c r="K23" i="767"/>
  <c r="K13" i="726"/>
  <c r="K34" i="726" s="1"/>
  <c r="K18" i="720" s="1"/>
  <c r="H34" i="726"/>
  <c r="H18" i="720" s="1"/>
  <c r="J136" i="741"/>
  <c r="J15" i="741" s="1"/>
  <c r="J59" i="749"/>
  <c r="J13" i="749" s="1"/>
  <c r="J34" i="749" s="1"/>
  <c r="J17" i="745" s="1"/>
  <c r="K129" i="768"/>
  <c r="K242" i="769"/>
  <c r="G243" i="769"/>
  <c r="K193" i="763"/>
  <c r="K210" i="763" s="1"/>
  <c r="H210" i="763"/>
  <c r="H21" i="763" s="1"/>
  <c r="K21" i="763" s="1"/>
  <c r="K44" i="736"/>
  <c r="K64" i="736" s="1"/>
  <c r="H64" i="736"/>
  <c r="H12" i="736" s="1"/>
  <c r="J135" i="737"/>
  <c r="J15" i="737" s="1"/>
  <c r="K13" i="729"/>
  <c r="K34" i="729" s="1"/>
  <c r="K21" i="720" s="1"/>
  <c r="H34" i="729"/>
  <c r="H21" i="720" s="1"/>
  <c r="K23" i="769"/>
  <c r="J175" i="733"/>
  <c r="J16" i="733" s="1"/>
  <c r="J136" i="738"/>
  <c r="J15" i="738" s="1"/>
  <c r="J106" i="761"/>
  <c r="J15" i="761" s="1"/>
  <c r="J34" i="761" s="1"/>
  <c r="J15" i="758" s="1"/>
  <c r="K24" i="764"/>
  <c r="K16" i="768"/>
  <c r="J67" i="759"/>
  <c r="J13" i="759" s="1"/>
  <c r="J34" i="759" s="1"/>
  <c r="J13" i="758" s="1"/>
  <c r="J109" i="737"/>
  <c r="J14" i="737" s="1"/>
  <c r="K39" i="743"/>
  <c r="K50" i="743" s="1"/>
  <c r="H50" i="743"/>
  <c r="H12" i="743" s="1"/>
  <c r="K23" i="762"/>
  <c r="K121" i="767"/>
  <c r="H134" i="767"/>
  <c r="H18" i="767" s="1"/>
  <c r="J59" i="735"/>
  <c r="J12" i="735" s="1"/>
  <c r="J34" i="735" s="1"/>
  <c r="J16" i="732" s="1"/>
  <c r="J109" i="741"/>
  <c r="J14" i="741" s="1"/>
  <c r="K118" i="741"/>
  <c r="H136" i="741"/>
  <c r="H15" i="741" s="1"/>
  <c r="K15" i="741" s="1"/>
  <c r="K97" i="760"/>
  <c r="K138" i="764"/>
  <c r="H110" i="763"/>
  <c r="H16" i="763" s="1"/>
  <c r="K16" i="763" s="1"/>
  <c r="K49" i="756"/>
  <c r="K119" i="741"/>
  <c r="K195" i="764"/>
  <c r="K197" i="764" s="1"/>
  <c r="H197" i="764"/>
  <c r="H21" i="764" s="1"/>
  <c r="K21" i="764" s="1"/>
  <c r="K55" i="757"/>
  <c r="K56" i="756"/>
  <c r="H160" i="733"/>
  <c r="H15" i="733" s="1"/>
  <c r="K15" i="733" s="1"/>
  <c r="K117" i="737"/>
  <c r="H135" i="737"/>
  <c r="H15" i="737" s="1"/>
  <c r="K15" i="737" s="1"/>
  <c r="K74" i="737"/>
  <c r="K46" i="742"/>
  <c r="J96" i="737"/>
  <c r="J13" i="737" s="1"/>
  <c r="J34" i="737" s="1"/>
  <c r="J18" i="732" s="1"/>
  <c r="K117" i="738"/>
  <c r="H136" i="738"/>
  <c r="H15" i="738" s="1"/>
  <c r="K50" i="750"/>
  <c r="K279" i="767"/>
  <c r="K282" i="767" s="1"/>
  <c r="H282" i="767"/>
  <c r="H24" i="767" s="1"/>
  <c r="K24" i="767" s="1"/>
  <c r="K83" i="740"/>
  <c r="K57" i="752"/>
  <c r="K92" i="761"/>
  <c r="H106" i="761"/>
  <c r="H15" i="761" s="1"/>
  <c r="H69" i="762"/>
  <c r="H13" i="762" s="1"/>
  <c r="K117" i="740"/>
  <c r="H136" i="740"/>
  <c r="H15" i="740" s="1"/>
  <c r="K84" i="742"/>
  <c r="H109" i="740"/>
  <c r="H14" i="740" s="1"/>
  <c r="K14" i="740" s="1"/>
  <c r="K100" i="737"/>
  <c r="H109" i="737"/>
  <c r="H14" i="737" s="1"/>
  <c r="K14" i="737" s="1"/>
  <c r="J50" i="743"/>
  <c r="J12" i="743" s="1"/>
  <c r="J34" i="743" s="1"/>
  <c r="J24" i="732" s="1"/>
  <c r="I122" i="767"/>
  <c r="J122" i="767" s="1"/>
  <c r="K122" i="767" s="1"/>
  <c r="I123" i="767"/>
  <c r="J123" i="767" s="1"/>
  <c r="K123" i="767" s="1"/>
  <c r="K41" i="735"/>
  <c r="H59" i="735"/>
  <c r="H12" i="735" s="1"/>
  <c r="K100" i="741"/>
  <c r="K109" i="741" s="1"/>
  <c r="H109" i="741"/>
  <c r="H14" i="741" s="1"/>
  <c r="K14" i="741" s="1"/>
  <c r="J163" i="767"/>
  <c r="H163" i="767"/>
  <c r="E170" i="767"/>
  <c r="K13" i="727"/>
  <c r="K34" i="727" s="1"/>
  <c r="K19" i="720" s="1"/>
  <c r="H34" i="727"/>
  <c r="H19" i="720" s="1"/>
  <c r="I131" i="766"/>
  <c r="J131" i="766" s="1"/>
  <c r="K131" i="766" s="1"/>
  <c r="I130" i="766"/>
  <c r="J130" i="766" s="1"/>
  <c r="K130" i="766" s="1"/>
  <c r="K72" i="737"/>
  <c r="H96" i="737"/>
  <c r="H13" i="737" s="1"/>
  <c r="K13" i="737" s="1"/>
  <c r="K48" i="750"/>
  <c r="H59" i="750"/>
  <c r="H13" i="750" s="1"/>
  <c r="K71" i="739"/>
  <c r="H97" i="739"/>
  <c r="H13" i="739" s="1"/>
  <c r="K13" i="739" s="1"/>
  <c r="K196" i="760"/>
  <c r="K199" i="760" s="1"/>
  <c r="H199" i="760"/>
  <c r="H21" i="760" s="1"/>
  <c r="K21" i="760" s="1"/>
  <c r="K255" i="766"/>
  <c r="H105" i="733"/>
  <c r="H13" i="733" s="1"/>
  <c r="K13" i="733" s="1"/>
  <c r="H60" i="744"/>
  <c r="H12" i="744" s="1"/>
  <c r="K38" i="744"/>
  <c r="K60" i="744" s="1"/>
  <c r="K48" i="757"/>
  <c r="H59" i="757"/>
  <c r="H13" i="757" s="1"/>
  <c r="K24" i="768"/>
  <c r="K46" i="739"/>
  <c r="K102" i="736"/>
  <c r="J136" i="740"/>
  <c r="J15" i="740" s="1"/>
  <c r="K178" i="760"/>
  <c r="K12" i="746"/>
  <c r="K34" i="746" s="1"/>
  <c r="K14" i="745" s="1"/>
  <c r="H34" i="746"/>
  <c r="H14" i="745" s="1"/>
  <c r="K170" i="765" l="1"/>
  <c r="K184" i="766"/>
  <c r="K14" i="736"/>
  <c r="K135" i="733"/>
  <c r="J35" i="733"/>
  <c r="J14" i="732" s="1"/>
  <c r="K175" i="733"/>
  <c r="K134" i="760"/>
  <c r="K136" i="739"/>
  <c r="K136" i="740"/>
  <c r="K59" i="750"/>
  <c r="K163" i="767"/>
  <c r="K136" i="738"/>
  <c r="K59" i="747"/>
  <c r="K65" i="738"/>
  <c r="K59" i="735"/>
  <c r="J127" i="765"/>
  <c r="J17" i="765" s="1"/>
  <c r="K17" i="765" s="1"/>
  <c r="K99" i="760"/>
  <c r="K136" i="741"/>
  <c r="K16" i="733"/>
  <c r="J34" i="745"/>
  <c r="J18" i="284" s="1"/>
  <c r="J34" i="739"/>
  <c r="J20" i="732" s="1"/>
  <c r="K142" i="764"/>
  <c r="K116" i="736"/>
  <c r="K92" i="736"/>
  <c r="K134" i="767"/>
  <c r="K97" i="738"/>
  <c r="J134" i="768"/>
  <c r="J18" i="768" s="1"/>
  <c r="K59" i="748"/>
  <c r="J142" i="764"/>
  <c r="J18" i="764" s="1"/>
  <c r="K18" i="764" s="1"/>
  <c r="K13" i="734"/>
  <c r="J134" i="767"/>
  <c r="J18" i="767" s="1"/>
  <c r="K18" i="767" s="1"/>
  <c r="K109" i="737"/>
  <c r="K15" i="740"/>
  <c r="K106" i="761"/>
  <c r="K64" i="742"/>
  <c r="K64" i="739"/>
  <c r="K105" i="733"/>
  <c r="K13" i="741"/>
  <c r="K76" i="734"/>
  <c r="H34" i="766"/>
  <c r="H20" i="758" s="1"/>
  <c r="H170" i="765"/>
  <c r="H19" i="765" s="1"/>
  <c r="K19" i="765" s="1"/>
  <c r="J227" i="769"/>
  <c r="H227" i="769"/>
  <c r="K21" i="762"/>
  <c r="K214" i="762"/>
  <c r="K18" i="762"/>
  <c r="H34" i="750"/>
  <c r="H18" i="745" s="1"/>
  <c r="K13" i="750"/>
  <c r="K34" i="750" s="1"/>
  <c r="K18" i="745" s="1"/>
  <c r="K14" i="768"/>
  <c r="H34" i="749"/>
  <c r="H17" i="745" s="1"/>
  <c r="K13" i="749"/>
  <c r="K34" i="749" s="1"/>
  <c r="K17" i="745" s="1"/>
  <c r="K96" i="737"/>
  <c r="K13" i="762"/>
  <c r="K12" i="743"/>
  <c r="K34" i="743" s="1"/>
  <c r="K24" i="732" s="1"/>
  <c r="H34" i="743"/>
  <c r="H24" i="732" s="1"/>
  <c r="K13" i="759"/>
  <c r="K34" i="759" s="1"/>
  <c r="H34" i="759"/>
  <c r="H13" i="758" s="1"/>
  <c r="K59" i="749"/>
  <c r="H34" i="756"/>
  <c r="H24" i="745" s="1"/>
  <c r="K13" i="756"/>
  <c r="K34" i="756" s="1"/>
  <c r="K24" i="745" s="1"/>
  <c r="K163" i="768"/>
  <c r="E183" i="762"/>
  <c r="J169" i="762"/>
  <c r="H169" i="762"/>
  <c r="E175" i="762"/>
  <c r="K15" i="739"/>
  <c r="K64" i="740"/>
  <c r="H35" i="733"/>
  <c r="H14" i="732" s="1"/>
  <c r="K12" i="733"/>
  <c r="J142" i="763"/>
  <c r="J18" i="763" s="1"/>
  <c r="J35" i="763" s="1"/>
  <c r="J17" i="758" s="1"/>
  <c r="J141" i="766"/>
  <c r="J18" i="766" s="1"/>
  <c r="J34" i="766" s="1"/>
  <c r="J20" i="758" s="1"/>
  <c r="K15" i="761"/>
  <c r="K34" i="761" s="1"/>
  <c r="H34" i="761"/>
  <c r="H15" i="758" s="1"/>
  <c r="K15" i="758" s="1"/>
  <c r="K67" i="759"/>
  <c r="H34" i="739"/>
  <c r="H20" i="732" s="1"/>
  <c r="K12" i="739"/>
  <c r="K59" i="756"/>
  <c r="H35" i="763"/>
  <c r="H17" i="758" s="1"/>
  <c r="J34" i="760"/>
  <c r="J14" i="758" s="1"/>
  <c r="K15" i="760"/>
  <c r="K34" i="770"/>
  <c r="H34" i="736"/>
  <c r="H17" i="732" s="1"/>
  <c r="K12" i="736"/>
  <c r="J170" i="768"/>
  <c r="J175" i="768" s="1"/>
  <c r="J20" i="768" s="1"/>
  <c r="H170" i="768"/>
  <c r="H34" i="730"/>
  <c r="H22" i="720" s="1"/>
  <c r="K13" i="730"/>
  <c r="K34" i="730" s="1"/>
  <c r="K22" i="720" s="1"/>
  <c r="H34" i="737"/>
  <c r="H18" i="732" s="1"/>
  <c r="K12" i="737"/>
  <c r="K34" i="737" s="1"/>
  <c r="K18" i="732" s="1"/>
  <c r="H34" i="770"/>
  <c r="H24" i="758" s="1"/>
  <c r="K24" i="758" s="1"/>
  <c r="K12" i="734"/>
  <c r="K34" i="734" s="1"/>
  <c r="K15" i="732" s="1"/>
  <c r="H34" i="734"/>
  <c r="H15" i="732" s="1"/>
  <c r="J34" i="741"/>
  <c r="J22" i="732" s="1"/>
  <c r="K13" i="747"/>
  <c r="K34" i="747" s="1"/>
  <c r="K15" i="745" s="1"/>
  <c r="H34" i="747"/>
  <c r="H15" i="745" s="1"/>
  <c r="K18" i="760"/>
  <c r="K34" i="760" s="1"/>
  <c r="K65" i="737"/>
  <c r="K13" i="736"/>
  <c r="H34" i="751"/>
  <c r="H19" i="745" s="1"/>
  <c r="K13" i="751"/>
  <c r="K34" i="751" s="1"/>
  <c r="K19" i="745" s="1"/>
  <c r="K154" i="761"/>
  <c r="K16" i="767"/>
  <c r="K12" i="738"/>
  <c r="H34" i="738"/>
  <c r="H19" i="732" s="1"/>
  <c r="K13" i="754"/>
  <c r="K34" i="754" s="1"/>
  <c r="K22" i="745" s="1"/>
  <c r="H34" i="754"/>
  <c r="H22" i="745" s="1"/>
  <c r="K88" i="769"/>
  <c r="K94" i="769" s="1"/>
  <c r="H94" i="769"/>
  <c r="H15" i="769" s="1"/>
  <c r="K15" i="769" s="1"/>
  <c r="J184" i="769"/>
  <c r="J19" i="769" s="1"/>
  <c r="J170" i="767"/>
  <c r="J176" i="767" s="1"/>
  <c r="J20" i="767" s="1"/>
  <c r="H170" i="767"/>
  <c r="J212" i="769"/>
  <c r="J234" i="769" s="1"/>
  <c r="J21" i="769" s="1"/>
  <c r="H212" i="769"/>
  <c r="K184" i="769"/>
  <c r="K12" i="741"/>
  <c r="K34" i="741" s="1"/>
  <c r="K22" i="732" s="1"/>
  <c r="H34" i="741"/>
  <c r="H22" i="732" s="1"/>
  <c r="K342" i="769"/>
  <c r="K359" i="769" s="1"/>
  <c r="H359" i="769"/>
  <c r="H25" i="769" s="1"/>
  <c r="K25" i="769" s="1"/>
  <c r="K18" i="763"/>
  <c r="K35" i="763" s="1"/>
  <c r="K97" i="742"/>
  <c r="K59" i="754"/>
  <c r="K135" i="737"/>
  <c r="H34" i="755"/>
  <c r="H23" i="745" s="1"/>
  <c r="K13" i="755"/>
  <c r="K34" i="755" s="1"/>
  <c r="K23" i="745" s="1"/>
  <c r="H34" i="760"/>
  <c r="H14" i="758" s="1"/>
  <c r="K142" i="763"/>
  <c r="K96" i="740"/>
  <c r="K19" i="769"/>
  <c r="K14" i="764"/>
  <c r="K13" i="757"/>
  <c r="K34" i="757" s="1"/>
  <c r="K25" i="745" s="1"/>
  <c r="H34" i="757"/>
  <c r="H25" i="745" s="1"/>
  <c r="K59" i="757"/>
  <c r="K97" i="739"/>
  <c r="K15" i="738"/>
  <c r="H243" i="769"/>
  <c r="I243" i="769"/>
  <c r="J243" i="769" s="1"/>
  <c r="J249" i="769" s="1"/>
  <c r="J22" i="769" s="1"/>
  <c r="K59" i="755"/>
  <c r="J183" i="764"/>
  <c r="J187" i="764" s="1"/>
  <c r="J20" i="764" s="1"/>
  <c r="H183" i="764"/>
  <c r="H187" i="764" s="1"/>
  <c r="H20" i="764" s="1"/>
  <c r="K13" i="725"/>
  <c r="K34" i="725" s="1"/>
  <c r="K17" i="720" s="1"/>
  <c r="H34" i="725"/>
  <c r="H17" i="720" s="1"/>
  <c r="H32" i="720" s="1"/>
  <c r="H16" i="284" s="1"/>
  <c r="K20" i="766"/>
  <c r="K13" i="753"/>
  <c r="K34" i="753" s="1"/>
  <c r="K21" i="745" s="1"/>
  <c r="H34" i="753"/>
  <c r="H21" i="745" s="1"/>
  <c r="H34" i="742"/>
  <c r="H23" i="732" s="1"/>
  <c r="K12" i="742"/>
  <c r="K34" i="742" s="1"/>
  <c r="K23" i="732" s="1"/>
  <c r="K172" i="764"/>
  <c r="K18" i="768"/>
  <c r="J34" i="765"/>
  <c r="J19" i="758" s="1"/>
  <c r="K59" i="753"/>
  <c r="K270" i="765"/>
  <c r="K272" i="765" s="1"/>
  <c r="H272" i="765"/>
  <c r="H23" i="765" s="1"/>
  <c r="K23" i="765" s="1"/>
  <c r="K91" i="762"/>
  <c r="K96" i="762" s="1"/>
  <c r="H96" i="762"/>
  <c r="H15" i="762" s="1"/>
  <c r="K15" i="762" s="1"/>
  <c r="K116" i="762"/>
  <c r="K122" i="762" s="1"/>
  <c r="H122" i="762"/>
  <c r="H17" i="762" s="1"/>
  <c r="K17" i="762" s="1"/>
  <c r="K14" i="769"/>
  <c r="K134" i="768"/>
  <c r="K13" i="748"/>
  <c r="K34" i="748" s="1"/>
  <c r="K16" i="745" s="1"/>
  <c r="H34" i="748"/>
  <c r="H16" i="745" s="1"/>
  <c r="K320" i="762"/>
  <c r="K323" i="762" s="1"/>
  <c r="H323" i="762"/>
  <c r="H24" i="762" s="1"/>
  <c r="K24" i="762" s="1"/>
  <c r="K127" i="765"/>
  <c r="H34" i="752"/>
  <c r="H20" i="745" s="1"/>
  <c r="K13" i="752"/>
  <c r="K34" i="752" s="1"/>
  <c r="K20" i="745" s="1"/>
  <c r="K141" i="766"/>
  <c r="H34" i="744"/>
  <c r="H25" i="732" s="1"/>
  <c r="K12" i="744"/>
  <c r="K34" i="744" s="1"/>
  <c r="K25" i="732" s="1"/>
  <c r="H34" i="735"/>
  <c r="H16" i="732" s="1"/>
  <c r="K12" i="735"/>
  <c r="K34" i="735" s="1"/>
  <c r="K16" i="732" s="1"/>
  <c r="J34" i="740"/>
  <c r="J21" i="732" s="1"/>
  <c r="K12" i="740"/>
  <c r="K34" i="740" s="1"/>
  <c r="K21" i="732" s="1"/>
  <c r="H34" i="740"/>
  <c r="H21" i="732" s="1"/>
  <c r="K146" i="762"/>
  <c r="J34" i="738"/>
  <c r="J19" i="732" s="1"/>
  <c r="J31" i="732" s="1"/>
  <c r="J17" i="284" s="1"/>
  <c r="K59" i="752"/>
  <c r="K32" i="720" l="1"/>
  <c r="K170" i="768"/>
  <c r="K175" i="768" s="1"/>
  <c r="K17" i="758"/>
  <c r="J35" i="764"/>
  <c r="J18" i="758" s="1"/>
  <c r="K20" i="758"/>
  <c r="J34" i="767"/>
  <c r="J21" i="758" s="1"/>
  <c r="J34" i="768"/>
  <c r="J22" i="758" s="1"/>
  <c r="K20" i="764"/>
  <c r="K34" i="745"/>
  <c r="K183" i="764"/>
  <c r="K187" i="764" s="1"/>
  <c r="K34" i="736"/>
  <c r="K17" i="732" s="1"/>
  <c r="H34" i="745"/>
  <c r="H18" i="284" s="1"/>
  <c r="H34" i="765"/>
  <c r="H19" i="758" s="1"/>
  <c r="K19" i="758" s="1"/>
  <c r="K34" i="739"/>
  <c r="K20" i="732" s="1"/>
  <c r="J34" i="769"/>
  <c r="J23" i="758" s="1"/>
  <c r="K227" i="769"/>
  <c r="K243" i="769"/>
  <c r="K249" i="769" s="1"/>
  <c r="H249" i="769"/>
  <c r="H22" i="769" s="1"/>
  <c r="K22" i="769" s="1"/>
  <c r="K14" i="758"/>
  <c r="H175" i="768"/>
  <c r="H20" i="768" s="1"/>
  <c r="J183" i="762"/>
  <c r="H183" i="762"/>
  <c r="K18" i="766"/>
  <c r="K34" i="766" s="1"/>
  <c r="K170" i="767"/>
  <c r="K176" i="767" s="1"/>
  <c r="H176" i="767"/>
  <c r="H20" i="767" s="1"/>
  <c r="K34" i="738"/>
  <c r="K19" i="732" s="1"/>
  <c r="K35" i="733"/>
  <c r="K14" i="732" s="1"/>
  <c r="L16" i="733"/>
  <c r="K34" i="765"/>
  <c r="H31" i="732"/>
  <c r="H17" i="284" s="1"/>
  <c r="K13" i="758"/>
  <c r="K212" i="769"/>
  <c r="H234" i="769"/>
  <c r="H21" i="769" s="1"/>
  <c r="K21" i="769" s="1"/>
  <c r="H35" i="764"/>
  <c r="H18" i="758" s="1"/>
  <c r="K35" i="764"/>
  <c r="H175" i="762"/>
  <c r="J175" i="762"/>
  <c r="J189" i="762" s="1"/>
  <c r="J20" i="762" s="1"/>
  <c r="J35" i="762" s="1"/>
  <c r="J16" i="758" s="1"/>
  <c r="K169" i="762"/>
  <c r="K18" i="758" l="1"/>
  <c r="J31" i="758"/>
  <c r="J19" i="284" s="1"/>
  <c r="K34" i="769"/>
  <c r="K31" i="732"/>
  <c r="K234" i="769"/>
  <c r="H189" i="762"/>
  <c r="H20" i="762" s="1"/>
  <c r="H35" i="762" s="1"/>
  <c r="H16" i="758" s="1"/>
  <c r="K16" i="758" s="1"/>
  <c r="K183" i="762"/>
  <c r="H34" i="769"/>
  <c r="H23" i="758" s="1"/>
  <c r="K23" i="758" s="1"/>
  <c r="K175" i="762"/>
  <c r="K20" i="768"/>
  <c r="K34" i="768" s="1"/>
  <c r="H34" i="768"/>
  <c r="H22" i="758" s="1"/>
  <c r="K22" i="758" s="1"/>
  <c r="K20" i="767"/>
  <c r="K34" i="767" s="1"/>
  <c r="H34" i="767"/>
  <c r="H21" i="758" s="1"/>
  <c r="K21" i="758" s="1"/>
  <c r="K31" i="758" l="1"/>
  <c r="H31" i="758"/>
  <c r="H19" i="284" s="1"/>
  <c r="K20" i="762"/>
  <c r="K35" i="762" s="1"/>
  <c r="K189" i="762"/>
  <c r="F407" i="357" l="1"/>
  <c r="J49" i="500"/>
  <c r="H49" i="500"/>
  <c r="K49" i="500" s="1"/>
  <c r="J92" i="500"/>
  <c r="H92" i="500"/>
  <c r="J91" i="500"/>
  <c r="H91" i="500"/>
  <c r="J90" i="500"/>
  <c r="H90" i="500"/>
  <c r="J89" i="500"/>
  <c r="H89" i="500"/>
  <c r="J88" i="500"/>
  <c r="H88" i="500"/>
  <c r="J87" i="500"/>
  <c r="H87" i="500"/>
  <c r="J86" i="500"/>
  <c r="H86" i="500"/>
  <c r="J85" i="500"/>
  <c r="H85" i="500"/>
  <c r="J84" i="500"/>
  <c r="H84" i="500"/>
  <c r="J83" i="500"/>
  <c r="H83" i="500"/>
  <c r="J82" i="500"/>
  <c r="H82" i="500"/>
  <c r="J81" i="500"/>
  <c r="H81" i="500"/>
  <c r="J80" i="500"/>
  <c r="H80" i="500"/>
  <c r="J79" i="500"/>
  <c r="H79" i="500"/>
  <c r="J78" i="500"/>
  <c r="H78" i="500"/>
  <c r="J77" i="500"/>
  <c r="H77" i="500"/>
  <c r="J72" i="500"/>
  <c r="K72" i="500" s="1"/>
  <c r="H72" i="500"/>
  <c r="J71" i="500"/>
  <c r="H71" i="500"/>
  <c r="J70" i="500"/>
  <c r="K70" i="500" s="1"/>
  <c r="H70" i="500"/>
  <c r="J69" i="500"/>
  <c r="H69" i="500"/>
  <c r="J62" i="500"/>
  <c r="H62" i="500"/>
  <c r="J61" i="500"/>
  <c r="H61" i="500"/>
  <c r="J60" i="500"/>
  <c r="K60" i="500" s="1"/>
  <c r="H60" i="500"/>
  <c r="J57" i="500"/>
  <c r="H57" i="500"/>
  <c r="J56" i="500"/>
  <c r="K56" i="500" s="1"/>
  <c r="H56" i="500"/>
  <c r="J54" i="500"/>
  <c r="H54" i="500"/>
  <c r="J53" i="500"/>
  <c r="H53" i="500"/>
  <c r="J52" i="500"/>
  <c r="H52" i="500"/>
  <c r="J51" i="500"/>
  <c r="K51" i="500" s="1"/>
  <c r="H51" i="500"/>
  <c r="E50" i="500"/>
  <c r="J50" i="500" s="1"/>
  <c r="K50" i="500" s="1"/>
  <c r="J46" i="500"/>
  <c r="H46" i="500"/>
  <c r="J45" i="500"/>
  <c r="H45" i="500"/>
  <c r="E44" i="500"/>
  <c r="J43" i="500"/>
  <c r="H43" i="500"/>
  <c r="J42" i="500"/>
  <c r="H42" i="500"/>
  <c r="J41" i="500"/>
  <c r="H41" i="500"/>
  <c r="E40" i="500"/>
  <c r="J40" i="500" s="1"/>
  <c r="J353" i="357"/>
  <c r="B354" i="357"/>
  <c r="G1070" i="286"/>
  <c r="H1070" i="286" s="1"/>
  <c r="K1070" i="286" s="1"/>
  <c r="G1071" i="286"/>
  <c r="H1071" i="286" s="1"/>
  <c r="G1069" i="286"/>
  <c r="H1069" i="286" s="1"/>
  <c r="G1072" i="286"/>
  <c r="H1072" i="286" s="1"/>
  <c r="G1073" i="286"/>
  <c r="H1073" i="286" s="1"/>
  <c r="G1074" i="286"/>
  <c r="H1074" i="286" s="1"/>
  <c r="G1075" i="286"/>
  <c r="H1075" i="286" s="1"/>
  <c r="G1076" i="286"/>
  <c r="H1076" i="286" s="1"/>
  <c r="G1077" i="286"/>
  <c r="H1198" i="286"/>
  <c r="J1198" i="286"/>
  <c r="H1199" i="286"/>
  <c r="J1199" i="286"/>
  <c r="H1191" i="286"/>
  <c r="J1191" i="286"/>
  <c r="G1245" i="286"/>
  <c r="H1245" i="286" s="1"/>
  <c r="G1246" i="286"/>
  <c r="H1246" i="286" s="1"/>
  <c r="G1247" i="286"/>
  <c r="H1247" i="286" s="1"/>
  <c r="G1248" i="286"/>
  <c r="H1248" i="286" s="1"/>
  <c r="G1249" i="286"/>
  <c r="H1249" i="286" s="1"/>
  <c r="G1250" i="286"/>
  <c r="G1251" i="286"/>
  <c r="G1252" i="286"/>
  <c r="G1244" i="286"/>
  <c r="H1244" i="286" s="1"/>
  <c r="G1143" i="286"/>
  <c r="H1143" i="286" s="1"/>
  <c r="G1144" i="286"/>
  <c r="G1145" i="286"/>
  <c r="H1145" i="286" s="1"/>
  <c r="G1146" i="286"/>
  <c r="H1146" i="286" s="1"/>
  <c r="G1147" i="286"/>
  <c r="H1147" i="286" s="1"/>
  <c r="G1148" i="286"/>
  <c r="H1148" i="286" s="1"/>
  <c r="G1149" i="286"/>
  <c r="H1149" i="286" s="1"/>
  <c r="G1150" i="286"/>
  <c r="H1150" i="286" s="1"/>
  <c r="G1151" i="286"/>
  <c r="G1120" i="286"/>
  <c r="G1121" i="286"/>
  <c r="H1121" i="286" s="1"/>
  <c r="G1122" i="286"/>
  <c r="H1122" i="286" s="1"/>
  <c r="G1123" i="286"/>
  <c r="G1124" i="286"/>
  <c r="G1125" i="286"/>
  <c r="H1125" i="286" s="1"/>
  <c r="G1126" i="286"/>
  <c r="G1127" i="286"/>
  <c r="G1119" i="286"/>
  <c r="H1119" i="286" s="1"/>
  <c r="G1094" i="286"/>
  <c r="H1094" i="286" s="1"/>
  <c r="G1095" i="286"/>
  <c r="H1095" i="286" s="1"/>
  <c r="G1096" i="286"/>
  <c r="H1096" i="286" s="1"/>
  <c r="G1097" i="286"/>
  <c r="G1098" i="286"/>
  <c r="H1098" i="286" s="1"/>
  <c r="G1099" i="286"/>
  <c r="H1099" i="286" s="1"/>
  <c r="G1100" i="286"/>
  <c r="H1100" i="286" s="1"/>
  <c r="G1101" i="286"/>
  <c r="G1093" i="286"/>
  <c r="G1068" i="286"/>
  <c r="H1068" i="286" s="1"/>
  <c r="G1046" i="286"/>
  <c r="H1046" i="286" s="1"/>
  <c r="G1047" i="286"/>
  <c r="H1047" i="286" s="1"/>
  <c r="G1048" i="286"/>
  <c r="H1048" i="286" s="1"/>
  <c r="G1049" i="286"/>
  <c r="H1049" i="286" s="1"/>
  <c r="G1050" i="286"/>
  <c r="G1051" i="286"/>
  <c r="G1052" i="286"/>
  <c r="H1052" i="286" s="1"/>
  <c r="G1053" i="286"/>
  <c r="G1045" i="286"/>
  <c r="H1045" i="286" s="1"/>
  <c r="G1019" i="286"/>
  <c r="G1020" i="286"/>
  <c r="H1020" i="286" s="1"/>
  <c r="G1021" i="286"/>
  <c r="H1021" i="286" s="1"/>
  <c r="G1022" i="286"/>
  <c r="H1022" i="286" s="1"/>
  <c r="G1023" i="286"/>
  <c r="H1023" i="286" s="1"/>
  <c r="G1024" i="286"/>
  <c r="H1024" i="286" s="1"/>
  <c r="G1025" i="286"/>
  <c r="H1025" i="286" s="1"/>
  <c r="G1026" i="286"/>
  <c r="H1026" i="286" s="1"/>
  <c r="G1027" i="286"/>
  <c r="G1018" i="286"/>
  <c r="H1018" i="286" s="1"/>
  <c r="G994" i="286"/>
  <c r="H994" i="286" s="1"/>
  <c r="G995" i="286"/>
  <c r="H995" i="286" s="1"/>
  <c r="G996" i="286"/>
  <c r="G997" i="286"/>
  <c r="H997" i="286" s="1"/>
  <c r="G998" i="286"/>
  <c r="H998" i="286" s="1"/>
  <c r="G999" i="286"/>
  <c r="H999" i="286" s="1"/>
  <c r="G1000" i="286"/>
  <c r="H1000" i="286" s="1"/>
  <c r="G1001" i="286"/>
  <c r="G993" i="286"/>
  <c r="H993" i="286" s="1"/>
  <c r="G969" i="286"/>
  <c r="H969" i="286" s="1"/>
  <c r="G970" i="286"/>
  <c r="G971" i="286"/>
  <c r="G972" i="286"/>
  <c r="H972" i="286" s="1"/>
  <c r="G973" i="286"/>
  <c r="H973" i="286" s="1"/>
  <c r="G974" i="286"/>
  <c r="G975" i="286"/>
  <c r="H975" i="286" s="1"/>
  <c r="G976" i="286"/>
  <c r="G968" i="286"/>
  <c r="H968" i="286" s="1"/>
  <c r="G944" i="286"/>
  <c r="H944" i="286" s="1"/>
  <c r="G945" i="286"/>
  <c r="H945" i="286" s="1"/>
  <c r="G946" i="286"/>
  <c r="H946" i="286" s="1"/>
  <c r="G947" i="286"/>
  <c r="H947" i="286" s="1"/>
  <c r="G948" i="286"/>
  <c r="G949" i="286"/>
  <c r="H949" i="286" s="1"/>
  <c r="G950" i="286"/>
  <c r="H950" i="286" s="1"/>
  <c r="G951" i="286"/>
  <c r="G943" i="286"/>
  <c r="G921" i="286"/>
  <c r="H921" i="286" s="1"/>
  <c r="G922" i="286"/>
  <c r="H922" i="286" s="1"/>
  <c r="G923" i="286"/>
  <c r="H923" i="286" s="1"/>
  <c r="G924" i="286"/>
  <c r="H924" i="286" s="1"/>
  <c r="G925" i="286"/>
  <c r="H925" i="286" s="1"/>
  <c r="G926" i="286"/>
  <c r="H926" i="286" s="1"/>
  <c r="G927" i="286"/>
  <c r="H927" i="286" s="1"/>
  <c r="G928" i="286"/>
  <c r="G920" i="286"/>
  <c r="H920" i="286" s="1"/>
  <c r="G894" i="286"/>
  <c r="H894" i="286" s="1"/>
  <c r="G895" i="286"/>
  <c r="H895" i="286" s="1"/>
  <c r="G896" i="286"/>
  <c r="G897" i="286"/>
  <c r="H897" i="286" s="1"/>
  <c r="G898" i="286"/>
  <c r="H898" i="286" s="1"/>
  <c r="G899" i="286"/>
  <c r="H899" i="286" s="1"/>
  <c r="G900" i="286"/>
  <c r="H900" i="286" s="1"/>
  <c r="G901" i="286"/>
  <c r="H901" i="286" s="1"/>
  <c r="G902" i="286"/>
  <c r="G893" i="286"/>
  <c r="G869" i="286"/>
  <c r="G870" i="286"/>
  <c r="H870" i="286" s="1"/>
  <c r="G871" i="286"/>
  <c r="H871" i="286" s="1"/>
  <c r="G872" i="286"/>
  <c r="H872" i="286" s="1"/>
  <c r="G873" i="286"/>
  <c r="G874" i="286"/>
  <c r="H874" i="286" s="1"/>
  <c r="G875" i="286"/>
  <c r="G876" i="286"/>
  <c r="G868" i="286"/>
  <c r="H868" i="286" s="1"/>
  <c r="G844" i="286"/>
  <c r="H844" i="286" s="1"/>
  <c r="G845" i="286"/>
  <c r="H845" i="286" s="1"/>
  <c r="G846" i="286"/>
  <c r="H846" i="286" s="1"/>
  <c r="K846" i="286" s="1"/>
  <c r="G847" i="286"/>
  <c r="G848" i="286"/>
  <c r="H848" i="286" s="1"/>
  <c r="G849" i="286"/>
  <c r="H849" i="286" s="1"/>
  <c r="G850" i="286"/>
  <c r="H850" i="286" s="1"/>
  <c r="G851" i="286"/>
  <c r="G843" i="286"/>
  <c r="H843" i="286" s="1"/>
  <c r="G819" i="286"/>
  <c r="H819" i="286" s="1"/>
  <c r="G820" i="286"/>
  <c r="H820" i="286" s="1"/>
  <c r="G821" i="286"/>
  <c r="H821" i="286" s="1"/>
  <c r="G822" i="286"/>
  <c r="H822" i="286" s="1"/>
  <c r="G823" i="286"/>
  <c r="H823" i="286" s="1"/>
  <c r="G824" i="286"/>
  <c r="H824" i="286" s="1"/>
  <c r="G825" i="286"/>
  <c r="G826" i="286"/>
  <c r="H826" i="286" s="1"/>
  <c r="G827" i="286"/>
  <c r="G818" i="286"/>
  <c r="H818" i="286" s="1"/>
  <c r="G796" i="286"/>
  <c r="G797" i="286"/>
  <c r="H797" i="286" s="1"/>
  <c r="G798" i="286"/>
  <c r="H798" i="286" s="1"/>
  <c r="G799" i="286"/>
  <c r="H799" i="286" s="1"/>
  <c r="G800" i="286"/>
  <c r="H800" i="286" s="1"/>
  <c r="G801" i="286"/>
  <c r="H801" i="286" s="1"/>
  <c r="G802" i="286"/>
  <c r="H802" i="286" s="1"/>
  <c r="G803" i="286"/>
  <c r="G795" i="286"/>
  <c r="G769" i="286"/>
  <c r="H769" i="286" s="1"/>
  <c r="G770" i="286"/>
  <c r="H770" i="286" s="1"/>
  <c r="G771" i="286"/>
  <c r="H771" i="286" s="1"/>
  <c r="G772" i="286"/>
  <c r="G773" i="286"/>
  <c r="H773" i="286" s="1"/>
  <c r="G774" i="286"/>
  <c r="H774" i="286" s="1"/>
  <c r="G775" i="286"/>
  <c r="H775" i="286" s="1"/>
  <c r="G776" i="286"/>
  <c r="H776" i="286" s="1"/>
  <c r="G777" i="286"/>
  <c r="G768" i="286"/>
  <c r="H768" i="286" s="1"/>
  <c r="G744" i="286"/>
  <c r="H744" i="286" s="1"/>
  <c r="G745" i="286"/>
  <c r="G746" i="286"/>
  <c r="H746" i="286" s="1"/>
  <c r="G747" i="286"/>
  <c r="H747" i="286" s="1"/>
  <c r="G748" i="286"/>
  <c r="H748" i="286" s="1"/>
  <c r="G749" i="286"/>
  <c r="G750" i="286"/>
  <c r="H750" i="286" s="1"/>
  <c r="G751" i="286"/>
  <c r="G743" i="286"/>
  <c r="H743" i="286" s="1"/>
  <c r="G719" i="286"/>
  <c r="H719" i="286" s="1"/>
  <c r="G720" i="286"/>
  <c r="H720" i="286" s="1"/>
  <c r="G721" i="286"/>
  <c r="H721" i="286" s="1"/>
  <c r="G722" i="286"/>
  <c r="H722" i="286" s="1"/>
  <c r="G723" i="286"/>
  <c r="G724" i="286"/>
  <c r="H724" i="286" s="1"/>
  <c r="G725" i="286"/>
  <c r="H725" i="286" s="1"/>
  <c r="G726" i="286"/>
  <c r="H726" i="286" s="1"/>
  <c r="G727" i="286"/>
  <c r="G718" i="286"/>
  <c r="H718" i="286" s="1"/>
  <c r="G694" i="286"/>
  <c r="H694" i="286" s="1"/>
  <c r="G695" i="286"/>
  <c r="H695" i="286" s="1"/>
  <c r="G696" i="286"/>
  <c r="H696" i="286" s="1"/>
  <c r="G697" i="286"/>
  <c r="H697" i="286" s="1"/>
  <c r="G698" i="286"/>
  <c r="H698" i="286" s="1"/>
  <c r="G699" i="286"/>
  <c r="H699" i="286" s="1"/>
  <c r="G700" i="286"/>
  <c r="G701" i="286"/>
  <c r="G693" i="286"/>
  <c r="H693" i="286" s="1"/>
  <c r="G669" i="286"/>
  <c r="H669" i="286" s="1"/>
  <c r="G670" i="286"/>
  <c r="G671" i="286"/>
  <c r="H671" i="286" s="1"/>
  <c r="G672" i="286"/>
  <c r="H672" i="286" s="1"/>
  <c r="G673" i="286"/>
  <c r="H673" i="286" s="1"/>
  <c r="G674" i="286"/>
  <c r="H674" i="286" s="1"/>
  <c r="G675" i="286"/>
  <c r="H675" i="286" s="1"/>
  <c r="G676" i="286"/>
  <c r="G668" i="286"/>
  <c r="H668" i="286" s="1"/>
  <c r="G644" i="286"/>
  <c r="G645" i="286"/>
  <c r="H645" i="286" s="1"/>
  <c r="G646" i="286"/>
  <c r="H646" i="286" s="1"/>
  <c r="G647" i="286"/>
  <c r="H647" i="286" s="1"/>
  <c r="G648" i="286"/>
  <c r="G649" i="286"/>
  <c r="H649" i="286" s="1"/>
  <c r="G650" i="286"/>
  <c r="H650" i="286" s="1"/>
  <c r="G651" i="286"/>
  <c r="H651" i="286" s="1"/>
  <c r="G652" i="286"/>
  <c r="G643" i="286"/>
  <c r="H643" i="286" s="1"/>
  <c r="G621" i="286"/>
  <c r="H621" i="286" s="1"/>
  <c r="G622" i="286"/>
  <c r="H622" i="286" s="1"/>
  <c r="G623" i="286"/>
  <c r="G624" i="286"/>
  <c r="H624" i="286" s="1"/>
  <c r="G625" i="286"/>
  <c r="H625" i="286" s="1"/>
  <c r="G626" i="286"/>
  <c r="H626" i="286" s="1"/>
  <c r="G627" i="286"/>
  <c r="G628" i="286"/>
  <c r="G620" i="286"/>
  <c r="H620" i="286" s="1"/>
  <c r="G594" i="286"/>
  <c r="H594" i="286" s="1"/>
  <c r="G595" i="286"/>
  <c r="H595" i="286" s="1"/>
  <c r="G596" i="286"/>
  <c r="H596" i="286" s="1"/>
  <c r="G597" i="286"/>
  <c r="H597" i="286" s="1"/>
  <c r="G598" i="286"/>
  <c r="H598" i="286" s="1"/>
  <c r="G599" i="286"/>
  <c r="G600" i="286"/>
  <c r="H600" i="286" s="1"/>
  <c r="G601" i="286"/>
  <c r="H601" i="286" s="1"/>
  <c r="G602" i="286"/>
  <c r="G593" i="286"/>
  <c r="G569" i="286"/>
  <c r="H569" i="286" s="1"/>
  <c r="G570" i="286"/>
  <c r="G571" i="286"/>
  <c r="H571" i="286" s="1"/>
  <c r="G572" i="286"/>
  <c r="H572" i="286" s="1"/>
  <c r="G573" i="286"/>
  <c r="H573" i="286" s="1"/>
  <c r="G574" i="286"/>
  <c r="H574" i="286" s="1"/>
  <c r="G575" i="286"/>
  <c r="H575" i="286" s="1"/>
  <c r="G576" i="286"/>
  <c r="G568" i="286"/>
  <c r="H568" i="286" s="1"/>
  <c r="G544" i="286"/>
  <c r="H544" i="286" s="1"/>
  <c r="G545" i="286"/>
  <c r="H545" i="286" s="1"/>
  <c r="G546" i="286"/>
  <c r="G547" i="286"/>
  <c r="H547" i="286" s="1"/>
  <c r="G548" i="286"/>
  <c r="H548" i="286" s="1"/>
  <c r="G549" i="286"/>
  <c r="H549" i="286" s="1"/>
  <c r="G550" i="286"/>
  <c r="H550" i="286" s="1"/>
  <c r="G551" i="286"/>
  <c r="G543" i="286"/>
  <c r="H543" i="286" s="1"/>
  <c r="G519" i="286"/>
  <c r="H519" i="286" s="1"/>
  <c r="G520" i="286"/>
  <c r="G521" i="286"/>
  <c r="H521" i="286" s="1"/>
  <c r="G522" i="286"/>
  <c r="H522" i="286" s="1"/>
  <c r="G523" i="286"/>
  <c r="H523" i="286" s="1"/>
  <c r="G524" i="286"/>
  <c r="G525" i="286"/>
  <c r="H525" i="286" s="1"/>
  <c r="G526" i="286"/>
  <c r="G518" i="286"/>
  <c r="H518" i="286" s="1"/>
  <c r="G496" i="286"/>
  <c r="H496" i="286" s="1"/>
  <c r="G497" i="286"/>
  <c r="H497" i="286" s="1"/>
  <c r="G498" i="286"/>
  <c r="H498" i="286" s="1"/>
  <c r="G499" i="286"/>
  <c r="H499" i="286" s="1"/>
  <c r="G500" i="286"/>
  <c r="G501" i="286"/>
  <c r="H501" i="286" s="1"/>
  <c r="G502" i="286"/>
  <c r="H502" i="286" s="1"/>
  <c r="G503" i="286"/>
  <c r="G495" i="286"/>
  <c r="G469" i="286"/>
  <c r="H469" i="286" s="1"/>
  <c r="G470" i="286"/>
  <c r="H470" i="286" s="1"/>
  <c r="G471" i="286"/>
  <c r="H471" i="286" s="1"/>
  <c r="G472" i="286"/>
  <c r="H472" i="286" s="1"/>
  <c r="G473" i="286"/>
  <c r="H473" i="286" s="1"/>
  <c r="G474" i="286"/>
  <c r="H474" i="286" s="1"/>
  <c r="G475" i="286"/>
  <c r="H475" i="286" s="1"/>
  <c r="G476" i="286"/>
  <c r="G477" i="286"/>
  <c r="G468" i="286"/>
  <c r="H468" i="286" s="1"/>
  <c r="G444" i="286"/>
  <c r="H444" i="286" s="1"/>
  <c r="G445" i="286"/>
  <c r="G446" i="286"/>
  <c r="H446" i="286" s="1"/>
  <c r="G447" i="286"/>
  <c r="H447" i="286" s="1"/>
  <c r="G448" i="286"/>
  <c r="H448" i="286" s="1"/>
  <c r="G449" i="286"/>
  <c r="H449" i="286" s="1"/>
  <c r="G450" i="286"/>
  <c r="H450" i="286" s="1"/>
  <c r="G451" i="286"/>
  <c r="G443" i="286"/>
  <c r="H443" i="286" s="1"/>
  <c r="G419" i="286"/>
  <c r="G420" i="286"/>
  <c r="H420" i="286" s="1"/>
  <c r="G421" i="286"/>
  <c r="H421" i="286" s="1"/>
  <c r="G422" i="286"/>
  <c r="H422" i="286" s="1"/>
  <c r="G423" i="286"/>
  <c r="G424" i="286"/>
  <c r="H424" i="286" s="1"/>
  <c r="G425" i="286"/>
  <c r="H425" i="286" s="1"/>
  <c r="G426" i="286"/>
  <c r="G418" i="286"/>
  <c r="H418" i="286" s="1"/>
  <c r="G394" i="286"/>
  <c r="H394" i="286" s="1"/>
  <c r="G395" i="286"/>
  <c r="H395" i="286" s="1"/>
  <c r="G396" i="286"/>
  <c r="H396" i="286" s="1"/>
  <c r="G397" i="286"/>
  <c r="H397" i="286" s="1"/>
  <c r="G398" i="286"/>
  <c r="H398" i="286" s="1"/>
  <c r="G399" i="286"/>
  <c r="H399" i="286" s="1"/>
  <c r="G400" i="286"/>
  <c r="H400" i="286" s="1"/>
  <c r="G401" i="286"/>
  <c r="G393" i="286"/>
  <c r="H393" i="286" s="1"/>
  <c r="G371" i="286"/>
  <c r="H371" i="286" s="1"/>
  <c r="G372" i="286"/>
  <c r="H372" i="286" s="1"/>
  <c r="G373" i="286"/>
  <c r="H373" i="286" s="1"/>
  <c r="G374" i="286"/>
  <c r="H374" i="286" s="1"/>
  <c r="G375" i="286"/>
  <c r="H375" i="286" s="1"/>
  <c r="G376" i="286"/>
  <c r="H376" i="286" s="1"/>
  <c r="G377" i="286"/>
  <c r="H377" i="286" s="1"/>
  <c r="G378" i="286"/>
  <c r="G370" i="286"/>
  <c r="H370" i="286" s="1"/>
  <c r="G344" i="286"/>
  <c r="H344" i="286" s="1"/>
  <c r="G345" i="286"/>
  <c r="G346" i="286"/>
  <c r="H346" i="286" s="1"/>
  <c r="G347" i="286"/>
  <c r="H347" i="286" s="1"/>
  <c r="G348" i="286"/>
  <c r="H348" i="286" s="1"/>
  <c r="G349" i="286"/>
  <c r="H349" i="286" s="1"/>
  <c r="G350" i="286"/>
  <c r="H350" i="286" s="1"/>
  <c r="G351" i="286"/>
  <c r="H351" i="286" s="1"/>
  <c r="G352" i="286"/>
  <c r="G343" i="286"/>
  <c r="G319" i="286"/>
  <c r="H319" i="286" s="1"/>
  <c r="G320" i="286"/>
  <c r="H320" i="286" s="1"/>
  <c r="G321" i="286"/>
  <c r="H321" i="286" s="1"/>
  <c r="G322" i="286"/>
  <c r="G323" i="286"/>
  <c r="H323" i="286" s="1"/>
  <c r="G324" i="286"/>
  <c r="H324" i="286" s="1"/>
  <c r="G325" i="286"/>
  <c r="H325" i="286" s="1"/>
  <c r="G326" i="286"/>
  <c r="G318" i="286"/>
  <c r="H318" i="286" s="1"/>
  <c r="G294" i="286"/>
  <c r="H294" i="286" s="1"/>
  <c r="G295" i="286"/>
  <c r="H295" i="286" s="1"/>
  <c r="G296" i="286"/>
  <c r="H296" i="286" s="1"/>
  <c r="G297" i="286"/>
  <c r="H297" i="286" s="1"/>
  <c r="G298" i="286"/>
  <c r="H298" i="286" s="1"/>
  <c r="G299" i="286"/>
  <c r="H299" i="286" s="1"/>
  <c r="G300" i="286"/>
  <c r="G301" i="286"/>
  <c r="G293" i="286"/>
  <c r="H293" i="286" s="1"/>
  <c r="G269" i="286"/>
  <c r="H269" i="286" s="1"/>
  <c r="G270" i="286"/>
  <c r="H270" i="286" s="1"/>
  <c r="G271" i="286"/>
  <c r="H271" i="286" s="1"/>
  <c r="G272" i="286"/>
  <c r="H272" i="286" s="1"/>
  <c r="G273" i="286"/>
  <c r="G274" i="286"/>
  <c r="H274" i="286" s="1"/>
  <c r="G275" i="286"/>
  <c r="H275" i="286" s="1"/>
  <c r="G276" i="286"/>
  <c r="G268" i="286"/>
  <c r="H268" i="286" s="1"/>
  <c r="G246" i="286"/>
  <c r="G247" i="286"/>
  <c r="H247" i="286" s="1"/>
  <c r="G248" i="286"/>
  <c r="H248" i="286" s="1"/>
  <c r="G249" i="286"/>
  <c r="H249" i="286" s="1"/>
  <c r="G250" i="286"/>
  <c r="H250" i="286" s="1"/>
  <c r="G251" i="286"/>
  <c r="H251" i="286" s="1"/>
  <c r="G252" i="286"/>
  <c r="H252" i="286" s="1"/>
  <c r="G253" i="286"/>
  <c r="G245" i="286"/>
  <c r="H245" i="286" s="1"/>
  <c r="G219" i="286"/>
  <c r="H219" i="286" s="1"/>
  <c r="G220" i="286"/>
  <c r="H220" i="286" s="1"/>
  <c r="G221" i="286"/>
  <c r="H221" i="286" s="1"/>
  <c r="G222" i="286"/>
  <c r="G223" i="286"/>
  <c r="H223" i="286" s="1"/>
  <c r="G224" i="286"/>
  <c r="H224" i="286" s="1"/>
  <c r="G225" i="286"/>
  <c r="H225" i="286" s="1"/>
  <c r="G226" i="286"/>
  <c r="H226" i="286" s="1"/>
  <c r="G227" i="286"/>
  <c r="G218" i="286"/>
  <c r="H218" i="286" s="1"/>
  <c r="G194" i="286"/>
  <c r="H194" i="286" s="1"/>
  <c r="G195" i="286"/>
  <c r="H195" i="286" s="1"/>
  <c r="G196" i="286"/>
  <c r="H196" i="286" s="1"/>
  <c r="G197" i="286"/>
  <c r="H197" i="286" s="1"/>
  <c r="G198" i="286"/>
  <c r="H198" i="286" s="1"/>
  <c r="G199" i="286"/>
  <c r="G200" i="286"/>
  <c r="H200" i="286" s="1"/>
  <c r="G201" i="286"/>
  <c r="G193" i="286"/>
  <c r="H193" i="286" s="1"/>
  <c r="G169" i="286"/>
  <c r="H169" i="286" s="1"/>
  <c r="G170" i="286"/>
  <c r="H170" i="286" s="1"/>
  <c r="G171" i="286"/>
  <c r="H171" i="286" s="1"/>
  <c r="G172" i="286"/>
  <c r="H172" i="286" s="1"/>
  <c r="G173" i="286"/>
  <c r="H173" i="286" s="1"/>
  <c r="G174" i="286"/>
  <c r="H174" i="286" s="1"/>
  <c r="G175" i="286"/>
  <c r="H175" i="286" s="1"/>
  <c r="G176" i="286"/>
  <c r="G168" i="286"/>
  <c r="H168" i="286" s="1"/>
  <c r="G144" i="286"/>
  <c r="H144" i="286" s="1"/>
  <c r="G145" i="286"/>
  <c r="H145" i="286" s="1"/>
  <c r="G146" i="286"/>
  <c r="H146" i="286" s="1"/>
  <c r="G147" i="286"/>
  <c r="H147" i="286" s="1"/>
  <c r="G148" i="286"/>
  <c r="H148" i="286" s="1"/>
  <c r="G149" i="286"/>
  <c r="H149" i="286" s="1"/>
  <c r="G150" i="286"/>
  <c r="H150" i="286" s="1"/>
  <c r="G151" i="286"/>
  <c r="G143" i="286"/>
  <c r="H143" i="286" s="1"/>
  <c r="G121" i="286"/>
  <c r="H121" i="286" s="1"/>
  <c r="G122" i="286"/>
  <c r="H122" i="286" s="1"/>
  <c r="G123" i="286"/>
  <c r="G124" i="286"/>
  <c r="H124" i="286" s="1"/>
  <c r="G125" i="286"/>
  <c r="H125" i="286" s="1"/>
  <c r="G126" i="286"/>
  <c r="H126" i="286" s="1"/>
  <c r="G127" i="286"/>
  <c r="H127" i="286" s="1"/>
  <c r="G128" i="286"/>
  <c r="G120" i="286"/>
  <c r="H120" i="286" s="1"/>
  <c r="G94" i="286"/>
  <c r="H94" i="286" s="1"/>
  <c r="G95" i="286"/>
  <c r="H95" i="286" s="1"/>
  <c r="G96" i="286"/>
  <c r="H96" i="286" s="1"/>
  <c r="G97" i="286"/>
  <c r="H97" i="286" s="1"/>
  <c r="G98" i="286"/>
  <c r="H98" i="286" s="1"/>
  <c r="G99" i="286"/>
  <c r="G100" i="286"/>
  <c r="H100" i="286" s="1"/>
  <c r="G101" i="286"/>
  <c r="H101" i="286" s="1"/>
  <c r="G102" i="286"/>
  <c r="G93" i="286"/>
  <c r="H93" i="286" s="1"/>
  <c r="G68" i="286"/>
  <c r="H68" i="286" s="1"/>
  <c r="G69" i="286"/>
  <c r="H69" i="286" s="1"/>
  <c r="G70" i="286"/>
  <c r="H70" i="286" s="1"/>
  <c r="K70" i="286" s="1"/>
  <c r="G71" i="286"/>
  <c r="H71" i="286" s="1"/>
  <c r="G72" i="286"/>
  <c r="H72" i="286" s="1"/>
  <c r="G73" i="286"/>
  <c r="H73" i="286" s="1"/>
  <c r="G74" i="286"/>
  <c r="H74" i="286" s="1"/>
  <c r="G76" i="286"/>
  <c r="G75" i="286"/>
  <c r="H75" i="286" s="1"/>
  <c r="G45" i="286"/>
  <c r="H45" i="286" s="1"/>
  <c r="G46" i="286"/>
  <c r="H46" i="286" s="1"/>
  <c r="G47" i="286"/>
  <c r="H47" i="286" s="1"/>
  <c r="G48" i="286"/>
  <c r="H48" i="286" s="1"/>
  <c r="G49" i="286"/>
  <c r="H49" i="286" s="1"/>
  <c r="G50" i="286"/>
  <c r="H50" i="286" s="1"/>
  <c r="G51" i="286"/>
  <c r="H51" i="286" s="1"/>
  <c r="G52" i="286"/>
  <c r="H52" i="286" s="1"/>
  <c r="G53" i="286"/>
  <c r="J105" i="357"/>
  <c r="B107" i="357" s="1"/>
  <c r="F352" i="357"/>
  <c r="N113" i="286"/>
  <c r="J65" i="357" s="1"/>
  <c r="J1222" i="286"/>
  <c r="H1222" i="286"/>
  <c r="J1221" i="286"/>
  <c r="H1221" i="286"/>
  <c r="H1176" i="286"/>
  <c r="J1176" i="286"/>
  <c r="H1177" i="286"/>
  <c r="J1177" i="286"/>
  <c r="J1215" i="286"/>
  <c r="J1216" i="286"/>
  <c r="J1217" i="286"/>
  <c r="J1218" i="286"/>
  <c r="J1219" i="286"/>
  <c r="J1220" i="286"/>
  <c r="H1215" i="286"/>
  <c r="H1216" i="286"/>
  <c r="H1217" i="286"/>
  <c r="H1218" i="286"/>
  <c r="H1219" i="286"/>
  <c r="H1220" i="286"/>
  <c r="J1214" i="286"/>
  <c r="H1214" i="286"/>
  <c r="J1203" i="286"/>
  <c r="H1203" i="286"/>
  <c r="K1203" i="286" s="1"/>
  <c r="J1197" i="286"/>
  <c r="H1197" i="286"/>
  <c r="J1070" i="286"/>
  <c r="J820" i="286"/>
  <c r="J770" i="286"/>
  <c r="J645" i="286"/>
  <c r="J1239" i="286"/>
  <c r="J1243" i="286"/>
  <c r="J1244" i="286"/>
  <c r="J1245" i="286"/>
  <c r="J1246" i="286"/>
  <c r="J1247" i="286"/>
  <c r="J1248" i="286"/>
  <c r="J1249" i="286"/>
  <c r="J1250" i="286"/>
  <c r="J1251" i="286"/>
  <c r="J1253" i="286"/>
  <c r="J1254" i="286"/>
  <c r="J1255" i="286"/>
  <c r="J1256" i="286"/>
  <c r="J1257" i="286"/>
  <c r="J1258" i="286"/>
  <c r="J1259" i="286"/>
  <c r="H1239" i="286"/>
  <c r="H1243" i="286"/>
  <c r="K1243" i="286" s="1"/>
  <c r="H1253" i="286"/>
  <c r="H1254" i="286"/>
  <c r="H1255" i="286"/>
  <c r="K1255" i="286" s="1"/>
  <c r="H1256" i="286"/>
  <c r="H1257" i="286"/>
  <c r="H1258" i="286"/>
  <c r="H1259" i="286"/>
  <c r="J1188" i="286"/>
  <c r="J1189" i="286"/>
  <c r="J1190" i="286"/>
  <c r="J1192" i="286"/>
  <c r="J1193" i="286"/>
  <c r="J1194" i="286"/>
  <c r="J1195" i="286"/>
  <c r="J1196" i="286"/>
  <c r="J1200" i="286"/>
  <c r="K1200" i="286" s="1"/>
  <c r="J1201" i="286"/>
  <c r="J1202" i="286"/>
  <c r="J1204" i="286"/>
  <c r="J1205" i="286"/>
  <c r="J1187" i="286"/>
  <c r="H1188" i="286"/>
  <c r="H1189" i="286"/>
  <c r="H1190" i="286"/>
  <c r="H1192" i="286"/>
  <c r="H1193" i="286"/>
  <c r="H1194" i="286"/>
  <c r="H1195" i="286"/>
  <c r="H1196" i="286"/>
  <c r="H1200" i="286"/>
  <c r="H1201" i="286"/>
  <c r="H1202" i="286"/>
  <c r="H1204" i="286"/>
  <c r="H1205" i="286"/>
  <c r="H1187" i="286"/>
  <c r="J1166" i="286"/>
  <c r="J1167" i="286"/>
  <c r="J1168" i="286"/>
  <c r="J1169" i="286"/>
  <c r="J1170" i="286"/>
  <c r="J1171" i="286"/>
  <c r="J1172" i="286"/>
  <c r="J1173" i="286"/>
  <c r="J1174" i="286"/>
  <c r="J1175" i="286"/>
  <c r="J1178" i="286"/>
  <c r="J1165" i="286"/>
  <c r="H1166" i="286"/>
  <c r="H1167" i="286"/>
  <c r="K1167" i="286" s="1"/>
  <c r="H1168" i="286"/>
  <c r="H1169" i="286"/>
  <c r="H1170" i="286"/>
  <c r="H1171" i="286"/>
  <c r="K1171" i="286" s="1"/>
  <c r="H1172" i="286"/>
  <c r="H1173" i="286"/>
  <c r="K1173" i="286" s="1"/>
  <c r="H1174" i="286"/>
  <c r="K1174" i="286" s="1"/>
  <c r="H1175" i="286"/>
  <c r="K1175" i="286" s="1"/>
  <c r="H1178" i="286"/>
  <c r="K1178" i="286" s="1"/>
  <c r="H1165" i="286"/>
  <c r="K1165" i="286" s="1"/>
  <c r="J1138" i="286"/>
  <c r="J1140" i="286"/>
  <c r="J1142" i="286"/>
  <c r="J1143" i="286"/>
  <c r="J1144" i="286"/>
  <c r="J1145" i="286"/>
  <c r="J1146" i="286"/>
  <c r="J1147" i="286"/>
  <c r="J1148" i="286"/>
  <c r="J1149" i="286"/>
  <c r="J1150" i="286"/>
  <c r="J1137" i="286"/>
  <c r="H1138" i="286"/>
  <c r="H1140" i="286"/>
  <c r="K1140" i="286" s="1"/>
  <c r="H1142" i="286"/>
  <c r="H1137" i="286"/>
  <c r="J1114" i="286"/>
  <c r="J1116" i="286"/>
  <c r="J1118" i="286"/>
  <c r="J1119" i="286"/>
  <c r="J1120" i="286"/>
  <c r="J1121" i="286"/>
  <c r="J1122" i="286"/>
  <c r="J1123" i="286"/>
  <c r="J1124" i="286"/>
  <c r="J1125" i="286"/>
  <c r="J1126" i="286"/>
  <c r="H1114" i="286"/>
  <c r="H1116" i="286"/>
  <c r="H1118" i="286"/>
  <c r="J1113" i="286"/>
  <c r="H1113" i="286"/>
  <c r="J1088" i="286"/>
  <c r="J1090" i="286"/>
  <c r="J1092" i="286"/>
  <c r="J1093" i="286"/>
  <c r="J1094" i="286"/>
  <c r="J1095" i="286"/>
  <c r="J1096" i="286"/>
  <c r="J1097" i="286"/>
  <c r="J1098" i="286"/>
  <c r="J1099" i="286"/>
  <c r="J1100" i="286"/>
  <c r="H1088" i="286"/>
  <c r="H1090" i="286"/>
  <c r="H1092" i="286"/>
  <c r="J1087" i="286"/>
  <c r="H1087" i="286"/>
  <c r="J1063" i="286"/>
  <c r="J1065" i="286"/>
  <c r="J1067" i="286"/>
  <c r="J1068" i="286"/>
  <c r="J1069" i="286"/>
  <c r="J1071" i="286"/>
  <c r="J1072" i="286"/>
  <c r="J1073" i="286"/>
  <c r="J1074" i="286"/>
  <c r="J1075" i="286"/>
  <c r="J1076" i="286"/>
  <c r="J1062" i="286"/>
  <c r="H1063" i="286"/>
  <c r="K1063" i="286" s="1"/>
  <c r="H1065" i="286"/>
  <c r="K1065" i="286" s="1"/>
  <c r="H1067" i="286"/>
  <c r="H1062" i="286"/>
  <c r="J1040" i="286"/>
  <c r="J1042" i="286"/>
  <c r="J1044" i="286"/>
  <c r="J1045" i="286"/>
  <c r="J1046" i="286"/>
  <c r="J1047" i="286"/>
  <c r="J1048" i="286"/>
  <c r="J1049" i="286"/>
  <c r="J1050" i="286"/>
  <c r="J1051" i="286"/>
  <c r="J1052" i="286"/>
  <c r="H1040" i="286"/>
  <c r="H1042" i="286"/>
  <c r="H1044" i="286"/>
  <c r="J1039" i="286"/>
  <c r="H1039" i="286"/>
  <c r="K1039" i="286" s="1"/>
  <c r="J1013" i="286"/>
  <c r="J1015" i="286"/>
  <c r="J1017" i="286"/>
  <c r="J1018" i="286"/>
  <c r="J1019" i="286"/>
  <c r="J1020" i="286"/>
  <c r="J1021" i="286"/>
  <c r="J1022" i="286"/>
  <c r="J1023" i="286"/>
  <c r="J1024" i="286"/>
  <c r="J1025" i="286"/>
  <c r="J1026" i="286"/>
  <c r="H1013" i="286"/>
  <c r="K1013" i="286" s="1"/>
  <c r="H1015" i="286"/>
  <c r="K1015" i="286" s="1"/>
  <c r="H1017" i="286"/>
  <c r="K1017" i="286" s="1"/>
  <c r="J1012" i="286"/>
  <c r="H1012" i="286"/>
  <c r="J988" i="286"/>
  <c r="J990" i="286"/>
  <c r="J992" i="286"/>
  <c r="J993" i="286"/>
  <c r="J994" i="286"/>
  <c r="J995" i="286"/>
  <c r="J996" i="286"/>
  <c r="J997" i="286"/>
  <c r="J998" i="286"/>
  <c r="J999" i="286"/>
  <c r="J1000" i="286"/>
  <c r="H988" i="286"/>
  <c r="H990" i="286"/>
  <c r="H992" i="286"/>
  <c r="J987" i="286"/>
  <c r="H987" i="286"/>
  <c r="J963" i="286"/>
  <c r="J965" i="286"/>
  <c r="J967" i="286"/>
  <c r="J968" i="286"/>
  <c r="J969" i="286"/>
  <c r="J970" i="286"/>
  <c r="J971" i="286"/>
  <c r="J972" i="286"/>
  <c r="J973" i="286"/>
  <c r="J974" i="286"/>
  <c r="J975" i="286"/>
  <c r="J962" i="286"/>
  <c r="H963" i="286"/>
  <c r="K963" i="286" s="1"/>
  <c r="H965" i="286"/>
  <c r="H967" i="286"/>
  <c r="K967" i="286" s="1"/>
  <c r="H962" i="286"/>
  <c r="K962" i="286" s="1"/>
  <c r="H938" i="286"/>
  <c r="H940" i="286"/>
  <c r="H942" i="286"/>
  <c r="J938" i="286"/>
  <c r="J940" i="286"/>
  <c r="J942" i="286"/>
  <c r="J943" i="286"/>
  <c r="J944" i="286"/>
  <c r="J945" i="286"/>
  <c r="J946" i="286"/>
  <c r="J947" i="286"/>
  <c r="J948" i="286"/>
  <c r="J949" i="286"/>
  <c r="J950" i="286"/>
  <c r="J937" i="286"/>
  <c r="H937" i="286"/>
  <c r="J915" i="286"/>
  <c r="J917" i="286"/>
  <c r="J919" i="286"/>
  <c r="J920" i="286"/>
  <c r="J921" i="286"/>
  <c r="J922" i="286"/>
  <c r="J923" i="286"/>
  <c r="J924" i="286"/>
  <c r="J925" i="286"/>
  <c r="J926" i="286"/>
  <c r="J927" i="286"/>
  <c r="H915" i="286"/>
  <c r="H917" i="286"/>
  <c r="H919" i="286"/>
  <c r="J914" i="286"/>
  <c r="H914" i="286"/>
  <c r="J888" i="286"/>
  <c r="J890" i="286"/>
  <c r="J892" i="286"/>
  <c r="J893" i="286"/>
  <c r="J894" i="286"/>
  <c r="J895" i="286"/>
  <c r="J896" i="286"/>
  <c r="J897" i="286"/>
  <c r="J898" i="286"/>
  <c r="J899" i="286"/>
  <c r="J900" i="286"/>
  <c r="J901" i="286"/>
  <c r="H888" i="286"/>
  <c r="H890" i="286"/>
  <c r="H892" i="286"/>
  <c r="K892" i="286" s="1"/>
  <c r="J887" i="286"/>
  <c r="K887" i="286" s="1"/>
  <c r="H887" i="286"/>
  <c r="J863" i="286"/>
  <c r="J865" i="286"/>
  <c r="J867" i="286"/>
  <c r="J868" i="286"/>
  <c r="J869" i="286"/>
  <c r="J870" i="286"/>
  <c r="J871" i="286"/>
  <c r="J872" i="286"/>
  <c r="J873" i="286"/>
  <c r="J874" i="286"/>
  <c r="J875" i="286"/>
  <c r="H863" i="286"/>
  <c r="H865" i="286"/>
  <c r="H867" i="286"/>
  <c r="J862" i="286"/>
  <c r="H862" i="286"/>
  <c r="J838" i="286"/>
  <c r="J840" i="286"/>
  <c r="J842" i="286"/>
  <c r="K842" i="286" s="1"/>
  <c r="J843" i="286"/>
  <c r="J844" i="286"/>
  <c r="J845" i="286"/>
  <c r="J846" i="286"/>
  <c r="J847" i="286"/>
  <c r="J848" i="286"/>
  <c r="J849" i="286"/>
  <c r="J850" i="286"/>
  <c r="H838" i="286"/>
  <c r="H840" i="286"/>
  <c r="H842" i="286"/>
  <c r="J837" i="286"/>
  <c r="H837" i="286"/>
  <c r="J813" i="286"/>
  <c r="J815" i="286"/>
  <c r="J817" i="286"/>
  <c r="J818" i="286"/>
  <c r="J819" i="286"/>
  <c r="J821" i="286"/>
  <c r="J822" i="286"/>
  <c r="J823" i="286"/>
  <c r="J824" i="286"/>
  <c r="J825" i="286"/>
  <c r="J826" i="286"/>
  <c r="J812" i="286"/>
  <c r="H813" i="286"/>
  <c r="H815" i="286"/>
  <c r="K815" i="286" s="1"/>
  <c r="H817" i="286"/>
  <c r="K817" i="286" s="1"/>
  <c r="H812" i="286"/>
  <c r="J790" i="286"/>
  <c r="J792" i="286"/>
  <c r="J794" i="286"/>
  <c r="J795" i="286"/>
  <c r="J796" i="286"/>
  <c r="J797" i="286"/>
  <c r="J798" i="286"/>
  <c r="J799" i="286"/>
  <c r="J800" i="286"/>
  <c r="J801" i="286"/>
  <c r="J802" i="286"/>
  <c r="J804" i="286"/>
  <c r="H790" i="286"/>
  <c r="K790" i="286" s="1"/>
  <c r="H792" i="286"/>
  <c r="K792" i="286" s="1"/>
  <c r="H794" i="286"/>
  <c r="K794" i="286" s="1"/>
  <c r="H804" i="286"/>
  <c r="K804" i="286" s="1"/>
  <c r="J789" i="286"/>
  <c r="H789" i="286"/>
  <c r="J763" i="286"/>
  <c r="J765" i="286"/>
  <c r="J767" i="286"/>
  <c r="J768" i="286"/>
  <c r="J769" i="286"/>
  <c r="J771" i="286"/>
  <c r="J772" i="286"/>
  <c r="J773" i="286"/>
  <c r="J774" i="286"/>
  <c r="J775" i="286"/>
  <c r="J776" i="286"/>
  <c r="H763" i="286"/>
  <c r="H765" i="286"/>
  <c r="H767" i="286"/>
  <c r="J762" i="286"/>
  <c r="H762" i="286"/>
  <c r="K762" i="286" s="1"/>
  <c r="J738" i="286"/>
  <c r="J740" i="286"/>
  <c r="J742" i="286"/>
  <c r="J743" i="286"/>
  <c r="J744" i="286"/>
  <c r="J745" i="286"/>
  <c r="J746" i="286"/>
  <c r="J747" i="286"/>
  <c r="J748" i="286"/>
  <c r="J749" i="286"/>
  <c r="J750" i="286"/>
  <c r="H738" i="286"/>
  <c r="H740" i="286"/>
  <c r="H742" i="286"/>
  <c r="J737" i="286"/>
  <c r="H737" i="286"/>
  <c r="J713" i="286"/>
  <c r="J715" i="286"/>
  <c r="J717" i="286"/>
  <c r="J718" i="286"/>
  <c r="J719" i="286"/>
  <c r="J720" i="286"/>
  <c r="J721" i="286"/>
  <c r="J722" i="286"/>
  <c r="J723" i="286"/>
  <c r="J724" i="286"/>
  <c r="J725" i="286"/>
  <c r="J726" i="286"/>
  <c r="H713" i="286"/>
  <c r="K713" i="286" s="1"/>
  <c r="H715" i="286"/>
  <c r="K715" i="286" s="1"/>
  <c r="H717" i="286"/>
  <c r="K717" i="286" s="1"/>
  <c r="J712" i="286"/>
  <c r="H712" i="286"/>
  <c r="J688" i="286"/>
  <c r="J690" i="286"/>
  <c r="J692" i="286"/>
  <c r="K692" i="286" s="1"/>
  <c r="J693" i="286"/>
  <c r="J694" i="286"/>
  <c r="J695" i="286"/>
  <c r="J696" i="286"/>
  <c r="J697" i="286"/>
  <c r="J698" i="286"/>
  <c r="J699" i="286"/>
  <c r="J700" i="286"/>
  <c r="H688" i="286"/>
  <c r="H690" i="286"/>
  <c r="H692" i="286"/>
  <c r="J687" i="286"/>
  <c r="H687" i="286"/>
  <c r="J663" i="286"/>
  <c r="J665" i="286"/>
  <c r="J667" i="286"/>
  <c r="J668" i="286"/>
  <c r="J669" i="286"/>
  <c r="J670" i="286"/>
  <c r="J671" i="286"/>
  <c r="J672" i="286"/>
  <c r="J673" i="286"/>
  <c r="J674" i="286"/>
  <c r="J675" i="286"/>
  <c r="J662" i="286"/>
  <c r="H663" i="286"/>
  <c r="K663" i="286" s="1"/>
  <c r="H665" i="286"/>
  <c r="K665" i="286" s="1"/>
  <c r="H667" i="286"/>
  <c r="K667" i="286" s="1"/>
  <c r="H662" i="286"/>
  <c r="K662" i="286" s="1"/>
  <c r="J638" i="286"/>
  <c r="J640" i="286"/>
  <c r="J642" i="286"/>
  <c r="J643" i="286"/>
  <c r="J644" i="286"/>
  <c r="J646" i="286"/>
  <c r="J647" i="286"/>
  <c r="J648" i="286"/>
  <c r="J649" i="286"/>
  <c r="J650" i="286"/>
  <c r="J651" i="286"/>
  <c r="H638" i="286"/>
  <c r="H640" i="286"/>
  <c r="H642" i="286"/>
  <c r="J637" i="286"/>
  <c r="H637" i="286"/>
  <c r="J615" i="286"/>
  <c r="J617" i="286"/>
  <c r="J619" i="286"/>
  <c r="J620" i="286"/>
  <c r="J621" i="286"/>
  <c r="J622" i="286"/>
  <c r="J623" i="286"/>
  <c r="J624" i="286"/>
  <c r="J625" i="286"/>
  <c r="J626" i="286"/>
  <c r="J627" i="286"/>
  <c r="J629" i="286"/>
  <c r="H615" i="286"/>
  <c r="K615" i="286" s="1"/>
  <c r="H617" i="286"/>
  <c r="H619" i="286"/>
  <c r="H629" i="286"/>
  <c r="K629" i="286" s="1"/>
  <c r="J614" i="286"/>
  <c r="H614" i="286"/>
  <c r="J588" i="286"/>
  <c r="J590" i="286"/>
  <c r="J592" i="286"/>
  <c r="J593" i="286"/>
  <c r="J594" i="286"/>
  <c r="J595" i="286"/>
  <c r="J596" i="286"/>
  <c r="J597" i="286"/>
  <c r="J598" i="286"/>
  <c r="J599" i="286"/>
  <c r="J600" i="286"/>
  <c r="J601" i="286"/>
  <c r="H588" i="286"/>
  <c r="K588" i="286" s="1"/>
  <c r="H590" i="286"/>
  <c r="K590" i="286" s="1"/>
  <c r="H592" i="286"/>
  <c r="K592" i="286" s="1"/>
  <c r="J587" i="286"/>
  <c r="H587" i="286"/>
  <c r="J563" i="286"/>
  <c r="J565" i="286"/>
  <c r="J567" i="286"/>
  <c r="J568" i="286"/>
  <c r="J569" i="286"/>
  <c r="J570" i="286"/>
  <c r="J571" i="286"/>
  <c r="J572" i="286"/>
  <c r="J573" i="286"/>
  <c r="J574" i="286"/>
  <c r="J575" i="286"/>
  <c r="H563" i="286"/>
  <c r="H565" i="286"/>
  <c r="H567" i="286"/>
  <c r="J562" i="286"/>
  <c r="H562" i="286"/>
  <c r="K562" i="286" s="1"/>
  <c r="J538" i="286"/>
  <c r="J540" i="286"/>
  <c r="J542" i="286"/>
  <c r="J543" i="286"/>
  <c r="J544" i="286"/>
  <c r="J545" i="286"/>
  <c r="J546" i="286"/>
  <c r="J547" i="286"/>
  <c r="J548" i="286"/>
  <c r="J549" i="286"/>
  <c r="J550" i="286"/>
  <c r="H538" i="286"/>
  <c r="H540" i="286"/>
  <c r="H542" i="286"/>
  <c r="J537" i="286"/>
  <c r="H537" i="286"/>
  <c r="J513" i="286"/>
  <c r="J515" i="286"/>
  <c r="J517" i="286"/>
  <c r="J518" i="286"/>
  <c r="J519" i="286"/>
  <c r="J520" i="286"/>
  <c r="J521" i="286"/>
  <c r="J522" i="286"/>
  <c r="J523" i="286"/>
  <c r="J524" i="286"/>
  <c r="J525" i="286"/>
  <c r="J512" i="286"/>
  <c r="H513" i="286"/>
  <c r="K513" i="286" s="1"/>
  <c r="H515" i="286"/>
  <c r="K515" i="286" s="1"/>
  <c r="H517" i="286"/>
  <c r="K517" i="286" s="1"/>
  <c r="H512" i="286"/>
  <c r="J490" i="286"/>
  <c r="J492" i="286"/>
  <c r="J494" i="286"/>
  <c r="J495" i="286"/>
  <c r="J496" i="286"/>
  <c r="J497" i="286"/>
  <c r="J498" i="286"/>
  <c r="J499" i="286"/>
  <c r="J500" i="286"/>
  <c r="J501" i="286"/>
  <c r="J502" i="286"/>
  <c r="J504" i="286"/>
  <c r="H490" i="286"/>
  <c r="K490" i="286" s="1"/>
  <c r="H492" i="286"/>
  <c r="K492" i="286" s="1"/>
  <c r="H494" i="286"/>
  <c r="H504" i="286"/>
  <c r="J489" i="286"/>
  <c r="H489" i="286"/>
  <c r="J463" i="286"/>
  <c r="J465" i="286"/>
  <c r="J467" i="286"/>
  <c r="J468" i="286"/>
  <c r="J469" i="286"/>
  <c r="J470" i="286"/>
  <c r="J471" i="286"/>
  <c r="J472" i="286"/>
  <c r="J473" i="286"/>
  <c r="J474" i="286"/>
  <c r="J475" i="286"/>
  <c r="J476" i="286"/>
  <c r="H463" i="286"/>
  <c r="K463" i="286" s="1"/>
  <c r="H465" i="286"/>
  <c r="K465" i="286" s="1"/>
  <c r="H467" i="286"/>
  <c r="K467" i="286" s="1"/>
  <c r="J462" i="286"/>
  <c r="H462" i="286"/>
  <c r="J438" i="286"/>
  <c r="J440" i="286"/>
  <c r="J442" i="286"/>
  <c r="J443" i="286"/>
  <c r="J444" i="286"/>
  <c r="J445" i="286"/>
  <c r="J446" i="286"/>
  <c r="J447" i="286"/>
  <c r="J448" i="286"/>
  <c r="J449" i="286"/>
  <c r="J450" i="286"/>
  <c r="H438" i="286"/>
  <c r="H440" i="286"/>
  <c r="H442" i="286"/>
  <c r="J437" i="286"/>
  <c r="H437" i="286"/>
  <c r="J413" i="286"/>
  <c r="K413" i="286" s="1"/>
  <c r="J415" i="286"/>
  <c r="K415" i="286" s="1"/>
  <c r="J417" i="286"/>
  <c r="J418" i="286"/>
  <c r="J419" i="286"/>
  <c r="J420" i="286"/>
  <c r="J421" i="286"/>
  <c r="J422" i="286"/>
  <c r="J423" i="286"/>
  <c r="J424" i="286"/>
  <c r="J425" i="286"/>
  <c r="H413" i="286"/>
  <c r="H415" i="286"/>
  <c r="H417" i="286"/>
  <c r="J412" i="286"/>
  <c r="H412" i="286"/>
  <c r="J388" i="286"/>
  <c r="J390" i="286"/>
  <c r="J392" i="286"/>
  <c r="J393" i="286"/>
  <c r="J394" i="286"/>
  <c r="J395" i="286"/>
  <c r="J396" i="286"/>
  <c r="J397" i="286"/>
  <c r="J398" i="286"/>
  <c r="J399" i="286"/>
  <c r="J400" i="286"/>
  <c r="H388" i="286"/>
  <c r="H390" i="286"/>
  <c r="H392" i="286"/>
  <c r="J387" i="286"/>
  <c r="H387" i="286"/>
  <c r="J365" i="286"/>
  <c r="J367" i="286"/>
  <c r="J369" i="286"/>
  <c r="J370" i="286"/>
  <c r="J371" i="286"/>
  <c r="J372" i="286"/>
  <c r="J373" i="286"/>
  <c r="J374" i="286"/>
  <c r="J375" i="286"/>
  <c r="J376" i="286"/>
  <c r="J377" i="286"/>
  <c r="J379" i="286"/>
  <c r="H365" i="286"/>
  <c r="K365" i="286" s="1"/>
  <c r="H367" i="286"/>
  <c r="K367" i="286" s="1"/>
  <c r="H369" i="286"/>
  <c r="K369" i="286" s="1"/>
  <c r="H379" i="286"/>
  <c r="K379" i="286" s="1"/>
  <c r="J364" i="286"/>
  <c r="H364" i="286"/>
  <c r="K364" i="286" s="1"/>
  <c r="J338" i="286"/>
  <c r="J340" i="286"/>
  <c r="J342" i="286"/>
  <c r="J343" i="286"/>
  <c r="J344" i="286"/>
  <c r="J345" i="286"/>
  <c r="J346" i="286"/>
  <c r="J347" i="286"/>
  <c r="J348" i="286"/>
  <c r="J349" i="286"/>
  <c r="J350" i="286"/>
  <c r="J351" i="286"/>
  <c r="H338" i="286"/>
  <c r="H340" i="286"/>
  <c r="K340" i="286" s="1"/>
  <c r="H342" i="286"/>
  <c r="K342" i="286" s="1"/>
  <c r="J337" i="286"/>
  <c r="H337" i="286"/>
  <c r="J313" i="286"/>
  <c r="J315" i="286"/>
  <c r="J317" i="286"/>
  <c r="J318" i="286"/>
  <c r="J319" i="286"/>
  <c r="J320" i="286"/>
  <c r="J321" i="286"/>
  <c r="J322" i="286"/>
  <c r="J323" i="286"/>
  <c r="J324" i="286"/>
  <c r="J325" i="286"/>
  <c r="H313" i="286"/>
  <c r="H315" i="286"/>
  <c r="H317" i="286"/>
  <c r="J312" i="286"/>
  <c r="H312" i="286"/>
  <c r="J288" i="286"/>
  <c r="J290" i="286"/>
  <c r="K290" i="286" s="1"/>
  <c r="J292" i="286"/>
  <c r="J293" i="286"/>
  <c r="J294" i="286"/>
  <c r="J295" i="286"/>
  <c r="J296" i="286"/>
  <c r="J297" i="286"/>
  <c r="J298" i="286"/>
  <c r="J299" i="286"/>
  <c r="J300" i="286"/>
  <c r="H288" i="286"/>
  <c r="H290" i="286"/>
  <c r="H292" i="286"/>
  <c r="J287" i="286"/>
  <c r="H287" i="286"/>
  <c r="J263" i="286"/>
  <c r="J265" i="286"/>
  <c r="J267" i="286"/>
  <c r="J268" i="286"/>
  <c r="J269" i="286"/>
  <c r="J270" i="286"/>
  <c r="J271" i="286"/>
  <c r="J272" i="286"/>
  <c r="J273" i="286"/>
  <c r="J274" i="286"/>
  <c r="J275" i="286"/>
  <c r="H263" i="286"/>
  <c r="H265" i="286"/>
  <c r="H267" i="286"/>
  <c r="J262" i="286"/>
  <c r="H262" i="286"/>
  <c r="J240" i="286"/>
  <c r="J242" i="286"/>
  <c r="J244" i="286"/>
  <c r="J245" i="286"/>
  <c r="J246" i="286"/>
  <c r="J247" i="286"/>
  <c r="J248" i="286"/>
  <c r="J249" i="286"/>
  <c r="J250" i="286"/>
  <c r="J251" i="286"/>
  <c r="J252" i="286"/>
  <c r="J254" i="286"/>
  <c r="H240" i="286"/>
  <c r="H242" i="286"/>
  <c r="K242" i="286" s="1"/>
  <c r="H244" i="286"/>
  <c r="K244" i="286" s="1"/>
  <c r="H254" i="286"/>
  <c r="J239" i="286"/>
  <c r="H239" i="286"/>
  <c r="K239" i="286" s="1"/>
  <c r="J213" i="286"/>
  <c r="J215" i="286"/>
  <c r="J217" i="286"/>
  <c r="J218" i="286"/>
  <c r="J219" i="286"/>
  <c r="J220" i="286"/>
  <c r="J221" i="286"/>
  <c r="J222" i="286"/>
  <c r="J223" i="286"/>
  <c r="J224" i="286"/>
  <c r="J225" i="286"/>
  <c r="J226" i="286"/>
  <c r="J212" i="286"/>
  <c r="H213" i="286"/>
  <c r="H215" i="286"/>
  <c r="H217" i="286"/>
  <c r="H212" i="286"/>
  <c r="K212" i="286" s="1"/>
  <c r="J188" i="286"/>
  <c r="J190" i="286"/>
  <c r="J192" i="286"/>
  <c r="J193" i="286"/>
  <c r="J194" i="286"/>
  <c r="J195" i="286"/>
  <c r="J196" i="286"/>
  <c r="J197" i="286"/>
  <c r="J198" i="286"/>
  <c r="J199" i="286"/>
  <c r="J200" i="286"/>
  <c r="J187" i="286"/>
  <c r="H188" i="286"/>
  <c r="K188" i="286" s="1"/>
  <c r="H190" i="286"/>
  <c r="H192" i="286"/>
  <c r="K192" i="286" s="1"/>
  <c r="H187" i="286"/>
  <c r="J163" i="286"/>
  <c r="J165" i="286"/>
  <c r="J167" i="286"/>
  <c r="J168" i="286"/>
  <c r="J169" i="286"/>
  <c r="J170" i="286"/>
  <c r="J171" i="286"/>
  <c r="J172" i="286"/>
  <c r="J173" i="286"/>
  <c r="J174" i="286"/>
  <c r="J175" i="286"/>
  <c r="J162" i="286"/>
  <c r="H163" i="286"/>
  <c r="H165" i="286"/>
  <c r="H167" i="286"/>
  <c r="K167" i="286" s="1"/>
  <c r="H162" i="286"/>
  <c r="K162" i="286" s="1"/>
  <c r="J138" i="286"/>
  <c r="J140" i="286"/>
  <c r="J142" i="286"/>
  <c r="J143" i="286"/>
  <c r="J144" i="286"/>
  <c r="J145" i="286"/>
  <c r="J146" i="286"/>
  <c r="J147" i="286"/>
  <c r="J148" i="286"/>
  <c r="J149" i="286"/>
  <c r="J150" i="286"/>
  <c r="J137" i="286"/>
  <c r="H138" i="286"/>
  <c r="K138" i="286" s="1"/>
  <c r="H140" i="286"/>
  <c r="K140" i="286" s="1"/>
  <c r="H142" i="286"/>
  <c r="K142" i="286" s="1"/>
  <c r="H137" i="286"/>
  <c r="K137" i="286" s="1"/>
  <c r="J115" i="286"/>
  <c r="J117" i="286"/>
  <c r="J119" i="286"/>
  <c r="J120" i="286"/>
  <c r="J121" i="286"/>
  <c r="J122" i="286"/>
  <c r="J123" i="286"/>
  <c r="J124" i="286"/>
  <c r="J125" i="286"/>
  <c r="J126" i="286"/>
  <c r="J127" i="286"/>
  <c r="J129" i="286"/>
  <c r="H115" i="286"/>
  <c r="K115" i="286" s="1"/>
  <c r="H117" i="286"/>
  <c r="H119" i="286"/>
  <c r="K119" i="286" s="1"/>
  <c r="H129" i="286"/>
  <c r="K129" i="286" s="1"/>
  <c r="J114" i="286"/>
  <c r="H114" i="286"/>
  <c r="J88" i="286"/>
  <c r="J90" i="286"/>
  <c r="J92" i="286"/>
  <c r="J93" i="286"/>
  <c r="J94" i="286"/>
  <c r="J95" i="286"/>
  <c r="J96" i="286"/>
  <c r="J97" i="286"/>
  <c r="J98" i="286"/>
  <c r="J99" i="286"/>
  <c r="J100" i="286"/>
  <c r="J101" i="286"/>
  <c r="H88" i="286"/>
  <c r="H90" i="286"/>
  <c r="K90" i="286" s="1"/>
  <c r="H92" i="286"/>
  <c r="K92" i="286" s="1"/>
  <c r="J87" i="286"/>
  <c r="H87" i="286"/>
  <c r="J63" i="286"/>
  <c r="J67" i="286"/>
  <c r="J68" i="286"/>
  <c r="J69" i="286"/>
  <c r="J70" i="286"/>
  <c r="J71" i="286"/>
  <c r="J72" i="286"/>
  <c r="J73" i="286"/>
  <c r="J74" i="286"/>
  <c r="J75" i="286"/>
  <c r="H63" i="286"/>
  <c r="H67" i="286"/>
  <c r="J40" i="286"/>
  <c r="J42" i="286"/>
  <c r="J44" i="286"/>
  <c r="J45" i="286"/>
  <c r="J46" i="286"/>
  <c r="J47" i="286"/>
  <c r="J48" i="286"/>
  <c r="J49" i="286"/>
  <c r="J50" i="286"/>
  <c r="J51" i="286"/>
  <c r="J52" i="286"/>
  <c r="J39" i="286"/>
  <c r="H40" i="286"/>
  <c r="H42" i="286"/>
  <c r="K42" i="286" s="1"/>
  <c r="H44" i="286"/>
  <c r="K44" i="286" s="1"/>
  <c r="H39" i="286"/>
  <c r="O694" i="286"/>
  <c r="O570" i="286"/>
  <c r="B22" i="286"/>
  <c r="A22" i="286"/>
  <c r="J112" i="357"/>
  <c r="J109" i="357"/>
  <c r="F19" i="357"/>
  <c r="F33" i="357" s="1"/>
  <c r="E1238" i="286"/>
  <c r="H1238" i="286" s="1"/>
  <c r="E1241" i="286"/>
  <c r="E1242" i="286" s="1"/>
  <c r="E1237" i="286"/>
  <c r="J1237" i="286" s="1"/>
  <c r="B1160" i="286"/>
  <c r="E1151" i="286"/>
  <c r="H1144" i="286"/>
  <c r="K1144" i="286" s="1"/>
  <c r="G1141" i="286"/>
  <c r="E1141" i="286"/>
  <c r="E1139" i="286"/>
  <c r="H1139" i="286" s="1"/>
  <c r="K1138" i="286"/>
  <c r="E1127" i="286"/>
  <c r="H1126" i="286"/>
  <c r="H1124" i="286"/>
  <c r="H1123" i="286"/>
  <c r="H1120" i="286"/>
  <c r="K1118" i="286"/>
  <c r="G1117" i="286"/>
  <c r="E1117" i="286"/>
  <c r="J1117" i="286" s="1"/>
  <c r="E1115" i="286"/>
  <c r="H1115" i="286" s="1"/>
  <c r="E1252" i="286"/>
  <c r="J1252" i="286" s="1"/>
  <c r="H1251" i="286"/>
  <c r="H1250" i="286"/>
  <c r="G1242" i="286"/>
  <c r="H1097" i="286"/>
  <c r="H1093" i="286"/>
  <c r="G1091" i="286"/>
  <c r="G1066" i="286"/>
  <c r="H1050" i="286"/>
  <c r="K1050" i="286" s="1"/>
  <c r="H1051" i="286"/>
  <c r="G1043" i="286"/>
  <c r="H1019" i="286"/>
  <c r="K1019" i="286" s="1"/>
  <c r="G1016" i="286"/>
  <c r="H996" i="286"/>
  <c r="G991" i="286"/>
  <c r="G966" i="286"/>
  <c r="H970" i="286"/>
  <c r="H971" i="286"/>
  <c r="H974" i="286"/>
  <c r="H948" i="286"/>
  <c r="H943" i="286"/>
  <c r="G941" i="286"/>
  <c r="G918" i="286"/>
  <c r="E777" i="286"/>
  <c r="H772" i="286"/>
  <c r="G766" i="286"/>
  <c r="E766" i="286"/>
  <c r="J766" i="286" s="1"/>
  <c r="E764" i="286"/>
  <c r="H764" i="286" s="1"/>
  <c r="E751" i="286"/>
  <c r="J751" i="286" s="1"/>
  <c r="H749" i="286"/>
  <c r="H745" i="286"/>
  <c r="G741" i="286"/>
  <c r="E741" i="286"/>
  <c r="J741" i="286" s="1"/>
  <c r="E739" i="286"/>
  <c r="H739" i="286" s="1"/>
  <c r="H896" i="286"/>
  <c r="H893" i="286"/>
  <c r="G891" i="286"/>
  <c r="H869" i="286"/>
  <c r="H873" i="286"/>
  <c r="K873" i="286" s="1"/>
  <c r="H875" i="286"/>
  <c r="K875" i="286" s="1"/>
  <c r="G866" i="286"/>
  <c r="H847" i="286"/>
  <c r="K847" i="286" s="1"/>
  <c r="G841" i="286"/>
  <c r="H825" i="286"/>
  <c r="G816" i="286"/>
  <c r="H796" i="286"/>
  <c r="H795" i="286"/>
  <c r="G793" i="286"/>
  <c r="H723" i="286"/>
  <c r="G716" i="286"/>
  <c r="H700" i="286"/>
  <c r="G691" i="286"/>
  <c r="H670" i="286"/>
  <c r="G666" i="286"/>
  <c r="H644" i="286"/>
  <c r="K644" i="286" s="1"/>
  <c r="H648" i="286"/>
  <c r="G641" i="286"/>
  <c r="H623" i="286"/>
  <c r="H627" i="286"/>
  <c r="G618" i="286"/>
  <c r="H599" i="286"/>
  <c r="H593" i="286"/>
  <c r="G591" i="286"/>
  <c r="H570" i="286"/>
  <c r="G566" i="286"/>
  <c r="H546" i="286"/>
  <c r="G541" i="286"/>
  <c r="H520" i="286"/>
  <c r="H524" i="286"/>
  <c r="G516" i="286"/>
  <c r="H500" i="286"/>
  <c r="H495" i="286"/>
  <c r="G493" i="286"/>
  <c r="H476" i="286"/>
  <c r="G466" i="286"/>
  <c r="H445" i="286"/>
  <c r="G441" i="286"/>
  <c r="H419" i="286"/>
  <c r="H423" i="286"/>
  <c r="G416" i="286"/>
  <c r="G391" i="286"/>
  <c r="G368" i="286"/>
  <c r="H345" i="286"/>
  <c r="H343" i="286"/>
  <c r="G341" i="286"/>
  <c r="H322" i="286"/>
  <c r="G316" i="286"/>
  <c r="H300" i="286"/>
  <c r="G291" i="286"/>
  <c r="H273" i="286"/>
  <c r="K273" i="286" s="1"/>
  <c r="G266" i="286"/>
  <c r="H246" i="286"/>
  <c r="G243" i="286"/>
  <c r="H222" i="286"/>
  <c r="G216" i="286"/>
  <c r="H199" i="286"/>
  <c r="G191" i="286"/>
  <c r="G166" i="286"/>
  <c r="G141" i="286"/>
  <c r="H123" i="286"/>
  <c r="K123" i="286" s="1"/>
  <c r="G118" i="286"/>
  <c r="H99" i="286"/>
  <c r="K99" i="286" s="1"/>
  <c r="G91" i="286"/>
  <c r="G66" i="286"/>
  <c r="G43" i="286"/>
  <c r="J1139" i="286"/>
  <c r="J1141" i="286"/>
  <c r="J1115" i="286"/>
  <c r="K1172" i="286"/>
  <c r="E253" i="286"/>
  <c r="J253" i="286" s="1"/>
  <c r="K1029" i="286"/>
  <c r="E1027" i="286"/>
  <c r="J1027" i="286" s="1"/>
  <c r="K904" i="286"/>
  <c r="E902" i="286"/>
  <c r="J902" i="286" s="1"/>
  <c r="K729" i="286"/>
  <c r="E727" i="286"/>
  <c r="J727" i="286" s="1"/>
  <c r="K604" i="286"/>
  <c r="E602" i="286"/>
  <c r="J602" i="286" s="1"/>
  <c r="K479" i="286"/>
  <c r="E477" i="286"/>
  <c r="J477" i="286" s="1"/>
  <c r="K354" i="286"/>
  <c r="E352" i="286"/>
  <c r="J352" i="286" s="1"/>
  <c r="K229" i="286"/>
  <c r="E227" i="286"/>
  <c r="J227" i="286" s="1"/>
  <c r="F244" i="357"/>
  <c r="F245" i="357" s="1"/>
  <c r="G18" i="356" s="1"/>
  <c r="J805" i="286"/>
  <c r="H805" i="286"/>
  <c r="E128" i="286"/>
  <c r="J128" i="286" s="1"/>
  <c r="O67" i="286"/>
  <c r="J62" i="286"/>
  <c r="H62" i="286"/>
  <c r="J65" i="286"/>
  <c r="H65" i="286"/>
  <c r="N29" i="283"/>
  <c r="E76" i="286"/>
  <c r="H76" i="286" s="1"/>
  <c r="F366" i="357"/>
  <c r="F367" i="357" s="1"/>
  <c r="F368" i="357" s="1"/>
  <c r="G21" i="356" s="1"/>
  <c r="F147" i="357"/>
  <c r="F161" i="357" s="1"/>
  <c r="F162" i="357" s="1"/>
  <c r="G20" i="356"/>
  <c r="G19" i="356"/>
  <c r="G17" i="356"/>
  <c r="B27" i="283"/>
  <c r="E1101" i="286"/>
  <c r="H1101" i="286" s="1"/>
  <c r="E1091" i="286"/>
  <c r="J1091" i="286" s="1"/>
  <c r="E1089" i="286"/>
  <c r="H1089" i="286" s="1"/>
  <c r="E1077" i="286"/>
  <c r="J1077" i="286" s="1"/>
  <c r="E1066" i="286"/>
  <c r="J1066" i="286" s="1"/>
  <c r="E1064" i="286"/>
  <c r="J1064" i="286" s="1"/>
  <c r="E1053" i="286"/>
  <c r="J1053" i="286" s="1"/>
  <c r="E1043" i="286"/>
  <c r="J1043" i="286" s="1"/>
  <c r="E1041" i="286"/>
  <c r="J1041" i="286" s="1"/>
  <c r="E1016" i="286"/>
  <c r="J1016" i="286" s="1"/>
  <c r="E1014" i="286"/>
  <c r="J1014" i="286" s="1"/>
  <c r="E1001" i="286"/>
  <c r="J1001" i="286" s="1"/>
  <c r="E991" i="286"/>
  <c r="J991" i="286" s="1"/>
  <c r="E989" i="286"/>
  <c r="J989" i="286" s="1"/>
  <c r="E976" i="286"/>
  <c r="E966" i="286"/>
  <c r="J966" i="286" s="1"/>
  <c r="E964" i="286"/>
  <c r="J964" i="286" s="1"/>
  <c r="E951" i="286"/>
  <c r="J951" i="286" s="1"/>
  <c r="E941" i="286"/>
  <c r="J941" i="286" s="1"/>
  <c r="E939" i="286"/>
  <c r="J939" i="286" s="1"/>
  <c r="E928" i="286"/>
  <c r="J928" i="286" s="1"/>
  <c r="E918" i="286"/>
  <c r="J918" i="286" s="1"/>
  <c r="E916" i="286"/>
  <c r="H916" i="286" s="1"/>
  <c r="E891" i="286"/>
  <c r="J891" i="286" s="1"/>
  <c r="E889" i="286"/>
  <c r="H889" i="286" s="1"/>
  <c r="E876" i="286"/>
  <c r="J876" i="286" s="1"/>
  <c r="E866" i="286"/>
  <c r="J866" i="286" s="1"/>
  <c r="E864" i="286"/>
  <c r="J864" i="286" s="1"/>
  <c r="E851" i="286"/>
  <c r="J851" i="286" s="1"/>
  <c r="E841" i="286"/>
  <c r="J841" i="286" s="1"/>
  <c r="E839" i="286"/>
  <c r="J839" i="286" s="1"/>
  <c r="E827" i="286"/>
  <c r="J827" i="286" s="1"/>
  <c r="E816" i="286"/>
  <c r="J816" i="286" s="1"/>
  <c r="E814" i="286"/>
  <c r="H814" i="286" s="1"/>
  <c r="E803" i="286"/>
  <c r="J803" i="286" s="1"/>
  <c r="E793" i="286"/>
  <c r="J793" i="286" s="1"/>
  <c r="E791" i="286"/>
  <c r="J791" i="286" s="1"/>
  <c r="E716" i="286"/>
  <c r="J716" i="286" s="1"/>
  <c r="E714" i="286"/>
  <c r="H714" i="286" s="1"/>
  <c r="E701" i="286"/>
  <c r="J701" i="286" s="1"/>
  <c r="E691" i="286"/>
  <c r="J691" i="286" s="1"/>
  <c r="E689" i="286"/>
  <c r="H689" i="286" s="1"/>
  <c r="E676" i="286"/>
  <c r="E666" i="286"/>
  <c r="J666" i="286" s="1"/>
  <c r="E664" i="286"/>
  <c r="J664" i="286" s="1"/>
  <c r="E652" i="286"/>
  <c r="J652" i="286" s="1"/>
  <c r="E641" i="286"/>
  <c r="J641" i="286" s="1"/>
  <c r="E639" i="286"/>
  <c r="H639" i="286" s="1"/>
  <c r="E628" i="286"/>
  <c r="J628" i="286" s="1"/>
  <c r="E618" i="286"/>
  <c r="E616" i="286"/>
  <c r="H616" i="286" s="1"/>
  <c r="E591" i="286"/>
  <c r="J591" i="286" s="1"/>
  <c r="E589" i="286"/>
  <c r="J589" i="286" s="1"/>
  <c r="E576" i="286"/>
  <c r="H576" i="286" s="1"/>
  <c r="E566" i="286"/>
  <c r="J566" i="286" s="1"/>
  <c r="E564" i="286"/>
  <c r="J564" i="286" s="1"/>
  <c r="E551" i="286"/>
  <c r="J551" i="286" s="1"/>
  <c r="E541" i="286"/>
  <c r="J541" i="286" s="1"/>
  <c r="E539" i="286"/>
  <c r="J539" i="286" s="1"/>
  <c r="E526" i="286"/>
  <c r="J526" i="286" s="1"/>
  <c r="E516" i="286"/>
  <c r="J516" i="286" s="1"/>
  <c r="E514" i="286"/>
  <c r="J514" i="286" s="1"/>
  <c r="E503" i="286"/>
  <c r="J503" i="286" s="1"/>
  <c r="E493" i="286"/>
  <c r="J493" i="286" s="1"/>
  <c r="E491" i="286"/>
  <c r="J491" i="286" s="1"/>
  <c r="E466" i="286"/>
  <c r="J466" i="286" s="1"/>
  <c r="E464" i="286"/>
  <c r="J464" i="286" s="1"/>
  <c r="E451" i="286"/>
  <c r="E441" i="286"/>
  <c r="J441" i="286" s="1"/>
  <c r="E439" i="286"/>
  <c r="H439" i="286" s="1"/>
  <c r="E426" i="286"/>
  <c r="J426" i="286" s="1"/>
  <c r="E416" i="286"/>
  <c r="J416" i="286" s="1"/>
  <c r="E414" i="286"/>
  <c r="J414" i="286" s="1"/>
  <c r="E401" i="286"/>
  <c r="J401" i="286" s="1"/>
  <c r="E391" i="286"/>
  <c r="J391" i="286" s="1"/>
  <c r="E389" i="286"/>
  <c r="H389" i="286" s="1"/>
  <c r="E378" i="286"/>
  <c r="J378" i="286" s="1"/>
  <c r="E368" i="286"/>
  <c r="J368" i="286" s="1"/>
  <c r="E366" i="286"/>
  <c r="J366" i="286" s="1"/>
  <c r="E341" i="286"/>
  <c r="J341" i="286" s="1"/>
  <c r="E339" i="286"/>
  <c r="H339" i="286" s="1"/>
  <c r="E326" i="286"/>
  <c r="J326" i="286" s="1"/>
  <c r="E316" i="286"/>
  <c r="J316" i="286" s="1"/>
  <c r="E314" i="286"/>
  <c r="J314" i="286" s="1"/>
  <c r="E301" i="286"/>
  <c r="J301" i="286" s="1"/>
  <c r="E291" i="286"/>
  <c r="J291" i="286" s="1"/>
  <c r="E289" i="286"/>
  <c r="J289" i="286" s="1"/>
  <c r="E276" i="286"/>
  <c r="J276" i="286" s="1"/>
  <c r="E266" i="286"/>
  <c r="J266" i="286" s="1"/>
  <c r="E264" i="286"/>
  <c r="H264" i="286" s="1"/>
  <c r="E243" i="286"/>
  <c r="J243" i="286" s="1"/>
  <c r="E241" i="286"/>
  <c r="J241" i="286" s="1"/>
  <c r="E216" i="286"/>
  <c r="J216" i="286" s="1"/>
  <c r="E214" i="286"/>
  <c r="H214" i="286" s="1"/>
  <c r="E201" i="286"/>
  <c r="J201" i="286" s="1"/>
  <c r="E191" i="286"/>
  <c r="J191" i="286" s="1"/>
  <c r="E189" i="286"/>
  <c r="H189" i="286" s="1"/>
  <c r="E176" i="286"/>
  <c r="J176" i="286" s="1"/>
  <c r="E166" i="286"/>
  <c r="J166" i="286" s="1"/>
  <c r="E164" i="286"/>
  <c r="J164" i="286" s="1"/>
  <c r="E151" i="286"/>
  <c r="J151" i="286" s="1"/>
  <c r="E141" i="286"/>
  <c r="J141" i="286" s="1"/>
  <c r="E139" i="286"/>
  <c r="H139" i="286" s="1"/>
  <c r="E118" i="286"/>
  <c r="J118" i="286" s="1"/>
  <c r="E116" i="286"/>
  <c r="H116" i="286" s="1"/>
  <c r="E102" i="286"/>
  <c r="J102" i="286" s="1"/>
  <c r="E91" i="286"/>
  <c r="J91" i="286" s="1"/>
  <c r="E89" i="286"/>
  <c r="J89" i="286" s="1"/>
  <c r="E66" i="286"/>
  <c r="J66" i="286" s="1"/>
  <c r="E64" i="286"/>
  <c r="J64" i="286" s="1"/>
  <c r="E53" i="286"/>
  <c r="J53" i="286" s="1"/>
  <c r="E43" i="286"/>
  <c r="J43" i="286" s="1"/>
  <c r="E41" i="286"/>
  <c r="J41" i="286" s="1"/>
  <c r="J618" i="286"/>
  <c r="H30" i="283"/>
  <c r="B1260" i="286"/>
  <c r="B1235" i="286"/>
  <c r="B1110" i="286"/>
  <c r="B1035" i="286"/>
  <c r="K965" i="286"/>
  <c r="B910" i="286"/>
  <c r="K890" i="286"/>
  <c r="K888" i="286"/>
  <c r="K813" i="286"/>
  <c r="B785" i="286"/>
  <c r="K619" i="286"/>
  <c r="K617" i="286"/>
  <c r="B610" i="286"/>
  <c r="K565" i="286"/>
  <c r="K494" i="286"/>
  <c r="B485" i="286"/>
  <c r="B360" i="286"/>
  <c r="K338" i="286"/>
  <c r="B235" i="286"/>
  <c r="K213" i="286"/>
  <c r="K165" i="286"/>
  <c r="K163" i="286"/>
  <c r="H131" i="286"/>
  <c r="B110" i="286"/>
  <c r="K88" i="286"/>
  <c r="J55" i="286"/>
  <c r="K55" i="286" s="1"/>
  <c r="K40" i="286"/>
  <c r="B35" i="286"/>
  <c r="B24" i="286"/>
  <c r="A24" i="286"/>
  <c r="B23" i="286"/>
  <c r="A23" i="286"/>
  <c r="B21" i="286"/>
  <c r="A21" i="286"/>
  <c r="B20" i="286"/>
  <c r="A20" i="286"/>
  <c r="B19" i="286"/>
  <c r="A19" i="286"/>
  <c r="B18" i="286"/>
  <c r="A18" i="286"/>
  <c r="B17" i="286"/>
  <c r="A17" i="286"/>
  <c r="B16" i="286"/>
  <c r="A16" i="286"/>
  <c r="B15" i="286"/>
  <c r="A15" i="286"/>
  <c r="A14" i="286"/>
  <c r="A13" i="286"/>
  <c r="K178" i="286"/>
  <c r="K104" i="286"/>
  <c r="K203" i="286"/>
  <c r="K187" i="286"/>
  <c r="K1166" i="286"/>
  <c r="B26" i="283"/>
  <c r="J764" i="286" l="1"/>
  <c r="K599" i="286"/>
  <c r="K723" i="286"/>
  <c r="K1124" i="286"/>
  <c r="H1151" i="286"/>
  <c r="K1151" i="286" s="1"/>
  <c r="K292" i="286"/>
  <c r="K317" i="286"/>
  <c r="K440" i="286"/>
  <c r="K538" i="286"/>
  <c r="K563" i="286"/>
  <c r="K637" i="286"/>
  <c r="K687" i="286"/>
  <c r="K712" i="286"/>
  <c r="K738" i="286"/>
  <c r="K763" i="286"/>
  <c r="K914" i="286"/>
  <c r="K987" i="286"/>
  <c r="K1040" i="286"/>
  <c r="K1088" i="286"/>
  <c r="K1114" i="286"/>
  <c r="K120" i="286"/>
  <c r="K149" i="286"/>
  <c r="K224" i="286"/>
  <c r="K252" i="286"/>
  <c r="K248" i="286"/>
  <c r="K351" i="286"/>
  <c r="K347" i="286"/>
  <c r="K395" i="286"/>
  <c r="K470" i="286"/>
  <c r="K548" i="286"/>
  <c r="K597" i="286"/>
  <c r="K672" i="286"/>
  <c r="K721" i="286"/>
  <c r="K774" i="286"/>
  <c r="K802" i="286"/>
  <c r="K798" i="286"/>
  <c r="K898" i="286"/>
  <c r="K926" i="286"/>
  <c r="K946" i="286"/>
  <c r="K993" i="286"/>
  <c r="K1025" i="286"/>
  <c r="K1146" i="286"/>
  <c r="K1245" i="286"/>
  <c r="K1072" i="286"/>
  <c r="J389" i="286"/>
  <c r="J485" i="286" s="1"/>
  <c r="J16" i="286" s="1"/>
  <c r="H664" i="286"/>
  <c r="K300" i="286"/>
  <c r="K343" i="286"/>
  <c r="K445" i="286"/>
  <c r="K648" i="286"/>
  <c r="H964" i="286"/>
  <c r="H1041" i="286"/>
  <c r="K1041" i="286" s="1"/>
  <c r="K500" i="286"/>
  <c r="K504" i="286"/>
  <c r="K49" i="286"/>
  <c r="H989" i="286"/>
  <c r="K989" i="286" s="1"/>
  <c r="K62" i="286"/>
  <c r="K627" i="286"/>
  <c r="K700" i="286"/>
  <c r="K1026" i="286"/>
  <c r="K1045" i="286"/>
  <c r="H1141" i="286"/>
  <c r="K919" i="286"/>
  <c r="K1259" i="286"/>
  <c r="K124" i="286"/>
  <c r="K473" i="286"/>
  <c r="K697" i="286"/>
  <c r="K822" i="286"/>
  <c r="K925" i="286"/>
  <c r="K945" i="286"/>
  <c r="K1094" i="286"/>
  <c r="K1149" i="286"/>
  <c r="K1145" i="286"/>
  <c r="K69" i="286"/>
  <c r="H401" i="286"/>
  <c r="H514" i="286"/>
  <c r="K514" i="286" s="1"/>
  <c r="H589" i="286"/>
  <c r="K589" i="286" s="1"/>
  <c r="J689" i="286"/>
  <c r="K392" i="286"/>
  <c r="K742" i="286"/>
  <c r="K838" i="286"/>
  <c r="K95" i="286"/>
  <c r="K168" i="286"/>
  <c r="K274" i="286"/>
  <c r="K296" i="286"/>
  <c r="K371" i="286"/>
  <c r="K768" i="286"/>
  <c r="K845" i="286"/>
  <c r="J264" i="286"/>
  <c r="K264" i="286" s="1"/>
  <c r="H64" i="286"/>
  <c r="J439" i="286"/>
  <c r="H976" i="286"/>
  <c r="H1027" i="286"/>
  <c r="K1027" i="286" s="1"/>
  <c r="K495" i="286"/>
  <c r="K947" i="286"/>
  <c r="H1091" i="286"/>
  <c r="K1091" i="286" s="1"/>
  <c r="K325" i="286"/>
  <c r="K471" i="286"/>
  <c r="H876" i="286"/>
  <c r="K968" i="286"/>
  <c r="H1127" i="286"/>
  <c r="K1068" i="286"/>
  <c r="K869" i="286"/>
  <c r="K313" i="286"/>
  <c r="J576" i="286"/>
  <c r="K576" i="286" s="1"/>
  <c r="J1151" i="286"/>
  <c r="K1097" i="286"/>
  <c r="K222" i="286"/>
  <c r="K423" i="286"/>
  <c r="K825" i="286"/>
  <c r="K101" i="286"/>
  <c r="K217" i="286"/>
  <c r="K1189" i="286"/>
  <c r="K1142" i="286"/>
  <c r="K819" i="286"/>
  <c r="K943" i="286"/>
  <c r="K412" i="286"/>
  <c r="K1067" i="286"/>
  <c r="H676" i="286"/>
  <c r="K45" i="286"/>
  <c r="K1216" i="286"/>
  <c r="K117" i="286"/>
  <c r="K772" i="286"/>
  <c r="K80" i="500"/>
  <c r="K240" i="286"/>
  <c r="J1127" i="286"/>
  <c r="H791" i="286"/>
  <c r="K195" i="286"/>
  <c r="K397" i="286"/>
  <c r="K670" i="286"/>
  <c r="K288" i="286"/>
  <c r="K437" i="286"/>
  <c r="K567" i="286"/>
  <c r="K1251" i="286"/>
  <c r="K190" i="286"/>
  <c r="H451" i="286"/>
  <c r="J189" i="286"/>
  <c r="K189" i="286" s="1"/>
  <c r="H201" i="286"/>
  <c r="K201" i="286" s="1"/>
  <c r="K65" i="286"/>
  <c r="K267" i="286"/>
  <c r="K390" i="286"/>
  <c r="K867" i="286"/>
  <c r="K865" i="286"/>
  <c r="K937" i="286"/>
  <c r="K1012" i="286"/>
  <c r="K1239" i="286"/>
  <c r="H291" i="286"/>
  <c r="K291" i="286" s="1"/>
  <c r="K312" i="286"/>
  <c r="K442" i="286"/>
  <c r="K640" i="286"/>
  <c r="J339" i="286"/>
  <c r="K339" i="286" s="1"/>
  <c r="H151" i="286"/>
  <c r="K151" i="286" s="1"/>
  <c r="H491" i="286"/>
  <c r="K491" i="286" s="1"/>
  <c r="H41" i="286"/>
  <c r="K41" i="286" s="1"/>
  <c r="K64" i="286"/>
  <c r="K245" i="286"/>
  <c r="K520" i="286"/>
  <c r="K39" i="286"/>
  <c r="K512" i="286"/>
  <c r="K927" i="286"/>
  <c r="K1049" i="286"/>
  <c r="K1062" i="286"/>
  <c r="K1137" i="286"/>
  <c r="K425" i="286"/>
  <c r="K497" i="286"/>
  <c r="K596" i="286"/>
  <c r="K315" i="286"/>
  <c r="K438" i="286"/>
  <c r="K587" i="286"/>
  <c r="K642" i="286"/>
  <c r="K840" i="286"/>
  <c r="K992" i="286"/>
  <c r="K1220" i="286"/>
  <c r="J1101" i="286"/>
  <c r="J116" i="286"/>
  <c r="K116" i="286" s="1"/>
  <c r="K688" i="286"/>
  <c r="K765" i="286"/>
  <c r="K837" i="286"/>
  <c r="K917" i="286"/>
  <c r="K990" i="286"/>
  <c r="K1042" i="286"/>
  <c r="K1116" i="286"/>
  <c r="K1196" i="286"/>
  <c r="K1201" i="286"/>
  <c r="K1215" i="286"/>
  <c r="K127" i="286"/>
  <c r="K719" i="286"/>
  <c r="K1148" i="286"/>
  <c r="K1074" i="286"/>
  <c r="H928" i="286"/>
  <c r="K928" i="286" s="1"/>
  <c r="H414" i="286"/>
  <c r="K414" i="286" s="1"/>
  <c r="H564" i="286"/>
  <c r="K564" i="286" s="1"/>
  <c r="K764" i="286"/>
  <c r="K75" i="286"/>
  <c r="K574" i="286"/>
  <c r="K1222" i="286"/>
  <c r="K41" i="500"/>
  <c r="K43" i="500"/>
  <c r="K664" i="286"/>
  <c r="K791" i="286"/>
  <c r="H164" i="286"/>
  <c r="K543" i="286"/>
  <c r="K773" i="286"/>
  <c r="H1117" i="286"/>
  <c r="K63" i="286"/>
  <c r="K87" i="286"/>
  <c r="K265" i="286"/>
  <c r="K388" i="286"/>
  <c r="K537" i="286"/>
  <c r="K737" i="286"/>
  <c r="K1205" i="286"/>
  <c r="K1188" i="286"/>
  <c r="K1190" i="286"/>
  <c r="J814" i="286"/>
  <c r="H314" i="286"/>
  <c r="H241" i="286"/>
  <c r="K241" i="286" s="1"/>
  <c r="J451" i="286"/>
  <c r="H727" i="286"/>
  <c r="K727" i="286" s="1"/>
  <c r="H741" i="286"/>
  <c r="K741" i="286" s="1"/>
  <c r="K215" i="286"/>
  <c r="K287" i="286"/>
  <c r="K322" i="286"/>
  <c r="K417" i="286"/>
  <c r="K489" i="286"/>
  <c r="K540" i="286"/>
  <c r="K614" i="286"/>
  <c r="K740" i="286"/>
  <c r="K812" i="286"/>
  <c r="K938" i="286"/>
  <c r="K1090" i="286"/>
  <c r="K1204" i="286"/>
  <c r="K1187" i="286"/>
  <c r="J714" i="286"/>
  <c r="K714" i="286" s="1"/>
  <c r="K218" i="286"/>
  <c r="K100" i="286"/>
  <c r="K200" i="286"/>
  <c r="K223" i="286"/>
  <c r="K247" i="286"/>
  <c r="H301" i="286"/>
  <c r="K301" i="286" s="1"/>
  <c r="K346" i="286"/>
  <c r="K424" i="286"/>
  <c r="K446" i="286"/>
  <c r="K547" i="286"/>
  <c r="K569" i="286"/>
  <c r="K649" i="286"/>
  <c r="K671" i="286"/>
  <c r="K718" i="286"/>
  <c r="K750" i="286"/>
  <c r="K797" i="286"/>
  <c r="K843" i="286"/>
  <c r="K874" i="286"/>
  <c r="K897" i="286"/>
  <c r="K921" i="286"/>
  <c r="K975" i="286"/>
  <c r="K997" i="286"/>
  <c r="K1020" i="286"/>
  <c r="H493" i="286"/>
  <c r="K493" i="286" s="1"/>
  <c r="K623" i="286"/>
  <c r="K1123" i="286"/>
  <c r="K1113" i="286"/>
  <c r="K1256" i="286"/>
  <c r="K53" i="500"/>
  <c r="K62" i="500"/>
  <c r="K78" i="500"/>
  <c r="H816" i="286"/>
  <c r="K816" i="286" s="1"/>
  <c r="H109" i="500"/>
  <c r="H14" i="500" s="1"/>
  <c r="K419" i="286"/>
  <c r="K971" i="286"/>
  <c r="K114" i="286"/>
  <c r="K690" i="286"/>
  <c r="K767" i="286"/>
  <c r="K1044" i="286"/>
  <c r="K1214" i="286"/>
  <c r="H1016" i="286"/>
  <c r="K1016" i="286" s="1"/>
  <c r="H441" i="286"/>
  <c r="K441" i="286" s="1"/>
  <c r="K651" i="286"/>
  <c r="K143" i="286"/>
  <c r="K920" i="286"/>
  <c r="K1018" i="286"/>
  <c r="H851" i="286"/>
  <c r="K851" i="286" s="1"/>
  <c r="J639" i="286"/>
  <c r="H1077" i="286"/>
  <c r="J214" i="286"/>
  <c r="K214" i="286" s="1"/>
  <c r="H591" i="286"/>
  <c r="K591" i="286" s="1"/>
  <c r="K1093" i="286"/>
  <c r="H526" i="286"/>
  <c r="K526" i="286" s="1"/>
  <c r="H652" i="286"/>
  <c r="K652" i="286" s="1"/>
  <c r="H539" i="286"/>
  <c r="K539" i="286" s="1"/>
  <c r="K375" i="286"/>
  <c r="K942" i="286"/>
  <c r="K1193" i="286"/>
  <c r="K1195" i="286"/>
  <c r="H40" i="500"/>
  <c r="H13" i="500" s="1"/>
  <c r="K46" i="500"/>
  <c r="H864" i="286"/>
  <c r="K864" i="286" s="1"/>
  <c r="K896" i="286"/>
  <c r="H991" i="286"/>
  <c r="K991" i="286" s="1"/>
  <c r="K1139" i="286"/>
  <c r="K67" i="286"/>
  <c r="K262" i="286"/>
  <c r="K337" i="286"/>
  <c r="K377" i="286"/>
  <c r="K638" i="286"/>
  <c r="K795" i="286"/>
  <c r="K862" i="286"/>
  <c r="K915" i="286"/>
  <c r="K988" i="286"/>
  <c r="J1235" i="286"/>
  <c r="J23" i="286" s="1"/>
  <c r="K1192" i="286"/>
  <c r="K1253" i="286"/>
  <c r="K164" i="286"/>
  <c r="K324" i="286"/>
  <c r="H793" i="286"/>
  <c r="K793" i="286" s="1"/>
  <c r="K1115" i="286"/>
  <c r="H227" i="286"/>
  <c r="K227" i="286" s="1"/>
  <c r="K251" i="286"/>
  <c r="K271" i="286"/>
  <c r="K350" i="286"/>
  <c r="K394" i="286"/>
  <c r="H551" i="286"/>
  <c r="K551" i="286" s="1"/>
  <c r="K573" i="286"/>
  <c r="K643" i="286"/>
  <c r="K720" i="286"/>
  <c r="K801" i="286"/>
  <c r="K844" i="286"/>
  <c r="K901" i="286"/>
  <c r="K1024" i="286"/>
  <c r="K1248" i="286"/>
  <c r="K1075" i="286"/>
  <c r="J66" i="357"/>
  <c r="B65" i="357" s="1"/>
  <c r="F63" i="357"/>
  <c r="F77" i="357" s="1"/>
  <c r="H939" i="286"/>
  <c r="K939" i="286" s="1"/>
  <c r="H1014" i="286"/>
  <c r="K1014" i="286" s="1"/>
  <c r="K964" i="286"/>
  <c r="H1237" i="286"/>
  <c r="K1237" i="286" s="1"/>
  <c r="H191" i="286"/>
  <c r="K191" i="286" s="1"/>
  <c r="K272" i="286"/>
  <c r="H341" i="286"/>
  <c r="K341" i="286" s="1"/>
  <c r="K476" i="286"/>
  <c r="K570" i="286"/>
  <c r="H716" i="286"/>
  <c r="K716" i="286" s="1"/>
  <c r="K749" i="286"/>
  <c r="K969" i="286"/>
  <c r="K998" i="286"/>
  <c r="K1141" i="286"/>
  <c r="K1217" i="286"/>
  <c r="K50" i="286"/>
  <c r="K74" i="286"/>
  <c r="K98" i="286"/>
  <c r="K94" i="286"/>
  <c r="K122" i="286"/>
  <c r="K150" i="286"/>
  <c r="H176" i="286"/>
  <c r="K176" i="286" s="1"/>
  <c r="K172" i="286"/>
  <c r="K194" i="286"/>
  <c r="H253" i="286"/>
  <c r="K253" i="286" s="1"/>
  <c r="K295" i="286"/>
  <c r="H352" i="286"/>
  <c r="K352" i="286" s="1"/>
  <c r="K376" i="286"/>
  <c r="K396" i="286"/>
  <c r="K443" i="286"/>
  <c r="K475" i="286"/>
  <c r="K499" i="286"/>
  <c r="K519" i="286"/>
  <c r="K668" i="286"/>
  <c r="K744" i="286"/>
  <c r="K389" i="286"/>
  <c r="K639" i="286"/>
  <c r="H1001" i="286"/>
  <c r="K1001" i="286" s="1"/>
  <c r="K805" i="286"/>
  <c r="K125" i="286"/>
  <c r="K249" i="286"/>
  <c r="H266" i="286"/>
  <c r="K266" i="286" s="1"/>
  <c r="K524" i="286"/>
  <c r="K549" i="286"/>
  <c r="H777" i="286"/>
  <c r="H966" i="286"/>
  <c r="K966" i="286" s="1"/>
  <c r="K1051" i="286"/>
  <c r="K1047" i="286"/>
  <c r="K1249" i="286"/>
  <c r="K199" i="286"/>
  <c r="K263" i="286"/>
  <c r="K387" i="286"/>
  <c r="K462" i="286"/>
  <c r="K546" i="286"/>
  <c r="K542" i="286"/>
  <c r="K796" i="286"/>
  <c r="K863" i="286"/>
  <c r="K940" i="286"/>
  <c r="K974" i="286"/>
  <c r="K970" i="286"/>
  <c r="K1076" i="286"/>
  <c r="K1087" i="286"/>
  <c r="K1092" i="286"/>
  <c r="K1126" i="286"/>
  <c r="K1254" i="286"/>
  <c r="K73" i="286"/>
  <c r="K121" i="286"/>
  <c r="K197" i="286"/>
  <c r="K320" i="286"/>
  <c r="K370" i="286"/>
  <c r="K399" i="286"/>
  <c r="K544" i="286"/>
  <c r="K747" i="286"/>
  <c r="K770" i="286"/>
  <c r="K871" i="286"/>
  <c r="K52" i="500"/>
  <c r="K54" i="500"/>
  <c r="K57" i="500"/>
  <c r="K61" i="500"/>
  <c r="K71" i="500"/>
  <c r="K77" i="500"/>
  <c r="K79" i="500"/>
  <c r="K81" i="500"/>
  <c r="K83" i="500"/>
  <c r="K85" i="500"/>
  <c r="K87" i="500"/>
  <c r="K89" i="500"/>
  <c r="K91" i="500"/>
  <c r="K45" i="500"/>
  <c r="K254" i="286"/>
  <c r="K314" i="286"/>
  <c r="J616" i="286"/>
  <c r="K616" i="286" s="1"/>
  <c r="K439" i="286"/>
  <c r="K689" i="286"/>
  <c r="K814" i="286"/>
  <c r="H918" i="286"/>
  <c r="K918" i="286" s="1"/>
  <c r="H902" i="286"/>
  <c r="K902" i="286" s="1"/>
  <c r="J739" i="286"/>
  <c r="K739" i="286" s="1"/>
  <c r="K51" i="286"/>
  <c r="K71" i="286"/>
  <c r="H118" i="286"/>
  <c r="K118" i="286" s="1"/>
  <c r="K169" i="286"/>
  <c r="K293" i="286"/>
  <c r="H316" i="286"/>
  <c r="K316" i="286" s="1"/>
  <c r="H466" i="286"/>
  <c r="K466" i="286" s="1"/>
  <c r="H516" i="286"/>
  <c r="K516" i="286" s="1"/>
  <c r="H618" i="286"/>
  <c r="K618" i="286" s="1"/>
  <c r="K621" i="286"/>
  <c r="H691" i="286"/>
  <c r="K691" i="286" s="1"/>
  <c r="K694" i="286"/>
  <c r="H891" i="286"/>
  <c r="K891" i="286" s="1"/>
  <c r="K745" i="286"/>
  <c r="K1202" i="286"/>
  <c r="K1176" i="286"/>
  <c r="K1191" i="286"/>
  <c r="K42" i="500"/>
  <c r="K82" i="500"/>
  <c r="K84" i="500"/>
  <c r="K86" i="500"/>
  <c r="K88" i="500"/>
  <c r="K90" i="500"/>
  <c r="K92" i="500"/>
  <c r="K1198" i="286"/>
  <c r="F34" i="357"/>
  <c r="F35" i="357" s="1"/>
  <c r="G13" i="356" s="1"/>
  <c r="J1242" i="286"/>
  <c r="H1242" i="286"/>
  <c r="F78" i="357"/>
  <c r="F79" i="357" s="1"/>
  <c r="G14" i="356" s="1"/>
  <c r="J889" i="286"/>
  <c r="K889" i="286" s="1"/>
  <c r="J976" i="286"/>
  <c r="H89" i="286"/>
  <c r="K89" i="286" s="1"/>
  <c r="J916" i="286"/>
  <c r="K916" i="286" s="1"/>
  <c r="J76" i="286"/>
  <c r="J110" i="286" s="1"/>
  <c r="J13" i="286" s="1"/>
  <c r="E1240" i="286"/>
  <c r="K170" i="286"/>
  <c r="K498" i="286"/>
  <c r="H566" i="286"/>
  <c r="K566" i="286" s="1"/>
  <c r="K823" i="286"/>
  <c r="K1021" i="286"/>
  <c r="K1194" i="286"/>
  <c r="J1241" i="286"/>
  <c r="H53" i="286"/>
  <c r="K53" i="286" s="1"/>
  <c r="K97" i="286"/>
  <c r="K220" i="286"/>
  <c r="H276" i="286"/>
  <c r="K276" i="286" s="1"/>
  <c r="K298" i="286"/>
  <c r="K421" i="286"/>
  <c r="K468" i="286"/>
  <c r="K502" i="286"/>
  <c r="K522" i="286"/>
  <c r="K601" i="286"/>
  <c r="K625" i="286"/>
  <c r="K646" i="286"/>
  <c r="K693" i="286"/>
  <c r="K725" i="286"/>
  <c r="H827" i="286"/>
  <c r="K827" i="286" s="1"/>
  <c r="K849" i="286"/>
  <c r="K894" i="286"/>
  <c r="K950" i="286"/>
  <c r="K972" i="286"/>
  <c r="K994" i="286"/>
  <c r="H1053" i="286"/>
  <c r="K1053" i="286" s="1"/>
  <c r="K1099" i="286"/>
  <c r="H628" i="286"/>
  <c r="K628" i="286" s="1"/>
  <c r="H366" i="286"/>
  <c r="K366" i="286" s="1"/>
  <c r="H839" i="286"/>
  <c r="K839" i="286" s="1"/>
  <c r="H1241" i="286"/>
  <c r="H91" i="286"/>
  <c r="K91" i="286" s="1"/>
  <c r="H141" i="286"/>
  <c r="K141" i="286" s="1"/>
  <c r="H416" i="286"/>
  <c r="K416" i="286" s="1"/>
  <c r="K474" i="286"/>
  <c r="K525" i="286"/>
  <c r="H641" i="286"/>
  <c r="K641" i="286" s="1"/>
  <c r="H841" i="286"/>
  <c r="K841" i="286" s="1"/>
  <c r="K893" i="286"/>
  <c r="K948" i="286"/>
  <c r="H1043" i="286"/>
  <c r="K1043" i="286" s="1"/>
  <c r="K1073" i="286"/>
  <c r="K1246" i="286"/>
  <c r="K1120" i="286"/>
  <c r="K1219" i="286"/>
  <c r="K52" i="286"/>
  <c r="J109" i="500"/>
  <c r="J14" i="500" s="1"/>
  <c r="K294" i="286"/>
  <c r="K345" i="286"/>
  <c r="K698" i="286"/>
  <c r="K776" i="286"/>
  <c r="F105" i="357"/>
  <c r="F119" i="357" s="1"/>
  <c r="K1197" i="286"/>
  <c r="K1218" i="286"/>
  <c r="K575" i="286"/>
  <c r="K598" i="286"/>
  <c r="K622" i="286"/>
  <c r="K699" i="286"/>
  <c r="K722" i="286"/>
  <c r="H803" i="286"/>
  <c r="K803" i="286" s="1"/>
  <c r="J13" i="500"/>
  <c r="J64" i="500"/>
  <c r="K789" i="286"/>
  <c r="K876" i="286"/>
  <c r="J676" i="286"/>
  <c r="H43" i="286"/>
  <c r="K43" i="286" s="1"/>
  <c r="K144" i="286"/>
  <c r="H216" i="286"/>
  <c r="K216" i="286" s="1"/>
  <c r="K246" i="286"/>
  <c r="H541" i="286"/>
  <c r="K541" i="286" s="1"/>
  <c r="K593" i="286"/>
  <c r="K650" i="286"/>
  <c r="K996" i="286"/>
  <c r="K1250" i="286"/>
  <c r="K1125" i="286"/>
  <c r="K1147" i="286"/>
  <c r="K401" i="286"/>
  <c r="H289" i="286"/>
  <c r="K289" i="286" s="1"/>
  <c r="F163" i="357"/>
  <c r="G16" i="356" s="1"/>
  <c r="K469" i="286"/>
  <c r="K48" i="286"/>
  <c r="K68" i="286"/>
  <c r="H128" i="286"/>
  <c r="K128" i="286" s="1"/>
  <c r="H941" i="286"/>
  <c r="K941" i="286" s="1"/>
  <c r="H1064" i="286"/>
  <c r="K1064" i="286" s="1"/>
  <c r="H464" i="286"/>
  <c r="K464" i="286" s="1"/>
  <c r="J777" i="286"/>
  <c r="H751" i="286"/>
  <c r="K751" i="286" s="1"/>
  <c r="H166" i="286"/>
  <c r="K166" i="286" s="1"/>
  <c r="K323" i="286"/>
  <c r="K374" i="286"/>
  <c r="K1048" i="286"/>
  <c r="K1096" i="286"/>
  <c r="K47" i="286"/>
  <c r="K93" i="286"/>
  <c r="K147" i="286"/>
  <c r="K226" i="286"/>
  <c r="K250" i="286"/>
  <c r="K270" i="286"/>
  <c r="H326" i="286"/>
  <c r="K326" i="286" s="1"/>
  <c r="K349" i="286"/>
  <c r="K373" i="286"/>
  <c r="K418" i="286"/>
  <c r="K449" i="286"/>
  <c r="K472" i="286"/>
  <c r="K1168" i="286"/>
  <c r="K145" i="286"/>
  <c r="K1101" i="286"/>
  <c r="J1089" i="286"/>
  <c r="J1110" i="286" s="1"/>
  <c r="J21" i="286" s="1"/>
  <c r="K450" i="286"/>
  <c r="H866" i="286"/>
  <c r="K866" i="286" s="1"/>
  <c r="K1095" i="286"/>
  <c r="K1150" i="286"/>
  <c r="K46" i="286"/>
  <c r="H102" i="286"/>
  <c r="K102" i="286" s="1"/>
  <c r="F408" i="357"/>
  <c r="F409" i="357" s="1"/>
  <c r="G22" i="356" s="1"/>
  <c r="J1238" i="286"/>
  <c r="K1238" i="286" s="1"/>
  <c r="K173" i="286"/>
  <c r="H391" i="286"/>
  <c r="K391" i="286" s="1"/>
  <c r="K447" i="286"/>
  <c r="H666" i="286"/>
  <c r="K666" i="286" s="1"/>
  <c r="H766" i="286"/>
  <c r="K766" i="286" s="1"/>
  <c r="H1066" i="286"/>
  <c r="K1066" i="286" s="1"/>
  <c r="K1257" i="286"/>
  <c r="H368" i="286"/>
  <c r="K368" i="286" s="1"/>
  <c r="J139" i="286"/>
  <c r="H66" i="286"/>
  <c r="K66" i="286" s="1"/>
  <c r="K171" i="286"/>
  <c r="H243" i="286"/>
  <c r="K243" i="286" s="1"/>
  <c r="K393" i="286"/>
  <c r="K620" i="286"/>
  <c r="K824" i="286"/>
  <c r="K922" i="286"/>
  <c r="K1258" i="286"/>
  <c r="K645" i="286"/>
  <c r="K1221" i="286"/>
  <c r="K148" i="286"/>
  <c r="K318" i="286"/>
  <c r="K675" i="286"/>
  <c r="K69" i="500"/>
  <c r="K496" i="286"/>
  <c r="K550" i="286"/>
  <c r="K572" i="286"/>
  <c r="K595" i="286"/>
  <c r="K674" i="286"/>
  <c r="K696" i="286"/>
  <c r="K800" i="286"/>
  <c r="K821" i="286"/>
  <c r="K868" i="286"/>
  <c r="K900" i="286"/>
  <c r="K924" i="286"/>
  <c r="K944" i="286"/>
  <c r="K1000" i="286"/>
  <c r="K1023" i="286"/>
  <c r="K1119" i="286"/>
  <c r="K1247" i="286"/>
  <c r="K126" i="286"/>
  <c r="K146" i="286"/>
  <c r="K193" i="286"/>
  <c r="K225" i="286"/>
  <c r="K269" i="286"/>
  <c r="K348" i="286"/>
  <c r="K372" i="286"/>
  <c r="H426" i="286"/>
  <c r="K426" i="286" s="1"/>
  <c r="K448" i="286"/>
  <c r="K518" i="286"/>
  <c r="K571" i="286"/>
  <c r="K594" i="286"/>
  <c r="K673" i="286"/>
  <c r="K695" i="286"/>
  <c r="K743" i="286"/>
  <c r="K775" i="286"/>
  <c r="K820" i="286"/>
  <c r="K899" i="286"/>
  <c r="K923" i="286"/>
  <c r="K999" i="286"/>
  <c r="K1022" i="286"/>
  <c r="K1046" i="286"/>
  <c r="K1069" i="286"/>
  <c r="K198" i="286"/>
  <c r="K221" i="286"/>
  <c r="K268" i="286"/>
  <c r="K299" i="286"/>
  <c r="K321" i="286"/>
  <c r="K344" i="286"/>
  <c r="K400" i="286"/>
  <c r="K422" i="286"/>
  <c r="K444" i="286"/>
  <c r="H503" i="286"/>
  <c r="K503" i="286" s="1"/>
  <c r="K523" i="286"/>
  <c r="K545" i="286"/>
  <c r="H602" i="286"/>
  <c r="K602" i="286" s="1"/>
  <c r="K626" i="286"/>
  <c r="K647" i="286"/>
  <c r="K669" i="286"/>
  <c r="K726" i="286"/>
  <c r="K748" i="286"/>
  <c r="K771" i="286"/>
  <c r="K818" i="286"/>
  <c r="K850" i="286"/>
  <c r="K872" i="286"/>
  <c r="K895" i="286"/>
  <c r="H951" i="286"/>
  <c r="K951" i="286" s="1"/>
  <c r="K973" i="286"/>
  <c r="K995" i="286"/>
  <c r="K1100" i="286"/>
  <c r="K1143" i="286"/>
  <c r="K1071" i="286"/>
  <c r="K1122" i="286"/>
  <c r="K1244" i="286"/>
  <c r="K72" i="286"/>
  <c r="K96" i="286"/>
  <c r="K174" i="286"/>
  <c r="K196" i="286"/>
  <c r="K219" i="286"/>
  <c r="K275" i="286"/>
  <c r="K297" i="286"/>
  <c r="K319" i="286"/>
  <c r="H378" i="286"/>
  <c r="K378" i="286" s="1"/>
  <c r="K398" i="286"/>
  <c r="K420" i="286"/>
  <c r="H477" i="286"/>
  <c r="K477" i="286" s="1"/>
  <c r="K501" i="286"/>
  <c r="K521" i="286"/>
  <c r="K568" i="286"/>
  <c r="K600" i="286"/>
  <c r="K624" i="286"/>
  <c r="H701" i="286"/>
  <c r="K701" i="286" s="1"/>
  <c r="K724" i="286"/>
  <c r="K746" i="286"/>
  <c r="K769" i="286"/>
  <c r="K826" i="286"/>
  <c r="K848" i="286"/>
  <c r="K870" i="286"/>
  <c r="K949" i="286"/>
  <c r="K1098" i="286"/>
  <c r="K1121" i="286"/>
  <c r="H1252" i="286"/>
  <c r="K1252" i="286" s="1"/>
  <c r="K1199" i="286"/>
  <c r="H1235" i="286"/>
  <c r="H23" i="286" s="1"/>
  <c r="K23" i="286" s="1"/>
  <c r="K1052" i="286"/>
  <c r="K799" i="286"/>
  <c r="K175" i="286"/>
  <c r="K451" i="286" l="1"/>
  <c r="K976" i="286"/>
  <c r="J610" i="286"/>
  <c r="J17" i="286" s="1"/>
  <c r="J360" i="286"/>
  <c r="J15" i="286" s="1"/>
  <c r="K14" i="500"/>
  <c r="H64" i="500"/>
  <c r="H34" i="500" s="1"/>
  <c r="H1160" i="286"/>
  <c r="H22" i="286" s="1"/>
  <c r="K1127" i="286"/>
  <c r="K1117" i="286"/>
  <c r="K676" i="286"/>
  <c r="J1160" i="286"/>
  <c r="J22" i="286" s="1"/>
  <c r="J235" i="286"/>
  <c r="J14" i="286" s="1"/>
  <c r="K1241" i="286"/>
  <c r="K1242" i="286"/>
  <c r="H1110" i="286"/>
  <c r="H21" i="286" s="1"/>
  <c r="K21" i="286" s="1"/>
  <c r="K40" i="500"/>
  <c r="K64" i="500" s="1"/>
  <c r="K1077" i="286"/>
  <c r="J910" i="286"/>
  <c r="J19" i="286" s="1"/>
  <c r="K610" i="286"/>
  <c r="H910" i="286"/>
  <c r="H19" i="286" s="1"/>
  <c r="K1235" i="286"/>
  <c r="K1035" i="286"/>
  <c r="H610" i="286"/>
  <c r="H17" i="286" s="1"/>
  <c r="K17" i="286" s="1"/>
  <c r="K485" i="286"/>
  <c r="K360" i="286"/>
  <c r="H1035" i="286"/>
  <c r="H20" i="286" s="1"/>
  <c r="H235" i="286"/>
  <c r="H14" i="286" s="1"/>
  <c r="K14" i="286" s="1"/>
  <c r="K109" i="500"/>
  <c r="J785" i="286"/>
  <c r="J18" i="286" s="1"/>
  <c r="J34" i="500"/>
  <c r="K76" i="286"/>
  <c r="K110" i="286" s="1"/>
  <c r="K20" i="284"/>
  <c r="F26" i="283" s="1"/>
  <c r="H26" i="283" s="1"/>
  <c r="K13" i="500"/>
  <c r="K1089" i="286"/>
  <c r="H785" i="286"/>
  <c r="H18" i="286" s="1"/>
  <c r="K139" i="286"/>
  <c r="K235" i="286" s="1"/>
  <c r="H110" i="286"/>
  <c r="H13" i="286" s="1"/>
  <c r="K13" i="286" s="1"/>
  <c r="H1240" i="286"/>
  <c r="J1240" i="286"/>
  <c r="J1260" i="286" s="1"/>
  <c r="J24" i="286" s="1"/>
  <c r="K777" i="286"/>
  <c r="H485" i="286"/>
  <c r="H16" i="286" s="1"/>
  <c r="K16" i="286" s="1"/>
  <c r="K910" i="286"/>
  <c r="F120" i="357"/>
  <c r="F121" i="357" s="1"/>
  <c r="G15" i="356" s="1"/>
  <c r="G35" i="356" s="1"/>
  <c r="F33" i="282" s="1"/>
  <c r="J1035" i="286"/>
  <c r="J20" i="286" s="1"/>
  <c r="H360" i="286"/>
  <c r="H15" i="286" s="1"/>
  <c r="K15" i="286" s="1"/>
  <c r="K21" i="284"/>
  <c r="F27" i="283" s="1"/>
  <c r="H27" i="283" s="1"/>
  <c r="K1160" i="286" l="1"/>
  <c r="K22" i="286"/>
  <c r="K1110" i="286"/>
  <c r="K785" i="286"/>
  <c r="J35" i="286"/>
  <c r="J13" i="284" s="1"/>
  <c r="K18" i="286"/>
  <c r="K19" i="286"/>
  <c r="K34" i="500"/>
  <c r="F33" i="283" s="1"/>
  <c r="H33" i="283" s="1"/>
  <c r="K20" i="286"/>
  <c r="K1240" i="286"/>
  <c r="K1260" i="286" s="1"/>
  <c r="H1260" i="286"/>
  <c r="H24" i="286" s="1"/>
  <c r="K24" i="286" s="1"/>
  <c r="K35" i="286" l="1"/>
  <c r="N35" i="286" s="1"/>
  <c r="O35" i="286" s="1"/>
  <c r="O16" i="286"/>
  <c r="O17" i="286" s="1"/>
  <c r="O18" i="286" s="1"/>
  <c r="Q16" i="286" s="1"/>
  <c r="M24" i="283"/>
  <c r="O24" i="283" s="1"/>
  <c r="F28" i="282"/>
  <c r="H35" i="286"/>
  <c r="H13" i="284" s="1"/>
  <c r="K14" i="284"/>
  <c r="F20" i="283" s="1"/>
  <c r="H20" i="283" s="1"/>
  <c r="M25" i="283" s="1"/>
  <c r="O25" i="283" s="1"/>
  <c r="K13" i="284" l="1"/>
  <c r="K17" i="284"/>
  <c r="F23" i="283" s="1"/>
  <c r="H23" i="283" s="1"/>
  <c r="K15" i="284" l="1"/>
  <c r="F21" i="283" s="1"/>
  <c r="H21" i="283" s="1"/>
  <c r="F19" i="283"/>
  <c r="J31" i="284"/>
  <c r="K268" i="357" s="1"/>
  <c r="K270" i="357" s="1"/>
  <c r="K271" i="357" s="1"/>
  <c r="K272" i="357" s="1"/>
  <c r="K273" i="357" s="1"/>
  <c r="K16" i="284"/>
  <c r="F22" i="283" s="1"/>
  <c r="H22" i="283" s="1"/>
  <c r="H19" i="283" l="1"/>
  <c r="K19" i="284"/>
  <c r="F25" i="283" s="1"/>
  <c r="H25" i="283" s="1"/>
  <c r="M23" i="283" l="1"/>
  <c r="O23" i="283" s="1"/>
  <c r="K18" i="284" l="1"/>
  <c r="H31" i="284"/>
  <c r="F24" i="283" l="1"/>
  <c r="K31" i="284"/>
  <c r="H24" i="283" l="1"/>
  <c r="C9" i="281"/>
  <c r="P11" i="281" l="1"/>
  <c r="P12" i="281" s="1"/>
  <c r="R12" i="281"/>
  <c r="M13" i="281"/>
  <c r="M14" i="281" s="1"/>
  <c r="P10" i="281"/>
  <c r="P14" i="281"/>
  <c r="P15" i="281" s="1"/>
  <c r="M22" i="283"/>
  <c r="F16" i="282"/>
  <c r="F36" i="282" s="1"/>
  <c r="D37" i="282" s="1"/>
  <c r="H41" i="283"/>
  <c r="F46" i="283" s="1"/>
  <c r="R11" i="281" l="1"/>
  <c r="O22" i="283"/>
  <c r="O29" i="283" s="1"/>
  <c r="M29" i="283"/>
</calcChain>
</file>

<file path=xl/sharedStrings.xml><?xml version="1.0" encoding="utf-8"?>
<sst xmlns="http://schemas.openxmlformats.org/spreadsheetml/2006/main" count="29355" uniqueCount="3123">
  <si>
    <t>แบบแสดงรายการ ปริมาณงาน และราคา</t>
  </si>
  <si>
    <t>แบบ ปร. 4</t>
  </si>
  <si>
    <t xml:space="preserve">กลุ่มงาน/งาน  : </t>
  </si>
  <si>
    <t xml:space="preserve">สถานที่ก่อสร้าง  : </t>
  </si>
  <si>
    <t xml:space="preserve"> แบบเลขที่</t>
  </si>
  <si>
    <t>เมื่อวันที่</t>
  </si>
  <si>
    <t>เดือน</t>
  </si>
  <si>
    <t xml:space="preserve">หน่วย : บาท </t>
  </si>
  <si>
    <t>ลำดับที่</t>
  </si>
  <si>
    <t>รายการ</t>
  </si>
  <si>
    <t>จำนวน</t>
  </si>
  <si>
    <t>หน่วย</t>
  </si>
  <si>
    <t>ค่าวัสดุ</t>
  </si>
  <si>
    <t>ค่าแรงงาน</t>
  </si>
  <si>
    <t>รวมค่าวัสดุ</t>
  </si>
  <si>
    <t>หมายเหตุ</t>
  </si>
  <si>
    <t xml:space="preserve"> ราคาหน่วยละ</t>
  </si>
  <si>
    <t>จำนวนเงิน</t>
  </si>
  <si>
    <t>และค่าแรงงาน</t>
  </si>
  <si>
    <t>งาน</t>
  </si>
  <si>
    <t>หน่วยงานเจ้าของโครงการ/งานก่อสร้าง :    บริษัท ธนารักษ์พัฒนาสินทรัพย์ จำกัด</t>
  </si>
  <si>
    <t>ศูนย์ราชการเฉลิมพระเกียรติ  ถนนแจ้งวัฒนะ  กรุงเทพมหานคร</t>
  </si>
  <si>
    <t>ชื่อโครงการ / งานก่อสร้าง  :    โครงการพัฒนาพื้นที่ส่วนขยายศูนย์ราชการเฉลิมพระเกียรติ ๘๐ พรรษา ๕ ธันวาคม ๒๕๕๐ พื้นที่โซน C</t>
  </si>
  <si>
    <t>พ.ศ.</t>
  </si>
  <si>
    <t>งานระบบไฟฟ้าและสื่อสาร</t>
  </si>
  <si>
    <t>3.</t>
  </si>
  <si>
    <t xml:space="preserve">คำนวณราคากลางโดย  :  </t>
  </si>
  <si>
    <t>4.</t>
  </si>
  <si>
    <t>ระบบโทรทัศน์วงจรปิด (Closed Circuit TV System)</t>
  </si>
  <si>
    <t>5.</t>
  </si>
  <si>
    <t>งานระบบสุขาภิบาล</t>
  </si>
  <si>
    <t>งานระบบดับเพลิงและป้องกันอัคคีภัย</t>
  </si>
  <si>
    <t>6.</t>
  </si>
  <si>
    <t>งานระบบปรับอากาศ และระบายอากาศ</t>
  </si>
  <si>
    <t>1.</t>
  </si>
  <si>
    <t>งานตกแต่งภายในอาคาร</t>
  </si>
  <si>
    <t>1.1.1</t>
  </si>
  <si>
    <t>ตร.ม.</t>
  </si>
  <si>
    <t>1.1.2</t>
  </si>
  <si>
    <t>1.1.3</t>
  </si>
  <si>
    <t>1.2.1</t>
  </si>
  <si>
    <t>1.2.2</t>
  </si>
  <si>
    <t>1.2.3</t>
  </si>
  <si>
    <t>1.2.4</t>
  </si>
  <si>
    <t>1.2.5</t>
  </si>
  <si>
    <t>1.3.1</t>
  </si>
  <si>
    <t>1.3.2</t>
  </si>
  <si>
    <t>1.3.3</t>
  </si>
  <si>
    <t>1.3.4</t>
  </si>
  <si>
    <t>1.3.5</t>
  </si>
  <si>
    <t>1.4.1</t>
  </si>
  <si>
    <t>1.4.2</t>
  </si>
  <si>
    <t>1.4.3</t>
  </si>
  <si>
    <t>1.4.4</t>
  </si>
  <si>
    <t>1.4.5</t>
  </si>
  <si>
    <t>1.5.1</t>
  </si>
  <si>
    <t>1.5.2</t>
  </si>
  <si>
    <t>1.5.3</t>
  </si>
  <si>
    <t>1.5.4</t>
  </si>
  <si>
    <t>1.5.5</t>
  </si>
  <si>
    <t>ค่าใช้จ่ายพิเศษตามข้อกำหนด</t>
  </si>
  <si>
    <t>8.</t>
  </si>
  <si>
    <t>สถานที่ก่อสร้าง</t>
  </si>
  <si>
    <t>ศูนย์ราชการเฉลิมพระเกียรติ ถนนแจ้งวัฒนะ กรุงเทพมหานคร</t>
  </si>
  <si>
    <t>แบบเลขที่</t>
  </si>
  <si>
    <t>หน่วย  :  บาท</t>
  </si>
  <si>
    <t>สูตรคำนวณ ค่า Factor F</t>
  </si>
  <si>
    <t>เงินล่วงหน้าจ่าย</t>
  </si>
  <si>
    <t>=</t>
  </si>
  <si>
    <t>ค่าประกันผลงาน หัก</t>
  </si>
  <si>
    <t>ดอกเบี้ยเงินกู้</t>
  </si>
  <si>
    <t>ค่าภาษีมูลค่าเพิ่ม (VAT)</t>
  </si>
  <si>
    <t>A = ค่าวัสดุและแรงงานต้นทุน</t>
  </si>
  <si>
    <t>บาท</t>
  </si>
  <si>
    <t>ค่าวัสดุและแรงงานต้นทุน &gt; 500,000,000 บาท</t>
  </si>
  <si>
    <t>a =</t>
  </si>
  <si>
    <t>b =</t>
  </si>
  <si>
    <t xml:space="preserve">d = </t>
  </si>
  <si>
    <t xml:space="preserve">c = </t>
  </si>
  <si>
    <t xml:space="preserve">e = </t>
  </si>
  <si>
    <t>factor F =</t>
  </si>
  <si>
    <t>ปัดเลข</t>
  </si>
  <si>
    <t xml:space="preserve">Factor F </t>
  </si>
  <si>
    <t xml:space="preserve">แบบ  ปร.6    </t>
  </si>
  <si>
    <t>แผ่นที่  1/1</t>
  </si>
  <si>
    <t>สรุปผลการประมาณราคาค่าก่อสร้าง</t>
  </si>
  <si>
    <t xml:space="preserve">ชื่อโครงการ/งานก่อสร้าง    </t>
  </si>
  <si>
    <t>โครงการพัฒนาพื้นที่ส่วนขยาย ศูนย์ราชการเฉลิมพระเกียรติ ๘๐ พรรษา ๕ ธันวาคม ๒๕๕๐  พื้นที่โซน C</t>
  </si>
  <si>
    <t>หน่วยงานเจ้าของโครงการ/งานก่อสร้าง      บริษัท ธนารักษ์พัฒนาสินทรัพย์ จำกัด</t>
  </si>
  <si>
    <t>แบบ ปร.4 และ ปร.5 ที่แนบ    มีจำนวน                         ชุด</t>
  </si>
  <si>
    <t xml:space="preserve">คำนวณราคากลางโดย :  </t>
  </si>
  <si>
    <t xml:space="preserve">เมื่อวันที่       เดือน      พ.ศ.   </t>
  </si>
  <si>
    <t>ค่าก่อสร้าง</t>
  </si>
  <si>
    <t>ส่วนที่  1.</t>
  </si>
  <si>
    <t>ค่างานต้นทุนประกอบด้วย</t>
  </si>
  <si>
    <t>1)</t>
  </si>
  <si>
    <t xml:space="preserve">กลุ่มงานที่ 1. </t>
  </si>
  <si>
    <t xml:space="preserve">-  </t>
  </si>
  <si>
    <t>2)</t>
  </si>
  <si>
    <t xml:space="preserve">กลุ่มงานที่  2. </t>
  </si>
  <si>
    <t xml:space="preserve"> งานตกแต่งภายในอาคาร</t>
  </si>
  <si>
    <t xml:space="preserve"> งานครุภัณฑ์จัดจ้างหรือสั่งทำ</t>
  </si>
  <si>
    <t>3)</t>
  </si>
  <si>
    <t>กลุ่มงานที่  3.</t>
  </si>
  <si>
    <t xml:space="preserve"> งานภูมิทัศน์</t>
  </si>
  <si>
    <t xml:space="preserve"> งานผังบริเวณและสิ่งก่อสร้างประกอบอื่นๆ</t>
  </si>
  <si>
    <t>ส่วนที่  2.</t>
  </si>
  <si>
    <t>งานครุภัณฑ์จัดซื้อหรือสั่งซื้อ</t>
  </si>
  <si>
    <t xml:space="preserve"> งานครุภัณฑ์-โสตทัศนูปกรณ์</t>
  </si>
  <si>
    <t>ส่วนที่  3.</t>
  </si>
  <si>
    <t>รวมค่าก่อสร้างทั้งโครงการ/งานก่อสร้าง</t>
  </si>
  <si>
    <t>สรุป</t>
  </si>
  <si>
    <t>ราคากลาง</t>
  </si>
  <si>
    <t>ตัวอักษร</t>
  </si>
  <si>
    <t>แบบ  ปร.5    (ก)</t>
  </si>
  <si>
    <t>แบบสรุปค่าก่อสร้าง</t>
  </si>
  <si>
    <t xml:space="preserve">กลุ่มงานที่  1.  </t>
  </si>
  <si>
    <t xml:space="preserve">งานโครงสร้าง,   สถาปัตยกรรม,   ระบบไฟฟ้าและสื่อสาร,   ระบบปรับอากาศและระบายอากาศ, </t>
  </si>
  <si>
    <t>ระบบสุขาภิบาลและป้องกันอัคคีภัย,    ระบบลิฟต์และบันไดเลื่อน</t>
  </si>
  <si>
    <t xml:space="preserve">กลุ่มงานที่  2.  </t>
  </si>
  <si>
    <t>งานตกแต่งภายใน,  งานครุภัณฑ์จัดจ้างหรือสั่งทำ</t>
  </si>
  <si>
    <t xml:space="preserve">กลุ่มงานที่  3.  </t>
  </si>
  <si>
    <t>งานภูมิทัศน์,  งานผังบริเวณและสิ่งก่อสร้างประกอบอื่นๆ</t>
  </si>
  <si>
    <t xml:space="preserve">ชื่อโครงการ/งานก่อสร้าง                  </t>
  </si>
  <si>
    <t>แบบ ปร.4  ที่แนบ    มีจำนวน</t>
  </si>
  <si>
    <t>หน้า</t>
  </si>
  <si>
    <t xml:space="preserve">เมื่อวันที่   เดือน   พ.ศ. </t>
  </si>
  <si>
    <t>หน่วย :  บาท</t>
  </si>
  <si>
    <t>ค่างานต้นทุน</t>
  </si>
  <si>
    <t>Factor -  F</t>
  </si>
  <si>
    <t>กลุ่มงานที่  1</t>
  </si>
  <si>
    <t>งานโครงสร้าง</t>
  </si>
  <si>
    <t>งานสถาปัตยกรรม</t>
  </si>
  <si>
    <t>กลุ่มงานที่  2</t>
  </si>
  <si>
    <t>กลุ่มงานที่  3</t>
  </si>
  <si>
    <t>งานภูมิทัศน์</t>
  </si>
  <si>
    <t>เงื่อนไขการใช้ตาราง Factor  -  F</t>
  </si>
  <si>
    <t xml:space="preserve">เงินล่วงหน้าจ่าย                  </t>
  </si>
  <si>
    <t>%</t>
  </si>
  <si>
    <t>เงินประกันผลงานหัก</t>
  </si>
  <si>
    <t xml:space="preserve">ภาษีมูลค่าเพิ่ม           </t>
  </si>
  <si>
    <t>รวมราคางานก่อสร้างอาคาร</t>
  </si>
  <si>
    <t>ขนาดเนื้อที่อาคาร         จำนวน</t>
  </si>
  <si>
    <t>เฉลี่ย</t>
  </si>
  <si>
    <t>บาท/ตร.ม.</t>
  </si>
  <si>
    <t>กลุ่มงานที่ 1</t>
  </si>
  <si>
    <t>กลุ่มงานที่ 1 / หมวดงานวิศวกรรมโครงสร้าง</t>
  </si>
  <si>
    <t>ชื่อโครงการ / งานก่อสร้าง  :    โครงการพัฒนาพื้นที่ส่วนขยาย ศูนย์ราชการเฉลิมพระเกียรติ ๘๐ พรรษา ๕ ธันวาคม ๒๕๕๐  พื้นที่โซน C</t>
  </si>
  <si>
    <t xml:space="preserve">งานโครงสร้าง คสล. ชั้นที่ 1 </t>
  </si>
  <si>
    <t>งานโครงสร้างเสา</t>
  </si>
  <si>
    <t>- งานคอนกรีตโครงสร้าง 350 ksc.(Cylinder)</t>
  </si>
  <si>
    <t>ลบ.ม.</t>
  </si>
  <si>
    <t>- งานไม้แบบ</t>
  </si>
  <si>
    <t>แบบหล่อ (ค่าวัสดุ)</t>
  </si>
  <si>
    <t>แบบหล่อ (ค่าแรง)</t>
  </si>
  <si>
    <t xml:space="preserve">   - ตะปูประกอบแบบ</t>
  </si>
  <si>
    <t>กก.</t>
  </si>
  <si>
    <t>- งานเหล็กเสริมคอนกรีต</t>
  </si>
  <si>
    <t xml:space="preserve">   - SR24-RB 6 mm.</t>
  </si>
  <si>
    <t xml:space="preserve">   - SR24-RB 9 mm.</t>
  </si>
  <si>
    <t xml:space="preserve">   - SD40-DB 12mm.</t>
  </si>
  <si>
    <t xml:space="preserve">   - SD40-DB 16mm.</t>
  </si>
  <si>
    <t xml:space="preserve">   - SD40-DB 20mm.</t>
  </si>
  <si>
    <t xml:space="preserve">   - SD40-DB 25mm.</t>
  </si>
  <si>
    <t xml:space="preserve">   - SD40-DB 28mm.</t>
  </si>
  <si>
    <t xml:space="preserve">   - SD50-DB 32mm.</t>
  </si>
  <si>
    <t xml:space="preserve">   - ลวดผูกเหล็ก</t>
  </si>
  <si>
    <t>- อื่นๆ(ถ้ามี)</t>
  </si>
  <si>
    <t>งานบันได ชั้น 1</t>
  </si>
  <si>
    <t>งานโครงสร้าง คสล. ชั้นที่ 2</t>
  </si>
  <si>
    <t>งานพื้นชั้น 2</t>
  </si>
  <si>
    <t xml:space="preserve">- ระบบพื้น Post-Tension </t>
  </si>
  <si>
    <t>งานคานชั้น 2</t>
  </si>
  <si>
    <t>งานเสาชั้น 2</t>
  </si>
  <si>
    <t>งานบันได ชั้น 2</t>
  </si>
  <si>
    <t>งานโครงสร้าง คสล. ชั้นที่ 3</t>
  </si>
  <si>
    <t>งานพื้นชั้น 3</t>
  </si>
  <si>
    <t>งานคานชั้น 3</t>
  </si>
  <si>
    <t>งานเสาชั้น 3</t>
  </si>
  <si>
    <t>งานบันได ชั้น 3</t>
  </si>
  <si>
    <t>งานโครงสร้าง คสล. ชั้นที่ 4</t>
  </si>
  <si>
    <t>งานพื้นชั้น 4</t>
  </si>
  <si>
    <t>งานคานชั้น 4</t>
  </si>
  <si>
    <t>งานเสาชั้น 4</t>
  </si>
  <si>
    <t>งานบันได ชั้น 4</t>
  </si>
  <si>
    <t>งานโครงสร้าง คสล. ชั้นที่ 5</t>
  </si>
  <si>
    <t>งานพื้นชั้น 5</t>
  </si>
  <si>
    <t>งานคานชั้น 5</t>
  </si>
  <si>
    <t>งานเสาชั้น 5</t>
  </si>
  <si>
    <t>งานบันได ชั้น 5</t>
  </si>
  <si>
    <t>1.6.1</t>
  </si>
  <si>
    <t>งานพื้นชั้น 6</t>
  </si>
  <si>
    <t>1.6.2</t>
  </si>
  <si>
    <t>งานคานชั้น 6</t>
  </si>
  <si>
    <t>1.6.3</t>
  </si>
  <si>
    <t>งานเสาชั้น 6</t>
  </si>
  <si>
    <t>1.6.4</t>
  </si>
  <si>
    <t>1.6.5</t>
  </si>
  <si>
    <t>งานบันได ชั้น 6</t>
  </si>
  <si>
    <t>งานโครงสร้าง คสล. ชั้นที่ 7</t>
  </si>
  <si>
    <t>1.7.1</t>
  </si>
  <si>
    <t>งานพื้นชั้น 7</t>
  </si>
  <si>
    <t>1.7.2</t>
  </si>
  <si>
    <t>งานคานชั้น 7</t>
  </si>
  <si>
    <t>1.7.3</t>
  </si>
  <si>
    <t>งานเสาชั้น 7</t>
  </si>
  <si>
    <t>1.7.4</t>
  </si>
  <si>
    <t>1.7.5</t>
  </si>
  <si>
    <t>งานบันได ชั้น 7</t>
  </si>
  <si>
    <t>งานโครงสร้าง คสล. ชั้นที่ 8</t>
  </si>
  <si>
    <t>1.8.1</t>
  </si>
  <si>
    <t>งานพื้นชั้น 8</t>
  </si>
  <si>
    <t>1.8.2</t>
  </si>
  <si>
    <t>งานคานชั้น 8</t>
  </si>
  <si>
    <t>1.8.3</t>
  </si>
  <si>
    <t>งานเสาชั้น 8</t>
  </si>
  <si>
    <t>1.8.4</t>
  </si>
  <si>
    <t>1.8.5</t>
  </si>
  <si>
    <t>งานบันได ชั้น 8</t>
  </si>
  <si>
    <t>งานโครงสร้าง คสล. ชั้นดาดฟ้า</t>
  </si>
  <si>
    <t>งานพื้นชั้นดาดฟ้า</t>
  </si>
  <si>
    <t>- งานคอนกรีตโครงสร้าง 350 ksc.(Cylinder) ผสมกันซึม</t>
  </si>
  <si>
    <t>งานคานชั้นดาดฟ้า</t>
  </si>
  <si>
    <t>งานเสาชั้นดาดฟ้า</t>
  </si>
  <si>
    <t>งานโครงสร้างเหล็กรูปพรรณ (รวมค่าเชื่อมประกอบและการยกติดตั้ง)</t>
  </si>
  <si>
    <t>งานผนังลิฟต์และบันได ชั้น 1</t>
  </si>
  <si>
    <t>งานผนังลิฟต์และบันได ชั้น 2</t>
  </si>
  <si>
    <t>งานผนังลิฟต์และบันได ชั้น 3</t>
  </si>
  <si>
    <t>งานผนังลิฟต์และบันได ชั้น 4</t>
  </si>
  <si>
    <t>งานผนังลิฟต์และบันได ชั้น 5</t>
  </si>
  <si>
    <t>งานผนังลิฟต์และบันได ชั้น 6</t>
  </si>
  <si>
    <t>งานผนังลิฟต์และบันได ชั้น 7</t>
  </si>
  <si>
    <t>งานผนังลิฟต์และบันได ชั้น 8</t>
  </si>
  <si>
    <t>งานโครงสร้างเหล็กรูปพรรณ</t>
  </si>
  <si>
    <t>งานโครงสร้างเหล็กรูปพรรณ พื้นชั้น 7</t>
  </si>
  <si>
    <t xml:space="preserve">   H - 100x100x6x8 mm. (17.20 kg./m.)</t>
  </si>
  <si>
    <t xml:space="preserve">   Metal deck - 3W 1.20 mm. Thk.</t>
  </si>
  <si>
    <t xml:space="preserve">   (Included stud, edge-form, profile end closure)</t>
  </si>
  <si>
    <t xml:space="preserve">   H - 200x200x8x12 mm. (49.90 kg./m.)</t>
  </si>
  <si>
    <t xml:space="preserve">   H - 400x400x13x21 mm. (172.00 kg./m.)</t>
  </si>
  <si>
    <t>ชุด</t>
  </si>
  <si>
    <t xml:space="preserve">   H - 125x125x6.5x9 mm. (23.80 kg./m.)</t>
  </si>
  <si>
    <t>หมายเหตุ ไม่รวม siding member</t>
  </si>
  <si>
    <t>2.</t>
  </si>
  <si>
    <t>7.</t>
  </si>
  <si>
    <t>9.</t>
  </si>
  <si>
    <t>แบบ ปร. 4 (พ)</t>
  </si>
  <si>
    <t xml:space="preserve">ชื่อโครงการ / งานก่อสร้าง  :    โครงการพัฒนาพื้นที่โซนซี ศูนย์ราชการเฉลิมพระเกียรติ ฯ ๘๐ พรรษา ๕ ธันวาคม ๒๕๕๐ </t>
  </si>
  <si>
    <t xml:space="preserve">เมื่อวันที่  </t>
  </si>
  <si>
    <t>ค่าใช้จ่ายรวม</t>
  </si>
  <si>
    <t>(ค่าก่อสร้าง)</t>
  </si>
  <si>
    <t>งานเช่า Tower Crane และ Passenger Hoist</t>
  </si>
  <si>
    <t>งานเช่า Concrete Pump</t>
  </si>
  <si>
    <t>งานสำนักงานสนามของผู้ว่าจ้าง และผู้ควบคุมงาน</t>
  </si>
  <si>
    <t>งานการป้องกันฝุ่นละอองและของตกหล่น</t>
  </si>
  <si>
    <t>งานมาตรฐานอาคารเขียว</t>
  </si>
  <si>
    <t>งานมาตรการลดผลกระทบสิ่งแวดล้อม</t>
  </si>
  <si>
    <t>การไม่ให้คนงานพักนสถานที่ก่อสร้าง</t>
  </si>
  <si>
    <t>การป้องกันทรัพย์สินอาคารเดิม</t>
  </si>
  <si>
    <t>รวมค่าใช้จ่ายพิเศษตามข้อกำหนด</t>
  </si>
  <si>
    <t>แบบแสดงการคำนวณและเหตุผลความจำเป็น
สำหรับค่าใช้จ่ายพิเศษตามข้อกำหนดฯ</t>
  </si>
  <si>
    <t xml:space="preserve">สำหรับค่าใช้จ่ายพิเศษตามข้อกำหนดฯ </t>
  </si>
  <si>
    <r>
      <t xml:space="preserve">ชื่อโครงการ / งานก่อสร้าง  :    </t>
    </r>
    <r>
      <rPr>
        <i/>
        <sz val="14"/>
        <color theme="1"/>
        <rFont val="TH Sarabun New"/>
        <family val="2"/>
      </rPr>
      <t>โครงการพัฒนาพื้นที่ส่วนขยายศูนย์ราชการเฉลิมพระเกียรติ ๘๐ พรรษา ๕ ธันวาคม ๒๕๕๐ พื้นที่โซน C</t>
    </r>
  </si>
  <si>
    <t>1. เหตุผลและความจำเป็นที่ต้องมีค่าใช้จ่ายพิเศษตามข้อกำหนดฯ รายการนี้  :</t>
  </si>
  <si>
    <t>เนื่องจากเป็นการก่อสร้างอาคารสูง ประมาณ 45 เมตร จึงมีความจำเป็นที่จะต้องใช้ Tower Crane สำหรับการก่อสร้าง</t>
  </si>
  <si>
    <t>2. รายละเอียดการคำนวณ</t>
  </si>
  <si>
    <t>รายการค่าใช้จ่าย</t>
  </si>
  <si>
    <t xml:space="preserve">ค่าเช่า Tower Crane </t>
  </si>
  <si>
    <t>ค่าเช่า Passenger Hoist Twin Cage</t>
  </si>
  <si>
    <t xml:space="preserve">   ค่าติดตั้ง และ Jack Up ความสูง 80,000 บาท ต่อตัว = 80,000 x 2 = 160,000 บาท</t>
  </si>
  <si>
    <t xml:space="preserve">   ค่ารื้อถอน  80,000 บาทต่อตัว  เป็นเงิน = 80,000x2 = 160,000 บาท</t>
  </si>
  <si>
    <t xml:space="preserve">   ค่าขนส่งไป - กลับ 30,000 บาทต่อตัว เป็นเงิน = 30,000x2 = 60,000 บาท</t>
  </si>
  <si>
    <t>รวมค่าใช้จ่าย</t>
  </si>
  <si>
    <t>ค่าภาษีมูลค่าเพิ่ม</t>
  </si>
  <si>
    <t>ค่าใช้จ่ายรวมภาษีมูลค่าเพิ่ม</t>
  </si>
  <si>
    <t>เนื่องจากเป็นการก่อสร้างอาคารสูง ประมาณ 45 เมตร จึงมีความจำเป็นที่จะต้องใช้ Concrete Pump สำหรับการเทคอนกรีตพื้น</t>
  </si>
  <si>
    <t>ค่าเช่ารถ Concrete Pump สำหรับเทคอนกรีตพื้น</t>
  </si>
  <si>
    <t xml:space="preserve">ค่าเช่ารถ Concrete Pump 100 บาทต่อคอนกรีต 1 ลูกบาศก์เมตร </t>
  </si>
  <si>
    <t>เพื่อใช้ประโยชน์เป็นพื้นที่สำนักงาน สำหรับผู้ว่าจ้างและผู้ควบคุมงาน โครงการนี้</t>
  </si>
  <si>
    <t>ค่าเช่าตู้ Container สำนักงานสนามของผู้ว่าจ้าง และผู้ควบคุมงาน รวม 7 ตู้</t>
  </si>
  <si>
    <t>ขนาด 3.00x12.00x2.50 เมตร พร้อมเครื่องปรับอากาศ 12,000 บาทต่อตู้ต่อเดือน</t>
  </si>
  <si>
    <t>ค่าขนส่ง ไป - กลับ โดยรถเทรลเลอร์ = 8,000 บาท ต่อเที่ยว ต่อ ตู้</t>
  </si>
  <si>
    <t>เป็นเงิน = 2x8,000x7 = 112,000 บาท</t>
  </si>
  <si>
    <t>ค่าเครนยกตู้หน้างาน 2 เที่ยว เที่ยวละ 10,000 บาท</t>
  </si>
  <si>
    <t>เป็นเงิน = 10,000x2 = 20,000 บาท</t>
  </si>
  <si>
    <t>เพื่อป้องกันฝุ่นละอองจากการก่อสร้าง ไปสร้างความรบกวนให้กับพื้นที่ข้างเคียง และบุคคลสัญจรบริเวณนั้น</t>
  </si>
  <si>
    <t xml:space="preserve">ค่าผ้าใบกันฝุ่น </t>
  </si>
  <si>
    <t>โครงเหล็กยึดผ้าใบ (คิดค่าวัสดุ 50%)  44 บาทต่อตรางเมตร</t>
  </si>
  <si>
    <t>ค่าติดตั้ง และค่ารื้อถอน โครงเหล็กยึดผ้าใบ 8 บาท ต่อตารางเมตร</t>
  </si>
  <si>
    <t>ผ้าใบกันฝุ่นโดยรอบอาคาร 28 บาทต่อตารางเมตร</t>
  </si>
  <si>
    <t>รวมเป็น 44+8+28 = 80 บาทต่อตารางเมตร</t>
  </si>
  <si>
    <t>เนื่องจากโครงการมีนโยบายเป็นอาคารเขียว จึงต้องมีมาตรการต่างๆควบคุมเพื่อให้ผ่านมาตรฐานอาคารเขียว</t>
  </si>
  <si>
    <t>มาตรฐานอาคารเขียว</t>
  </si>
  <si>
    <t>เนื่องจากโครงการอยู่ภายในพื้นที่ของทางราชการ จึงต้องมีมาตรการลดผบกระทบสิ่งแวดล้อม เพื่อไม่ให้กระทบกระเทือนต่อผู้ใช้สถานที่อื่นๆ</t>
  </si>
  <si>
    <t>มาตรการลดผลกระทบสิ่งแวดล้อม</t>
  </si>
  <si>
    <t>เนื่องจากโครงการมีนโยบายไม่ให้คนงานพักในสถานที่ก่อสร้าง</t>
  </si>
  <si>
    <t>ค่าใช้จ่ายมาตรการไม่อนุญาตให้คนงานพักในสถานที่ก่อสร้าง</t>
  </si>
  <si>
    <t>เนื่องจากมีการสร้างอยู่บนพื้นที่ที่มางานก่อสร้างเดิมอยู่แล้วจึงจำเป็นต้องมีมาตรการป้องกันทรัพย์สินอาคารเดิม</t>
  </si>
  <si>
    <t xml:space="preserve">   เช่า Tower Crane Boom 60 เมตร 2 ตัว</t>
  </si>
  <si>
    <t xml:space="preserve">   ค่าเช่า 120,000 บาท/เดือน/ตัว เป็นเงิน 120,000 x 8 x 2 = 1,920,000 บาท</t>
  </si>
  <si>
    <t xml:space="preserve">   ค่าติดตั้ง 120,000 บาทต่อตัว  เป็นเงิน = 120,000x2 = 240,000 บาท</t>
  </si>
  <si>
    <t xml:space="preserve">   ค่าJack Up ความสูง  40,000 บาทต่อตัว  เป็นเงิน = 40,000x2 = 80,000 บาท</t>
  </si>
  <si>
    <t xml:space="preserve">   ค่าJack Down และรื้อถอน  120,000 บาทต่อตัว  เป็นเงิน = 120,000x2 = 240,000 บาท</t>
  </si>
  <si>
    <t xml:space="preserve">   ค่าเช่า 80,000 บาท/เดือน/ตัว เป็นเงิน 80,000 x 8 x 2 = 1,280,000 บาท</t>
  </si>
  <si>
    <t xml:space="preserve">   ค่าขนส่งไป - กลับ 110,000 บาทต่อตัว เป็นเงิน = 110,000x2 = 220,000 บาท</t>
  </si>
  <si>
    <t>พื้นที่ผ้าใบกันฝุ่น ประมาณ 12,150 ตารางเมตร</t>
  </si>
  <si>
    <t>เนื่องจากมีการติดตั้ง โครงสร้างเหล็กรูปพรรณ ซึ่งมีความสูงองค์อาคาร ประมาณ 45 เมตร และยกวัสดุต่างๆเพื่อใช้ในการก่อสร้างอาคาร</t>
  </si>
  <si>
    <t xml:space="preserve">   ค่าเช่า 22,000 บาท/คัน/วัน เป็นเงิน 22,000 x 30 x 20 x 4 = 52,800,000 บาท</t>
  </si>
  <si>
    <t>งานเช่า Mobile Crane</t>
  </si>
  <si>
    <t>Budget</t>
  </si>
  <si>
    <t>ผลต่าง</t>
  </si>
  <si>
    <t>งานระบบ</t>
  </si>
  <si>
    <t>โครงสร้าง</t>
  </si>
  <si>
    <t>Landscape</t>
  </si>
  <si>
    <t>AR</t>
  </si>
  <si>
    <t>Cost</t>
  </si>
  <si>
    <t>รวม</t>
  </si>
  <si>
    <t>ค่าแรงขั้นต่ำ</t>
  </si>
  <si>
    <t xml:space="preserve">  SAG ROD ø15mm</t>
  </si>
  <si>
    <t xml:space="preserve">  C-200x75x20x4 mm -11.70 kg/m</t>
  </si>
  <si>
    <t>งานโครงสร้างเหล็กรูปพรรณ หลังคา และ Facade</t>
  </si>
  <si>
    <t xml:space="preserve">  PL 9 mm. thk.</t>
  </si>
  <si>
    <t xml:space="preserve">  PL 12 mm. thk.</t>
  </si>
  <si>
    <t xml:space="preserve">  PL 22 mm. thk.</t>
  </si>
  <si>
    <t xml:space="preserve">  Anchor Bolt M19</t>
  </si>
  <si>
    <t xml:space="preserve">  Anchor Bolt M20</t>
  </si>
  <si>
    <t xml:space="preserve">  PL 15 mm. thk.</t>
  </si>
  <si>
    <t xml:space="preserve">  PL 25 mm. thk.</t>
  </si>
  <si>
    <t xml:space="preserve">   - SD40-DB 10mm.</t>
  </si>
  <si>
    <t xml:space="preserve">  Stud Ø20 x 15mm.</t>
  </si>
  <si>
    <t xml:space="preserve">   H - 250x250x9x14 mm. (434 kg./m.)</t>
  </si>
  <si>
    <t xml:space="preserve"> งานครุภัณฑ์ครัว</t>
  </si>
  <si>
    <t>ระบบก๊าซหุงต้ม (LPG System)</t>
  </si>
  <si>
    <t>1.9</t>
  </si>
  <si>
    <t>1.9.1</t>
  </si>
  <si>
    <t>1.9.2</t>
  </si>
  <si>
    <t>1.9.3</t>
  </si>
  <si>
    <t>1.10</t>
  </si>
  <si>
    <t>1.11</t>
  </si>
  <si>
    <t>ค่าแรงรวม</t>
  </si>
  <si>
    <t>ค่าแรงต่อวัน</t>
  </si>
  <si>
    <t>เป็นจำนวนคน</t>
  </si>
  <si>
    <t>คน</t>
  </si>
  <si>
    <r>
      <t xml:space="preserve">  Pipe </t>
    </r>
    <r>
      <rPr>
        <sz val="14"/>
        <color theme="1"/>
        <rFont val="Symbol"/>
        <family val="1"/>
        <charset val="2"/>
      </rPr>
      <t xml:space="preserve">f </t>
    </r>
    <r>
      <rPr>
        <sz val="14"/>
        <color theme="1"/>
        <rFont val="TH Sarabun New"/>
        <family val="2"/>
      </rPr>
      <t>101.6x4.0 mm. (9.63 kg./m.)</t>
    </r>
  </si>
  <si>
    <t>งานพื้นชั้น 6 Mezzanine</t>
  </si>
  <si>
    <t>งานโครงสร้าง คสล. ชั้นที่ 6 และ ชั้น 6 Mezzanine</t>
  </si>
  <si>
    <t>1.6.6</t>
  </si>
  <si>
    <t>1.6.7</t>
  </si>
  <si>
    <t>งานโรงพักขยะ</t>
  </si>
  <si>
    <t>1.12</t>
  </si>
  <si>
    <t>งานพื้นชั้นหลังคา</t>
  </si>
  <si>
    <t>งานคานชั้นหลังคา</t>
  </si>
  <si>
    <t>- งานทรายถม</t>
  </si>
  <si>
    <t xml:space="preserve">   เหล็กกล่อง 25x25x3.2</t>
  </si>
  <si>
    <t xml:space="preserve">   เหล็กกล่อง 50x50x3.2</t>
  </si>
  <si>
    <t xml:space="preserve">  C-125x50x20x3.2 mm -6.13 kg/m</t>
  </si>
  <si>
    <t xml:space="preserve">  PL 20 mm. thk.</t>
  </si>
  <si>
    <t>งานคานชั้น 6 Mezzanine</t>
  </si>
  <si>
    <t>1 เหมา</t>
  </si>
  <si>
    <t>1.10.1</t>
  </si>
  <si>
    <t>1.10.2</t>
  </si>
  <si>
    <t>งานโครงสร้าง คสล. ชั้นหลังคา</t>
  </si>
  <si>
    <t xml:space="preserve">   - SR24-RB 12 mm.</t>
  </si>
  <si>
    <r>
      <t xml:space="preserve">  Pipe </t>
    </r>
    <r>
      <rPr>
        <sz val="14"/>
        <color theme="1"/>
        <rFont val="Symbol"/>
        <family val="1"/>
        <charset val="2"/>
      </rPr>
      <t xml:space="preserve">f </t>
    </r>
    <r>
      <rPr>
        <sz val="14"/>
        <color theme="1"/>
        <rFont val="TH Sarabun New"/>
        <family val="2"/>
      </rPr>
      <t>165.2x6.0 mm. (23.60 kg./m.)</t>
    </r>
  </si>
  <si>
    <r>
      <t xml:space="preserve">  Pipe </t>
    </r>
    <r>
      <rPr>
        <sz val="14"/>
        <color theme="1"/>
        <rFont val="Symbol"/>
        <family val="1"/>
        <charset val="2"/>
      </rPr>
      <t xml:space="preserve">f </t>
    </r>
    <r>
      <rPr>
        <sz val="14"/>
        <color theme="1"/>
        <rFont val="TH Sarabun New"/>
        <family val="2"/>
      </rPr>
      <t>267.4x6.0 mm. (38.7 kg./m.)</t>
    </r>
  </si>
  <si>
    <r>
      <t xml:space="preserve">  Pipe </t>
    </r>
    <r>
      <rPr>
        <sz val="14"/>
        <color theme="1"/>
        <rFont val="Symbol"/>
        <family val="1"/>
        <charset val="2"/>
      </rPr>
      <t xml:space="preserve">f </t>
    </r>
    <r>
      <rPr>
        <sz val="14"/>
        <color theme="1"/>
        <rFont val="TH Sarabun New"/>
        <family val="2"/>
      </rPr>
      <t>267.4x8.0 mm. (51.2 kg./m.)</t>
    </r>
  </si>
  <si>
    <t xml:space="preserve">   เหล็กกล่อง 100x50x3.2</t>
  </si>
  <si>
    <t>งานโครงสร้างเหล็กรูปพรรณบันไดเหล็ก</t>
  </si>
  <si>
    <t xml:space="preserve">   H - 250x250x9x14 mm. (72.40 kg./m.)</t>
  </si>
  <si>
    <t xml:space="preserve">   C-250x90x9x13 mm -34.6 kg/m</t>
  </si>
  <si>
    <t xml:space="preserve">   C-100x50x5x7.5 mm -9.36 kg/m</t>
  </si>
  <si>
    <t xml:space="preserve">   C-150x75x6.5x10 mm -18.6 kg/m.</t>
  </si>
  <si>
    <t xml:space="preserve">   L-50x50x5 mm</t>
  </si>
  <si>
    <t xml:space="preserve">   L-25x25x3 mm</t>
  </si>
  <si>
    <t xml:space="preserve">  Bolt and Nut M20</t>
  </si>
  <si>
    <t xml:space="preserve">   PL 16 mm. thk.</t>
  </si>
  <si>
    <t xml:space="preserve">   Checker Plate 4.5 mm thk</t>
  </si>
  <si>
    <t>กลุ่มงานที่ 1 / หมวดงานสถาปัตยกรรม</t>
  </si>
  <si>
    <t>#Daft1</t>
  </si>
  <si>
    <t>#Daft2</t>
  </si>
  <si>
    <t>งบ</t>
  </si>
  <si>
    <t>งานพื้นและวัสดุตกแต่งผิวพื้น</t>
  </si>
  <si>
    <t>2.1.1</t>
  </si>
  <si>
    <t>งานพื้นและวัสดุตกแต่งผิวพื้น ชั้นที่ B2</t>
  </si>
  <si>
    <t>ราคา/ตร.ม.</t>
  </si>
  <si>
    <t>F.0</t>
  </si>
  <si>
    <t>พื้น คสล. ทำผิวปูนทรายขัดเรียบ วัสดุผิวตามแบบงานตกแต่งภายใน</t>
  </si>
  <si>
    <t>F.1</t>
  </si>
  <si>
    <t>พื้น คสล.  ปูหินขัดสำเร็จรูป ขนาด 60x60 ซม.</t>
  </si>
  <si>
    <t>F.2</t>
  </si>
  <si>
    <t>พื้น คสล. ผสมน้ำยากันซึม เทปูนทรายปรับระดับ ปูกระเบื้อเซรามิคชนิดผิวไม่ลื่น</t>
  </si>
  <si>
    <t>F.3</t>
  </si>
  <si>
    <t>F.4</t>
  </si>
  <si>
    <t>F.5</t>
  </si>
  <si>
    <t>ขนาด 60x60 ซม.</t>
  </si>
  <si>
    <t>F.6</t>
  </si>
  <si>
    <t>พื้น คสล. เทปูนทรายปรับระดับ ผิวเรียบ ติดตั้งระบบเคลือบผิวทำสี EPOXY</t>
  </si>
  <si>
    <t>F.7</t>
  </si>
  <si>
    <t>พื้น คสล. เทปูนทรายปรับระดับ ติดตั้งระบบเคลือบผิว PADIANT FLOOR COOLING</t>
  </si>
  <si>
    <t>พื้น คสล. ปูหินแกรตนิต ผิวมัน ขนาด 60x120. หนา 2 ซม.</t>
  </si>
  <si>
    <t>F.9</t>
  </si>
  <si>
    <t>พื้น คสล. ปรับระดับเรียบ ทำผิวปูทรายขัดมันเรียบ</t>
  </si>
  <si>
    <t>F.10</t>
  </si>
  <si>
    <t>พื้น คสล. ทาสี THERMO PLASTIC ตีเส้นแบ่งแนวการจอดรถ และลูกศรแสดงทิศทาง</t>
  </si>
  <si>
    <t>F.11</t>
  </si>
  <si>
    <t>พื้น คสล. ผิวหินล้างเบอร์ 4 สีเทาดำ ปูนซีเมนต์ผสมสี</t>
  </si>
  <si>
    <t>F.12</t>
  </si>
  <si>
    <t>พื้น คสล. ทำระบบกันซึม  ประเภทใช้สำหรับถังน้ำ, ถังบำบัด</t>
  </si>
  <si>
    <t>F.13</t>
  </si>
  <si>
    <t>พื้น คสล. ทำระบบกันซึม  ประเภทใช้สำหรับหลังคาดาดฟ้าและทำผิวปูนทราย</t>
  </si>
  <si>
    <t>F.14</t>
  </si>
  <si>
    <t>พื้น คสล. ผิวขัดมันทำระบบ FLOOR HARDENER</t>
  </si>
  <si>
    <t>F.15</t>
  </si>
  <si>
    <t>พื้น คสล. ทำผิวปูทรายขัดหยาบ เตรียมปูหินแกรนิตตามแบบงานตกแต่งภายใน</t>
  </si>
  <si>
    <t>F.16</t>
  </si>
  <si>
    <t>พื้น คสล. ทำผิวปูทรายขัดเรียบ เตรียมปูพรมตามแบบตกแต่งภายใน</t>
  </si>
  <si>
    <t>F.17</t>
  </si>
  <si>
    <t>พื้น คสล. ทำผิวปูทรายขัดเรียบ เตรียมปูแผ่นไวนิลตามแบบตกแต่งภายใน</t>
  </si>
  <si>
    <t>F.18</t>
  </si>
  <si>
    <t>พื้น คสล. ทำผิวปูทรายขัดหยาบ เตรียมปูกระเบื้องตามแบบตกแต่งภายใน</t>
  </si>
  <si>
    <t>F.19</t>
  </si>
  <si>
    <t>พื้น คสล. ทำผิวหินขัดกับที่ คัดเม็ดเบอร์ 3 และทำสีตามผู้ออกแบบ</t>
  </si>
  <si>
    <t>F.20</t>
  </si>
  <si>
    <t>พื้น คสล. ทำผิวปูทรายขัดเรียบ ทำผิว SELF LEVELING ปูกระเบื้องลายไม้ชนิดแผ่น</t>
  </si>
  <si>
    <t>ความหนาไม่น้อยกว่า 2.5 มม.</t>
  </si>
  <si>
    <t>-</t>
  </si>
  <si>
    <t>F.21</t>
  </si>
  <si>
    <t>พื้นแผ่นซีเมนต์บอร์ด หนา 20 มม. ปูชิดแผ่นต่อแผ่นและโป๊วผิวเรียบ รอปูพื้นตามแบบ</t>
  </si>
  <si>
    <t>ตกแต่งภายใน ด้านล่างเป็นโครงเหล็กกล่องขนาดตามแบบโครงสร้าง โครงเหล็กผิวทาสีกันสนิม</t>
  </si>
  <si>
    <t>และสีน้ำมัน</t>
  </si>
  <si>
    <t>F.22</t>
  </si>
  <si>
    <t>F.23</t>
  </si>
  <si>
    <t>พื้น คสล. ทำผิวปูทราย ปูแผ่นหินแกรนิตสีเทาอ่อน ผิวพ่นน้ำขนาด 60x60 ซม.</t>
  </si>
  <si>
    <t>ความหนาไม่น้อยกว่า 2 ซม.</t>
  </si>
  <si>
    <t>F.24</t>
  </si>
  <si>
    <t>พื้น คสล. ปรับระดับเรียบ ทำผิวปูนทรายขัดมันเรียบ หรือพื้นแผ่นซีเมนต์บอร์ด หนา 20 มม.</t>
  </si>
  <si>
    <t>ด้านล่างโครงคร่าวเหล็กกล่อง  โครงเหล็กผิวทาสีกันสนิมและสีน้ำมัน</t>
  </si>
  <si>
    <t>งานบัวเชิงผนัง</t>
  </si>
  <si>
    <t>ม.</t>
  </si>
  <si>
    <t>บัวพื้นทาสี EPOXY สูง 10 ซม.</t>
  </si>
  <si>
    <t>บัวพื้น ตามแบบตกแต่งภายใน</t>
  </si>
  <si>
    <t>2.1.2</t>
  </si>
  <si>
    <t>งานพื้นและวัสดุตกแต่งผิวพื้น ชั้นที่ B1</t>
  </si>
  <si>
    <t>พื้น คสล. ผสมน้ำยากันซึม เทปูนทรายปรับระดับ ปูกระเบื้องเซรามิคผิวมัน</t>
  </si>
  <si>
    <t>พื้น คสล. เทปูนทรายปรับระดับ ปูกระเบื้อง PORCELAIN ชนิดผิวไม่ลื่น</t>
  </si>
  <si>
    <t>พื้น คสล. ผสมน้ำยากันซึม เทปูนทรายปรับระดับ ปูกระเบื้อง PORCELAIN ชนิดผิวไม่ลื่น</t>
  </si>
  <si>
    <t>บัวพื้นอลูมิเนียมสูง 10 ซม.</t>
  </si>
  <si>
    <t>2.1.3</t>
  </si>
  <si>
    <t>งานพื้นและวัสดุตกแต่งผิวพื้น ชั้นที่ 1</t>
  </si>
  <si>
    <t>2.1.4</t>
  </si>
  <si>
    <t>งานพื้นและวัสดุตกแต่งผิวพื้น ชั้นที่ 2</t>
  </si>
  <si>
    <t>2.1.5</t>
  </si>
  <si>
    <t>งานพื้นและวัสดุตกแต่งผิวพื้น ชั้นที่ 3</t>
  </si>
  <si>
    <t>2.1.6</t>
  </si>
  <si>
    <t>งานพื้นและวัสดุตกแต่งผิวพื้น ชั้นที่ 4</t>
  </si>
  <si>
    <t>2.1.7</t>
  </si>
  <si>
    <t>งานพื้นและวัสดุตกแต่งผิวพื้น ชั้นที่ 5</t>
  </si>
  <si>
    <t>2.1.8</t>
  </si>
  <si>
    <t>งานพื้นและวัสดุตกแต่งผิวพื้น ชั้นที่ 6</t>
  </si>
  <si>
    <t>2.1.9</t>
  </si>
  <si>
    <t>งานพื้นและวัสดุตกแต่งผิวพื้น ชั้นที่ 7</t>
  </si>
  <si>
    <t>2.1.10</t>
  </si>
  <si>
    <t>งานพื้นและวัสดุตกแต่งผิวพื้น ชั้นที่ 8</t>
  </si>
  <si>
    <t>2.1.14</t>
  </si>
  <si>
    <t>งานพื้นและวัสดุตกแต่งผิวพื้น ชั้นดาดฟ้า</t>
  </si>
  <si>
    <t>งานผนังและวัสดุตกแต่งผิวผนัง</t>
  </si>
  <si>
    <t>2.2.1</t>
  </si>
  <si>
    <t>งานผนังและวัสดุตกแต่งผิวผนัง ชั้นที่ B2</t>
  </si>
  <si>
    <t>งานก่อผนังคอนกรีตบล๊อกเบา  P1, P2, P2A, P3, P11, P12, P15, P21, P25</t>
  </si>
  <si>
    <t>งานก่อผนังคอนกรีตบล๊อกเบา หนา 19 ซม.  P14</t>
  </si>
  <si>
    <t>งานเสาเอ็น-คานเอ็น หนา 10 ซม.  P1, P2, P2A, P3, P11, P12, P15, P21, P25</t>
  </si>
  <si>
    <t>งานเสาเอ็น-คานเอ็น หนา 20 ซม.  P14</t>
  </si>
  <si>
    <t>งานฉาบปูนปรับระดับ (งานฉาบหน้าหลาย)</t>
  </si>
  <si>
    <t>งานฉาบปูนผนังก่อคอนกรีตบล๊อก (ภายใน)</t>
  </si>
  <si>
    <t>งานฉาบปูนผนังก่อคอนกรีตบล๊อกเบา(ภายนอก)</t>
  </si>
  <si>
    <t>P.1</t>
  </si>
  <si>
    <t>คอนกรีตบล๊อกเบา หรือส่วนของโครงสร้าง คสล. ผิวฉาบเรียบ</t>
  </si>
  <si>
    <t>ทาสี ACRYLIC 100% ใช้สำหรับภายนอก</t>
  </si>
  <si>
    <t>P.2</t>
  </si>
  <si>
    <t>คอนกรีตบล๊อกเบา หรือส่วนของโครงสร้าง คสล. ผิวฉาบเรียบรอตกแต่งผิวตามแบบ INTERIOR</t>
  </si>
  <si>
    <t>P.2A</t>
  </si>
  <si>
    <t>ทาสีACRYLIC 100% สำหรับภายใน</t>
  </si>
  <si>
    <t>สี ACRYLIC 100% ใช้สำหรับภายนอก</t>
  </si>
  <si>
    <t>P.4</t>
  </si>
  <si>
    <t>ผนัง คสล. สำเร็จรูป หนา 10 ซม. ผิวเรียบทาสี</t>
  </si>
  <si>
    <t>P.5</t>
  </si>
  <si>
    <t>โครงโลหะชุบสังกะสี ติดตั้งจากพื้นจนถึงท้องพื้นด้านบน</t>
  </si>
  <si>
    <t>P.6</t>
  </si>
  <si>
    <t>P.6A</t>
  </si>
  <si>
    <t>ทาสี ACRYLIC สำหรับภายใน</t>
  </si>
  <si>
    <t>P.7</t>
  </si>
  <si>
    <t>P.8</t>
  </si>
  <si>
    <t>P.9</t>
  </si>
  <si>
    <t>INTERIOR  ผนังสูงถึงโครงสร้าง  โครงโลหะชุบสังกะสี ติดตั้งจากพื้นจนถึงท้องพื้นด้านบน</t>
  </si>
  <si>
    <t>P.10</t>
  </si>
  <si>
    <t>โครงโลหะชุบสังกะสี</t>
  </si>
  <si>
    <t>ภายในบุ PU FOAM หนา 2" ความหนาแน่น 24 กก/ลบ.ม.</t>
  </si>
  <si>
    <t>P.11</t>
  </si>
  <si>
    <t>ผนังคอนกรีตบล๊อกเบา หรือส่วนของโครงสร้าง คสล. ฉาบเรียบทาสี EPOXY</t>
  </si>
  <si>
    <t>P.12</t>
  </si>
  <si>
    <t>ผนังคอนกรีตบล๊อกเบา หรือส่วนของโครงสร้าง คสล. ปูกระเบื้องเซรามิค ขนาด 30x30 ซม.</t>
  </si>
  <si>
    <t>P.13</t>
  </si>
  <si>
    <t>ผนังคอนกรีตบล๊อกเบา หรือส่วนของโครงสร้าง คสล. ปูกระเบื้องพอร์ชเลน ขนาด 60x60 ซม.</t>
  </si>
  <si>
    <t>P.14</t>
  </si>
  <si>
    <t>ทาสีอะคริลิคสำหรับภายใน</t>
  </si>
  <si>
    <t>P.15</t>
  </si>
  <si>
    <t>จัดทำ PATTERN แนวเซาะร่อง ติดคิ้วสแตนตามแบบ</t>
  </si>
  <si>
    <t>P.16</t>
  </si>
  <si>
    <t>ผนัง คสล. ผิวหินล้างเบอร์ 4 คัดหินสี ตีเส้นแบ่งแนวทุกระยะ 1.20 ม.</t>
  </si>
  <si>
    <t>ขอราคาจาก A&amp;A</t>
  </si>
  <si>
    <t>P.17</t>
  </si>
  <si>
    <t xml:space="preserve">ผนังกรุแผ่น ALUMINIUM COMPOSITE CLADDING ชนิดกันไฟ หนา 4 มม. </t>
  </si>
  <si>
    <t>ติดตั้งบนโครงโลหะชุบกัลวาไนซ์</t>
  </si>
  <si>
    <t>P.18</t>
  </si>
  <si>
    <t>ผนังกรุแผ่น METAL SHEET เคลือบสี ติดตั้งบนโครงโลหะชุบสังกะสี</t>
  </si>
  <si>
    <t>P.18a</t>
  </si>
  <si>
    <t xml:space="preserve">ผนังกรุแผ่นหลังคาอลูมิเนียม เคลือบสี ติดตั้งบนโครงโลหะชุบสังกะสี </t>
  </si>
  <si>
    <t>ด้านหลังกรุแผ่นฉนวนกันความร้อน หนา 4 นิ้ว หรือตามระบุ</t>
  </si>
  <si>
    <t>P.19</t>
  </si>
  <si>
    <t>ผนังบานแผ่นเกล็ดระบายอากาศอลูมินั่ม เคลือบสี ติดตั้งบนโครงเหล็ก ผิวทาสี</t>
  </si>
  <si>
    <t>ระยะตามมาตราฐานผู้ผลิต</t>
  </si>
  <si>
    <t>P.20</t>
  </si>
  <si>
    <t>ผนังเกล็ดระบายอากาศติดตาย พ่นสี POWDER COAT ติดตั้งบนโครงโลหะชุบสังกะสี</t>
  </si>
  <si>
    <t>P.21</t>
  </si>
  <si>
    <t>ผนังคอนกรีตบล๊อกเบา หรือส่วนของโครงสร้าง คสล. ผิวฉาบเรียบไม่ทาสี หรือรอตกแต่งภายใน</t>
  </si>
  <si>
    <t>P.22</t>
  </si>
  <si>
    <t>ผนังกรุแผ่น SOLID ALUMINIUM ผิวพ่นสี PVDF (เลือกสีภายหลัง) หรือตามระบุในแบบ</t>
  </si>
  <si>
    <t>สำหรับผนังภายนอกให้กรุฉนวนกันความร้อน หนา 1 นิ้ว หรือตามที่ระบุบริเวณด้านในของแผ่น</t>
  </si>
  <si>
    <t>P.23</t>
  </si>
  <si>
    <t>P.23A</t>
  </si>
  <si>
    <t>P.23B</t>
  </si>
  <si>
    <t>P.24</t>
  </si>
  <si>
    <t>ผนังทาสี ACRYLIC ภายใน</t>
  </si>
  <si>
    <t>P.25</t>
  </si>
  <si>
    <t>ผนังคอนกรีตบล๊อกเบา หรือส่วนของโครงสร้าง คสล.. ผิวกรุหินแกรตนิต ผิวมัน ความหนา 2 ซม.</t>
  </si>
  <si>
    <t>ขนาดและรายละเอียดตามแบบ</t>
  </si>
  <si>
    <t>2.2.2</t>
  </si>
  <si>
    <t>งานผนังและวัสดุตกแต่งผิวผนัง ชั้นที่ B1</t>
  </si>
  <si>
    <t>งานก่อผนังคอนกรีตบลอคเบา  P1, P2, P2A, P3, P11, P12, P15, P21, P25</t>
  </si>
  <si>
    <t>งานก่อผนังคอนกรีตบลอคเบา หนา 19 ซม.  P14</t>
  </si>
  <si>
    <t>งานฉาบปูนผนังก่อคอนกรีตบลอค (ภายใน)</t>
  </si>
  <si>
    <t>งานฉาบปูนผนังก่อคอนกรีตบลอค (ภายนอก)</t>
  </si>
  <si>
    <t>ติดตั้ง 2 ด้านภายในกรุฉนวนกันเสียงหนา 2"และติดตั้งตาข่ายทองแดง SHIELD</t>
  </si>
  <si>
    <t>2.2.3</t>
  </si>
  <si>
    <t>งานผนังและวัสดุตกแต่งผิวผนัง ชั้นที่ 1</t>
  </si>
  <si>
    <t>ฉาบหน้าลาย</t>
  </si>
  <si>
    <t>2.2.4</t>
  </si>
  <si>
    <t>งานผนังและวัสดุตกแต่งผิวผนัง ชั้นที่ 2</t>
  </si>
  <si>
    <t>2.2.5</t>
  </si>
  <si>
    <t>งานผนังและวัสดุตกแต่งผิวผนัง ชั้นที่ 3</t>
  </si>
  <si>
    <t>2.2.6</t>
  </si>
  <si>
    <t>งานผนังและวัสดุตกแต่งผิวผนัง ชั้นที่ 4</t>
  </si>
  <si>
    <t>2.2.7</t>
  </si>
  <si>
    <t>งานผนังและวัสดุตกแต่งผิวผนัง ชั้นที่ 5</t>
  </si>
  <si>
    <t>2.2.8</t>
  </si>
  <si>
    <t>งานผนังและวัสดุตกแต่งผิวผนัง ชั้นที่ 6</t>
  </si>
  <si>
    <t>2.2.9</t>
  </si>
  <si>
    <t>งานผนังและวัสดุตกแต่งผิวผนัง ชั้นที่ 7</t>
  </si>
  <si>
    <t>2.2.10</t>
  </si>
  <si>
    <t>งานผนังและวัสดุตกแต่งผิวผนัง ชั้นที่ 8</t>
  </si>
  <si>
    <t>2.2.11</t>
  </si>
  <si>
    <t>งานผนังและวัสดุตกแต่งผิวผนัง ชั้นหลังคา</t>
  </si>
  <si>
    <t>งานฝ้าเพดาน</t>
  </si>
  <si>
    <t>2.3.1</t>
  </si>
  <si>
    <t>งานฝ้าเพดาน ชั้นที่ B2</t>
  </si>
  <si>
    <t>C.0</t>
  </si>
  <si>
    <t>ฝ้าตกแต่งตามแบบงานตกแต่งภายใน</t>
  </si>
  <si>
    <t>C.1</t>
  </si>
  <si>
    <t>ฝ้ายิปซั่มบอร์ดหนา 9มม.ชนิดขอบลาด ฉาบเรียบทาสีพลาสติก สำหรับเพดาน โครงโลหะชุบ</t>
  </si>
  <si>
    <t>ทาสีพลาสติกสำหรับงานฝ้าเพดาน</t>
  </si>
  <si>
    <t>C.2</t>
  </si>
  <si>
    <t>ฝ้ายิปซั่มบอร์ด หนา 9 มม. กันความชื้น ชนิดขอบลาด ฉาบเรียบ ทาสีอคริลิคสำหรับเพดาน</t>
  </si>
  <si>
    <t>C.3</t>
  </si>
  <si>
    <t>ฝ้าเพดาน ACOUSTIC ชนิดขอบบังใบ วางบนโครงคร่าว ที-บาร์ ผิวพ่นสี หนา 15 มม.</t>
  </si>
  <si>
    <t>C.4</t>
  </si>
  <si>
    <t>ฝ้าเพดาน คสล. เปลือยผิว หรือเตรียมตกแต่งตามแบบงานตกแต่งภายใน</t>
  </si>
  <si>
    <t>C.5</t>
  </si>
  <si>
    <t>ฝ้าเพดาน คสล. ผิวแต่งเรียบ ไม่ทาสี</t>
  </si>
  <si>
    <t>C.6</t>
  </si>
  <si>
    <t>ฝ้าเพดาน คสล. ฉาบผิวเรียบ ทาสีอะคริลิคสำหรับภายใน</t>
  </si>
  <si>
    <t>C.7</t>
  </si>
  <si>
    <t>ฝ้าอลูมิเนียมรูปแบบสี่เหลี่ยมทำผิวเจาะรูป (PERFORATED) ผิวเคลือบสี หนา 0.7 มม.</t>
  </si>
  <si>
    <t>ติดตั้งระบบ Clip-in ขนาดแผ่น 60x60 ซม. โครงเคร่าชุบสังกะสี</t>
  </si>
  <si>
    <t>C.8</t>
  </si>
  <si>
    <t>C.9</t>
  </si>
  <si>
    <t>หนา 9 มม. ขอบเรียบ วางบนโครงโลหะ T-BAR</t>
  </si>
  <si>
    <t>C.10</t>
  </si>
  <si>
    <t>2.3.2</t>
  </si>
  <si>
    <t>งานฝ้าเพดาน ชั้นที่ B1</t>
  </si>
  <si>
    <t>2.3.3</t>
  </si>
  <si>
    <t>งานฝ้าเพดาน ชั้นที่ 1</t>
  </si>
  <si>
    <t>2.3.4</t>
  </si>
  <si>
    <t>งานฝ้าเพดาน ชั้นที่ 2</t>
  </si>
  <si>
    <t>2.3.5</t>
  </si>
  <si>
    <t>งานฝ้าเพดาน ชั้นที่ 3</t>
  </si>
  <si>
    <t>2.3.6</t>
  </si>
  <si>
    <t>งานฝ้าเพดาน ชั้นที่ 4</t>
  </si>
  <si>
    <t>2.3.7</t>
  </si>
  <si>
    <t>งานฝ้าเพดาน ชั้นที่ 5</t>
  </si>
  <si>
    <t>2.3.8</t>
  </si>
  <si>
    <t>งานฝ้าเพดาน ชั้นที่ 6</t>
  </si>
  <si>
    <t>2.3.9</t>
  </si>
  <si>
    <t>งานฝ้าเพดาน ชั้นที่ 7</t>
  </si>
  <si>
    <t>2.3.10</t>
  </si>
  <si>
    <t>งานฝ้าเพดาน ชั้นที่ 8</t>
  </si>
  <si>
    <t>2.3.11</t>
  </si>
  <si>
    <t>งานวัสดุมุงหลังคา</t>
  </si>
  <si>
    <t>2.4.1</t>
  </si>
  <si>
    <t>หลังคา METAL SHEET  (ดาดฟ้า)</t>
  </si>
  <si>
    <t xml:space="preserve"> -</t>
  </si>
  <si>
    <t>หลังคามุงแผ่น METAL SHEET ระบบ STANDING SEAM / Thk.BMT 0.50 mm.</t>
  </si>
  <si>
    <t xml:space="preserve">/TCT.057 mm. / PVDF Color coating </t>
  </si>
  <si>
    <t xml:space="preserve">ด้านในกรุฉนวนใยแก้วกันความร้อน  หนา 6 นิ้ว ความหนาแน่น 32 Kg/m³ </t>
  </si>
  <si>
    <t xml:space="preserve">การติดตั้งมาตรฐานผู้ผลิต </t>
  </si>
  <si>
    <t>(ปิดผิวด้วยอลูมิเนียมฟอล์ย 1 ด้าน มีผ้าใยสังเคราะห์สีดำ 1 ด้าน)</t>
  </si>
  <si>
    <t>ชุด Flashing  ระบบ STANDING SEAM</t>
  </si>
  <si>
    <t>เมตร</t>
  </si>
  <si>
    <t>ผนังแนวตั้ง</t>
  </si>
  <si>
    <t>P18A</t>
  </si>
  <si>
    <t>2.4.2</t>
  </si>
  <si>
    <t>2.4.3</t>
  </si>
  <si>
    <t>หลังคามุงแผ่น METAL SHEET ระบบ STANDING SEAM ผิวพ่นสี PVDF</t>
  </si>
  <si>
    <t>การติดตั้งมาตรฐานผู้ผลิต    ( บริเวณพื้น ชั้น 3 )</t>
  </si>
  <si>
    <t>งานประตู-หน้าต่าง</t>
  </si>
  <si>
    <t>2.5.1</t>
  </si>
  <si>
    <t>งานประตู-หน้าต่าง ชั้นที่ B2</t>
  </si>
  <si>
    <t>CDA.1</t>
  </si>
  <si>
    <t>ประตูบานเลื่อนคู่ / วงกบอลูมิเนียมผิวพ่นสี /  ช่องแสงติดตาย / พร้อมบานเปิดเดี่ยว ลูกฟักกระจก</t>
  </si>
  <si>
    <t>CDA.1a</t>
  </si>
  <si>
    <t>ประตูบานเลื่อนคู่ / วงกบอลูมิเนียมผิวพ่นสี  / ช่องแสงติดตาย / พร้อมบานเปิดเดี่ยว ลูกฟักกระจก</t>
  </si>
  <si>
    <t>CDA.1b</t>
  </si>
  <si>
    <t>CDA.1c</t>
  </si>
  <si>
    <t>CDA.2</t>
  </si>
  <si>
    <t>CDA.3</t>
  </si>
  <si>
    <t>ประตูบานเลื่อนเดี่ยว/ วงกบอลูมิเนียมผิวพ่นสี</t>
  </si>
  <si>
    <t>CDA.4</t>
  </si>
  <si>
    <t>CDA.5</t>
  </si>
  <si>
    <t>CDA.6</t>
  </si>
  <si>
    <t>CDF.1</t>
  </si>
  <si>
    <t>ประตูบานเปิดเดี่ยว บานเหล็กทนไฟ</t>
  </si>
  <si>
    <t>CDF.1a</t>
  </si>
  <si>
    <t>ประตูบานเปิดเดี่ยว บานเหล็กทนไฟ กรุลามิเนต</t>
  </si>
  <si>
    <t>CDF.1b</t>
  </si>
  <si>
    <t>ประตูบานเปิดคู่ บานเหล็กทนไฟ  พร้อมช่องมองกระจก</t>
  </si>
  <si>
    <t>CDF.2</t>
  </si>
  <si>
    <t>CDF.3</t>
  </si>
  <si>
    <t>CDF.4</t>
  </si>
  <si>
    <t>ประตูบานเปิดคู่ กลอนแม่เหล็กไฟฟ้า (MAGNATIC)บานเหล็กทนไฟ  เปิดค้างตลอดเวลา</t>
  </si>
  <si>
    <t>CDF.5</t>
  </si>
  <si>
    <t>CDF.6</t>
  </si>
  <si>
    <t>CDF.7</t>
  </si>
  <si>
    <t>CDF.7a</t>
  </si>
  <si>
    <t>CDF.8</t>
  </si>
  <si>
    <t>CDF.9</t>
  </si>
  <si>
    <t>CDS.5</t>
  </si>
  <si>
    <t>ประตูบานเปิดคู่ บานเหล็ก</t>
  </si>
  <si>
    <t>CDS.8</t>
  </si>
  <si>
    <t>CDS.9</t>
  </si>
  <si>
    <t>ประตูบานเปิดเดี่ยว บานเหล็ก พร้อมเกล็ดระบายอากาศ</t>
  </si>
  <si>
    <t>CDS.10</t>
  </si>
  <si>
    <t>ประตูบานเปิดเดี่ยว บานเหล็ก</t>
  </si>
  <si>
    <t>CDS.11</t>
  </si>
  <si>
    <t>ประตูบานเปิดคู่ บานเหล็ก พร้อมช่องมองกระจก</t>
  </si>
  <si>
    <t>CDS.12</t>
  </si>
  <si>
    <t>CD.1</t>
  </si>
  <si>
    <t>ประตูบานเปิดเดี่ยว บานไม้อัดยาง พร้อมช่องมองกระจก</t>
  </si>
  <si>
    <t>RSD.1</t>
  </si>
  <si>
    <t>ประตูม้วนเหล็กกันไฟ  ขนาด ก3.00xส2.50 ม.</t>
  </si>
  <si>
    <t>RSD.2</t>
  </si>
  <si>
    <t>ประตูม้วนเหล็กกันไฟ  ขนาด ก4.00xส2.90 ม.</t>
  </si>
  <si>
    <t>RSD.3</t>
  </si>
  <si>
    <t>ประตูม้วนเหล็กกันไฟ  ขนาด ก4.40xส2.50 ม.</t>
  </si>
  <si>
    <t>RSD.3a</t>
  </si>
  <si>
    <t>ประตูม้วนเหล็กกันไฟ  ขนาด ก5.00xส5.60 ม.</t>
  </si>
  <si>
    <t>RSD.4</t>
  </si>
  <si>
    <t>ประตูม้วนเหล็กกันไฟ  ขนาด ก6.20xส2.90 ม.</t>
  </si>
  <si>
    <t>RSD.5</t>
  </si>
  <si>
    <t>ประตูม้วนเหล็กกันไฟ  ขนาด ก7.10xส2.90 ม.</t>
  </si>
  <si>
    <t>RSD.6</t>
  </si>
  <si>
    <t>ประตูม้วนเหล็กกันไฟ  ขนาด ก8.00xส3.30 ม.</t>
  </si>
  <si>
    <t>RSD.6a</t>
  </si>
  <si>
    <t>ประตูม้วนเหล็กกันไฟ  ขนาด ก8.00xส4.70 ม.</t>
  </si>
  <si>
    <t>RSD.7</t>
  </si>
  <si>
    <t>RSD.8</t>
  </si>
  <si>
    <t>ประตูม้วนเหล็กกันไฟ  ขนาด ก3.20xส3.00 ม.</t>
  </si>
  <si>
    <t>CW.1</t>
  </si>
  <si>
    <t>บานกระจกติดตาย / วงกบอลูมิเนียมผิวพ่นสี</t>
  </si>
  <si>
    <t>CW.1a</t>
  </si>
  <si>
    <t>CW.1b</t>
  </si>
  <si>
    <t>CW.1c</t>
  </si>
  <si>
    <t>CW.2</t>
  </si>
  <si>
    <t>CW.2a</t>
  </si>
  <si>
    <t>CW.2b</t>
  </si>
  <si>
    <t>CW.3</t>
  </si>
  <si>
    <t>CW.3a</t>
  </si>
  <si>
    <t>CW.3b</t>
  </si>
  <si>
    <t>CW.3c</t>
  </si>
  <si>
    <t>CW.4</t>
  </si>
  <si>
    <t>CW.5</t>
  </si>
  <si>
    <t>CW.6</t>
  </si>
  <si>
    <t>2.5.2</t>
  </si>
  <si>
    <t>งานประตู-หน้าต่าง ชั้นที่ B1</t>
  </si>
  <si>
    <t>2.5.3</t>
  </si>
  <si>
    <t>งานประตู-หน้าต่าง ชั้นที่ 1</t>
  </si>
  <si>
    <t>2.5.4</t>
  </si>
  <si>
    <t>งานประตู-หน้าต่าง ชั้นที่ 2</t>
  </si>
  <si>
    <t>2.5.5</t>
  </si>
  <si>
    <t>งานประตู-หน้าต่าง ชั้นที่ 3</t>
  </si>
  <si>
    <t>2.5.6</t>
  </si>
  <si>
    <t>งานประตู-หน้าต่าง ชั้นที่ 4</t>
  </si>
  <si>
    <t>2.5.7</t>
  </si>
  <si>
    <t>งานประตู-หน้าต่าง ชั้นที่ 5</t>
  </si>
  <si>
    <t>2.5.8</t>
  </si>
  <si>
    <t>งานประตู-หน้าต่าง ชั้นที่ 6</t>
  </si>
  <si>
    <t>2.5.9</t>
  </si>
  <si>
    <t>งานประตู-หน้าต่าง ชั้นที่ 7</t>
  </si>
  <si>
    <t>2.5.10</t>
  </si>
  <si>
    <t>งานประตู-หน้าต่าง ชั้นที่ 8</t>
  </si>
  <si>
    <t>2.5.12</t>
  </si>
  <si>
    <t>งานประตู-หน้าต่าง ชั้นดาดฟ้า</t>
  </si>
  <si>
    <t>งานสุขภัณฑ์พร้อมอุปกรณ์</t>
  </si>
  <si>
    <t>2.6.1</t>
  </si>
  <si>
    <t>งานสุขภัณฑ์พร้อมอุปกรณ์ ชั้นที่ 1</t>
  </si>
  <si>
    <t>ห้อง</t>
  </si>
  <si>
    <t>อ่างล้างหน้าชนิดฝังใต้เคาน์เตอร์</t>
  </si>
  <si>
    <t>โถสุขภัณฑ์ และฝารองนั่งพร้อมที่ฉีดชำระ</t>
  </si>
  <si>
    <t>ชุดฟลัชวาล์วโถส้วม</t>
  </si>
  <si>
    <t>ชุดฟลัชวาล์วแบบอัตโนมัติ ชนิดฝังผนัง</t>
  </si>
  <si>
    <t>ตระแกรงดักกลิ่นสเตนเลสเหลี่ยม ติดตั้งกับท่อพีวีซีขนาด 2-3 นิ้ว (หน้าแปลน 4 นิ้ว)</t>
  </si>
  <si>
    <t>ผนังห้องน้ำสำเร็จรูป แผ่น MFF ความหนา 30 mm. พร้อมอุปกรณ์ครบชุด</t>
  </si>
  <si>
    <t>ที่ใส่กระดาษเช็ดมือ (สแตนเลส)</t>
  </si>
  <si>
    <t>ชุดผนังปิดถังขยะ ขนาด กว้าง 0.50 x สูง 2.40 ม. กรุแผ่น MDF ผิว สแตนเลส พร้อมบานเปิด</t>
  </si>
  <si>
    <t>เคาน์เตอร์ คสล. กรุหินแกรนิต หนา 20 มม. ผิวขัดมัน กว้าง 0.60 ม.+ขอบลึก 0.20 ม.</t>
  </si>
  <si>
    <t>TOP หินแกรนิต หนา 20 มม. หลังโถปัสสาวะ กว้าง 0.15 ม.</t>
  </si>
  <si>
    <t>TOP หินแกรนิต หนา 20 มม. หลังโถสุขภัณฑ์  กว้าง 0.15 ม.</t>
  </si>
  <si>
    <t>ครอบสันผนัง ALUMINIUM (ตามแบบ</t>
  </si>
  <si>
    <t>คิ้วมุมผนัง ALUMINUM สำเร็จรูป</t>
  </si>
  <si>
    <t>หนา 6 มม  โครงคร่าวเหล็ก สูง 1.20 ม. ( ไม่รวมงานไฟ LED )</t>
  </si>
  <si>
    <t>หนา 6 มม  โครงคร่าวเหล็ก ขนาด กว้าง 1.20ม.xสูง1.80 ม. ( ไม่รวมงานไฟ LED )</t>
  </si>
  <si>
    <t>สายน้ำดี  สแตนเลสถัก 16 นิ้ว</t>
  </si>
  <si>
    <t>อ่างล้างหน้าชนิดแขวนผนัง</t>
  </si>
  <si>
    <t>ถาดรองเปลี่ยนผ้าอ้อมเด็ก แบบติดผนัง พับเก็บได้</t>
  </si>
  <si>
    <t>เก้าอี้เด็ก แบบติดผนัง พับเก็บได้</t>
  </si>
  <si>
    <t>ก๊อกเดี่ยวติดผนัง</t>
  </si>
  <si>
    <t>ตระแกรงดักกลิ่น สแตนเลส ขนาด 10 x15 ซม.</t>
  </si>
  <si>
    <t>ขอแขวนผ้า สแตนเลส</t>
  </si>
  <si>
    <t>ครอบสันผนัง ALUMINIUM (ตามแบบขยาย)</t>
  </si>
  <si>
    <t>คิ้วมุมผนัง ALUMINUM สำเร็จรูป  (ตามแบบขยาย)</t>
  </si>
  <si>
    <t>2.6.2</t>
  </si>
  <si>
    <t>งานสุขภัณฑ์พร้อมอุปกรณ์ ชั้นที่ 2</t>
  </si>
  <si>
    <t>2.6.3</t>
  </si>
  <si>
    <t>งานสุขภัณฑ์พร้อมอุปกรณ์ ชั้นที่ 3</t>
  </si>
  <si>
    <t>ชุดผนังปิดถังขยะ ขนาด กว้าง 0.50 x สูง 2.60 ม. กรุแผ่น MDF ผิว สแตนเลส พร้อมบานเปิด</t>
  </si>
  <si>
    <t>2.6.4</t>
  </si>
  <si>
    <t>งานสุขภัณฑ์พร้อมอุปกรณ์ ชั้นที่ 4</t>
  </si>
  <si>
    <t xml:space="preserve"> </t>
  </si>
  <si>
    <t>2.6.5</t>
  </si>
  <si>
    <t>งานสุขภัณฑ์พร้อมอุปกรณ์ ชั้นที่ 5</t>
  </si>
  <si>
    <t>2.6.6</t>
  </si>
  <si>
    <t>งานสุขภัณฑ์พร้อมอุปกรณ์ ชั้นที่ 6</t>
  </si>
  <si>
    <t>2.6.7</t>
  </si>
  <si>
    <t>งานสุขภัณฑ์พร้อมอุปกรณ์ ชั้นที่ 7</t>
  </si>
  <si>
    <t>งานทาสี</t>
  </si>
  <si>
    <t>รวมในงานผนัง</t>
  </si>
  <si>
    <t>งานบันไดและตกแต่งผิวบันได</t>
  </si>
  <si>
    <t>2.8.1</t>
  </si>
  <si>
    <t>งานบันไดและตกแต่งผิวบันได CST.01, CST.02</t>
  </si>
  <si>
    <t>F6</t>
  </si>
  <si>
    <t>ลูกตั้ง ,ลูกนอน  พื้น คสล. เทปูนทรายปรับระดับ ผิวเรียบ ติดตั้งระบบเคลือบผิวทำสี EPOXY</t>
  </si>
  <si>
    <t>N1</t>
  </si>
  <si>
    <t>จมูกบันได PVC สำเร็จรูป ขนาด กว้าง 5 ซม. หนา 5 มม.</t>
  </si>
  <si>
    <t>R1a/R1b</t>
  </si>
  <si>
    <t>ราวมือจับ สแตนเลส ขนาด Ø1½" หนา 1.5 มม.</t>
  </si>
  <si>
    <t>ขายึด สแตนเลส ขนาด Ø 1 หนา 1.5 มม.</t>
  </si>
  <si>
    <t>(ไม่รวมงานช่องเปิด ระบายอากาศ )</t>
  </si>
  <si>
    <t>2.8.2</t>
  </si>
  <si>
    <t>งานบันไดและตกแต่งผิวบันได  CST-03 / CST-04</t>
  </si>
  <si>
    <t>ลูกตั้ง ,ลูกนอน พื้น คสล. ทำผิวหินขัดกับที่ คัดเม็ดเบอร์ 3 และทำสีตามผู้ออกแบบ</t>
  </si>
  <si>
    <t>ชานพักบันได พื้น คสล. ทำผิวหินขัดกับที่ คัดเม็ดเบอร์ 3 และทำสีตามผู้ออกแบบ</t>
  </si>
  <si>
    <t>ตรม.</t>
  </si>
  <si>
    <t>R2a/R2b/R2c</t>
  </si>
  <si>
    <t>R2d</t>
  </si>
  <si>
    <t>ราวบันไดแสตนเลส ขนาด Ø 1 1/2'' หนา 1.5 มม. ทาสีน้ำมัน</t>
  </si>
  <si>
    <t>เสา แสตนเลส ขนาด Ø 1 1/2'' หนา 1.5 มม. ทาสีน้ำมัน</t>
  </si>
  <si>
    <t>งานก่อผนังคอนกรีตบลอคเบา  สูง 1.00 เมตร</t>
  </si>
  <si>
    <t>2.8.3</t>
  </si>
  <si>
    <t>งานบันไดและตกแต่งผิวบันได  CST-05</t>
  </si>
  <si>
    <t>R3a/R3b/R3c</t>
  </si>
  <si>
    <t>2.8.4</t>
  </si>
  <si>
    <t>งานบันไดและตกแต่งผิวบันได CST-06</t>
  </si>
  <si>
    <t>.</t>
  </si>
  <si>
    <t>2.8.5</t>
  </si>
  <si>
    <t>งานบันไดและตกแต่งผิวบันได  4 CST-07</t>
  </si>
  <si>
    <t>ลูกตั้ง ,ลูกนอน พื้น คสล. ปรับระดับเรียบ ทำผิวปูทรายขัดมันเรียบ</t>
  </si>
  <si>
    <t>ชานพักบันได  พื้น คสล. ปรับระดับเรียบ ทำผิวปูทรายขัดมันเรียบ</t>
  </si>
  <si>
    <t>N 2</t>
  </si>
  <si>
    <t>จมูกบันได เซาะร่อง ขนาด 1x1 ซม.</t>
  </si>
  <si>
    <t>R4/R4a/R4b</t>
  </si>
  <si>
    <t>ราวบันไดเหล็ก  ขนาด Ø1½" หนา 1.5 มม. ทาสีกันสนิม และสีน้ำมัน</t>
  </si>
  <si>
    <t>เสา ท่อเหล็กกลม  ขนาด Ø 1" หนา 1.5 มม. @ 0.75 ม.  ทาสีกันสนิม และสีน้ำมัน</t>
  </si>
  <si>
    <t>2.8.6</t>
  </si>
  <si>
    <t>งานบันไดและตกแต่งผิวบันได CST-08, CST-09</t>
  </si>
  <si>
    <t>ลูกตั้ง ,ลูกนอน พื้น คสล. เทปูนทรายปรับระดับ ผิวเรียบ ติดตั้งระบบเคลือบผิวทำสี EPOXY</t>
  </si>
  <si>
    <t>2.8.7</t>
  </si>
  <si>
    <t>งานบันไดและตกแต่งผิวบันได CST-10</t>
  </si>
  <si>
    <t>ลูกนอน CHECKERED PLATE 4.5mm.THK.</t>
  </si>
  <si>
    <t>ทาสีกันสนิม ทาทับด้วยสีน้ำมัน (ไม่รวมราคางานโครงสร้าง MAIN STAIR )</t>
  </si>
  <si>
    <t>2.8.8</t>
  </si>
  <si>
    <t>บันได ทางเดินบริการ</t>
  </si>
  <si>
    <t>ขั้นบันได เหล็ก Ø1 1/2" หนา 2.30มม.</t>
  </si>
  <si>
    <t>ราวมือจับ เหล็ก Ø2" หนา 2.30มม.</t>
  </si>
  <si>
    <t>2.8.9</t>
  </si>
  <si>
    <t>ราวกันตก ภายใน</t>
  </si>
  <si>
    <t>BT1</t>
  </si>
  <si>
    <t>กระจก TEMPER LAMINATE 12 mm.  กระจกเจียรขอบ ลบมุม ทุกมุม  สูง 1.10 ม.</t>
  </si>
  <si>
    <t>เสาสแตนเลส PLATE SST. 75x10 mm. และSST. 30x10 mm.  ขึ้นรูปตามแบบ ผิว HAIRLINE</t>
  </si>
  <si>
    <t>ราวมือจับสแตนเลส Ø 1½" mm. หนา 1.5 มม. ผิว HAIRLINE</t>
  </si>
  <si>
    <t>(ตามแบบขยายราวกันตกภายใน)</t>
  </si>
  <si>
    <t>ปิดขอบพื้น</t>
  </si>
  <si>
    <t>ติดตั้งบนโครงโลหะชุบกัลวาไนซ์ ( หุ้มแนวพื้น ขนานไปกับราวกันตก )</t>
  </si>
  <si>
    <t>BT3</t>
  </si>
  <si>
    <t>ทางเดินบริการ 1,2</t>
  </si>
  <si>
    <t>ราวมือจับสแตนเลส ขนาด Ø1½" หนา 1.5 มม.</t>
  </si>
  <si>
    <t>ลูกกรงสแตนเลส ขนาด Ø 1" หนา 1.5 มม.</t>
  </si>
  <si>
    <t>เสาสแตนเลส ขนาด Ø1½" หนา 1.5 มม.</t>
  </si>
  <si>
    <t>BT4</t>
  </si>
  <si>
    <t>บันไดเลื่อน</t>
  </si>
  <si>
    <t>งานเบ็ดเตล็ดและอื่นๆ</t>
  </si>
  <si>
    <t>2.9.1</t>
  </si>
  <si>
    <t>งาน FAÇADE</t>
  </si>
  <si>
    <t>2.9.1.1</t>
  </si>
  <si>
    <t>P.23A Aluminuim composite solid sheet</t>
  </si>
  <si>
    <t>2.9.1.2</t>
  </si>
  <si>
    <t>2.9.1.3</t>
  </si>
  <si>
    <t>2.9.1.4</t>
  </si>
  <si>
    <t>รางระบายน้ำสเตนเลส กว้าง 0.90ม. ลึก 0.50 ม.</t>
  </si>
  <si>
    <t>เหล็กกล่อง ขนาด 50x50x3.2 mm.</t>
  </si>
  <si>
    <t>2.9.1.5</t>
  </si>
  <si>
    <t>Aluminuim composite solid sheet perforated</t>
  </si>
  <si>
    <t>2.9.1.6</t>
  </si>
  <si>
    <t>Semi unit 4 sided system (exterior)</t>
  </si>
  <si>
    <t>CWA.1</t>
  </si>
  <si>
    <t>Glass 6 mm Clear HS+1.52 Clear PVB + s 6 mm Clear HS w/ Triple LowE</t>
  </si>
  <si>
    <t>12 mm. AS+6 mm. Clear HS</t>
  </si>
  <si>
    <t>CWA.2</t>
  </si>
  <si>
    <t>งานทาสีกันสนิม</t>
  </si>
  <si>
    <t>2.9.1.7</t>
  </si>
  <si>
    <t>CWA.3  Fixed windows shop front (ขนาด 9.00 x 5.30 ม.จำนวน 4 ชุด)</t>
  </si>
  <si>
    <t>Back Pan หนา 2 มม. Painted Aluminuium (Powder Coat PF-F)</t>
  </si>
  <si>
    <t>2.9.1.8</t>
  </si>
  <si>
    <t>2.9.1.9</t>
  </si>
  <si>
    <t>(แบบขยาย 1 ทางเดินบริการ )</t>
  </si>
  <si>
    <t>ปูแผ่นตะแกรงเหล็กฉีก (XS-32) ช่องกว้าง 15 มม. ยาว 32 มม. หนา 1.6 มม. วงบนโครงคร่าวเหล็ก</t>
  </si>
  <si>
    <t>(แบบขยาย 2 คานยึดโครงสร้างเสา)</t>
  </si>
  <si>
    <t>แผ่นไฟเบอร์ซีเมนต์บอร์ด หนา 20 มม. วงบนโครงคร่าวเหล็ก</t>
  </si>
  <si>
    <t>งานโครงเหล็ก โถงทางเข้า 1</t>
  </si>
  <si>
    <t>เหล็ก WF-300x300x10x15-94.0 Kg/m.</t>
  </si>
  <si>
    <t>เหล็ก WF-400x200x8x13-66.0 Kg/m.</t>
  </si>
  <si>
    <t>เหล็ก WF-500x200x10x16-89.6 Kg/m.</t>
  </si>
  <si>
    <t>2.9.2</t>
  </si>
  <si>
    <t>อื่นๆ</t>
  </si>
  <si>
    <t>2.9.2.1</t>
  </si>
  <si>
    <t>ที่กั้นล้อ ค.ส.ล. สำเร็จรูป</t>
  </si>
  <si>
    <t>ลูกศรจราจร</t>
  </si>
  <si>
    <t>สีเส้นแบ่งที่จอดรถ กว้าง 0.07 ม.</t>
  </si>
  <si>
    <t>เหล็กกันชนเสา ยาว 0.80 ม. (จอดรถ)</t>
  </si>
  <si>
    <t>รางระบายน้ำพร้อมฝาตะแกรงเหล็ก (Ramp) กว้าง 30 ซ.ม.</t>
  </si>
  <si>
    <t>2.9.2.3</t>
  </si>
  <si>
    <t>และทำความสะอาดพื้นผิวอาคาร</t>
  </si>
  <si>
    <t>2.9.2.4</t>
  </si>
  <si>
    <t>พื้นผิวต่างสัมผัส แบบ STAINLESS STEEL ยาวตลอดความกว้างของช่องเปิด</t>
  </si>
  <si>
    <t>ขนาด 0.30x 7.80 ม.  (935 ปุ่ม)</t>
  </si>
  <si>
    <t>ขนาด 0.30x 15.50 ม.  (1,860 ปุ่ม)</t>
  </si>
  <si>
    <t>ขนาด 0.30x 2.50 ม.  (300 ปุ่ม)</t>
  </si>
  <si>
    <t>2.9.2.5</t>
  </si>
  <si>
    <t>พื้นผิวต่างสัมผัส ประเภทยาง หนา 7.00 mm. ยาวตลอดความกว้างของช่องเปิด</t>
  </si>
  <si>
    <t>ขนาด 0.30 x 1.20 ม</t>
  </si>
  <si>
    <t>ขนาด 0.30 x 1.80 ม.</t>
  </si>
  <si>
    <t>2.9.3.6</t>
  </si>
  <si>
    <t>พรมดักฝุ่น ขอบอะลูมิเนียม ความหนาไม่น้อยกว่า 15 มม.</t>
  </si>
  <si>
    <t>ขนาด 1.50x 7.80 ม.</t>
  </si>
  <si>
    <t>ขนาด 1.50x 13.90 ม.</t>
  </si>
  <si>
    <t>2.9.2.7</t>
  </si>
  <si>
    <t xml:space="preserve">   ค่าเช่ารถเครนล้อยาง ความยาวบูมประมาณ 45 เมตร 4 คัน ระยะเวลา 10 เดือน </t>
  </si>
  <si>
    <t>X17</t>
  </si>
  <si>
    <t>งานไฟส่องสว่าง Façade</t>
  </si>
  <si>
    <t>9 watt LED/ 291lm/ 160o/ RGBW/ 24Vdc</t>
  </si>
  <si>
    <t>RGBW LED node with DMX controller. IP65. Power supply (1:15 fixtures)</t>
  </si>
  <si>
    <t>RGBW LED node with DMX controller. IP65. DMX repeater (1:45 fixtures)</t>
  </si>
  <si>
    <t>RGBW LED node with DMX controller. IP65. Lighting control system</t>
  </si>
  <si>
    <t>X19.L</t>
  </si>
  <si>
    <t>X20</t>
  </si>
  <si>
    <t>Ceiling recessed LED downlight with aluminum body and remote LED driver. IP54.</t>
  </si>
  <si>
    <t>X20.F</t>
  </si>
  <si>
    <t>งานระบบสีรองพื้น</t>
  </si>
  <si>
    <t>งานพ่นฉนวนป้องกันไฟ</t>
  </si>
  <si>
    <t>X20.L</t>
  </si>
  <si>
    <t>X21</t>
  </si>
  <si>
    <t>IP44. PMP- R3B 25 watt LED/ 1400lm/ wallwash/ 4000K</t>
  </si>
  <si>
    <t>X22</t>
  </si>
  <si>
    <t>X23</t>
  </si>
  <si>
    <t>integrated driver. IP65.LIGMAN - ODESSA2 + antiglare louvre(A80231) 36 watt LED</t>
  </si>
  <si>
    <t>X24</t>
  </si>
  <si>
    <t>Ground recessed LED uplight with stainless steel body and remote LED driver. IP67.</t>
  </si>
  <si>
    <t>X25</t>
  </si>
  <si>
    <t>integrated driver. IP65. WE EF - 139 1798 + honeycomb(139 1863) 169 watt LED</t>
  </si>
  <si>
    <t>X25.F</t>
  </si>
  <si>
    <t>integrated driver. IP65. WE EF - 139 1964 + spreadlens(139 1861) 169 watt LED/ 17250lm</t>
  </si>
  <si>
    <t>X25.S</t>
  </si>
  <si>
    <t>X26</t>
  </si>
  <si>
    <t>Surface LED floodlight with antiglare louvre, aluminum body and integrated driver. IP65.</t>
  </si>
  <si>
    <t>X27</t>
  </si>
  <si>
    <t>4 area lights (2 of X30 and 2 of X30.F) installed at top of light pole. IP65.</t>
  </si>
  <si>
    <t>LIGMAN - 
LI-21344-T4-T4-77040-ND
+ 10m galvanised pole</t>
  </si>
  <si>
    <t>544 watt LED/ 72356 lm/ 105ox71o/ 4000K</t>
  </si>
  <si>
    <t>X28</t>
  </si>
  <si>
    <t>Surface LED floodlight with aluminum body and integrated body. IP65.</t>
  </si>
  <si>
    <t>X29</t>
  </si>
  <si>
    <t>Surface down LED wall light with aluminum body and integrated LED driver. IP65.</t>
  </si>
  <si>
    <t>X30</t>
  </si>
  <si>
    <t>integrated driver. IP65. WE EF - 139 1825 + honeycomb(139 1857) 115 watt LED/ 12301lm</t>
  </si>
  <si>
    <t>X30.F</t>
  </si>
  <si>
    <t>integrated driver. IP65. WE EF - 139 1926 + honeycomb(139 1857) 115 watt LED/ 11469lm</t>
  </si>
  <si>
    <t>XL7</t>
  </si>
  <si>
    <t>pole 544 watt LED/ 72356 lm/ 105ox71o/ 4000K</t>
  </si>
  <si>
    <t>X27.1</t>
  </si>
  <si>
    <t>Modified 1 lamps of LED streetlight, 10m. in height with 2 LED floodlights(X26). IP65.</t>
  </si>
  <si>
    <r>
      <t xml:space="preserve">  Pipe </t>
    </r>
    <r>
      <rPr>
        <sz val="14"/>
        <color theme="1"/>
        <rFont val="Symbol"/>
        <family val="1"/>
        <charset val="2"/>
      </rPr>
      <t xml:space="preserve">f </t>
    </r>
    <r>
      <rPr>
        <sz val="14"/>
        <color theme="1"/>
        <rFont val="TH Sarabun New"/>
        <family val="2"/>
      </rPr>
      <t>114.3x5.6 mm. (15.02 kg./m.)</t>
    </r>
  </si>
  <si>
    <t>ลวดตะแกรงเบอร์ 14 เคลือบ PVC สีขาว ตา 50x100 มม. (ขนาด 1.00x30 ม.)</t>
  </si>
  <si>
    <t>2.4.4</t>
  </si>
  <si>
    <t>หลังคามุงแผ่น METAL SHEET ผิวพ่นสี PVDF</t>
  </si>
  <si>
    <t>การติดตั้งมาตรฐานผู้ผลิต ( โรงพักขยะ )</t>
  </si>
  <si>
    <t>ชุด Flashing</t>
  </si>
  <si>
    <t>รางระบายน้ำสแตนเลส ขนาด 0.30 x 0.20 ม.</t>
  </si>
  <si>
    <t>ติดตั้งตามมาตรฐานผู้ผลิต</t>
  </si>
  <si>
    <t>งานระบบลิฟต์และบันไดเลื่อน (Lift &amp; Escalator System)</t>
  </si>
  <si>
    <t xml:space="preserve">  Anchor Bolt M24 grade 8.8</t>
  </si>
  <si>
    <t>ค่าเช่ารถ Mobile Crane สำหรับยกโครงสร้างเหล็กรูปพรรณ Façade และวัสดุ</t>
  </si>
  <si>
    <t>กลุ่มงานที่ 1 / หมวดงานระบบไฟฟ้า และสื่อสาร</t>
  </si>
  <si>
    <t>งานระบบไฟฟ้าและสื่อสาร (Main Equipment)</t>
  </si>
  <si>
    <t>Main Incoming &amp; HV Routing</t>
  </si>
  <si>
    <t>3.1.1</t>
  </si>
  <si>
    <t>สายไฟฟ้าแรงสูง (HV Cable)</t>
  </si>
  <si>
    <t>3.1.1.1</t>
  </si>
  <si>
    <t>สายไฟฟ้าแรงสูงชนิด 25KV Cu XLPE Cable</t>
  </si>
  <si>
    <r>
      <t xml:space="preserve">   - 50   มม</t>
    </r>
    <r>
      <rPr>
        <sz val="14"/>
        <rFont val="Times New Roman"/>
        <family val="1"/>
        <charset val="222"/>
      </rPr>
      <t>²</t>
    </r>
  </si>
  <si>
    <r>
      <t xml:space="preserve">   - 70   มม</t>
    </r>
    <r>
      <rPr>
        <sz val="14"/>
        <rFont val="Times New Roman"/>
        <family val="1"/>
        <charset val="222"/>
      </rPr>
      <t>²</t>
    </r>
  </si>
  <si>
    <t xml:space="preserve">  -  Accessories</t>
  </si>
  <si>
    <t>ls</t>
  </si>
  <si>
    <t>3.1.5</t>
  </si>
  <si>
    <t>ท่อร้อยสายไฟฟ้าชนิด IMC (IMC Conduit)</t>
  </si>
  <si>
    <t xml:space="preserve">   -   100  มม. Ø</t>
  </si>
  <si>
    <t xml:space="preserve">   -  Fitting, Hanger &amp; support</t>
  </si>
  <si>
    <t>3.1.6</t>
  </si>
  <si>
    <t>HV Cable Terminator (Indoor)</t>
  </si>
  <si>
    <r>
      <t xml:space="preserve">   -  50   มม</t>
    </r>
    <r>
      <rPr>
        <sz val="14"/>
        <rFont val="Times New Roman"/>
        <family val="1"/>
        <charset val="222"/>
      </rPr>
      <t>²</t>
    </r>
  </si>
  <si>
    <r>
      <t xml:space="preserve">   -  70   มม</t>
    </r>
    <r>
      <rPr>
        <sz val="14"/>
        <rFont val="Times New Roman"/>
        <family val="1"/>
        <charset val="222"/>
      </rPr>
      <t>²</t>
    </r>
  </si>
  <si>
    <t>อื่นๆ ถ้ามี (ให้ระบุรายละเอียด)</t>
  </si>
  <si>
    <t xml:space="preserve">   - </t>
  </si>
  <si>
    <t>สวิทช์เกียร์แรงสูง (HV Switchgear)</t>
  </si>
  <si>
    <t>3.2.1</t>
  </si>
  <si>
    <t>C-HVC1 (2-In LB., 2-Out CB)</t>
  </si>
  <si>
    <t>3.2.2</t>
  </si>
  <si>
    <t xml:space="preserve">Concrete Foundation </t>
  </si>
  <si>
    <t>หม้อแปลงไฟฟ้า (Transformer)</t>
  </si>
  <si>
    <t>3.3.1</t>
  </si>
  <si>
    <t>Dry Type 24 kV//400/230</t>
  </si>
  <si>
    <t xml:space="preserve">   -   C-TRC1, 1,600 KVA w/ Enclosure &amp; Acc.</t>
  </si>
  <si>
    <t xml:space="preserve">   -   C-TRC2, 1,600 KVA w/ Enclosure &amp; Acc.</t>
  </si>
  <si>
    <t>3.3.2</t>
  </si>
  <si>
    <t>เครื่องกำเนิดไฟฟ้าสำรอง (Standby Generator Set)</t>
  </si>
  <si>
    <t>3.4.1</t>
  </si>
  <si>
    <t xml:space="preserve">Generator </t>
  </si>
  <si>
    <t xml:space="preserve">   - 1000  kVa 0.8PF Standby Rating</t>
  </si>
  <si>
    <t>Included</t>
  </si>
  <si>
    <t>3.4.2</t>
  </si>
  <si>
    <t>Cubicle w/ Busbar &amp; Accessories</t>
  </si>
  <si>
    <t>Included 3.4.1</t>
  </si>
  <si>
    <t>3.4.3</t>
  </si>
  <si>
    <t>Day Tank &amp; Accessories</t>
  </si>
  <si>
    <t>3.4.4</t>
  </si>
  <si>
    <t>Air Intake Louver,Gravity Shutter,Sound Attenuator</t>
  </si>
  <si>
    <t>3.4.5</t>
  </si>
  <si>
    <t>3.4.6</t>
  </si>
  <si>
    <t>Generator Control Panel (GCP1)</t>
  </si>
  <si>
    <t>3.4.6.1</t>
  </si>
  <si>
    <r>
      <t xml:space="preserve">CB, IC </t>
    </r>
    <r>
      <rPr>
        <sz val="6"/>
        <rFont val="Calibri"/>
        <family val="2"/>
      </rPr>
      <t>≥</t>
    </r>
    <r>
      <rPr>
        <sz val="14"/>
        <rFont val="BrowalliaUPC"/>
        <family val="2"/>
        <charset val="222"/>
      </rPr>
      <t xml:space="preserve"> 50 kA</t>
    </r>
  </si>
  <si>
    <t xml:space="preserve">   - ACB 3P, 1600A. </t>
  </si>
  <si>
    <t>3.4.6.4</t>
  </si>
  <si>
    <t>ตู้ไฟฟ้าและอุปกรณ์ประกอบ (Cubicle w/ Busbar &amp; Acc.)</t>
  </si>
  <si>
    <t>แผงเมนไฟฟ้าปกติ (Main Distribution Board)</t>
  </si>
  <si>
    <t>3.5.1</t>
  </si>
  <si>
    <t xml:space="preserve">C-MDBC1 + C-CAP1 + C-CAP2 + C-MDBC2 </t>
  </si>
  <si>
    <t>3.5.1.1</t>
  </si>
  <si>
    <t>CB, IC ≥ 50 kA</t>
  </si>
  <si>
    <t xml:space="preserve">   - MCCB 3P, 100A. </t>
  </si>
  <si>
    <t xml:space="preserve">   - ACB 3P, 800A. </t>
  </si>
  <si>
    <t xml:space="preserve">   - ACB 3P, 1000A. </t>
  </si>
  <si>
    <t xml:space="preserve">   - ACB 3P, 1250A. </t>
  </si>
  <si>
    <t xml:space="preserve">   - ACB 4P, 2500A. </t>
  </si>
  <si>
    <t>3.5.1.2</t>
  </si>
  <si>
    <t>อุปกรณ์เครื่องวัด (Metering)</t>
  </si>
  <si>
    <t xml:space="preserve">   - CT  2500/5A</t>
  </si>
  <si>
    <t xml:space="preserve">   - Pilot Lamp</t>
  </si>
  <si>
    <t xml:space="preserve">   - ฟิวส์ควบคุม (Control Fuse)</t>
  </si>
  <si>
    <t xml:space="preserve">   - HRC Fuse</t>
  </si>
  <si>
    <t>3.5.1.3</t>
  </si>
  <si>
    <t>Digital Meter (For Main)</t>
  </si>
  <si>
    <t>3.5.1.4</t>
  </si>
  <si>
    <t>Surge Arrester (Class I+II) (B+C)</t>
  </si>
  <si>
    <t>3.5.1.5</t>
  </si>
  <si>
    <t>คาปาซิเตอร์ C-CAP1 + CAP2</t>
  </si>
  <si>
    <t xml:space="preserve">   - 50KVAR Capacitor</t>
  </si>
  <si>
    <t>Included N1-CAP1</t>
  </si>
  <si>
    <t xml:space="preserve">   - 50A Contactor</t>
  </si>
  <si>
    <t xml:space="preserve">   - 80A Fuse</t>
  </si>
  <si>
    <t xml:space="preserve">   - Reactor 6 %</t>
  </si>
  <si>
    <t xml:space="preserve">   - KVAR Controller 12 Steps</t>
  </si>
  <si>
    <t xml:space="preserve">   - ตู้ไฟฟ้าและอุปกรณ์ประกอบ (Cubicle w/ Busbar &amp; Acc.)</t>
  </si>
  <si>
    <t xml:space="preserve">   - Concrete Foundation </t>
  </si>
  <si>
    <t>3.5.2</t>
  </si>
  <si>
    <t>Connection Busbar</t>
  </si>
  <si>
    <t xml:space="preserve">   - Busbar Connection Form Busduct To CB 800A</t>
  </si>
  <si>
    <t xml:space="preserve">   - Busbar Connection Form Busduct To CB 1000A</t>
  </si>
  <si>
    <t xml:space="preserve">   - Busbar Connection Form Busduct To CB 1250A</t>
  </si>
  <si>
    <t xml:space="preserve">   - Busbar Connection Form Busduct To CB 1600A</t>
  </si>
  <si>
    <t xml:space="preserve">   - Busbar Connection Form Busduct To CB 2000A</t>
  </si>
  <si>
    <t xml:space="preserve">   - Busbar Connection Form Busduct To CB 2500A</t>
  </si>
  <si>
    <t xml:space="preserve">   - Busbar Connection Form Busduct To CB 3000A</t>
  </si>
  <si>
    <t xml:space="preserve">   - Copper Busbar And Accessries</t>
  </si>
  <si>
    <t xml:space="preserve">   - Flexible Busbar</t>
  </si>
  <si>
    <t>แผงเมนไฟฟ้าฉุกเฉิน (Essential Main Distribution Board)</t>
  </si>
  <si>
    <t>3.6.1</t>
  </si>
  <si>
    <t>C-EMDBC1</t>
  </si>
  <si>
    <t>3.6.1.1</t>
  </si>
  <si>
    <t xml:space="preserve">   - MCCB 3P, 50A. </t>
  </si>
  <si>
    <t xml:space="preserve">   - MCCB 3P, 160A. </t>
  </si>
  <si>
    <t xml:space="preserve">   - MCCB 3P, 175A. </t>
  </si>
  <si>
    <t xml:space="preserve">   - MCCB 3P, 200A. </t>
  </si>
  <si>
    <t xml:space="preserve">   - MCCB 3P, 225A. </t>
  </si>
  <si>
    <t xml:space="preserve">   - MCCB 3P, 250A. </t>
  </si>
  <si>
    <t xml:space="preserve">   - MCCB 3P, 320A. </t>
  </si>
  <si>
    <t xml:space="preserve">   - MCCB 3P, 400A. </t>
  </si>
  <si>
    <t xml:space="preserve">   - MCCB 3P, 500A. </t>
  </si>
  <si>
    <t xml:space="preserve">   - ATS 4P, 1600A. </t>
  </si>
  <si>
    <t>3.6.1.2</t>
  </si>
  <si>
    <t xml:space="preserve">   - CT  1600/5A</t>
  </si>
  <si>
    <t>3.6.1.3</t>
  </si>
  <si>
    <t>3.6.1.4</t>
  </si>
  <si>
    <t>3.6.1.5</t>
  </si>
  <si>
    <t>Distribution Board</t>
  </si>
  <si>
    <t>3.7.1</t>
  </si>
  <si>
    <t>C1-1DC1</t>
  </si>
  <si>
    <t>CB, IC ≥ 25 kA</t>
  </si>
  <si>
    <t xml:space="preserve">   - MCCB 3P, 20A.</t>
  </si>
  <si>
    <t xml:space="preserve">   - MCCB 3P, 32A.</t>
  </si>
  <si>
    <t xml:space="preserve">   - MCCB 3P, 40A.</t>
  </si>
  <si>
    <t xml:space="preserve">   - MCCB 3P, 50A.</t>
  </si>
  <si>
    <t xml:space="preserve">   - MCCB 3P, 63A.</t>
  </si>
  <si>
    <t xml:space="preserve">   - MCCB 3P, 80A.</t>
  </si>
  <si>
    <t xml:space="preserve">   - MCCB 3P, 100A.</t>
  </si>
  <si>
    <t xml:space="preserve">   - MCCB 3P, 200A.</t>
  </si>
  <si>
    <t xml:space="preserve">   - MCCB 3P, 250A.</t>
  </si>
  <si>
    <t xml:space="preserve">   - MCCB 3P, 320A.</t>
  </si>
  <si>
    <t xml:space="preserve">   - CT  300/5A</t>
  </si>
  <si>
    <t xml:space="preserve">   -  Digital Meter</t>
  </si>
  <si>
    <t xml:space="preserve">ตู้ไฟฟ้าและอุปกรณ์ประกอบ (Cubicle w/ Busbar &amp; Acc.) </t>
  </si>
  <si>
    <t>3.7.2</t>
  </si>
  <si>
    <t>C1-2DC1</t>
  </si>
  <si>
    <t>3.7.3</t>
  </si>
  <si>
    <t>C1-3DC1</t>
  </si>
  <si>
    <t>3.7.4</t>
  </si>
  <si>
    <t>C1-3DC2</t>
  </si>
  <si>
    <t xml:space="preserve">   - CT  100/5A</t>
  </si>
  <si>
    <t>C1-4DC1</t>
  </si>
  <si>
    <t>C1-4DC2</t>
  </si>
  <si>
    <t xml:space="preserve">   - CT  200/5A</t>
  </si>
  <si>
    <t>C1-5DC1</t>
  </si>
  <si>
    <t>C1-5DC2</t>
  </si>
  <si>
    <t>C1-6DC1</t>
  </si>
  <si>
    <t>C1-6DC2</t>
  </si>
  <si>
    <t>C1-6MDC1</t>
  </si>
  <si>
    <t>3.11.1</t>
  </si>
  <si>
    <t>C1-7DC1</t>
  </si>
  <si>
    <t>C1-7DC2</t>
  </si>
  <si>
    <t>C1-7DC3</t>
  </si>
  <si>
    <t xml:space="preserve">   - MCCB 3P, 175A.</t>
  </si>
  <si>
    <t>C1-8DC1</t>
  </si>
  <si>
    <t xml:space="preserve">   - MCCB 3P, 125A.</t>
  </si>
  <si>
    <t>C2-1DC1</t>
  </si>
  <si>
    <t>C2-2DC1</t>
  </si>
  <si>
    <t>C2-3DC1</t>
  </si>
  <si>
    <t>C2-4DC1</t>
  </si>
  <si>
    <t>3.7.18</t>
  </si>
  <si>
    <t>C2-5DC1</t>
  </si>
  <si>
    <t>C2-6DC1</t>
  </si>
  <si>
    <t>C2-6DC2</t>
  </si>
  <si>
    <t>C2-6DMC1</t>
  </si>
  <si>
    <t xml:space="preserve">   - MCCB 3P, 16A.</t>
  </si>
  <si>
    <t>C2-7DC1</t>
  </si>
  <si>
    <t>C2-7DC2</t>
  </si>
  <si>
    <t>C2-8DC1</t>
  </si>
  <si>
    <t xml:space="preserve">   -  </t>
  </si>
  <si>
    <t>Essential Distribution Board</t>
  </si>
  <si>
    <t>C1-1EDC1</t>
  </si>
  <si>
    <t xml:space="preserve">   - MCCB 3P, 160A.</t>
  </si>
  <si>
    <t xml:space="preserve">   - MCCB 3P, 400A.</t>
  </si>
  <si>
    <t xml:space="preserve">   - MCCB 3P, 500A.</t>
  </si>
  <si>
    <t xml:space="preserve">   - MCCB 3P, 630A.</t>
  </si>
  <si>
    <t>C1-3EDC1</t>
  </si>
  <si>
    <t>C1-3EDC2</t>
  </si>
  <si>
    <t xml:space="preserve">   - CT  30/5A</t>
  </si>
  <si>
    <t>C1-4EDC1</t>
  </si>
  <si>
    <t>C1-4EDC2</t>
  </si>
  <si>
    <t xml:space="preserve">   - CT  50/5A</t>
  </si>
  <si>
    <t>C1-5EDC1</t>
  </si>
  <si>
    <t>C1-5EDC2</t>
  </si>
  <si>
    <t>C1-6EDC1</t>
  </si>
  <si>
    <t>C1-6EDC2</t>
  </si>
  <si>
    <t>C1-7EDC1</t>
  </si>
  <si>
    <t>C1-7EDC2</t>
  </si>
  <si>
    <t>C1-8EDC1</t>
  </si>
  <si>
    <t>C1-8EDC2</t>
  </si>
  <si>
    <t xml:space="preserve">   - MCCB 3P, 225A.</t>
  </si>
  <si>
    <t xml:space="preserve">   - CT  500/5A</t>
  </si>
  <si>
    <t>C2-1EDC1</t>
  </si>
  <si>
    <t>C2-3EDC1</t>
  </si>
  <si>
    <t>C2-4EDC1</t>
  </si>
  <si>
    <t>C2-5EDC1</t>
  </si>
  <si>
    <t>C2-6EDC1</t>
  </si>
  <si>
    <t>C2-6EDC2</t>
  </si>
  <si>
    <t>C2-7EDC1</t>
  </si>
  <si>
    <t>C2-8EDC1</t>
  </si>
  <si>
    <t>C2-8EDC2</t>
  </si>
  <si>
    <t>3.9</t>
  </si>
  <si>
    <t>Busduct</t>
  </si>
  <si>
    <t>3.9.1</t>
  </si>
  <si>
    <t>Al Busduct, Feeder</t>
  </si>
  <si>
    <t xml:space="preserve">   -  800A</t>
  </si>
  <si>
    <t xml:space="preserve">   - 1000A</t>
  </si>
  <si>
    <t xml:space="preserve">   - 1250A</t>
  </si>
  <si>
    <t xml:space="preserve">   - 1500A</t>
  </si>
  <si>
    <t xml:space="preserve">   - 2500A</t>
  </si>
  <si>
    <t xml:space="preserve">   - 3200A</t>
  </si>
  <si>
    <t>3.9.2</t>
  </si>
  <si>
    <t>Al Busduct, Plug-In</t>
  </si>
  <si>
    <t>3.9.3</t>
  </si>
  <si>
    <t>Plug-In Unit</t>
  </si>
  <si>
    <r>
      <t xml:space="preserve">   - w/ 3P CB  32A, IC </t>
    </r>
    <r>
      <rPr>
        <sz val="9"/>
        <rFont val="Calibri"/>
        <family val="2"/>
      </rPr>
      <t>≥</t>
    </r>
    <r>
      <rPr>
        <sz val="14"/>
        <rFont val="BrowalliaUPC"/>
        <family val="2"/>
        <charset val="222"/>
      </rPr>
      <t xml:space="preserve"> 50 kA</t>
    </r>
  </si>
  <si>
    <r>
      <t xml:space="preserve">   - w/ 3P CB  50A, IC </t>
    </r>
    <r>
      <rPr>
        <sz val="9"/>
        <rFont val="Calibri"/>
        <family val="2"/>
      </rPr>
      <t>≥</t>
    </r>
    <r>
      <rPr>
        <sz val="14"/>
        <rFont val="BrowalliaUPC"/>
        <family val="2"/>
        <charset val="222"/>
      </rPr>
      <t xml:space="preserve"> 50 kA</t>
    </r>
  </si>
  <si>
    <r>
      <t xml:space="preserve">   - w/ 3P CB  63A, IC </t>
    </r>
    <r>
      <rPr>
        <sz val="9"/>
        <rFont val="Calibri"/>
        <family val="2"/>
      </rPr>
      <t>≥</t>
    </r>
    <r>
      <rPr>
        <sz val="14"/>
        <rFont val="BrowalliaUPC"/>
        <family val="2"/>
        <charset val="222"/>
      </rPr>
      <t xml:space="preserve"> 50 kA</t>
    </r>
  </si>
  <si>
    <r>
      <t xml:space="preserve">   - w/ 3P CB  100A, IC </t>
    </r>
    <r>
      <rPr>
        <sz val="9"/>
        <rFont val="Calibri"/>
        <family val="2"/>
      </rPr>
      <t>≥</t>
    </r>
    <r>
      <rPr>
        <sz val="14"/>
        <rFont val="BrowalliaUPC"/>
        <family val="2"/>
        <charset val="222"/>
      </rPr>
      <t xml:space="preserve"> 50 kA</t>
    </r>
  </si>
  <si>
    <r>
      <t xml:space="preserve">   - w/ 3P CB  200A, IC </t>
    </r>
    <r>
      <rPr>
        <sz val="9"/>
        <rFont val="Calibri"/>
        <family val="2"/>
      </rPr>
      <t>≥</t>
    </r>
    <r>
      <rPr>
        <sz val="14"/>
        <rFont val="BrowalliaUPC"/>
        <family val="2"/>
        <charset val="222"/>
      </rPr>
      <t xml:space="preserve"> 50 kA</t>
    </r>
  </si>
  <si>
    <r>
      <t xml:space="preserve">   - w/ 3P CB  250A, IC </t>
    </r>
    <r>
      <rPr>
        <sz val="9"/>
        <rFont val="Calibri"/>
        <family val="2"/>
      </rPr>
      <t>≥</t>
    </r>
    <r>
      <rPr>
        <sz val="14"/>
        <rFont val="BrowalliaUPC"/>
        <family val="2"/>
        <charset val="222"/>
      </rPr>
      <t xml:space="preserve"> 50 kA</t>
    </r>
  </si>
  <si>
    <r>
      <t xml:space="preserve">   - w/ 3P CB  320A, IC </t>
    </r>
    <r>
      <rPr>
        <sz val="9"/>
        <rFont val="Calibri"/>
        <family val="2"/>
      </rPr>
      <t>≥</t>
    </r>
    <r>
      <rPr>
        <sz val="14"/>
        <rFont val="BrowalliaUPC"/>
        <family val="2"/>
        <charset val="222"/>
      </rPr>
      <t xml:space="preserve"> 50 kA</t>
    </r>
  </si>
  <si>
    <r>
      <t xml:space="preserve">   - w/ 3P CB  400A, IC </t>
    </r>
    <r>
      <rPr>
        <sz val="9"/>
        <rFont val="Calibri"/>
        <family val="2"/>
      </rPr>
      <t>≥</t>
    </r>
    <r>
      <rPr>
        <sz val="14"/>
        <rFont val="BrowalliaUPC"/>
        <family val="2"/>
        <charset val="222"/>
      </rPr>
      <t xml:space="preserve"> 50 kA</t>
    </r>
  </si>
  <si>
    <t>3.9.4</t>
  </si>
  <si>
    <t>Hangers ,Supports &amp; Accessories</t>
  </si>
  <si>
    <t>3.10</t>
  </si>
  <si>
    <t>สายไฟฟ้า (Cable &amp; Wire)</t>
  </si>
  <si>
    <t>3.10.1</t>
  </si>
  <si>
    <t>สายป้อน Main Feeder</t>
  </si>
  <si>
    <t>สาย CV. Cu.XLPE Insulation 3.6/6 (7.2KV)</t>
  </si>
  <si>
    <t xml:space="preserve">   -  50   มม²</t>
  </si>
  <si>
    <t xml:space="preserve">   - 240   มม²</t>
  </si>
  <si>
    <t>สายไฟฟ้าชนิด IEC 01 (Main Feeder)</t>
  </si>
  <si>
    <t xml:space="preserve">   -    4   มม²</t>
  </si>
  <si>
    <t xml:space="preserve">   -    6   มม²</t>
  </si>
  <si>
    <t xml:space="preserve">   -  10   มม²</t>
  </si>
  <si>
    <t xml:space="preserve">   -  16   มม²</t>
  </si>
  <si>
    <t xml:space="preserve">   -  25   มม²</t>
  </si>
  <si>
    <t xml:space="preserve">   -  35   มม²</t>
  </si>
  <si>
    <t xml:space="preserve">   -  70   มม²</t>
  </si>
  <si>
    <t xml:space="preserve">   -  95   มม²</t>
  </si>
  <si>
    <t xml:space="preserve">   - 120   มม²</t>
  </si>
  <si>
    <t xml:space="preserve">   - 150   มม²</t>
  </si>
  <si>
    <t xml:space="preserve">   - 185   มม²</t>
  </si>
  <si>
    <t xml:space="preserve">   - 300   มม²</t>
  </si>
  <si>
    <t>Fire Resistant Cable</t>
  </si>
  <si>
    <t>สาย Low Smoke Cable (LSHF Cable)</t>
  </si>
  <si>
    <t>3.11</t>
  </si>
  <si>
    <t>รางเดินสายไฟฟ้า (Raceway)</t>
  </si>
  <si>
    <t>ท่อ Main Feeder</t>
  </si>
  <si>
    <t xml:space="preserve">ท่อร้อยสายไฟฟ้าชนิด IMC (IMC Conduit) </t>
  </si>
  <si>
    <t xml:space="preserve">   -   20  มม. Ø</t>
  </si>
  <si>
    <t xml:space="preserve">   -   25  มม. Ø</t>
  </si>
  <si>
    <t xml:space="preserve">   -   32  มม. Ø</t>
  </si>
  <si>
    <t xml:space="preserve">   -   40  มม. Ø</t>
  </si>
  <si>
    <t xml:space="preserve">   -   50  มม. Ø</t>
  </si>
  <si>
    <t xml:space="preserve">   -   65  มม. Ø</t>
  </si>
  <si>
    <t xml:space="preserve">   -   80  มม. Ø</t>
  </si>
  <si>
    <t xml:space="preserve">   -   90  มม. Ø</t>
  </si>
  <si>
    <t>Wire Way</t>
  </si>
  <si>
    <t xml:space="preserve">   -  100 มม. x 100 มม.</t>
  </si>
  <si>
    <t xml:space="preserve">   -  150 มม. x 100 มม.</t>
  </si>
  <si>
    <t>Flexible Conduit Water Proof</t>
  </si>
  <si>
    <t>3.12</t>
  </si>
  <si>
    <t>ระบบควบคุมแสงสว่าง (Lighting Control System)</t>
  </si>
  <si>
    <t>3.12.1</t>
  </si>
  <si>
    <t>UTP Cable Cat6A</t>
  </si>
  <si>
    <t>3.12.2</t>
  </si>
  <si>
    <t xml:space="preserve">   -   15  มม. Ø</t>
  </si>
  <si>
    <t>3.13</t>
  </si>
  <si>
    <t>ระบบป้องกันฟ้าผ่าและระบบต่อลงดิน (Lightning Protection &amp; Grounding System)</t>
  </si>
  <si>
    <t>3.13.1</t>
  </si>
  <si>
    <t>Ground Rod</t>
  </si>
  <si>
    <t>3.13.2</t>
  </si>
  <si>
    <t>สายไฟฟ้าชนิด IEC 01</t>
  </si>
  <si>
    <t>3.13.3</t>
  </si>
  <si>
    <t>Bare Copper Wire</t>
  </si>
  <si>
    <t>3.11.4</t>
  </si>
  <si>
    <t xml:space="preserve"> Galvanized Steel Tape 25 x 3 มม</t>
  </si>
  <si>
    <t>3.11.5</t>
  </si>
  <si>
    <t xml:space="preserve"> Copper Clad Steel 10 มม. Ø</t>
  </si>
  <si>
    <t>3.11.6</t>
  </si>
  <si>
    <t xml:space="preserve"> Galvanized Steel 10 มม. Ø</t>
  </si>
  <si>
    <t>3.11.7</t>
  </si>
  <si>
    <t>Test Box</t>
  </si>
  <si>
    <t>3.11.8</t>
  </si>
  <si>
    <t>Ground Bar</t>
  </si>
  <si>
    <t>3.11.9</t>
  </si>
  <si>
    <t>Earth Pad</t>
  </si>
  <si>
    <t>3.11.10</t>
  </si>
  <si>
    <t>Exothermic Weld</t>
  </si>
  <si>
    <t>3.14</t>
  </si>
  <si>
    <t>ระบบสัญญาณแจ้งเหตุเพลิงไหม้ (Fire Alarm System)</t>
  </si>
  <si>
    <t>3.14.1</t>
  </si>
  <si>
    <t xml:space="preserve">Sub Fire Alarm Control Panel &amp; Power Supply Unit (C1-SFCP1,C2-SFCP1) </t>
  </si>
  <si>
    <t>3.14.2</t>
  </si>
  <si>
    <t>Graphic Annunciator</t>
  </si>
  <si>
    <t>3.14.3</t>
  </si>
  <si>
    <t>Amplifier</t>
  </si>
  <si>
    <t>3.14.4</t>
  </si>
  <si>
    <t>Console Desk</t>
  </si>
  <si>
    <t>3.14.5</t>
  </si>
  <si>
    <t>Fiber Optic Cable</t>
  </si>
  <si>
    <t>3.14.6</t>
  </si>
  <si>
    <t xml:space="preserve">   -  Fitting Hanger &amp; support</t>
  </si>
  <si>
    <t xml:space="preserve">Testing &amp; Commissioning </t>
  </si>
  <si>
    <t xml:space="preserve">   -   </t>
  </si>
  <si>
    <t>3.15</t>
  </si>
  <si>
    <t>ระบบสายสื่อสารข้อมูล (Data Cabling System)</t>
  </si>
  <si>
    <t>3.15.1</t>
  </si>
  <si>
    <t>Main Distribution Data Rack (C-1DR1)</t>
  </si>
  <si>
    <t xml:space="preserve"> - Rack 19", 42 U</t>
  </si>
  <si>
    <t xml:space="preserve">  - Fiber Optic Patch Panel 24 Port</t>
  </si>
  <si>
    <t xml:space="preserve">  - Fiber Optic Patch Cord</t>
  </si>
  <si>
    <t>3.15.2</t>
  </si>
  <si>
    <t>สายส่งข้อมูล (Cable &amp; Wire)</t>
  </si>
  <si>
    <t xml:space="preserve">  - 12 Core SINGLEMODE (OS2)</t>
  </si>
  <si>
    <t xml:space="preserve">  - 6 Core Multimode (OM3) </t>
  </si>
  <si>
    <t>3.15.3</t>
  </si>
  <si>
    <t>กล่องเดินสายไฟฟ้า (Wireway)</t>
  </si>
  <si>
    <t xml:space="preserve">   -  200 มม. x 100 มม.</t>
  </si>
  <si>
    <t xml:space="preserve">   -  300 มม. x 100 มม.</t>
  </si>
  <si>
    <t>3.15.4</t>
  </si>
  <si>
    <t>3.16</t>
  </si>
  <si>
    <t>ระบบเสียงและประกาศเรียก (Public Address System)</t>
  </si>
  <si>
    <t>3.16.1</t>
  </si>
  <si>
    <t xml:space="preserve">   - IEC 53 4C-1.5 มม²</t>
  </si>
  <si>
    <t xml:space="preserve">   - LSHF (Low Smoke Cable) 4C-1.5 มม²</t>
  </si>
  <si>
    <t>3.16.2</t>
  </si>
  <si>
    <t>3.16.3</t>
  </si>
  <si>
    <t>3.17</t>
  </si>
  <si>
    <t>ระบบป้องกันไฟและควันลาม (Fire Barrier System)</t>
  </si>
  <si>
    <t>งานระบบไฟฟ้าและสื่อสาร ชั้น B2</t>
  </si>
  <si>
    <t>3.1</t>
  </si>
  <si>
    <t>แผงสวิทช์ย่อยและเซอร์กิต เบรคเกอร์ (Panelboard &amp; CB)</t>
  </si>
  <si>
    <r>
      <t xml:space="preserve">Main CB, Panelboard (3 </t>
    </r>
    <r>
      <rPr>
        <b/>
        <sz val="9"/>
        <rFont val="Calibri"/>
        <family val="2"/>
      </rPr>
      <t>Ø</t>
    </r>
    <r>
      <rPr>
        <b/>
        <sz val="14"/>
        <rFont val="BrowalliaUPC"/>
        <family val="2"/>
        <charset val="222"/>
      </rPr>
      <t>, 4 Wires)</t>
    </r>
  </si>
  <si>
    <t>C1-B2EPC1, 100A 24 CCT.</t>
  </si>
  <si>
    <t xml:space="preserve">   -    MCCB 3P, 50A Main</t>
  </si>
  <si>
    <t xml:space="preserve">   -    MCCB 1P, 16A</t>
  </si>
  <si>
    <t xml:space="preserve">   -    MCCB 3P, 20A</t>
  </si>
  <si>
    <t xml:space="preserve">   -    RCBO 30mA, 1P, 16A</t>
  </si>
  <si>
    <t>C2-B2EPC1, 100A 24 CCT.</t>
  </si>
  <si>
    <t>3.2</t>
  </si>
  <si>
    <t>สายไฟฟ้าทนไฟ (Fire Resistant Cable)</t>
  </si>
  <si>
    <t xml:space="preserve">   -    2.5   มม²</t>
  </si>
  <si>
    <t xml:space="preserve">   -   Accessories</t>
  </si>
  <si>
    <t>3.3</t>
  </si>
  <si>
    <t xml:space="preserve">ท่อร้อยสายไฟฟ้าชนิด EMT (EMT Conduit) </t>
  </si>
  <si>
    <t>ท่ออ่อน (Flexible Conduit)</t>
  </si>
  <si>
    <t>3.4</t>
  </si>
  <si>
    <t>สวิทช์และเต้ารับ (Switch &amp; Outlet)</t>
  </si>
  <si>
    <t xml:space="preserve">   - 15A 250V, Single Pole Switch</t>
  </si>
  <si>
    <t xml:space="preserve">   - 15A 250V, Single Outlet</t>
  </si>
  <si>
    <t xml:space="preserve">   - 15A 250V, Duplex Outlet</t>
  </si>
  <si>
    <t xml:space="preserve">   - Floor Outlet, Duplex</t>
  </si>
  <si>
    <t xml:space="preserve">   - Power Outlet</t>
  </si>
  <si>
    <t>Junction Box</t>
  </si>
  <si>
    <t>3.5</t>
  </si>
  <si>
    <t>Linghting Control Panel No.</t>
  </si>
  <si>
    <t xml:space="preserve">   - C1--B2LCP1</t>
  </si>
  <si>
    <t>3.6</t>
  </si>
  <si>
    <t>โคมไฟฟ้า (Luminaire)</t>
  </si>
  <si>
    <t xml:space="preserve">   - A1</t>
  </si>
  <si>
    <t xml:space="preserve">   - A2</t>
  </si>
  <si>
    <t xml:space="preserve">   - A1A</t>
  </si>
  <si>
    <t xml:space="preserve">   - A2A</t>
  </si>
  <si>
    <t xml:space="preserve">   - D3OD</t>
  </si>
  <si>
    <t xml:space="preserve">   - L-09</t>
  </si>
  <si>
    <t xml:space="preserve">   - L-13</t>
  </si>
  <si>
    <t xml:space="preserve">   - L-15</t>
  </si>
  <si>
    <t xml:space="preserve">   - L-17</t>
  </si>
  <si>
    <t xml:space="preserve">   - L-18</t>
  </si>
  <si>
    <t xml:space="preserve">   - L-19</t>
  </si>
  <si>
    <t xml:space="preserve">   - L-20</t>
  </si>
  <si>
    <t xml:space="preserve">   - L-21</t>
  </si>
  <si>
    <t xml:space="preserve">   - L-22</t>
  </si>
  <si>
    <t xml:space="preserve">   - L-23</t>
  </si>
  <si>
    <t xml:space="preserve">   - L-24</t>
  </si>
  <si>
    <t xml:space="preserve">   - L-25</t>
  </si>
  <si>
    <t xml:space="preserve">   - Exit &amp; Fire Exit Sign</t>
  </si>
  <si>
    <t xml:space="preserve">   - Emergency Battery Light </t>
  </si>
  <si>
    <t xml:space="preserve">   - Remote Lamp</t>
  </si>
  <si>
    <t xml:space="preserve">   - Central Battery</t>
  </si>
  <si>
    <t xml:space="preserve">   - Accessories</t>
  </si>
  <si>
    <t>3.7</t>
  </si>
  <si>
    <t xml:space="preserve"> Remote Graphic Annunciator</t>
  </si>
  <si>
    <t xml:space="preserve">Monitor Module For Manual  </t>
  </si>
  <si>
    <t>Monitor Module For Key Switch Zone</t>
  </si>
  <si>
    <t>Monitor Module For SV</t>
  </si>
  <si>
    <t>Monitor Module For Flow Switch</t>
  </si>
  <si>
    <t>Monitor Module For Pressure Switch</t>
  </si>
  <si>
    <t>Control Module For Speaker</t>
  </si>
  <si>
    <t>Control Module For Strobe Light</t>
  </si>
  <si>
    <t>Control Module For Alarm Zone</t>
  </si>
  <si>
    <t>Control Module For Lift</t>
  </si>
  <si>
    <t>Control Module For Telephone</t>
  </si>
  <si>
    <t>Control Module For Other</t>
  </si>
  <si>
    <t>Isolator Module</t>
  </si>
  <si>
    <t>Addressable  Smoke Detector</t>
  </si>
  <si>
    <t>Manual Station w/ Key Switch</t>
  </si>
  <si>
    <t>Fireman Telephone Outlet</t>
  </si>
  <si>
    <t>Fire Alarm Speaker</t>
  </si>
  <si>
    <t>Fire Alarm Speaker w/ Strobe Light</t>
  </si>
  <si>
    <t>Remote Terminal Unit</t>
  </si>
  <si>
    <r>
      <t xml:space="preserve">   - FR 2C-2.5 มม</t>
    </r>
    <r>
      <rPr>
        <sz val="14"/>
        <rFont val="Times New Roman"/>
        <family val="1"/>
        <charset val="222"/>
      </rPr>
      <t>²</t>
    </r>
    <r>
      <rPr>
        <sz val="14"/>
        <rFont val="BrowalliaUPC"/>
        <family val="2"/>
        <charset val="222"/>
      </rPr>
      <t xml:space="preserve"> </t>
    </r>
  </si>
  <si>
    <t xml:space="preserve">   -  Accessoreis</t>
  </si>
  <si>
    <t>3.8</t>
  </si>
  <si>
    <t>3.8.1</t>
  </si>
  <si>
    <t>ลำโพงติดฝ้า (Ceiling Loudspeaker)</t>
  </si>
  <si>
    <t>Horn Soudspeaker 15W</t>
  </si>
  <si>
    <t>ปุ่มปรับเสียง (Volume Control)</t>
  </si>
  <si>
    <t>ขั้วต่อสาย (Sound Terminal Box)</t>
  </si>
  <si>
    <t xml:space="preserve">   - LSHF (Low Smoke Cable) 2C-1.5 มม²</t>
  </si>
  <si>
    <t xml:space="preserve">   - LSHF (Low Smoke Cable) 3C-1.5 มม²</t>
  </si>
  <si>
    <t>ระบบควบคุมประตูอัตโนมัติ (Access Control System)</t>
  </si>
  <si>
    <t>Control Equipment</t>
  </si>
  <si>
    <t xml:space="preserve">   - Access Controls Controller</t>
  </si>
  <si>
    <t xml:space="preserve">   - Card Reader </t>
  </si>
  <si>
    <t>Inclded</t>
  </si>
  <si>
    <t xml:space="preserve">   - Electric Magnetic Door Lock</t>
  </si>
  <si>
    <t xml:space="preserve">   - Emergency Manual Break Glass</t>
  </si>
  <si>
    <t xml:space="preserve">   - Exit Push Button</t>
  </si>
  <si>
    <t xml:space="preserve">   - Access Buzzer</t>
  </si>
  <si>
    <t xml:space="preserve">   - UTP Cat. 6 A  4 Pairs</t>
  </si>
  <si>
    <t>ท่อร้อยสายไฟฟ้าชนิด EMT (EMT Conduit)</t>
  </si>
  <si>
    <t>ระบบบริหารจัดการอาคาร (Building Management System : BMS)</t>
  </si>
  <si>
    <t>Remote Processing Unit (DDC)</t>
  </si>
  <si>
    <t xml:space="preserve">   - C1--B2RPUS1 WITH MARSHALLING BOX</t>
  </si>
  <si>
    <t xml:space="preserve">   - C2--B2RPUS1 WITH MARSHALLING BOX</t>
  </si>
  <si>
    <t>3.10.2</t>
  </si>
  <si>
    <t>Terminal Box (TB)</t>
  </si>
  <si>
    <t xml:space="preserve">   - C1--B2TBS1</t>
  </si>
  <si>
    <t xml:space="preserve">   - C2--B2TBS1</t>
  </si>
  <si>
    <t>3.10.3</t>
  </si>
  <si>
    <t xml:space="preserve">   - CCV 12C-1.0 มม²</t>
  </si>
  <si>
    <t xml:space="preserve">   - CCVs 12C-1.0 มม²</t>
  </si>
  <si>
    <t>3.10.5</t>
  </si>
  <si>
    <t>ระบบแจ้งเหตุฉุกเฉิน (Panic Alarm System)</t>
  </si>
  <si>
    <t>IP AUDIO INTERCOM</t>
  </si>
  <si>
    <t xml:space="preserve">     - Fiber Optic Patch Panel 24 Port</t>
  </si>
  <si>
    <t xml:space="preserve">     - Fiber Optic Patch Cord</t>
  </si>
  <si>
    <t xml:space="preserve">     - UTP Cat.6A Patch Panel 24 Port</t>
  </si>
  <si>
    <t xml:space="preserve">   -   UTP Patch Cord</t>
  </si>
  <si>
    <t xml:space="preserve">   -   IP AUDIO INTERCOM CONTROLLER</t>
  </si>
  <si>
    <t>3.11.2</t>
  </si>
  <si>
    <t>UTP Cable</t>
  </si>
  <si>
    <t xml:space="preserve">   - UTP Cat. 6A 4 Pairs</t>
  </si>
  <si>
    <t>3.11.3</t>
  </si>
  <si>
    <t>งานระบบไฟฟ้าและสื่อสาร ชั้น B1</t>
  </si>
  <si>
    <t>C1-B1EPC1, 100A 24 CCT.</t>
  </si>
  <si>
    <t>C2-B1EPC1, 100A 24 CCT.</t>
  </si>
  <si>
    <t xml:space="preserve">   - C1--B1LCP1</t>
  </si>
  <si>
    <t xml:space="preserve">  - UTP Cat. 6A 4 Pairs </t>
  </si>
  <si>
    <t xml:space="preserve">   - C1--B1RPUS1 WITH MARSHALLING BOX</t>
  </si>
  <si>
    <t xml:space="preserve">   - C2--B1RPUS1 WITH MARSHALLING BOX</t>
  </si>
  <si>
    <t>งานระบบไฟฟ้าและสื่อสาร ชั้น 1</t>
  </si>
  <si>
    <r>
      <t xml:space="preserve">Main Lug, Panelboard (3 </t>
    </r>
    <r>
      <rPr>
        <b/>
        <sz val="9"/>
        <rFont val="Calibri"/>
        <family val="2"/>
      </rPr>
      <t>Ø</t>
    </r>
    <r>
      <rPr>
        <b/>
        <sz val="14"/>
        <rFont val="BrowalliaUPC"/>
        <family val="2"/>
        <charset val="222"/>
      </rPr>
      <t>, 4 Wires)</t>
    </r>
  </si>
  <si>
    <t>C1-1PC1, 100A 42 CCT.</t>
  </si>
  <si>
    <t xml:space="preserve">   -    MCCB 1P, 20A</t>
  </si>
  <si>
    <t xml:space="preserve">   -    MCCB 3P, 32A</t>
  </si>
  <si>
    <t>C2-1PC1, 100A 42 CCT.</t>
  </si>
  <si>
    <t>3.1.2</t>
  </si>
  <si>
    <t>C1-1PR1, 100A 12 CCT.</t>
  </si>
  <si>
    <t xml:space="preserve">   -    MCCB 3P, 32A Main</t>
  </si>
  <si>
    <t xml:space="preserve">   -    MCCB 3P, 16A</t>
  </si>
  <si>
    <t>C1-1PR2, 100A 12 CCT.</t>
  </si>
  <si>
    <t>C1-1PR3, 100A 12 CCT.</t>
  </si>
  <si>
    <t>C1-1PR4, 100A 12 CCT.</t>
  </si>
  <si>
    <t>C2-1PR1, 100A 12 CCT.</t>
  </si>
  <si>
    <t>C2-1PR2, 100A 12 CCT.</t>
  </si>
  <si>
    <t>C2-1PR3, 100A 12 CCT.</t>
  </si>
  <si>
    <t>C1-1EPC1 100A 24 CCT.</t>
  </si>
  <si>
    <t>C2-1EPC1 100A 24 CCT.</t>
  </si>
  <si>
    <t>C2-1EPC2 100A 24 CCT.</t>
  </si>
  <si>
    <t>C1-1UPC1 100A 18 CCT.</t>
  </si>
  <si>
    <t xml:space="preserve">   -    MCCB 3P, 40A Main</t>
  </si>
  <si>
    <t>C2-1UPC1 100A 18 CCT.</t>
  </si>
  <si>
    <t xml:space="preserve">สายไฟฟ้าชนิด IEC 01 </t>
  </si>
  <si>
    <t>สายไฟฟ้าชนิด NYY, 750V 70 ◦C</t>
  </si>
  <si>
    <t xml:space="preserve">   -    1 Core,  2.5   มม²</t>
  </si>
  <si>
    <t xml:space="preserve">   -    1 Core,  4   มม²</t>
  </si>
  <si>
    <t xml:space="preserve">   -    1 Core,  6   มม²</t>
  </si>
  <si>
    <t>3.2.3</t>
  </si>
  <si>
    <t>ท่อร้อยสายไฟฟ้าชนิด HDPE (HDPE Conduit)</t>
  </si>
  <si>
    <t xml:space="preserve">   -   63  มม. Ø</t>
  </si>
  <si>
    <t xml:space="preserve">   - 15A 250V, 2-Way Switch</t>
  </si>
  <si>
    <t>CB BOX</t>
  </si>
  <si>
    <t xml:space="preserve">   - 2P, 20A.</t>
  </si>
  <si>
    <t xml:space="preserve">   - C1--1LCP1</t>
  </si>
  <si>
    <t xml:space="preserve">   - C2--1LCP1</t>
  </si>
  <si>
    <t>เต้ารับข้อมูล (RJ45 Cat. 6 A Modular Jack)</t>
  </si>
  <si>
    <t>Floor Rack Rack (C1-1FR1, C2-1FR1)</t>
  </si>
  <si>
    <t xml:space="preserve">  - UTP Cat.6 Patch Panel 24 Port</t>
  </si>
  <si>
    <t xml:space="preserve">  - UTP Cat.6 Patch Cord</t>
  </si>
  <si>
    <t xml:space="preserve">  - UTP Cat. 6A  4 Pairs</t>
  </si>
  <si>
    <t xml:space="preserve">   -</t>
  </si>
  <si>
    <t>3.9.5</t>
  </si>
  <si>
    <t xml:space="preserve">   - IEC 53 2C-1.5 มม²</t>
  </si>
  <si>
    <t xml:space="preserve">   - IEC 53 3C-1.5 มม²</t>
  </si>
  <si>
    <t>3.9.7</t>
  </si>
  <si>
    <t>3.9.8</t>
  </si>
  <si>
    <t xml:space="preserve">   - C1--1RPUA1 WITH MARSHALLING BOX</t>
  </si>
  <si>
    <t xml:space="preserve">   - C2--1RPUA1 WITH MARSHALLING BOX</t>
  </si>
  <si>
    <t xml:space="preserve">   - C1-1TBA1</t>
  </si>
  <si>
    <t xml:space="preserve">   - C2-1TBA1</t>
  </si>
  <si>
    <t>Emergency Pull Cord</t>
  </si>
  <si>
    <t>Lamp with Buzzer</t>
  </si>
  <si>
    <t>3.12.3</t>
  </si>
  <si>
    <t>TIEV Cable</t>
  </si>
  <si>
    <t xml:space="preserve">   - TIEV 4C 0.65 sq.mm.</t>
  </si>
  <si>
    <t>3.12.5</t>
  </si>
  <si>
    <t>งานระบบไฟฟ้าและสื่อสาร ชั้น 2</t>
  </si>
  <si>
    <t>C1-2PC1, 100A 24 CCT.</t>
  </si>
  <si>
    <t>C2-2PLC1, 100A 36 CCT.</t>
  </si>
  <si>
    <r>
      <t xml:space="preserve">Main CB, Panelboard (3 </t>
    </r>
    <r>
      <rPr>
        <b/>
        <sz val="9"/>
        <color rgb="FFC00000"/>
        <rFont val="Calibri"/>
        <family val="2"/>
      </rPr>
      <t>Ø</t>
    </r>
    <r>
      <rPr>
        <b/>
        <sz val="14"/>
        <color rgb="FFC00000"/>
        <rFont val="BrowalliaUPC"/>
        <family val="2"/>
        <charset val="222"/>
      </rPr>
      <t>, 4 Wires)</t>
    </r>
  </si>
  <si>
    <t>C1-2PR1, 100A 12 CCT.</t>
  </si>
  <si>
    <t>C1-2PR2, 100A 12 CCT.</t>
  </si>
  <si>
    <t>C1-2PR3, 100A 12 CCT.</t>
  </si>
  <si>
    <t>C1-2PR4, 100A 12 CCT.</t>
  </si>
  <si>
    <t>C2-2PR1, 100A 12 CCT.</t>
  </si>
  <si>
    <t>C2-2PR2, 100A 12 CCT.</t>
  </si>
  <si>
    <t>C2-2PR3, 100A 12 CCT.</t>
  </si>
  <si>
    <t>C1-2EPC1 100A 24 CCT.</t>
  </si>
  <si>
    <t>C2-2EPC1 100A 24 CCT.</t>
  </si>
  <si>
    <t xml:space="preserve">   - 3P, 63A.</t>
  </si>
  <si>
    <t xml:space="preserve">   - C1-2LCP1</t>
  </si>
  <si>
    <t xml:space="preserve">   - C2-2LCP1</t>
  </si>
  <si>
    <t>Floor Rack Rack (C1-2FR1, C2-2FR1)</t>
  </si>
  <si>
    <t xml:space="preserve">   - C1--2RPUA1 WITH MARSHALLING BOX</t>
  </si>
  <si>
    <t xml:space="preserve">   - C2--2RPUA1 WITH MARSHALLING BOX</t>
  </si>
  <si>
    <t xml:space="preserve">   - C1-2TBA1</t>
  </si>
  <si>
    <t xml:space="preserve">   - C2-2TBA1</t>
  </si>
  <si>
    <t>งานระบบไฟฟ้าและสื่อสาร ชั้น 3</t>
  </si>
  <si>
    <t>C1-3PC1, 100A 18 CCT.</t>
  </si>
  <si>
    <t>C1-3PK1, 100A 18 CCT.</t>
  </si>
  <si>
    <t>C2-3PL1, 100A 18 CCT.</t>
  </si>
  <si>
    <t>C1-3PM1, 100A 12 CCT.</t>
  </si>
  <si>
    <t>C1-3PM2, 100A 12 CCT.</t>
  </si>
  <si>
    <t>C1-3PM3, 100A 12 CCT.</t>
  </si>
  <si>
    <t>C1-3PM4, 100A 12 CCT.</t>
  </si>
  <si>
    <t>C2-3PM1, 100A 12 CCT.</t>
  </si>
  <si>
    <t>C2-3PM2, 100A 12 CCT.</t>
  </si>
  <si>
    <t>C2-3PM3, 100A 12 CCT.</t>
  </si>
  <si>
    <t xml:space="preserve">   -    MCCB 3P, 63A Main</t>
  </si>
  <si>
    <t xml:space="preserve">   -    MCCB 3P, 40A</t>
  </si>
  <si>
    <t>C1-3EPC1 100A 18 CCT.</t>
  </si>
  <si>
    <t>C1-3EPK1, 100A 12 CCT.</t>
  </si>
  <si>
    <t xml:space="preserve">   -    MCCB 3P, 20A Main</t>
  </si>
  <si>
    <t>C2-3EPC1 100A 18 CCT.</t>
  </si>
  <si>
    <t xml:space="preserve">   - C1--3LCP1</t>
  </si>
  <si>
    <t xml:space="preserve">   - C2--3LCP1</t>
  </si>
  <si>
    <t>Monitor Module For Beam</t>
  </si>
  <si>
    <t>Floor Rack Rack (C1-3FR1, C2-3FR1)</t>
  </si>
  <si>
    <t>3.9.6</t>
  </si>
  <si>
    <t xml:space="preserve">   - Access Controls Controller (2 Reader)</t>
  </si>
  <si>
    <t xml:space="preserve">   - C1--3RPUA1 WITH MARSHALLING BOX</t>
  </si>
  <si>
    <t xml:space="preserve">   - C2--3RPUA1 WITH MARSHALLING BOX</t>
  </si>
  <si>
    <t xml:space="preserve">   - C1-3TBA1</t>
  </si>
  <si>
    <t xml:space="preserve">   - C2-3TBA1</t>
  </si>
  <si>
    <t>งานระบบไฟฟ้าและสื่อสาร ชั้น 4</t>
  </si>
  <si>
    <t>C1-4PC1, 100A 18 CCT.</t>
  </si>
  <si>
    <t>C1-4PK1, 100A 30 CCT.</t>
  </si>
  <si>
    <t>C2-4PC1, 100A 18 CCT.</t>
  </si>
  <si>
    <t>C1-4PM1, 100A 12 CCT.</t>
  </si>
  <si>
    <t>C1-4PM2, 100A 12 CCT.</t>
  </si>
  <si>
    <t>C1-4PM3, 100A 12 CCT.</t>
  </si>
  <si>
    <t>C1-4PM4, 100A 12 CCT.</t>
  </si>
  <si>
    <t>C2-4PM1, 100A 12 CCT.</t>
  </si>
  <si>
    <t>C2-4PM2, 100A 12 CCT.</t>
  </si>
  <si>
    <t>C2-4PM3, 100A 12 CCT.</t>
  </si>
  <si>
    <t>C1-4EPC1 100A 18 CCT.</t>
  </si>
  <si>
    <t>C1-4EPK1 100A 18 CCT.</t>
  </si>
  <si>
    <t>C2-4EPC1 100A 18 CCT.</t>
  </si>
  <si>
    <t xml:space="preserve">   - C1--4LCP1</t>
  </si>
  <si>
    <t xml:space="preserve">   - C2--4LCP1</t>
  </si>
  <si>
    <t>Floor Rack Rack (C1-4FR1, C2-4FR1)</t>
  </si>
  <si>
    <t xml:space="preserve">   - C1--4RPUA1 WITH MARSHALLING BOX</t>
  </si>
  <si>
    <t xml:space="preserve">   - C2--4RPUA1 WITH MARSHALLING BOX</t>
  </si>
  <si>
    <t xml:space="preserve">   - C1-4TBA1</t>
  </si>
  <si>
    <t xml:space="preserve">   - C2-4TBA1</t>
  </si>
  <si>
    <t>งานระบบไฟฟ้าและสื่อสาร ชั้น 5</t>
  </si>
  <si>
    <t>C1-5PC1, 100A 24 CCT.</t>
  </si>
  <si>
    <t>C1-5PK1, 100A 30 CCT.</t>
  </si>
  <si>
    <t>C2-5PC1, 100A 24 CCT.</t>
  </si>
  <si>
    <t>C1-5PM1, 100A 18 CCT.</t>
  </si>
  <si>
    <t xml:space="preserve">   -    MCCB 3P, 100A Main</t>
  </si>
  <si>
    <t>C1-5PM2, 100A 18 CCT.</t>
  </si>
  <si>
    <t>C2-5PM1, 100A 18 CCT.</t>
  </si>
  <si>
    <t>C2-5PM2, 100A 18 CCT.</t>
  </si>
  <si>
    <t>C1-5EPC1 100A 18 CCT.</t>
  </si>
  <si>
    <t>C1-5EPK1 100A 18 CCT.</t>
  </si>
  <si>
    <t>C2-5EPC1 100A 18 CCT.</t>
  </si>
  <si>
    <t xml:space="preserve">   - C1--5LCP1</t>
  </si>
  <si>
    <t xml:space="preserve">   - C2--5LCP1</t>
  </si>
  <si>
    <t>Floor Rack Rack (C1-5FR1, C2-5FR1)</t>
  </si>
  <si>
    <t xml:space="preserve">   - C1--5RPUA1 WITH MARSHALLING BOX</t>
  </si>
  <si>
    <t xml:space="preserve">   - C2--5RPUA1 WITH MARSHALLING BOX</t>
  </si>
  <si>
    <t xml:space="preserve">   - C1-5TBA1</t>
  </si>
  <si>
    <t xml:space="preserve">   - C2-5TBA1</t>
  </si>
  <si>
    <t>งานระบบไฟฟ้าและสื่อสาร ชั้น 6</t>
  </si>
  <si>
    <t>C1-6PLC1, 100A 18 CCT.</t>
  </si>
  <si>
    <t>C1-6PK1, 100A 30 CCT.</t>
  </si>
  <si>
    <t>C2-6PC1, 100A 18 CCT.</t>
  </si>
  <si>
    <t>C2-6PK1, 100A 18 CCT.</t>
  </si>
  <si>
    <t>C1-6PM1, 100A 18 CCT.</t>
  </si>
  <si>
    <t xml:space="preserve">   -    MCCB 3P, 80A Main</t>
  </si>
  <si>
    <t>C1-6PM2, 100A 18 CCT.</t>
  </si>
  <si>
    <t>C2-6PM1, 100A 12 CCT.</t>
  </si>
  <si>
    <t>C2-6PM2, 100A 12 CCT.</t>
  </si>
  <si>
    <t>C2-6PM3, 100A 12 CCT.</t>
  </si>
  <si>
    <t>C1-6EPC1 100A 18 CCT.</t>
  </si>
  <si>
    <t>C1-6EPK1 100A 18 CCT.</t>
  </si>
  <si>
    <t>C2-6EPC1 100A 18 CCT.</t>
  </si>
  <si>
    <t>C2-6EPK1, 100A 12 CCT.</t>
  </si>
  <si>
    <t xml:space="preserve">   - C1--6LCP1</t>
  </si>
  <si>
    <t xml:space="preserve">   - C2--6LCP1</t>
  </si>
  <si>
    <t>Floor Rack Rack (C1-6FR1, C2-6FR1)</t>
  </si>
  <si>
    <t xml:space="preserve">   - C1--6RPUA1 WITH MARSHALLING BOX</t>
  </si>
  <si>
    <t xml:space="preserve">   - C2--6RPUA1 WITH MARSHALLING BOX</t>
  </si>
  <si>
    <t xml:space="preserve">   - C1-6TBA1</t>
  </si>
  <si>
    <t xml:space="preserve">   - C2-6TBA1</t>
  </si>
  <si>
    <t>งานระบบไฟฟ้าและสื่อสาร ชั้น 7</t>
  </si>
  <si>
    <t>C1-7PC1, 100A 24 CCT.</t>
  </si>
  <si>
    <t>C1-7PK1, 100A 30 CCT.</t>
  </si>
  <si>
    <t>C2-7PC1, 100A 18 CCT.</t>
  </si>
  <si>
    <t>C1-7EPC1 100A 18 CCT.</t>
  </si>
  <si>
    <t>C1-7EPK1 100A 18 CCT.</t>
  </si>
  <si>
    <t>C2-7EPC1 100A 24 CCT.</t>
  </si>
  <si>
    <t xml:space="preserve">   - C1--7LCP1</t>
  </si>
  <si>
    <t xml:space="preserve">   - C2--7LCP1</t>
  </si>
  <si>
    <t>Floor Rack Rack (C1-7FR1, C2-7FR1)</t>
  </si>
  <si>
    <t xml:space="preserve">   - C1--7RPUA1 WITH MARSHALLING BOX</t>
  </si>
  <si>
    <t xml:space="preserve">   - C2--7RPUA1 WITH MARSHALLING BOX</t>
  </si>
  <si>
    <t xml:space="preserve">   - C1-7TBA1</t>
  </si>
  <si>
    <t xml:space="preserve">   - C2-7TBA1</t>
  </si>
  <si>
    <t>งานระบบไฟฟ้าและสื่อสาร ชั้น 8</t>
  </si>
  <si>
    <t>C1-8PC1, 100A 18 CCT.</t>
  </si>
  <si>
    <t>C2-8PC1, 100A 18 CCT.</t>
  </si>
  <si>
    <t>C1-8EPC1 100A 24 CCT.</t>
  </si>
  <si>
    <t>C2-8EPC1 100A 24 CCT.</t>
  </si>
  <si>
    <t xml:space="preserve">   - C1--8LCP1</t>
  </si>
  <si>
    <t xml:space="preserve">   - C2--8LCP1</t>
  </si>
  <si>
    <t>Floor Rack Rack (C1-8FR1, C2-8FR1)</t>
  </si>
  <si>
    <t>งานระบบไฟฟ้าและสื่อสาร ชั้น ดาดฟ้า</t>
  </si>
  <si>
    <t>Junction Box (WP)</t>
  </si>
  <si>
    <t>3.5.3</t>
  </si>
  <si>
    <t>3.5.4</t>
  </si>
  <si>
    <t>3.5.5</t>
  </si>
  <si>
    <t>3.5.6</t>
  </si>
  <si>
    <t>3.5.7</t>
  </si>
  <si>
    <t>3.5.8</t>
  </si>
  <si>
    <t>3.5.9</t>
  </si>
  <si>
    <t>3.5.10</t>
  </si>
  <si>
    <t>3.5.11</t>
  </si>
  <si>
    <t>3.5.12</t>
  </si>
  <si>
    <t>3.5.13</t>
  </si>
  <si>
    <t>Beam Smoke Detector (Receiver)</t>
  </si>
  <si>
    <t>3.5.14</t>
  </si>
  <si>
    <t>Beam Smoke Detector(Transmitter)</t>
  </si>
  <si>
    <t>3.5.15</t>
  </si>
  <si>
    <t>3.5.16</t>
  </si>
  <si>
    <t>3.5.17</t>
  </si>
  <si>
    <t>3.5.19</t>
  </si>
  <si>
    <t xml:space="preserve">   - C1-RRPUS1 WITH MARSHALLING BOX</t>
  </si>
  <si>
    <t xml:space="preserve">   - C2-RRPUS1 WITH MARSHALLING BOX</t>
  </si>
  <si>
    <t>3.6.2</t>
  </si>
  <si>
    <t xml:space="preserve">   - C1-RTBS1</t>
  </si>
  <si>
    <t xml:space="preserve">   - C2-RTBA1</t>
  </si>
  <si>
    <t>3.6.3</t>
  </si>
  <si>
    <t>3.6.5</t>
  </si>
  <si>
    <t>กลุ่มงานที่ 1 / หมวดงานระบบโทรทัศน์วงจรปิด</t>
  </si>
  <si>
    <t>ระบบโทรทัศน์วงจรปิด (Closed Circuit TV System) Main Equipment</t>
  </si>
  <si>
    <t>4..1.1</t>
  </si>
  <si>
    <t xml:space="preserve">  - 12 Core OS2 Single Mode </t>
  </si>
  <si>
    <t>4.1.2</t>
  </si>
  <si>
    <t>4.1.3</t>
  </si>
  <si>
    <t>ระบบโทรทัศน์วงจรปิด (Closed Circuit TV System) ชั้น B2</t>
  </si>
  <si>
    <t>4.1.1</t>
  </si>
  <si>
    <t>IP CCTV Camera Fixed Type With Dome Housing</t>
  </si>
  <si>
    <t xml:space="preserve">IP CCTV Camera Fixed Type </t>
  </si>
  <si>
    <t xml:space="preserve">IP CCTV Camera Pan,Tilt,Zoom With Dome Housing </t>
  </si>
  <si>
    <t xml:space="preserve">   -   Fiber Optic Patch Panel 24 Port</t>
  </si>
  <si>
    <t xml:space="preserve">   -   Access Switch</t>
  </si>
  <si>
    <t xml:space="preserve">   -   UTP Patch Panel 24 Port</t>
  </si>
  <si>
    <t xml:space="preserve">   -   Floor Rack 19 ", 15U</t>
  </si>
  <si>
    <t xml:space="preserve">   -   Power Supply</t>
  </si>
  <si>
    <t>4.1.4</t>
  </si>
  <si>
    <t>4.1.5</t>
  </si>
  <si>
    <t xml:space="preserve">   - UTP Cat. 6A 4Pairs</t>
  </si>
  <si>
    <t>4..1.6</t>
  </si>
  <si>
    <t>ระบบโทรทัศน์วงจรปิด (Closed Circuit TV System) ชั้น B1</t>
  </si>
  <si>
    <t>4.1.6</t>
  </si>
  <si>
    <t>ระบบโทรทัศน์วงจรปิด (Closed Circuit TV System) ชั้น 1</t>
  </si>
  <si>
    <t>4..1.5</t>
  </si>
  <si>
    <t>ระบบโทรทัศน์วงจรปิด (Closed Circuit TV System) ชั้น 2</t>
  </si>
  <si>
    <t>ระบบโทรทัศน์วงจรปิด (Closed Circuit TV System) ชั้น 3</t>
  </si>
  <si>
    <t>ระบบโทรทัศน์วงจรปิด (Closed Circuit TV System) ชั้น 4</t>
  </si>
  <si>
    <t>ระบบโทรทัศน์วงจรปิด (Closed Circuit TV System) ชั้น 5</t>
  </si>
  <si>
    <t>ระบบโทรทัศน์วงจรปิด (Closed Circuit TV System) ชั้น 6</t>
  </si>
  <si>
    <t>ระบบโทรทัศน์วงจรปิด (Closed Circuit TV System) ชั้น 7</t>
  </si>
  <si>
    <t>4..1.4</t>
  </si>
  <si>
    <t>ระบบโทรทัศน์วงจรปิด (Closed Circuit TV System) ชั้น 8</t>
  </si>
  <si>
    <t>กลุ่มงานที่ 1 / หมวดงานงานระบบสุขาภิบาล</t>
  </si>
  <si>
    <t>งานระบบสุขาภิบาล (Main)</t>
  </si>
  <si>
    <t>5.1</t>
  </si>
  <si>
    <t>ระบบน้ำประปา (Cold Water Supply System)</t>
  </si>
  <si>
    <t>5.1.1</t>
  </si>
  <si>
    <t xml:space="preserve">ท่อเหล็กอาบสังกะสี (ERW Galvanized Steel Pipes, ASTM A-53 Grade A Schedule 40 w/ PE Lining) </t>
  </si>
  <si>
    <t>ท่อ Main Riser</t>
  </si>
  <si>
    <r>
      <t xml:space="preserve">   -   80  มม. </t>
    </r>
    <r>
      <rPr>
        <sz val="9"/>
        <rFont val="Symbol"/>
        <family val="1"/>
        <charset val="2"/>
      </rPr>
      <t>ฦ</t>
    </r>
  </si>
  <si>
    <r>
      <t xml:space="preserve">   -  100  มม. </t>
    </r>
    <r>
      <rPr>
        <sz val="9"/>
        <rFont val="Symbol"/>
        <family val="1"/>
        <charset val="2"/>
      </rPr>
      <t>ฦ</t>
    </r>
  </si>
  <si>
    <r>
      <t xml:space="preserve">   -  150  มม. </t>
    </r>
    <r>
      <rPr>
        <sz val="9"/>
        <rFont val="Symbol"/>
        <family val="1"/>
        <charset val="2"/>
      </rPr>
      <t>ฦ</t>
    </r>
  </si>
  <si>
    <t xml:space="preserve">   -  Fitting</t>
  </si>
  <si>
    <t xml:space="preserve">   -  Hanger &amp; Support</t>
  </si>
  <si>
    <t xml:space="preserve">   -  ค่าทดสอบ, ทำความสะอาดและทาสีท่อ</t>
  </si>
  <si>
    <t>5.1.2</t>
  </si>
  <si>
    <t xml:space="preserve">Gate Valve 150 PSI  WOG </t>
  </si>
  <si>
    <r>
      <t xml:space="preserve">   -   25  มม. </t>
    </r>
    <r>
      <rPr>
        <sz val="9"/>
        <rFont val="Symbol"/>
        <family val="1"/>
        <charset val="2"/>
      </rPr>
      <t>ฦ</t>
    </r>
  </si>
  <si>
    <t>5.1.3</t>
  </si>
  <si>
    <t xml:space="preserve">Butterfly Valve 150 PSI  WOG </t>
  </si>
  <si>
    <t>5.1.4</t>
  </si>
  <si>
    <t>Flexible Pipe Connector</t>
  </si>
  <si>
    <t>5.1.5</t>
  </si>
  <si>
    <t>Automatic Air Vent</t>
  </si>
  <si>
    <t>5.1.6</t>
  </si>
  <si>
    <t>Dirt Pocket</t>
  </si>
  <si>
    <t>5.1.7</t>
  </si>
  <si>
    <t>Pressure Reducing Valve 150 PSI WOG</t>
  </si>
  <si>
    <r>
      <t xml:space="preserve">   -   65  มม. </t>
    </r>
    <r>
      <rPr>
        <sz val="9"/>
        <rFont val="Symbol"/>
        <family val="1"/>
        <charset val="2"/>
      </rPr>
      <t>ฦ</t>
    </r>
  </si>
  <si>
    <t>5.1.8</t>
  </si>
  <si>
    <t>Digital Water Meter</t>
  </si>
  <si>
    <t>5.2</t>
  </si>
  <si>
    <t xml:space="preserve">ระบบระบายน้ำโสโครก น้ำทิ้ง ระบายอากาศ และ ท่อน้ำทิ้งจากห้องครัว </t>
  </si>
  <si>
    <t>5.2.1</t>
  </si>
  <si>
    <t>เครื่องสูบน้ำเสีย (Sewage Water pump)</t>
  </si>
  <si>
    <t xml:space="preserve">   - C1-B2SWP-01, 02 (Flowrate 30 cu.m./hr @ 25 m.H2o TDH)</t>
  </si>
  <si>
    <t xml:space="preserve">   - C2-B2SWP-01, 02 (Flowrate 30 cu.m./hr @ 25 m.H2o TDH)</t>
  </si>
  <si>
    <t xml:space="preserve">   - C1-B2KWP-01, 02 (Flowrate 10 cu.m./hr @ 25 m.H2o TDH)</t>
  </si>
  <si>
    <t xml:space="preserve">   - C2-B2KWP-01, 02 (Flowrate 10 cu.m./hr @ 25 m.H2o TDH)</t>
  </si>
  <si>
    <t>5.2.2</t>
  </si>
  <si>
    <t>ท่อ HDPE ชั้น PN 10 (HDPE Pipe PN 10) มอก. (ท่อสูบน้ำเสีย)</t>
  </si>
  <si>
    <t xml:space="preserve">   -  100  มม. Ø</t>
  </si>
  <si>
    <t xml:space="preserve">   -  150  มม. Ø</t>
  </si>
  <si>
    <t xml:space="preserve">   -  200  มม. Ø</t>
  </si>
  <si>
    <t xml:space="preserve">   -  ค่าทดสอบ, ทำความสะอาด</t>
  </si>
  <si>
    <t>5.2.3</t>
  </si>
  <si>
    <t>ท่อ PP Class B (Main Riser)</t>
  </si>
  <si>
    <t>5.2.4</t>
  </si>
  <si>
    <t>ท่อพีวีซีชั้น 8.5 (PVC Pipe Class 8.5) ท่อระบายอากาศ (Riser)</t>
  </si>
  <si>
    <t>5.2.5</t>
  </si>
  <si>
    <t>Gate Valve 150 PSI  WOG (For Sewage Water Pump)</t>
  </si>
  <si>
    <t>5.2.6</t>
  </si>
  <si>
    <t>Check Valve, Swing Type  150 PSI WOG (For Sewage Water Pump)</t>
  </si>
  <si>
    <t>5.2.7</t>
  </si>
  <si>
    <t>Cast Iron Manhole Cover, Light Duty Type (ชนิดกันกลิ่น)</t>
  </si>
  <si>
    <r>
      <t xml:space="preserve">   -  1000  มม. </t>
    </r>
    <r>
      <rPr>
        <sz val="9"/>
        <rFont val="Symbol"/>
        <family val="1"/>
        <charset val="2"/>
      </rPr>
      <t>ฦ</t>
    </r>
  </si>
  <si>
    <t>5.2.8</t>
  </si>
  <si>
    <t xml:space="preserve">Flexible Pipe Connector </t>
  </si>
  <si>
    <t>ระบบระบายน้ำฝนและระบายน้ำในอาคาร (Storm Drain &amp; Building Drain System)</t>
  </si>
  <si>
    <t>5.3.1</t>
  </si>
  <si>
    <t>เครื่องสูบระบายน้ำ (Drainage Pump)</t>
  </si>
  <si>
    <t xml:space="preserve">   - C1-B2DNP-01, 02 (Flowrate 20 cu.m./hr @ 15 m.H2o TDH)</t>
  </si>
  <si>
    <t>5.3.2</t>
  </si>
  <si>
    <t>ท่อ HDPE ชั้น PN 10 (HDPE Pipe PN 10) มอก. (ท่อระบายน้ำจากเครื่องสูบระบายน้ำ)</t>
  </si>
  <si>
    <t>5.3.3</t>
  </si>
  <si>
    <t>5.3.4</t>
  </si>
  <si>
    <t>ช่องสำหรับทำความสะอาดท่อ (Cleanout)</t>
  </si>
  <si>
    <t>5.3.5</t>
  </si>
  <si>
    <t>5.3.6</t>
  </si>
  <si>
    <t>Gate Valve 150 PSI  WOG (For Drainage Water Pump)</t>
  </si>
  <si>
    <t>5.3.7</t>
  </si>
  <si>
    <t>Check Valve, Swing Type  150 PSI WOG (For Drainage Water Pump)</t>
  </si>
  <si>
    <t>5.3.8</t>
  </si>
  <si>
    <t>Flexible Pipe Connector, Non-Pressure (For Drainage Water Pump)</t>
  </si>
  <si>
    <t>5.4</t>
  </si>
  <si>
    <t>ระบบน้ำชำระสุขภัณฑ์ (Flush Water System)</t>
  </si>
  <si>
    <t>5.4.1</t>
  </si>
  <si>
    <t>ท่อเหล็กอาบสังกะสี (ERW Galvanized Steel Pipes, ASTM A-53 Grade A Schedule 40 w/ PE Lining)(Main Riser)</t>
  </si>
  <si>
    <r>
      <t xml:space="preserve">   -   150  มม. </t>
    </r>
    <r>
      <rPr>
        <sz val="9"/>
        <rFont val="Symbol"/>
        <family val="1"/>
        <charset val="2"/>
      </rPr>
      <t>ฦ</t>
    </r>
  </si>
  <si>
    <t>5.4.2</t>
  </si>
  <si>
    <t>5.4.4</t>
  </si>
  <si>
    <t>5.4.5</t>
  </si>
  <si>
    <r>
      <t xml:space="preserve">   -   20  มม. </t>
    </r>
    <r>
      <rPr>
        <sz val="9"/>
        <rFont val="Symbol"/>
        <family val="1"/>
        <charset val="2"/>
      </rPr>
      <t>ฦ</t>
    </r>
  </si>
  <si>
    <t>5.4.6</t>
  </si>
  <si>
    <t>Pressure Gauge</t>
  </si>
  <si>
    <t>5.4.7</t>
  </si>
  <si>
    <t>5.4.8</t>
  </si>
  <si>
    <t>5.5</t>
  </si>
  <si>
    <t>ระบบน้ำต้นไม้ (Irrigation Water System)</t>
  </si>
  <si>
    <t>5.5.1</t>
  </si>
  <si>
    <t>ท่อเหล็กอาบสังกะสี (ERW Galvanized Steel Pipes, ASTM A-53 Grade A Schedule 40 w/ PE Lining)</t>
  </si>
  <si>
    <t>5.5.2</t>
  </si>
  <si>
    <t>5.5.3</t>
  </si>
  <si>
    <t>5.5.4</t>
  </si>
  <si>
    <t>5.5.5</t>
  </si>
  <si>
    <t>5.6</t>
  </si>
  <si>
    <t>ระบบไฟฟ้าและควบคุม (Electrical &amp; Control System) สำหรับระบบสุขาภิบาล</t>
  </si>
  <si>
    <t>5.6.1</t>
  </si>
  <si>
    <t>Panel Board Wiring &amp; Conduit</t>
  </si>
  <si>
    <t xml:space="preserve">   - C1-B1ESP1</t>
  </si>
  <si>
    <t xml:space="preserve">   - C2-B2ESP1</t>
  </si>
  <si>
    <t xml:space="preserve">   - C1-B1ESP2</t>
  </si>
  <si>
    <t>5.6.2</t>
  </si>
  <si>
    <t xml:space="preserve">Low Smoke Cable (LSHF Cable) </t>
  </si>
  <si>
    <t xml:space="preserve">   -    2.5 มม²</t>
  </si>
  <si>
    <t>5.6.3</t>
  </si>
  <si>
    <t>5.7</t>
  </si>
  <si>
    <t>หมวดงานเชื่อมต่อกับระบบ BAS (ระบบสุขาภิบาล)</t>
  </si>
  <si>
    <t>5.7.1</t>
  </si>
  <si>
    <t>Sensor</t>
  </si>
  <si>
    <t xml:space="preserve">   -   Level Switch</t>
  </si>
  <si>
    <t xml:space="preserve">   -   Flow Sensor Controller</t>
  </si>
  <si>
    <t>งานระบบสุขาภิบาล ชั้น B2</t>
  </si>
  <si>
    <t>ท่อพีพีอาร์ (SDR11 PN 10) ท่อ Branch</t>
  </si>
  <si>
    <r>
      <t xml:space="preserve">   -   32  มม. </t>
    </r>
    <r>
      <rPr>
        <sz val="9"/>
        <rFont val="Symbol"/>
        <family val="1"/>
        <charset val="2"/>
      </rPr>
      <t>ฦ</t>
    </r>
  </si>
  <si>
    <t xml:space="preserve">Ball Valve 150 PSI  WOG </t>
  </si>
  <si>
    <r>
      <t xml:space="preserve">   -   15  มม. </t>
    </r>
    <r>
      <rPr>
        <sz val="9"/>
        <rFont val="Symbol"/>
        <family val="1"/>
        <charset val="2"/>
      </rPr>
      <t>ฦ</t>
    </r>
  </si>
  <si>
    <t>ก๊อกสนาม (Hose Bibb)</t>
  </si>
  <si>
    <t>ท่อ PP  Class B (PP Pipe Class B)</t>
  </si>
  <si>
    <t>ท่อพีวีซีชั้น 8.5 (PVC Pipe Class 8.5) ท่อระบายอากาศ (Branch)</t>
  </si>
  <si>
    <t>ท่อเหล็กอาบสังกะสีชั้น B  (Galvanized Steel Pipe Class B) มอก.277-2532</t>
  </si>
  <si>
    <t>งานระบบสุขาภิบาล ชั้น B1</t>
  </si>
  <si>
    <t>ท่อพีพีอาร์ (SDR11 PN 10) ท่อ Branch+Main</t>
  </si>
  <si>
    <t>5.1.14</t>
  </si>
  <si>
    <t>ช่องระบายน้ำฝน (Roof Drain)</t>
  </si>
  <si>
    <t xml:space="preserve">   -  80  มม. Ø</t>
  </si>
  <si>
    <t>งานระบบสุขาภิบาล ชั้น 1</t>
  </si>
  <si>
    <r>
      <t xml:space="preserve">   -   40  มม. </t>
    </r>
    <r>
      <rPr>
        <sz val="9"/>
        <rFont val="Symbol"/>
        <family val="1"/>
        <charset val="2"/>
      </rPr>
      <t>ฦ</t>
    </r>
  </si>
  <si>
    <r>
      <t xml:space="preserve">   -   50  มม. </t>
    </r>
    <r>
      <rPr>
        <sz val="9"/>
        <rFont val="Symbol"/>
        <family val="1"/>
        <charset val="2"/>
      </rPr>
      <t>ฦ</t>
    </r>
  </si>
  <si>
    <t>Water Hammer Arrester</t>
  </si>
  <si>
    <t xml:space="preserve">   -   1- 11 FU</t>
  </si>
  <si>
    <t xml:space="preserve">   - 114-154 FU</t>
  </si>
  <si>
    <t>Water Meter</t>
  </si>
  <si>
    <t>ท่อ PP  Class B (PP Pipe Class B) (ท่อ Branch)</t>
  </si>
  <si>
    <t>ช่องระบายน้ำจากพื้น (Floor Drain)</t>
  </si>
  <si>
    <t>ท่อ PP Class B</t>
  </si>
  <si>
    <t>ท่อ HDPE ชั้น PN 10 (HDPE Pipe PN 10) มอก. (ท่อระบายน้ำออกนอกอาคาร)</t>
  </si>
  <si>
    <t>5.4.3</t>
  </si>
  <si>
    <t>งานระบบสุขาภิบาล ชั้น 2</t>
  </si>
  <si>
    <t>ท่อพีวีซีชั้น 8.5 (PVC Pipe Class 8.5) ท่อระบายอากาศ (branch)</t>
  </si>
  <si>
    <t>งานระบบสุขาภิบาล ชั้น 3</t>
  </si>
  <si>
    <t>งานระบบสุขาภิบาล ชั้น 4</t>
  </si>
  <si>
    <t>งานระบบสุขาภิบาล ชั้น 5</t>
  </si>
  <si>
    <t>งานระบบสุขาภิบาล ชั้น 6</t>
  </si>
  <si>
    <t>งานระบบสุขาภิบาล ชั้น 7</t>
  </si>
  <si>
    <t>งานระบบสุขาภิบาล ชั้น 8</t>
  </si>
  <si>
    <t>งานระบบสุขาภิบาล ชั้นหลังคา</t>
  </si>
  <si>
    <t>กลุ่มงานที่ 1 / หมวดงานระบบดับเพลิงและป้องกันอัคคีภัย</t>
  </si>
  <si>
    <t>งานระบบดับเพลิงและป้องกันอัคคีภัย (Main Equipment)</t>
  </si>
  <si>
    <t>งานท่อน้ำ (Piping Work)</t>
  </si>
  <si>
    <t>6.1.1</t>
  </si>
  <si>
    <t>ท่อเหล็กดำ Sch.40 A53, GR.A มีตะเข็บ (ท่อ Main + Riser)</t>
  </si>
  <si>
    <t xml:space="preserve">   -  15  มม. Ø</t>
  </si>
  <si>
    <t xml:space="preserve">   -  20  มม. Ø</t>
  </si>
  <si>
    <t xml:space="preserve">   -  25  มม. Ø</t>
  </si>
  <si>
    <t xml:space="preserve">   -  50  มม. Ø</t>
  </si>
  <si>
    <t xml:space="preserve">   -  65  มม. Ø</t>
  </si>
  <si>
    <t xml:space="preserve">   -  250  มม. Ø</t>
  </si>
  <si>
    <t xml:space="preserve">   -  ทาสีท่อดับเพลิง</t>
  </si>
  <si>
    <t>6.1.2</t>
  </si>
  <si>
    <t>ท่อเหล็กอาบสังกะสีชั้น B (Galvanized Steel Pipe Class B) มอก.277-2532</t>
  </si>
  <si>
    <t>วาล์วและอุปกรณ์ (Valve &amp; Pipe Accessories)</t>
  </si>
  <si>
    <t>6.2.1</t>
  </si>
  <si>
    <t>Wet Pipe Alarm Valve w/ Accessories</t>
  </si>
  <si>
    <t>6.2.2</t>
  </si>
  <si>
    <t>Strainer  175 PSI</t>
  </si>
  <si>
    <t>6.2.3</t>
  </si>
  <si>
    <t xml:space="preserve">Automatic Air Vent </t>
  </si>
  <si>
    <t>6.2.4</t>
  </si>
  <si>
    <t>Teloscopic Expansion Joint</t>
  </si>
  <si>
    <t>6.2.5</t>
  </si>
  <si>
    <t>Dirt Pocket With Flang</t>
  </si>
  <si>
    <t>6.2.6</t>
  </si>
  <si>
    <t>Pressure Relief Valve</t>
  </si>
  <si>
    <t>6.2.7</t>
  </si>
  <si>
    <t>Butterfly Valve  250 PSI</t>
  </si>
  <si>
    <t xml:space="preserve">   -   150  มม. Ø</t>
  </si>
  <si>
    <t>6.2.8</t>
  </si>
  <si>
    <t>Gate Valve  250 PSI</t>
  </si>
  <si>
    <t>6.2.9</t>
  </si>
  <si>
    <t>Expansion Joint</t>
  </si>
  <si>
    <t xml:space="preserve">   -   200  มม. Ø</t>
  </si>
  <si>
    <t>6.2.10</t>
  </si>
  <si>
    <t>Fire Department Connector</t>
  </si>
  <si>
    <t xml:space="preserve">   -  ø65 x ø65 x ø150</t>
  </si>
  <si>
    <t>6.2.11</t>
  </si>
  <si>
    <t>Fire Hydrant</t>
  </si>
  <si>
    <t>งานระบบดับเพลิงและป้องกันอัคคีภัย ชั้น B2</t>
  </si>
  <si>
    <t>ท่อเหล็กดำ Sch.40 A53, GR.A มีตะเข็บ (ท่อ Branch)</t>
  </si>
  <si>
    <r>
      <t xml:space="preserve">   -   25  มม. </t>
    </r>
    <r>
      <rPr>
        <sz val="10"/>
        <rFont val="Arial"/>
        <family val="2"/>
      </rPr>
      <t>Ø</t>
    </r>
  </si>
  <si>
    <t>Ball Valve 150 PSI</t>
  </si>
  <si>
    <t>Butterfly Valve  175 PSI</t>
  </si>
  <si>
    <t>Gate Valve  175 PSI</t>
  </si>
  <si>
    <t>Sight Glass</t>
  </si>
  <si>
    <t>Wafer Check Valve</t>
  </si>
  <si>
    <t>ระบบหัวกระจายน้ำดับเพลิง (Sprinkler System)</t>
  </si>
  <si>
    <t>6.3.1</t>
  </si>
  <si>
    <r>
      <t xml:space="preserve">Pendent (Recessed Type) 12.7 มม. </t>
    </r>
    <r>
      <rPr>
        <sz val="9"/>
        <rFont val="Symbol"/>
        <family val="1"/>
        <charset val="2"/>
      </rPr>
      <t>ฦ</t>
    </r>
    <r>
      <rPr>
        <sz val="14"/>
        <rFont val="BrowalliaUPC"/>
        <family val="2"/>
        <charset val="222"/>
      </rPr>
      <t xml:space="preserve">, 135  </t>
    </r>
    <r>
      <rPr>
        <sz val="14"/>
        <rFont val="Symbol"/>
        <family val="1"/>
        <charset val="2"/>
      </rPr>
      <t>ฐ</t>
    </r>
    <r>
      <rPr>
        <sz val="14"/>
        <rFont val="BrowalliaUPC"/>
        <family val="2"/>
        <charset val="222"/>
      </rPr>
      <t>F</t>
    </r>
  </si>
  <si>
    <t>6.3.2</t>
  </si>
  <si>
    <r>
      <t xml:space="preserve">Pendent (Recessed Type) 13.5 มม. </t>
    </r>
    <r>
      <rPr>
        <sz val="9"/>
        <rFont val="Symbol"/>
        <family val="1"/>
        <charset val="2"/>
      </rPr>
      <t>ฦ</t>
    </r>
    <r>
      <rPr>
        <sz val="14"/>
        <rFont val="BrowalliaUPC"/>
        <family val="2"/>
        <charset val="222"/>
      </rPr>
      <t xml:space="preserve">, 135  </t>
    </r>
    <r>
      <rPr>
        <sz val="14"/>
        <rFont val="Symbol"/>
        <family val="1"/>
        <charset val="2"/>
      </rPr>
      <t>ฐ</t>
    </r>
    <r>
      <rPr>
        <sz val="14"/>
        <rFont val="BrowalliaUPC"/>
        <family val="2"/>
        <charset val="222"/>
      </rPr>
      <t>F</t>
    </r>
  </si>
  <si>
    <t>6.3.3</t>
  </si>
  <si>
    <r>
      <t xml:space="preserve">Up-Right 12.7 มม. </t>
    </r>
    <r>
      <rPr>
        <sz val="9"/>
        <rFont val="Symbol"/>
        <family val="1"/>
        <charset val="2"/>
      </rPr>
      <t>ฦ</t>
    </r>
    <r>
      <rPr>
        <sz val="14"/>
        <rFont val="BrowalliaUPC"/>
        <family val="2"/>
        <charset val="222"/>
      </rPr>
      <t xml:space="preserve">, 165  </t>
    </r>
    <r>
      <rPr>
        <sz val="14"/>
        <rFont val="Symbol"/>
        <family val="1"/>
        <charset val="2"/>
      </rPr>
      <t>ฐ</t>
    </r>
    <r>
      <rPr>
        <sz val="14"/>
        <rFont val="BrowalliaUPC"/>
        <family val="2"/>
        <charset val="222"/>
      </rPr>
      <t>F</t>
    </r>
  </si>
  <si>
    <t>6.3.4</t>
  </si>
  <si>
    <r>
      <t xml:space="preserve">Sidewall 12.7 มม. </t>
    </r>
    <r>
      <rPr>
        <sz val="9"/>
        <rFont val="Symbol"/>
        <family val="1"/>
        <charset val="2"/>
      </rPr>
      <t>ฦ</t>
    </r>
    <r>
      <rPr>
        <sz val="14"/>
        <rFont val="BrowalliaUPC"/>
        <family val="2"/>
        <charset val="222"/>
      </rPr>
      <t xml:space="preserve">, 135  </t>
    </r>
    <r>
      <rPr>
        <sz val="14"/>
        <rFont val="Symbol"/>
        <family val="1"/>
        <charset val="2"/>
      </rPr>
      <t>ฐ</t>
    </r>
    <r>
      <rPr>
        <sz val="14"/>
        <rFont val="BrowalliaUPC"/>
        <family val="2"/>
        <charset val="222"/>
      </rPr>
      <t>F</t>
    </r>
  </si>
  <si>
    <t>6.3.5</t>
  </si>
  <si>
    <r>
      <t xml:space="preserve">Extended Sidewall 13.5 มม. </t>
    </r>
    <r>
      <rPr>
        <sz val="9"/>
        <rFont val="Symbol"/>
        <family val="1"/>
        <charset val="2"/>
      </rPr>
      <t>ฦ</t>
    </r>
    <r>
      <rPr>
        <sz val="14"/>
        <rFont val="BrowalliaUPC"/>
        <family val="2"/>
        <charset val="222"/>
      </rPr>
      <t xml:space="preserve">, 135  </t>
    </r>
    <r>
      <rPr>
        <sz val="14"/>
        <rFont val="Symbol"/>
        <family val="1"/>
        <charset val="2"/>
      </rPr>
      <t>ฐ</t>
    </r>
    <r>
      <rPr>
        <sz val="14"/>
        <rFont val="BrowalliaUPC"/>
        <family val="2"/>
        <charset val="222"/>
      </rPr>
      <t>F</t>
    </r>
  </si>
  <si>
    <t>6.3.6</t>
  </si>
  <si>
    <t>Storage Sprinkler K= 25.2</t>
  </si>
  <si>
    <t>Sprinkler Head Spare Set</t>
  </si>
  <si>
    <r>
      <t xml:space="preserve">   -  Pendent (Recessed Type) 12.7 มม. </t>
    </r>
    <r>
      <rPr>
        <sz val="9"/>
        <rFont val="Symbol"/>
        <family val="1"/>
        <charset val="2"/>
      </rPr>
      <t>ฦ</t>
    </r>
    <r>
      <rPr>
        <sz val="14"/>
        <rFont val="BrowalliaUPC"/>
        <family val="2"/>
        <charset val="222"/>
      </rPr>
      <t xml:space="preserve">, 135  </t>
    </r>
    <r>
      <rPr>
        <sz val="14"/>
        <rFont val="Symbol"/>
        <family val="1"/>
        <charset val="2"/>
      </rPr>
      <t>ฐ</t>
    </r>
    <r>
      <rPr>
        <sz val="14"/>
        <rFont val="BrowalliaUPC"/>
        <family val="2"/>
        <charset val="222"/>
      </rPr>
      <t>F</t>
    </r>
  </si>
  <si>
    <r>
      <t xml:space="preserve">   -  Up-Right 12.7 มม. </t>
    </r>
    <r>
      <rPr>
        <sz val="9"/>
        <rFont val="Symbol"/>
        <family val="1"/>
        <charset val="2"/>
      </rPr>
      <t>ฦ</t>
    </r>
    <r>
      <rPr>
        <sz val="14"/>
        <rFont val="BrowalliaUPC"/>
        <family val="2"/>
        <charset val="222"/>
      </rPr>
      <t xml:space="preserve">, 165  </t>
    </r>
    <r>
      <rPr>
        <sz val="14"/>
        <rFont val="Symbol"/>
        <family val="1"/>
        <charset val="2"/>
      </rPr>
      <t>ฐ</t>
    </r>
    <r>
      <rPr>
        <sz val="14"/>
        <rFont val="BrowalliaUPC"/>
        <family val="2"/>
        <charset val="222"/>
      </rPr>
      <t>F</t>
    </r>
  </si>
  <si>
    <t>ตู้ดับเพลิงและถังดับเพลิงชนิดมือถือ (Fire Hose Cabinet &amp; Portable Fire Extinguisher)</t>
  </si>
  <si>
    <t>6.4.1</t>
  </si>
  <si>
    <t>Fire Hose Cabinet</t>
  </si>
  <si>
    <t xml:space="preserve">   - Recess Type Cabinet</t>
  </si>
  <si>
    <t xml:space="preserve">   - Dry Chemical Portable Fire Extinguisher  @ 4.5 kg.</t>
  </si>
  <si>
    <t xml:space="preserve">   - 25 mm Ø x 30 m  Automatic Hose &amp; Reel</t>
  </si>
  <si>
    <t xml:space="preserve">   - 25 mm Ø Pressure Regulating Valve</t>
  </si>
  <si>
    <t xml:space="preserve">   - 65 mm Ø  Angle Hose Valve w/Pressure Restricting</t>
  </si>
  <si>
    <t xml:space="preserve">   - 65 mm Ø  Coupling Adaptor w/Cap &amp; Chain</t>
  </si>
  <si>
    <t xml:space="preserve">   - 25 mm Ø  Ball Valve</t>
  </si>
  <si>
    <t>6.4.2</t>
  </si>
  <si>
    <t>FHC-2 (Occupant's Use &amp; Parking Lot Use)</t>
  </si>
  <si>
    <t xml:space="preserve">   - Stand Type Cabinet</t>
  </si>
  <si>
    <t>6.4.3</t>
  </si>
  <si>
    <t>Fire Extinguisher Cabinet</t>
  </si>
  <si>
    <t xml:space="preserve">   - CO2 Portable Fire Extinguisher  @ 4.5 kg.</t>
  </si>
  <si>
    <t xml:space="preserve">   - Dry Chemical Portable Fire Extinguisher @ 4.5 kg.</t>
  </si>
  <si>
    <t xml:space="preserve">   - Wet Chemical Portable Fire Extinguisher</t>
  </si>
  <si>
    <t>ระบบไฟฟ้าและควบคุม (Electrical &amp; Control System) สำหรับระบบป้องกันอัคคีภัย</t>
  </si>
  <si>
    <t>6.5.1</t>
  </si>
  <si>
    <t>Supervisory Switch</t>
  </si>
  <si>
    <t>6.5.2</t>
  </si>
  <si>
    <t>Flow Switch</t>
  </si>
  <si>
    <t>6.5.3</t>
  </si>
  <si>
    <t>Pressure Switch</t>
  </si>
  <si>
    <t>6.5.4</t>
  </si>
  <si>
    <t>6.5.5</t>
  </si>
  <si>
    <t xml:space="preserve">   -    50 มม²</t>
  </si>
  <si>
    <t xml:space="preserve">   -    150 มม²</t>
  </si>
  <si>
    <t>6.5.6</t>
  </si>
  <si>
    <t>6.5.7</t>
  </si>
  <si>
    <t xml:space="preserve">   -  Fitting Hanger &amp; Support</t>
  </si>
  <si>
    <t>Included FP Main</t>
  </si>
  <si>
    <t>งานระบบดับเพลิงและป้องกันอัคคีภัย ชั้น B1</t>
  </si>
  <si>
    <t>ท่อเหล็กดำ Sch.40 A53, GR.A มีตะเข็บ (ท่อ Main แนวราบ)</t>
  </si>
  <si>
    <t>งานระบบดับเพลิงและป้องกันอัคคีภัย ชั้น 1</t>
  </si>
  <si>
    <t>Preaction Valve w/ Accessories</t>
  </si>
  <si>
    <r>
      <t xml:space="preserve">Standard Sidewall 13.5 มม. </t>
    </r>
    <r>
      <rPr>
        <sz val="9"/>
        <rFont val="Symbol"/>
        <family val="1"/>
        <charset val="2"/>
      </rPr>
      <t>ฦ</t>
    </r>
    <r>
      <rPr>
        <sz val="14"/>
        <rFont val="BrowalliaUPC"/>
        <family val="2"/>
        <charset val="222"/>
      </rPr>
      <t xml:space="preserve">, 135  </t>
    </r>
    <r>
      <rPr>
        <sz val="14"/>
        <rFont val="Symbol"/>
        <family val="1"/>
        <charset val="2"/>
      </rPr>
      <t>ฐ</t>
    </r>
    <r>
      <rPr>
        <sz val="14"/>
        <rFont val="BrowalliaUPC"/>
        <family val="2"/>
        <charset val="222"/>
      </rPr>
      <t>F</t>
    </r>
  </si>
  <si>
    <t>Sprinkler Test Station</t>
  </si>
  <si>
    <t xml:space="preserve">   - 25 mm Øx 30 m  Automatic Hose &amp; Reel</t>
  </si>
  <si>
    <t xml:space="preserve">   - 65 mm Ø Coupling Adaptor w/Cap &amp; Chain</t>
  </si>
  <si>
    <t xml:space="preserve">   - 25 mm Ø Ball Valve</t>
  </si>
  <si>
    <t>6.5</t>
  </si>
  <si>
    <t>Clean Agent (Novec 1230) Fire Suppression System</t>
  </si>
  <si>
    <t xml:space="preserve">Room Service </t>
  </si>
  <si>
    <t>C-1MDB1</t>
  </si>
  <si>
    <t>Engineering And Commissioning</t>
  </si>
  <si>
    <t>งานระบบดับเพลิงและป้องกันอัคคีภัย ชั้น 2</t>
  </si>
  <si>
    <t>งานระบบดับเพลิงและป้องกันอัคคีภัย ชั้น 3</t>
  </si>
  <si>
    <t>งานระบบดับเพลิงและป้องกันอัคคีภัย ชั้น 4</t>
  </si>
  <si>
    <t>งานระบบดับเพลิงและป้องกันอัคคีภัย ชั้น 5</t>
  </si>
  <si>
    <t>งานระบบดับเพลิงและป้องกันอัคคีภัย ชั้น 6</t>
  </si>
  <si>
    <t>งานระบบดับเพลิงและป้องกันอัคคีภัย ชั้น 7</t>
  </si>
  <si>
    <t>งานระบบดับเพลิงและป้องกันอัคคีภัย ชั้น 8</t>
  </si>
  <si>
    <t>งานระบบดับเพลิงและป้องกันอัคคีภัย ชั้น ดาดฟ้า</t>
  </si>
  <si>
    <t>Test Station</t>
  </si>
  <si>
    <t>กลุ่มงานที่ 1 / หมวดงานระบบปรับอากาศ และระบายอากาศ</t>
  </si>
  <si>
    <t>งานระบบปรับอากาศ และระบายอากาศ (Main Equipment)</t>
  </si>
  <si>
    <t>รวมราคางานระบบปรับอากาศ และระบายอากาศ (Main Equipment)</t>
  </si>
  <si>
    <t>อุปกรณ์ควบคุมอัตโนมัติ (Automatic Control Equipment)</t>
  </si>
  <si>
    <t>7.1.1</t>
  </si>
  <si>
    <t>Water Differential Pressure Transmitter (DPT)</t>
  </si>
  <si>
    <t>7.1.2</t>
  </si>
  <si>
    <t>BTU Meter</t>
  </si>
  <si>
    <t>รวมราคารายการที่ 7.1</t>
  </si>
  <si>
    <t>งานท่อ (Piping Work)</t>
  </si>
  <si>
    <t>7.2.1</t>
  </si>
  <si>
    <t>Chilled Water Pipe ท่อเหล็กดำ Sch.40 GR, A มีตะเข็บ</t>
  </si>
  <si>
    <t>7.2.1.1</t>
  </si>
  <si>
    <r>
      <t xml:space="preserve">   </t>
    </r>
    <r>
      <rPr>
        <b/>
        <i/>
        <u/>
        <sz val="16"/>
        <rFont val="CordiaUPC"/>
        <family val="2"/>
      </rPr>
      <t>ท่อ Main + Riser</t>
    </r>
  </si>
  <si>
    <t xml:space="preserve">   -  450  มม. Ø</t>
  </si>
  <si>
    <t xml:space="preserve">   -  800  มม. Ø</t>
  </si>
  <si>
    <t>7.2.3.1</t>
  </si>
  <si>
    <t>ท่อพีวีซีชั้น 8.5 (PVC Pipe Class 8.5)</t>
  </si>
  <si>
    <r>
      <t xml:space="preserve">   -   50  มม. </t>
    </r>
    <r>
      <rPr>
        <sz val="10"/>
        <rFont val="Arial"/>
        <family val="2"/>
      </rPr>
      <t>Ø</t>
    </r>
  </si>
  <si>
    <t>รวมราคารายการที่ 7.2</t>
  </si>
  <si>
    <t>7.3</t>
  </si>
  <si>
    <t>ฉนวนหุ้มท่อ (Pipe Insulation)</t>
  </si>
  <si>
    <t>7.3.1</t>
  </si>
  <si>
    <t>19-mm Closed Cell Foam (Drain Pipe)</t>
  </si>
  <si>
    <t>7.3.2</t>
  </si>
  <si>
    <t>40-mm Closed Cell Foam (Chilled Water Pipe)</t>
  </si>
  <si>
    <t>รวมราคารายการที่ 7.3</t>
  </si>
  <si>
    <t>วาล์วและอุปกรณ์ประกอบ  (Valve &amp; Pipe Accessories)</t>
  </si>
  <si>
    <t>7.4.1</t>
  </si>
  <si>
    <t>Gate Valve  150 PSI WOG</t>
  </si>
  <si>
    <t>7.4.2</t>
  </si>
  <si>
    <t>Butterfly Valve  150 PSI WOG</t>
  </si>
  <si>
    <t xml:space="preserve">   -  350  มม. Ø</t>
  </si>
  <si>
    <t>7.4.3</t>
  </si>
  <si>
    <t>Butterfly Valve w/ Motorized 150 PSI WOG</t>
  </si>
  <si>
    <t>7.4.4</t>
  </si>
  <si>
    <t>Balancing Valve w/ Flow Measuring Port</t>
  </si>
  <si>
    <t>7.4.5</t>
  </si>
  <si>
    <t>Check Valve  150 PSI WOG</t>
  </si>
  <si>
    <t>7.4.6</t>
  </si>
  <si>
    <t>Strainer  150 PSI WOG</t>
  </si>
  <si>
    <t>7.4.7</t>
  </si>
  <si>
    <t>Flexible Pipe Connector  150 PSI WOG</t>
  </si>
  <si>
    <t>7.4.8</t>
  </si>
  <si>
    <t>7.4.9</t>
  </si>
  <si>
    <t>7.4.10</t>
  </si>
  <si>
    <t>7.4.11</t>
  </si>
  <si>
    <t>รวมราคารายการที่ 7.4</t>
  </si>
  <si>
    <t>ระบบท่อลม (Duct Work)</t>
  </si>
  <si>
    <t>7.5.1</t>
  </si>
  <si>
    <t>สังกะสีแผ่นเรียบ (Galvanized Steel Sheet)</t>
  </si>
  <si>
    <t xml:space="preserve">   - สังกะสีเบอร์ 22 GA</t>
  </si>
  <si>
    <t>ม.²</t>
  </si>
  <si>
    <t xml:space="preserve">   - สังกะสีเบอร์ 20 GA</t>
  </si>
  <si>
    <t xml:space="preserve">   - สังกะสีเบอร์ 18 GA</t>
  </si>
  <si>
    <t>7.5.2</t>
  </si>
  <si>
    <t>ท่อลมทนไฟ (Fire rated duct)</t>
  </si>
  <si>
    <t xml:space="preserve">   -  แผ่นเหล็กดำ หนา 2มม.</t>
  </si>
  <si>
    <t>รวมราคารายการที่ 7.5</t>
  </si>
  <si>
    <t>ฉนวนหุ้มท่อลม (Duct Insulation)</t>
  </si>
  <si>
    <t>7.6.1</t>
  </si>
  <si>
    <t xml:space="preserve">ฉนวน Fiberglass </t>
  </si>
  <si>
    <t xml:space="preserve">   - 25-mm 32 kg/m³ Fiberglass</t>
  </si>
  <si>
    <t xml:space="preserve">   </t>
  </si>
  <si>
    <t>7.6.2</t>
  </si>
  <si>
    <t>Duct Tape &amp; Adhesive (Neobond Fire Retardant)</t>
  </si>
  <si>
    <t>รวมราคารายการที่ 7.6</t>
  </si>
  <si>
    <t>7.7</t>
  </si>
  <si>
    <t>หน้ากากลม (Air Diffuser, Grille &amp; Register)</t>
  </si>
  <si>
    <t>7.7.1</t>
  </si>
  <si>
    <t>Pressurized Air Register</t>
  </si>
  <si>
    <t xml:space="preserve">   - 1100x1100 มม.</t>
  </si>
  <si>
    <t xml:space="preserve">   - 1250x1000 มม.</t>
  </si>
  <si>
    <t xml:space="preserve">   - 1650x1650 มม.</t>
  </si>
  <si>
    <t>7.7.2</t>
  </si>
  <si>
    <t>Counter Weight Relief Damper</t>
  </si>
  <si>
    <t xml:space="preserve">   - 900x850 มม.</t>
  </si>
  <si>
    <t xml:space="preserve">   - 500x500 มม.</t>
  </si>
  <si>
    <t>รวมราคารายการที่ 7.7</t>
  </si>
  <si>
    <t>7.8.1</t>
  </si>
  <si>
    <t>7.8.2</t>
  </si>
  <si>
    <t>7.8.3</t>
  </si>
  <si>
    <t>7.8.4</t>
  </si>
  <si>
    <t>รวมราคารายการที่ 7.8</t>
  </si>
  <si>
    <t>งานระบบปรับอากาศ และระบายอากาศ ชั้น B2</t>
  </si>
  <si>
    <t>included</t>
  </si>
  <si>
    <t>รวมราคางานระบบปรับอากาศ และระบายอากาศ ชั้น B2</t>
  </si>
  <si>
    <t>7.1</t>
  </si>
  <si>
    <t>เครื่องส่งลมเย็นขนาดเล็ก (Fan Coil Unit)</t>
  </si>
  <si>
    <t>Ceiling Mounted Concealed Type</t>
  </si>
  <si>
    <t xml:space="preserve">  -  C1-B2F-01, (3.5 kW,190 L/s)</t>
  </si>
  <si>
    <t>C1C-B2F-01</t>
  </si>
  <si>
    <t xml:space="preserve">  -  C2-B2F-01, (3.5 kW,190 L/s)</t>
  </si>
  <si>
    <t>C2C-B2F-01</t>
  </si>
  <si>
    <t>Network Thermostat</t>
  </si>
  <si>
    <t>7.1.3</t>
  </si>
  <si>
    <t>อุปกรณ์ลดแรงสั่นสะเทือน (Vibration Isolator)</t>
  </si>
  <si>
    <t>7.2</t>
  </si>
  <si>
    <t>Automatic Control Valve</t>
  </si>
  <si>
    <t>Pressure Independent Control Valve On-Off Type</t>
  </si>
  <si>
    <t>7.2.2</t>
  </si>
  <si>
    <t>CO Sensor</t>
  </si>
  <si>
    <t>Temp. Sensor</t>
  </si>
  <si>
    <t>พัดลมระบายอากาศ (Ventilating Fan)</t>
  </si>
  <si>
    <t>พัดลมชนิด Centrifugal, Belt Drive</t>
  </si>
  <si>
    <t>C1-B2MAF-01</t>
  </si>
  <si>
    <t>11,950 / 19,900</t>
  </si>
  <si>
    <t>C1-B2MAF-02</t>
  </si>
  <si>
    <t>C1-B2EAF-01</t>
  </si>
  <si>
    <t>14,900 / 24,850</t>
  </si>
  <si>
    <t>C1-B2EAF-02</t>
  </si>
  <si>
    <t>C1-B2EAF-03</t>
  </si>
  <si>
    <t>C2-B2MAF-01</t>
  </si>
  <si>
    <t>C2-B2MAF-02</t>
  </si>
  <si>
    <t>C2-B2EAF-01</t>
  </si>
  <si>
    <t>C2-B2EAF-02</t>
  </si>
  <si>
    <t>C2-B2EAF-03</t>
  </si>
  <si>
    <t>พัดลมชนิด Jet Fan</t>
  </si>
  <si>
    <t xml:space="preserve">  -  C1-B2JEF-01 To 15, (1550 L/s)</t>
  </si>
  <si>
    <t xml:space="preserve">  -  C2-B2JEF-01 To 13, (1550 L/s)</t>
  </si>
  <si>
    <t>7.3.3</t>
  </si>
  <si>
    <t xml:space="preserve">พัดลมชนิด Propeller Fan </t>
  </si>
  <si>
    <t>C1C-B2EAF-01</t>
  </si>
  <si>
    <t>C1C-B2EAF-02</t>
  </si>
  <si>
    <t>C2C-B2EAF-01</t>
  </si>
  <si>
    <t>C2C-B2EAF-02</t>
  </si>
  <si>
    <t>7.3.4</t>
  </si>
  <si>
    <t>7.4</t>
  </si>
  <si>
    <r>
      <t xml:space="preserve">   -   20  มม. </t>
    </r>
    <r>
      <rPr>
        <sz val="10"/>
        <rFont val="Arial"/>
        <family val="2"/>
      </rPr>
      <t>Ø</t>
    </r>
  </si>
  <si>
    <t xml:space="preserve">   -   35  มม. Ø</t>
  </si>
  <si>
    <t>7.5</t>
  </si>
  <si>
    <t>25-mm Closed Cell Foam (Chilled Water Pipe)</t>
  </si>
  <si>
    <t>7.6</t>
  </si>
  <si>
    <t>7.6.3</t>
  </si>
  <si>
    <t>สังกะสีแผ่นเรียบ (Galvanized Steel Sheet) Exhaust Air Duct</t>
  </si>
  <si>
    <t xml:space="preserve">   - สังกะสีเบอร์ 26 GA</t>
  </si>
  <si>
    <t xml:space="preserve">   - สังกะสีเบอร์ 24 GA</t>
  </si>
  <si>
    <t>Fire Rated Duct</t>
  </si>
  <si>
    <t>7.8</t>
  </si>
  <si>
    <t>7.9</t>
  </si>
  <si>
    <t>7.9.1</t>
  </si>
  <si>
    <t>Air Grille</t>
  </si>
  <si>
    <t>200x200</t>
  </si>
  <si>
    <t>500x500</t>
  </si>
  <si>
    <t>600x550</t>
  </si>
  <si>
    <t>650x650</t>
  </si>
  <si>
    <t>800x350</t>
  </si>
  <si>
    <t>900x850</t>
  </si>
  <si>
    <t>7.9.6</t>
  </si>
  <si>
    <t>Transfer Air Grille</t>
  </si>
  <si>
    <t>300x200</t>
  </si>
  <si>
    <t>450x450</t>
  </si>
  <si>
    <t>Air Louver</t>
  </si>
  <si>
    <t>2200x650</t>
  </si>
  <si>
    <t>2300x650</t>
  </si>
  <si>
    <t>Fire Damper</t>
  </si>
  <si>
    <t>250x200</t>
  </si>
  <si>
    <t>1150x1950</t>
  </si>
  <si>
    <t>1300x1950</t>
  </si>
  <si>
    <t>1600x1200</t>
  </si>
  <si>
    <t>1900x1200</t>
  </si>
  <si>
    <t>2500x650</t>
  </si>
  <si>
    <t>7.9.7</t>
  </si>
  <si>
    <t>Volume Damper</t>
  </si>
  <si>
    <t>800x500</t>
  </si>
  <si>
    <t>7.10</t>
  </si>
  <si>
    <t>ระบบไฟฟ้าและควบคุม (Electrical &amp; Control System)</t>
  </si>
  <si>
    <t>7.10.1</t>
  </si>
  <si>
    <t>Panel Board No.</t>
  </si>
  <si>
    <t xml:space="preserve">   - C1C-B2EAP1</t>
  </si>
  <si>
    <t xml:space="preserve">   - C1C-B2EAP2</t>
  </si>
  <si>
    <t xml:space="preserve">   - C2C-B2EAP1</t>
  </si>
  <si>
    <t xml:space="preserve">   - C2C-B2EAP2</t>
  </si>
  <si>
    <t>7.10.2</t>
  </si>
  <si>
    <t>7.10.3</t>
  </si>
  <si>
    <t xml:space="preserve">Fire Rated (FR Cable) </t>
  </si>
  <si>
    <t>7.10.4</t>
  </si>
  <si>
    <t>7.11</t>
  </si>
  <si>
    <t>Variable Speed Controller</t>
  </si>
  <si>
    <t>7.11.1</t>
  </si>
  <si>
    <t>Variable Speed Driver IP20</t>
  </si>
  <si>
    <t xml:space="preserve">   - 22 kW</t>
  </si>
  <si>
    <t>inclueded</t>
  </si>
  <si>
    <t xml:space="preserve">   - 30 kW</t>
  </si>
  <si>
    <t>งานระบบปรับอากาศ และระบายอากาศ ชั้น B1</t>
  </si>
  <si>
    <t>รวมราคางานระบบปรับอากาศ และระบายอากาศ ชั้น B1</t>
  </si>
  <si>
    <t>Ceiling Mounted Cassette Type</t>
  </si>
  <si>
    <t xml:space="preserve">  -  C1-B1F-01, (3.5 kW,190 L/s)</t>
  </si>
  <si>
    <t>C1C-B1F-01</t>
  </si>
  <si>
    <t xml:space="preserve">  -  C2-B1F-01, (3.5 kW,190 L/s)</t>
  </si>
  <si>
    <t>C2C-B1F-01</t>
  </si>
  <si>
    <t>7.1.5</t>
  </si>
  <si>
    <t>C1-B1MAF-01</t>
  </si>
  <si>
    <t>13,400 / 22,500</t>
  </si>
  <si>
    <t>C1-B1EAF-01</t>
  </si>
  <si>
    <t>16,800 / 24,000</t>
  </si>
  <si>
    <t>C1-B1EAF-02</t>
  </si>
  <si>
    <t>C2-B1MAF-01</t>
  </si>
  <si>
    <t>C2-B1MAF-02</t>
  </si>
  <si>
    <t>C2-B1EAF-01</t>
  </si>
  <si>
    <t>C2-B1EAF-02</t>
  </si>
  <si>
    <t xml:space="preserve">  -  C1-B1JEF-01 To 17, (1550 L/s)</t>
  </si>
  <si>
    <t xml:space="preserve">  -  C2-B1JEF-01 To 16, (1550 L/s)</t>
  </si>
  <si>
    <t>C1C-B1EAF-01</t>
  </si>
  <si>
    <t>C1C-B1EAF-02</t>
  </si>
  <si>
    <t>C2C-B1EAF-01</t>
  </si>
  <si>
    <t>C2C-B1EAF-02</t>
  </si>
  <si>
    <t xml:space="preserve">   -   250  มม. Ø</t>
  </si>
  <si>
    <t xml:space="preserve">   -   300  มม. Ø</t>
  </si>
  <si>
    <t xml:space="preserve">   -   400  มม. Ø</t>
  </si>
  <si>
    <t xml:space="preserve">   -   450  มม. Ø</t>
  </si>
  <si>
    <r>
      <t xml:space="preserve">   -   80  มม. </t>
    </r>
    <r>
      <rPr>
        <sz val="10"/>
        <rFont val="Arial"/>
        <family val="2"/>
      </rPr>
      <t>Ø</t>
    </r>
  </si>
  <si>
    <t>7.7.3</t>
  </si>
  <si>
    <t>32-mm Closed Cell Foam (Chilled Water Pipe)</t>
  </si>
  <si>
    <t>7.7.4</t>
  </si>
  <si>
    <t xml:space="preserve">   - 25-mm 48 kg/m³ Fiberglass</t>
  </si>
  <si>
    <t xml:space="preserve">   - 75-mm 32 kg/m³ Fiberglass (High Temp.)</t>
  </si>
  <si>
    <t>1150x1200</t>
  </si>
  <si>
    <t>1700x1300</t>
  </si>
  <si>
    <t>1700x1950</t>
  </si>
  <si>
    <t>2500x700</t>
  </si>
  <si>
    <t>3000x550</t>
  </si>
  <si>
    <t xml:space="preserve">   - C1C-B1EAP1</t>
  </si>
  <si>
    <t xml:space="preserve">   - C1C-B1EAP2</t>
  </si>
  <si>
    <t xml:space="preserve">   - C2C-B1EAP1</t>
  </si>
  <si>
    <t xml:space="preserve">   - C2C-B1EAP2</t>
  </si>
  <si>
    <t xml:space="preserve">   - 15 kW</t>
  </si>
  <si>
    <t>งานระบบปรับอากาศ และระบายอากาศ ชั้น 1</t>
  </si>
  <si>
    <t>รวมราคางานระบบปรับอากาศ และระบายอากาศ ชั้น 1</t>
  </si>
  <si>
    <t>เครื่องส่งลมเย็นแบบ Pre-Cooled Outdoor Air unit</t>
  </si>
  <si>
    <t>Unit No.</t>
  </si>
  <si>
    <t xml:space="preserve">  -  C2-1OAU-01, (263.4 kW,4000 L/s)</t>
  </si>
  <si>
    <t>Thermostat, Duct Immersion Type</t>
  </si>
  <si>
    <t>7.1.4</t>
  </si>
  <si>
    <t>ฐานแท่นคอนกรีต (Concrete Foundation)</t>
  </si>
  <si>
    <t>เครื่องส่งลมเย็นขนาดใหญ่ (Air Handling Unit)</t>
  </si>
  <si>
    <t>C1-1A-01</t>
  </si>
  <si>
    <t>C1-1A-02</t>
  </si>
  <si>
    <t>C1-1A-03</t>
  </si>
  <si>
    <t>C1-1A-04</t>
  </si>
  <si>
    <t>C1-1A-05</t>
  </si>
  <si>
    <t>C1-1A-06</t>
  </si>
  <si>
    <t>C1-1A-07</t>
  </si>
  <si>
    <t>C1-1A-08</t>
  </si>
  <si>
    <t>C1-1A-09</t>
  </si>
  <si>
    <t>C2-1A-01</t>
  </si>
  <si>
    <t>C2-1A-02</t>
  </si>
  <si>
    <t>C2-1A-03</t>
  </si>
  <si>
    <t>C2-1A-04</t>
  </si>
  <si>
    <t>C2-1A-05</t>
  </si>
  <si>
    <t>C2-1A-06</t>
  </si>
  <si>
    <t>C2-1A-07</t>
  </si>
  <si>
    <t>C2-1A-08</t>
  </si>
  <si>
    <t>Thermostat for AHU, Proportional Type</t>
  </si>
  <si>
    <t xml:space="preserve">   - Space Thermostat</t>
  </si>
  <si>
    <t>7.2.3</t>
  </si>
  <si>
    <t>C2-1F-01</t>
  </si>
  <si>
    <t>C2-1F-02 (ST.BY)</t>
  </si>
  <si>
    <t>Thermostat for FCU,On-Off Type</t>
  </si>
  <si>
    <t xml:space="preserve">   - Room Thermostat  w/ 3 Speed Switch</t>
  </si>
  <si>
    <t>7.4.1.1</t>
  </si>
  <si>
    <t>7.4.1.2</t>
  </si>
  <si>
    <t>Pressure Independent Control Valve Proportional Type</t>
  </si>
  <si>
    <t>C1-1EAF-01</t>
  </si>
  <si>
    <t>C1-1EAF-02</t>
  </si>
  <si>
    <t>C2-1EAF-01</t>
  </si>
  <si>
    <t>C2-1EAF-02</t>
  </si>
  <si>
    <t>C2-1EAF-05</t>
  </si>
  <si>
    <t>พัดลมชนิด Inline Centrifugal Fan</t>
  </si>
  <si>
    <t>C1-1EAF-03</t>
  </si>
  <si>
    <t>C1-1EAF-04</t>
  </si>
  <si>
    <t>C2-1EAF-03</t>
  </si>
  <si>
    <t>C2-1EAF-04</t>
  </si>
  <si>
    <t>7.5.3</t>
  </si>
  <si>
    <t>ระบบกรองอากาศ (Air Filtration System)</t>
  </si>
  <si>
    <t>Pre-Filter</t>
  </si>
  <si>
    <t xml:space="preserve">   -Type PF-3</t>
  </si>
  <si>
    <t>Medium Filter</t>
  </si>
  <si>
    <t xml:space="preserve">   -Type MF-4</t>
  </si>
  <si>
    <t>Diff . Press . Switch</t>
  </si>
  <si>
    <t>7.6.4</t>
  </si>
  <si>
    <t>Inclined Manometer</t>
  </si>
  <si>
    <r>
      <t xml:space="preserve">   -   40  มม. </t>
    </r>
    <r>
      <rPr>
        <sz val="10"/>
        <rFont val="Arial"/>
        <family val="2"/>
      </rPr>
      <t>Ø</t>
    </r>
  </si>
  <si>
    <t>7.9.2</t>
  </si>
  <si>
    <t>7.9.3</t>
  </si>
  <si>
    <t>7.9.4</t>
  </si>
  <si>
    <t>'7.9.5</t>
  </si>
  <si>
    <t>Pressure Snubber w/ Valve</t>
  </si>
  <si>
    <t>'7.9.6</t>
  </si>
  <si>
    <t>Thermometer</t>
  </si>
  <si>
    <t>'7.9.7</t>
  </si>
  <si>
    <t>Drain Valve w/ Vent</t>
  </si>
  <si>
    <t>สังกะสีแผ่นเรียบ (Galvanized Steel Sheet) Supply &amp; Return Air Duct</t>
  </si>
  <si>
    <t xml:space="preserve"> Flexible Round Duct w/ 25mm. 16kg/m³ Fiberglass Insulation</t>
  </si>
  <si>
    <t xml:space="preserve">   -   350  มม. Ø</t>
  </si>
  <si>
    <t xml:space="preserve">   -   500  มม. Ø</t>
  </si>
  <si>
    <t>7.11.2</t>
  </si>
  <si>
    <t>7.12</t>
  </si>
  <si>
    <t>7.12.1</t>
  </si>
  <si>
    <t>200x150</t>
  </si>
  <si>
    <t>300x250</t>
  </si>
  <si>
    <t>600x300</t>
  </si>
  <si>
    <t>1200x600</t>
  </si>
  <si>
    <t>1400x1000</t>
  </si>
  <si>
    <t>1500x600</t>
  </si>
  <si>
    <t>1500x1250</t>
  </si>
  <si>
    <t>2200x1800</t>
  </si>
  <si>
    <t>2500x1400</t>
  </si>
  <si>
    <t>7.12.2</t>
  </si>
  <si>
    <t>350x200</t>
  </si>
  <si>
    <t>400x250</t>
  </si>
  <si>
    <t>7.12.3</t>
  </si>
  <si>
    <t>500x300</t>
  </si>
  <si>
    <t>7.12.4</t>
  </si>
  <si>
    <t>Air Jet Nozzle Diffuser</t>
  </si>
  <si>
    <t xml:space="preserve">   -   ø100</t>
  </si>
  <si>
    <t xml:space="preserve">   -   ø350</t>
  </si>
  <si>
    <t xml:space="preserve">   - 300x250 มม.</t>
  </si>
  <si>
    <t>7.12.5</t>
  </si>
  <si>
    <t>Diffuser Round</t>
  </si>
  <si>
    <t xml:space="preserve">   -   ø150</t>
  </si>
  <si>
    <t xml:space="preserve">   -   ø200</t>
  </si>
  <si>
    <t xml:space="preserve">   -   ø250</t>
  </si>
  <si>
    <t xml:space="preserve">   -   ø500</t>
  </si>
  <si>
    <t>7.12.6</t>
  </si>
  <si>
    <t>150x150</t>
  </si>
  <si>
    <t>350x250</t>
  </si>
  <si>
    <t>500x250</t>
  </si>
  <si>
    <t>850x300</t>
  </si>
  <si>
    <t>1150x400</t>
  </si>
  <si>
    <t>1150x500</t>
  </si>
  <si>
    <t>1250x450</t>
  </si>
  <si>
    <t>1350x400</t>
  </si>
  <si>
    <t>1400x450</t>
  </si>
  <si>
    <t>1400x500</t>
  </si>
  <si>
    <t>1450x400</t>
  </si>
  <si>
    <t>2100x400</t>
  </si>
  <si>
    <t>7.12.7</t>
  </si>
  <si>
    <t>7.12.8</t>
  </si>
  <si>
    <t>Gravity Damper</t>
  </si>
  <si>
    <t>1050x300</t>
  </si>
  <si>
    <t>7.13</t>
  </si>
  <si>
    <t>7.13.1</t>
  </si>
  <si>
    <t xml:space="preserve">   - C1-1AP1</t>
  </si>
  <si>
    <t xml:space="preserve">   - C1-1AP2</t>
  </si>
  <si>
    <t xml:space="preserve">   - C1-1AP3</t>
  </si>
  <si>
    <t xml:space="preserve">   - C1-1AP4</t>
  </si>
  <si>
    <t xml:space="preserve">   - C1-1AP6</t>
  </si>
  <si>
    <t xml:space="preserve">   - C1-1AP5</t>
  </si>
  <si>
    <t xml:space="preserve">   - C2-1AP1</t>
  </si>
  <si>
    <t xml:space="preserve">   - C2-1AP2</t>
  </si>
  <si>
    <t xml:space="preserve">   - C2-1AP3</t>
  </si>
  <si>
    <t xml:space="preserve">   - C2-1AP4</t>
  </si>
  <si>
    <t xml:space="preserve">   - C2-1AP5</t>
  </si>
  <si>
    <t xml:space="preserve">   - C2-1AP6</t>
  </si>
  <si>
    <t>7.13.2</t>
  </si>
  <si>
    <t>7.13.3</t>
  </si>
  <si>
    <t xml:space="preserve">Fire Resistance Cable (LSHF Cable) </t>
  </si>
  <si>
    <t>7.13.4</t>
  </si>
  <si>
    <t>งานระบบปรับอากาศ และระบายอากาศ ชั้น 2</t>
  </si>
  <si>
    <t>รวมราคางานระบบปรับอากาศ และระบายอากาศ ชั้น 2</t>
  </si>
  <si>
    <t xml:space="preserve">  -  C2-2OAU-01, (272.4 kW,4065 L/s)</t>
  </si>
  <si>
    <t xml:space="preserve">  -  </t>
  </si>
  <si>
    <t xml:space="preserve">  -  C1-2A-01, (93.2 kW,6200 L/s)</t>
  </si>
  <si>
    <t xml:space="preserve">  -  C1-2A-02, (42 kW,2700 L/s)</t>
  </si>
  <si>
    <t xml:space="preserve">  -  C1-2A-03, (31.7 kW,1800 L/s)</t>
  </si>
  <si>
    <t xml:space="preserve">  -  C1-2A-04, (21 kW,1200 L/s)</t>
  </si>
  <si>
    <t xml:space="preserve">  -  C1-2A-05, (21 kW,1200 L/s)</t>
  </si>
  <si>
    <t xml:space="preserve">  -  C1-2A-06, (21 kW,1200 L/s)</t>
  </si>
  <si>
    <t xml:space="preserve">  -  C1-2A-07, (21 kW,1200 L/s)</t>
  </si>
  <si>
    <t xml:space="preserve">  -  C1-2A-08 , (21 kW,1200 L/s)</t>
  </si>
  <si>
    <t xml:space="preserve">  -  C1-2A-09 , (21 kW,1200 L/s)</t>
  </si>
  <si>
    <t xml:space="preserve">  -  C2-2A-01, (93.2 kW,6200 L/s)</t>
  </si>
  <si>
    <t xml:space="preserve">  -  C2-2A-03, (28 kW,1800 L/s)</t>
  </si>
  <si>
    <t xml:space="preserve">  -  C2-2A-04, (28 kW,1800 L/s)</t>
  </si>
  <si>
    <t xml:space="preserve">  -  C2-2A-02, (42 kW,2700 L/s)</t>
  </si>
  <si>
    <t xml:space="preserve">  -  C2-2A-05, (24.2 kW,1550 L/s)</t>
  </si>
  <si>
    <t xml:space="preserve">  -  C2-2A-06, (24.2 kW,1550 L/s)</t>
  </si>
  <si>
    <t xml:space="preserve">  -  C2-2A-07, (31.7 kW,1800 L/s)</t>
  </si>
  <si>
    <t xml:space="preserve">  -  C2-2A-08, (21 kW,1200 L/s)</t>
  </si>
  <si>
    <t xml:space="preserve">  -  C2-2A-09, (21 kW,1200 L/s)</t>
  </si>
  <si>
    <t xml:space="preserve">  -  C2-2A-10, (21 kW,1200 L/s)</t>
  </si>
  <si>
    <t xml:space="preserve">  -  C2-2A-11, (21 kW,1200 L/s)</t>
  </si>
  <si>
    <t>Ceiling Mounted Exposed Type</t>
  </si>
  <si>
    <t>C2-2F-01 To 02</t>
  </si>
  <si>
    <t xml:space="preserve">   -Network Thermostat</t>
  </si>
  <si>
    <t>C1-2EAF-01</t>
  </si>
  <si>
    <t>C1-2EAF-02</t>
  </si>
  <si>
    <t>C2-2EAF-01</t>
  </si>
  <si>
    <t>C2-2EAF-02</t>
  </si>
  <si>
    <t>C1-2EAF-03</t>
  </si>
  <si>
    <t>C1-2EAF-04</t>
  </si>
  <si>
    <t>C2-2EAF-03</t>
  </si>
  <si>
    <t>C2-2EAF-04</t>
  </si>
  <si>
    <t>ท่อลมกลมชนิดหุ้มฉนวน (Spiral Round Duct w/ 9-mm Closed Cell Foam Insulation)</t>
  </si>
  <si>
    <t xml:space="preserve">   -   550  มม. Ø</t>
  </si>
  <si>
    <t>500x200</t>
  </si>
  <si>
    <t>1600x500</t>
  </si>
  <si>
    <t>1550x500</t>
  </si>
  <si>
    <t>2000x1600</t>
  </si>
  <si>
    <t>2400x1600</t>
  </si>
  <si>
    <t xml:space="preserve">   -   ø450</t>
  </si>
  <si>
    <t xml:space="preserve">   -   ø550</t>
  </si>
  <si>
    <t>550x300</t>
  </si>
  <si>
    <t>600x350</t>
  </si>
  <si>
    <t>1250x650</t>
  </si>
  <si>
    <t>1400x400</t>
  </si>
  <si>
    <t>1600x400</t>
  </si>
  <si>
    <t>1750x500</t>
  </si>
  <si>
    <t>850x400</t>
  </si>
  <si>
    <t>1100x300</t>
  </si>
  <si>
    <t xml:space="preserve">   - C1-2AP1</t>
  </si>
  <si>
    <t xml:space="preserve">   - C1-2AP2</t>
  </si>
  <si>
    <t xml:space="preserve">   - C1-2AP3</t>
  </si>
  <si>
    <t xml:space="preserve">   - C1-2AP4</t>
  </si>
  <si>
    <t xml:space="preserve">   - C1-2AP5</t>
  </si>
  <si>
    <t xml:space="preserve">   - C1-2AP6</t>
  </si>
  <si>
    <t xml:space="preserve">   - C2-2AP1</t>
  </si>
  <si>
    <t xml:space="preserve">   - C2-2AP2</t>
  </si>
  <si>
    <t xml:space="preserve">   - C2-2AP3</t>
  </si>
  <si>
    <t xml:space="preserve">   - C2-2AP4</t>
  </si>
  <si>
    <t xml:space="preserve">   - C2-2AP5</t>
  </si>
  <si>
    <t xml:space="preserve">   - C2-2AP6</t>
  </si>
  <si>
    <t>งานระบบปรับอากาศ และระบายอากาศ ชั้น 3</t>
  </si>
  <si>
    <t>รวมราคางานระบบปรับอากาศ และระบายอากาศ ชั้น 3</t>
  </si>
  <si>
    <t xml:space="preserve">  -  C1-3OAU-01, (204.1 kW,3100 L/s)</t>
  </si>
  <si>
    <t xml:space="preserve">  -  C2-3OAU-01, (184.4 kW,2800 L/s)</t>
  </si>
  <si>
    <t xml:space="preserve">  -  C1-3A-01, (40.4557823129252 kW,2700 L/s)</t>
  </si>
  <si>
    <t xml:space="preserve">  -  C1-3A-02 W/DRAIN PUMP, (40.2 kW,2550 L/s)</t>
  </si>
  <si>
    <t xml:space="preserve">  -  C1-3A-03 W/DRAIN PUMP, (40.2 kW,2550 L/s)</t>
  </si>
  <si>
    <t xml:space="preserve">  -  C1-3A-04 W/DRAIN PUMP, (28.6 kW,2050 L/s)</t>
  </si>
  <si>
    <t xml:space="preserve">  -  C1-3A-05 W/DRAIN PUMP, (28.6 kW,2050 L/s)</t>
  </si>
  <si>
    <t xml:space="preserve">  -  C1-3A-06, (38.4 kW,2500 L/s)</t>
  </si>
  <si>
    <t xml:space="preserve">  -  C1-3A-07, (23.65 kW,1200 L/s)</t>
  </si>
  <si>
    <t xml:space="preserve">  -  C1-3A-08, (23.65 kW,1200 L/s)</t>
  </si>
  <si>
    <t xml:space="preserve">  -  C1-3A-09, (49.4 kW,3060 L/s)</t>
  </si>
  <si>
    <t xml:space="preserve">  -  C2-3A-01, (40.5 kW,2700 L/s)</t>
  </si>
  <si>
    <t xml:space="preserve">  -  C2-3A-02 W/DRAIN PUMP, (40.2 kW,2550 L/s)</t>
  </si>
  <si>
    <t xml:space="preserve">  -  C2-3A-03 W/DRAIN PUMP, (40.2 kW,2550 L/s)</t>
  </si>
  <si>
    <t xml:space="preserve">  -  C2-3A-04 W/DRAIN PUMP, (28.6 kW,2050 L/s)</t>
  </si>
  <si>
    <t xml:space="preserve">  -  C2-3A-05, (118.2 kW,6100 L/s)</t>
  </si>
  <si>
    <t xml:space="preserve">  -  C2-3A-06, (21.4 kW,1200 L/s)</t>
  </si>
  <si>
    <t xml:space="preserve">  -  C2-3A-07, (21.4 kW,1200 L/s)</t>
  </si>
  <si>
    <t>C2-3F-01</t>
  </si>
  <si>
    <t>C2-3F-02 To 03</t>
  </si>
  <si>
    <t xml:space="preserve">   - Network Thermostat</t>
  </si>
  <si>
    <t>C1-3EAF-03</t>
  </si>
  <si>
    <t>C2-3EAF-03</t>
  </si>
  <si>
    <t>C1-3EAF-01</t>
  </si>
  <si>
    <t>C1-3EAF-02</t>
  </si>
  <si>
    <t>C2-3EAF-01</t>
  </si>
  <si>
    <t>C2-3EAF-02</t>
  </si>
  <si>
    <t>200x500</t>
  </si>
  <si>
    <t>6500x2400</t>
  </si>
  <si>
    <t>ø150</t>
  </si>
  <si>
    <t>ø200</t>
  </si>
  <si>
    <t>100x100</t>
  </si>
  <si>
    <t>150x400</t>
  </si>
  <si>
    <t>450x250</t>
  </si>
  <si>
    <t>700x700</t>
  </si>
  <si>
    <t>800x700</t>
  </si>
  <si>
    <t>850x500</t>
  </si>
  <si>
    <t>1000x350</t>
  </si>
  <si>
    <t>1000x450</t>
  </si>
  <si>
    <t>1100x400</t>
  </si>
  <si>
    <t>1200x350</t>
  </si>
  <si>
    <t>1200x400</t>
  </si>
  <si>
    <t>1250x400</t>
  </si>
  <si>
    <t>1300x350</t>
  </si>
  <si>
    <t>3500x2100</t>
  </si>
  <si>
    <t>1150x700</t>
  </si>
  <si>
    <t xml:space="preserve">   - C1-3AP1</t>
  </si>
  <si>
    <t xml:space="preserve">   - C1-3AP2</t>
  </si>
  <si>
    <t xml:space="preserve">   - C1-3AP3</t>
  </si>
  <si>
    <t xml:space="preserve">   - C1-3AP4</t>
  </si>
  <si>
    <t xml:space="preserve">   - C1-3AP5</t>
  </si>
  <si>
    <t xml:space="preserve">   - C1-3AP6</t>
  </si>
  <si>
    <t xml:space="preserve">   - C2-3AP1</t>
  </si>
  <si>
    <t xml:space="preserve">   - C2-3AP2</t>
  </si>
  <si>
    <t xml:space="preserve">   - C2-3AP3</t>
  </si>
  <si>
    <t xml:space="preserve">   - C2-3AP4</t>
  </si>
  <si>
    <t xml:space="preserve">   - C2-3AP5</t>
  </si>
  <si>
    <t>งานระบบปรับอากาศ และระบายอากาศ ชั้น 4</t>
  </si>
  <si>
    <t>รวมราคางานระบบปรับอากาศ และระบายอากาศ ชั้น 4</t>
  </si>
  <si>
    <t xml:space="preserve">  -  C1-3OAU-01, (207.7 kW,3160 L/s)</t>
  </si>
  <si>
    <t xml:space="preserve">  -  C2-3OAU-01, (187.6 kW,2830 L/s)</t>
  </si>
  <si>
    <t xml:space="preserve">  -  C1-4A-01, (40.5 kW,2700 L/s)</t>
  </si>
  <si>
    <t xml:space="preserve">  -  C1-4A-02, (40.2 kW,2550 L/s)</t>
  </si>
  <si>
    <t xml:space="preserve">  -  C1-4A-03, (40.2 kW,2550 L/s)</t>
  </si>
  <si>
    <t xml:space="preserve">  -  C1-4A-04, (28.6 kW,2050 L/s)</t>
  </si>
  <si>
    <t xml:space="preserve">  -  C1-4A-05, (28.6 kW,2050 L/s)</t>
  </si>
  <si>
    <t xml:space="preserve">  -  C1-4A-06, (38.4 kW,2550 L/s)</t>
  </si>
  <si>
    <t xml:space="preserve">  -  C1-4A-07, (23.7 kW,1200 L/s)</t>
  </si>
  <si>
    <t xml:space="preserve">  -  C1-4A-08, (23.7 kW,1200 L/s)</t>
  </si>
  <si>
    <t xml:space="preserve">  -  C1-4A-09, (60.6 kW,3300 L/s)</t>
  </si>
  <si>
    <t xml:space="preserve">  -  C1-4A-10, (60.6 kW,3300 L/s)</t>
  </si>
  <si>
    <t xml:space="preserve">  -  C2-4A-01, (40.5 kW,2700 L/s)</t>
  </si>
  <si>
    <t xml:space="preserve">  -  C2-4A-02, (40.2 kW,2550 L/s)</t>
  </si>
  <si>
    <t xml:space="preserve">  -  C2-4A-03, (40.2 kW,2550 L/s)</t>
  </si>
  <si>
    <t xml:space="preserve">  -  C2-4A-04, (28.6 kW,2050 L/s)</t>
  </si>
  <si>
    <t xml:space="preserve">  -  C2-4A-05, (118.2 kW,6000 L/s)</t>
  </si>
  <si>
    <t>7.3.1.1</t>
  </si>
  <si>
    <t>C1-4EAF-03</t>
  </si>
  <si>
    <t>C2-4EAF-03</t>
  </si>
  <si>
    <t>C2-4EAF-04</t>
  </si>
  <si>
    <t>C1-4EAF-01</t>
  </si>
  <si>
    <t>C1-4EAF-02</t>
  </si>
  <si>
    <t>C2-4EAF-01</t>
  </si>
  <si>
    <t>C2-4EAF-02</t>
  </si>
  <si>
    <t>รวมราคารายการที่ 7.10</t>
  </si>
  <si>
    <t>350x350</t>
  </si>
  <si>
    <t>7.11.3</t>
  </si>
  <si>
    <t>7.11.4</t>
  </si>
  <si>
    <t>800x250</t>
  </si>
  <si>
    <t>7.11.5</t>
  </si>
  <si>
    <t>7.11.6</t>
  </si>
  <si>
    <t xml:space="preserve">   - C1-4AP1</t>
  </si>
  <si>
    <t xml:space="preserve">   - C1-4AP2</t>
  </si>
  <si>
    <t xml:space="preserve">   - C1-4AP3</t>
  </si>
  <si>
    <t xml:space="preserve">   - C1-4AP4</t>
  </si>
  <si>
    <t xml:space="preserve">   - C1-4AP5</t>
  </si>
  <si>
    <t xml:space="preserve">   - C1-4AP6</t>
  </si>
  <si>
    <t xml:space="preserve">   - C2-4AP1</t>
  </si>
  <si>
    <t xml:space="preserve">   - C2-4AP2</t>
  </si>
  <si>
    <t xml:space="preserve">   - C2-4AP3</t>
  </si>
  <si>
    <t xml:space="preserve">   - C2-4AP4</t>
  </si>
  <si>
    <t xml:space="preserve">   - C2-4AP5</t>
  </si>
  <si>
    <t>งานระบบปรับอากาศ และระบายอากาศ ชั้น 5</t>
  </si>
  <si>
    <t>รวมราคางานระบบปรับอากาศ และระบายอากาศ ชั้น 5</t>
  </si>
  <si>
    <t xml:space="preserve">  -  C1-5OAU-01, (207.7 kW,3160 L/s)</t>
  </si>
  <si>
    <t xml:space="preserve">  -  C2-5OAU-01, (258.6 kW,3890 L/s)</t>
  </si>
  <si>
    <t xml:space="preserve">  -  C1-5A-01, (40.5 kW,2700 L/s)</t>
  </si>
  <si>
    <t xml:space="preserve">  -  C1-5A-02, (39.65 kW,2200 L/s)</t>
  </si>
  <si>
    <t xml:space="preserve">  -  C1-5A-03, (39.65 kW,2200 L/s)</t>
  </si>
  <si>
    <t xml:space="preserve">  -  C1-5A-04, (39.65 kW,2200 L/s)</t>
  </si>
  <si>
    <t xml:space="preserve">  -  C1-5A-05, (39.65 kW,2200 L/s)</t>
  </si>
  <si>
    <t xml:space="preserve">  -  C1-5A-06, (38.4 kW,2500 L/s)</t>
  </si>
  <si>
    <t xml:space="preserve">  -  C1-5A-07, (23.65 kW,1200 L/s)</t>
  </si>
  <si>
    <t xml:space="preserve">  -  C1-5A-08, (23.65 kW,1200 L/s)</t>
  </si>
  <si>
    <t xml:space="preserve">  -  C1-5A-09, (34.7 kW,2000 L/s)</t>
  </si>
  <si>
    <t xml:space="preserve">  -  C2-5A-01, (40.5 kW,2700 L/s)</t>
  </si>
  <si>
    <t xml:space="preserve">  -  C2-5A-02, (39.65 kW,2200 L/s)</t>
  </si>
  <si>
    <t xml:space="preserve">  -  C2-5A-03, (39.65 kW,2200 L/s)</t>
  </si>
  <si>
    <t xml:space="preserve">  -  C2-5A-04, (28.6 kW,2050 L/s)</t>
  </si>
  <si>
    <t xml:space="preserve">  -  C2-5A-05, (118.2 kW,6100 L/s)</t>
  </si>
  <si>
    <t>C2-5F-01</t>
  </si>
  <si>
    <t>C2-5F-02 To 03</t>
  </si>
  <si>
    <t>C1-5EAF-03</t>
  </si>
  <si>
    <t>C2-5EAF-03</t>
  </si>
  <si>
    <t>C2-5EAF-04</t>
  </si>
  <si>
    <t>C1-5EAF-01</t>
  </si>
  <si>
    <t>C1-5EAF-02</t>
  </si>
  <si>
    <t>C2-5EAF-01</t>
  </si>
  <si>
    <t>C2-5EAF-02</t>
  </si>
  <si>
    <t>600x400</t>
  </si>
  <si>
    <t>600x600</t>
  </si>
  <si>
    <t>800x800</t>
  </si>
  <si>
    <t>1500x400</t>
  </si>
  <si>
    <t xml:space="preserve">   - C1-5AP1</t>
  </si>
  <si>
    <t xml:space="preserve">   - C1-5AP2</t>
  </si>
  <si>
    <t xml:space="preserve">   - C1-5AP3</t>
  </si>
  <si>
    <t xml:space="preserve">   - C1-5AP4</t>
  </si>
  <si>
    <t xml:space="preserve">   - C2-5AP1</t>
  </si>
  <si>
    <t xml:space="preserve">   - C2-5AP2</t>
  </si>
  <si>
    <t xml:space="preserve">   - C2-5AP3</t>
  </si>
  <si>
    <t xml:space="preserve">   - C2-5AP4</t>
  </si>
  <si>
    <t>งานระบบปรับอากาศ และระบายอากาศ ชั้น 6</t>
  </si>
  <si>
    <t>รวมราคางานระบบปรับอากาศ และระบายอากาศ ชั้น 6</t>
  </si>
  <si>
    <t xml:space="preserve">  -  C1-6OAU-01, (207.7 kW,3160 L/s)</t>
  </si>
  <si>
    <t xml:space="preserve">  -  C2-6OAU-01, (248.4 kW,3740 L/s)</t>
  </si>
  <si>
    <t xml:space="preserve">  -  C1-6A-01, (40.46 kW,2700 L/s)</t>
  </si>
  <si>
    <t xml:space="preserve">  -  C1-6A-02, (80.1 kW,4600 L/s)</t>
  </si>
  <si>
    <t xml:space="preserve">  -  C1-6A-03, (80.1 kW,4600 L/s)</t>
  </si>
  <si>
    <t xml:space="preserve">  -  C1-6A-04, (38.33 kW,2550 L/s)</t>
  </si>
  <si>
    <t xml:space="preserve">  -  C1-6A-05, (23.65 kW,1200 L/s)</t>
  </si>
  <si>
    <t xml:space="preserve">  -  C1-6A-06, (23.65 kW,1200 L/s)</t>
  </si>
  <si>
    <t xml:space="preserve">  -  C1-6A-07, (48.75 kW,3000 L/s)</t>
  </si>
  <si>
    <t xml:space="preserve">  -  C1-6A-08, (30.55 kW,1880 L/s)</t>
  </si>
  <si>
    <t xml:space="preserve">  -  C2-6A-01, (40.46 kW,2700 L/s)</t>
  </si>
  <si>
    <t xml:space="preserve">  -  C2-6A-02, (21.4 kW,1800 L/s)</t>
  </si>
  <si>
    <t xml:space="preserve">  -  C2-6A-03, (21.4 kW,1800 L/s)</t>
  </si>
  <si>
    <t xml:space="preserve">  -  C2-6A-04, (21.4 kW,1800 L/s)</t>
  </si>
  <si>
    <t xml:space="preserve">  -  C2-6A-05, (118.2 kW,6100 L/s)</t>
  </si>
  <si>
    <t xml:space="preserve">  -  C2-6A-06, (21.1 kW,1350 L/s)</t>
  </si>
  <si>
    <t>C2-6F-01 To 02</t>
  </si>
  <si>
    <t>C1-6EAF-03</t>
  </si>
  <si>
    <t>C2-6EAF-03</t>
  </si>
  <si>
    <t>C1-6EAF-01</t>
  </si>
  <si>
    <t>C1-6EAF-02</t>
  </si>
  <si>
    <t>C2-6EAF-01</t>
  </si>
  <si>
    <t>C2-6EAF-02</t>
  </si>
  <si>
    <t>550x500</t>
  </si>
  <si>
    <t>700x650</t>
  </si>
  <si>
    <t>1000x400</t>
  </si>
  <si>
    <t>1150x300</t>
  </si>
  <si>
    <t>1600x900</t>
  </si>
  <si>
    <t xml:space="preserve">   - C1-6AP1</t>
  </si>
  <si>
    <t xml:space="preserve">   - C1-6AP2</t>
  </si>
  <si>
    <t xml:space="preserve">   - C1-6AP3</t>
  </si>
  <si>
    <t xml:space="preserve">   - C1-6AP4</t>
  </si>
  <si>
    <t xml:space="preserve">   - C2-6AP1</t>
  </si>
  <si>
    <t xml:space="preserve">   - C2-6AP2</t>
  </si>
  <si>
    <t xml:space="preserve">   - C2-6AP3</t>
  </si>
  <si>
    <t xml:space="preserve">   - C2-6AP4</t>
  </si>
  <si>
    <t xml:space="preserve">   - C2-6AP5</t>
  </si>
  <si>
    <t>งานระบบปรับอากาศ และระบายอากาศ ชั้น 7</t>
  </si>
  <si>
    <t>รวมราคางานระบบปรับอากาศ และระบายอากาศ ชั้น 7</t>
  </si>
  <si>
    <t xml:space="preserve">  -  C2-7OAU-01, (137.4 kW,2050 L/s)</t>
  </si>
  <si>
    <t xml:space="preserve">  -  C1-7A-01, (54.5 kW,3350 L/s)</t>
  </si>
  <si>
    <t xml:space="preserve">  -  C1-7A-02, (24.9 kW,1530 L/s)</t>
  </si>
  <si>
    <t>C2-7F-01</t>
  </si>
  <si>
    <t>C2-7F-02</t>
  </si>
  <si>
    <t>C2-7F-03</t>
  </si>
  <si>
    <t>C2-7F-04 To 06</t>
  </si>
  <si>
    <t>C1-7EAF-03</t>
  </si>
  <si>
    <t>C1-7EAF-04</t>
  </si>
  <si>
    <t>C2-7EAF-04</t>
  </si>
  <si>
    <t>C2-7EAF-05</t>
  </si>
  <si>
    <t>C1-7EAF-01</t>
  </si>
  <si>
    <t>C1-7EAF-02</t>
  </si>
  <si>
    <t>C2-7EAF-01</t>
  </si>
  <si>
    <t>C2-7EAF-02</t>
  </si>
  <si>
    <t>C2-7EAF-03</t>
  </si>
  <si>
    <t>7.5.4</t>
  </si>
  <si>
    <t>2000x2500</t>
  </si>
  <si>
    <t>1450x1450</t>
  </si>
  <si>
    <t>500x350</t>
  </si>
  <si>
    <t>650x450</t>
  </si>
  <si>
    <t xml:space="preserve">Linear slot bar Grille </t>
  </si>
  <si>
    <t>1200x150</t>
  </si>
  <si>
    <t>850x350</t>
  </si>
  <si>
    <t>1050x500</t>
  </si>
  <si>
    <t>1300x400</t>
  </si>
  <si>
    <t xml:space="preserve">   - C1-7AP1</t>
  </si>
  <si>
    <t xml:space="preserve">   - C1-7AP2</t>
  </si>
  <si>
    <t xml:space="preserve">   - C2-7AP1</t>
  </si>
  <si>
    <t xml:space="preserve">   - C2-7AP2</t>
  </si>
  <si>
    <t>งานระบบปรับอากาศ และระบายอากาศ ชั้น 8</t>
  </si>
  <si>
    <t>รวมราคางานระบบปรับอากาศ และระบายอากาศ ชั้น 8</t>
  </si>
  <si>
    <t xml:space="preserve">  -  C1-8OAU-01, (167.5 kW,2500 L/s)</t>
  </si>
  <si>
    <t xml:space="preserve">  -  C2-8OAU-01, (263.4 kW,4000 L/s)</t>
  </si>
  <si>
    <t xml:space="preserve">  -  C1-8A-01, (127.2 kW,6500 L/s)</t>
  </si>
  <si>
    <t xml:space="preserve">  -  C1-8A-02, (116.3 kW,7600 L/s)</t>
  </si>
  <si>
    <t xml:space="preserve">  -  C2-8A-01, (69.9 kW,3500 L/s)</t>
  </si>
  <si>
    <t xml:space="preserve">  -  C2-8A-02, (69.9 kW,3500 L/s)</t>
  </si>
  <si>
    <t xml:space="preserve">  -  C2-8A-03, (69.9 kW,3500 L/s)</t>
  </si>
  <si>
    <t xml:space="preserve">  -  C2-8A-04, (127.2 kW,6500 L/s)</t>
  </si>
  <si>
    <t>C1-8F-01 To 02</t>
  </si>
  <si>
    <t>C2-8F-01 To 02</t>
  </si>
  <si>
    <t>C1-8F-03</t>
  </si>
  <si>
    <t>C1-8F-04 (ST.BY.)</t>
  </si>
  <si>
    <t>C1-8F-05</t>
  </si>
  <si>
    <t>C1-8F-06 (ST.BY.)</t>
  </si>
  <si>
    <t>C1-8F-07</t>
  </si>
  <si>
    <t>C1-8F-08 (ST.BY.)</t>
  </si>
  <si>
    <t>C2-8F-03</t>
  </si>
  <si>
    <t>C2-8F-04 (ST.BY.)</t>
  </si>
  <si>
    <t>C2-8F-05</t>
  </si>
  <si>
    <t>C2-8F-06 (ST.BY.)</t>
  </si>
  <si>
    <t>C2-8F-07</t>
  </si>
  <si>
    <t>C2-8F-08 (ST.BY.)</t>
  </si>
  <si>
    <t>C1-8EAF-03</t>
  </si>
  <si>
    <t>C1-8EAF-04</t>
  </si>
  <si>
    <t>C1-8KEF-01</t>
  </si>
  <si>
    <t>C1-8KEF-02</t>
  </si>
  <si>
    <t>C1-8KEF-03</t>
  </si>
  <si>
    <t>C1-8KEF-04</t>
  </si>
  <si>
    <t>C1-8KEF-05</t>
  </si>
  <si>
    <t>C1-8KEF-06</t>
  </si>
  <si>
    <t>C2-8EAF-03</t>
  </si>
  <si>
    <t>C2-8EAF-04</t>
  </si>
  <si>
    <t>C2-8MAF-02</t>
  </si>
  <si>
    <t>C2-8MAF-03</t>
  </si>
  <si>
    <t>พัดลมชนิด Axial, Direct Drive (Smoke Fan)</t>
  </si>
  <si>
    <t>C1-8SEF-01</t>
  </si>
  <si>
    <t>C1-8SEF-02 (ST.BY.)</t>
  </si>
  <si>
    <t>C1-8SEF-03</t>
  </si>
  <si>
    <t>C1-8SEF-04 (ST.BY.)</t>
  </si>
  <si>
    <t>C1-8SEF-05</t>
  </si>
  <si>
    <t>C1-8SEF-06 (ST.BY.)</t>
  </si>
  <si>
    <t>C2-8SEF-01</t>
  </si>
  <si>
    <t>C2-8SEF-02 (ST.BY.)</t>
  </si>
  <si>
    <t>พัดลมชนิด Axial, Direct Drive</t>
  </si>
  <si>
    <t>C1-8MAF-01</t>
  </si>
  <si>
    <t>C2-8MAF-01</t>
  </si>
  <si>
    <t>C2-8MAF-04</t>
  </si>
  <si>
    <t>C2-8MAF-05</t>
  </si>
  <si>
    <t>C2-8PAF-01</t>
  </si>
  <si>
    <t>C2-8PAF-02</t>
  </si>
  <si>
    <t>C2-8PAF-03</t>
  </si>
  <si>
    <t>C1-8PAF-01</t>
  </si>
  <si>
    <t>C1-8PAF-02</t>
  </si>
  <si>
    <t>C1-8PAF-03</t>
  </si>
  <si>
    <t>C1-8EAF-01</t>
  </si>
  <si>
    <t>C1-8EAF-02</t>
  </si>
  <si>
    <t>C2-8EAF-01</t>
  </si>
  <si>
    <t>C2-8EAF-02</t>
  </si>
  <si>
    <t>7.5.5</t>
  </si>
  <si>
    <t>Electrostatic kitchen cleaner with carbon module</t>
  </si>
  <si>
    <t xml:space="preserve">  -  C-8ETS-01, (3271 L/s)</t>
  </si>
  <si>
    <t xml:space="preserve">  -  C-8ETS-02, (19662 L/s)</t>
  </si>
  <si>
    <t xml:space="preserve">  -  C-8ETS-03, (19617 L/s)</t>
  </si>
  <si>
    <t>1000x800</t>
  </si>
  <si>
    <t>1100x800</t>
  </si>
  <si>
    <t>1400x800</t>
  </si>
  <si>
    <t>1500x800</t>
  </si>
  <si>
    <t>2400x600</t>
  </si>
  <si>
    <t xml:space="preserve">   -   ø300</t>
  </si>
  <si>
    <t>7.13.5</t>
  </si>
  <si>
    <t>750x300</t>
  </si>
  <si>
    <t>1000x1000</t>
  </si>
  <si>
    <t>1000x1200</t>
  </si>
  <si>
    <t>1050x400</t>
  </si>
  <si>
    <t>1200x500</t>
  </si>
  <si>
    <t>1400x700</t>
  </si>
  <si>
    <t>1500x500</t>
  </si>
  <si>
    <t>2000x700</t>
  </si>
  <si>
    <t>2900x600</t>
  </si>
  <si>
    <t>3200x600</t>
  </si>
  <si>
    <t>7.13.6</t>
  </si>
  <si>
    <t>1200x700</t>
  </si>
  <si>
    <t>7.13.7</t>
  </si>
  <si>
    <t>1500x1500</t>
  </si>
  <si>
    <t>7.14</t>
  </si>
  <si>
    <t>7.14.1</t>
  </si>
  <si>
    <t xml:space="preserve">   - C1-8AP1</t>
  </si>
  <si>
    <t xml:space="preserve">   - C1-8AP2</t>
  </si>
  <si>
    <t xml:space="preserve">   - C1-8AP3</t>
  </si>
  <si>
    <t xml:space="preserve">   - C1-8AP4</t>
  </si>
  <si>
    <t xml:space="preserve">   - C1-8EAP1</t>
  </si>
  <si>
    <t xml:space="preserve">   - C1-8EAP2</t>
  </si>
  <si>
    <t xml:space="preserve">   - C1-8EAP3</t>
  </si>
  <si>
    <t xml:space="preserve">   - C1-8EAP4</t>
  </si>
  <si>
    <t xml:space="preserve">   - C2-8AP1</t>
  </si>
  <si>
    <t xml:space="preserve">   - C2-8AP2</t>
  </si>
  <si>
    <t xml:space="preserve">   - C2-8AP3</t>
  </si>
  <si>
    <t xml:space="preserve">   - C2-8AP4</t>
  </si>
  <si>
    <t xml:space="preserve">   - C2-8EAP1</t>
  </si>
  <si>
    <t xml:space="preserve">   - C2-8EAP2</t>
  </si>
  <si>
    <t xml:space="preserve">   - C2-8EAP3</t>
  </si>
  <si>
    <t xml:space="preserve">   - C2-8EAP4</t>
  </si>
  <si>
    <t>7.14.2</t>
  </si>
  <si>
    <t>7.14.3</t>
  </si>
  <si>
    <t>งานระบบปรับอากาศ และระบายอากาศ ชั้น ดาดฟ้า</t>
  </si>
  <si>
    <t>K</t>
  </si>
  <si>
    <t>รวมราคางานระบบปรับอากาศ และระบายอากาศ ชั้น ดาดฟ้า</t>
  </si>
  <si>
    <t>C2-REAF-01</t>
  </si>
  <si>
    <t>C2-RSEF-01</t>
  </si>
  <si>
    <t>C2-RSEF-02 (ST.BY.)</t>
  </si>
  <si>
    <t>C-RPAF-01</t>
  </si>
  <si>
    <t>C-RPAF-02</t>
  </si>
  <si>
    <t xml:space="preserve">   -  300  มม. Ø</t>
  </si>
  <si>
    <t xml:space="preserve">   -  400  มม. Ø</t>
  </si>
  <si>
    <t>1600x2900</t>
  </si>
  <si>
    <t>2900x2200</t>
  </si>
  <si>
    <t>3500x900</t>
  </si>
  <si>
    <t>4400x2500</t>
  </si>
  <si>
    <t>4700x1350</t>
  </si>
  <si>
    <t>Motorized Control Damper</t>
  </si>
  <si>
    <t xml:space="preserve">   - 1200x850 มม.</t>
  </si>
  <si>
    <t xml:space="preserve">   - 1000x1000 มม.</t>
  </si>
  <si>
    <t xml:space="preserve">   - C1-RAP1</t>
  </si>
  <si>
    <t xml:space="preserve">   - C-RAP1</t>
  </si>
  <si>
    <t xml:space="preserve">   - C2-REAP1</t>
  </si>
  <si>
    <t>TIMER SWITCH</t>
  </si>
  <si>
    <t xml:space="preserve">   - 7.5 kW</t>
  </si>
  <si>
    <t xml:space="preserve">   - 11 kW</t>
  </si>
  <si>
    <t xml:space="preserve">   - 45 kW</t>
  </si>
  <si>
    <t>กลุ่มงานที่ 1 / หมวดงานระบบก๊าซหุงต้ม</t>
  </si>
  <si>
    <t>8.1</t>
  </si>
  <si>
    <t>ระบบท่อและอุปกรณ์ประกอบท่อภายในสถานีก๊าซ</t>
  </si>
  <si>
    <t>8.2</t>
  </si>
  <si>
    <t>ระบบเครื่องช่วยระเหยก๊าซและงาน Wiring ระบบไฟฟ้า</t>
  </si>
  <si>
    <t>8.3</t>
  </si>
  <si>
    <t>ระบบอุปกรณ์สำหรับความปลอดภัย ภายในสถานีก๊าซ</t>
  </si>
  <si>
    <t>8.4</t>
  </si>
  <si>
    <t>ระบบอุปรณ์สำหรับชุด Gas Meter และระบบท่อภายในร้านค้า (ต่อ 25 ร้านค้า)</t>
  </si>
  <si>
    <t>8.5</t>
  </si>
  <si>
    <t>รายการประกอบส่งชุด Gas Valve Box</t>
  </si>
  <si>
    <t>8.6</t>
  </si>
  <si>
    <t>ค่าดำเนินการติดตั้ง</t>
  </si>
  <si>
    <t>รายการงานยื่นขออนุญาตเป็นสถานีก๊าซจากกรมธุรกิจพลังงาน</t>
  </si>
  <si>
    <t>กลุ่มงานที่ 1 / หมวดงานระบบลิฟต์และบันไดเลื่อน</t>
  </si>
  <si>
    <t>ระบบลิฟต์และบันไดเลื่อน (Lift &amp; Escalator System)</t>
  </si>
  <si>
    <t>ลิฟต์โดยสาร (Passenger Lift)</t>
  </si>
  <si>
    <t>9.1.1</t>
  </si>
  <si>
    <t xml:space="preserve">   - C1-PL 1, 2 (Capacity 1,600 kgs., Speed 120 m/mim, Opened __9 Floor)__</t>
  </si>
  <si>
    <t xml:space="preserve">   - C2-PL 1, 2 (Capacity 1,600 kgs., Speed 120 m/mim, Opened __9 Floor)__</t>
  </si>
  <si>
    <t>ลิฟต์บริการ (Service &amp; Fireman Lift)</t>
  </si>
  <si>
    <t xml:space="preserve">   - C1-SF 1, 2 (Capacity 1,600 kgs., Speed 60 m/mim, Opened __9 Floor)__</t>
  </si>
  <si>
    <t xml:space="preserve">   - C2-SF 1, 2 (Capacity 1,600 kgs., Speed 60 m/mim, Opened __9 Floor)__</t>
  </si>
  <si>
    <t xml:space="preserve">   - C2-AL1 (Capacity 3,000 kgs., Speed 60 m/mim, Opened __8 Floor)__</t>
  </si>
  <si>
    <t xml:space="preserve">   - C1-SL1 (Capacity 1,600 kgs., Speed 60 m/mim, Opened __5 Floor)__</t>
  </si>
  <si>
    <t>9.3</t>
  </si>
  <si>
    <t>บันไดเลื่อน (Service &amp; Fireman Lift)</t>
  </si>
  <si>
    <t xml:space="preserve">   - CESC-01 to 10 (Service Floor 1 to 2,2 to 3, Rise 3.80 m.)__</t>
  </si>
  <si>
    <t xml:space="preserve">   - CESC-11 to 18 (Service Floor 3 to 4,4 to 5  Rise 4.90 m.)__</t>
  </si>
  <si>
    <t xml:space="preserve">   - CESC-19 to 22 (Service Floor 5 to 6, Riser 6.30 m.)__</t>
  </si>
  <si>
    <t xml:space="preserve">   - CESC-23 to 26 (Service Floor 6 to 7, Rise 8.50 m.)__</t>
  </si>
  <si>
    <t>กลุ่มงานที่ 3 / หมวดงานภูมิสถาปัตยกรรม</t>
  </si>
  <si>
    <t>คำนวณราคากลางโดย  :  ที่ปรึกษาออกแบบโครงการ GCDT</t>
  </si>
  <si>
    <t xml:space="preserve">งานภูมิสถาปัตยกรรม HARDSCAPE </t>
  </si>
  <si>
    <t>งานภูมิสถาปัตยกรรม ชั้นพื้น</t>
  </si>
  <si>
    <t>งานระบบที่เกี่ยวข้องกับงานภูมิสถาปัตยกรรม</t>
  </si>
  <si>
    <t xml:space="preserve">รวมราคางานภูมิสถาปัตยกรรม HARDSCAPE </t>
  </si>
  <si>
    <t>งานภูมิสถาปัตยกรรม HARDSCAPE</t>
  </si>
  <si>
    <t>1.1</t>
  </si>
  <si>
    <t>งานพื้น</t>
  </si>
  <si>
    <t>งานโครงสร้างพื้น (ดูราคาหมวดงานโครงสร้าง)</t>
  </si>
  <si>
    <t>งานปูนทรายรองพื้น (ความหนา 3 ซม)</t>
  </si>
  <si>
    <t>(TL3)</t>
  </si>
  <si>
    <t>งานกระเบื้องโฮโมจีเนียสปูพื้น ลายหิน สีเทาเข้ม ขนาด 30x60 ซม. หนา 2 ซม.</t>
  </si>
  <si>
    <t>(TL4)</t>
  </si>
  <si>
    <t>งานกระเบื้องโฮโมจีเนียสปูพื้น ลายหินพิเศษ สีเทา ขนาด 30x60 ซม. หนา 2 ซม.</t>
  </si>
  <si>
    <t>(WG5)</t>
  </si>
  <si>
    <t>งานทำผิวรางระบายน้ำ สำหรับพื้น และผนัง กรวดล้าง สีเทาเข้ม เบอร์ 2</t>
  </si>
  <si>
    <t>ค่าแรงจากกรมบัญชีกลาง 60</t>
  </si>
  <si>
    <t>งานทำผิวคสล. ขัดเรียบ (เตรียมพื้นผิวสำหรับงานทำผิว)</t>
  </si>
  <si>
    <t>(PB2)</t>
  </si>
  <si>
    <t>งานหินกรวดแม่น้ำ สีดำ เบอร์ 5</t>
  </si>
  <si>
    <t>(ASP)</t>
  </si>
  <si>
    <t>งานผิวทางลาดยาง หนา 3 ซม.</t>
  </si>
  <si>
    <t>ราคารวมค่าแรง</t>
  </si>
  <si>
    <t>จากกลุ่มออกแบบและก่อสร้าง 63</t>
  </si>
  <si>
    <t>งานกระบะต้นไม้</t>
  </si>
  <si>
    <t>(WG4)</t>
  </si>
  <si>
    <t>งานทำผิวอะครีลิคชนิดเคลือบแข็ง (COLORFLAKE) สีครีมอ่อน-เซาะร่อง 1 ซม. ลึก 2 มม. (กระบะสูง 60 ซม.)</t>
  </si>
  <si>
    <t>งานทำผิวอะครีลิคชนิดเคลือบแข็ง (COLORFLAKE) สีครีมอ่อน-เซาะร่อง 1 ซม. ลึก 2 มม. (กระบะสูง 150 ซม.)</t>
  </si>
  <si>
    <t>แผ่นระบายน้ำกระบะปลูกต้นไม้ (Drainage Cell) ความหนาไม่น้อยกว่า 30 มม.</t>
  </si>
  <si>
    <r>
      <t xml:space="preserve">งานระบบกันรากต้นไม้ </t>
    </r>
    <r>
      <rPr>
        <sz val="14"/>
        <color indexed="8"/>
        <rFont val="TH SarabunPSK"/>
        <family val="2"/>
      </rPr>
      <t xml:space="preserve">กันซึม ประเภทเทอร์โมพลาสติก โพลีโอลิฟิน (TPO) ความหนาไม่น้อยกว่า 1.14 มม. </t>
    </r>
  </si>
  <si>
    <t>สำหรับภายในกระบะ</t>
  </si>
  <si>
    <t>งานเก็บขอบกระบะ (ความสูง 0.15 ม.) พร้อม ALUMINIUM FLASHING + PU SEALANTE</t>
  </si>
  <si>
    <t>แผ่นใยสังเคราะห์ (Geotextile) ขนาด น้ำหนักตั้งแต่ 120 กรัม/ตารางเมตร</t>
  </si>
  <si>
    <t>งาน CLEAN OUT (ช่องสำหรับทำความสะอาดในกระบะปลูก)</t>
  </si>
  <si>
    <t xml:space="preserve">งานกล่องระบายน้ำ (AQUA TANK) ขนาด 250x500 มม. </t>
  </si>
  <si>
    <t>งานช่องระบายน้ำด้านข้าง (SCUPPER DRAIN)</t>
  </si>
  <si>
    <t xml:space="preserve">รวมราคารายการที่ 1.1 </t>
  </si>
  <si>
    <t>งานระบบไฟฟ้าส่องสว่าง</t>
  </si>
  <si>
    <t>งานระบบไฟฟ้าส่องสว่าง (ดูในหมวดงานระบบไฟฟ้า)</t>
  </si>
  <si>
    <t>(XL1)</t>
  </si>
  <si>
    <t>LED floodlight with ground spike, aluminum body and integrated LED driver. IP65.</t>
  </si>
  <si>
    <t>(XL1.T)</t>
  </si>
  <si>
    <t>LED floodlight with nylon tree strap, aluminum body and integrated LED driver. IP65.</t>
  </si>
  <si>
    <t>(XL2)</t>
  </si>
  <si>
    <t>Surface mounted LED neonflex horizontal bending with silicone body and remote LED driver. IP65.</t>
  </si>
  <si>
    <t>งานปลั๊กไฟสนาม (ชนิดกันน้ำ)</t>
  </si>
  <si>
    <t>งานระบบรดน้ำต้นไม้</t>
  </si>
  <si>
    <t xml:space="preserve">  งานระบบรดน้ำต้นไม้และสนามหญ้า อัตโนมัติ </t>
  </si>
  <si>
    <t>3355x1000</t>
  </si>
  <si>
    <t xml:space="preserve">  ท่อ HDPE PN. 6 Ø 63 mm. PE 80 ( MAINLINE ) </t>
  </si>
  <si>
    <t>ราคาท่ออ้างอิงตามไฟล์แนบ</t>
  </si>
  <si>
    <t xml:space="preserve">  ท่อ HDPE PN. 6 Ø 63 mm. PE80</t>
  </si>
  <si>
    <t xml:space="preserve">  ท่อ HDPE PN. 6 Ø 50 mm. PE80</t>
  </si>
  <si>
    <t xml:space="preserve">  ท่อ HDPE PN. 6 Ø 32 mm. PE80</t>
  </si>
  <si>
    <t xml:space="preserve">  อุปกรณ์ข้อต่อท่อ HDPE แบบสวมอัด</t>
  </si>
  <si>
    <t xml:space="preserve">  Pop - up Sprinkler Spray   </t>
  </si>
  <si>
    <t>หัว</t>
  </si>
  <si>
    <t xml:space="preserve">  ชุดยกหัวสปริงเกลอร์  Swingjoint  </t>
  </si>
  <si>
    <t xml:space="preserve">  mini-spray + ขาปักครบชุด  </t>
  </si>
  <si>
    <t xml:space="preserve">  Solinoild Valve Ø 2"  </t>
  </si>
  <si>
    <t>ตัว</t>
  </si>
  <si>
    <t xml:space="preserve">  Valve Box 10"</t>
  </si>
  <si>
    <t>ใบ</t>
  </si>
  <si>
    <t xml:space="preserve">  ตู้ควบคุมวาล์วไฟฟ้าขนาด 8 สถานี </t>
  </si>
  <si>
    <t xml:space="preserve">  ตัวตัดการทำงานเมื่อฝนตก(RAIN SENSOR)</t>
  </si>
  <si>
    <t xml:space="preserve">  เครื่องกรองเศษผง Ø 3" แบบDISC</t>
  </si>
  <si>
    <t xml:space="preserve">  สายไฟฟ้าควบคุมวาล์วไฟฟ้า ชนิด  18 AWG</t>
  </si>
  <si>
    <t xml:space="preserve">  ท่อร้อยสายไฟฟ้า Ø 25 mm. PN. 6 </t>
  </si>
  <si>
    <t xml:space="preserve">  อุปกรณ์เบ็ดเตล็ด,อุปกรณ์จับยึดท่อ,ก้านยกหัวสำหรับไม้พุ่มสูง</t>
  </si>
  <si>
    <t xml:space="preserve">รวมราคารายการที่ 1.2 </t>
  </si>
  <si>
    <t>งานโครงสร้างกระบะ</t>
  </si>
  <si>
    <t>10.</t>
  </si>
  <si>
    <t>เนื่องจากมีการติดตั้ง ก๊าซหุงต้มในอาคาร จึงจำเป็นต้องมีการยื่นขออนุญาตจากกรมธุรกิจพลังงาน</t>
  </si>
  <si>
    <t>***แก้งานผนัง</t>
  </si>
  <si>
    <t>28/5/2020</t>
  </si>
  <si>
    <t>#Daft3</t>
  </si>
  <si>
    <t>#Daft3.1</t>
  </si>
  <si>
    <t>#Daft3.2</t>
  </si>
  <si>
    <t>ขนาด 12 นิ้ว x 12 นิ้ว</t>
  </si>
  <si>
    <t>พื้น คสล. ผสมน้ำยากันซึม เทปูนทรายปรับระดับ ปูกระเบื้อเซรามิคชนิดผิวมัน</t>
  </si>
  <si>
    <t>รวมราคางานสถาปัตยกรรม</t>
  </si>
  <si>
    <t>Factor - F</t>
  </si>
  <si>
    <t>พื้นที่อาคาร</t>
  </si>
  <si>
    <t>ผิวด้านบนเทปูนทรายปรับระดับ ปูแผ่นหินขัดสำเร็จรูป ขนาด 60x60 ซม.</t>
  </si>
  <si>
    <t>F.8</t>
  </si>
  <si>
    <t>เทปูนปรับระดับ   SELF LEVELING</t>
  </si>
  <si>
    <t>ขนาด 12"x12"</t>
  </si>
  <si>
    <t>P.3</t>
  </si>
  <si>
    <t>คอนกรีตบล๊อกเบา หรือส่วนของโครงสร้าง คสล. ผิวฉาบขัดมัน</t>
  </si>
  <si>
    <t>ผนังยิปซั่มบอร์ดชนิดความหนาแน่นสูง (HD) ความหนาไม่น้อยกว่า 15 มม. ชนิดขอบลาด</t>
  </si>
  <si>
    <t>1 ชั้น ติดตั้ง 2 ด้าน ฉาบเรียบรอยต่อระหว่างแผ่น รอตกแต่งผิวตามแบบ INTERIOR</t>
  </si>
  <si>
    <t>1 ชั้น ติดตั้ง 1 ด้าน ฉาบเรียบรอยต่อระหว่างแผ่น รอตกแต่งผิวตามแบบ INTERIOR</t>
  </si>
  <si>
    <t>ผนังยิปซั่มบอร์ดชนิดความหนาแน่นสูง (HD) ความหนาไม่น้อยกว่า 15 มม. 1 ชั้น</t>
  </si>
  <si>
    <t>ติดตั้ง 1 ด้าน โครงโลหะชุบสังกะสี</t>
  </si>
  <si>
    <t>ภายในกรุฉนวนกันเสียงหนา 2 นิ้ว ความหนาแน่น 24 กก/ลบ.ม. และติดตั้งตาข่ายทองแดง</t>
  </si>
  <si>
    <t>SHEILD กันคลื่นวิทยุ</t>
  </si>
  <si>
    <t>กันคลื่นวิทยุ โครงโลหะชุบสังกะสี</t>
  </si>
  <si>
    <t>ผนังยิปซั่มบอร์ดชนิดทนไฟ ความหนาไม่น้อยกว่า 15 มม. ชนิดขอบลาด 2 ชั้น 2 ด้าน</t>
  </si>
  <si>
    <t>ทนไฟไม่น้อยกว่า 2ชม. สลับแนวรอยต่อระหว่างแผ่นและฉาบเรียบ รอตกแต่งผิวตามแบบ</t>
  </si>
  <si>
    <t>ผนังยิปซั่มบอร์ดชนิดความหนาแน่นสูง (HD) ความหนาไม่น้อยกว่า 15 มม. ชนิดขอบลาด 1 ชั้น</t>
  </si>
  <si>
    <t>ติดตั้ง 1 ด้าน ฉาบเรียบรอยต่อระหว่างแผ่น รอตกแต่งผิวตามแบบ INTERIOR</t>
  </si>
  <si>
    <t>ผนังคอนกรีตบล๊อกเบา ความหนา 20 ซม. หรือส่วนของโครงสร้าง คสล. ผิงฉาบปูนเรียบ</t>
  </si>
  <si>
    <t>ผนังกรุแผ่น ALUMINIUM COMPOSITE CLADDING ชนิดกันไฟ หนา 4 มม.</t>
  </si>
  <si>
    <t>ผนังกรุแผ่นหลังคาอลูมิเนียม เคลือบสี ติดตั้งบนโครงโลหะชุบสังกะสี</t>
  </si>
  <si>
    <t>ความหนาไม่น้อยกว่า 2 มม.  ติดตั้งบนโครงโลหะชุบกัลวาไนซ์</t>
  </si>
  <si>
    <t>ความหนาไม่น้อยกว่า 2 มม. ทำลายฉลุเจาะรู (PERORATED)   ติดตั้งบนโครงโลหะชุบกัลวาไนซ์</t>
  </si>
  <si>
    <t>- ช่องเปิดสำเร็จรูป ขนาด 60x60 ซม.</t>
  </si>
  <si>
    <t>ฝ้าแผ่น Aluminium composite cladding ชนิดกันไฟ ความหนา 4 มม.</t>
  </si>
  <si>
    <t>ฝ้าเพดานยิปซั่มบอร์ดเคลือบสีสำเร็จจากโรงงาน ชนิดทนความชื้น ขนาด 60 x 60 ซม.</t>
  </si>
  <si>
    <t>ฝ้าเพดานยิปซั่มบอร์ดเคลือบสีสำเร็จจากโรงงาน ขนาด 60 x 60 ซม.</t>
  </si>
  <si>
    <t>/TCT.057 mm. / PVDF Color coating</t>
  </si>
  <si>
    <t>ด้านในกรุฉนวนใยแก้วกันความร้อน  หนา 6 นิ้ว ความหนาแน่น 32 Kg/m³</t>
  </si>
  <si>
    <t>การติดตั้งมาตรฐานผู้ผลิต</t>
  </si>
  <si>
    <t>ลวดตระแกรงเบอร์ 14 เคลือบ PVC สีขาว ตา 50x100 มม. (ขนาด 1.00x30 ม.)</t>
  </si>
  <si>
    <t>รางระบายน้ำสเตนเลส กว้าง 1.30 ม. ลึก 0.50 ม.</t>
  </si>
  <si>
    <t>รางระบายน้ำสแตนเลส กว้าง 1.30 ม. ลึก 0.50 ม.</t>
  </si>
  <si>
    <t xml:space="preserve">รางระบายน้ำสเตนเลส กว้าง 1.85 ม. ลึก 0.30 ม. </t>
  </si>
  <si>
    <t>รางระบายน้ำสแตนเลส กว้าง 1.85 ม. ลึก 0.30 ม.</t>
  </si>
  <si>
    <t>ประตูบานเลื่อนคู่ / วงกบอลูมิเนียมผิวพ่นสี / ช่องแสงติดตาย</t>
  </si>
  <si>
    <t>ประตูบานเปิดคู่ / วงกบอลูมิเนียมผิวพ่นสี / ช่องแสงติดตาย</t>
  </si>
  <si>
    <t>ประตูบานเปิดคู่ บานเหล็กทนไฟ</t>
  </si>
  <si>
    <t>( CT-01 ) ห้องน้ำชาย</t>
  </si>
  <si>
    <t>ก๊อกเดี่ยวอัตโนมัติ อ่างล้างหน้า</t>
  </si>
  <si>
    <t>สะดืออ่างล้างหน้า</t>
  </si>
  <si>
    <t>ท่อน้ำทิ้ง</t>
  </si>
  <si>
    <t>สายน้ำดี</t>
  </si>
  <si>
    <t>สต๊อปวาล์ว</t>
  </si>
  <si>
    <t>โถปัสสาวะชายพร้อมอุปกรณ์</t>
  </si>
  <si>
    <t>ราวทรงตัว L-  SHAPE ขนาด 700x600 มม.</t>
  </si>
  <si>
    <t>ราวทรงตัวสำหรับโถปัสสาวะชาย ขนาด 40x60x55 มม.</t>
  </si>
  <si>
    <t>กระจกเงาหนา 6 มม. กรอบอะลูมิเนียม หนา 1.5 มม. บนแผ่นไฟเบอร์ซีเมนต์บอร์ด</t>
  </si>
  <si>
    <t>กระจกเงาแต่งตัว หนา 6 มม. กรอบอะลูมิเนียม หนา 1.5 มม. บนแผ่นไฟเบอร์ซีเมนต์บอร์ด</t>
  </si>
  <si>
    <t>( CT-01 ) ห้องน้ำหญิง</t>
  </si>
  <si>
    <t>( CT-01 ) ห้องน้ำผู้พิการ</t>
  </si>
  <si>
    <t>โถสุขภัณฑ์ แบบสองชิ้น 3/4.5 ลิตร</t>
  </si>
  <si>
    <t>สายฉีดชำระ</t>
  </si>
  <si>
    <t>ขอแขวนผ้า ชุบโครเมี่ยม</t>
  </si>
  <si>
    <t>ราวทรงตัวสำหรับอ่างล้างหน้า ขนาด 740x800 มม.</t>
  </si>
  <si>
    <t>ราวทรงตัว L-  SHAPE ขนาด 400x600 มม.</t>
  </si>
  <si>
    <t>กระจกเงา หนา 6 มม.เจียรขอบโดยรอบ แผ่นรองด้านหลังกระจก เป็นแผ่นไฟเบอร์ซีเมนต์</t>
  </si>
  <si>
    <t>หนา 6 มม. ยึดด้วยสกรูหัวหมุด ขนาด ก้วาง 0.60 xสูง1.20 ม.</t>
  </si>
  <si>
    <t>( CT-01 ) ห้องเก็บอุปกรณ์</t>
  </si>
  <si>
    <t>( CT-02 ) ห้องน้ำชาย</t>
  </si>
  <si>
    <t>( CT-02 ) ห้องน้ำหญิง</t>
  </si>
  <si>
    <t>( CT-02 )  ห้องน้ำผู้พิการ</t>
  </si>
  <si>
    <t>( CT-02 ) ห้องเก็บอุปกรณ์</t>
  </si>
  <si>
    <t>( CT-02/ CT-02a ) ห้องน้ำชาย</t>
  </si>
  <si>
    <t>( CT-02/ CT-02a )  ห้องน้ำหญิง</t>
  </si>
  <si>
    <t>( CT-02/ CT-02a ) ห้องน้ำผู้พิการ</t>
  </si>
  <si>
    <t>( CT-02/ CT-02a )  ห้องเก็บอุปกรณ์</t>
  </si>
  <si>
    <t>งานก่อผนังคอนกรีตบลอคเบา</t>
  </si>
  <si>
    <t>ราวบันไดเสาเหล็ก ขนาด Ø 1 1/2'' หนา 1.5 มม.  ลูกกรงเหล็ก ขนาด  Ø 1"</t>
  </si>
  <si>
    <t>P.17 ผนังกรุแผ่น ALUMINIUM COMPOSITE CLADDING ชนิดกันไฟ หนา 4 มม.</t>
  </si>
  <si>
    <t>งานโครงเหล็ก</t>
  </si>
  <si>
    <t>ราคา REV. 2</t>
  </si>
  <si>
    <t>ราคา REV. 3</t>
  </si>
  <si>
    <t>ลด</t>
  </si>
  <si>
    <t>Insulation กรุฉนวนใยแก้ว หนา 4" ความหนาแน่น 32 Kg/m³</t>
  </si>
  <si>
    <t>ลวดตระแกรงเบอร์ 14 เคลือบ PVC สีขาว  ตา 50x100 มม.</t>
  </si>
  <si>
    <t>อุปกรณ์ Seam clip</t>
  </si>
  <si>
    <t>ทางเดินบริการ</t>
  </si>
  <si>
    <t>P.17 กรุแผ่น ALUMINIUM COMPOSITE CLADDING ชนิดกันไฟ หนา 4 มม.</t>
  </si>
  <si>
    <t>ความหนาไม่น้อยกว่า 15 มม. 1 ชั้น</t>
  </si>
  <si>
    <t>พื้นทางลาด  ที่จอดรถ เซาะร่อง ระยะ @ 10 ซม. ลึก 1 ซม. ร่องกว้าง 2 ซม.</t>
  </si>
  <si>
    <t>ชุดอุปกรณ์ระบบกันตก (Fall Arrest System) สำหรับการทำงานบนที่สูง บำรุงรักษา</t>
  </si>
  <si>
    <t>ขนาด 0.30 x 0.90 ม.</t>
  </si>
  <si>
    <t>โครงเหล็ก งานโครงสร้างอาคาร</t>
  </si>
  <si>
    <t>RGBW LED node with DMX controller. IP65. PHILIPS - UniDot G2 9LED RGBNW OSC DMX</t>
  </si>
  <si>
    <t>Ceiling recessed LED downlight with diffuse lens, aluminum body and remote LED driver.</t>
  </si>
  <si>
    <t>Ceiling recessed LED wallwasher downlight with aluminum body and remote LED driver.</t>
  </si>
  <si>
    <t>Ground recessed adjustable LED uplight with stainless steel body and remote LED driver.</t>
  </si>
  <si>
    <t>Surface LED floodlight with antiglare louvre, aluminum body, concrete base and</t>
  </si>
  <si>
    <t>integrated driver. IP65. WE EF - 139 1800
+ honeycomb(139 1863)</t>
  </si>
  <si>
    <t>Modified 1 lamps of LED streetlight, 10m. in height with 2 LED floodlights(X26) and</t>
  </si>
  <si>
    <t>LIGMAN - LI-21344-T4-T4-77040-ND + 10m galvanised pole</t>
  </si>
  <si>
    <t>2 sides LED area light on top of 10m height galvanised steel pole with aluminum body</t>
  </si>
  <si>
    <t>and integrated LED driver. IP65. LIGMAN - LI-21344-T4-T4-77040-ND + 10m galvanised</t>
  </si>
  <si>
    <t>สพฐ.2564</t>
  </si>
  <si>
    <t>1.33m./1sq.m.</t>
  </si>
  <si>
    <t>คิดจาก P12, P13, P15, P16, P25</t>
  </si>
  <si>
    <t>คิดเฉพาะผิวตกแต่ง-ไม่รวมงานทาสี</t>
  </si>
  <si>
    <t>3D PUFOAM</t>
  </si>
  <si>
    <t>คิดเฉพาะงานผนัง-ไม่รวมงานทาสี</t>
  </si>
  <si>
    <t>คิดเฉพาะผิวตกแต่ง</t>
  </si>
  <si>
    <t>ฉนวนใยแก้ว หนา 1 นิ้ว  หุ้มอลูมิเนียมฟอยล์รอบด้าน</t>
  </si>
  <si>
    <t>คิดจาก P11, P12, P13, P15, P16, P25</t>
  </si>
  <si>
    <t>รวมค่าคิดตั้ง</t>
  </si>
  <si>
    <t>ค่าของ+แรง</t>
  </si>
  <si>
    <t>รวมค่าติดตั้ง</t>
  </si>
  <si>
    <t>นอก</t>
  </si>
  <si>
    <t>ภานใน</t>
  </si>
  <si>
    <t>ภายนอก ลายอาคาร</t>
  </si>
  <si>
    <t>กระจกโค้งทางเข้า</t>
  </si>
  <si>
    <t>ทางเดินเชื่อม</t>
  </si>
  <si>
    <t>หุ้มเสาสามเหลี่ยม</t>
  </si>
  <si>
    <t>CATWALK</t>
  </si>
  <si>
    <t>แนวนอนรอบ Truss</t>
  </si>
  <si>
    <t>ยกเลิก</t>
  </si>
  <si>
    <t>ข้อ 2.9.1 ทั้งหมด</t>
  </si>
  <si>
    <t>2.9.3</t>
  </si>
  <si>
    <t>ข้อ 2.9.3</t>
  </si>
  <si>
    <t>P.6B</t>
  </si>
  <si>
    <t>ผนังยิปซั่มบอร์ดชนิดทนชื้น ความหนาไม่น้อยกว่า 12 มม. ชิดขอบเรียบ 1 ชั้น</t>
  </si>
  <si>
    <t>ติดตั้ง 1 ด้าน โครงโลหะชุบสังกะสี ทำสีพ่น  ACRYLIC สำหรับภายใน</t>
  </si>
  <si>
    <t>ทำสีพ่น ACRYLIC สำหรับภายใน</t>
  </si>
  <si>
    <t>ผนังกรุแผ่นหลังคาเมทัลชีท เคลือบสี ติดตั้งบนโครงโลหะชุบสังกะสี</t>
  </si>
  <si>
    <t>P18A  หลังคาเมทัลชีท standing seam</t>
  </si>
  <si>
    <t>หลังคาเมทัลชีท standing seam - Curve / Thk. 0.57 mm. พร้อมขา ST Clips</t>
  </si>
  <si>
    <t>ชุด Flashing standing seam  / Thk. 0.57 mm.</t>
  </si>
  <si>
    <t>ผนังยิปซั่มบอร์ดชนิด ความหนาไม่น้อยกว่า 12 มม. ชิดขอบเรียบ 1 ชั้น</t>
  </si>
  <si>
    <t>ร่องอะลูมิเนียมกว้าง 20 มม. ลึก 12 มม.</t>
  </si>
  <si>
    <t>เหล็กกล่อง 50x50x3.2 mm.</t>
  </si>
  <si>
    <t>เหล็กกล่อง 38x38x3.2 mm.</t>
  </si>
  <si>
    <t>เหล็กกล่อง 75x38x 3.2  mm.</t>
  </si>
  <si>
    <t>P.6 C ผนังยิปซั่มบอร์ดชนิธรรมดา  ความหนาไม่น้อยกว่า 12 มม. ขอบลาด 1 ชั้น ติดตั้ง 1 ด้าน</t>
  </si>
  <si>
    <t>ราคากระทรวงพาณิชย์ พค. 2564</t>
  </si>
  <si>
    <t>F.4A</t>
  </si>
  <si>
    <t>F.5A</t>
  </si>
  <si>
    <t>P.13A</t>
  </si>
  <si>
    <t>P.15A</t>
  </si>
  <si>
    <r>
      <t xml:space="preserve">   - IEC01 1.5 มม</t>
    </r>
    <r>
      <rPr>
        <sz val="14"/>
        <rFont val="Times New Roman"/>
        <family val="1"/>
        <charset val="222"/>
      </rPr>
      <t>²</t>
    </r>
    <r>
      <rPr>
        <sz val="14"/>
        <rFont val="BrowalliaUPC"/>
        <family val="2"/>
        <charset val="222"/>
      </rPr>
      <t xml:space="preserve"> </t>
    </r>
  </si>
  <si>
    <t xml:space="preserve">   -  Twisted Pairs With Shield 16 AWG. FR.</t>
  </si>
  <si>
    <t>3.5.20</t>
  </si>
  <si>
    <t>พื้น คสล. ทำผิวปูทรายขัดเรียบ ปูกระเบื้องไวนิลขนาด 30x30 ซม.</t>
  </si>
  <si>
    <t xml:space="preserve"> - </t>
  </si>
  <si>
    <t>ปรับตามทิศตะวันตก</t>
  </si>
  <si>
    <t>ผนังยิปซั่มบอร์ดชนิดทนชื้น ความหนาไม่น้อยกว่า 12 มม. 1 ชั้น</t>
  </si>
  <si>
    <t xml:space="preserve">กระจกเงาหนา 6 มม. ขอบสแตนเลส ผิว HAIRLINE </t>
  </si>
  <si>
    <t>ขนาดสูง 1.20 กว้าง 0.90 ม.</t>
  </si>
  <si>
    <t>ราคาที่เพิ่มขึ้น</t>
  </si>
  <si>
    <t>ราคาเหล็กก่อนปรับ</t>
  </si>
  <si>
    <t>เหล็ก WF-125x125x6x9-23.8 kg./m. mm. @1.20 m.</t>
  </si>
  <si>
    <t>เหล็ก WF-100x100x6x8-17.2 kg./m.</t>
  </si>
  <si>
    <t>เหล็ก Ø 139.8x4.5 mm.@1.20 m. (15.02 kg./m.)</t>
  </si>
  <si>
    <t>เหล็ก Ø 165.2x6.00 mm  (23.60 kg./m.)</t>
  </si>
  <si>
    <t>ผนังยิปซั่มบอร์ด ชนิดทนความชื้น ความหนาไม่น้อยกว่า 12 มม. ขอบลาด 1 ชั้น</t>
  </si>
  <si>
    <t>เหล็ก WF-200x150x6x9-30.6 kg./m. @1.20 m.</t>
  </si>
  <si>
    <t>เหล็ก WF-125x125x6.5x9-23.8 kg./m.@ 1.20m.</t>
  </si>
  <si>
    <r>
      <t>IP54. ILLUSPACE - 1LDRR018-IP 18 watt LED/ 1500lm/ 50</t>
    </r>
    <r>
      <rPr>
        <vertAlign val="superscript"/>
        <sz val="14"/>
        <color theme="1"/>
        <rFont val="TH Sarabun New"/>
        <family val="2"/>
      </rPr>
      <t>o</t>
    </r>
    <r>
      <rPr>
        <sz val="14"/>
        <color theme="1"/>
        <rFont val="TH Sarabun New"/>
        <family val="2"/>
      </rPr>
      <t>/ 4000K</t>
    </r>
  </si>
  <si>
    <r>
      <t>ILLUSPACE - 1LDRR018-IP 18 watt LED/ 2000lm/ 30</t>
    </r>
    <r>
      <rPr>
        <vertAlign val="superscript"/>
        <sz val="14"/>
        <color theme="1"/>
        <rFont val="TH Sarabun New"/>
        <family val="2"/>
      </rPr>
      <t>o</t>
    </r>
    <r>
      <rPr>
        <sz val="14"/>
        <color theme="1"/>
        <rFont val="TH Sarabun New"/>
        <family val="2"/>
      </rPr>
      <t>/ 4000K</t>
    </r>
  </si>
  <si>
    <r>
      <t>ILLUSPACE - 1LDRR018-IP 18 watt LED/ 2000lm/ 50</t>
    </r>
    <r>
      <rPr>
        <vertAlign val="superscript"/>
        <sz val="14"/>
        <color theme="1"/>
        <rFont val="TH Sarabun New"/>
        <family val="2"/>
      </rPr>
      <t>o</t>
    </r>
    <r>
      <rPr>
        <sz val="14"/>
        <color theme="1"/>
        <rFont val="TH Sarabun New"/>
        <family val="2"/>
      </rPr>
      <t>/ 4000K</t>
    </r>
  </si>
  <si>
    <r>
      <t>IP54. ILLUSPACE - 1LDRR018-IP 18 watt LED/ 2000lm/ 50</t>
    </r>
    <r>
      <rPr>
        <vertAlign val="superscript"/>
        <sz val="14"/>
        <color theme="1"/>
        <rFont val="TH Sarabun New"/>
        <family val="2"/>
      </rPr>
      <t>o</t>
    </r>
    <r>
      <rPr>
        <sz val="14"/>
        <color theme="1"/>
        <rFont val="TH Sarabun New"/>
        <family val="2"/>
      </rPr>
      <t>/ 4000K</t>
    </r>
  </si>
  <si>
    <r>
      <t>IP67. LINEALIGHT - 81210N60 +outer case 12 watt LED/ 1390lm/ 61</t>
    </r>
    <r>
      <rPr>
        <vertAlign val="superscript"/>
        <sz val="14"/>
        <color theme="1"/>
        <rFont val="TH Sarabun New"/>
        <family val="2"/>
      </rPr>
      <t>o</t>
    </r>
    <r>
      <rPr>
        <sz val="14"/>
        <color theme="1"/>
        <rFont val="TH Sarabun New"/>
        <family val="2"/>
      </rPr>
      <t>/ 4000K</t>
    </r>
  </si>
  <si>
    <r>
      <t>/ 2000lm/ 47</t>
    </r>
    <r>
      <rPr>
        <vertAlign val="superscript"/>
        <sz val="14"/>
        <color theme="1"/>
        <rFont val="TH Sarabun New"/>
        <family val="2"/>
      </rPr>
      <t>o</t>
    </r>
    <r>
      <rPr>
        <sz val="14"/>
        <color theme="1"/>
        <rFont val="TH Sarabun New"/>
        <family val="2"/>
      </rPr>
      <t>/ 4000K</t>
    </r>
  </si>
  <si>
    <r>
      <t>WE EF - 185 7663 28 watt LED/ 2231lm/ 49.4</t>
    </r>
    <r>
      <rPr>
        <vertAlign val="superscript"/>
        <sz val="14"/>
        <color theme="1"/>
        <rFont val="TH Sarabun New"/>
        <family val="2"/>
      </rPr>
      <t>o</t>
    </r>
    <r>
      <rPr>
        <sz val="14"/>
        <color theme="1"/>
        <rFont val="TH Sarabun New"/>
        <family val="2"/>
      </rPr>
      <t>/ 4000K</t>
    </r>
  </si>
  <si>
    <r>
      <t>/ 18047lm/ 30.6</t>
    </r>
    <r>
      <rPr>
        <vertAlign val="superscript"/>
        <sz val="14"/>
        <color theme="1"/>
        <rFont val="TH Sarabun New"/>
        <family val="2"/>
      </rPr>
      <t>o</t>
    </r>
    <r>
      <rPr>
        <sz val="14"/>
        <color theme="1"/>
        <rFont val="TH Sarabun New"/>
        <family val="2"/>
      </rPr>
      <t>/ 4000K</t>
    </r>
  </si>
  <si>
    <r>
      <t>/ 49.4</t>
    </r>
    <r>
      <rPr>
        <vertAlign val="superscript"/>
        <sz val="14"/>
        <color theme="1"/>
        <rFont val="TH Sarabun New"/>
        <family val="2"/>
      </rPr>
      <t>o</t>
    </r>
    <r>
      <rPr>
        <sz val="14"/>
        <color theme="1"/>
        <rFont val="TH Sarabun New"/>
        <family val="2"/>
      </rPr>
      <t>/ 4000K</t>
    </r>
  </si>
  <si>
    <r>
      <t>169 watt LED/ 16991lm/ 14.6</t>
    </r>
    <r>
      <rPr>
        <vertAlign val="superscript"/>
        <sz val="14"/>
        <color theme="1"/>
        <rFont val="TH Sarabun New"/>
        <family val="2"/>
      </rPr>
      <t>o</t>
    </r>
    <r>
      <rPr>
        <sz val="14"/>
        <color theme="1"/>
        <rFont val="TH Sarabun New"/>
        <family val="2"/>
      </rPr>
      <t>/ 4000K</t>
    </r>
  </si>
  <si>
    <r>
      <t>LIGMAN - ODESSA2 + antiglare louvre(A80231) 36 watt LED/ 3224lm/ 47</t>
    </r>
    <r>
      <rPr>
        <vertAlign val="superscript"/>
        <sz val="14"/>
        <color theme="1"/>
        <rFont val="TH Sarabun New"/>
        <family val="2"/>
      </rPr>
      <t>o</t>
    </r>
    <r>
      <rPr>
        <sz val="14"/>
        <color theme="1"/>
        <rFont val="TH Sarabun New"/>
        <family val="2"/>
      </rPr>
      <t>/ 3000K</t>
    </r>
  </si>
  <si>
    <r>
      <t>544 watt LED/ 72356 lm/ 105ox71</t>
    </r>
    <r>
      <rPr>
        <vertAlign val="superscript"/>
        <sz val="14"/>
        <color theme="1"/>
        <rFont val="TH Sarabun New"/>
        <family val="2"/>
      </rPr>
      <t>o</t>
    </r>
    <r>
      <rPr>
        <sz val="14"/>
        <color theme="1"/>
        <rFont val="TH Sarabun New"/>
        <family val="2"/>
      </rPr>
      <t>/ 4000K</t>
    </r>
  </si>
  <si>
    <r>
      <t>LINEALIGHT - 80385N30 + antiglare eyelid(98968) 50 watt LED/ 5218lm/ 30</t>
    </r>
    <r>
      <rPr>
        <vertAlign val="superscript"/>
        <sz val="14"/>
        <color theme="1"/>
        <rFont val="TH Sarabun New"/>
        <family val="2"/>
      </rPr>
      <t>o</t>
    </r>
    <r>
      <rPr>
        <sz val="14"/>
        <color theme="1"/>
        <rFont val="TH Sarabun New"/>
        <family val="2"/>
      </rPr>
      <t>/ 4000K</t>
    </r>
  </si>
  <si>
    <r>
      <t>WE EF - 131 9796 +column fitter (131 9140) 35 watt LED/ 4560lm/ 60</t>
    </r>
    <r>
      <rPr>
        <vertAlign val="superscript"/>
        <sz val="14"/>
        <color theme="1"/>
        <rFont val="TH Sarabun New"/>
        <family val="2"/>
      </rPr>
      <t>o</t>
    </r>
    <r>
      <rPr>
        <sz val="14"/>
        <color theme="1"/>
        <rFont val="TH Sarabun New"/>
        <family val="2"/>
      </rPr>
      <t>/ 4000K</t>
    </r>
  </si>
  <si>
    <r>
      <t>/ 30.6</t>
    </r>
    <r>
      <rPr>
        <vertAlign val="superscript"/>
        <sz val="14"/>
        <color theme="1"/>
        <rFont val="TH Sarabun New"/>
        <family val="2"/>
      </rPr>
      <t>o</t>
    </r>
    <r>
      <rPr>
        <sz val="14"/>
        <color theme="1"/>
        <rFont val="TH Sarabun New"/>
        <family val="2"/>
      </rPr>
      <t>/ 4000K</t>
    </r>
  </si>
  <si>
    <t>Wiring, Installation &amp; Commissioning</t>
  </si>
  <si>
    <t>L/S</t>
  </si>
  <si>
    <t>งานปูนทรายปรับระดับ (คิดจาพื้นที่ F.2-F.8, F.11,F.13-F.14,F.19,F22, F.23)</t>
  </si>
  <si>
    <t>AL. Panel</t>
  </si>
  <si>
    <t>Frame &amp; Other</t>
  </si>
  <si>
    <t>แก้ที่กั้นล้อ</t>
  </si>
  <si>
    <t>เพิ่มงานห้องงานระบบ</t>
  </si>
  <si>
    <t>24/9/2021</t>
  </si>
  <si>
    <t>CB Box</t>
  </si>
  <si>
    <t xml:space="preserve">   - 3P, 100A.</t>
  </si>
  <si>
    <t>C2-1EPC3, 100A 36 CCT.</t>
  </si>
  <si>
    <t xml:space="preserve">   -    MCCB 3P, 60A Main</t>
  </si>
  <si>
    <t xml:space="preserve">   -    MCCB 1P, 32A</t>
  </si>
  <si>
    <t xml:space="preserve">   -    RCBO 30mA, 1P, 20A</t>
  </si>
  <si>
    <t xml:space="preserve">   - D2AL</t>
  </si>
  <si>
    <t>C2-1F-03</t>
  </si>
  <si>
    <t>C2-1F-04 (ST.BY)</t>
  </si>
  <si>
    <t>สัญญาก่อสร้างอาคารสนับสนุน (ส่วนงานโครงสร้าง งานสถาปัตยกรรม และงานระบบหลัก)</t>
  </si>
  <si>
    <t xml:space="preserve"> งานอาคารสนับสนุน</t>
  </si>
  <si>
    <t>อาคารสนับสนุน</t>
  </si>
  <si>
    <t>รวมราคางานอาคารสนับสนุน</t>
  </si>
  <si>
    <t>ราคากระทรวงพาณิชย์ กย. 2564</t>
  </si>
  <si>
    <t>Central Control</t>
  </si>
  <si>
    <t xml:space="preserve">   - Main Control Unit</t>
  </si>
  <si>
    <t xml:space="preserve">   - Relay Control Terminal Unit</t>
  </si>
  <si>
    <t xml:space="preserve">   - Program Timer Unit</t>
  </si>
  <si>
    <t xml:space="preserve">   - Contact Input Terminal Unit</t>
  </si>
  <si>
    <t xml:space="preserve">   - Central Selector Switch</t>
  </si>
  <si>
    <t xml:space="preserve">   - Wireless Programming Unit</t>
  </si>
  <si>
    <t xml:space="preserve">   - Power Supply Unit</t>
  </si>
  <si>
    <t>Computer Workstation</t>
  </si>
  <si>
    <t>3.12.4</t>
  </si>
  <si>
    <t>Printer (Ink Jet)</t>
  </si>
  <si>
    <t xml:space="preserve">   - UTP Cat. 6A Pairs</t>
  </si>
  <si>
    <t>3.15.5</t>
  </si>
  <si>
    <t>Remote Paging Microphone</t>
  </si>
  <si>
    <t>3.16.4</t>
  </si>
  <si>
    <t>3.16.5</t>
  </si>
  <si>
    <t xml:space="preserve">   -  50 มม. x 100 มม.</t>
  </si>
  <si>
    <t>3.16.6</t>
  </si>
  <si>
    <t>ระบบควบคุมอาคารอัตโนมัติ (Building AutomationSystem (BMS)</t>
  </si>
  <si>
    <t>3.17.1</t>
  </si>
  <si>
    <t>Main BMS Rack (MBMR, Central Command Room อาคารทิศเหนือ)</t>
  </si>
  <si>
    <t xml:space="preserve">   -   Network Switch</t>
  </si>
  <si>
    <t xml:space="preserve">   -   Fiber Optic Patch Cord</t>
  </si>
  <si>
    <t xml:space="preserve">   -   Rack 19 " 42 U</t>
  </si>
  <si>
    <t>3.17.2</t>
  </si>
  <si>
    <t>Main Communication Rack (C-MCR)</t>
  </si>
  <si>
    <t>3.17.3</t>
  </si>
  <si>
    <t>Interfacing Unit</t>
  </si>
  <si>
    <t xml:space="preserve">   -  For Fire Alarm System</t>
  </si>
  <si>
    <t xml:space="preserve">   -  For Digital Power Meter</t>
  </si>
  <si>
    <t xml:space="preserve">   -  For Lighting Control System</t>
  </si>
  <si>
    <t xml:space="preserve">   -  For Elevator and Escalator Sytem</t>
  </si>
  <si>
    <t>3.17.4</t>
  </si>
  <si>
    <t>Network Controlller</t>
  </si>
  <si>
    <t xml:space="preserve">   -  Network Controller</t>
  </si>
  <si>
    <t xml:space="preserve">   -  Modbus Gateway</t>
  </si>
  <si>
    <t>3.17.5</t>
  </si>
  <si>
    <t>3.17.6</t>
  </si>
  <si>
    <t>3.17.8</t>
  </si>
  <si>
    <t>3.17.9</t>
  </si>
  <si>
    <t>3.17.10</t>
  </si>
  <si>
    <t>3.18</t>
  </si>
  <si>
    <t>Main Access Rack (MACR, Central Command Room อาคารทิศเหนือ)</t>
  </si>
  <si>
    <t>IP Audio Intercom Master Station</t>
  </si>
  <si>
    <t>Emergency Pull Cord Master Station</t>
  </si>
  <si>
    <t>Main Panic Alarm Rack (MPAR, Central Command Room อาคารทิศเหนือ)</t>
  </si>
  <si>
    <t>Floor Rack (C1-B2CMR1,C2-B2CMR1)</t>
  </si>
  <si>
    <t xml:space="preserve">   -   Switch</t>
  </si>
  <si>
    <t xml:space="preserve">   -   Rack 19 ", 15U</t>
  </si>
  <si>
    <t>3.10.4</t>
  </si>
  <si>
    <t>Floor Rack (C1-B1CMR1,C2-B1CMR1)</t>
  </si>
  <si>
    <t>Floor Rack (C1-1CMR1,C2-1CMR1)</t>
  </si>
  <si>
    <t>Floor Rack (C1-2CMR1,C2-2CMR1)</t>
  </si>
  <si>
    <t>Floor Rack (C1-3CMR1,C2-3CMR1)</t>
  </si>
  <si>
    <t>Floor Rack (C1-4CMR1,C2-4CMR1)</t>
  </si>
  <si>
    <t>Floor Rack (C1-5CMR1,C2-5CMR1)</t>
  </si>
  <si>
    <t>Floor Rack (C1-6CMR1,C2-6CMR1)</t>
  </si>
  <si>
    <t>Floor Rack (C1-7CMR1,C2-7CMR1)</t>
  </si>
  <si>
    <t>Floor Rack (C1-8CMR1,C2-8CMR1)</t>
  </si>
  <si>
    <t>Main CCTV Rack (MCCR, Central Command Room อาคารทิศเหนือ)</t>
  </si>
  <si>
    <t>เพิ่มทางเดิน SERVICE ภายใน</t>
  </si>
  <si>
    <t>18/10/2021</t>
  </si>
  <si>
    <t>ทางเดินบริการ ชั้น 3-8</t>
  </si>
  <si>
    <t>Pipe f 267.4x6.0 mm. (38.7 kg./m.)</t>
  </si>
  <si>
    <t>เหล็กกล่อง150x80x4.5มม. THK. @1.00ม</t>
  </si>
  <si>
    <t>เหล็กกล่อง 25x25x2.3มม. THK.</t>
  </si>
  <si>
    <t>เสาแผ่นเหล็กแบน (FLAT BAR) ขนาด 75x9 มม.</t>
  </si>
  <si>
    <t xml:space="preserve">ลวดสลิง ขนาด Ø 10 มม. </t>
  </si>
  <si>
    <t>3.8.1.1</t>
  </si>
  <si>
    <t>3.8.1.2</t>
  </si>
  <si>
    <t>3.8.1.3</t>
  </si>
  <si>
    <t>3.8.1.4</t>
  </si>
  <si>
    <t>3.9.1.1</t>
  </si>
  <si>
    <t>3.9.1.2</t>
  </si>
  <si>
    <t>3.9.1.3</t>
  </si>
  <si>
    <t>3.11.11</t>
  </si>
  <si>
    <t>3.12.6</t>
  </si>
  <si>
    <t>3.12.7</t>
  </si>
  <si>
    <t>3.12.8</t>
  </si>
  <si>
    <t>3.12.9</t>
  </si>
  <si>
    <t>3.12.10</t>
  </si>
  <si>
    <t>3.13.2.1</t>
  </si>
  <si>
    <t>3.13.4</t>
  </si>
  <si>
    <t>3.13.5</t>
  </si>
  <si>
    <t>3.15.6</t>
  </si>
  <si>
    <t>3.15.7</t>
  </si>
  <si>
    <t>3.15.8</t>
  </si>
  <si>
    <t>3.15.9</t>
  </si>
  <si>
    <t>3.15.10</t>
  </si>
  <si>
    <t>3.15.14</t>
  </si>
  <si>
    <t>3.16.7</t>
  </si>
  <si>
    <t>3.16.8</t>
  </si>
  <si>
    <t>3.16.9</t>
  </si>
  <si>
    <t>3.17.11</t>
  </si>
  <si>
    <t>3.17.12</t>
  </si>
  <si>
    <t>3.9.9</t>
  </si>
  <si>
    <t>3.9.10</t>
  </si>
  <si>
    <t>3.9.11</t>
  </si>
  <si>
    <t>3.9.12</t>
  </si>
  <si>
    <t>3.9.13</t>
  </si>
  <si>
    <t>3.9.14</t>
  </si>
  <si>
    <t>3.9.15</t>
  </si>
  <si>
    <t>3.9.16</t>
  </si>
  <si>
    <t>3.9.17</t>
  </si>
  <si>
    <t>3.9.18</t>
  </si>
  <si>
    <t>3.9.19</t>
  </si>
  <si>
    <t>3.9.20</t>
  </si>
  <si>
    <t>3.9.21</t>
  </si>
  <si>
    <t>3.9.22</t>
  </si>
  <si>
    <t>3.9.23</t>
  </si>
  <si>
    <t>3.10.6</t>
  </si>
  <si>
    <t>3.10.7</t>
  </si>
  <si>
    <t>3.9.24</t>
  </si>
  <si>
    <t>3.1.1.2</t>
  </si>
  <si>
    <t>3.1.1.3</t>
  </si>
  <si>
    <t>3.1.2.1</t>
  </si>
  <si>
    <t>3.1.2.2</t>
  </si>
  <si>
    <t>3.1.2.3</t>
  </si>
  <si>
    <t>3.2.1.1</t>
  </si>
  <si>
    <t>3.2.1.2</t>
  </si>
  <si>
    <t>3.2.1.3</t>
  </si>
  <si>
    <t>3.2.2.1</t>
  </si>
  <si>
    <t>3.2.2.2</t>
  </si>
  <si>
    <t>3.2.2.3</t>
  </si>
  <si>
    <t>3.10.3.1</t>
  </si>
  <si>
    <t>3.1.3</t>
  </si>
  <si>
    <t>3.1.3.1</t>
  </si>
  <si>
    <t>3.1.3.2</t>
  </si>
  <si>
    <t>3.1.3.3</t>
  </si>
  <si>
    <t>3.2.3.1</t>
  </si>
  <si>
    <t>3.2.3.2</t>
  </si>
  <si>
    <t>3.2.3.3</t>
  </si>
  <si>
    <t>3.1.4</t>
  </si>
  <si>
    <t>3.1.4.1</t>
  </si>
  <si>
    <t>3.1.4.2</t>
  </si>
  <si>
    <t>3.1.4.3</t>
  </si>
  <si>
    <t>3.1.5.1</t>
  </si>
  <si>
    <t>3.1.5.2</t>
  </si>
  <si>
    <t>3.1.5.3</t>
  </si>
  <si>
    <t>3.1.6.1</t>
  </si>
  <si>
    <t>3.1.6.2</t>
  </si>
  <si>
    <t>3.1.6.3</t>
  </si>
  <si>
    <t>3.2.4</t>
  </si>
  <si>
    <t>3.2.4.1</t>
  </si>
  <si>
    <t>3.2.4.2</t>
  </si>
  <si>
    <t>3.2.4.3</t>
  </si>
  <si>
    <t>Include</t>
  </si>
  <si>
    <t>Printer (Laser)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</si>
</sst>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(* #,##0.00_);_(* \(#,##0.00\);_(* &quot;-&quot;??_);_(@_)"/>
    <numFmt numFmtId="164" formatCode="_-* #,##0.00_-;\-* #,##0.00_-;_-* &quot;-&quot;??_-;_-@_-"/>
    <numFmt numFmtId="165" formatCode="_(* #,##0.0_);_(* \(#,##0.0\);_(* &quot;-&quot;??_);_(@_)"/>
    <numFmt numFmtId="166" formatCode="0."/>
    <numFmt numFmtId="167" formatCode="dd\-mmm\-yy_)"/>
    <numFmt numFmtId="168" formatCode="0.000"/>
    <numFmt numFmtId="169" formatCode="_-* #,##0_-;\-* #,##0_-;_-* &quot;-&quot;??_-;_-@_-"/>
    <numFmt numFmtId="170" formatCode="_ * #,##0.00_ ;_ * \-#,##0.00_ ;_ * &quot;-&quot;??_ ;_ @_ "/>
    <numFmt numFmtId="171" formatCode="_(* #,##0_);_(* \(#,##0\);_(* &quot;-&quot;??_);_(@_)"/>
    <numFmt numFmtId="172" formatCode="#,##0.00_ ;[Red]\-#,##0.00\ "/>
    <numFmt numFmtId="173" formatCode="0.0000"/>
    <numFmt numFmtId="174" formatCode="_-* #,##0.0000_-;\-* #,##0.0000_-;_-* &quot;-&quot;??_-;_-@_-"/>
    <numFmt numFmtId="175" formatCode="_ * #,##0_ ;_ * \-#,##0_ ;_ * &quot;-&quot;??_ ;_ @_ "/>
    <numFmt numFmtId="176" formatCode="0.0."/>
    <numFmt numFmtId="177" formatCode="#,##0_ ;[Red]\-#,##0\ "/>
    <numFmt numFmtId="178" formatCode="0.00."/>
    <numFmt numFmtId="179" formatCode="0.0"/>
    <numFmt numFmtId="180" formatCode="#,##0.0_);\(#,##0.0\)"/>
    <numFmt numFmtId="181" formatCode="#,##0.0"/>
    <numFmt numFmtId="182" formatCode="0.0_);\(0.0\)"/>
    <numFmt numFmtId="183" formatCode="dd/mmm/yy_)"/>
    <numFmt numFmtId="184" formatCode="_-* #,##0.00000000_-;\-* #,##0.00000000_-;_-* &quot;-&quot;??_-;_-@_-"/>
  </numFmts>
  <fonts count="157">
    <font>
      <sz val="14"/>
      <name val="Cordia Ne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Cordia New"/>
      <family val="2"/>
    </font>
    <font>
      <sz val="16"/>
      <color theme="1"/>
      <name val="Cordia New"/>
      <family val="2"/>
      <charset val="222"/>
    </font>
    <font>
      <sz val="16"/>
      <name val="TH SarabunPSK"/>
      <family val="2"/>
    </font>
    <font>
      <sz val="10"/>
      <name val="Arial"/>
      <family val="2"/>
    </font>
    <font>
      <sz val="16"/>
      <color theme="0"/>
      <name val="Cordia New"/>
      <family val="2"/>
      <charset val="222"/>
    </font>
    <font>
      <sz val="14"/>
      <name val="AngsanaUPC"/>
      <family val="1"/>
    </font>
    <font>
      <i/>
      <sz val="16"/>
      <color theme="1"/>
      <name val="Cordia New"/>
      <family val="2"/>
      <charset val="222"/>
    </font>
    <font>
      <sz val="14"/>
      <name val="TH SarabunPSK"/>
      <family val="2"/>
    </font>
    <font>
      <sz val="11"/>
      <color theme="1"/>
      <name val="Calibri"/>
      <family val="2"/>
      <charset val="222"/>
      <scheme val="minor"/>
    </font>
    <font>
      <sz val="16"/>
      <name val="AngsanaUPC"/>
      <family val="1"/>
      <charset val="222"/>
    </font>
    <font>
      <sz val="11"/>
      <color theme="1"/>
      <name val="Calibri"/>
      <family val="2"/>
      <charset val="134"/>
      <scheme val="minor"/>
    </font>
    <font>
      <i/>
      <sz val="16"/>
      <color theme="1"/>
      <name val="TH Sarabun New"/>
      <family val="2"/>
    </font>
    <font>
      <i/>
      <sz val="16"/>
      <name val="TH Sarabun New"/>
      <family val="2"/>
    </font>
    <font>
      <i/>
      <sz val="14"/>
      <name val="TH Sarabun New"/>
      <family val="2"/>
    </font>
    <font>
      <i/>
      <sz val="14"/>
      <color theme="1"/>
      <name val="TH Sarabun New"/>
      <family val="2"/>
    </font>
    <font>
      <sz val="16"/>
      <name val="TH Sarabun New"/>
      <family val="2"/>
    </font>
    <font>
      <b/>
      <i/>
      <sz val="16"/>
      <color theme="1"/>
      <name val="TH Sarabun New"/>
      <family val="2"/>
    </font>
    <font>
      <sz val="14"/>
      <color theme="1"/>
      <name val="TH SarabunPSK"/>
      <family val="2"/>
    </font>
    <font>
      <b/>
      <sz val="16"/>
      <name val="TH SarabunPSK"/>
      <family val="2"/>
    </font>
    <font>
      <b/>
      <i/>
      <sz val="16"/>
      <name val="TH Sarabun New"/>
      <family val="2"/>
    </font>
    <font>
      <i/>
      <sz val="16"/>
      <name val="TH SarabunPSK"/>
      <family val="2"/>
    </font>
    <font>
      <sz val="16"/>
      <color theme="1"/>
      <name val="TH Sarabun New"/>
      <family val="2"/>
    </font>
    <font>
      <b/>
      <sz val="14"/>
      <name val="TH Sarabun New"/>
      <family val="2"/>
    </font>
    <font>
      <sz val="16"/>
      <color theme="0"/>
      <name val="TH Sarabun New"/>
      <family val="2"/>
    </font>
    <font>
      <b/>
      <sz val="16"/>
      <name val="TH Sarabun New"/>
      <family val="2"/>
    </font>
    <font>
      <sz val="14"/>
      <name val="TH Sarabun New"/>
      <family val="2"/>
    </font>
    <font>
      <sz val="14"/>
      <color theme="1"/>
      <name val="TH Sarabun New"/>
      <family val="2"/>
    </font>
    <font>
      <sz val="14"/>
      <color theme="0"/>
      <name val="TH Sarabun New"/>
      <family val="2"/>
    </font>
    <font>
      <i/>
      <sz val="14"/>
      <color theme="0"/>
      <name val="TH Sarabun New"/>
      <family val="2"/>
    </font>
    <font>
      <b/>
      <sz val="14"/>
      <color theme="1"/>
      <name val="TH Sarabun New"/>
      <family val="2"/>
    </font>
    <font>
      <sz val="14"/>
      <color rgb="FFFF0000"/>
      <name val="TH Sarabun New"/>
      <family val="2"/>
    </font>
    <font>
      <b/>
      <sz val="16"/>
      <color theme="1"/>
      <name val="TH Sarabun New"/>
      <family val="2"/>
    </font>
    <font>
      <b/>
      <i/>
      <sz val="14"/>
      <name val="TH Sarabun New"/>
      <family val="2"/>
    </font>
    <font>
      <b/>
      <i/>
      <sz val="18"/>
      <name val="TH SarabunPSK"/>
      <family val="2"/>
    </font>
    <font>
      <sz val="18"/>
      <name val="TH SarabunPSK"/>
      <family val="2"/>
    </font>
    <font>
      <sz val="16"/>
      <color indexed="8"/>
      <name val="TH SarabunPSK"/>
      <family val="2"/>
    </font>
    <font>
      <sz val="11"/>
      <color indexed="8"/>
      <name val="Tahoma"/>
      <family val="2"/>
      <charset val="222"/>
    </font>
    <font>
      <u/>
      <sz val="18"/>
      <name val="TH SarabunPSK"/>
      <family val="2"/>
    </font>
    <font>
      <b/>
      <sz val="18"/>
      <name val="TH SarabunPSK"/>
      <family val="2"/>
    </font>
    <font>
      <sz val="18"/>
      <name val="Calibri"/>
      <family val="2"/>
    </font>
    <font>
      <sz val="16"/>
      <name val="Cordia New"/>
      <family val="2"/>
    </font>
    <font>
      <i/>
      <sz val="15"/>
      <name val="TH Sarabun New"/>
      <family val="2"/>
    </font>
    <font>
      <b/>
      <i/>
      <sz val="15"/>
      <name val="TH Sarabun New"/>
      <family val="2"/>
    </font>
    <font>
      <sz val="15"/>
      <name val="Cordia New"/>
      <family val="2"/>
    </font>
    <font>
      <sz val="15"/>
      <name val="TH SarabunPSK"/>
      <family val="2"/>
    </font>
    <font>
      <b/>
      <i/>
      <sz val="15"/>
      <color rgb="FFC00000"/>
      <name val="TH Sarabun New"/>
      <family val="2"/>
    </font>
    <font>
      <b/>
      <i/>
      <sz val="15"/>
      <color rgb="FFFF0000"/>
      <name val="TH Sarabun New"/>
      <family val="2"/>
    </font>
    <font>
      <b/>
      <sz val="15"/>
      <name val="TH Sarabun New"/>
      <family val="2"/>
    </font>
    <font>
      <sz val="15"/>
      <name val="TH Sarabun New"/>
      <family val="2"/>
    </font>
    <font>
      <sz val="15"/>
      <color rgb="FFFF0000"/>
      <name val="TH Sarabun New"/>
      <family val="2"/>
    </font>
    <font>
      <i/>
      <sz val="15"/>
      <name val="TH SarabunPSK"/>
      <family val="2"/>
    </font>
    <font>
      <i/>
      <sz val="15"/>
      <color rgb="FF0070C0"/>
      <name val="TH Sarabun New"/>
      <family val="2"/>
    </font>
    <font>
      <b/>
      <sz val="15"/>
      <name val="TH SarabunPSK"/>
      <family val="2"/>
    </font>
    <font>
      <b/>
      <sz val="15"/>
      <color rgb="FFFF0000"/>
      <name val="TH Sarabun New"/>
      <family val="2"/>
    </font>
    <font>
      <b/>
      <sz val="15"/>
      <color indexed="10"/>
      <name val="TH Sarabun New"/>
      <family val="2"/>
    </font>
    <font>
      <sz val="15"/>
      <color theme="1"/>
      <name val="TH Sarabun New"/>
      <family val="2"/>
    </font>
    <font>
      <sz val="15"/>
      <color theme="0"/>
      <name val="TH Sarabun New"/>
      <family val="2"/>
    </font>
    <font>
      <sz val="15"/>
      <color theme="1"/>
      <name val="Cordia New"/>
      <family val="2"/>
      <charset val="222"/>
    </font>
    <font>
      <i/>
      <sz val="16"/>
      <color theme="0"/>
      <name val="TH Sarabun New"/>
      <family val="2"/>
    </font>
    <font>
      <sz val="14"/>
      <color theme="1"/>
      <name val="Symbol"/>
      <family val="1"/>
      <charset val="2"/>
    </font>
    <font>
      <b/>
      <i/>
      <sz val="18"/>
      <color rgb="FFFF0000"/>
      <name val="TH Sarabun New"/>
      <family val="2"/>
    </font>
    <font>
      <sz val="16"/>
      <color rgb="FFFF0000"/>
      <name val="TH Sarabun New"/>
      <family val="2"/>
    </font>
    <font>
      <b/>
      <sz val="14"/>
      <color rgb="FFFF0000"/>
      <name val="TH Sarabun New"/>
      <family val="2"/>
    </font>
    <font>
      <b/>
      <sz val="14"/>
      <color indexed="10"/>
      <name val="TH Sarabun New"/>
      <family val="2"/>
    </font>
    <font>
      <i/>
      <sz val="16"/>
      <color rgb="FFC00000"/>
      <name val="TH Sarabun New"/>
      <family val="2"/>
    </font>
    <font>
      <i/>
      <sz val="14"/>
      <color rgb="FFC00000"/>
      <name val="TH Sarabun New"/>
      <family val="2"/>
    </font>
    <font>
      <b/>
      <sz val="14"/>
      <color theme="1"/>
      <name val="TH SarabunPSK"/>
      <family val="2"/>
    </font>
    <font>
      <b/>
      <u/>
      <sz val="14"/>
      <color theme="1"/>
      <name val="TH SarabunPSK"/>
      <family val="2"/>
    </font>
    <font>
      <b/>
      <u/>
      <sz val="16"/>
      <name val="TH SarabunPSK"/>
      <family val="2"/>
    </font>
    <font>
      <sz val="16"/>
      <color theme="1"/>
      <name val="TH SarabunPSK"/>
      <family val="2"/>
    </font>
    <font>
      <sz val="16"/>
      <color rgb="FFC00000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u/>
      <sz val="14"/>
      <name val="TH SarabunPSK"/>
      <family val="2"/>
    </font>
    <font>
      <b/>
      <u/>
      <sz val="14"/>
      <name val="TH SarabunPSK"/>
      <family val="2"/>
    </font>
    <font>
      <sz val="14"/>
      <color rgb="FFC00000"/>
      <name val="TH SarabunPSK"/>
      <family val="2"/>
    </font>
    <font>
      <sz val="14"/>
      <color theme="1"/>
      <name val="Cordia New"/>
      <family val="2"/>
      <charset val="222"/>
    </font>
    <font>
      <sz val="16"/>
      <color rgb="FFC00000"/>
      <name val="Cordia New"/>
      <family val="2"/>
      <charset val="222"/>
    </font>
    <font>
      <b/>
      <sz val="14"/>
      <color rgb="FFC00000"/>
      <name val="TH SarabunPSK"/>
      <family val="2"/>
    </font>
    <font>
      <b/>
      <sz val="14"/>
      <name val="TH SarabunPSK"/>
      <family val="2"/>
    </font>
    <font>
      <sz val="14"/>
      <name val="Times New Roman"/>
      <family val="1"/>
      <charset val="222"/>
    </font>
    <font>
      <sz val="14"/>
      <color theme="0"/>
      <name val="TH SarabunPSK"/>
      <family val="2"/>
    </font>
    <font>
      <sz val="6"/>
      <name val="Calibri"/>
      <family val="2"/>
    </font>
    <font>
      <sz val="14"/>
      <name val="BrowalliaUPC"/>
      <family val="2"/>
      <charset val="222"/>
    </font>
    <font>
      <b/>
      <u/>
      <sz val="14"/>
      <color rgb="FFC00000"/>
      <name val="TH SarabunPSK"/>
      <family val="2"/>
    </font>
    <font>
      <b/>
      <i/>
      <u/>
      <sz val="14"/>
      <color rgb="FFFF0000"/>
      <name val="TH SarabunPSK"/>
      <family val="2"/>
    </font>
    <font>
      <sz val="14"/>
      <color rgb="FFFF0000"/>
      <name val="TH SarabunPSK"/>
      <family val="2"/>
    </font>
    <font>
      <sz val="14"/>
      <color rgb="FFFF0000"/>
      <name val="Cordia New"/>
      <family val="2"/>
      <charset val="222"/>
    </font>
    <font>
      <sz val="14"/>
      <name val="Cordia New"/>
      <family val="2"/>
      <charset val="222"/>
    </font>
    <font>
      <sz val="9"/>
      <name val="Calibri"/>
      <family val="2"/>
    </font>
    <font>
      <b/>
      <sz val="14"/>
      <name val="TH SarabunPSK"/>
      <family val="2"/>
      <charset val="222"/>
    </font>
    <font>
      <sz val="14"/>
      <color theme="0"/>
      <name val="Cordia New"/>
      <family val="2"/>
      <charset val="222"/>
    </font>
    <font>
      <sz val="16"/>
      <name val="Cordia New"/>
      <family val="2"/>
      <charset val="222"/>
    </font>
    <font>
      <sz val="16"/>
      <color theme="0"/>
      <name val="TH SarabunPSK"/>
      <family val="2"/>
    </font>
    <font>
      <b/>
      <sz val="9"/>
      <name val="Calibri"/>
      <family val="2"/>
    </font>
    <font>
      <b/>
      <sz val="14"/>
      <name val="BrowalliaUPC"/>
      <family val="2"/>
      <charset val="222"/>
    </font>
    <font>
      <sz val="14"/>
      <color rgb="FF0000FF"/>
      <name val="TH SarabunPSK"/>
      <family val="2"/>
    </font>
    <font>
      <b/>
      <sz val="14"/>
      <color rgb="FFFF0000"/>
      <name val="TH SarabunPSK"/>
      <family val="2"/>
    </font>
    <font>
      <b/>
      <sz val="9"/>
      <color rgb="FFC00000"/>
      <name val="Calibri"/>
      <family val="2"/>
    </font>
    <font>
      <b/>
      <sz val="14"/>
      <color rgb="FFC00000"/>
      <name val="BrowalliaUPC"/>
      <family val="2"/>
      <charset val="222"/>
    </font>
    <font>
      <i/>
      <sz val="13"/>
      <name val="TH Sarabun New"/>
      <family val="2"/>
    </font>
    <font>
      <b/>
      <sz val="14"/>
      <color rgb="FFFF0000"/>
      <name val="Cordia New"/>
      <family val="2"/>
    </font>
    <font>
      <sz val="9"/>
      <name val="Symbol"/>
      <family val="1"/>
      <charset val="2"/>
    </font>
    <font>
      <sz val="14"/>
      <name val="Symbol"/>
      <family val="1"/>
      <charset val="2"/>
    </font>
    <font>
      <sz val="11"/>
      <color rgb="FF333333"/>
      <name val="Arial"/>
      <family val="2"/>
    </font>
    <font>
      <sz val="14"/>
      <name val="Browallia New"/>
      <family val="2"/>
    </font>
    <font>
      <b/>
      <i/>
      <u/>
      <sz val="16"/>
      <name val="CordiaUPC"/>
      <family val="2"/>
    </font>
    <font>
      <i/>
      <sz val="16"/>
      <name val="Cordia New"/>
      <family val="2"/>
      <charset val="222"/>
    </font>
    <font>
      <sz val="11"/>
      <name val="Arial"/>
      <family val="2"/>
    </font>
    <font>
      <sz val="11"/>
      <name val="Calibri"/>
      <family val="2"/>
      <scheme val="minor"/>
    </font>
    <font>
      <sz val="10"/>
      <name val="Verdana"/>
      <family val="2"/>
    </font>
    <font>
      <sz val="8"/>
      <name val="Arial"/>
      <family val="2"/>
      <charset val="222"/>
    </font>
    <font>
      <b/>
      <sz val="14"/>
      <name val="Browallia New"/>
      <family val="2"/>
    </font>
    <font>
      <i/>
      <sz val="16"/>
      <color theme="1"/>
      <name val="TH SarabunPSK"/>
      <family val="2"/>
    </font>
    <font>
      <b/>
      <i/>
      <sz val="16"/>
      <color theme="1"/>
      <name val="TH SarabunPSK"/>
      <family val="2"/>
    </font>
    <font>
      <i/>
      <sz val="14"/>
      <name val="TH SarabunPSK"/>
      <family val="2"/>
    </font>
    <font>
      <i/>
      <sz val="14"/>
      <color theme="1"/>
      <name val="TH SarabunPSK"/>
      <family val="2"/>
    </font>
    <font>
      <i/>
      <sz val="16"/>
      <color theme="0"/>
      <name val="TH SarabunPSK"/>
      <family val="2"/>
    </font>
    <font>
      <sz val="12"/>
      <color theme="1"/>
      <name val="TH Sarabun New"/>
      <family val="2"/>
    </font>
    <font>
      <sz val="14"/>
      <color theme="1"/>
      <name val="TH Sarabun New"/>
      <family val="2"/>
    </font>
    <font>
      <sz val="14"/>
      <color theme="1" tint="0.14999847407452621"/>
      <name val="TH SarabunPSK"/>
      <family val="2"/>
    </font>
    <font>
      <sz val="14"/>
      <color indexed="8"/>
      <name val="TH SarabunPSK"/>
      <family val="2"/>
    </font>
    <font>
      <sz val="14"/>
      <color theme="2" tint="-0.89999084444715716"/>
      <name val="TH SarabunPSK"/>
      <family val="2"/>
    </font>
    <font>
      <sz val="14"/>
      <name val="Cordia New"/>
      <family val="2"/>
    </font>
    <font>
      <sz val="14"/>
      <color rgb="FF0070C0"/>
      <name val="TH SarabunPSK"/>
      <family val="2"/>
    </font>
    <font>
      <sz val="10"/>
      <name val="Arial"/>
      <family val="2"/>
    </font>
    <font>
      <sz val="12"/>
      <name val="TH Sarabun New"/>
      <family val="2"/>
    </font>
    <font>
      <sz val="10"/>
      <name val="TH Sarabun New"/>
      <family val="2"/>
    </font>
    <font>
      <sz val="11"/>
      <name val="TH Sarabun New"/>
      <family val="2"/>
    </font>
    <font>
      <i/>
      <sz val="11"/>
      <name val="TH Sarabun New"/>
      <family val="2"/>
    </font>
    <font>
      <sz val="14"/>
      <name val="AngsanaUPC"/>
      <family val="1"/>
    </font>
    <font>
      <sz val="11"/>
      <color theme="1"/>
      <name val="Calibri"/>
      <family val="2"/>
      <scheme val="minor"/>
    </font>
    <font>
      <b/>
      <i/>
      <u val="singleAccounting"/>
      <sz val="14"/>
      <color rgb="FFFF0000"/>
      <name val="TH Sarabun New"/>
      <family val="2"/>
    </font>
    <font>
      <sz val="14"/>
      <color theme="1"/>
      <name val="Cordia New"/>
      <family val="2"/>
    </font>
    <font>
      <b/>
      <i/>
      <sz val="14"/>
      <color theme="1"/>
      <name val="TH Sarabun New"/>
      <family val="2"/>
    </font>
    <font>
      <b/>
      <u/>
      <sz val="14"/>
      <color theme="1"/>
      <name val="TH Sarabun New"/>
      <family val="2"/>
    </font>
    <font>
      <b/>
      <i/>
      <u val="singleAccounting"/>
      <sz val="14"/>
      <color rgb="FF7030A0"/>
      <name val="TH Sarabun New"/>
      <family val="2"/>
    </font>
    <font>
      <sz val="14"/>
      <color rgb="FF7030A0"/>
      <name val="TH Sarabun New"/>
      <family val="2"/>
    </font>
    <font>
      <vertAlign val="superscript"/>
      <sz val="14"/>
      <color theme="1"/>
      <name val="TH Sarabun New"/>
      <family val="2"/>
    </font>
    <font>
      <sz val="14"/>
      <color rgb="FF002060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89013336588644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5" tint="0.79998168889431442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</borders>
  <cellStyleXfs count="121">
    <xf numFmtId="0" fontId="0" fillId="0" borderId="0"/>
    <xf numFmtId="164" fontId="17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17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17" fillId="0" borderId="0"/>
    <xf numFmtId="164" fontId="25" fillId="0" borderId="0" applyFont="0" applyFill="0" applyBorder="0" applyAlignment="0" applyProtection="0"/>
    <xf numFmtId="0" fontId="26" fillId="0" borderId="0"/>
    <xf numFmtId="0" fontId="25" fillId="0" borderId="0"/>
    <xf numFmtId="0" fontId="27" fillId="0" borderId="0"/>
    <xf numFmtId="164" fontId="17" fillId="0" borderId="0" applyFont="0" applyFill="0" applyBorder="0" applyAlignment="0" applyProtection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3" fillId="0" borderId="0"/>
    <xf numFmtId="164" fontId="15" fillId="0" borderId="0" applyFont="0" applyFill="0" applyBorder="0" applyAlignment="0" applyProtection="0"/>
    <xf numFmtId="0" fontId="15" fillId="0" borderId="0"/>
    <xf numFmtId="164" fontId="2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43" fontId="22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7" fillId="0" borderId="0" applyFont="0" applyFill="0" applyBorder="0" applyAlignment="0" applyProtection="0"/>
    <xf numFmtId="0" fontId="17" fillId="0" borderId="0"/>
    <xf numFmtId="164" fontId="12" fillId="0" borderId="0" applyFont="0" applyFill="0" applyBorder="0" applyAlignment="0" applyProtection="0"/>
    <xf numFmtId="0" fontId="12" fillId="0" borderId="0"/>
    <xf numFmtId="164" fontId="11" fillId="0" borderId="0" applyFont="0" applyFill="0" applyBorder="0" applyAlignment="0" applyProtection="0"/>
    <xf numFmtId="0" fontId="11" fillId="0" borderId="0"/>
    <xf numFmtId="164" fontId="10" fillId="0" borderId="0" applyFont="0" applyFill="0" applyBorder="0" applyAlignment="0" applyProtection="0"/>
    <xf numFmtId="0" fontId="10" fillId="0" borderId="0"/>
    <xf numFmtId="0" fontId="17" fillId="0" borderId="0"/>
    <xf numFmtId="164" fontId="17" fillId="0" borderId="0" applyFont="0" applyFill="0" applyBorder="0" applyAlignment="0" applyProtection="0"/>
    <xf numFmtId="0" fontId="25" fillId="0" borderId="0"/>
    <xf numFmtId="0" fontId="17" fillId="0" borderId="0"/>
    <xf numFmtId="164" fontId="9" fillId="0" borderId="0" applyFont="0" applyFill="0" applyBorder="0" applyAlignment="0" applyProtection="0"/>
    <xf numFmtId="0" fontId="9" fillId="0" borderId="0"/>
    <xf numFmtId="0" fontId="20" fillId="0" borderId="0"/>
    <xf numFmtId="0" fontId="17" fillId="0" borderId="0"/>
    <xf numFmtId="183" fontId="1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40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4" fontId="140" fillId="0" borderId="0" applyFont="0" applyFill="0" applyBorder="0" applyAlignment="0" applyProtection="0"/>
    <xf numFmtId="43" fontId="142" fillId="0" borderId="0" applyFont="0" applyFill="0" applyBorder="0" applyAlignment="0" applyProtection="0"/>
    <xf numFmtId="0" fontId="140" fillId="0" borderId="0"/>
    <xf numFmtId="164" fontId="140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42" fillId="0" borderId="0" applyFont="0" applyFill="0" applyBorder="0" applyAlignment="0" applyProtection="0"/>
    <xf numFmtId="183" fontId="140" fillId="0" borderId="0" applyFont="0" applyFill="0" applyBorder="0" applyAlignment="0" applyProtection="0"/>
    <xf numFmtId="164" fontId="148" fillId="0" borderId="0" applyFont="0" applyFill="0" applyBorder="0" applyAlignment="0" applyProtection="0"/>
    <xf numFmtId="164" fontId="142" fillId="0" borderId="0" applyFont="0" applyFill="0" applyBorder="0" applyAlignment="0" applyProtection="0"/>
    <xf numFmtId="0" fontId="142" fillId="0" borderId="0"/>
    <xf numFmtId="0" fontId="140" fillId="0" borderId="0"/>
    <xf numFmtId="164" fontId="140" fillId="0" borderId="0" applyFont="0" applyFill="0" applyBorder="0" applyAlignment="0" applyProtection="0"/>
    <xf numFmtId="164" fontId="148" fillId="0" borderId="0" applyFont="0" applyFill="0" applyBorder="0" applyAlignment="0" applyProtection="0"/>
    <xf numFmtId="0" fontId="148" fillId="0" borderId="0"/>
    <xf numFmtId="164" fontId="140" fillId="0" borderId="0" applyFont="0" applyFill="0" applyBorder="0" applyAlignment="0" applyProtection="0"/>
    <xf numFmtId="168" fontId="142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17" fillId="0" borderId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17" fillId="0" borderId="0" applyFont="0" applyFill="0" applyBorder="0" applyAlignment="0" applyProtection="0"/>
    <xf numFmtId="168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2634">
    <xf numFmtId="0" fontId="0" fillId="0" borderId="0" xfId="0"/>
    <xf numFmtId="0" fontId="18" fillId="0" borderId="0" xfId="0" applyFont="1"/>
    <xf numFmtId="0" fontId="21" fillId="0" borderId="0" xfId="0" applyFont="1" applyAlignment="1">
      <alignment horizontal="center"/>
    </xf>
    <xf numFmtId="0" fontId="23" fillId="0" borderId="0" xfId="0" applyFont="1"/>
    <xf numFmtId="0" fontId="32" fillId="0" borderId="0" xfId="2" applyFont="1" applyAlignment="1">
      <alignment horizontal="center" vertical="center"/>
    </xf>
    <xf numFmtId="0" fontId="29" fillId="0" borderId="2" xfId="0" applyFont="1" applyBorder="1" applyAlignment="1">
      <alignment horizontal="left" vertical="top"/>
    </xf>
    <xf numFmtId="0" fontId="29" fillId="0" borderId="2" xfId="1" applyNumberFormat="1" applyFont="1" applyBorder="1" applyAlignment="1">
      <alignment horizontal="left" vertical="top"/>
    </xf>
    <xf numFmtId="0" fontId="33" fillId="0" borderId="0" xfId="1" applyNumberFormat="1" applyFont="1" applyAlignment="1">
      <alignment horizontal="center" vertical="center"/>
    </xf>
    <xf numFmtId="0" fontId="28" fillId="0" borderId="0" xfId="1" applyNumberFormat="1" applyFont="1" applyFill="1" applyAlignment="1">
      <alignment vertical="center"/>
    </xf>
    <xf numFmtId="0" fontId="28" fillId="0" borderId="0" xfId="1" applyNumberFormat="1" applyFont="1" applyAlignment="1">
      <alignment vertical="center"/>
    </xf>
    <xf numFmtId="0" fontId="28" fillId="0" borderId="0" xfId="1" applyNumberFormat="1" applyFont="1" applyFill="1" applyBorder="1" applyAlignment="1">
      <alignment horizontal="left" vertical="center"/>
    </xf>
    <xf numFmtId="0" fontId="29" fillId="0" borderId="1" xfId="0" applyFont="1" applyBorder="1" applyAlignment="1">
      <alignment vertical="top"/>
    </xf>
    <xf numFmtId="0" fontId="28" fillId="0" borderId="1" xfId="1" applyNumberFormat="1" applyFont="1" applyFill="1" applyBorder="1" applyAlignment="1">
      <alignment vertical="top"/>
    </xf>
    <xf numFmtId="0" fontId="28" fillId="0" borderId="1" xfId="1" applyNumberFormat="1" applyFont="1" applyBorder="1" applyAlignment="1">
      <alignment vertical="top"/>
    </xf>
    <xf numFmtId="0" fontId="28" fillId="0" borderId="1" xfId="1" applyNumberFormat="1" applyFont="1" applyFill="1" applyBorder="1" applyAlignment="1">
      <alignment vertical="center"/>
    </xf>
    <xf numFmtId="0" fontId="28" fillId="0" borderId="2" xfId="1" applyNumberFormat="1" applyFont="1" applyFill="1" applyBorder="1" applyAlignment="1">
      <alignment vertical="top"/>
    </xf>
    <xf numFmtId="0" fontId="28" fillId="0" borderId="1" xfId="1" applyNumberFormat="1" applyFont="1" applyFill="1" applyBorder="1" applyAlignment="1">
      <alignment horizontal="right" vertical="top"/>
    </xf>
    <xf numFmtId="0" fontId="28" fillId="0" borderId="1" xfId="1" applyNumberFormat="1" applyFont="1" applyFill="1" applyBorder="1" applyAlignment="1">
      <alignment horizontal="center" vertical="top"/>
    </xf>
    <xf numFmtId="0" fontId="28" fillId="0" borderId="2" xfId="1" applyNumberFormat="1" applyFont="1" applyFill="1" applyBorder="1" applyAlignment="1">
      <alignment vertical="center"/>
    </xf>
    <xf numFmtId="0" fontId="28" fillId="0" borderId="2" xfId="1" applyNumberFormat="1" applyFont="1" applyFill="1" applyBorder="1" applyAlignment="1">
      <alignment horizontal="left" vertical="top"/>
    </xf>
    <xf numFmtId="0" fontId="32" fillId="0" borderId="2" xfId="0" applyFont="1" applyBorder="1" applyAlignment="1">
      <alignment vertical="top"/>
    </xf>
    <xf numFmtId="0" fontId="32" fillId="0" borderId="2" xfId="0" quotePrefix="1" applyFont="1" applyBorder="1" applyAlignment="1">
      <alignment horizontal="center" vertical="top"/>
    </xf>
    <xf numFmtId="0" fontId="29" fillId="0" borderId="2" xfId="1" applyNumberFormat="1" applyFont="1" applyBorder="1" applyAlignment="1">
      <alignment horizontal="center" vertical="top"/>
    </xf>
    <xf numFmtId="17" fontId="29" fillId="0" borderId="2" xfId="1" applyNumberFormat="1" applyFont="1" applyBorder="1" applyAlignment="1">
      <alignment vertical="top"/>
    </xf>
    <xf numFmtId="164" fontId="32" fillId="0" borderId="0" xfId="1" applyFont="1" applyAlignment="1">
      <alignment vertical="center"/>
    </xf>
    <xf numFmtId="0" fontId="32" fillId="0" borderId="0" xfId="0" applyFont="1" applyAlignment="1">
      <alignment vertical="center"/>
    </xf>
    <xf numFmtId="0" fontId="32" fillId="0" borderId="0" xfId="1" applyNumberFormat="1" applyFont="1" applyAlignment="1">
      <alignment vertical="center"/>
    </xf>
    <xf numFmtId="0" fontId="32" fillId="0" borderId="0" xfId="1" applyNumberFormat="1" applyFont="1" applyAlignment="1">
      <alignment horizontal="center" vertical="center"/>
    </xf>
    <xf numFmtId="164" fontId="31" fillId="0" borderId="23" xfId="1" applyFont="1" applyFill="1" applyBorder="1" applyAlignment="1">
      <alignment horizontal="center" vertical="center"/>
    </xf>
    <xf numFmtId="164" fontId="28" fillId="0" borderId="25" xfId="1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vertical="center"/>
    </xf>
    <xf numFmtId="0" fontId="28" fillId="0" borderId="0" xfId="0" applyFont="1"/>
    <xf numFmtId="0" fontId="28" fillId="0" borderId="1" xfId="0" applyFont="1" applyBorder="1" applyAlignment="1">
      <alignment horizontal="left" vertical="top"/>
    </xf>
    <xf numFmtId="0" fontId="28" fillId="0" borderId="1" xfId="0" applyFont="1" applyBorder="1" applyAlignment="1">
      <alignment vertical="top"/>
    </xf>
    <xf numFmtId="0" fontId="28" fillId="0" borderId="2" xfId="0" applyFont="1" applyBorder="1" applyAlignment="1">
      <alignment horizontal="left" vertical="top"/>
    </xf>
    <xf numFmtId="0" fontId="28" fillId="0" borderId="2" xfId="0" applyFont="1" applyBorder="1" applyAlignment="1">
      <alignment vertical="top"/>
    </xf>
    <xf numFmtId="0" fontId="28" fillId="0" borderId="1" xfId="0" applyFont="1" applyBorder="1" applyAlignment="1">
      <alignment vertical="center"/>
    </xf>
    <xf numFmtId="0" fontId="28" fillId="0" borderId="2" xfId="0" applyFont="1" applyBorder="1"/>
    <xf numFmtId="0" fontId="28" fillId="0" borderId="2" xfId="0" applyFont="1" applyBorder="1" applyAlignment="1">
      <alignment horizontal="right"/>
    </xf>
    <xf numFmtId="3" fontId="28" fillId="0" borderId="2" xfId="0" applyNumberFormat="1" applyFont="1" applyBorder="1" applyAlignment="1">
      <alignment vertical="center"/>
    </xf>
    <xf numFmtId="0" fontId="28" fillId="0" borderId="2" xfId="0" applyFont="1" applyBorder="1" applyAlignment="1">
      <alignment vertical="center"/>
    </xf>
    <xf numFmtId="49" fontId="28" fillId="0" borderId="1" xfId="1" applyNumberFormat="1" applyFont="1" applyFill="1" applyBorder="1" applyAlignment="1">
      <alignment vertical="top"/>
    </xf>
    <xf numFmtId="49" fontId="28" fillId="0" borderId="2" xfId="1" applyNumberFormat="1" applyFont="1" applyFill="1" applyBorder="1" applyAlignment="1">
      <alignment vertical="top"/>
    </xf>
    <xf numFmtId="0" fontId="29" fillId="0" borderId="2" xfId="1" applyNumberFormat="1" applyFont="1" applyBorder="1" applyAlignment="1">
      <alignment horizontal="center"/>
    </xf>
    <xf numFmtId="0" fontId="32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2" xfId="0" applyFont="1" applyBorder="1" applyAlignment="1">
      <alignment vertical="top"/>
    </xf>
    <xf numFmtId="0" fontId="29" fillId="0" borderId="2" xfId="0" applyFont="1" applyBorder="1" applyAlignment="1">
      <alignment vertical="center"/>
    </xf>
    <xf numFmtId="3" fontId="29" fillId="0" borderId="2" xfId="0" applyNumberFormat="1" applyFont="1" applyBorder="1" applyAlignment="1">
      <alignment vertical="center"/>
    </xf>
    <xf numFmtId="164" fontId="28" fillId="0" borderId="4" xfId="1" applyFont="1" applyFill="1" applyBorder="1" applyAlignment="1">
      <alignment horizontal="center" vertical="center"/>
    </xf>
    <xf numFmtId="164" fontId="28" fillId="0" borderId="21" xfId="1" applyFont="1" applyFill="1" applyBorder="1" applyAlignment="1">
      <alignment horizontal="center" vertical="center"/>
    </xf>
    <xf numFmtId="0" fontId="38" fillId="0" borderId="0" xfId="0" applyFont="1"/>
    <xf numFmtId="165" fontId="38" fillId="0" borderId="1" xfId="3" applyNumberFormat="1" applyFont="1" applyFill="1" applyBorder="1" applyAlignment="1">
      <alignment horizontal="centerContinuous"/>
    </xf>
    <xf numFmtId="164" fontId="38" fillId="0" borderId="18" xfId="1" applyFont="1" applyFill="1" applyBorder="1" applyAlignment="1">
      <alignment horizontal="center" vertical="center"/>
    </xf>
    <xf numFmtId="164" fontId="38" fillId="0" borderId="1" xfId="1" applyFont="1" applyFill="1" applyBorder="1" applyAlignment="1">
      <alignment horizontal="center" vertical="center"/>
    </xf>
    <xf numFmtId="164" fontId="38" fillId="0" borderId="19" xfId="1" applyFont="1" applyFill="1" applyBorder="1" applyAlignment="1">
      <alignment horizontal="center" vertical="center"/>
    </xf>
    <xf numFmtId="164" fontId="40" fillId="0" borderId="19" xfId="1" applyFont="1" applyFill="1" applyBorder="1" applyAlignment="1">
      <alignment horizontal="center" vertical="center"/>
    </xf>
    <xf numFmtId="165" fontId="43" fillId="0" borderId="2" xfId="3" applyNumberFormat="1" applyFont="1" applyFill="1" applyBorder="1" applyAlignment="1">
      <alignment horizontal="centerContinuous"/>
    </xf>
    <xf numFmtId="164" fontId="43" fillId="0" borderId="12" xfId="1" applyFont="1" applyFill="1" applyBorder="1" applyAlignment="1">
      <alignment horizontal="center" vertical="center"/>
    </xf>
    <xf numFmtId="164" fontId="43" fillId="0" borderId="2" xfId="1" applyFont="1" applyFill="1" applyBorder="1" applyAlignment="1">
      <alignment horizontal="center" vertical="center"/>
    </xf>
    <xf numFmtId="164" fontId="44" fillId="0" borderId="11" xfId="1" applyFont="1" applyFill="1" applyBorder="1" applyAlignment="1">
      <alignment horizontal="left" vertical="center"/>
    </xf>
    <xf numFmtId="0" fontId="43" fillId="0" borderId="0" xfId="0" applyFont="1"/>
    <xf numFmtId="0" fontId="43" fillId="0" borderId="2" xfId="0" applyFont="1" applyBorder="1"/>
    <xf numFmtId="0" fontId="43" fillId="0" borderId="11" xfId="0" applyFont="1" applyBorder="1" applyAlignment="1">
      <alignment horizontal="center" vertical="center"/>
    </xf>
    <xf numFmtId="0" fontId="43" fillId="0" borderId="10" xfId="0" quotePrefix="1" applyFont="1" applyBorder="1" applyAlignment="1">
      <alignment horizontal="center" vertical="center"/>
    </xf>
    <xf numFmtId="0" fontId="43" fillId="0" borderId="2" xfId="0" applyFont="1" applyBorder="1" applyAlignment="1">
      <alignment horizontal="left" vertical="center"/>
    </xf>
    <xf numFmtId="0" fontId="43" fillId="0" borderId="10" xfId="0" applyFont="1" applyBorder="1" applyAlignment="1">
      <alignment horizontal="center" vertical="center"/>
    </xf>
    <xf numFmtId="164" fontId="43" fillId="0" borderId="11" xfId="1" applyFont="1" applyFill="1" applyBorder="1" applyAlignment="1">
      <alignment horizontal="center" vertical="center"/>
    </xf>
    <xf numFmtId="2" fontId="43" fillId="0" borderId="10" xfId="0" applyNumberFormat="1" applyFont="1" applyBorder="1" applyAlignment="1">
      <alignment horizontal="right" vertical="center"/>
    </xf>
    <xf numFmtId="164" fontId="43" fillId="0" borderId="0" xfId="1" applyFont="1"/>
    <xf numFmtId="0" fontId="43" fillId="0" borderId="10" xfId="0" applyFont="1" applyBorder="1" applyAlignment="1">
      <alignment horizontal="right" vertical="center"/>
    </xf>
    <xf numFmtId="43" fontId="43" fillId="0" borderId="0" xfId="0" applyNumberFormat="1" applyFont="1"/>
    <xf numFmtId="2" fontId="44" fillId="0" borderId="13" xfId="0" applyNumberFormat="1" applyFont="1" applyBorder="1" applyAlignment="1">
      <alignment horizontal="right" vertical="center"/>
    </xf>
    <xf numFmtId="0" fontId="43" fillId="0" borderId="0" xfId="0" applyFont="1" applyAlignment="1">
      <alignment horizontal="left" vertical="center"/>
    </xf>
    <xf numFmtId="0" fontId="43" fillId="0" borderId="14" xfId="0" applyFont="1" applyBorder="1" applyAlignment="1">
      <alignment horizontal="center" vertical="center"/>
    </xf>
    <xf numFmtId="0" fontId="43" fillId="0" borderId="13" xfId="0" applyFont="1" applyBorder="1" applyAlignment="1">
      <alignment horizontal="center" vertical="center"/>
    </xf>
    <xf numFmtId="165" fontId="43" fillId="0" borderId="0" xfId="3" applyNumberFormat="1" applyFont="1" applyFill="1" applyBorder="1" applyAlignment="1">
      <alignment horizontal="centerContinuous"/>
    </xf>
    <xf numFmtId="164" fontId="43" fillId="0" borderId="15" xfId="1" applyFont="1" applyFill="1" applyBorder="1" applyAlignment="1">
      <alignment vertical="center"/>
    </xf>
    <xf numFmtId="164" fontId="43" fillId="0" borderId="0" xfId="1" applyFont="1" applyFill="1" applyBorder="1" applyAlignment="1">
      <alignment vertical="center"/>
    </xf>
    <xf numFmtId="164" fontId="43" fillId="0" borderId="14" xfId="1" applyFont="1" applyFill="1" applyBorder="1" applyAlignment="1">
      <alignment horizontal="center" vertical="center"/>
    </xf>
    <xf numFmtId="164" fontId="45" fillId="0" borderId="14" xfId="1" applyFont="1" applyFill="1" applyBorder="1" applyAlignment="1">
      <alignment horizontal="left" vertical="center"/>
    </xf>
    <xf numFmtId="0" fontId="43" fillId="2" borderId="8" xfId="0" applyFont="1" applyFill="1" applyBorder="1" applyAlignment="1">
      <alignment horizontal="center" vertical="center"/>
    </xf>
    <xf numFmtId="0" fontId="43" fillId="2" borderId="26" xfId="0" applyFont="1" applyFill="1" applyBorder="1" applyAlignment="1">
      <alignment horizontal="center" vertical="center"/>
    </xf>
    <xf numFmtId="164" fontId="43" fillId="2" borderId="26" xfId="1" applyFont="1" applyFill="1" applyBorder="1" applyAlignment="1">
      <alignment horizontal="center" vertical="center"/>
    </xf>
    <xf numFmtId="164" fontId="43" fillId="2" borderId="9" xfId="1" applyFont="1" applyFill="1" applyBorder="1" applyAlignment="1">
      <alignment horizontal="center" vertical="center"/>
    </xf>
    <xf numFmtId="164" fontId="43" fillId="2" borderId="25" xfId="1" applyFont="1" applyFill="1" applyBorder="1" applyAlignment="1">
      <alignment horizontal="center" vertical="center"/>
    </xf>
    <xf numFmtId="0" fontId="43" fillId="0" borderId="0" xfId="0" applyFont="1" applyAlignment="1">
      <alignment horizontal="center"/>
    </xf>
    <xf numFmtId="0" fontId="39" fillId="0" borderId="1" xfId="0" applyFont="1" applyBorder="1" applyAlignment="1">
      <alignment vertical="center"/>
    </xf>
    <xf numFmtId="164" fontId="44" fillId="0" borderId="17" xfId="1" applyFont="1" applyFill="1" applyBorder="1" applyAlignment="1">
      <alignment horizontal="left" vertical="center"/>
    </xf>
    <xf numFmtId="0" fontId="46" fillId="0" borderId="17" xfId="0" applyFont="1" applyBorder="1" applyAlignment="1">
      <alignment horizontal="center" vertical="center"/>
    </xf>
    <xf numFmtId="0" fontId="42" fillId="0" borderId="10" xfId="0" applyFont="1" applyBorder="1" applyAlignment="1">
      <alignment horizontal="center"/>
    </xf>
    <xf numFmtId="164" fontId="44" fillId="0" borderId="10" xfId="1" applyFont="1" applyFill="1" applyBorder="1" applyAlignment="1">
      <alignment horizontal="left" vertical="center"/>
    </xf>
    <xf numFmtId="0" fontId="43" fillId="0" borderId="17" xfId="0" applyFont="1" applyBorder="1" applyAlignment="1">
      <alignment horizontal="center" vertical="center"/>
    </xf>
    <xf numFmtId="0" fontId="43" fillId="3" borderId="10" xfId="0" applyFont="1" applyFill="1" applyBorder="1" applyAlignment="1">
      <alignment horizontal="center"/>
    </xf>
    <xf numFmtId="0" fontId="42" fillId="3" borderId="2" xfId="0" applyFont="1" applyFill="1" applyBorder="1" applyAlignment="1">
      <alignment horizontal="left" vertical="center"/>
    </xf>
    <xf numFmtId="0" fontId="44" fillId="0" borderId="10" xfId="0" applyFont="1" applyBorder="1"/>
    <xf numFmtId="164" fontId="44" fillId="0" borderId="16" xfId="1" applyFont="1" applyFill="1" applyBorder="1" applyAlignment="1">
      <alignment horizontal="right" vertical="center"/>
    </xf>
    <xf numFmtId="0" fontId="43" fillId="0" borderId="3" xfId="0" applyFont="1" applyBorder="1" applyAlignment="1">
      <alignment horizontal="left"/>
    </xf>
    <xf numFmtId="171" fontId="43" fillId="0" borderId="16" xfId="3" applyNumberFormat="1" applyFont="1" applyFill="1" applyBorder="1"/>
    <xf numFmtId="0" fontId="43" fillId="0" borderId="16" xfId="0" applyFont="1" applyBorder="1" applyAlignment="1">
      <alignment horizontal="center"/>
    </xf>
    <xf numFmtId="43" fontId="43" fillId="0" borderId="3" xfId="3" applyFont="1" applyFill="1" applyBorder="1"/>
    <xf numFmtId="164" fontId="43" fillId="0" borderId="29" xfId="1" applyFont="1" applyFill="1" applyBorder="1" applyAlignment="1">
      <alignment horizontal="center" vertical="center"/>
    </xf>
    <xf numFmtId="43" fontId="43" fillId="0" borderId="31" xfId="3" applyFont="1" applyFill="1" applyBorder="1"/>
    <xf numFmtId="164" fontId="43" fillId="0" borderId="3" xfId="1" applyFont="1" applyFill="1" applyBorder="1" applyAlignment="1">
      <alignment horizontal="center" vertical="center"/>
    </xf>
    <xf numFmtId="0" fontId="44" fillId="0" borderId="16" xfId="0" applyFont="1" applyBorder="1"/>
    <xf numFmtId="164" fontId="43" fillId="2" borderId="20" xfId="4" applyFont="1" applyFill="1" applyBorder="1" applyAlignment="1">
      <alignment horizontal="center" vertical="center"/>
    </xf>
    <xf numFmtId="171" fontId="43" fillId="2" borderId="20" xfId="4" applyNumberFormat="1" applyFont="1" applyFill="1" applyBorder="1" applyAlignment="1">
      <alignment horizontal="center" vertical="center"/>
    </xf>
    <xf numFmtId="164" fontId="46" fillId="2" borderId="20" xfId="4" applyFont="1" applyFill="1" applyBorder="1" applyAlignment="1">
      <alignment horizontal="center" vertical="center"/>
    </xf>
    <xf numFmtId="164" fontId="43" fillId="2" borderId="8" xfId="4" applyFont="1" applyFill="1" applyBorder="1" applyAlignment="1">
      <alignment horizontal="center" vertical="center"/>
    </xf>
    <xf numFmtId="171" fontId="43" fillId="2" borderId="26" xfId="4" applyNumberFormat="1" applyFont="1" applyFill="1" applyBorder="1" applyAlignment="1">
      <alignment horizontal="center" vertical="center"/>
    </xf>
    <xf numFmtId="164" fontId="43" fillId="2" borderId="26" xfId="4" applyFont="1" applyFill="1" applyBorder="1" applyAlignment="1">
      <alignment horizontal="center" vertical="center"/>
    </xf>
    <xf numFmtId="164" fontId="43" fillId="2" borderId="9" xfId="4" applyFont="1" applyFill="1" applyBorder="1" applyAlignment="1">
      <alignment horizontal="center" vertical="center"/>
    </xf>
    <xf numFmtId="43" fontId="43" fillId="0" borderId="2" xfId="3" applyFont="1" applyFill="1" applyBorder="1"/>
    <xf numFmtId="43" fontId="43" fillId="0" borderId="41" xfId="3" applyFont="1" applyFill="1" applyBorder="1"/>
    <xf numFmtId="0" fontId="43" fillId="3" borderId="17" xfId="0" applyFont="1" applyFill="1" applyBorder="1" applyAlignment="1">
      <alignment horizontal="center"/>
    </xf>
    <xf numFmtId="164" fontId="44" fillId="0" borderId="10" xfId="1" applyFont="1" applyFill="1" applyBorder="1" applyAlignment="1">
      <alignment horizontal="right" vertical="center"/>
    </xf>
    <xf numFmtId="0" fontId="43" fillId="0" borderId="2" xfId="0" applyFont="1" applyBorder="1" applyAlignment="1">
      <alignment horizontal="left"/>
    </xf>
    <xf numFmtId="171" fontId="43" fillId="0" borderId="10" xfId="3" applyNumberFormat="1" applyFont="1" applyFill="1" applyBorder="1"/>
    <xf numFmtId="0" fontId="43" fillId="0" borderId="10" xfId="0" applyFont="1" applyBorder="1" applyAlignment="1">
      <alignment horizontal="center"/>
    </xf>
    <xf numFmtId="0" fontId="40" fillId="0" borderId="0" xfId="0" applyFont="1" applyAlignment="1">
      <alignment horizontal="center"/>
    </xf>
    <xf numFmtId="0" fontId="46" fillId="0" borderId="1" xfId="0" applyFont="1" applyBorder="1" applyAlignment="1">
      <alignment horizontal="left" vertical="center"/>
    </xf>
    <xf numFmtId="0" fontId="38" fillId="0" borderId="19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48" fillId="0" borderId="1" xfId="0" applyFont="1" applyBorder="1" applyAlignment="1">
      <alignment horizontal="left" vertical="center"/>
    </xf>
    <xf numFmtId="166" fontId="43" fillId="0" borderId="2" xfId="0" applyNumberFormat="1" applyFont="1" applyBorder="1" applyAlignment="1">
      <alignment horizontal="left" vertical="center"/>
    </xf>
    <xf numFmtId="0" fontId="42" fillId="0" borderId="0" xfId="0" applyFont="1"/>
    <xf numFmtId="0" fontId="43" fillId="0" borderId="2" xfId="16" applyFont="1" applyBorder="1" applyAlignment="1">
      <alignment horizontal="left"/>
    </xf>
    <xf numFmtId="0" fontId="50" fillId="0" borderId="0" xfId="20" applyFont="1"/>
    <xf numFmtId="0" fontId="51" fillId="0" borderId="0" xfId="20" applyFont="1"/>
    <xf numFmtId="0" fontId="19" fillId="0" borderId="0" xfId="20" applyFont="1"/>
    <xf numFmtId="164" fontId="52" fillId="0" borderId="0" xfId="17" applyFont="1" applyFill="1" applyAlignment="1" applyProtection="1">
      <alignment horizontal="center"/>
      <protection locked="0"/>
    </xf>
    <xf numFmtId="0" fontId="52" fillId="0" borderId="0" xfId="28" applyFont="1" applyAlignment="1" applyProtection="1">
      <alignment horizontal="center"/>
      <protection locked="0"/>
    </xf>
    <xf numFmtId="164" fontId="52" fillId="0" borderId="0" xfId="17" applyFont="1" applyFill="1" applyBorder="1" applyAlignment="1" applyProtection="1">
      <alignment horizontal="center"/>
      <protection locked="0"/>
    </xf>
    <xf numFmtId="164" fontId="52" fillId="0" borderId="17" xfId="17" applyFont="1" applyFill="1" applyBorder="1" applyAlignment="1" applyProtection="1">
      <alignment horizontal="center"/>
      <protection locked="0"/>
    </xf>
    <xf numFmtId="164" fontId="52" fillId="0" borderId="10" xfId="17" applyFont="1" applyFill="1" applyBorder="1" applyAlignment="1" applyProtection="1">
      <alignment horizontal="center"/>
      <protection locked="0"/>
    </xf>
    <xf numFmtId="0" fontId="19" fillId="0" borderId="0" xfId="20" applyFont="1" applyAlignment="1">
      <alignment horizontal="right"/>
    </xf>
    <xf numFmtId="43" fontId="51" fillId="0" borderId="0" xfId="20" applyNumberFormat="1" applyFont="1"/>
    <xf numFmtId="173" fontId="52" fillId="0" borderId="0" xfId="28" applyNumberFormat="1" applyFont="1" applyAlignment="1" applyProtection="1">
      <alignment horizontal="center"/>
      <protection locked="0"/>
    </xf>
    <xf numFmtId="164" fontId="51" fillId="0" borderId="0" xfId="20" applyNumberFormat="1" applyFont="1"/>
    <xf numFmtId="173" fontId="52" fillId="0" borderId="42" xfId="28" applyNumberFormat="1" applyFont="1" applyBorder="1" applyAlignment="1" applyProtection="1">
      <alignment horizontal="center"/>
      <protection locked="0"/>
    </xf>
    <xf numFmtId="0" fontId="52" fillId="0" borderId="0" xfId="28" applyFont="1" applyAlignment="1" applyProtection="1">
      <alignment horizontal="left"/>
      <protection locked="0"/>
    </xf>
    <xf numFmtId="173" fontId="52" fillId="0" borderId="43" xfId="28" applyNumberFormat="1" applyFont="1" applyBorder="1" applyAlignment="1" applyProtection="1">
      <alignment horizontal="center"/>
      <protection locked="0"/>
    </xf>
    <xf numFmtId="164" fontId="52" fillId="0" borderId="10" xfId="17" applyFont="1" applyFill="1" applyBorder="1" applyAlignment="1" applyProtection="1">
      <alignment horizontal="center" vertical="center"/>
      <protection locked="0"/>
    </xf>
    <xf numFmtId="164" fontId="52" fillId="0" borderId="0" xfId="17" applyFont="1" applyFill="1" applyBorder="1" applyAlignment="1" applyProtection="1">
      <alignment horizontal="center" vertical="center"/>
      <protection locked="0"/>
    </xf>
    <xf numFmtId="173" fontId="52" fillId="0" borderId="43" xfId="28" applyNumberFormat="1" applyFont="1" applyBorder="1" applyAlignment="1" applyProtection="1">
      <alignment horizontal="center" vertical="center"/>
      <protection locked="0"/>
    </xf>
    <xf numFmtId="173" fontId="52" fillId="0" borderId="0" xfId="28" applyNumberFormat="1" applyFont="1" applyAlignment="1" applyProtection="1">
      <alignment horizontal="center" vertical="center"/>
      <protection locked="0"/>
    </xf>
    <xf numFmtId="0" fontId="19" fillId="0" borderId="0" xfId="20" applyFont="1" applyAlignment="1">
      <alignment horizontal="left"/>
    </xf>
    <xf numFmtId="0" fontId="51" fillId="0" borderId="0" xfId="20" applyFont="1" applyAlignment="1">
      <alignment horizontal="center"/>
    </xf>
    <xf numFmtId="0" fontId="51" fillId="0" borderId="0" xfId="20" applyFont="1" applyAlignment="1">
      <alignment horizontal="left"/>
    </xf>
    <xf numFmtId="164" fontId="51" fillId="0" borderId="0" xfId="20" applyNumberFormat="1" applyFont="1" applyAlignment="1">
      <alignment horizontal="left"/>
    </xf>
    <xf numFmtId="0" fontId="54" fillId="0" borderId="0" xfId="20" applyFont="1"/>
    <xf numFmtId="0" fontId="51" fillId="0" borderId="0" xfId="20" applyFont="1" applyAlignment="1">
      <alignment horizontal="right"/>
    </xf>
    <xf numFmtId="0" fontId="50" fillId="0" borderId="5" xfId="20" applyFont="1" applyBorder="1"/>
    <xf numFmtId="0" fontId="50" fillId="0" borderId="6" xfId="20" applyFont="1" applyBorder="1"/>
    <xf numFmtId="0" fontId="50" fillId="0" borderId="7" xfId="20" applyFont="1" applyBorder="1"/>
    <xf numFmtId="0" fontId="55" fillId="0" borderId="22" xfId="20" applyFont="1" applyBorder="1"/>
    <xf numFmtId="0" fontId="55" fillId="0" borderId="23" xfId="20" applyFont="1" applyBorder="1"/>
    <xf numFmtId="0" fontId="55" fillId="0" borderId="24" xfId="20" applyFont="1" applyBorder="1"/>
    <xf numFmtId="164" fontId="51" fillId="0" borderId="0" xfId="1" applyFont="1"/>
    <xf numFmtId="0" fontId="56" fillId="0" borderId="0" xfId="20" applyFont="1"/>
    <xf numFmtId="164" fontId="52" fillId="0" borderId="27" xfId="17" applyFont="1" applyFill="1" applyBorder="1" applyAlignment="1" applyProtection="1">
      <alignment horizontal="center"/>
      <protection locked="0"/>
    </xf>
    <xf numFmtId="164" fontId="52" fillId="0" borderId="44" xfId="17" applyFont="1" applyFill="1" applyBorder="1" applyAlignment="1" applyProtection="1">
      <alignment horizontal="center"/>
      <protection locked="0"/>
    </xf>
    <xf numFmtId="173" fontId="52" fillId="0" borderId="45" xfId="28" applyNumberFormat="1" applyFont="1" applyBorder="1" applyAlignment="1" applyProtection="1">
      <alignment horizontal="center"/>
      <protection locked="0"/>
    </xf>
    <xf numFmtId="0" fontId="17" fillId="0" borderId="0" xfId="16" applyProtection="1">
      <protection locked="0"/>
    </xf>
    <xf numFmtId="0" fontId="49" fillId="0" borderId="0" xfId="0" applyFont="1"/>
    <xf numFmtId="0" fontId="49" fillId="0" borderId="0" xfId="0" applyFont="1" applyAlignment="1">
      <alignment horizontal="center"/>
    </xf>
    <xf numFmtId="169" fontId="29" fillId="0" borderId="0" xfId="0" applyNumberFormat="1" applyFont="1" applyAlignment="1">
      <alignment horizontal="center" vertical="top"/>
    </xf>
    <xf numFmtId="0" fontId="29" fillId="0" borderId="0" xfId="0" applyFont="1" applyAlignment="1">
      <alignment horizontal="center" vertical="top"/>
    </xf>
    <xf numFmtId="0" fontId="57" fillId="0" borderId="0" xfId="0" applyFont="1"/>
    <xf numFmtId="0" fontId="24" fillId="0" borderId="0" xfId="0" applyFont="1"/>
    <xf numFmtId="0" fontId="19" fillId="0" borderId="0" xfId="0" applyFont="1"/>
    <xf numFmtId="0" fontId="58" fillId="0" borderId="1" xfId="0" applyFont="1" applyBorder="1" applyAlignment="1">
      <alignment horizontal="left" vertical="center"/>
    </xf>
    <xf numFmtId="0" fontId="58" fillId="0" borderId="1" xfId="0" applyFont="1" applyBorder="1" applyAlignment="1">
      <alignment horizontal="center"/>
    </xf>
    <xf numFmtId="0" fontId="59" fillId="0" borderId="1" xfId="0" applyFont="1" applyBorder="1"/>
    <xf numFmtId="0" fontId="58" fillId="0" borderId="1" xfId="0" applyFont="1" applyBorder="1" applyAlignment="1">
      <alignment vertical="center"/>
    </xf>
    <xf numFmtId="3" fontId="58" fillId="0" borderId="1" xfId="0" applyNumberFormat="1" applyFont="1" applyBorder="1"/>
    <xf numFmtId="0" fontId="60" fillId="0" borderId="0" xfId="0" applyFont="1"/>
    <xf numFmtId="0" fontId="61" fillId="0" borderId="0" xfId="0" applyFont="1"/>
    <xf numFmtId="0" fontId="58" fillId="0" borderId="2" xfId="0" applyFont="1" applyBorder="1" applyAlignment="1">
      <alignment horizontal="left" vertical="center"/>
    </xf>
    <xf numFmtId="0" fontId="58" fillId="0" borderId="2" xfId="0" applyFont="1" applyBorder="1" applyAlignment="1">
      <alignment vertical="center"/>
    </xf>
    <xf numFmtId="0" fontId="62" fillId="0" borderId="1" xfId="0" applyFont="1" applyBorder="1" applyAlignment="1">
      <alignment vertical="center"/>
    </xf>
    <xf numFmtId="3" fontId="63" fillId="0" borderId="1" xfId="0" applyNumberFormat="1" applyFont="1" applyBorder="1" applyAlignment="1">
      <alignment horizontal="left" vertical="center"/>
    </xf>
    <xf numFmtId="0" fontId="58" fillId="0" borderId="2" xfId="0" applyFont="1" applyBorder="1" applyAlignment="1">
      <alignment horizontal="center" vertical="center"/>
    </xf>
    <xf numFmtId="0" fontId="58" fillId="0" borderId="2" xfId="1" applyNumberFormat="1" applyFont="1" applyFill="1" applyBorder="1" applyAlignment="1">
      <alignment vertical="center"/>
    </xf>
    <xf numFmtId="3" fontId="58" fillId="0" borderId="2" xfId="0" applyNumberFormat="1" applyFont="1" applyBorder="1" applyAlignment="1">
      <alignment vertical="center"/>
    </xf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58" fillId="0" borderId="2" xfId="0" applyFont="1" applyBorder="1" applyAlignment="1">
      <alignment horizontal="center"/>
    </xf>
    <xf numFmtId="0" fontId="58" fillId="0" borderId="2" xfId="0" applyFont="1" applyBorder="1"/>
    <xf numFmtId="3" fontId="58" fillId="0" borderId="2" xfId="0" applyNumberFormat="1" applyFont="1" applyBorder="1" applyAlignment="1">
      <alignment horizontal="left" vertical="center"/>
    </xf>
    <xf numFmtId="3" fontId="58" fillId="0" borderId="2" xfId="0" applyNumberFormat="1" applyFont="1" applyBorder="1"/>
    <xf numFmtId="0" fontId="59" fillId="0" borderId="2" xfId="0" applyFont="1" applyBorder="1"/>
    <xf numFmtId="0" fontId="58" fillId="0" borderId="2" xfId="0" applyFont="1" applyBorder="1" applyAlignment="1">
      <alignment horizontal="left" vertical="top"/>
    </xf>
    <xf numFmtId="49" fontId="58" fillId="0" borderId="2" xfId="0" applyNumberFormat="1" applyFont="1" applyBorder="1"/>
    <xf numFmtId="0" fontId="58" fillId="0" borderId="2" xfId="0" applyFont="1" applyBorder="1" applyAlignment="1">
      <alignment vertical="top"/>
    </xf>
    <xf numFmtId="3" fontId="58" fillId="0" borderId="3" xfId="0" applyNumberFormat="1" applyFont="1" applyBorder="1"/>
    <xf numFmtId="0" fontId="29" fillId="0" borderId="2" xfId="0" applyFont="1" applyBorder="1" applyAlignment="1">
      <alignment horizontal="center"/>
    </xf>
    <xf numFmtId="49" fontId="29" fillId="0" borderId="2" xfId="0" applyNumberFormat="1" applyFont="1" applyBorder="1"/>
    <xf numFmtId="3" fontId="29" fillId="0" borderId="2" xfId="0" applyNumberFormat="1" applyFont="1" applyBorder="1"/>
    <xf numFmtId="0" fontId="29" fillId="0" borderId="0" xfId="0" applyFont="1" applyAlignment="1">
      <alignment horizontal="center" vertical="center"/>
    </xf>
    <xf numFmtId="49" fontId="29" fillId="0" borderId="0" xfId="0" applyNumberFormat="1" applyFont="1" applyAlignment="1">
      <alignment vertical="center"/>
    </xf>
    <xf numFmtId="0" fontId="36" fillId="0" borderId="0" xfId="0" applyFont="1" applyAlignment="1">
      <alignment vertical="center"/>
    </xf>
    <xf numFmtId="3" fontId="29" fillId="0" borderId="0" xfId="0" applyNumberFormat="1" applyFont="1" applyAlignment="1">
      <alignment vertical="center"/>
    </xf>
    <xf numFmtId="0" fontId="64" fillId="0" borderId="13" xfId="0" applyFont="1" applyBorder="1" applyAlignment="1">
      <alignment horizontal="center" vertical="top"/>
    </xf>
    <xf numFmtId="0" fontId="64" fillId="0" borderId="19" xfId="0" applyFont="1" applyBorder="1" applyAlignment="1">
      <alignment horizontal="left" vertical="center"/>
    </xf>
    <xf numFmtId="3" fontId="65" fillId="0" borderId="17" xfId="0" applyNumberFormat="1" applyFont="1" applyBorder="1" applyAlignment="1">
      <alignment horizontal="center" vertical="center"/>
    </xf>
    <xf numFmtId="164" fontId="65" fillId="0" borderId="17" xfId="0" applyNumberFormat="1" applyFont="1" applyBorder="1" applyAlignment="1">
      <alignment horizontal="center" vertical="center"/>
    </xf>
    <xf numFmtId="0" fontId="65" fillId="0" borderId="10" xfId="0" applyFont="1" applyBorder="1" applyAlignment="1">
      <alignment horizontal="center" vertical="center"/>
    </xf>
    <xf numFmtId="0" fontId="64" fillId="0" borderId="2" xfId="0" applyFont="1" applyBorder="1" applyAlignment="1">
      <alignment horizontal="center" vertical="center"/>
    </xf>
    <xf numFmtId="0" fontId="64" fillId="0" borderId="2" xfId="0" applyFont="1" applyBorder="1" applyAlignment="1">
      <alignment vertical="center"/>
    </xf>
    <xf numFmtId="0" fontId="64" fillId="0" borderId="11" xfId="0" applyFont="1" applyBorder="1" applyAlignment="1">
      <alignment vertical="center"/>
    </xf>
    <xf numFmtId="172" fontId="65" fillId="0" borderId="10" xfId="1" applyNumberFormat="1" applyFont="1" applyBorder="1" applyAlignment="1">
      <alignment horizontal="center" vertical="center"/>
    </xf>
    <xf numFmtId="164" fontId="65" fillId="0" borderId="10" xfId="0" applyNumberFormat="1" applyFont="1" applyBorder="1" applyAlignment="1">
      <alignment vertical="center"/>
    </xf>
    <xf numFmtId="0" fontId="65" fillId="0" borderId="17" xfId="0" applyFont="1" applyBorder="1" applyAlignment="1">
      <alignment horizontal="center" vertical="center"/>
    </xf>
    <xf numFmtId="0" fontId="65" fillId="0" borderId="1" xfId="0" quotePrefix="1" applyFont="1" applyBorder="1" applyAlignment="1">
      <alignment horizontal="right" vertical="center"/>
    </xf>
    <xf numFmtId="0" fontId="65" fillId="0" borderId="2" xfId="0" applyFont="1" applyBorder="1" applyAlignment="1">
      <alignment vertical="center"/>
    </xf>
    <xf numFmtId="0" fontId="64" fillId="0" borderId="1" xfId="0" applyFont="1" applyBorder="1" applyAlignment="1">
      <alignment vertical="center"/>
    </xf>
    <xf numFmtId="164" fontId="65" fillId="0" borderId="17" xfId="1" applyFont="1" applyBorder="1" applyAlignment="1">
      <alignment horizontal="center" vertical="center"/>
    </xf>
    <xf numFmtId="164" fontId="65" fillId="0" borderId="17" xfId="0" applyNumberFormat="1" applyFont="1" applyBorder="1" applyAlignment="1">
      <alignment vertical="center"/>
    </xf>
    <xf numFmtId="0" fontId="42" fillId="0" borderId="17" xfId="0" applyFont="1" applyBorder="1" applyAlignment="1">
      <alignment horizontal="center" vertical="center"/>
    </xf>
    <xf numFmtId="0" fontId="32" fillId="0" borderId="1" xfId="0" quotePrefix="1" applyFont="1" applyBorder="1" applyAlignment="1">
      <alignment horizontal="right" vertical="center"/>
    </xf>
    <xf numFmtId="0" fontId="32" fillId="0" borderId="2" xfId="0" applyFont="1" applyBorder="1" applyAlignment="1">
      <alignment vertical="center"/>
    </xf>
    <xf numFmtId="164" fontId="32" fillId="0" borderId="17" xfId="1" applyFont="1" applyBorder="1" applyAlignment="1">
      <alignment horizontal="center" vertical="center"/>
    </xf>
    <xf numFmtId="164" fontId="32" fillId="0" borderId="17" xfId="0" applyNumberFormat="1" applyFont="1" applyBorder="1" applyAlignment="1">
      <alignment vertical="center"/>
    </xf>
    <xf numFmtId="0" fontId="42" fillId="0" borderId="32" xfId="0" applyFont="1" applyBorder="1" applyAlignment="1">
      <alignment horizontal="center" vertical="center"/>
    </xf>
    <xf numFmtId="0" fontId="32" fillId="0" borderId="33" xfId="0" quotePrefix="1" applyFont="1" applyBorder="1" applyAlignment="1">
      <alignment horizontal="right" vertical="center"/>
    </xf>
    <xf numFmtId="0" fontId="32" fillId="0" borderId="34" xfId="0" applyFont="1" applyBorder="1" applyAlignment="1">
      <alignment vertical="center"/>
    </xf>
    <xf numFmtId="0" fontId="39" fillId="0" borderId="34" xfId="0" applyFont="1" applyBorder="1" applyAlignment="1">
      <alignment vertical="center"/>
    </xf>
    <xf numFmtId="164" fontId="32" fillId="0" borderId="32" xfId="1" applyFont="1" applyBorder="1" applyAlignment="1">
      <alignment horizontal="center" vertical="center"/>
    </xf>
    <xf numFmtId="164" fontId="32" fillId="0" borderId="32" xfId="0" applyNumberFormat="1" applyFont="1" applyBorder="1" applyAlignment="1">
      <alignment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vertical="center"/>
    </xf>
    <xf numFmtId="0" fontId="65" fillId="0" borderId="19" xfId="0" applyFont="1" applyBorder="1" applyAlignment="1">
      <alignment vertical="center"/>
    </xf>
    <xf numFmtId="3" fontId="65" fillId="0" borderId="17" xfId="0" applyNumberFormat="1" applyFont="1" applyBorder="1" applyAlignment="1">
      <alignment vertical="center"/>
    </xf>
    <xf numFmtId="0" fontId="65" fillId="0" borderId="32" xfId="0" applyFont="1" applyBorder="1" applyAlignment="1">
      <alignment horizontal="center" vertical="center"/>
    </xf>
    <xf numFmtId="0" fontId="65" fillId="0" borderId="33" xfId="0" quotePrefix="1" applyFont="1" applyBorder="1" applyAlignment="1">
      <alignment horizontal="right" vertical="center"/>
    </xf>
    <xf numFmtId="0" fontId="65" fillId="0" borderId="34" xfId="0" applyFont="1" applyBorder="1" applyAlignment="1">
      <alignment vertical="center"/>
    </xf>
    <xf numFmtId="0" fontId="65" fillId="0" borderId="35" xfId="0" applyFont="1" applyBorder="1" applyAlignment="1">
      <alignment vertical="center"/>
    </xf>
    <xf numFmtId="164" fontId="65" fillId="0" borderId="32" xfId="1" applyFont="1" applyBorder="1" applyAlignment="1">
      <alignment horizontal="center" vertical="center"/>
    </xf>
    <xf numFmtId="3" fontId="65" fillId="0" borderId="32" xfId="0" applyNumberFormat="1" applyFont="1" applyBorder="1" applyAlignment="1">
      <alignment vertical="center"/>
    </xf>
    <xf numFmtId="0" fontId="64" fillId="0" borderId="30" xfId="0" applyFont="1" applyBorder="1" applyAlignment="1">
      <alignment horizontal="center" vertical="center"/>
    </xf>
    <xf numFmtId="0" fontId="65" fillId="0" borderId="11" xfId="0" applyFont="1" applyBorder="1" applyAlignment="1">
      <alignment vertical="center"/>
    </xf>
    <xf numFmtId="164" fontId="65" fillId="0" borderId="10" xfId="1" applyFont="1" applyBorder="1" applyAlignment="1">
      <alignment horizontal="center" vertical="center"/>
    </xf>
    <xf numFmtId="3" fontId="66" fillId="0" borderId="17" xfId="0" applyNumberFormat="1" applyFont="1" applyBorder="1" applyAlignment="1">
      <alignment vertical="center"/>
    </xf>
    <xf numFmtId="0" fontId="65" fillId="0" borderId="16" xfId="0" applyFont="1" applyBorder="1" applyAlignment="1">
      <alignment horizontal="center" vertical="center"/>
    </xf>
    <xf numFmtId="0" fontId="65" fillId="0" borderId="3" xfId="0" quotePrefix="1" applyFont="1" applyBorder="1" applyAlignment="1">
      <alignment horizontal="right" vertical="center"/>
    </xf>
    <xf numFmtId="0" fontId="65" fillId="0" borderId="3" xfId="0" applyFont="1" applyBorder="1" applyAlignment="1">
      <alignment vertical="center"/>
    </xf>
    <xf numFmtId="0" fontId="65" fillId="0" borderId="28" xfId="0" applyFont="1" applyBorder="1" applyAlignment="1">
      <alignment vertical="center"/>
    </xf>
    <xf numFmtId="164" fontId="65" fillId="0" borderId="16" xfId="1" applyFont="1" applyBorder="1" applyAlignment="1">
      <alignment horizontal="center" vertical="center"/>
    </xf>
    <xf numFmtId="172" fontId="65" fillId="0" borderId="16" xfId="1" applyNumberFormat="1" applyFont="1" applyBorder="1" applyAlignment="1">
      <alignment horizontal="center" vertical="center"/>
    </xf>
    <xf numFmtId="0" fontId="64" fillId="0" borderId="36" xfId="0" applyFont="1" applyBorder="1" applyAlignment="1">
      <alignment horizontal="center" vertical="center"/>
    </xf>
    <xf numFmtId="0" fontId="64" fillId="0" borderId="38" xfId="0" applyFont="1" applyBorder="1" applyAlignment="1">
      <alignment horizontal="left" vertical="center"/>
    </xf>
    <xf numFmtId="164" fontId="65" fillId="0" borderId="36" xfId="1" applyFont="1" applyBorder="1" applyAlignment="1">
      <alignment horizontal="center" vertical="center"/>
    </xf>
    <xf numFmtId="164" fontId="64" fillId="0" borderId="36" xfId="0" quotePrefix="1" applyNumberFormat="1" applyFont="1" applyBorder="1" applyAlignment="1">
      <alignment vertical="center"/>
    </xf>
    <xf numFmtId="0" fontId="66" fillId="0" borderId="10" xfId="0" applyFont="1" applyBorder="1" applyAlignment="1">
      <alignment horizontal="center" vertical="center"/>
    </xf>
    <xf numFmtId="0" fontId="65" fillId="0" borderId="1" xfId="0" applyFont="1" applyBorder="1" applyAlignment="1">
      <alignment horizontal="left" vertical="center"/>
    </xf>
    <xf numFmtId="0" fontId="66" fillId="0" borderId="32" xfId="0" applyFont="1" applyBorder="1" applyAlignment="1">
      <alignment horizontal="center" vertical="center"/>
    </xf>
    <xf numFmtId="0" fontId="65" fillId="0" borderId="34" xfId="0" quotePrefix="1" applyFont="1" applyBorder="1" applyAlignment="1">
      <alignment horizontal="right" vertical="center"/>
    </xf>
    <xf numFmtId="0" fontId="65" fillId="0" borderId="34" xfId="0" applyFont="1" applyBorder="1" applyAlignment="1">
      <alignment horizontal="left" vertical="center"/>
    </xf>
    <xf numFmtId="172" fontId="65" fillId="0" borderId="32" xfId="1" applyNumberFormat="1" applyFont="1" applyBorder="1" applyAlignment="1">
      <alignment horizontal="center" vertical="center"/>
    </xf>
    <xf numFmtId="0" fontId="64" fillId="0" borderId="17" xfId="0" applyFont="1" applyBorder="1" applyAlignment="1">
      <alignment horizontal="center" vertical="center"/>
    </xf>
    <xf numFmtId="164" fontId="65" fillId="0" borderId="17" xfId="0" applyNumberFormat="1" applyFont="1" applyBorder="1" applyAlignment="1">
      <alignment horizontal="center"/>
    </xf>
    <xf numFmtId="0" fontId="64" fillId="0" borderId="32" xfId="0" applyFont="1" applyBorder="1" applyAlignment="1">
      <alignment horizontal="center" vertical="center"/>
    </xf>
    <xf numFmtId="0" fontId="64" fillId="0" borderId="0" xfId="0" applyFont="1" applyAlignment="1">
      <alignment horizontal="left" vertical="center"/>
    </xf>
    <xf numFmtId="0" fontId="64" fillId="0" borderId="14" xfId="0" applyFont="1" applyBorder="1" applyAlignment="1">
      <alignment horizontal="left" vertical="center"/>
    </xf>
    <xf numFmtId="164" fontId="65" fillId="0" borderId="13" xfId="1" applyFont="1" applyBorder="1" applyAlignment="1">
      <alignment horizontal="center" vertical="center"/>
    </xf>
    <xf numFmtId="164" fontId="64" fillId="0" borderId="13" xfId="0" applyNumberFormat="1" applyFont="1" applyBorder="1" applyAlignment="1">
      <alignment vertical="center"/>
    </xf>
    <xf numFmtId="0" fontId="64" fillId="0" borderId="13" xfId="0" applyFont="1" applyBorder="1" applyAlignment="1">
      <alignment horizontal="center" vertical="center"/>
    </xf>
    <xf numFmtId="0" fontId="65" fillId="0" borderId="8" xfId="0" applyFont="1" applyBorder="1" applyAlignment="1">
      <alignment horizontal="center" vertical="center"/>
    </xf>
    <xf numFmtId="0" fontId="59" fillId="0" borderId="26" xfId="0" applyFont="1" applyBorder="1"/>
    <xf numFmtId="0" fontId="64" fillId="0" borderId="9" xfId="0" applyFont="1" applyBorder="1" applyAlignment="1">
      <alignment horizontal="center"/>
    </xf>
    <xf numFmtId="164" fontId="65" fillId="0" borderId="20" xfId="1" applyFont="1" applyBorder="1" applyAlignment="1">
      <alignment horizontal="center" vertical="center"/>
    </xf>
    <xf numFmtId="164" fontId="65" fillId="0" borderId="20" xfId="0" applyNumberFormat="1" applyFont="1" applyBorder="1" applyAlignment="1">
      <alignment vertical="center"/>
    </xf>
    <xf numFmtId="0" fontId="59" fillId="0" borderId="13" xfId="0" applyFont="1" applyBorder="1" applyAlignment="1">
      <alignment horizontal="center" vertical="center"/>
    </xf>
    <xf numFmtId="0" fontId="65" fillId="0" borderId="22" xfId="0" applyFont="1" applyBorder="1" applyAlignment="1">
      <alignment horizontal="center" vertical="center"/>
    </xf>
    <xf numFmtId="0" fontId="65" fillId="0" borderId="23" xfId="0" applyFont="1" applyBorder="1" applyAlignment="1">
      <alignment vertical="center"/>
    </xf>
    <xf numFmtId="0" fontId="59" fillId="0" borderId="23" xfId="0" applyFont="1" applyBorder="1" applyAlignment="1">
      <alignment horizontal="center" vertical="center"/>
    </xf>
    <xf numFmtId="0" fontId="65" fillId="0" borderId="24" xfId="0" applyFont="1" applyBorder="1" applyAlignment="1">
      <alignment horizontal="center" vertical="center"/>
    </xf>
    <xf numFmtId="164" fontId="64" fillId="0" borderId="21" xfId="1" applyFont="1" applyBorder="1" applyAlignment="1">
      <alignment horizontal="center" vertical="center"/>
    </xf>
    <xf numFmtId="164" fontId="65" fillId="0" borderId="21" xfId="0" applyNumberFormat="1" applyFont="1" applyBorder="1" applyAlignment="1">
      <alignment vertical="center"/>
    </xf>
    <xf numFmtId="0" fontId="65" fillId="0" borderId="21" xfId="0" applyFont="1" applyBorder="1" applyAlignment="1">
      <alignment vertical="center"/>
    </xf>
    <xf numFmtId="0" fontId="59" fillId="0" borderId="22" xfId="0" applyFont="1" applyBorder="1"/>
    <xf numFmtId="0" fontId="59" fillId="0" borderId="23" xfId="0" applyFont="1" applyBorder="1"/>
    <xf numFmtId="3" fontId="65" fillId="0" borderId="24" xfId="0" applyNumberFormat="1" applyFont="1" applyBorder="1" applyAlignment="1">
      <alignment horizontal="left" vertical="center"/>
    </xf>
    <xf numFmtId="0" fontId="32" fillId="0" borderId="0" xfId="0" applyFont="1"/>
    <xf numFmtId="0" fontId="36" fillId="0" borderId="0" xfId="0" applyFont="1" applyAlignment="1">
      <alignment horizontal="center" vertical="center"/>
    </xf>
    <xf numFmtId="169" fontId="29" fillId="0" borderId="0" xfId="0" applyNumberFormat="1" applyFont="1" applyAlignment="1">
      <alignment horizontal="left" vertical="center"/>
    </xf>
    <xf numFmtId="169" fontId="36" fillId="0" borderId="0" xfId="0" applyNumberFormat="1" applyFont="1" applyAlignment="1">
      <alignment horizontal="center" vertical="center"/>
    </xf>
    <xf numFmtId="0" fontId="37" fillId="0" borderId="0" xfId="0" applyFont="1" applyAlignment="1">
      <alignment vertical="center"/>
    </xf>
    <xf numFmtId="0" fontId="59" fillId="0" borderId="1" xfId="0" applyFont="1" applyBorder="1" applyAlignment="1">
      <alignment vertical="center"/>
    </xf>
    <xf numFmtId="3" fontId="58" fillId="0" borderId="1" xfId="0" applyNumberFormat="1" applyFont="1" applyBorder="1" applyAlignment="1">
      <alignment vertical="center"/>
    </xf>
    <xf numFmtId="0" fontId="67" fillId="0" borderId="0" xfId="0" applyFont="1" applyAlignment="1">
      <alignment vertical="center"/>
    </xf>
    <xf numFmtId="0" fontId="59" fillId="0" borderId="2" xfId="0" applyFont="1" applyBorder="1" applyAlignment="1">
      <alignment vertical="center"/>
    </xf>
    <xf numFmtId="3" fontId="68" fillId="0" borderId="2" xfId="0" applyNumberFormat="1" applyFont="1" applyBorder="1"/>
    <xf numFmtId="3" fontId="68" fillId="0" borderId="2" xfId="0" applyNumberFormat="1" applyFont="1" applyBorder="1" applyAlignment="1">
      <alignment horizontal="right"/>
    </xf>
    <xf numFmtId="3" fontId="58" fillId="0" borderId="0" xfId="0" applyNumberFormat="1" applyFont="1" applyAlignment="1">
      <alignment vertical="center"/>
    </xf>
    <xf numFmtId="0" fontId="58" fillId="0" borderId="0" xfId="0" applyFont="1" applyAlignment="1">
      <alignment vertical="center"/>
    </xf>
    <xf numFmtId="0" fontId="58" fillId="0" borderId="2" xfId="1" applyNumberFormat="1" applyFont="1" applyBorder="1" applyAlignment="1">
      <alignment horizontal="left" vertical="top"/>
    </xf>
    <xf numFmtId="3" fontId="58" fillId="0" borderId="3" xfId="0" applyNumberFormat="1" applyFont="1" applyBorder="1" applyAlignment="1">
      <alignment horizontal="left" vertical="top"/>
    </xf>
    <xf numFmtId="0" fontId="58" fillId="0" borderId="0" xfId="0" applyFont="1" applyAlignment="1">
      <alignment horizontal="left" vertical="top"/>
    </xf>
    <xf numFmtId="0" fontId="36" fillId="0" borderId="2" xfId="0" applyFont="1" applyBorder="1"/>
    <xf numFmtId="3" fontId="29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0" fontId="41" fillId="0" borderId="17" xfId="0" applyFont="1" applyBorder="1" applyAlignment="1">
      <alignment horizontal="center" vertical="center"/>
    </xf>
    <xf numFmtId="0" fontId="41" fillId="0" borderId="30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0" fontId="32" fillId="0" borderId="1" xfId="0" applyFont="1" applyBorder="1" applyAlignment="1">
      <alignment vertical="center"/>
    </xf>
    <xf numFmtId="164" fontId="32" fillId="0" borderId="17" xfId="1" applyFont="1" applyBorder="1" applyAlignment="1">
      <alignment vertical="center"/>
    </xf>
    <xf numFmtId="173" fontId="32" fillId="0" borderId="19" xfId="0" applyNumberFormat="1" applyFont="1" applyBorder="1" applyAlignment="1">
      <alignment horizontal="center" vertical="center"/>
    </xf>
    <xf numFmtId="3" fontId="32" fillId="0" borderId="17" xfId="0" applyNumberFormat="1" applyFont="1" applyBorder="1" applyAlignment="1">
      <alignment vertical="center"/>
    </xf>
    <xf numFmtId="0" fontId="65" fillId="0" borderId="17" xfId="0" quotePrefix="1" applyFont="1" applyBorder="1" applyAlignment="1">
      <alignment horizontal="center" vertical="center"/>
    </xf>
    <xf numFmtId="0" fontId="65" fillId="0" borderId="1" xfId="1" applyNumberFormat="1" applyFont="1" applyBorder="1" applyAlignment="1">
      <alignment horizontal="left" vertical="center"/>
    </xf>
    <xf numFmtId="164" fontId="65" fillId="0" borderId="10" xfId="1" applyFont="1" applyBorder="1" applyAlignment="1">
      <alignment vertical="center"/>
    </xf>
    <xf numFmtId="173" fontId="65" fillId="0" borderId="11" xfId="0" applyNumberFormat="1" applyFont="1" applyBorder="1" applyAlignment="1">
      <alignment horizontal="center" vertical="center"/>
    </xf>
    <xf numFmtId="0" fontId="65" fillId="0" borderId="32" xfId="0" quotePrefix="1" applyFont="1" applyBorder="1" applyAlignment="1">
      <alignment horizontal="center" vertical="center"/>
    </xf>
    <xf numFmtId="164" fontId="65" fillId="0" borderId="32" xfId="1" applyFont="1" applyBorder="1" applyAlignment="1">
      <alignment vertical="center"/>
    </xf>
    <xf numFmtId="173" fontId="65" fillId="0" borderId="32" xfId="0" applyNumberFormat="1" applyFont="1" applyBorder="1" applyAlignment="1">
      <alignment horizontal="center" vertical="center"/>
    </xf>
    <xf numFmtId="0" fontId="65" fillId="0" borderId="17" xfId="0" applyFont="1" applyBorder="1" applyAlignment="1">
      <alignment horizontal="right" vertical="center"/>
    </xf>
    <xf numFmtId="0" fontId="64" fillId="0" borderId="30" xfId="0" applyFont="1" applyBorder="1" applyAlignment="1">
      <alignment horizontal="left"/>
    </xf>
    <xf numFmtId="164" fontId="65" fillId="0" borderId="17" xfId="1" applyFont="1" applyBorder="1" applyAlignment="1">
      <alignment vertical="center"/>
    </xf>
    <xf numFmtId="173" fontId="65" fillId="0" borderId="19" xfId="0" applyNumberFormat="1" applyFont="1" applyBorder="1" applyAlignment="1">
      <alignment horizontal="center" vertical="center"/>
    </xf>
    <xf numFmtId="0" fontId="65" fillId="0" borderId="2" xfId="0" applyFont="1" applyBorder="1" applyAlignment="1">
      <alignment horizontal="left" vertical="center"/>
    </xf>
    <xf numFmtId="173" fontId="65" fillId="0" borderId="35" xfId="0" applyNumberFormat="1" applyFont="1" applyBorder="1" applyAlignment="1">
      <alignment horizontal="center" vertical="center"/>
    </xf>
    <xf numFmtId="164" fontId="66" fillId="0" borderId="34" xfId="1" applyFont="1" applyBorder="1" applyAlignment="1">
      <alignment horizontal="left" vertical="center"/>
    </xf>
    <xf numFmtId="0" fontId="66" fillId="0" borderId="34" xfId="0" applyFont="1" applyBorder="1" applyAlignment="1">
      <alignment vertical="center"/>
    </xf>
    <xf numFmtId="164" fontId="66" fillId="0" borderId="32" xfId="1" applyFont="1" applyBorder="1" applyAlignment="1">
      <alignment vertical="center"/>
    </xf>
    <xf numFmtId="173" fontId="66" fillId="0" borderId="35" xfId="0" applyNumberFormat="1" applyFont="1" applyBorder="1" applyAlignment="1">
      <alignment horizontal="center" vertical="center"/>
    </xf>
    <xf numFmtId="164" fontId="66" fillId="0" borderId="32" xfId="1" applyFont="1" applyBorder="1" applyAlignment="1">
      <alignment horizontal="center" vertical="center"/>
    </xf>
    <xf numFmtId="3" fontId="66" fillId="0" borderId="32" xfId="0" applyNumberFormat="1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173" fontId="64" fillId="0" borderId="19" xfId="0" applyNumberFormat="1" applyFont="1" applyBorder="1" applyAlignment="1">
      <alignment horizontal="center" vertical="center"/>
    </xf>
    <xf numFmtId="164" fontId="64" fillId="0" borderId="17" xfId="1" applyFont="1" applyBorder="1" applyAlignment="1">
      <alignment vertical="center"/>
    </xf>
    <xf numFmtId="3" fontId="64" fillId="0" borderId="17" xfId="0" quotePrefix="1" applyNumberFormat="1" applyFont="1" applyBorder="1" applyAlignment="1">
      <alignment vertical="center"/>
    </xf>
    <xf numFmtId="0" fontId="69" fillId="0" borderId="0" xfId="0" applyFont="1" applyAlignment="1">
      <alignment vertical="center"/>
    </xf>
    <xf numFmtId="0" fontId="64" fillId="0" borderId="10" xfId="0" applyFont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9" fontId="65" fillId="0" borderId="3" xfId="27" applyFont="1" applyBorder="1" applyAlignment="1">
      <alignment horizontal="center" vertical="center"/>
    </xf>
    <xf numFmtId="0" fontId="64" fillId="0" borderId="3" xfId="0" applyFont="1" applyBorder="1" applyAlignment="1">
      <alignment vertical="center"/>
    </xf>
    <xf numFmtId="0" fontId="64" fillId="0" borderId="10" xfId="0" applyFont="1" applyBorder="1" applyAlignment="1">
      <alignment vertical="center"/>
    </xf>
    <xf numFmtId="173" fontId="64" fillId="0" borderId="11" xfId="0" applyNumberFormat="1" applyFont="1" applyBorder="1" applyAlignment="1">
      <alignment vertical="center"/>
    </xf>
    <xf numFmtId="0" fontId="70" fillId="0" borderId="2" xfId="0" applyFont="1" applyBorder="1" applyAlignment="1">
      <alignment horizontal="center" vertical="center"/>
    </xf>
    <xf numFmtId="3" fontId="64" fillId="0" borderId="17" xfId="0" applyNumberFormat="1" applyFont="1" applyBorder="1" applyAlignment="1">
      <alignment vertical="center"/>
    </xf>
    <xf numFmtId="173" fontId="64" fillId="0" borderId="19" xfId="0" applyNumberFormat="1" applyFont="1" applyBorder="1" applyAlignment="1">
      <alignment vertical="center"/>
    </xf>
    <xf numFmtId="0" fontId="64" fillId="0" borderId="32" xfId="0" applyFont="1" applyBorder="1" applyAlignment="1">
      <alignment vertical="center"/>
    </xf>
    <xf numFmtId="0" fontId="70" fillId="0" borderId="34" xfId="0" applyFont="1" applyBorder="1" applyAlignment="1">
      <alignment horizontal="center" vertical="center"/>
    </xf>
    <xf numFmtId="9" fontId="65" fillId="0" borderId="34" xfId="27" applyFont="1" applyBorder="1" applyAlignment="1">
      <alignment horizontal="center" vertical="center"/>
    </xf>
    <xf numFmtId="0" fontId="64" fillId="0" borderId="35" xfId="0" applyFont="1" applyBorder="1" applyAlignment="1">
      <alignment vertical="center"/>
    </xf>
    <xf numFmtId="10" fontId="71" fillId="0" borderId="32" xfId="0" applyNumberFormat="1" applyFont="1" applyBorder="1" applyAlignment="1">
      <alignment vertical="center"/>
    </xf>
    <xf numFmtId="173" fontId="71" fillId="0" borderId="35" xfId="0" applyNumberFormat="1" applyFont="1" applyBorder="1" applyAlignment="1">
      <alignment vertical="center"/>
    </xf>
    <xf numFmtId="164" fontId="64" fillId="0" borderId="32" xfId="1" applyFont="1" applyBorder="1" applyAlignment="1">
      <alignment vertical="center"/>
    </xf>
    <xf numFmtId="3" fontId="64" fillId="0" borderId="32" xfId="0" applyNumberFormat="1" applyFont="1" applyBorder="1" applyAlignment="1">
      <alignment vertical="center"/>
    </xf>
    <xf numFmtId="0" fontId="41" fillId="0" borderId="21" xfId="0" applyFont="1" applyBorder="1" applyAlignment="1">
      <alignment horizontal="center" vertical="center"/>
    </xf>
    <xf numFmtId="4" fontId="41" fillId="0" borderId="20" xfId="0" applyNumberFormat="1" applyFont="1" applyBorder="1" applyAlignment="1">
      <alignment vertical="center"/>
    </xf>
    <xf numFmtId="3" fontId="41" fillId="0" borderId="21" xfId="0" applyNumberFormat="1" applyFont="1" applyBorder="1" applyAlignment="1">
      <alignment vertical="center"/>
    </xf>
    <xf numFmtId="0" fontId="35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right"/>
    </xf>
    <xf numFmtId="164" fontId="61" fillId="0" borderId="0" xfId="1" applyFont="1" applyBorder="1" applyAlignment="1">
      <alignment horizontal="center" vertical="center"/>
    </xf>
    <xf numFmtId="164" fontId="61" fillId="0" borderId="0" xfId="1" applyFont="1" applyBorder="1" applyAlignment="1">
      <alignment horizontal="left" vertical="center"/>
    </xf>
    <xf numFmtId="164" fontId="24" fillId="0" borderId="0" xfId="1" applyFont="1"/>
    <xf numFmtId="0" fontId="48" fillId="0" borderId="17" xfId="0" quotePrefix="1" applyFont="1" applyBorder="1" applyAlignment="1">
      <alignment horizontal="center" vertical="center" wrapText="1"/>
    </xf>
    <xf numFmtId="0" fontId="48" fillId="0" borderId="1" xfId="0" applyFont="1" applyBorder="1"/>
    <xf numFmtId="0" fontId="72" fillId="0" borderId="10" xfId="0" quotePrefix="1" applyFont="1" applyBorder="1" applyAlignment="1">
      <alignment horizontal="right" vertical="center"/>
    </xf>
    <xf numFmtId="166" fontId="72" fillId="0" borderId="2" xfId="0" applyNumberFormat="1" applyFont="1" applyBorder="1" applyAlignment="1">
      <alignment horizontal="left" vertical="center"/>
    </xf>
    <xf numFmtId="0" fontId="72" fillId="0" borderId="2" xfId="0" applyFont="1" applyBorder="1"/>
    <xf numFmtId="0" fontId="72" fillId="0" borderId="11" xfId="0" applyFont="1" applyBorder="1" applyAlignment="1">
      <alignment horizontal="center" vertical="center"/>
    </xf>
    <xf numFmtId="0" fontId="72" fillId="0" borderId="10" xfId="0" applyFont="1" applyBorder="1" applyAlignment="1">
      <alignment horizontal="right" vertical="center"/>
    </xf>
    <xf numFmtId="0" fontId="72" fillId="0" borderId="10" xfId="0" applyFont="1" applyBorder="1" applyAlignment="1">
      <alignment horizontal="center" vertical="center"/>
    </xf>
    <xf numFmtId="165" fontId="72" fillId="0" borderId="2" xfId="3" applyNumberFormat="1" applyFont="1" applyFill="1" applyBorder="1" applyAlignment="1">
      <alignment horizontal="centerContinuous"/>
    </xf>
    <xf numFmtId="164" fontId="72" fillId="0" borderId="12" xfId="1" applyFont="1" applyFill="1" applyBorder="1" applyAlignment="1">
      <alignment horizontal="center" vertical="center"/>
    </xf>
    <xf numFmtId="164" fontId="72" fillId="0" borderId="2" xfId="1" applyFont="1" applyFill="1" applyBorder="1" applyAlignment="1">
      <alignment horizontal="center" vertical="center"/>
    </xf>
    <xf numFmtId="164" fontId="73" fillId="0" borderId="11" xfId="1" applyFont="1" applyFill="1" applyBorder="1" applyAlignment="1">
      <alignment horizontal="left" vertical="center"/>
    </xf>
    <xf numFmtId="0" fontId="74" fillId="0" borderId="0" xfId="0" applyFont="1"/>
    <xf numFmtId="43" fontId="74" fillId="0" borderId="0" xfId="0" applyNumberFormat="1" applyFont="1"/>
    <xf numFmtId="0" fontId="72" fillId="0" borderId="2" xfId="0" applyFont="1" applyBorder="1" applyAlignment="1">
      <alignment horizontal="left" vertical="center"/>
    </xf>
    <xf numFmtId="164" fontId="74" fillId="0" borderId="0" xfId="0" applyNumberFormat="1" applyFont="1"/>
    <xf numFmtId="0" fontId="38" fillId="0" borderId="2" xfId="0" applyFont="1" applyBorder="1"/>
    <xf numFmtId="0" fontId="38" fillId="0" borderId="11" xfId="0" applyFont="1" applyBorder="1" applyAlignment="1">
      <alignment horizontal="center" vertical="center"/>
    </xf>
    <xf numFmtId="165" fontId="38" fillId="0" borderId="2" xfId="3" applyNumberFormat="1" applyFont="1" applyFill="1" applyBorder="1" applyAlignment="1">
      <alignment horizontal="centerContinuous"/>
    </xf>
    <xf numFmtId="164" fontId="38" fillId="0" borderId="12" xfId="1" applyFont="1" applyFill="1" applyBorder="1" applyAlignment="1">
      <alignment horizontal="center" vertical="center"/>
    </xf>
    <xf numFmtId="164" fontId="38" fillId="0" borderId="2" xfId="1" applyFont="1" applyFill="1" applyBorder="1" applyAlignment="1">
      <alignment horizontal="center" vertical="center"/>
    </xf>
    <xf numFmtId="164" fontId="40" fillId="0" borderId="11" xfId="1" applyFont="1" applyFill="1" applyBorder="1" applyAlignment="1">
      <alignment horizontal="left" vertical="center"/>
    </xf>
    <xf numFmtId="0" fontId="38" fillId="0" borderId="10" xfId="0" quotePrefix="1" applyFont="1" applyBorder="1" applyAlignment="1">
      <alignment horizontal="center" vertical="center"/>
    </xf>
    <xf numFmtId="0" fontId="38" fillId="0" borderId="2" xfId="0" applyFont="1" applyBorder="1" applyAlignment="1">
      <alignment horizontal="left" vertical="center"/>
    </xf>
    <xf numFmtId="0" fontId="38" fillId="0" borderId="10" xfId="0" applyFont="1" applyBorder="1" applyAlignment="1">
      <alignment horizontal="center" vertical="center"/>
    </xf>
    <xf numFmtId="164" fontId="38" fillId="0" borderId="11" xfId="1" applyFont="1" applyFill="1" applyBorder="1" applyAlignment="1">
      <alignment horizontal="center" vertical="center"/>
    </xf>
    <xf numFmtId="2" fontId="38" fillId="0" borderId="10" xfId="0" applyNumberFormat="1" applyFont="1" applyBorder="1" applyAlignment="1">
      <alignment horizontal="right" vertical="center"/>
    </xf>
    <xf numFmtId="0" fontId="38" fillId="0" borderId="10" xfId="0" applyFont="1" applyBorder="1" applyAlignment="1">
      <alignment horizontal="right" vertical="center"/>
    </xf>
    <xf numFmtId="2" fontId="40" fillId="0" borderId="13" xfId="0" applyNumberFormat="1" applyFont="1" applyBorder="1" applyAlignment="1">
      <alignment horizontal="right" vertical="center"/>
    </xf>
    <xf numFmtId="0" fontId="38" fillId="0" borderId="0" xfId="0" applyFont="1" applyAlignment="1">
      <alignment horizontal="left" vertical="center"/>
    </xf>
    <xf numFmtId="0" fontId="38" fillId="0" borderId="14" xfId="0" applyFont="1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165" fontId="38" fillId="0" borderId="0" xfId="3" applyNumberFormat="1" applyFont="1" applyFill="1" applyBorder="1" applyAlignment="1">
      <alignment horizontal="centerContinuous"/>
    </xf>
    <xf numFmtId="164" fontId="38" fillId="0" borderId="15" xfId="1" applyFont="1" applyFill="1" applyBorder="1" applyAlignment="1">
      <alignment vertical="center"/>
    </xf>
    <xf numFmtId="164" fontId="38" fillId="0" borderId="0" xfId="1" applyFont="1" applyFill="1" applyBorder="1" applyAlignment="1">
      <alignment vertical="center"/>
    </xf>
    <xf numFmtId="164" fontId="38" fillId="0" borderId="14" xfId="1" applyFont="1" applyFill="1" applyBorder="1" applyAlignment="1">
      <alignment horizontal="center" vertical="center"/>
    </xf>
    <xf numFmtId="164" fontId="75" fillId="0" borderId="14" xfId="1" applyFont="1" applyFill="1" applyBorder="1" applyAlignment="1">
      <alignment horizontal="left" vertical="center"/>
    </xf>
    <xf numFmtId="0" fontId="38" fillId="2" borderId="8" xfId="0" applyFont="1" applyFill="1" applyBorder="1" applyAlignment="1">
      <alignment horizontal="center" vertical="center"/>
    </xf>
    <xf numFmtId="0" fontId="38" fillId="2" borderId="26" xfId="0" applyFont="1" applyFill="1" applyBorder="1" applyAlignment="1">
      <alignment horizontal="center" vertical="center"/>
    </xf>
    <xf numFmtId="164" fontId="38" fillId="2" borderId="26" xfId="1" applyFont="1" applyFill="1" applyBorder="1" applyAlignment="1">
      <alignment horizontal="center" vertical="center"/>
    </xf>
    <xf numFmtId="164" fontId="38" fillId="2" borderId="9" xfId="1" applyFont="1" applyFill="1" applyBorder="1" applyAlignment="1">
      <alignment horizontal="center" vertical="center"/>
    </xf>
    <xf numFmtId="164" fontId="38" fillId="2" borderId="25" xfId="1" applyFont="1" applyFill="1" applyBorder="1" applyAlignment="1">
      <alignment horizontal="center" vertical="center"/>
    </xf>
    <xf numFmtId="164" fontId="28" fillId="0" borderId="4" xfId="1" applyFont="1" applyFill="1" applyBorder="1" applyAlignment="1">
      <alignment horizontal="center" vertical="center"/>
    </xf>
    <xf numFmtId="164" fontId="28" fillId="0" borderId="21" xfId="1" applyFont="1" applyFill="1" applyBorder="1" applyAlignment="1">
      <alignment horizontal="center" vertical="center"/>
    </xf>
    <xf numFmtId="0" fontId="46" fillId="0" borderId="17" xfId="0" quotePrefix="1" applyFont="1" applyBorder="1" applyAlignment="1">
      <alignment horizontal="center" vertical="center" wrapText="1"/>
    </xf>
    <xf numFmtId="0" fontId="46" fillId="0" borderId="1" xfId="0" applyFont="1" applyBorder="1"/>
    <xf numFmtId="165" fontId="38" fillId="0" borderId="1" xfId="3" applyNumberFormat="1" applyFont="1" applyFill="1" applyBorder="1" applyAlignment="1">
      <alignment horizontal="center"/>
    </xf>
    <xf numFmtId="165" fontId="43" fillId="0" borderId="2" xfId="3" applyNumberFormat="1" applyFont="1" applyFill="1" applyBorder="1" applyAlignment="1">
      <alignment horizontal="center"/>
    </xf>
    <xf numFmtId="168" fontId="43" fillId="0" borderId="10" xfId="0" quotePrefix="1" applyNumberFormat="1" applyFont="1" applyBorder="1" applyAlignment="1">
      <alignment horizontal="center" vertical="center"/>
    </xf>
    <xf numFmtId="43" fontId="43" fillId="0" borderId="0" xfId="0" applyNumberFormat="1" applyFont="1" applyAlignment="1">
      <alignment horizontal="center"/>
    </xf>
    <xf numFmtId="166" fontId="39" fillId="0" borderId="1" xfId="0" applyNumberFormat="1" applyFont="1" applyBorder="1"/>
    <xf numFmtId="0" fontId="43" fillId="0" borderId="1" xfId="0" applyFont="1" applyBorder="1" applyAlignment="1">
      <alignment horizontal="left"/>
    </xf>
    <xf numFmtId="43" fontId="43" fillId="0" borderId="17" xfId="3" applyFont="1" applyFill="1" applyBorder="1"/>
    <xf numFmtId="0" fontId="43" fillId="0" borderId="17" xfId="0" applyFont="1" applyBorder="1" applyAlignment="1">
      <alignment horizontal="center"/>
    </xf>
    <xf numFmtId="43" fontId="43" fillId="0" borderId="1" xfId="3" applyFont="1" applyFill="1" applyBorder="1"/>
    <xf numFmtId="164" fontId="43" fillId="0" borderId="18" xfId="1" applyFont="1" applyFill="1" applyBorder="1" applyAlignment="1">
      <alignment horizontal="center" vertical="center"/>
    </xf>
    <xf numFmtId="43" fontId="43" fillId="0" borderId="40" xfId="3" applyFont="1" applyFill="1" applyBorder="1"/>
    <xf numFmtId="164" fontId="43" fillId="0" borderId="1" xfId="1" applyFont="1" applyFill="1" applyBorder="1" applyAlignment="1">
      <alignment horizontal="center" vertical="center"/>
    </xf>
    <xf numFmtId="164" fontId="44" fillId="0" borderId="36" xfId="1" applyFont="1" applyFill="1" applyBorder="1" applyAlignment="1">
      <alignment horizontal="center" vertical="center"/>
    </xf>
    <xf numFmtId="0" fontId="38" fillId="3" borderId="2" xfId="16" applyFont="1" applyFill="1" applyBorder="1"/>
    <xf numFmtId="0" fontId="38" fillId="3" borderId="2" xfId="16" applyFont="1" applyFill="1" applyBorder="1" applyAlignment="1">
      <alignment horizontal="center" vertical="center"/>
    </xf>
    <xf numFmtId="0" fontId="47" fillId="0" borderId="10" xfId="0" applyFont="1" applyBorder="1" applyAlignment="1">
      <alignment horizontal="right" vertical="center"/>
    </xf>
    <xf numFmtId="0" fontId="43" fillId="3" borderId="2" xfId="0" applyFont="1" applyFill="1" applyBorder="1" applyAlignment="1">
      <alignment horizontal="left"/>
    </xf>
    <xf numFmtId="0" fontId="42" fillId="0" borderId="2" xfId="0" applyFont="1" applyBorder="1" applyAlignment="1">
      <alignment horizontal="left"/>
    </xf>
    <xf numFmtId="43" fontId="43" fillId="0" borderId="10" xfId="3" applyFont="1" applyFill="1" applyBorder="1"/>
    <xf numFmtId="0" fontId="43" fillId="3" borderId="2" xfId="0" quotePrefix="1" applyFont="1" applyFill="1" applyBorder="1" applyAlignment="1">
      <alignment horizontal="left"/>
    </xf>
    <xf numFmtId="164" fontId="43" fillId="0" borderId="10" xfId="1" applyFont="1" applyFill="1" applyBorder="1" applyAlignment="1">
      <alignment horizontal="left" vertical="center"/>
    </xf>
    <xf numFmtId="0" fontId="43" fillId="3" borderId="1" xfId="0" applyFont="1" applyFill="1" applyBorder="1" applyAlignment="1">
      <alignment horizontal="left"/>
    </xf>
    <xf numFmtId="171" fontId="43" fillId="3" borderId="10" xfId="3" applyNumberFormat="1" applyFont="1" applyFill="1" applyBorder="1"/>
    <xf numFmtId="0" fontId="43" fillId="3" borderId="3" xfId="0" applyFont="1" applyFill="1" applyBorder="1" applyAlignment="1">
      <alignment horizontal="left"/>
    </xf>
    <xf numFmtId="171" fontId="43" fillId="3" borderId="16" xfId="3" applyNumberFormat="1" applyFont="1" applyFill="1" applyBorder="1"/>
    <xf numFmtId="0" fontId="43" fillId="3" borderId="16" xfId="0" applyFont="1" applyFill="1" applyBorder="1" applyAlignment="1">
      <alignment horizontal="center"/>
    </xf>
    <xf numFmtId="164" fontId="44" fillId="0" borderId="16" xfId="1" applyFont="1" applyFill="1" applyBorder="1" applyAlignment="1">
      <alignment horizontal="left" vertical="center"/>
    </xf>
    <xf numFmtId="0" fontId="46" fillId="0" borderId="2" xfId="0" applyFont="1" applyBorder="1" applyAlignment="1">
      <alignment horizontal="left"/>
    </xf>
    <xf numFmtId="0" fontId="38" fillId="3" borderId="1" xfId="16" applyFont="1" applyFill="1" applyBorder="1"/>
    <xf numFmtId="0" fontId="38" fillId="3" borderId="1" xfId="16" applyFont="1" applyFill="1" applyBorder="1" applyAlignment="1">
      <alignment horizontal="center" vertical="center"/>
    </xf>
    <xf numFmtId="171" fontId="43" fillId="0" borderId="17" xfId="3" applyNumberFormat="1" applyFont="1" applyFill="1" applyBorder="1"/>
    <xf numFmtId="0" fontId="46" fillId="3" borderId="0" xfId="0" applyFont="1" applyFill="1" applyAlignment="1">
      <alignment horizontal="left"/>
    </xf>
    <xf numFmtId="0" fontId="43" fillId="3" borderId="0" xfId="0" applyFont="1" applyFill="1" applyAlignment="1">
      <alignment horizontal="left"/>
    </xf>
    <xf numFmtId="171" fontId="43" fillId="3" borderId="13" xfId="3" applyNumberFormat="1" applyFont="1" applyFill="1" applyBorder="1"/>
    <xf numFmtId="0" fontId="43" fillId="3" borderId="13" xfId="0" applyFont="1" applyFill="1" applyBorder="1" applyAlignment="1">
      <alignment horizontal="center"/>
    </xf>
    <xf numFmtId="43" fontId="43" fillId="0" borderId="0" xfId="3" applyFont="1" applyFill="1" applyBorder="1"/>
    <xf numFmtId="164" fontId="43" fillId="0" borderId="15" xfId="1" applyFont="1" applyFill="1" applyBorder="1" applyAlignment="1">
      <alignment horizontal="center" vertical="center"/>
    </xf>
    <xf numFmtId="43" fontId="43" fillId="0" borderId="46" xfId="3" applyFont="1" applyFill="1" applyBorder="1"/>
    <xf numFmtId="164" fontId="43" fillId="0" borderId="0" xfId="1" applyFont="1" applyFill="1" applyBorder="1" applyAlignment="1">
      <alignment horizontal="center" vertical="center"/>
    </xf>
    <xf numFmtId="164" fontId="44" fillId="0" borderId="13" xfId="1" applyFont="1" applyFill="1" applyBorder="1" applyAlignment="1">
      <alignment horizontal="left" vertical="center"/>
    </xf>
    <xf numFmtId="43" fontId="42" fillId="0" borderId="10" xfId="3" applyFont="1" applyFill="1" applyBorder="1"/>
    <xf numFmtId="0" fontId="38" fillId="3" borderId="11" xfId="16" applyFont="1" applyFill="1" applyBorder="1" applyAlignment="1">
      <alignment horizontal="center" vertical="center"/>
    </xf>
    <xf numFmtId="0" fontId="43" fillId="3" borderId="11" xfId="0" applyFont="1" applyFill="1" applyBorder="1" applyAlignment="1">
      <alignment horizontal="left"/>
    </xf>
    <xf numFmtId="0" fontId="46" fillId="0" borderId="10" xfId="0" applyFont="1" applyBorder="1" applyAlignment="1">
      <alignment horizontal="center" vertical="center"/>
    </xf>
    <xf numFmtId="166" fontId="39" fillId="0" borderId="2" xfId="0" applyNumberFormat="1" applyFont="1" applyBorder="1"/>
    <xf numFmtId="0" fontId="46" fillId="3" borderId="2" xfId="0" applyFont="1" applyFill="1" applyBorder="1" applyAlignment="1">
      <alignment horizontal="left"/>
    </xf>
    <xf numFmtId="0" fontId="39" fillId="3" borderId="2" xfId="0" applyFont="1" applyFill="1" applyBorder="1" applyAlignment="1">
      <alignment horizontal="left" vertical="center"/>
    </xf>
    <xf numFmtId="0" fontId="42" fillId="3" borderId="3" xfId="0" applyFont="1" applyFill="1" applyBorder="1" applyAlignment="1">
      <alignment horizontal="left" vertical="center"/>
    </xf>
    <xf numFmtId="168" fontId="46" fillId="0" borderId="17" xfId="0" quotePrefix="1" applyNumberFormat="1" applyFont="1" applyBorder="1" applyAlignment="1">
      <alignment horizontal="center" vertical="center"/>
    </xf>
    <xf numFmtId="0" fontId="46" fillId="0" borderId="17" xfId="16" quotePrefix="1" applyFont="1" applyBorder="1" applyAlignment="1">
      <alignment horizontal="center" vertical="center"/>
    </xf>
    <xf numFmtId="0" fontId="46" fillId="0" borderId="1" xfId="16" applyFont="1" applyBorder="1" applyAlignment="1">
      <alignment horizontal="left"/>
    </xf>
    <xf numFmtId="0" fontId="43" fillId="0" borderId="1" xfId="16" applyFont="1" applyBorder="1" applyAlignment="1">
      <alignment horizontal="left"/>
    </xf>
    <xf numFmtId="171" fontId="43" fillId="3" borderId="17" xfId="3" applyNumberFormat="1" applyFont="1" applyFill="1" applyBorder="1"/>
    <xf numFmtId="0" fontId="43" fillId="0" borderId="10" xfId="16" quotePrefix="1" applyFont="1" applyBorder="1" applyAlignment="1">
      <alignment horizontal="center" vertical="center"/>
    </xf>
    <xf numFmtId="0" fontId="34" fillId="3" borderId="1" xfId="16" applyFont="1" applyFill="1" applyBorder="1" applyAlignment="1">
      <alignment horizontal="left"/>
    </xf>
    <xf numFmtId="171" fontId="34" fillId="3" borderId="17" xfId="3" applyNumberFormat="1" applyFont="1" applyFill="1" applyBorder="1"/>
    <xf numFmtId="0" fontId="34" fillId="3" borderId="17" xfId="16" applyFont="1" applyFill="1" applyBorder="1" applyAlignment="1">
      <alignment horizontal="center"/>
    </xf>
    <xf numFmtId="0" fontId="46" fillId="0" borderId="10" xfId="16" quotePrefix="1" applyFont="1" applyBorder="1" applyAlignment="1">
      <alignment horizontal="center" vertical="center"/>
    </xf>
    <xf numFmtId="0" fontId="47" fillId="0" borderId="0" xfId="0" applyFont="1" applyAlignment="1">
      <alignment horizontal="center"/>
    </xf>
    <xf numFmtId="0" fontId="47" fillId="0" borderId="0" xfId="0" applyFont="1"/>
    <xf numFmtId="0" fontId="46" fillId="3" borderId="2" xfId="0" applyFont="1" applyFill="1" applyBorder="1" applyAlignment="1">
      <alignment horizontal="left" vertical="center"/>
    </xf>
    <xf numFmtId="0" fontId="34" fillId="3" borderId="2" xfId="16" applyFont="1" applyFill="1" applyBorder="1" applyAlignment="1">
      <alignment horizontal="center" vertical="center"/>
    </xf>
    <xf numFmtId="0" fontId="34" fillId="3" borderId="3" xfId="16" applyFont="1" applyFill="1" applyBorder="1" applyAlignment="1">
      <alignment horizontal="center" vertical="center"/>
    </xf>
    <xf numFmtId="0" fontId="34" fillId="0" borderId="2" xfId="18" quotePrefix="1" applyFont="1" applyBorder="1" applyAlignment="1">
      <alignment vertical="center"/>
    </xf>
    <xf numFmtId="0" fontId="34" fillId="3" borderId="1" xfId="16" applyFont="1" applyFill="1" applyBorder="1"/>
    <xf numFmtId="0" fontId="34" fillId="3" borderId="1" xfId="16" applyFont="1" applyFill="1" applyBorder="1" applyAlignment="1">
      <alignment horizontal="center" vertical="center"/>
    </xf>
    <xf numFmtId="164" fontId="43" fillId="0" borderId="16" xfId="1" applyFont="1" applyFill="1" applyBorder="1" applyAlignment="1">
      <alignment horizontal="left" vertical="center"/>
    </xf>
    <xf numFmtId="164" fontId="43" fillId="0" borderId="0" xfId="0" applyNumberFormat="1" applyFont="1"/>
    <xf numFmtId="0" fontId="65" fillId="0" borderId="33" xfId="1" applyNumberFormat="1" applyFont="1" applyBorder="1" applyAlignment="1">
      <alignment horizontal="left" vertical="center"/>
    </xf>
    <xf numFmtId="0" fontId="28" fillId="0" borderId="0" xfId="16" applyFont="1" applyAlignment="1">
      <alignment horizontal="left" vertical="center"/>
    </xf>
    <xf numFmtId="0" fontId="28" fillId="0" borderId="0" xfId="16" applyFont="1" applyAlignment="1">
      <alignment vertical="center"/>
    </xf>
    <xf numFmtId="0" fontId="33" fillId="0" borderId="0" xfId="21" applyNumberFormat="1" applyFont="1" applyAlignment="1">
      <alignment horizontal="center" vertical="center"/>
    </xf>
    <xf numFmtId="0" fontId="28" fillId="0" borderId="0" xfId="21" applyNumberFormat="1" applyFont="1" applyAlignment="1">
      <alignment vertical="center"/>
    </xf>
    <xf numFmtId="0" fontId="28" fillId="0" borderId="0" xfId="21" applyNumberFormat="1" applyFont="1" applyFill="1" applyBorder="1" applyAlignment="1">
      <alignment horizontal="left" vertical="center"/>
    </xf>
    <xf numFmtId="0" fontId="38" fillId="0" borderId="0" xfId="16" applyFont="1"/>
    <xf numFmtId="49" fontId="28" fillId="0" borderId="0" xfId="21" applyNumberFormat="1" applyFont="1" applyFill="1" applyBorder="1" applyAlignment="1">
      <alignment vertical="top"/>
    </xf>
    <xf numFmtId="0" fontId="28" fillId="0" borderId="0" xfId="16" applyFont="1" applyAlignment="1">
      <alignment horizontal="left" vertical="top"/>
    </xf>
    <xf numFmtId="0" fontId="28" fillId="0" borderId="0" xfId="16" applyFont="1" applyAlignment="1">
      <alignment vertical="top"/>
    </xf>
    <xf numFmtId="0" fontId="29" fillId="0" borderId="0" xfId="16" applyFont="1" applyAlignment="1">
      <alignment vertical="top"/>
    </xf>
    <xf numFmtId="0" fontId="28" fillId="0" borderId="0" xfId="21" applyNumberFormat="1" applyFont="1" applyFill="1" applyBorder="1" applyAlignment="1">
      <alignment vertical="top"/>
    </xf>
    <xf numFmtId="0" fontId="28" fillId="0" borderId="0" xfId="21" applyNumberFormat="1" applyFont="1" applyFill="1" applyBorder="1" applyAlignment="1">
      <alignment vertical="center"/>
    </xf>
    <xf numFmtId="49" fontId="28" fillId="0" borderId="1" xfId="21" applyNumberFormat="1" applyFont="1" applyFill="1" applyBorder="1" applyAlignment="1">
      <alignment vertical="top"/>
    </xf>
    <xf numFmtId="0" fontId="28" fillId="0" borderId="1" xfId="16" applyFont="1" applyBorder="1" applyAlignment="1">
      <alignment horizontal="left" vertical="top"/>
    </xf>
    <xf numFmtId="0" fontId="28" fillId="0" borderId="1" xfId="16" applyFont="1" applyBorder="1" applyAlignment="1">
      <alignment vertical="top"/>
    </xf>
    <xf numFmtId="0" fontId="28" fillId="0" borderId="1" xfId="16" applyFont="1" applyBorder="1" applyAlignment="1">
      <alignment vertical="center"/>
    </xf>
    <xf numFmtId="0" fontId="28" fillId="0" borderId="1" xfId="21" applyNumberFormat="1" applyFont="1" applyFill="1" applyBorder="1" applyAlignment="1">
      <alignment vertical="top"/>
    </xf>
    <xf numFmtId="0" fontId="28" fillId="0" borderId="1" xfId="16" applyFont="1" applyBorder="1" applyAlignment="1">
      <alignment horizontal="right"/>
    </xf>
    <xf numFmtId="49" fontId="28" fillId="0" borderId="2" xfId="21" applyNumberFormat="1" applyFont="1" applyFill="1" applyBorder="1" applyAlignment="1">
      <alignment vertical="top"/>
    </xf>
    <xf numFmtId="0" fontId="28" fillId="0" borderId="2" xfId="16" applyFont="1" applyBorder="1" applyAlignment="1">
      <alignment horizontal="left" vertical="top"/>
    </xf>
    <xf numFmtId="0" fontId="28" fillId="0" borderId="2" xfId="16" applyFont="1" applyBorder="1" applyAlignment="1">
      <alignment vertical="top"/>
    </xf>
    <xf numFmtId="0" fontId="28" fillId="0" borderId="2" xfId="21" applyNumberFormat="1" applyFont="1" applyFill="1" applyBorder="1" applyAlignment="1">
      <alignment vertical="top"/>
    </xf>
    <xf numFmtId="0" fontId="28" fillId="0" borderId="2" xfId="16" applyFont="1" applyBorder="1" applyAlignment="1">
      <alignment horizontal="right"/>
    </xf>
    <xf numFmtId="0" fontId="28" fillId="0" borderId="0" xfId="16" applyFont="1"/>
    <xf numFmtId="0" fontId="29" fillId="0" borderId="2" xfId="16" applyFont="1" applyBorder="1" applyAlignment="1">
      <alignment horizontal="left" vertical="top"/>
    </xf>
    <xf numFmtId="3" fontId="28" fillId="0" borderId="2" xfId="16" applyNumberFormat="1" applyFont="1" applyBorder="1" applyAlignment="1">
      <alignment vertical="center"/>
    </xf>
    <xf numFmtId="0" fontId="28" fillId="0" borderId="2" xfId="21" applyNumberFormat="1" applyFont="1" applyFill="1" applyBorder="1" applyAlignment="1">
      <alignment vertical="center"/>
    </xf>
    <xf numFmtId="0" fontId="29" fillId="0" borderId="2" xfId="21" applyNumberFormat="1" applyFont="1" applyBorder="1" applyAlignment="1">
      <alignment horizontal="left" vertical="top"/>
    </xf>
    <xf numFmtId="0" fontId="32" fillId="0" borderId="2" xfId="16" applyFont="1" applyBorder="1" applyAlignment="1">
      <alignment vertical="top"/>
    </xf>
    <xf numFmtId="0" fontId="32" fillId="0" borderId="2" xfId="16" quotePrefix="1" applyFont="1" applyBorder="1" applyAlignment="1">
      <alignment horizontal="center" vertical="top"/>
    </xf>
    <xf numFmtId="17" fontId="29" fillId="0" borderId="2" xfId="21" applyNumberFormat="1" applyFont="1" applyBorder="1" applyAlignment="1">
      <alignment vertical="top"/>
    </xf>
    <xf numFmtId="164" fontId="32" fillId="0" borderId="0" xfId="21" applyFont="1" applyAlignment="1">
      <alignment vertical="center"/>
    </xf>
    <xf numFmtId="0" fontId="32" fillId="0" borderId="0" xfId="16" applyFont="1" applyAlignment="1">
      <alignment vertical="center"/>
    </xf>
    <xf numFmtId="0" fontId="32" fillId="0" borderId="0" xfId="21" applyNumberFormat="1" applyFont="1" applyAlignment="1">
      <alignment vertical="center"/>
    </xf>
    <xf numFmtId="0" fontId="32" fillId="0" borderId="0" xfId="21" applyNumberFormat="1" applyFont="1" applyAlignment="1">
      <alignment horizontal="center" vertical="center"/>
    </xf>
    <xf numFmtId="164" fontId="28" fillId="0" borderId="4" xfId="21" applyFont="1" applyFill="1" applyBorder="1" applyAlignment="1">
      <alignment horizontal="center" vertical="center"/>
    </xf>
    <xf numFmtId="164" fontId="28" fillId="0" borderId="23" xfId="21" applyFont="1" applyFill="1" applyBorder="1" applyAlignment="1">
      <alignment horizontal="center" vertical="center"/>
    </xf>
    <xf numFmtId="0" fontId="48" fillId="0" borderId="17" xfId="16" quotePrefix="1" applyFont="1" applyBorder="1" applyAlignment="1">
      <alignment horizontal="center" vertical="center" wrapText="1"/>
    </xf>
    <xf numFmtId="0" fontId="48" fillId="0" borderId="1" xfId="16" applyFont="1" applyBorder="1"/>
    <xf numFmtId="0" fontId="48" fillId="0" borderId="1" xfId="16" applyFont="1" applyBorder="1" applyAlignment="1">
      <alignment horizontal="left" vertical="center"/>
    </xf>
    <xf numFmtId="0" fontId="38" fillId="0" borderId="19" xfId="16" applyFont="1" applyBorder="1" applyAlignment="1">
      <alignment horizontal="center" vertical="center"/>
    </xf>
    <xf numFmtId="0" fontId="38" fillId="0" borderId="17" xfId="16" applyFont="1" applyBorder="1" applyAlignment="1">
      <alignment horizontal="center" vertical="center"/>
    </xf>
    <xf numFmtId="164" fontId="38" fillId="0" borderId="1" xfId="21" applyFont="1" applyFill="1" applyBorder="1" applyAlignment="1">
      <alignment horizontal="center" vertical="center"/>
    </xf>
    <xf numFmtId="164" fontId="40" fillId="0" borderId="36" xfId="21" applyFont="1" applyFill="1" applyBorder="1" applyAlignment="1">
      <alignment horizontal="center" vertical="center"/>
    </xf>
    <xf numFmtId="0" fontId="48" fillId="0" borderId="10" xfId="16" quotePrefix="1" applyFont="1" applyBorder="1" applyAlignment="1">
      <alignment horizontal="center" vertical="center"/>
    </xf>
    <xf numFmtId="0" fontId="48" fillId="0" borderId="2" xfId="16" applyFont="1" applyBorder="1" applyAlignment="1">
      <alignment horizontal="left"/>
    </xf>
    <xf numFmtId="0" fontId="38" fillId="0" borderId="2" xfId="16" applyFont="1" applyBorder="1"/>
    <xf numFmtId="0" fontId="38" fillId="0" borderId="11" xfId="16" applyFont="1" applyBorder="1" applyAlignment="1">
      <alignment horizontal="center" vertical="center"/>
    </xf>
    <xf numFmtId="0" fontId="38" fillId="0" borderId="10" xfId="16" applyFont="1" applyBorder="1" applyAlignment="1">
      <alignment horizontal="center" vertical="center"/>
    </xf>
    <xf numFmtId="164" fontId="38" fillId="0" borderId="2" xfId="21" applyFont="1" applyFill="1" applyBorder="1" applyAlignment="1">
      <alignment horizontal="center" vertical="center"/>
    </xf>
    <xf numFmtId="164" fontId="40" fillId="0" borderId="10" xfId="21" applyFont="1" applyFill="1" applyBorder="1" applyAlignment="1">
      <alignment horizontal="left" vertical="center"/>
    </xf>
    <xf numFmtId="0" fontId="38" fillId="0" borderId="16" xfId="16" quotePrefix="1" applyFont="1" applyBorder="1" applyAlignment="1">
      <alignment horizontal="center" vertical="center"/>
    </xf>
    <xf numFmtId="0" fontId="43" fillId="0" borderId="3" xfId="16" applyFont="1" applyBorder="1" applyAlignment="1">
      <alignment horizontal="left" vertical="center"/>
    </xf>
    <xf numFmtId="0" fontId="38" fillId="0" borderId="3" xfId="16" applyFont="1" applyBorder="1"/>
    <xf numFmtId="0" fontId="38" fillId="0" borderId="28" xfId="16" applyFont="1" applyBorder="1" applyAlignment="1">
      <alignment horizontal="center" vertical="center"/>
    </xf>
    <xf numFmtId="175" fontId="43" fillId="0" borderId="10" xfId="22" applyNumberFormat="1" applyFont="1" applyFill="1" applyBorder="1" applyAlignment="1">
      <alignment horizontal="center" vertical="center"/>
    </xf>
    <xf numFmtId="0" fontId="43" fillId="0" borderId="10" xfId="16" applyFont="1" applyBorder="1" applyAlignment="1">
      <alignment horizontal="center" vertical="center"/>
    </xf>
    <xf numFmtId="164" fontId="38" fillId="0" borderId="3" xfId="21" applyFont="1" applyFill="1" applyBorder="1" applyAlignment="1">
      <alignment horizontal="center" vertical="center"/>
    </xf>
    <xf numFmtId="164" fontId="40" fillId="0" borderId="16" xfId="21" applyFont="1" applyFill="1" applyBorder="1" applyAlignment="1">
      <alignment horizontal="left" vertical="center"/>
    </xf>
    <xf numFmtId="175" fontId="43" fillId="0" borderId="16" xfId="22" applyNumberFormat="1" applyFont="1" applyFill="1" applyBorder="1" applyAlignment="1">
      <alignment horizontal="center" vertical="center"/>
    </xf>
    <xf numFmtId="164" fontId="44" fillId="0" borderId="10" xfId="21" applyFont="1" applyFill="1" applyBorder="1" applyAlignment="1">
      <alignment horizontal="left" vertical="center"/>
    </xf>
    <xf numFmtId="164" fontId="43" fillId="0" borderId="10" xfId="21" applyFont="1" applyFill="1" applyBorder="1" applyAlignment="1">
      <alignment horizontal="left" vertical="center"/>
    </xf>
    <xf numFmtId="0" fontId="38" fillId="0" borderId="10" xfId="16" quotePrefix="1" applyFont="1" applyBorder="1" applyAlignment="1">
      <alignment horizontal="center" vertical="center"/>
    </xf>
    <xf numFmtId="0" fontId="48" fillId="0" borderId="17" xfId="16" applyFont="1" applyBorder="1" applyAlignment="1">
      <alignment horizontal="center" vertical="center"/>
    </xf>
    <xf numFmtId="164" fontId="48" fillId="0" borderId="1" xfId="21" applyFont="1" applyFill="1" applyBorder="1" applyAlignment="1">
      <alignment horizontal="center" vertical="center"/>
    </xf>
    <xf numFmtId="164" fontId="40" fillId="0" borderId="17" xfId="21" applyFont="1" applyFill="1" applyBorder="1" applyAlignment="1">
      <alignment horizontal="left" vertical="center"/>
    </xf>
    <xf numFmtId="0" fontId="38" fillId="0" borderId="1" xfId="16" applyFont="1" applyBorder="1" applyAlignment="1">
      <alignment horizontal="left"/>
    </xf>
    <xf numFmtId="0" fontId="38" fillId="0" borderId="1" xfId="16" applyFont="1" applyBorder="1"/>
    <xf numFmtId="0" fontId="38" fillId="0" borderId="17" xfId="16" quotePrefix="1" applyFont="1" applyBorder="1" applyAlignment="1">
      <alignment horizontal="center" vertical="center"/>
    </xf>
    <xf numFmtId="0" fontId="38" fillId="0" borderId="32" xfId="16" quotePrefix="1" applyFont="1" applyBorder="1" applyAlignment="1">
      <alignment horizontal="center" vertical="center"/>
    </xf>
    <xf numFmtId="0" fontId="48" fillId="0" borderId="34" xfId="16" quotePrefix="1" applyFont="1" applyBorder="1" applyAlignment="1">
      <alignment horizontal="left"/>
    </xf>
    <xf numFmtId="0" fontId="38" fillId="0" borderId="34" xfId="16" applyFont="1" applyBorder="1"/>
    <xf numFmtId="0" fontId="38" fillId="0" borderId="35" xfId="16" applyFont="1" applyBorder="1" applyAlignment="1">
      <alignment horizontal="center" vertical="center"/>
    </xf>
    <xf numFmtId="0" fontId="38" fillId="0" borderId="32" xfId="16" applyFont="1" applyBorder="1" applyAlignment="1">
      <alignment horizontal="center" vertical="center"/>
    </xf>
    <xf numFmtId="164" fontId="38" fillId="0" borderId="34" xfId="21" applyFont="1" applyFill="1" applyBorder="1" applyAlignment="1">
      <alignment horizontal="center" vertical="center"/>
    </xf>
    <xf numFmtId="164" fontId="40" fillId="0" borderId="32" xfId="21" applyFont="1" applyFill="1" applyBorder="1" applyAlignment="1">
      <alignment horizontal="left" vertical="center"/>
    </xf>
    <xf numFmtId="164" fontId="38" fillId="2" borderId="20" xfId="4" applyFont="1" applyFill="1" applyBorder="1" applyAlignment="1">
      <alignment horizontal="center" vertical="center"/>
    </xf>
    <xf numFmtId="164" fontId="38" fillId="2" borderId="26" xfId="4" applyFont="1" applyFill="1" applyBorder="1" applyAlignment="1">
      <alignment horizontal="center" vertical="center"/>
    </xf>
    <xf numFmtId="164" fontId="38" fillId="2" borderId="9" xfId="4" applyFont="1" applyFill="1" applyBorder="1" applyAlignment="1">
      <alignment horizontal="center" vertical="center"/>
    </xf>
    <xf numFmtId="164" fontId="48" fillId="2" borderId="20" xfId="4" applyFont="1" applyFill="1" applyBorder="1" applyAlignment="1">
      <alignment horizontal="center" vertical="center"/>
    </xf>
    <xf numFmtId="0" fontId="38" fillId="0" borderId="0" xfId="16" applyFont="1" applyAlignment="1">
      <alignment horizontal="center"/>
    </xf>
    <xf numFmtId="0" fontId="40" fillId="0" borderId="0" xfId="16" applyFont="1" applyAlignment="1">
      <alignment horizontal="center"/>
    </xf>
    <xf numFmtId="0" fontId="36" fillId="0" borderId="0" xfId="20" applyFont="1" applyAlignment="1">
      <alignment vertical="center"/>
    </xf>
    <xf numFmtId="0" fontId="36" fillId="0" borderId="0" xfId="20" applyFont="1" applyAlignment="1">
      <alignment horizontal="center" vertical="center"/>
    </xf>
    <xf numFmtId="169" fontId="29" fillId="0" borderId="0" xfId="20" applyNumberFormat="1" applyFont="1" applyAlignment="1">
      <alignment horizontal="left" vertical="center"/>
    </xf>
    <xf numFmtId="0" fontId="32" fillId="0" borderId="0" xfId="20" applyFont="1" applyAlignment="1">
      <alignment vertical="center"/>
    </xf>
    <xf numFmtId="0" fontId="30" fillId="0" borderId="0" xfId="20" applyFont="1" applyAlignment="1">
      <alignment vertical="center"/>
    </xf>
    <xf numFmtId="0" fontId="30" fillId="0" borderId="0" xfId="20" applyFont="1" applyAlignment="1">
      <alignment horizontal="left" vertical="center"/>
    </xf>
    <xf numFmtId="49" fontId="28" fillId="0" borderId="0" xfId="21" applyNumberFormat="1" applyFont="1" applyBorder="1" applyAlignment="1">
      <alignment vertical="top"/>
    </xf>
    <xf numFmtId="0" fontId="30" fillId="0" borderId="0" xfId="20" applyFont="1" applyAlignment="1">
      <alignment horizontal="left" vertical="top"/>
    </xf>
    <xf numFmtId="0" fontId="49" fillId="0" borderId="0" xfId="20" applyFont="1" applyAlignment="1">
      <alignment vertical="center"/>
    </xf>
    <xf numFmtId="49" fontId="28" fillId="0" borderId="1" xfId="21" applyNumberFormat="1" applyFont="1" applyBorder="1" applyAlignment="1">
      <alignment vertical="top"/>
    </xf>
    <xf numFmtId="0" fontId="29" fillId="0" borderId="1" xfId="20" applyFont="1" applyBorder="1" applyAlignment="1">
      <alignment horizontal="center" vertical="center"/>
    </xf>
    <xf numFmtId="0" fontId="30" fillId="0" borderId="1" xfId="20" applyFont="1" applyBorder="1" applyAlignment="1">
      <alignment vertical="center"/>
    </xf>
    <xf numFmtId="0" fontId="29" fillId="0" borderId="1" xfId="20" applyFont="1" applyBorder="1" applyAlignment="1">
      <alignment vertical="center"/>
    </xf>
    <xf numFmtId="3" fontId="29" fillId="0" borderId="1" xfId="20" applyNumberFormat="1" applyFont="1" applyBorder="1" applyAlignment="1">
      <alignment vertical="center"/>
    </xf>
    <xf numFmtId="49" fontId="28" fillId="0" borderId="2" xfId="21" applyNumberFormat="1" applyFont="1" applyBorder="1" applyAlignment="1">
      <alignment vertical="top"/>
    </xf>
    <xf numFmtId="0" fontId="29" fillId="0" borderId="2" xfId="20" applyFont="1" applyBorder="1" applyAlignment="1">
      <alignment horizontal="center" vertical="center"/>
    </xf>
    <xf numFmtId="0" fontId="29" fillId="0" borderId="2" xfId="20" applyFont="1" applyBorder="1" applyAlignment="1">
      <alignment vertical="center"/>
    </xf>
    <xf numFmtId="3" fontId="29" fillId="0" borderId="2" xfId="20" applyNumberFormat="1" applyFont="1" applyBorder="1" applyAlignment="1">
      <alignment vertical="center"/>
    </xf>
    <xf numFmtId="3" fontId="77" fillId="0" borderId="1" xfId="20" applyNumberFormat="1" applyFont="1" applyBorder="1" applyAlignment="1">
      <alignment horizontal="right" vertical="center"/>
    </xf>
    <xf numFmtId="0" fontId="36" fillId="0" borderId="2" xfId="20" applyFont="1" applyBorder="1" applyAlignment="1">
      <alignment vertical="center"/>
    </xf>
    <xf numFmtId="3" fontId="29" fillId="0" borderId="0" xfId="20" applyNumberFormat="1" applyFont="1" applyAlignment="1">
      <alignment vertical="center"/>
    </xf>
    <xf numFmtId="0" fontId="29" fillId="0" borderId="0" xfId="20" applyFont="1" applyAlignment="1">
      <alignment vertical="center"/>
    </xf>
    <xf numFmtId="3" fontId="29" fillId="0" borderId="2" xfId="20" applyNumberFormat="1" applyFont="1" applyBorder="1" applyAlignment="1">
      <alignment horizontal="left" vertical="center"/>
    </xf>
    <xf numFmtId="0" fontId="29" fillId="0" borderId="2" xfId="21" applyNumberFormat="1" applyFont="1" applyBorder="1" applyAlignment="1">
      <alignment horizontal="right" vertical="top"/>
    </xf>
    <xf numFmtId="0" fontId="29" fillId="0" borderId="2" xfId="21" applyNumberFormat="1" applyFont="1" applyBorder="1" applyAlignment="1">
      <alignment vertical="top"/>
    </xf>
    <xf numFmtId="0" fontId="32" fillId="0" borderId="0" xfId="16" applyFont="1" applyAlignment="1">
      <alignment vertical="top"/>
    </xf>
    <xf numFmtId="0" fontId="29" fillId="0" borderId="2" xfId="21" applyNumberFormat="1" applyFont="1" applyBorder="1" applyAlignment="1">
      <alignment horizontal="center" vertical="top"/>
    </xf>
    <xf numFmtId="0" fontId="29" fillId="0" borderId="0" xfId="21" applyNumberFormat="1" applyFont="1" applyBorder="1" applyAlignment="1">
      <alignment horizontal="left" vertical="top"/>
    </xf>
    <xf numFmtId="0" fontId="32" fillId="0" borderId="0" xfId="16" quotePrefix="1" applyFont="1" applyAlignment="1">
      <alignment horizontal="center" vertical="top"/>
    </xf>
    <xf numFmtId="0" fontId="29" fillId="0" borderId="0" xfId="21" applyNumberFormat="1" applyFont="1" applyBorder="1" applyAlignment="1">
      <alignment horizontal="center" vertical="top"/>
    </xf>
    <xf numFmtId="0" fontId="29" fillId="0" borderId="0" xfId="21" applyNumberFormat="1" applyFont="1" applyBorder="1" applyAlignment="1">
      <alignment vertical="top"/>
    </xf>
    <xf numFmtId="3" fontId="30" fillId="0" borderId="3" xfId="20" applyNumberFormat="1" applyFont="1" applyBorder="1" applyAlignment="1">
      <alignment horizontal="right"/>
    </xf>
    <xf numFmtId="0" fontId="29" fillId="0" borderId="0" xfId="20" applyFont="1" applyAlignment="1">
      <alignment horizontal="center" vertical="center"/>
    </xf>
    <xf numFmtId="49" fontId="29" fillId="0" borderId="0" xfId="20" applyNumberFormat="1" applyFont="1" applyAlignment="1">
      <alignment vertical="center"/>
    </xf>
    <xf numFmtId="3" fontId="29" fillId="0" borderId="0" xfId="20" applyNumberFormat="1" applyFont="1" applyAlignment="1">
      <alignment horizontal="center" vertical="center"/>
    </xf>
    <xf numFmtId="0" fontId="32" fillId="0" borderId="10" xfId="20" applyFont="1" applyBorder="1" applyAlignment="1">
      <alignment horizontal="center" vertical="center"/>
    </xf>
    <xf numFmtId="164" fontId="32" fillId="0" borderId="10" xfId="21" applyFont="1" applyBorder="1" applyAlignment="1">
      <alignment vertical="center"/>
    </xf>
    <xf numFmtId="0" fontId="42" fillId="0" borderId="17" xfId="20" quotePrefix="1" applyFont="1" applyBorder="1" applyAlignment="1">
      <alignment horizontal="center" vertical="center"/>
    </xf>
    <xf numFmtId="164" fontId="42" fillId="0" borderId="10" xfId="21" applyFont="1" applyBorder="1" applyAlignment="1">
      <alignment vertical="center"/>
    </xf>
    <xf numFmtId="0" fontId="32" fillId="0" borderId="17" xfId="20" applyFont="1" applyBorder="1" applyAlignment="1">
      <alignment horizontal="center" vertical="center"/>
    </xf>
    <xf numFmtId="0" fontId="32" fillId="0" borderId="17" xfId="20" applyFont="1" applyBorder="1" applyAlignment="1">
      <alignment horizontal="right" vertical="center"/>
    </xf>
    <xf numFmtId="0" fontId="42" fillId="0" borderId="17" xfId="20" applyFont="1" applyBorder="1" applyAlignment="1">
      <alignment horizontal="center" vertical="center"/>
    </xf>
    <xf numFmtId="164" fontId="42" fillId="0" borderId="10" xfId="21" applyFont="1" applyBorder="1" applyAlignment="1">
      <alignment horizontal="center" vertical="center"/>
    </xf>
    <xf numFmtId="0" fontId="42" fillId="0" borderId="0" xfId="20" applyFont="1" applyAlignment="1">
      <alignment vertical="center"/>
    </xf>
    <xf numFmtId="164" fontId="42" fillId="0" borderId="0" xfId="1" applyFont="1" applyAlignment="1">
      <alignment vertical="center"/>
    </xf>
    <xf numFmtId="164" fontId="32" fillId="0" borderId="10" xfId="21" applyFont="1" applyBorder="1" applyAlignment="1">
      <alignment horizontal="center" vertical="center"/>
    </xf>
    <xf numFmtId="0" fontId="32" fillId="0" borderId="55" xfId="20" applyFont="1" applyBorder="1" applyAlignment="1">
      <alignment horizontal="center" vertical="center"/>
    </xf>
    <xf numFmtId="164" fontId="78" fillId="0" borderId="55" xfId="21" applyFont="1" applyBorder="1" applyAlignment="1">
      <alignment vertical="center"/>
    </xf>
    <xf numFmtId="0" fontId="41" fillId="0" borderId="0" xfId="20" applyFont="1" applyAlignment="1">
      <alignment horizontal="center" vertical="center"/>
    </xf>
    <xf numFmtId="0" fontId="41" fillId="0" borderId="59" xfId="20" applyFont="1" applyBorder="1" applyAlignment="1">
      <alignment vertical="center"/>
    </xf>
    <xf numFmtId="164" fontId="38" fillId="0" borderId="55" xfId="21" applyFont="1" applyBorder="1" applyAlignment="1">
      <alignment vertical="center"/>
    </xf>
    <xf numFmtId="0" fontId="41" fillId="0" borderId="0" xfId="20" applyFont="1" applyAlignment="1">
      <alignment vertical="center"/>
    </xf>
    <xf numFmtId="0" fontId="39" fillId="0" borderId="0" xfId="20" applyFont="1" applyAlignment="1">
      <alignment horizontal="center" vertical="center"/>
    </xf>
    <xf numFmtId="0" fontId="39" fillId="0" borderId="0" xfId="20" applyFont="1" applyAlignment="1">
      <alignment vertical="center"/>
    </xf>
    <xf numFmtId="0" fontId="79" fillId="0" borderId="0" xfId="20" applyFont="1" applyAlignment="1">
      <alignment horizontal="center" vertical="center"/>
    </xf>
    <xf numFmtId="9" fontId="42" fillId="0" borderId="0" xfId="23" applyFont="1" applyBorder="1" applyAlignment="1">
      <alignment horizontal="center" vertical="center"/>
    </xf>
    <xf numFmtId="173" fontId="39" fillId="0" borderId="0" xfId="20" applyNumberFormat="1" applyFont="1" applyAlignment="1">
      <alignment vertical="center"/>
    </xf>
    <xf numFmtId="164" fontId="39" fillId="0" borderId="0" xfId="21" applyFont="1" applyBorder="1" applyAlignment="1">
      <alignment vertical="center"/>
    </xf>
    <xf numFmtId="10" fontId="80" fillId="0" borderId="0" xfId="20" applyNumberFormat="1" applyFont="1" applyAlignment="1">
      <alignment vertical="center"/>
    </xf>
    <xf numFmtId="173" fontId="80" fillId="0" borderId="0" xfId="20" applyNumberFormat="1" applyFont="1" applyAlignment="1">
      <alignment vertical="center"/>
    </xf>
    <xf numFmtId="164" fontId="39" fillId="0" borderId="0" xfId="1" applyFont="1" applyBorder="1" applyAlignment="1">
      <alignment vertical="center"/>
    </xf>
    <xf numFmtId="0" fontId="41" fillId="0" borderId="0" xfId="20" applyFont="1" applyAlignment="1">
      <alignment horizontal="right" vertical="center"/>
    </xf>
    <xf numFmtId="164" fontId="38" fillId="0" borderId="0" xfId="21" applyFont="1" applyBorder="1" applyAlignment="1">
      <alignment vertical="center"/>
    </xf>
    <xf numFmtId="173" fontId="42" fillId="0" borderId="0" xfId="20" applyNumberFormat="1" applyFont="1" applyAlignment="1">
      <alignment horizontal="center" vertical="center"/>
    </xf>
    <xf numFmtId="0" fontId="32" fillId="0" borderId="0" xfId="20" applyFont="1" applyAlignment="1">
      <alignment horizontal="center" vertical="center"/>
    </xf>
    <xf numFmtId="0" fontId="29" fillId="0" borderId="2" xfId="36" applyNumberFormat="1" applyFont="1" applyBorder="1" applyAlignment="1">
      <alignment horizontal="left" vertical="top"/>
    </xf>
    <xf numFmtId="0" fontId="29" fillId="0" borderId="2" xfId="36" applyNumberFormat="1" applyFont="1" applyBorder="1" applyAlignment="1">
      <alignment horizontal="center" vertical="top"/>
    </xf>
    <xf numFmtId="0" fontId="29" fillId="0" borderId="2" xfId="36" applyNumberFormat="1" applyFont="1" applyBorder="1" applyAlignment="1">
      <alignment vertical="top"/>
    </xf>
    <xf numFmtId="0" fontId="29" fillId="0" borderId="0" xfId="36" applyNumberFormat="1" applyFont="1" applyBorder="1" applyAlignment="1">
      <alignment horizontal="left" vertical="top"/>
    </xf>
    <xf numFmtId="0" fontId="29" fillId="0" borderId="0" xfId="36" applyNumberFormat="1" applyFont="1" applyBorder="1" applyAlignment="1">
      <alignment horizontal="center" vertical="top"/>
    </xf>
    <xf numFmtId="0" fontId="29" fillId="0" borderId="0" xfId="36" applyNumberFormat="1" applyFont="1" applyBorder="1" applyAlignment="1">
      <alignment vertical="top"/>
    </xf>
    <xf numFmtId="3" fontId="30" fillId="0" borderId="3" xfId="37" applyNumberFormat="1" applyFont="1" applyBorder="1" applyAlignment="1">
      <alignment horizontal="right"/>
    </xf>
    <xf numFmtId="0" fontId="29" fillId="0" borderId="0" xfId="37" applyFont="1" applyAlignment="1">
      <alignment vertical="center"/>
    </xf>
    <xf numFmtId="0" fontId="29" fillId="0" borderId="0" xfId="37" applyFont="1" applyAlignment="1">
      <alignment horizontal="center" vertical="center"/>
    </xf>
    <xf numFmtId="49" fontId="29" fillId="0" borderId="0" xfId="37" applyNumberFormat="1" applyFont="1" applyAlignment="1">
      <alignment vertical="center"/>
    </xf>
    <xf numFmtId="0" fontId="36" fillId="0" borderId="0" xfId="37" applyFont="1" applyAlignment="1">
      <alignment vertical="center"/>
    </xf>
    <xf numFmtId="3" fontId="29" fillId="0" borderId="0" xfId="37" applyNumberFormat="1" applyFont="1" applyAlignment="1">
      <alignment horizontal="center" vertical="center"/>
    </xf>
    <xf numFmtId="0" fontId="32" fillId="0" borderId="10" xfId="37" applyFont="1" applyBorder="1" applyAlignment="1">
      <alignment horizontal="center" vertical="center"/>
    </xf>
    <xf numFmtId="164" fontId="32" fillId="0" borderId="10" xfId="36" applyFont="1" applyBorder="1" applyAlignment="1">
      <alignment horizontal="center" vertical="center"/>
    </xf>
    <xf numFmtId="0" fontId="42" fillId="0" borderId="17" xfId="37" quotePrefix="1" applyFont="1" applyBorder="1" applyAlignment="1">
      <alignment horizontal="center" vertical="center"/>
    </xf>
    <xf numFmtId="164" fontId="42" fillId="0" borderId="10" xfId="36" applyFont="1" applyBorder="1" applyAlignment="1">
      <alignment vertical="center"/>
    </xf>
    <xf numFmtId="0" fontId="32" fillId="0" borderId="17" xfId="37" applyFont="1" applyBorder="1" applyAlignment="1">
      <alignment horizontal="center" vertical="center"/>
    </xf>
    <xf numFmtId="164" fontId="32" fillId="0" borderId="10" xfId="36" applyFont="1" applyBorder="1" applyAlignment="1">
      <alignment vertical="center"/>
    </xf>
    <xf numFmtId="0" fontId="32" fillId="0" borderId="17" xfId="37" applyFont="1" applyBorder="1" applyAlignment="1">
      <alignment horizontal="right" vertical="center"/>
    </xf>
    <xf numFmtId="0" fontId="42" fillId="0" borderId="17" xfId="37" applyFont="1" applyBorder="1" applyAlignment="1">
      <alignment horizontal="center" vertical="center"/>
    </xf>
    <xf numFmtId="164" fontId="42" fillId="0" borderId="10" xfId="36" applyFont="1" applyBorder="1" applyAlignment="1">
      <alignment horizontal="center" vertical="center"/>
    </xf>
    <xf numFmtId="0" fontId="32" fillId="0" borderId="55" xfId="37" applyFont="1" applyBorder="1" applyAlignment="1">
      <alignment horizontal="center" vertical="center"/>
    </xf>
    <xf numFmtId="164" fontId="78" fillId="0" borderId="55" xfId="36" applyFont="1" applyBorder="1" applyAlignment="1">
      <alignment vertical="center"/>
    </xf>
    <xf numFmtId="0" fontId="41" fillId="0" borderId="0" xfId="37" applyFont="1" applyAlignment="1">
      <alignment horizontal="center" vertical="center"/>
    </xf>
    <xf numFmtId="0" fontId="41" fillId="0" borderId="0" xfId="37" applyFont="1" applyAlignment="1">
      <alignment vertical="center"/>
    </xf>
    <xf numFmtId="0" fontId="41" fillId="0" borderId="0" xfId="37" applyFont="1" applyAlignment="1">
      <alignment horizontal="right" vertical="center"/>
    </xf>
    <xf numFmtId="164" fontId="38" fillId="0" borderId="55" xfId="36" applyFont="1" applyBorder="1" applyAlignment="1">
      <alignment vertical="center"/>
    </xf>
    <xf numFmtId="0" fontId="39" fillId="0" borderId="0" xfId="37" applyFont="1" applyAlignment="1">
      <alignment horizontal="center" vertical="center"/>
    </xf>
    <xf numFmtId="0" fontId="42" fillId="0" borderId="0" xfId="37" applyFont="1" applyAlignment="1">
      <alignment vertical="center"/>
    </xf>
    <xf numFmtId="0" fontId="79" fillId="0" borderId="0" xfId="37" applyFont="1" applyAlignment="1">
      <alignment horizontal="center" vertical="center"/>
    </xf>
    <xf numFmtId="9" fontId="42" fillId="0" borderId="0" xfId="38" applyFont="1" applyBorder="1" applyAlignment="1">
      <alignment horizontal="center" vertical="center"/>
    </xf>
    <xf numFmtId="0" fontId="19" fillId="0" borderId="0" xfId="37" applyFont="1" applyAlignment="1">
      <alignment vertical="center"/>
    </xf>
    <xf numFmtId="0" fontId="19" fillId="0" borderId="0" xfId="37" applyFont="1" applyAlignment="1">
      <alignment horizontal="center" vertical="center"/>
    </xf>
    <xf numFmtId="43" fontId="32" fillId="0" borderId="0" xfId="20" applyNumberFormat="1" applyFont="1" applyAlignment="1">
      <alignment vertical="center"/>
    </xf>
    <xf numFmtId="164" fontId="38" fillId="0" borderId="0" xfId="36" applyFont="1" applyBorder="1" applyAlignment="1">
      <alignment vertical="center"/>
    </xf>
    <xf numFmtId="173" fontId="42" fillId="0" borderId="0" xfId="37" applyNumberFormat="1" applyFont="1" applyAlignment="1">
      <alignment horizontal="center" vertical="center"/>
    </xf>
    <xf numFmtId="43" fontId="19" fillId="0" borderId="0" xfId="0" applyNumberFormat="1" applyFont="1" applyAlignment="1">
      <alignment vertical="center"/>
    </xf>
    <xf numFmtId="0" fontId="61" fillId="0" borderId="20" xfId="0" applyFont="1" applyBorder="1" applyAlignment="1">
      <alignment vertical="center"/>
    </xf>
    <xf numFmtId="0" fontId="61" fillId="0" borderId="20" xfId="0" applyFont="1" applyBorder="1" applyAlignment="1">
      <alignment horizontal="center" vertical="center"/>
    </xf>
    <xf numFmtId="43" fontId="61" fillId="0" borderId="20" xfId="0" applyNumberFormat="1" applyFont="1" applyBorder="1" applyAlignment="1">
      <alignment vertical="center"/>
    </xf>
    <xf numFmtId="164" fontId="61" fillId="0" borderId="20" xfId="1" applyFont="1" applyBorder="1" applyAlignment="1">
      <alignment vertical="center"/>
    </xf>
    <xf numFmtId="164" fontId="61" fillId="0" borderId="20" xfId="0" applyNumberFormat="1" applyFont="1" applyBorder="1" applyAlignment="1">
      <alignment vertical="center"/>
    </xf>
    <xf numFmtId="0" fontId="65" fillId="0" borderId="16" xfId="0" quotePrefix="1" applyFont="1" applyBorder="1" applyAlignment="1">
      <alignment horizontal="center" vertical="center"/>
    </xf>
    <xf numFmtId="0" fontId="65" fillId="0" borderId="47" xfId="1" applyNumberFormat="1" applyFont="1" applyBorder="1" applyAlignment="1">
      <alignment horizontal="left" vertical="center"/>
    </xf>
    <xf numFmtId="164" fontId="65" fillId="0" borderId="16" xfId="1" applyFont="1" applyBorder="1" applyAlignment="1">
      <alignment vertical="center"/>
    </xf>
    <xf numFmtId="173" fontId="65" fillId="0" borderId="16" xfId="0" applyNumberFormat="1" applyFont="1" applyBorder="1" applyAlignment="1">
      <alignment horizontal="center" vertical="center"/>
    </xf>
    <xf numFmtId="3" fontId="65" fillId="0" borderId="16" xfId="0" applyNumberFormat="1" applyFont="1" applyBorder="1" applyAlignment="1">
      <alignment vertical="center"/>
    </xf>
    <xf numFmtId="0" fontId="43" fillId="0" borderId="16" xfId="0" applyFont="1" applyBorder="1" applyAlignment="1">
      <alignment horizontal="center" vertical="center"/>
    </xf>
    <xf numFmtId="43" fontId="43" fillId="0" borderId="16" xfId="3" applyFont="1" applyFill="1" applyBorder="1"/>
    <xf numFmtId="0" fontId="46" fillId="0" borderId="10" xfId="0" quotePrefix="1" applyFont="1" applyBorder="1" applyAlignment="1">
      <alignment horizontal="center" vertical="center"/>
    </xf>
    <xf numFmtId="164" fontId="43" fillId="0" borderId="61" xfId="1" applyFont="1" applyFill="1" applyBorder="1" applyAlignment="1">
      <alignment horizontal="center" vertical="center"/>
    </xf>
    <xf numFmtId="164" fontId="43" fillId="0" borderId="62" xfId="1" applyFont="1" applyFill="1" applyBorder="1" applyAlignment="1">
      <alignment horizontal="center" vertical="center"/>
    </xf>
    <xf numFmtId="0" fontId="46" fillId="0" borderId="3" xfId="0" applyFont="1" applyFill="1" applyBorder="1" applyAlignment="1">
      <alignment horizontal="left"/>
    </xf>
    <xf numFmtId="0" fontId="43" fillId="0" borderId="3" xfId="0" applyFont="1" applyFill="1" applyBorder="1" applyAlignment="1">
      <alignment horizontal="left"/>
    </xf>
    <xf numFmtId="164" fontId="30" fillId="0" borderId="23" xfId="1" applyFont="1" applyFill="1" applyBorder="1" applyAlignment="1">
      <alignment horizontal="center" vertical="center"/>
    </xf>
    <xf numFmtId="164" fontId="42" fillId="3" borderId="10" xfId="1" applyFont="1" applyFill="1" applyBorder="1" applyAlignment="1">
      <alignment horizontal="center" vertical="center"/>
    </xf>
    <xf numFmtId="43" fontId="46" fillId="0" borderId="10" xfId="0" applyNumberFormat="1" applyFont="1" applyBorder="1" applyAlignment="1">
      <alignment horizontal="center" vertical="center"/>
    </xf>
    <xf numFmtId="0" fontId="29" fillId="0" borderId="2" xfId="36" applyNumberFormat="1" applyFont="1" applyBorder="1" applyAlignment="1">
      <alignment horizontal="left" vertical="top"/>
    </xf>
    <xf numFmtId="0" fontId="28" fillId="0" borderId="0" xfId="0" applyFont="1" applyAlignment="1">
      <alignment horizontal="center" vertical="center"/>
    </xf>
    <xf numFmtId="0" fontId="81" fillId="0" borderId="0" xfId="1" applyNumberFormat="1" applyFont="1" applyAlignment="1">
      <alignment vertical="center"/>
    </xf>
    <xf numFmtId="49" fontId="28" fillId="0" borderId="1" xfId="1" applyNumberFormat="1" applyFont="1" applyFill="1" applyBorder="1" applyAlignment="1">
      <alignment horizontal="left"/>
    </xf>
    <xf numFmtId="0" fontId="81" fillId="0" borderId="1" xfId="1" applyNumberFormat="1" applyFont="1" applyFill="1" applyBorder="1" applyAlignment="1">
      <alignment vertical="center"/>
    </xf>
    <xf numFmtId="49" fontId="28" fillId="0" borderId="2" xfId="1" applyNumberFormat="1" applyFont="1" applyFill="1" applyBorder="1" applyAlignment="1">
      <alignment horizontal="left" vertical="top"/>
    </xf>
    <xf numFmtId="0" fontId="81" fillId="0" borderId="2" xfId="0" applyFont="1" applyBorder="1" applyAlignment="1">
      <alignment horizontal="right"/>
    </xf>
    <xf numFmtId="49" fontId="28" fillId="0" borderId="2" xfId="1" applyNumberFormat="1" applyFont="1" applyFill="1" applyBorder="1" applyAlignment="1">
      <alignment horizontal="center" vertical="top"/>
    </xf>
    <xf numFmtId="0" fontId="81" fillId="0" borderId="2" xfId="1" applyNumberFormat="1" applyFont="1" applyFill="1" applyBorder="1" applyAlignment="1">
      <alignment vertical="center"/>
    </xf>
    <xf numFmtId="0" fontId="29" fillId="0" borderId="2" xfId="1" applyNumberFormat="1" applyFont="1" applyBorder="1" applyAlignment="1">
      <alignment horizontal="right"/>
    </xf>
    <xf numFmtId="0" fontId="83" fillId="0" borderId="17" xfId="0" quotePrefix="1" applyFont="1" applyBorder="1" applyAlignment="1">
      <alignment horizontal="center" vertical="center" wrapText="1"/>
    </xf>
    <xf numFmtId="166" fontId="83" fillId="0" borderId="1" xfId="0" applyNumberFormat="1" applyFont="1" applyBorder="1" applyAlignment="1">
      <alignment vertical="center"/>
    </xf>
    <xf numFmtId="0" fontId="84" fillId="0" borderId="1" xfId="0" applyFont="1" applyBorder="1" applyAlignment="1">
      <alignment vertical="center"/>
    </xf>
    <xf numFmtId="0" fontId="85" fillId="0" borderId="19" xfId="0" applyFont="1" applyBorder="1" applyAlignment="1">
      <alignment vertical="center"/>
    </xf>
    <xf numFmtId="169" fontId="19" fillId="3" borderId="19" xfId="1" applyNumberFormat="1" applyFont="1" applyFill="1" applyBorder="1" applyAlignment="1">
      <alignment horizontal="center" vertical="center" wrapText="1"/>
    </xf>
    <xf numFmtId="164" fontId="19" fillId="3" borderId="19" xfId="1" applyFont="1" applyFill="1" applyBorder="1" applyAlignment="1">
      <alignment horizontal="center" vertical="center" wrapText="1"/>
    </xf>
    <xf numFmtId="165" fontId="86" fillId="0" borderId="1" xfId="3" applyNumberFormat="1" applyFont="1" applyFill="1" applyBorder="1" applyAlignment="1">
      <alignment horizontal="centerContinuous"/>
    </xf>
    <xf numFmtId="164" fontId="86" fillId="0" borderId="18" xfId="1" applyFont="1" applyFill="1" applyBorder="1" applyAlignment="1">
      <alignment horizontal="center" vertical="center"/>
    </xf>
    <xf numFmtId="164" fontId="86" fillId="0" borderId="1" xfId="1" applyFont="1" applyFill="1" applyBorder="1" applyAlignment="1">
      <alignment horizontal="center" vertical="center"/>
    </xf>
    <xf numFmtId="164" fontId="86" fillId="0" borderId="19" xfId="1" applyFont="1" applyFill="1" applyBorder="1" applyAlignment="1">
      <alignment horizontal="center" vertical="center"/>
    </xf>
    <xf numFmtId="164" fontId="87" fillId="0" borderId="19" xfId="1" applyFont="1" applyFill="1" applyBorder="1" applyAlignment="1">
      <alignment horizontal="center" vertical="center"/>
    </xf>
    <xf numFmtId="0" fontId="88" fillId="0" borderId="17" xfId="0" quotePrefix="1" applyFont="1" applyBorder="1" applyAlignment="1">
      <alignment horizontal="center" vertical="center" wrapText="1"/>
    </xf>
    <xf numFmtId="166" fontId="88" fillId="0" borderId="0" xfId="0" applyNumberFormat="1" applyFont="1" applyAlignment="1">
      <alignment vertical="center"/>
    </xf>
    <xf numFmtId="0" fontId="89" fillId="0" borderId="1" xfId="0" applyFont="1" applyBorder="1" applyAlignment="1">
      <alignment vertical="center"/>
    </xf>
    <xf numFmtId="0" fontId="24" fillId="5" borderId="10" xfId="8" applyFont="1" applyFill="1" applyBorder="1" applyAlignment="1">
      <alignment horizontal="center" vertical="center"/>
    </xf>
    <xf numFmtId="166" fontId="24" fillId="5" borderId="47" xfId="8" applyNumberFormat="1" applyFont="1" applyFill="1" applyBorder="1" applyAlignment="1">
      <alignment horizontal="left" vertical="center"/>
    </xf>
    <xf numFmtId="0" fontId="90" fillId="0" borderId="2" xfId="0" applyFont="1" applyBorder="1" applyAlignment="1">
      <alignment vertical="center"/>
    </xf>
    <xf numFmtId="0" fontId="91" fillId="0" borderId="19" xfId="0" applyFont="1" applyBorder="1" applyAlignment="1">
      <alignment vertical="center"/>
    </xf>
    <xf numFmtId="169" fontId="24" fillId="5" borderId="19" xfId="1" applyNumberFormat="1" applyFont="1" applyFill="1" applyBorder="1" applyAlignment="1">
      <alignment horizontal="center" vertical="center"/>
    </xf>
    <xf numFmtId="164" fontId="24" fillId="5" borderId="19" xfId="1" applyFont="1" applyFill="1" applyBorder="1" applyAlignment="1">
      <alignment horizontal="center" vertical="center" wrapText="1"/>
    </xf>
    <xf numFmtId="165" fontId="34" fillId="0" borderId="2" xfId="3" applyNumberFormat="1" applyFont="1" applyFill="1" applyBorder="1" applyAlignment="1">
      <alignment horizontal="centerContinuous"/>
    </xf>
    <xf numFmtId="164" fontId="34" fillId="0" borderId="12" xfId="1" applyFont="1" applyFill="1" applyBorder="1" applyAlignment="1">
      <alignment horizontal="center" vertical="center"/>
    </xf>
    <xf numFmtId="164" fontId="34" fillId="0" borderId="2" xfId="1" applyFont="1" applyFill="1" applyBorder="1" applyAlignment="1">
      <alignment horizontal="center" vertical="center"/>
    </xf>
    <xf numFmtId="164" fontId="92" fillId="0" borderId="11" xfId="1" applyFont="1" applyFill="1" applyBorder="1" applyAlignment="1">
      <alignment horizontal="left" vertical="center"/>
    </xf>
    <xf numFmtId="0" fontId="93" fillId="0" borderId="0" xfId="0" applyFont="1"/>
    <xf numFmtId="43" fontId="93" fillId="0" borderId="0" xfId="0" applyNumberFormat="1" applyFont="1"/>
    <xf numFmtId="0" fontId="91" fillId="0" borderId="2" xfId="0" applyFont="1" applyBorder="1" applyAlignment="1">
      <alignment vertical="center"/>
    </xf>
    <xf numFmtId="0" fontId="24" fillId="5" borderId="2" xfId="0" applyFont="1" applyFill="1" applyBorder="1" applyAlignment="1">
      <alignment vertical="center"/>
    </xf>
    <xf numFmtId="0" fontId="24" fillId="5" borderId="11" xfId="0" applyFont="1" applyFill="1" applyBorder="1" applyAlignment="1">
      <alignment vertical="center"/>
    </xf>
    <xf numFmtId="176" fontId="24" fillId="5" borderId="10" xfId="8" applyNumberFormat="1" applyFont="1" applyFill="1" applyBorder="1" applyAlignment="1">
      <alignment horizontal="center" vertical="center"/>
    </xf>
    <xf numFmtId="166" fontId="24" fillId="5" borderId="27" xfId="8" applyNumberFormat="1" applyFont="1" applyFill="1" applyBorder="1" applyAlignment="1">
      <alignment horizontal="left" vertical="center"/>
    </xf>
    <xf numFmtId="169" fontId="24" fillId="5" borderId="11" xfId="1" applyNumberFormat="1" applyFont="1" applyFill="1" applyBorder="1" applyAlignment="1">
      <alignment horizontal="center" vertical="center"/>
    </xf>
    <xf numFmtId="164" fontId="24" fillId="5" borderId="11" xfId="1" applyFont="1" applyFill="1" applyBorder="1" applyAlignment="1">
      <alignment horizontal="center" vertical="center" wrapText="1"/>
    </xf>
    <xf numFmtId="165" fontId="34" fillId="0" borderId="66" xfId="3" applyNumberFormat="1" applyFont="1" applyFill="1" applyBorder="1" applyAlignment="1">
      <alignment horizontal="centerContinuous"/>
    </xf>
    <xf numFmtId="0" fontId="34" fillId="2" borderId="8" xfId="0" applyFont="1" applyFill="1" applyBorder="1" applyAlignment="1">
      <alignment horizontal="center" vertical="center"/>
    </xf>
    <xf numFmtId="0" fontId="34" fillId="2" borderId="26" xfId="0" applyFont="1" applyFill="1" applyBorder="1" applyAlignment="1">
      <alignment horizontal="center" vertical="center"/>
    </xf>
    <xf numFmtId="164" fontId="34" fillId="2" borderId="26" xfId="1" applyFont="1" applyFill="1" applyBorder="1" applyAlignment="1">
      <alignment horizontal="center" vertical="center"/>
    </xf>
    <xf numFmtId="164" fontId="34" fillId="2" borderId="9" xfId="1" applyFont="1" applyFill="1" applyBorder="1" applyAlignment="1">
      <alignment horizontal="center" vertical="center"/>
    </xf>
    <xf numFmtId="164" fontId="34" fillId="2" borderId="25" xfId="1" applyFont="1" applyFill="1" applyBorder="1" applyAlignment="1">
      <alignment horizontal="center" vertical="center"/>
    </xf>
    <xf numFmtId="0" fontId="93" fillId="0" borderId="0" xfId="0" applyFont="1" applyAlignment="1">
      <alignment horizontal="center"/>
    </xf>
    <xf numFmtId="169" fontId="18" fillId="0" borderId="0" xfId="0" applyNumberFormat="1" applyFont="1"/>
    <xf numFmtId="3" fontId="18" fillId="0" borderId="0" xfId="0" applyNumberFormat="1" applyFont="1"/>
    <xf numFmtId="0" fontId="94" fillId="0" borderId="0" xfId="0" applyFont="1"/>
    <xf numFmtId="0" fontId="29" fillId="0" borderId="0" xfId="1" applyNumberFormat="1" applyFont="1" applyFill="1" applyAlignment="1">
      <alignment vertical="center"/>
    </xf>
    <xf numFmtId="0" fontId="29" fillId="0" borderId="0" xfId="1" applyNumberFormat="1" applyFont="1" applyAlignment="1">
      <alignment vertical="center"/>
    </xf>
    <xf numFmtId="0" fontId="29" fillId="0" borderId="0" xfId="1" applyNumberFormat="1" applyFont="1" applyFill="1" applyBorder="1" applyAlignment="1">
      <alignment horizontal="left" vertical="center"/>
    </xf>
    <xf numFmtId="0" fontId="29" fillId="0" borderId="0" xfId="0" applyFont="1"/>
    <xf numFmtId="0" fontId="29" fillId="0" borderId="1" xfId="1" applyNumberFormat="1" applyFont="1" applyFill="1" applyBorder="1" applyAlignment="1">
      <alignment vertical="top"/>
    </xf>
    <xf numFmtId="0" fontId="29" fillId="0" borderId="1" xfId="1" applyNumberFormat="1" applyFont="1" applyBorder="1" applyAlignment="1">
      <alignment vertical="top"/>
    </xf>
    <xf numFmtId="0" fontId="29" fillId="0" borderId="2" xfId="1" applyNumberFormat="1" applyFont="1" applyFill="1" applyBorder="1" applyAlignment="1">
      <alignment vertical="top"/>
    </xf>
    <xf numFmtId="0" fontId="29" fillId="0" borderId="2" xfId="0" applyFont="1" applyBorder="1"/>
    <xf numFmtId="0" fontId="29" fillId="0" borderId="1" xfId="1" applyNumberFormat="1" applyFont="1" applyFill="1" applyBorder="1" applyAlignment="1">
      <alignment horizontal="right" vertical="top"/>
    </xf>
    <xf numFmtId="0" fontId="29" fillId="0" borderId="1" xfId="1" applyNumberFormat="1" applyFont="1" applyFill="1" applyBorder="1" applyAlignment="1">
      <alignment horizontal="center" vertical="top"/>
    </xf>
    <xf numFmtId="0" fontId="29" fillId="0" borderId="2" xfId="1" applyNumberFormat="1" applyFont="1" applyFill="1" applyBorder="1" applyAlignment="1">
      <alignment vertical="center"/>
    </xf>
    <xf numFmtId="0" fontId="29" fillId="0" borderId="2" xfId="1" applyNumberFormat="1" applyFont="1" applyFill="1" applyBorder="1" applyAlignment="1">
      <alignment horizontal="left" vertical="top"/>
    </xf>
    <xf numFmtId="165" fontId="19" fillId="0" borderId="1" xfId="3" applyNumberFormat="1" applyFont="1" applyFill="1" applyBorder="1" applyAlignment="1">
      <alignment horizontal="centerContinuous"/>
    </xf>
    <xf numFmtId="164" fontId="19" fillId="0" borderId="18" xfId="1" applyFont="1" applyFill="1" applyBorder="1" applyAlignment="1">
      <alignment horizontal="center" vertical="center"/>
    </xf>
    <xf numFmtId="164" fontId="19" fillId="0" borderId="1" xfId="1" applyFont="1" applyFill="1" applyBorder="1" applyAlignment="1">
      <alignment horizontal="center" vertical="center"/>
    </xf>
    <xf numFmtId="164" fontId="19" fillId="0" borderId="19" xfId="1" applyFont="1" applyFill="1" applyBorder="1" applyAlignment="1">
      <alignment horizontal="center" vertical="center"/>
    </xf>
    <xf numFmtId="164" fontId="92" fillId="0" borderId="7" xfId="1" applyFont="1" applyFill="1" applyBorder="1" applyAlignment="1">
      <alignment horizontal="left" vertical="center"/>
    </xf>
    <xf numFmtId="165" fontId="24" fillId="0" borderId="2" xfId="3" applyNumberFormat="1" applyFont="1" applyFill="1" applyBorder="1" applyAlignment="1">
      <alignment horizontal="centerContinuous"/>
    </xf>
    <xf numFmtId="164" fontId="24" fillId="0" borderId="12" xfId="1" applyFont="1" applyFill="1" applyBorder="1" applyAlignment="1">
      <alignment horizontal="center" vertical="center"/>
    </xf>
    <xf numFmtId="164" fontId="24" fillId="0" borderId="2" xfId="1" applyFont="1" applyFill="1" applyBorder="1" applyAlignment="1">
      <alignment horizontal="center" vertical="center"/>
    </xf>
    <xf numFmtId="164" fontId="92" fillId="0" borderId="28" xfId="1" applyFont="1" applyFill="1" applyBorder="1" applyAlignment="1">
      <alignment horizontal="left" vertical="center"/>
    </xf>
    <xf numFmtId="176" fontId="24" fillId="5" borderId="10" xfId="8" applyNumberFormat="1" applyFont="1" applyFill="1" applyBorder="1" applyAlignment="1">
      <alignment horizontal="left" vertical="center"/>
    </xf>
    <xf numFmtId="176" fontId="24" fillId="0" borderId="10" xfId="8" applyNumberFormat="1" applyFont="1" applyBorder="1" applyAlignment="1">
      <alignment horizontal="center" vertical="center"/>
    </xf>
    <xf numFmtId="166" fontId="24" fillId="0" borderId="47" xfId="8" applyNumberFormat="1" applyFont="1" applyBorder="1" applyAlignment="1">
      <alignment horizontal="left" vertical="center"/>
    </xf>
    <xf numFmtId="0" fontId="24" fillId="0" borderId="2" xfId="0" applyFont="1" applyBorder="1" applyAlignment="1">
      <alignment vertical="center"/>
    </xf>
    <xf numFmtId="0" fontId="24" fillId="0" borderId="11" xfId="0" applyFont="1" applyBorder="1" applyAlignment="1">
      <alignment vertical="center"/>
    </xf>
    <xf numFmtId="164" fontId="24" fillId="0" borderId="19" xfId="1" applyFont="1" applyFill="1" applyBorder="1" applyAlignment="1">
      <alignment horizontal="center" vertical="center" wrapText="1"/>
    </xf>
    <xf numFmtId="176" fontId="24" fillId="5" borderId="16" xfId="8" applyNumberFormat="1" applyFont="1" applyFill="1" applyBorder="1" applyAlignment="1">
      <alignment horizontal="center" vertical="center"/>
    </xf>
    <xf numFmtId="0" fontId="24" fillId="5" borderId="3" xfId="0" applyFont="1" applyFill="1" applyBorder="1" applyAlignment="1">
      <alignment vertical="center"/>
    </xf>
    <xf numFmtId="0" fontId="24" fillId="5" borderId="28" xfId="0" applyFont="1" applyFill="1" applyBorder="1" applyAlignment="1">
      <alignment vertical="center"/>
    </xf>
    <xf numFmtId="164" fontId="24" fillId="5" borderId="28" xfId="1" applyFont="1" applyFill="1" applyBorder="1" applyAlignment="1">
      <alignment horizontal="center" vertical="center" wrapText="1"/>
    </xf>
    <xf numFmtId="165" fontId="24" fillId="0" borderId="3" xfId="3" applyNumberFormat="1" applyFont="1" applyFill="1" applyBorder="1" applyAlignment="1">
      <alignment horizontal="centerContinuous"/>
    </xf>
    <xf numFmtId="164" fontId="24" fillId="0" borderId="29" xfId="1" applyFont="1" applyFill="1" applyBorder="1" applyAlignment="1">
      <alignment horizontal="center" vertical="center"/>
    </xf>
    <xf numFmtId="164" fontId="24" fillId="0" borderId="3" xfId="1" applyFont="1" applyFill="1" applyBorder="1" applyAlignment="1">
      <alignment horizontal="center" vertical="center"/>
    </xf>
    <xf numFmtId="165" fontId="24" fillId="0" borderId="66" xfId="3" applyNumberFormat="1" applyFont="1" applyFill="1" applyBorder="1" applyAlignment="1">
      <alignment horizontal="centerContinuous"/>
    </xf>
    <xf numFmtId="176" fontId="24" fillId="5" borderId="17" xfId="8" applyNumberFormat="1" applyFont="1" applyFill="1" applyBorder="1" applyAlignment="1">
      <alignment horizontal="center" vertical="center"/>
    </xf>
    <xf numFmtId="166" fontId="24" fillId="5" borderId="30" xfId="8" applyNumberFormat="1" applyFont="1" applyFill="1" applyBorder="1" applyAlignment="1">
      <alignment horizontal="left" vertical="center"/>
    </xf>
    <xf numFmtId="0" fontId="24" fillId="5" borderId="1" xfId="0" applyFont="1" applyFill="1" applyBorder="1" applyAlignment="1">
      <alignment vertical="center"/>
    </xf>
    <xf numFmtId="0" fontId="24" fillId="5" borderId="19" xfId="0" applyFont="1" applyFill="1" applyBorder="1" applyAlignment="1">
      <alignment vertical="center"/>
    </xf>
    <xf numFmtId="165" fontId="24" fillId="0" borderId="1" xfId="3" applyNumberFormat="1" applyFont="1" applyFill="1" applyBorder="1" applyAlignment="1">
      <alignment horizontal="centerContinuous"/>
    </xf>
    <xf numFmtId="164" fontId="24" fillId="0" borderId="18" xfId="1" applyFont="1" applyFill="1" applyBorder="1" applyAlignment="1">
      <alignment horizontal="center" vertical="center"/>
    </xf>
    <xf numFmtId="164" fontId="24" fillId="0" borderId="1" xfId="1" applyFont="1" applyFill="1" applyBorder="1" applyAlignment="1">
      <alignment horizontal="center" vertical="center"/>
    </xf>
    <xf numFmtId="164" fontId="92" fillId="2" borderId="20" xfId="4" applyFont="1" applyFill="1" applyBorder="1" applyAlignment="1">
      <alignment horizontal="center" vertical="center"/>
    </xf>
    <xf numFmtId="169" fontId="95" fillId="2" borderId="20" xfId="4" applyNumberFormat="1" applyFont="1" applyFill="1" applyBorder="1" applyAlignment="1">
      <alignment horizontal="center" vertical="center"/>
    </xf>
    <xf numFmtId="164" fontId="95" fillId="2" borderId="20" xfId="4" applyFont="1" applyFill="1" applyBorder="1" applyAlignment="1">
      <alignment horizontal="center" vertical="center"/>
    </xf>
    <xf numFmtId="164" fontId="96" fillId="2" borderId="64" xfId="4" applyFont="1" applyFill="1" applyBorder="1" applyAlignment="1">
      <alignment horizontal="center" vertical="center"/>
    </xf>
    <xf numFmtId="164" fontId="96" fillId="2" borderId="25" xfId="4" applyFont="1" applyFill="1" applyBorder="1" applyAlignment="1">
      <alignment horizontal="center" vertical="center"/>
    </xf>
    <xf numFmtId="164" fontId="96" fillId="2" borderId="20" xfId="4" applyFont="1" applyFill="1" applyBorder="1" applyAlignment="1">
      <alignment horizontal="center" vertical="center"/>
    </xf>
    <xf numFmtId="0" fontId="96" fillId="5" borderId="36" xfId="8" applyFont="1" applyFill="1" applyBorder="1" applyAlignment="1">
      <alignment horizontal="center" vertical="center"/>
    </xf>
    <xf numFmtId="166" fontId="96" fillId="5" borderId="39" xfId="8" applyNumberFormat="1" applyFont="1" applyFill="1" applyBorder="1" applyAlignment="1">
      <alignment horizontal="left" vertical="center"/>
    </xf>
    <xf numFmtId="0" fontId="96" fillId="5" borderId="37" xfId="8" applyFont="1" applyFill="1" applyBorder="1" applyAlignment="1">
      <alignment horizontal="left" vertical="center"/>
    </xf>
    <xf numFmtId="0" fontId="24" fillId="5" borderId="37" xfId="8" applyFont="1" applyFill="1" applyBorder="1" applyAlignment="1">
      <alignment horizontal="left" vertical="center"/>
    </xf>
    <xf numFmtId="169" fontId="24" fillId="0" borderId="36" xfId="4" applyNumberFormat="1" applyFont="1" applyBorder="1" applyAlignment="1">
      <alignment horizontal="center" vertical="center"/>
    </xf>
    <xf numFmtId="164" fontId="24" fillId="0" borderId="38" xfId="4" applyFont="1" applyBorder="1" applyAlignment="1">
      <alignment horizontal="center" vertical="center"/>
    </xf>
    <xf numFmtId="164" fontId="24" fillId="0" borderId="39" xfId="4" applyFont="1" applyBorder="1" applyAlignment="1">
      <alignment horizontal="centerContinuous" vertical="center"/>
    </xf>
    <xf numFmtId="164" fontId="24" fillId="3" borderId="75" xfId="4" applyFont="1" applyFill="1" applyBorder="1" applyAlignment="1">
      <alignment horizontal="center" vertical="center"/>
    </xf>
    <xf numFmtId="164" fontId="24" fillId="3" borderId="37" xfId="4" applyFont="1" applyFill="1" applyBorder="1" applyAlignment="1">
      <alignment horizontal="center" vertical="center"/>
    </xf>
    <xf numFmtId="164" fontId="92" fillId="0" borderId="36" xfId="1" applyFont="1" applyFill="1" applyBorder="1" applyAlignment="1">
      <alignment horizontal="left" vertical="center"/>
    </xf>
    <xf numFmtId="0" fontId="24" fillId="5" borderId="10" xfId="8" quotePrefix="1" applyFont="1" applyFill="1" applyBorder="1" applyAlignment="1">
      <alignment horizontal="center" vertical="center"/>
    </xf>
    <xf numFmtId="0" fontId="24" fillId="5" borderId="2" xfId="8" applyFont="1" applyFill="1" applyBorder="1" applyAlignment="1">
      <alignment horizontal="left" vertical="center"/>
    </xf>
    <xf numFmtId="169" fontId="24" fillId="0" borderId="10" xfId="4" applyNumberFormat="1" applyFont="1" applyBorder="1" applyAlignment="1">
      <alignment horizontal="center" vertical="center"/>
    </xf>
    <xf numFmtId="164" fontId="24" fillId="0" borderId="11" xfId="4" applyFont="1" applyBorder="1" applyAlignment="1">
      <alignment horizontal="center" vertical="center"/>
    </xf>
    <xf numFmtId="164" fontId="24" fillId="0" borderId="27" xfId="4" applyFont="1" applyBorder="1" applyAlignment="1">
      <alignment horizontal="centerContinuous" vertical="center"/>
    </xf>
    <xf numFmtId="164" fontId="24" fillId="3" borderId="12" xfId="4" applyFont="1" applyFill="1" applyBorder="1" applyAlignment="1">
      <alignment horizontal="center" vertical="center"/>
    </xf>
    <xf numFmtId="164" fontId="24" fillId="3" borderId="2" xfId="4" applyFont="1" applyFill="1" applyBorder="1" applyAlignment="1">
      <alignment horizontal="center" vertical="center"/>
    </xf>
    <xf numFmtId="164" fontId="92" fillId="0" borderId="10" xfId="1" applyFont="1" applyFill="1" applyBorder="1" applyAlignment="1">
      <alignment horizontal="left" vertical="center"/>
    </xf>
    <xf numFmtId="164" fontId="24" fillId="3" borderId="10" xfId="11" applyNumberFormat="1" applyFont="1" applyFill="1" applyBorder="1"/>
    <xf numFmtId="166" fontId="24" fillId="0" borderId="27" xfId="8" applyNumberFormat="1" applyFont="1" applyBorder="1" applyAlignment="1">
      <alignment horizontal="left" vertical="center"/>
    </xf>
    <xf numFmtId="0" fontId="24" fillId="0" borderId="2" xfId="8" applyFont="1" applyBorder="1" applyAlignment="1">
      <alignment horizontal="left" vertical="center"/>
    </xf>
    <xf numFmtId="169" fontId="24" fillId="0" borderId="10" xfId="4" applyNumberFormat="1" applyFont="1" applyFill="1" applyBorder="1" applyAlignment="1">
      <alignment horizontal="center" vertical="center"/>
    </xf>
    <xf numFmtId="164" fontId="24" fillId="0" borderId="11" xfId="1" applyFont="1" applyFill="1" applyBorder="1" applyAlignment="1">
      <alignment horizontal="center" vertical="center" wrapText="1"/>
    </xf>
    <xf numFmtId="164" fontId="92" fillId="3" borderId="11" xfId="4" applyFont="1" applyFill="1" applyBorder="1" applyAlignment="1">
      <alignment horizontal="center" vertical="center"/>
    </xf>
    <xf numFmtId="39" fontId="24" fillId="3" borderId="10" xfId="4" applyNumberFormat="1" applyFont="1" applyFill="1" applyBorder="1" applyAlignment="1">
      <alignment horizontal="right" vertical="center"/>
    </xf>
    <xf numFmtId="164" fontId="24" fillId="0" borderId="2" xfId="1" applyFont="1" applyBorder="1" applyAlignment="1">
      <alignment horizontal="center" vertical="center"/>
    </xf>
    <xf numFmtId="164" fontId="24" fillId="0" borderId="66" xfId="1" applyFont="1" applyBorder="1" applyAlignment="1">
      <alignment horizontal="center" vertical="center"/>
    </xf>
    <xf numFmtId="164" fontId="98" fillId="0" borderId="16" xfId="1" applyFont="1" applyFill="1" applyBorder="1" applyAlignment="1">
      <alignment horizontal="center" vertical="center"/>
    </xf>
    <xf numFmtId="0" fontId="24" fillId="5" borderId="3" xfId="8" applyFont="1" applyFill="1" applyBorder="1" applyAlignment="1">
      <alignment horizontal="left" vertical="center"/>
    </xf>
    <xf numFmtId="169" fontId="34" fillId="0" borderId="16" xfId="3" applyNumberFormat="1" applyFont="1" applyFill="1" applyBorder="1"/>
    <xf numFmtId="0" fontId="34" fillId="0" borderId="16" xfId="0" applyFont="1" applyBorder="1" applyAlignment="1">
      <alignment horizontal="center"/>
    </xf>
    <xf numFmtId="43" fontId="24" fillId="0" borderId="3" xfId="3" applyFont="1" applyFill="1" applyBorder="1"/>
    <xf numFmtId="43" fontId="24" fillId="0" borderId="31" xfId="3" applyFont="1" applyFill="1" applyBorder="1"/>
    <xf numFmtId="164" fontId="92" fillId="0" borderId="16" xfId="1" applyFont="1" applyFill="1" applyBorder="1" applyAlignment="1">
      <alignment horizontal="left" vertical="center"/>
    </xf>
    <xf numFmtId="176" fontId="96" fillId="5" borderId="17" xfId="0" applyNumberFormat="1" applyFont="1" applyFill="1" applyBorder="1" applyAlignment="1">
      <alignment horizontal="center" vertical="center"/>
    </xf>
    <xf numFmtId="166" fontId="96" fillId="5" borderId="30" xfId="8" applyNumberFormat="1" applyFont="1" applyFill="1" applyBorder="1" applyAlignment="1">
      <alignment horizontal="left" vertical="center"/>
    </xf>
    <xf numFmtId="0" fontId="24" fillId="3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vertical="center" wrapText="1"/>
    </xf>
    <xf numFmtId="169" fontId="24" fillId="0" borderId="17" xfId="1" applyNumberFormat="1" applyFont="1" applyBorder="1" applyAlignment="1">
      <alignment horizontal="center" vertical="center"/>
    </xf>
    <xf numFmtId="0" fontId="24" fillId="3" borderId="17" xfId="0" applyFont="1" applyFill="1" applyBorder="1" applyAlignment="1">
      <alignment horizontal="center" vertical="center"/>
    </xf>
    <xf numFmtId="164" fontId="24" fillId="0" borderId="1" xfId="12" applyFont="1" applyBorder="1"/>
    <xf numFmtId="164" fontId="24" fillId="0" borderId="70" xfId="1" applyFont="1" applyBorder="1" applyAlignment="1">
      <alignment horizontal="center" vertical="center"/>
    </xf>
    <xf numFmtId="164" fontId="24" fillId="0" borderId="68" xfId="12" applyFont="1" applyBorder="1"/>
    <xf numFmtId="43" fontId="24" fillId="3" borderId="19" xfId="10" applyFont="1" applyFill="1" applyBorder="1" applyAlignment="1">
      <alignment vertical="center"/>
    </xf>
    <xf numFmtId="164" fontId="24" fillId="3" borderId="17" xfId="1" applyFont="1" applyFill="1" applyBorder="1" applyAlignment="1">
      <alignment horizontal="center" vertical="center"/>
    </xf>
    <xf numFmtId="164" fontId="92" fillId="0" borderId="17" xfId="1" applyFont="1" applyFill="1" applyBorder="1" applyAlignment="1">
      <alignment horizontal="left" vertical="center"/>
    </xf>
    <xf numFmtId="164" fontId="24" fillId="0" borderId="2" xfId="4" applyFont="1" applyBorder="1" applyAlignment="1">
      <alignment horizontal="centerContinuous" vertical="center"/>
    </xf>
    <xf numFmtId="164" fontId="24" fillId="0" borderId="61" xfId="12" applyFont="1" applyBorder="1"/>
    <xf numFmtId="43" fontId="24" fillId="3" borderId="11" xfId="10" applyFont="1" applyFill="1" applyBorder="1" applyAlignment="1">
      <alignment vertical="center"/>
    </xf>
    <xf numFmtId="164" fontId="98" fillId="0" borderId="10" xfId="1" applyFont="1" applyFill="1" applyBorder="1" applyAlignment="1">
      <alignment horizontal="left" vertical="center"/>
    </xf>
    <xf numFmtId="176" fontId="24" fillId="5" borderId="10" xfId="0" applyNumberFormat="1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vertical="center"/>
    </xf>
    <xf numFmtId="0" fontId="24" fillId="3" borderId="2" xfId="0" applyFont="1" applyFill="1" applyBorder="1" applyAlignment="1">
      <alignment vertical="center" wrapText="1"/>
    </xf>
    <xf numFmtId="169" fontId="24" fillId="0" borderId="10" xfId="1" applyNumberFormat="1" applyFont="1" applyBorder="1" applyAlignment="1">
      <alignment horizontal="center" vertical="center"/>
    </xf>
    <xf numFmtId="164" fontId="24" fillId="0" borderId="2" xfId="12" applyFont="1" applyBorder="1"/>
    <xf numFmtId="176" fontId="96" fillId="5" borderId="10" xfId="0" applyNumberFormat="1" applyFont="1" applyFill="1" applyBorder="1" applyAlignment="1">
      <alignment horizontal="center" vertical="center"/>
    </xf>
    <xf numFmtId="0" fontId="24" fillId="3" borderId="10" xfId="0" applyFont="1" applyFill="1" applyBorder="1" applyAlignment="1">
      <alignment horizontal="center" vertical="center"/>
    </xf>
    <xf numFmtId="43" fontId="24" fillId="3" borderId="12" xfId="10" applyFont="1" applyFill="1" applyBorder="1" applyAlignment="1">
      <alignment vertical="center"/>
    </xf>
    <xf numFmtId="176" fontId="96" fillId="5" borderId="16" xfId="0" applyNumberFormat="1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vertical="center"/>
    </xf>
    <xf numFmtId="0" fontId="24" fillId="3" borderId="3" xfId="0" applyFont="1" applyFill="1" applyBorder="1" applyAlignment="1">
      <alignment vertical="center" wrapText="1"/>
    </xf>
    <xf numFmtId="169" fontId="24" fillId="0" borderId="16" xfId="1" applyNumberFormat="1" applyFont="1" applyBorder="1" applyAlignment="1">
      <alignment horizontal="center" vertical="center"/>
    </xf>
    <xf numFmtId="0" fontId="24" fillId="3" borderId="16" xfId="0" applyFont="1" applyFill="1" applyBorder="1" applyAlignment="1">
      <alignment horizontal="center" vertical="center"/>
    </xf>
    <xf numFmtId="164" fontId="24" fillId="0" borderId="3" xfId="12" applyFont="1" applyBorder="1"/>
    <xf numFmtId="43" fontId="24" fillId="3" borderId="29" xfId="10" applyFont="1" applyFill="1" applyBorder="1" applyAlignment="1">
      <alignment vertical="center"/>
    </xf>
    <xf numFmtId="164" fontId="24" fillId="0" borderId="76" xfId="12" applyFont="1" applyBorder="1"/>
    <xf numFmtId="43" fontId="24" fillId="3" borderId="28" xfId="10" applyFont="1" applyFill="1" applyBorder="1" applyAlignment="1">
      <alignment vertical="center"/>
    </xf>
    <xf numFmtId="164" fontId="24" fillId="3" borderId="16" xfId="11" applyNumberFormat="1" applyFont="1" applyFill="1" applyBorder="1"/>
    <xf numFmtId="164" fontId="24" fillId="3" borderId="61" xfId="4" applyFont="1" applyFill="1" applyBorder="1" applyAlignment="1">
      <alignment horizontal="center" vertical="center"/>
    </xf>
    <xf numFmtId="0" fontId="96" fillId="5" borderId="1" xfId="8" applyFont="1" applyFill="1" applyBorder="1" applyAlignment="1">
      <alignment horizontal="left" vertical="center"/>
    </xf>
    <xf numFmtId="169" fontId="24" fillId="0" borderId="17" xfId="4" applyNumberFormat="1" applyFont="1" applyBorder="1" applyAlignment="1">
      <alignment horizontal="center" vertical="center"/>
    </xf>
    <xf numFmtId="164" fontId="24" fillId="0" borderId="19" xfId="4" applyFont="1" applyBorder="1" applyAlignment="1">
      <alignment horizontal="center" vertical="center"/>
    </xf>
    <xf numFmtId="164" fontId="24" fillId="0" borderId="30" xfId="4" applyFont="1" applyBorder="1" applyAlignment="1">
      <alignment horizontal="centerContinuous" vertical="center"/>
    </xf>
    <xf numFmtId="164" fontId="24" fillId="3" borderId="18" xfId="4" applyFont="1" applyFill="1" applyBorder="1" applyAlignment="1">
      <alignment horizontal="center" vertical="center"/>
    </xf>
    <xf numFmtId="164" fontId="24" fillId="3" borderId="1" xfId="4" applyFont="1" applyFill="1" applyBorder="1" applyAlignment="1">
      <alignment horizontal="center" vertical="center"/>
    </xf>
    <xf numFmtId="176" fontId="24" fillId="5" borderId="10" xfId="0" quotePrefix="1" applyNumberFormat="1" applyFont="1" applyFill="1" applyBorder="1" applyAlignment="1">
      <alignment horizontal="center" vertical="center"/>
    </xf>
    <xf numFmtId="166" fontId="91" fillId="5" borderId="27" xfId="8" applyNumberFormat="1" applyFont="1" applyFill="1" applyBorder="1" applyAlignment="1">
      <alignment horizontal="left" vertical="center"/>
    </xf>
    <xf numFmtId="164" fontId="24" fillId="0" borderId="27" xfId="4" applyFont="1" applyFill="1" applyBorder="1" applyAlignment="1">
      <alignment horizontal="centerContinuous" vertical="center"/>
    </xf>
    <xf numFmtId="0" fontId="24" fillId="5" borderId="1" xfId="8" applyFont="1" applyFill="1" applyBorder="1" applyAlignment="1">
      <alignment horizontal="left" vertical="center"/>
    </xf>
    <xf numFmtId="164" fontId="24" fillId="3" borderId="17" xfId="11" applyNumberFormat="1" applyFont="1" applyFill="1" applyBorder="1"/>
    <xf numFmtId="176" fontId="24" fillId="0" borderId="10" xfId="0" applyNumberFormat="1" applyFont="1" applyBorder="1" applyAlignment="1">
      <alignment horizontal="center" vertical="center"/>
    </xf>
    <xf numFmtId="166" fontId="101" fillId="0" borderId="27" xfId="8" applyNumberFormat="1" applyFont="1" applyBorder="1" applyAlignment="1">
      <alignment horizontal="left" vertical="center"/>
    </xf>
    <xf numFmtId="164" fontId="92" fillId="0" borderId="11" xfId="1" applyFont="1" applyFill="1" applyBorder="1" applyAlignment="1">
      <alignment horizontal="center" vertical="center" wrapText="1"/>
    </xf>
    <xf numFmtId="164" fontId="24" fillId="0" borderId="12" xfId="4" applyFont="1" applyFill="1" applyBorder="1" applyAlignment="1">
      <alignment horizontal="center" vertical="center"/>
    </xf>
    <xf numFmtId="164" fontId="24" fillId="0" borderId="2" xfId="4" applyFont="1" applyFill="1" applyBorder="1" applyAlignment="1">
      <alignment horizontal="center" vertical="center"/>
    </xf>
    <xf numFmtId="164" fontId="24" fillId="0" borderId="10" xfId="11" applyNumberFormat="1" applyFont="1" applyFill="1" applyBorder="1"/>
    <xf numFmtId="164" fontId="24" fillId="0" borderId="11" xfId="4" applyFont="1" applyFill="1" applyBorder="1" applyAlignment="1">
      <alignment horizontal="center" vertical="center"/>
    </xf>
    <xf numFmtId="176" fontId="95" fillId="0" borderId="10" xfId="0" applyNumberFormat="1" applyFont="1" applyBorder="1" applyAlignment="1">
      <alignment horizontal="center" vertical="center"/>
    </xf>
    <xf numFmtId="169" fontId="24" fillId="0" borderId="16" xfId="4" applyNumberFormat="1" applyFont="1" applyBorder="1" applyAlignment="1">
      <alignment horizontal="center" vertical="center"/>
    </xf>
    <xf numFmtId="164" fontId="24" fillId="0" borderId="28" xfId="4" applyFont="1" applyBorder="1" applyAlignment="1">
      <alignment horizontal="center" vertical="center"/>
    </xf>
    <xf numFmtId="164" fontId="24" fillId="0" borderId="47" xfId="4" applyFont="1" applyBorder="1" applyAlignment="1">
      <alignment horizontal="centerContinuous" vertical="center"/>
    </xf>
    <xf numFmtId="164" fontId="24" fillId="3" borderId="29" xfId="4" applyFont="1" applyFill="1" applyBorder="1" applyAlignment="1">
      <alignment horizontal="center" vertical="center"/>
    </xf>
    <xf numFmtId="164" fontId="24" fillId="3" borderId="3" xfId="4" applyFont="1" applyFill="1" applyBorder="1" applyAlignment="1">
      <alignment horizontal="center" vertical="center"/>
    </xf>
    <xf numFmtId="164" fontId="24" fillId="0" borderId="30" xfId="4" applyFont="1" applyBorder="1" applyAlignment="1">
      <alignment horizontal="center" vertical="center"/>
    </xf>
    <xf numFmtId="166" fontId="101" fillId="5" borderId="27" xfId="8" applyNumberFormat="1" applyFont="1" applyFill="1" applyBorder="1" applyAlignment="1">
      <alignment horizontal="left" vertical="center"/>
    </xf>
    <xf numFmtId="164" fontId="24" fillId="0" borderId="61" xfId="4" applyFont="1" applyFill="1" applyBorder="1" applyAlignment="1">
      <alignment horizontal="centerContinuous" vertical="center"/>
    </xf>
    <xf numFmtId="164" fontId="24" fillId="0" borderId="3" xfId="4" applyFont="1" applyBorder="1" applyAlignment="1">
      <alignment horizontal="centerContinuous" vertical="center"/>
    </xf>
    <xf numFmtId="176" fontId="102" fillId="5" borderId="10" xfId="0" applyNumberFormat="1" applyFont="1" applyFill="1" applyBorder="1" applyAlignment="1">
      <alignment horizontal="center" vertical="center"/>
    </xf>
    <xf numFmtId="166" fontId="102" fillId="5" borderId="27" xfId="8" applyNumberFormat="1" applyFont="1" applyFill="1" applyBorder="1" applyAlignment="1">
      <alignment horizontal="left" vertical="center"/>
    </xf>
    <xf numFmtId="0" fontId="103" fillId="5" borderId="2" xfId="8" applyFont="1" applyFill="1" applyBorder="1" applyAlignment="1">
      <alignment horizontal="left" vertical="center"/>
    </xf>
    <xf numFmtId="169" fontId="103" fillId="0" borderId="10" xfId="4" applyNumberFormat="1" applyFont="1" applyBorder="1" applyAlignment="1">
      <alignment horizontal="center" vertical="center"/>
    </xf>
    <xf numFmtId="164" fontId="103" fillId="0" borderId="11" xfId="4" applyFont="1" applyBorder="1" applyAlignment="1">
      <alignment horizontal="center" vertical="center"/>
    </xf>
    <xf numFmtId="164" fontId="103" fillId="0" borderId="10" xfId="1" applyFont="1" applyFill="1" applyBorder="1" applyAlignment="1">
      <alignment horizontal="left" vertical="center"/>
    </xf>
    <xf numFmtId="0" fontId="104" fillId="0" borderId="0" xfId="0" applyFont="1"/>
    <xf numFmtId="164" fontId="24" fillId="0" borderId="10" xfId="1" applyFont="1" applyFill="1" applyBorder="1" applyAlignment="1">
      <alignment horizontal="left" vertical="center"/>
    </xf>
    <xf numFmtId="0" fontId="105" fillId="0" borderId="0" xfId="0" applyFont="1"/>
    <xf numFmtId="164" fontId="103" fillId="0" borderId="10" xfId="1" applyFont="1" applyFill="1" applyBorder="1"/>
    <xf numFmtId="164" fontId="92" fillId="0" borderId="10" xfId="1" applyFont="1" applyFill="1" applyBorder="1"/>
    <xf numFmtId="176" fontId="24" fillId="0" borderId="16" xfId="0" applyNumberFormat="1" applyFont="1" applyBorder="1" applyAlignment="1">
      <alignment horizontal="center" vertical="center"/>
    </xf>
    <xf numFmtId="0" fontId="24" fillId="0" borderId="3" xfId="8" applyFont="1" applyBorder="1" applyAlignment="1">
      <alignment horizontal="left" vertical="center"/>
    </xf>
    <xf numFmtId="164" fontId="24" fillId="0" borderId="29" xfId="4" applyFont="1" applyFill="1" applyBorder="1" applyAlignment="1">
      <alignment horizontal="center" vertical="center"/>
    </xf>
    <xf numFmtId="164" fontId="24" fillId="0" borderId="3" xfId="4" applyFont="1" applyFill="1" applyBorder="1" applyAlignment="1">
      <alignment horizontal="center" vertical="center"/>
    </xf>
    <xf numFmtId="164" fontId="92" fillId="0" borderId="17" xfId="1" applyFont="1" applyFill="1" applyBorder="1"/>
    <xf numFmtId="166" fontId="102" fillId="0" borderId="27" xfId="8" applyNumberFormat="1" applyFont="1" applyBorder="1" applyAlignment="1">
      <alignment horizontal="left" vertical="center"/>
    </xf>
    <xf numFmtId="0" fontId="103" fillId="0" borderId="2" xfId="8" applyFont="1" applyBorder="1" applyAlignment="1">
      <alignment horizontal="left" vertical="center"/>
    </xf>
    <xf numFmtId="169" fontId="103" fillId="0" borderId="10" xfId="4" applyNumberFormat="1" applyFont="1" applyFill="1" applyBorder="1" applyAlignment="1">
      <alignment horizontal="center" vertical="center"/>
    </xf>
    <xf numFmtId="164" fontId="103" fillId="0" borderId="11" xfId="4" applyFont="1" applyFill="1" applyBorder="1" applyAlignment="1">
      <alignment horizontal="center" vertical="center"/>
    </xf>
    <xf numFmtId="0" fontId="24" fillId="5" borderId="16" xfId="8" applyFont="1" applyFill="1" applyBorder="1" applyAlignment="1">
      <alignment horizontal="center" vertical="center"/>
    </xf>
    <xf numFmtId="176" fontId="96" fillId="0" borderId="17" xfId="0" quotePrefix="1" applyNumberFormat="1" applyFont="1" applyBorder="1" applyAlignment="1">
      <alignment horizontal="center" vertical="center"/>
    </xf>
    <xf numFmtId="166" fontId="96" fillId="0" borderId="30" xfId="8" applyNumberFormat="1" applyFont="1" applyBorder="1" applyAlignment="1">
      <alignment horizontal="left" vertical="center"/>
    </xf>
    <xf numFmtId="0" fontId="24" fillId="0" borderId="1" xfId="8" applyFont="1" applyBorder="1" applyAlignment="1">
      <alignment horizontal="left" vertical="center"/>
    </xf>
    <xf numFmtId="169" fontId="24" fillId="0" borderId="17" xfId="4" applyNumberFormat="1" applyFont="1" applyFill="1" applyBorder="1" applyAlignment="1">
      <alignment horizontal="center" vertical="center"/>
    </xf>
    <xf numFmtId="164" fontId="24" fillId="0" borderId="19" xfId="4" applyFont="1" applyFill="1" applyBorder="1" applyAlignment="1">
      <alignment horizontal="center" vertical="center"/>
    </xf>
    <xf numFmtId="164" fontId="24" fillId="0" borderId="30" xfId="4" applyFont="1" applyFill="1" applyBorder="1" applyAlignment="1">
      <alignment horizontal="centerContinuous" vertical="center"/>
    </xf>
    <xf numFmtId="164" fontId="24" fillId="0" borderId="18" xfId="4" applyFont="1" applyFill="1" applyBorder="1" applyAlignment="1">
      <alignment horizontal="center" vertical="center"/>
    </xf>
    <xf numFmtId="164" fontId="24" fillId="0" borderId="1" xfId="4" applyFont="1" applyFill="1" applyBorder="1" applyAlignment="1">
      <alignment horizontal="center" vertical="center"/>
    </xf>
    <xf numFmtId="37" fontId="24" fillId="0" borderId="27" xfId="4" applyNumberFormat="1" applyFont="1" applyFill="1" applyBorder="1" applyAlignment="1">
      <alignment horizontal="right" vertical="center"/>
    </xf>
    <xf numFmtId="37" fontId="24" fillId="0" borderId="12" xfId="4" applyNumberFormat="1" applyFont="1" applyFill="1" applyBorder="1" applyAlignment="1">
      <alignment horizontal="right" vertical="center"/>
    </xf>
    <xf numFmtId="37" fontId="24" fillId="0" borderId="2" xfId="4" applyNumberFormat="1" applyFont="1" applyFill="1" applyBorder="1" applyAlignment="1">
      <alignment horizontal="right" vertical="center"/>
    </xf>
    <xf numFmtId="164" fontId="24" fillId="0" borderId="28" xfId="4" applyFont="1" applyFill="1" applyBorder="1" applyAlignment="1">
      <alignment horizontal="center" vertical="center"/>
    </xf>
    <xf numFmtId="176" fontId="96" fillId="5" borderId="17" xfId="0" quotePrefix="1" applyNumberFormat="1" applyFont="1" applyFill="1" applyBorder="1" applyAlignment="1">
      <alignment horizontal="center" vertical="center"/>
    </xf>
    <xf numFmtId="164" fontId="24" fillId="3" borderId="19" xfId="4" applyFont="1" applyFill="1" applyBorder="1" applyAlignment="1">
      <alignment horizontal="center" vertical="center"/>
    </xf>
    <xf numFmtId="164" fontId="92" fillId="3" borderId="19" xfId="4" applyFont="1" applyFill="1" applyBorder="1" applyAlignment="1">
      <alignment horizontal="center" vertical="center"/>
    </xf>
    <xf numFmtId="164" fontId="24" fillId="3" borderId="11" xfId="4" applyFont="1" applyFill="1" applyBorder="1" applyAlignment="1">
      <alignment horizontal="center" vertical="center"/>
    </xf>
    <xf numFmtId="39" fontId="24" fillId="3" borderId="11" xfId="4" applyNumberFormat="1" applyFont="1" applyFill="1" applyBorder="1" applyAlignment="1">
      <alignment horizontal="right" vertical="center"/>
    </xf>
    <xf numFmtId="164" fontId="24" fillId="0" borderId="10" xfId="9" applyNumberFormat="1" applyFont="1" applyBorder="1" applyAlignment="1">
      <alignment horizontal="center"/>
    </xf>
    <xf numFmtId="169" fontId="24" fillId="0" borderId="10" xfId="9" applyNumberFormat="1" applyFont="1" applyBorder="1" applyAlignment="1">
      <alignment horizontal="center" vertical="center"/>
    </xf>
    <xf numFmtId="164" fontId="24" fillId="0" borderId="12" xfId="1" applyFont="1" applyBorder="1" applyAlignment="1">
      <alignment horizontal="center" vertical="center"/>
    </xf>
    <xf numFmtId="164" fontId="24" fillId="0" borderId="11" xfId="1" applyFont="1" applyBorder="1" applyAlignment="1">
      <alignment horizontal="center" vertical="center"/>
    </xf>
    <xf numFmtId="164" fontId="92" fillId="0" borderId="11" xfId="1" applyFont="1" applyBorder="1" applyAlignment="1">
      <alignment horizontal="center" vertical="center"/>
    </xf>
    <xf numFmtId="176" fontId="24" fillId="5" borderId="16" xfId="0" applyNumberFormat="1" applyFont="1" applyFill="1" applyBorder="1" applyAlignment="1">
      <alignment horizontal="center" vertical="center"/>
    </xf>
    <xf numFmtId="166" fontId="24" fillId="5" borderId="3" xfId="0" applyNumberFormat="1" applyFont="1" applyFill="1" applyBorder="1" applyAlignment="1">
      <alignment vertical="center"/>
    </xf>
    <xf numFmtId="169" fontId="24" fillId="0" borderId="16" xfId="9" applyNumberFormat="1" applyFont="1" applyBorder="1" applyAlignment="1">
      <alignment horizontal="center" vertical="center"/>
    </xf>
    <xf numFmtId="164" fontId="24" fillId="0" borderId="16" xfId="9" applyNumberFormat="1" applyFont="1" applyBorder="1" applyAlignment="1">
      <alignment horizontal="center"/>
    </xf>
    <xf numFmtId="164" fontId="24" fillId="0" borderId="3" xfId="1" applyFont="1" applyBorder="1" applyAlignment="1">
      <alignment horizontal="center" vertical="center"/>
    </xf>
    <xf numFmtId="164" fontId="24" fillId="0" borderId="29" xfId="1" applyFont="1" applyBorder="1" applyAlignment="1">
      <alignment horizontal="center" vertical="center"/>
    </xf>
    <xf numFmtId="164" fontId="24" fillId="0" borderId="73" xfId="1" applyFont="1" applyBorder="1" applyAlignment="1">
      <alignment horizontal="center" vertical="center"/>
    </xf>
    <xf numFmtId="164" fontId="24" fillId="0" borderId="28" xfId="1" applyFont="1" applyBorder="1" applyAlignment="1">
      <alignment horizontal="center" vertical="center"/>
    </xf>
    <xf numFmtId="164" fontId="92" fillId="0" borderId="28" xfId="1" applyFont="1" applyBorder="1" applyAlignment="1">
      <alignment horizontal="center" vertical="center"/>
    </xf>
    <xf numFmtId="169" fontId="24" fillId="0" borderId="17" xfId="9" applyNumberFormat="1" applyFont="1" applyBorder="1" applyAlignment="1">
      <alignment horizontal="center" vertical="center"/>
    </xf>
    <xf numFmtId="164" fontId="24" fillId="0" borderId="17" xfId="9" applyNumberFormat="1" applyFont="1" applyBorder="1" applyAlignment="1">
      <alignment horizontal="center"/>
    </xf>
    <xf numFmtId="164" fontId="24" fillId="0" borderId="1" xfId="1" applyFont="1" applyBorder="1" applyAlignment="1">
      <alignment horizontal="center" vertical="center"/>
    </xf>
    <xf numFmtId="164" fontId="24" fillId="0" borderId="18" xfId="1" applyFont="1" applyBorder="1" applyAlignment="1">
      <alignment horizontal="center" vertical="center"/>
    </xf>
    <xf numFmtId="164" fontId="24" fillId="0" borderId="65" xfId="1" applyFont="1" applyBorder="1" applyAlignment="1">
      <alignment horizontal="center" vertical="center"/>
    </xf>
    <xf numFmtId="164" fontId="24" fillId="0" borderId="19" xfId="1" applyFont="1" applyBorder="1" applyAlignment="1">
      <alignment horizontal="center" vertical="center"/>
    </xf>
    <xf numFmtId="164" fontId="92" fillId="0" borderId="19" xfId="1" applyFont="1" applyBorder="1" applyAlignment="1">
      <alignment horizontal="center" vertical="center"/>
    </xf>
    <xf numFmtId="166" fontId="107" fillId="5" borderId="30" xfId="8" applyNumberFormat="1" applyFont="1" applyFill="1" applyBorder="1" applyAlignment="1">
      <alignment horizontal="left" vertical="center"/>
    </xf>
    <xf numFmtId="164" fontId="24" fillId="3" borderId="28" xfId="4" applyFont="1" applyFill="1" applyBorder="1" applyAlignment="1">
      <alignment horizontal="center" vertical="center"/>
    </xf>
    <xf numFmtId="164" fontId="24" fillId="0" borderId="19" xfId="9" applyNumberFormat="1" applyFont="1" applyBorder="1" applyAlignment="1">
      <alignment horizontal="center"/>
    </xf>
    <xf numFmtId="164" fontId="24" fillId="5" borderId="11" xfId="4" applyFont="1" applyFill="1" applyBorder="1" applyAlignment="1">
      <alignment horizontal="center" vertical="center" wrapText="1"/>
    </xf>
    <xf numFmtId="164" fontId="24" fillId="0" borderId="11" xfId="9" applyNumberFormat="1" applyFont="1" applyBorder="1" applyAlignment="1">
      <alignment horizontal="center"/>
    </xf>
    <xf numFmtId="169" fontId="24" fillId="0" borderId="10" xfId="9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169" fontId="24" fillId="0" borderId="17" xfId="9" applyNumberFormat="1" applyFont="1" applyFill="1" applyBorder="1" applyAlignment="1">
      <alignment horizontal="center" vertical="center"/>
    </xf>
    <xf numFmtId="164" fontId="24" fillId="0" borderId="19" xfId="9" applyNumberFormat="1" applyFont="1" applyFill="1" applyBorder="1" applyAlignment="1">
      <alignment horizontal="center"/>
    </xf>
    <xf numFmtId="164" fontId="24" fillId="0" borderId="65" xfId="1" applyFont="1" applyFill="1" applyBorder="1" applyAlignment="1">
      <alignment horizontal="center" vertical="center"/>
    </xf>
    <xf numFmtId="164" fontId="24" fillId="0" borderId="19" xfId="1" applyFont="1" applyFill="1" applyBorder="1" applyAlignment="1">
      <alignment horizontal="center" vertical="center"/>
    </xf>
    <xf numFmtId="164" fontId="24" fillId="0" borderId="10" xfId="9" applyNumberFormat="1" applyFont="1" applyFill="1" applyBorder="1" applyAlignment="1">
      <alignment horizontal="center"/>
    </xf>
    <xf numFmtId="164" fontId="24" fillId="0" borderId="66" xfId="1" applyFont="1" applyFill="1" applyBorder="1" applyAlignment="1">
      <alignment horizontal="center" vertical="center"/>
    </xf>
    <xf numFmtId="0" fontId="108" fillId="0" borderId="0" xfId="0" applyFont="1" applyAlignment="1">
      <alignment horizontal="center"/>
    </xf>
    <xf numFmtId="169" fontId="93" fillId="0" borderId="0" xfId="0" applyNumberFormat="1" applyFont="1"/>
    <xf numFmtId="0" fontId="109" fillId="0" borderId="0" xfId="0" applyFont="1"/>
    <xf numFmtId="164" fontId="110" fillId="0" borderId="19" xfId="1" applyFont="1" applyFill="1" applyBorder="1" applyAlignment="1">
      <alignment horizontal="center" vertical="center"/>
    </xf>
    <xf numFmtId="164" fontId="98" fillId="0" borderId="28" xfId="1" applyFont="1" applyFill="1" applyBorder="1" applyAlignment="1">
      <alignment horizontal="left" vertical="center"/>
    </xf>
    <xf numFmtId="166" fontId="24" fillId="5" borderId="2" xfId="8" applyNumberFormat="1" applyFont="1" applyFill="1" applyBorder="1" applyAlignment="1">
      <alignment horizontal="left" vertical="center"/>
    </xf>
    <xf numFmtId="164" fontId="34" fillId="0" borderId="66" xfId="1" applyFont="1" applyFill="1" applyBorder="1" applyAlignment="1">
      <alignment horizontal="center" vertical="center"/>
    </xf>
    <xf numFmtId="164" fontId="34" fillId="0" borderId="29" xfId="1" applyFont="1" applyFill="1" applyBorder="1" applyAlignment="1">
      <alignment horizontal="center" vertical="center"/>
    </xf>
    <xf numFmtId="164" fontId="34" fillId="0" borderId="28" xfId="1" applyFont="1" applyFill="1" applyBorder="1" applyAlignment="1">
      <alignment horizontal="center" vertical="center"/>
    </xf>
    <xf numFmtId="164" fontId="95" fillId="2" borderId="64" xfId="4" applyFont="1" applyFill="1" applyBorder="1" applyAlignment="1">
      <alignment horizontal="center" vertical="center"/>
    </xf>
    <xf numFmtId="164" fontId="95" fillId="2" borderId="25" xfId="4" applyFont="1" applyFill="1" applyBorder="1" applyAlignment="1">
      <alignment horizontal="center" vertical="center"/>
    </xf>
    <xf numFmtId="176" fontId="96" fillId="5" borderId="36" xfId="0" quotePrefix="1" applyNumberFormat="1" applyFont="1" applyFill="1" applyBorder="1" applyAlignment="1">
      <alignment horizontal="center" vertical="center"/>
    </xf>
    <xf numFmtId="164" fontId="98" fillId="0" borderId="36" xfId="1" applyFont="1" applyFill="1" applyBorder="1"/>
    <xf numFmtId="166" fontId="96" fillId="0" borderId="27" xfId="8" applyNumberFormat="1" applyFont="1" applyBorder="1" applyAlignment="1">
      <alignment horizontal="left" vertical="center"/>
    </xf>
    <xf numFmtId="164" fontId="98" fillId="0" borderId="10" xfId="1" applyFont="1" applyFill="1" applyBorder="1"/>
    <xf numFmtId="164" fontId="24" fillId="3" borderId="36" xfId="4" applyFont="1" applyFill="1" applyBorder="1" applyAlignment="1">
      <alignment horizontal="center" vertical="center"/>
    </xf>
    <xf numFmtId="164" fontId="24" fillId="0" borderId="10" xfId="4" applyFont="1" applyFill="1" applyBorder="1" applyAlignment="1">
      <alignment horizontal="center" vertical="center"/>
    </xf>
    <xf numFmtId="169" fontId="24" fillId="0" borderId="10" xfId="9" applyNumberFormat="1" applyFont="1" applyBorder="1" applyAlignment="1">
      <alignment horizontal="right" vertical="center"/>
    </xf>
    <xf numFmtId="164" fontId="24" fillId="0" borderId="10" xfId="1" applyFont="1" applyBorder="1" applyAlignment="1">
      <alignment horizontal="center" vertical="center"/>
    </xf>
    <xf numFmtId="0" fontId="96" fillId="5" borderId="17" xfId="8" quotePrefix="1" applyFont="1" applyFill="1" applyBorder="1" applyAlignment="1">
      <alignment horizontal="center" vertical="center"/>
    </xf>
    <xf numFmtId="164" fontId="96" fillId="0" borderId="30" xfId="8" applyNumberFormat="1" applyFont="1" applyBorder="1" applyAlignment="1">
      <alignment horizontal="left" vertical="center"/>
    </xf>
    <xf numFmtId="164" fontId="24" fillId="0" borderId="27" xfId="8" applyNumberFormat="1" applyFont="1" applyBorder="1" applyAlignment="1">
      <alignment horizontal="left" vertical="center"/>
    </xf>
    <xf numFmtId="164" fontId="24" fillId="5" borderId="27" xfId="8" applyNumberFormat="1" applyFont="1" applyFill="1" applyBorder="1" applyAlignment="1">
      <alignment horizontal="left" vertical="center"/>
    </xf>
    <xf numFmtId="164" fontId="24" fillId="0" borderId="11" xfId="1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164" fontId="24" fillId="0" borderId="73" xfId="1" applyFont="1" applyFill="1" applyBorder="1" applyAlignment="1">
      <alignment horizontal="center" vertical="center"/>
    </xf>
    <xf numFmtId="176" fontId="24" fillId="0" borderId="10" xfId="0" quotePrefix="1" applyNumberFormat="1" applyFont="1" applyBorder="1" applyAlignment="1">
      <alignment horizontal="center" vertical="center"/>
    </xf>
    <xf numFmtId="164" fontId="24" fillId="0" borderId="11" xfId="9" applyNumberFormat="1" applyFont="1" applyFill="1" applyBorder="1" applyAlignment="1">
      <alignment horizontal="center"/>
    </xf>
    <xf numFmtId="164" fontId="24" fillId="0" borderId="17" xfId="9" applyNumberFormat="1" applyFont="1" applyFill="1" applyBorder="1" applyAlignment="1">
      <alignment horizontal="center"/>
    </xf>
    <xf numFmtId="169" fontId="113" fillId="0" borderId="10" xfId="9" applyNumberFormat="1" applyFont="1" applyFill="1" applyBorder="1" applyAlignment="1">
      <alignment horizontal="center" vertical="center"/>
    </xf>
    <xf numFmtId="164" fontId="113" fillId="0" borderId="11" xfId="1" applyFont="1" applyFill="1" applyBorder="1" applyAlignment="1">
      <alignment horizontal="center" vertical="center" wrapText="1"/>
    </xf>
    <xf numFmtId="164" fontId="113" fillId="0" borderId="2" xfId="1" applyFont="1" applyFill="1" applyBorder="1" applyAlignment="1">
      <alignment horizontal="center" vertical="center"/>
    </xf>
    <xf numFmtId="164" fontId="113" fillId="0" borderId="12" xfId="4" applyFont="1" applyFill="1" applyBorder="1" applyAlignment="1">
      <alignment horizontal="center" vertical="center"/>
    </xf>
    <xf numFmtId="164" fontId="113" fillId="0" borderId="66" xfId="1" applyFont="1" applyFill="1" applyBorder="1" applyAlignment="1">
      <alignment horizontal="center" vertical="center"/>
    </xf>
    <xf numFmtId="164" fontId="113" fillId="0" borderId="11" xfId="4" applyFont="1" applyFill="1" applyBorder="1" applyAlignment="1">
      <alignment horizontal="center" vertical="center"/>
    </xf>
    <xf numFmtId="164" fontId="92" fillId="0" borderId="11" xfId="1" applyFont="1" applyFill="1" applyBorder="1" applyAlignment="1">
      <alignment horizontal="center" vertical="center"/>
    </xf>
    <xf numFmtId="179" fontId="83" fillId="3" borderId="17" xfId="6" quotePrefix="1" applyNumberFormat="1" applyFont="1" applyFill="1" applyBorder="1" applyAlignment="1">
      <alignment horizontal="center"/>
    </xf>
    <xf numFmtId="0" fontId="90" fillId="0" borderId="1" xfId="0" applyFont="1" applyBorder="1" applyAlignment="1">
      <alignment vertical="center"/>
    </xf>
    <xf numFmtId="164" fontId="98" fillId="0" borderId="17" xfId="1" applyFont="1" applyFill="1" applyBorder="1" applyAlignment="1">
      <alignment horizontal="left" vertical="center"/>
    </xf>
    <xf numFmtId="179" fontId="34" fillId="3" borderId="10" xfId="6" quotePrefix="1" applyNumberFormat="1" applyFont="1" applyFill="1" applyBorder="1" applyAlignment="1">
      <alignment horizontal="center"/>
    </xf>
    <xf numFmtId="0" fontId="91" fillId="0" borderId="11" xfId="0" applyFont="1" applyBorder="1" applyAlignment="1">
      <alignment vertical="center"/>
    </xf>
    <xf numFmtId="169" fontId="24" fillId="0" borderId="11" xfId="1" applyNumberFormat="1" applyFont="1" applyFill="1" applyBorder="1" applyAlignment="1">
      <alignment horizontal="center" vertical="center"/>
    </xf>
    <xf numFmtId="179" fontId="34" fillId="0" borderId="10" xfId="6" applyNumberFormat="1" applyFont="1" applyBorder="1" applyAlignment="1">
      <alignment horizontal="center"/>
    </xf>
    <xf numFmtId="179" fontId="34" fillId="0" borderId="10" xfId="6" quotePrefix="1" applyNumberFormat="1" applyFont="1" applyBorder="1" applyAlignment="1">
      <alignment horizontal="center"/>
    </xf>
    <xf numFmtId="164" fontId="24" fillId="0" borderId="61" xfId="4" applyFont="1" applyBorder="1" applyAlignment="1">
      <alignment horizontal="centerContinuous" vertical="center"/>
    </xf>
    <xf numFmtId="2" fontId="34" fillId="0" borderId="10" xfId="6" quotePrefix="1" applyNumberFormat="1" applyFont="1" applyBorder="1" applyAlignment="1">
      <alignment horizontal="center"/>
    </xf>
    <xf numFmtId="164" fontId="98" fillId="0" borderId="10" xfId="1" applyFont="1" applyFill="1" applyBorder="1" applyAlignment="1">
      <alignment horizontal="right" vertical="center"/>
    </xf>
    <xf numFmtId="171" fontId="95" fillId="2" borderId="20" xfId="4" applyNumberFormat="1" applyFont="1" applyFill="1" applyBorder="1" applyAlignment="1">
      <alignment horizontal="center" vertical="center"/>
    </xf>
    <xf numFmtId="164" fontId="86" fillId="0" borderId="17" xfId="1" applyFont="1" applyFill="1" applyBorder="1" applyAlignment="1">
      <alignment horizontal="center" vertical="center"/>
    </xf>
    <xf numFmtId="164" fontId="34" fillId="0" borderId="10" xfId="1" applyFont="1" applyFill="1" applyBorder="1" applyAlignment="1">
      <alignment horizontal="center" vertical="center"/>
    </xf>
    <xf numFmtId="165" fontId="34" fillId="0" borderId="1" xfId="3" applyNumberFormat="1" applyFont="1" applyFill="1" applyBorder="1" applyAlignment="1">
      <alignment horizontal="centerContinuous"/>
    </xf>
    <xf numFmtId="164" fontId="34" fillId="0" borderId="18" xfId="1" applyFont="1" applyFill="1" applyBorder="1" applyAlignment="1">
      <alignment horizontal="center" vertical="center"/>
    </xf>
    <xf numFmtId="164" fontId="34" fillId="0" borderId="1" xfId="1" applyFont="1" applyFill="1" applyBorder="1" applyAlignment="1">
      <alignment horizontal="center" vertical="center"/>
    </xf>
    <xf numFmtId="164" fontId="34" fillId="0" borderId="17" xfId="1" applyFont="1" applyFill="1" applyBorder="1" applyAlignment="1">
      <alignment horizontal="center" vertical="center"/>
    </xf>
    <xf numFmtId="176" fontId="24" fillId="5" borderId="17" xfId="8" applyNumberFormat="1" applyFont="1" applyFill="1" applyBorder="1" applyAlignment="1">
      <alignment horizontal="left" vertical="center"/>
    </xf>
    <xf numFmtId="164" fontId="34" fillId="0" borderId="16" xfId="1" applyFont="1" applyFill="1" applyBorder="1" applyAlignment="1">
      <alignment horizontal="center" vertical="center"/>
    </xf>
    <xf numFmtId="164" fontId="95" fillId="2" borderId="9" xfId="4" applyFont="1" applyFill="1" applyBorder="1" applyAlignment="1">
      <alignment horizontal="center" vertical="center"/>
    </xf>
    <xf numFmtId="164" fontId="24" fillId="3" borderId="17" xfId="4" applyFont="1" applyFill="1" applyBorder="1" applyAlignment="1">
      <alignment horizontal="center" vertical="center"/>
    </xf>
    <xf numFmtId="164" fontId="98" fillId="0" borderId="19" xfId="1" applyFont="1" applyFill="1" applyBorder="1"/>
    <xf numFmtId="166" fontId="96" fillId="5" borderId="47" xfId="8" applyNumberFormat="1" applyFont="1" applyFill="1" applyBorder="1" applyAlignment="1">
      <alignment horizontal="left" vertical="center"/>
    </xf>
    <xf numFmtId="164" fontId="98" fillId="0" borderId="11" xfId="1" applyFont="1" applyFill="1" applyBorder="1"/>
    <xf numFmtId="0" fontId="24" fillId="5" borderId="17" xfId="8" applyFont="1" applyFill="1" applyBorder="1" applyAlignment="1">
      <alignment horizontal="center" vertical="center"/>
    </xf>
    <xf numFmtId="166" fontId="24" fillId="5" borderId="63" xfId="8" applyNumberFormat="1" applyFont="1" applyFill="1" applyBorder="1" applyAlignment="1">
      <alignment horizontal="left" vertical="center"/>
    </xf>
    <xf numFmtId="164" fontId="24" fillId="0" borderId="17" xfId="1" applyFont="1" applyBorder="1" applyAlignment="1">
      <alignment horizontal="center" vertical="center"/>
    </xf>
    <xf numFmtId="164" fontId="24" fillId="3" borderId="10" xfId="4" applyFont="1" applyFill="1" applyBorder="1" applyAlignment="1">
      <alignment horizontal="center" vertical="center"/>
    </xf>
    <xf numFmtId="164" fontId="96" fillId="5" borderId="30" xfId="8" applyNumberFormat="1" applyFont="1" applyFill="1" applyBorder="1" applyAlignment="1">
      <alignment horizontal="left" vertical="center"/>
    </xf>
    <xf numFmtId="0" fontId="24" fillId="5" borderId="17" xfId="8" quotePrefix="1" applyFont="1" applyFill="1" applyBorder="1" applyAlignment="1">
      <alignment horizontal="center" vertical="center"/>
    </xf>
    <xf numFmtId="164" fontId="24" fillId="5" borderId="30" xfId="8" applyNumberFormat="1" applyFont="1" applyFill="1" applyBorder="1" applyAlignment="1">
      <alignment horizontal="left" vertical="center"/>
    </xf>
    <xf numFmtId="166" fontId="24" fillId="0" borderId="30" xfId="8" applyNumberFormat="1" applyFont="1" applyBorder="1" applyAlignment="1">
      <alignment horizontal="left" vertical="center"/>
    </xf>
    <xf numFmtId="164" fontId="24" fillId="0" borderId="17" xfId="1" applyFont="1" applyFill="1" applyBorder="1" applyAlignment="1">
      <alignment horizontal="center" vertical="center"/>
    </xf>
    <xf numFmtId="164" fontId="113" fillId="0" borderId="19" xfId="1" applyFont="1" applyFill="1" applyBorder="1" applyAlignment="1">
      <alignment horizontal="center" vertical="center" wrapText="1"/>
    </xf>
    <xf numFmtId="164" fontId="113" fillId="0" borderId="10" xfId="4" applyFont="1" applyFill="1" applyBorder="1" applyAlignment="1">
      <alignment horizontal="center" vertical="center"/>
    </xf>
    <xf numFmtId="164" fontId="24" fillId="0" borderId="10" xfId="1" applyFont="1" applyFill="1" applyBorder="1" applyAlignment="1">
      <alignment horizontal="center" vertical="center"/>
    </xf>
    <xf numFmtId="164" fontId="98" fillId="0" borderId="19" xfId="1" applyFont="1" applyFill="1" applyBorder="1" applyAlignment="1">
      <alignment horizontal="left" vertical="center"/>
    </xf>
    <xf numFmtId="164" fontId="98" fillId="0" borderId="11" xfId="1" applyFont="1" applyFill="1" applyBorder="1" applyAlignment="1">
      <alignment horizontal="left" vertical="center"/>
    </xf>
    <xf numFmtId="176" fontId="96" fillId="5" borderId="10" xfId="0" quotePrefix="1" applyNumberFormat="1" applyFont="1" applyFill="1" applyBorder="1" applyAlignment="1">
      <alignment horizontal="center" vertical="center"/>
    </xf>
    <xf numFmtId="176" fontId="114" fillId="5" borderId="10" xfId="0" quotePrefix="1" applyNumberFormat="1" applyFont="1" applyFill="1" applyBorder="1" applyAlignment="1">
      <alignment horizontal="center" vertical="center"/>
    </xf>
    <xf numFmtId="0" fontId="104" fillId="0" borderId="0" xfId="0" applyFont="1" applyAlignment="1">
      <alignment horizontal="center"/>
    </xf>
    <xf numFmtId="176" fontId="103" fillId="0" borderId="10" xfId="0" applyNumberFormat="1" applyFont="1" applyBorder="1" applyAlignment="1">
      <alignment horizontal="center" vertical="center"/>
    </xf>
    <xf numFmtId="176" fontId="24" fillId="5" borderId="17" xfId="0" applyNumberFormat="1" applyFont="1" applyFill="1" applyBorder="1" applyAlignment="1">
      <alignment horizontal="center" vertical="center"/>
    </xf>
    <xf numFmtId="164" fontId="24" fillId="0" borderId="17" xfId="4" applyFont="1" applyFill="1" applyBorder="1" applyAlignment="1">
      <alignment horizontal="center" vertical="center"/>
    </xf>
    <xf numFmtId="176" fontId="24" fillId="5" borderId="10" xfId="51" applyNumberFormat="1" applyFont="1" applyFill="1" applyBorder="1" applyAlignment="1">
      <alignment horizontal="center" vertical="center"/>
    </xf>
    <xf numFmtId="0" fontId="24" fillId="5" borderId="2" xfId="51" applyFont="1" applyFill="1" applyBorder="1" applyAlignment="1">
      <alignment vertical="center"/>
    </xf>
    <xf numFmtId="164" fontId="24" fillId="0" borderId="2" xfId="21" applyFont="1" applyBorder="1" applyAlignment="1">
      <alignment horizontal="center" vertical="center"/>
    </xf>
    <xf numFmtId="164" fontId="24" fillId="0" borderId="66" xfId="21" applyFont="1" applyBorder="1" applyAlignment="1">
      <alignment horizontal="center" vertical="center"/>
    </xf>
    <xf numFmtId="164" fontId="24" fillId="0" borderId="11" xfId="21" applyFont="1" applyBorder="1" applyAlignment="1">
      <alignment horizontal="center" vertical="center"/>
    </xf>
    <xf numFmtId="0" fontId="93" fillId="0" borderId="0" xfId="51" applyFont="1" applyAlignment="1">
      <alignment horizontal="center"/>
    </xf>
    <xf numFmtId="0" fontId="93" fillId="0" borderId="0" xfId="51" applyFont="1"/>
    <xf numFmtId="0" fontId="96" fillId="5" borderId="10" xfId="8" quotePrefix="1" applyFont="1" applyFill="1" applyBorder="1" applyAlignment="1">
      <alignment horizontal="center" vertical="center"/>
    </xf>
    <xf numFmtId="164" fontId="24" fillId="3" borderId="2" xfId="4" applyFont="1" applyFill="1" applyBorder="1" applyAlignment="1">
      <alignment vertical="center"/>
    </xf>
    <xf numFmtId="169" fontId="24" fillId="0" borderId="16" xfId="9" applyNumberFormat="1" applyFont="1" applyFill="1" applyBorder="1" applyAlignment="1">
      <alignment horizontal="center" vertical="center"/>
    </xf>
    <xf numFmtId="164" fontId="24" fillId="0" borderId="16" xfId="9" applyNumberFormat="1" applyFont="1" applyFill="1" applyBorder="1" applyAlignment="1">
      <alignment horizontal="center"/>
    </xf>
    <xf numFmtId="164" fontId="24" fillId="0" borderId="28" xfId="1" applyFont="1" applyFill="1" applyBorder="1" applyAlignment="1">
      <alignment horizontal="center" vertical="center"/>
    </xf>
    <xf numFmtId="166" fontId="96" fillId="0" borderId="47" xfId="8" applyNumberFormat="1" applyFont="1" applyBorder="1" applyAlignment="1">
      <alignment horizontal="left" vertical="center"/>
    </xf>
    <xf numFmtId="164" fontId="98" fillId="0" borderId="17" xfId="1" applyFont="1" applyFill="1" applyBorder="1"/>
    <xf numFmtId="176" fontId="114" fillId="5" borderId="17" xfId="0" quotePrefix="1" applyNumberFormat="1" applyFont="1" applyFill="1" applyBorder="1" applyAlignment="1">
      <alignment horizontal="center" vertical="center"/>
    </xf>
    <xf numFmtId="164" fontId="103" fillId="0" borderId="17" xfId="1" applyFont="1" applyFill="1" applyBorder="1"/>
    <xf numFmtId="166" fontId="95" fillId="0" borderId="27" xfId="8" applyNumberFormat="1" applyFont="1" applyBorder="1" applyAlignment="1">
      <alignment horizontal="left" vertical="center"/>
    </xf>
    <xf numFmtId="0" fontId="92" fillId="0" borderId="2" xfId="8" applyFont="1" applyBorder="1" applyAlignment="1">
      <alignment horizontal="left" vertical="center"/>
    </xf>
    <xf numFmtId="169" fontId="92" fillId="0" borderId="10" xfId="4" applyNumberFormat="1" applyFont="1" applyFill="1" applyBorder="1" applyAlignment="1">
      <alignment horizontal="center" vertical="center"/>
    </xf>
    <xf numFmtId="164" fontId="92" fillId="0" borderId="11" xfId="4" applyFont="1" applyFill="1" applyBorder="1" applyAlignment="1">
      <alignment horizontal="center" vertical="center"/>
    </xf>
    <xf numFmtId="2" fontId="24" fillId="5" borderId="10" xfId="0" applyNumberFormat="1" applyFont="1" applyFill="1" applyBorder="1" applyAlignment="1">
      <alignment horizontal="center" vertical="center"/>
    </xf>
    <xf numFmtId="2" fontId="24" fillId="5" borderId="27" xfId="8" applyNumberFormat="1" applyFont="1" applyFill="1" applyBorder="1" applyAlignment="1">
      <alignment horizontal="left" vertical="center"/>
    </xf>
    <xf numFmtId="2" fontId="24" fillId="5" borderId="2" xfId="8" applyNumberFormat="1" applyFont="1" applyFill="1" applyBorder="1" applyAlignment="1">
      <alignment horizontal="left" vertical="center"/>
    </xf>
    <xf numFmtId="2" fontId="24" fillId="0" borderId="10" xfId="4" applyNumberFormat="1" applyFont="1" applyBorder="1" applyAlignment="1">
      <alignment horizontal="center" vertical="center"/>
    </xf>
    <xf numFmtId="2" fontId="24" fillId="0" borderId="11" xfId="4" applyNumberFormat="1" applyFont="1" applyBorder="1" applyAlignment="1">
      <alignment horizontal="center" vertical="center"/>
    </xf>
    <xf numFmtId="2" fontId="24" fillId="0" borderId="27" xfId="4" applyNumberFormat="1" applyFont="1" applyBorder="1" applyAlignment="1">
      <alignment horizontal="centerContinuous" vertical="center"/>
    </xf>
    <xf numFmtId="2" fontId="24" fillId="3" borderId="12" xfId="4" applyNumberFormat="1" applyFont="1" applyFill="1" applyBorder="1" applyAlignment="1">
      <alignment horizontal="center" vertical="center"/>
    </xf>
    <xf numFmtId="2" fontId="24" fillId="3" borderId="2" xfId="4" applyNumberFormat="1" applyFont="1" applyFill="1" applyBorder="1" applyAlignment="1">
      <alignment horizontal="center" vertical="center"/>
    </xf>
    <xf numFmtId="2" fontId="98" fillId="0" borderId="10" xfId="1" applyNumberFormat="1" applyFont="1" applyFill="1" applyBorder="1"/>
    <xf numFmtId="2" fontId="24" fillId="5" borderId="32" xfId="0" applyNumberFormat="1" applyFont="1" applyFill="1" applyBorder="1" applyAlignment="1">
      <alignment horizontal="center" vertical="center"/>
    </xf>
    <xf numFmtId="2" fontId="24" fillId="5" borderId="33" xfId="8" applyNumberFormat="1" applyFont="1" applyFill="1" applyBorder="1" applyAlignment="1">
      <alignment horizontal="left" vertical="center"/>
    </xf>
    <xf numFmtId="2" fontId="24" fillId="5" borderId="34" xfId="8" applyNumberFormat="1" applyFont="1" applyFill="1" applyBorder="1" applyAlignment="1">
      <alignment horizontal="left" vertical="center"/>
    </xf>
    <xf numFmtId="2" fontId="24" fillId="0" borderId="32" xfId="4" applyNumberFormat="1" applyFont="1" applyBorder="1" applyAlignment="1">
      <alignment horizontal="center" vertical="center"/>
    </xf>
    <xf numFmtId="2" fontId="24" fillId="0" borderId="35" xfId="4" applyNumberFormat="1" applyFont="1" applyBorder="1" applyAlignment="1">
      <alignment horizontal="center" vertical="center"/>
    </xf>
    <xf numFmtId="2" fontId="24" fillId="0" borderId="33" xfId="4" applyNumberFormat="1" applyFont="1" applyBorder="1" applyAlignment="1">
      <alignment horizontal="centerContinuous" vertical="center"/>
    </xf>
    <xf numFmtId="2" fontId="24" fillId="3" borderId="77" xfId="4" applyNumberFormat="1" applyFont="1" applyFill="1" applyBorder="1" applyAlignment="1">
      <alignment horizontal="center" vertical="center"/>
    </xf>
    <xf numFmtId="2" fontId="24" fillId="3" borderId="34" xfId="4" applyNumberFormat="1" applyFont="1" applyFill="1" applyBorder="1" applyAlignment="1">
      <alignment horizontal="center" vertical="center"/>
    </xf>
    <xf numFmtId="2" fontId="98" fillId="0" borderId="32" xfId="1" applyNumberFormat="1" applyFont="1" applyFill="1" applyBorder="1"/>
    <xf numFmtId="39" fontId="24" fillId="3" borderId="10" xfId="4" applyNumberFormat="1" applyFont="1" applyFill="1" applyBorder="1" applyAlignment="1">
      <alignment horizontal="center" vertical="center"/>
    </xf>
    <xf numFmtId="164" fontId="92" fillId="0" borderId="36" xfId="1" applyFont="1" applyFill="1" applyBorder="1"/>
    <xf numFmtId="164" fontId="24" fillId="3" borderId="16" xfId="4" applyFont="1" applyFill="1" applyBorder="1" applyAlignment="1">
      <alignment horizontal="center" vertical="center"/>
    </xf>
    <xf numFmtId="164" fontId="24" fillId="0" borderId="16" xfId="1" applyFont="1" applyBorder="1" applyAlignment="1">
      <alignment horizontal="center" vertical="center"/>
    </xf>
    <xf numFmtId="166" fontId="24" fillId="5" borderId="3" xfId="8" applyNumberFormat="1" applyFont="1" applyFill="1" applyBorder="1" applyAlignment="1">
      <alignment horizontal="left" vertical="center"/>
    </xf>
    <xf numFmtId="164" fontId="98" fillId="0" borderId="38" xfId="1" applyFont="1" applyFill="1" applyBorder="1"/>
    <xf numFmtId="164" fontId="103" fillId="0" borderId="19" xfId="1" applyFont="1" applyFill="1" applyBorder="1"/>
    <xf numFmtId="164" fontId="103" fillId="0" borderId="11" xfId="1" applyFont="1" applyFill="1" applyBorder="1"/>
    <xf numFmtId="164" fontId="98" fillId="0" borderId="28" xfId="1" applyFont="1" applyFill="1" applyBorder="1"/>
    <xf numFmtId="164" fontId="24" fillId="5" borderId="47" xfId="8" applyNumberFormat="1" applyFont="1" applyFill="1" applyBorder="1" applyAlignment="1">
      <alignment horizontal="left" vertical="center"/>
    </xf>
    <xf numFmtId="164" fontId="24" fillId="0" borderId="28" xfId="9" applyNumberFormat="1" applyFont="1" applyBorder="1" applyAlignment="1">
      <alignment horizontal="center"/>
    </xf>
    <xf numFmtId="164" fontId="24" fillId="0" borderId="16" xfId="1" applyFont="1" applyFill="1" applyBorder="1" applyAlignment="1">
      <alignment horizontal="center" vertical="center"/>
    </xf>
    <xf numFmtId="164" fontId="19" fillId="0" borderId="17" xfId="1" applyFont="1" applyFill="1" applyBorder="1" applyAlignment="1">
      <alignment horizontal="center" vertical="center"/>
    </xf>
    <xf numFmtId="164" fontId="24" fillId="0" borderId="13" xfId="4" applyFont="1" applyFill="1" applyBorder="1" applyAlignment="1">
      <alignment horizontal="center" vertical="center"/>
    </xf>
    <xf numFmtId="166" fontId="24" fillId="5" borderId="33" xfId="8" applyNumberFormat="1" applyFont="1" applyFill="1" applyBorder="1" applyAlignment="1">
      <alignment horizontal="left" vertical="center"/>
    </xf>
    <xf numFmtId="164" fontId="92" fillId="0" borderId="27" xfId="4" applyFont="1" applyFill="1" applyBorder="1" applyAlignment="1">
      <alignment horizontal="centerContinuous" vertical="center"/>
    </xf>
    <xf numFmtId="164" fontId="92" fillId="0" borderId="12" xfId="4" applyFont="1" applyFill="1" applyBorder="1" applyAlignment="1">
      <alignment horizontal="center" vertical="center"/>
    </xf>
    <xf numFmtId="164" fontId="92" fillId="0" borderId="2" xfId="4" applyFont="1" applyFill="1" applyBorder="1" applyAlignment="1">
      <alignment horizontal="center" vertical="center"/>
    </xf>
    <xf numFmtId="164" fontId="92" fillId="0" borderId="10" xfId="4" applyFont="1" applyFill="1" applyBorder="1" applyAlignment="1">
      <alignment horizontal="center" vertical="center"/>
    </xf>
    <xf numFmtId="164" fontId="98" fillId="0" borderId="16" xfId="1" applyFont="1" applyFill="1" applyBorder="1" applyAlignment="1">
      <alignment horizontal="right" vertical="center"/>
    </xf>
    <xf numFmtId="0" fontId="90" fillId="0" borderId="3" xfId="0" applyFont="1" applyBorder="1" applyAlignment="1">
      <alignment vertical="center"/>
    </xf>
    <xf numFmtId="0" fontId="91" fillId="0" borderId="28" xfId="0" applyFont="1" applyBorder="1" applyAlignment="1">
      <alignment vertical="center"/>
    </xf>
    <xf numFmtId="169" fontId="24" fillId="5" borderId="28" xfId="1" applyNumberFormat="1" applyFont="1" applyFill="1" applyBorder="1" applyAlignment="1">
      <alignment horizontal="center" vertical="center"/>
    </xf>
    <xf numFmtId="3" fontId="23" fillId="0" borderId="0" xfId="0" applyNumberFormat="1" applyFont="1"/>
    <xf numFmtId="3" fontId="93" fillId="0" borderId="0" xfId="0" applyNumberFormat="1" applyFont="1"/>
    <xf numFmtId="3" fontId="93" fillId="0" borderId="0" xfId="0" applyNumberFormat="1" applyFont="1" applyAlignment="1">
      <alignment horizontal="center"/>
    </xf>
    <xf numFmtId="164" fontId="98" fillId="0" borderId="32" xfId="1" applyFont="1" applyFill="1" applyBorder="1" applyAlignment="1">
      <alignment horizontal="right" vertical="center"/>
    </xf>
    <xf numFmtId="0" fontId="90" fillId="0" borderId="34" xfId="0" applyFont="1" applyBorder="1" applyAlignment="1">
      <alignment vertical="center"/>
    </xf>
    <xf numFmtId="0" fontId="91" fillId="0" borderId="35" xfId="0" applyFont="1" applyBorder="1" applyAlignment="1">
      <alignment vertical="center"/>
    </xf>
    <xf numFmtId="169" fontId="24" fillId="5" borderId="35" xfId="1" applyNumberFormat="1" applyFont="1" applyFill="1" applyBorder="1" applyAlignment="1">
      <alignment horizontal="center" vertical="center"/>
    </xf>
    <xf numFmtId="164" fontId="24" fillId="5" borderId="35" xfId="1" applyFont="1" applyFill="1" applyBorder="1" applyAlignment="1">
      <alignment horizontal="center" vertical="center" wrapText="1"/>
    </xf>
    <xf numFmtId="164" fontId="24" fillId="0" borderId="33" xfId="4" applyFont="1" applyBorder="1" applyAlignment="1">
      <alignment horizontal="centerContinuous" vertical="center"/>
    </xf>
    <xf numFmtId="164" fontId="24" fillId="3" borderId="77" xfId="4" applyFont="1" applyFill="1" applyBorder="1" applyAlignment="1">
      <alignment horizontal="center" vertical="center"/>
    </xf>
    <xf numFmtId="164" fontId="24" fillId="3" borderId="34" xfId="4" applyFont="1" applyFill="1" applyBorder="1" applyAlignment="1">
      <alignment horizontal="center" vertical="center"/>
    </xf>
    <xf numFmtId="164" fontId="24" fillId="3" borderId="32" xfId="4" applyFont="1" applyFill="1" applyBorder="1" applyAlignment="1">
      <alignment horizontal="center" vertical="center"/>
    </xf>
    <xf numFmtId="164" fontId="98" fillId="0" borderId="35" xfId="1" applyFont="1" applyFill="1" applyBorder="1" applyAlignment="1">
      <alignment horizontal="left" vertical="center"/>
    </xf>
    <xf numFmtId="169" fontId="24" fillId="0" borderId="28" xfId="9" applyNumberFormat="1" applyFont="1" applyBorder="1" applyAlignment="1">
      <alignment horizontal="center" vertical="center"/>
    </xf>
    <xf numFmtId="176" fontId="24" fillId="0" borderId="32" xfId="0" applyNumberFormat="1" applyFont="1" applyBorder="1" applyAlignment="1">
      <alignment horizontal="center" vertical="center"/>
    </xf>
    <xf numFmtId="166" fontId="24" fillId="0" borderId="33" xfId="8" applyNumberFormat="1" applyFont="1" applyBorder="1" applyAlignment="1">
      <alignment horizontal="left" vertical="center"/>
    </xf>
    <xf numFmtId="0" fontId="24" fillId="0" borderId="34" xfId="0" applyFont="1" applyBorder="1" applyAlignment="1">
      <alignment vertical="center"/>
    </xf>
    <xf numFmtId="169" fontId="24" fillId="0" borderId="32" xfId="9" applyNumberFormat="1" applyFont="1" applyFill="1" applyBorder="1" applyAlignment="1">
      <alignment horizontal="center" vertical="center"/>
    </xf>
    <xf numFmtId="164" fontId="24" fillId="0" borderId="32" xfId="9" applyNumberFormat="1" applyFont="1" applyFill="1" applyBorder="1" applyAlignment="1">
      <alignment horizontal="center"/>
    </xf>
    <xf numFmtId="164" fontId="24" fillId="0" borderId="34" xfId="1" applyFont="1" applyFill="1" applyBorder="1" applyAlignment="1">
      <alignment horizontal="center" vertical="center"/>
    </xf>
    <xf numFmtId="164" fontId="24" fillId="0" borderId="77" xfId="1" applyFont="1" applyFill="1" applyBorder="1" applyAlignment="1">
      <alignment horizontal="center" vertical="center"/>
    </xf>
    <xf numFmtId="164" fontId="24" fillId="0" borderId="78" xfId="1" applyFont="1" applyFill="1" applyBorder="1" applyAlignment="1">
      <alignment horizontal="center" vertical="center"/>
    </xf>
    <xf numFmtId="164" fontId="24" fillId="0" borderId="35" xfId="1" applyFont="1" applyFill="1" applyBorder="1" applyAlignment="1">
      <alignment horizontal="center" vertical="center"/>
    </xf>
    <xf numFmtId="179" fontId="83" fillId="3" borderId="36" xfId="6" quotePrefix="1" applyNumberFormat="1" applyFont="1" applyFill="1" applyBorder="1" applyAlignment="1">
      <alignment horizontal="center"/>
    </xf>
    <xf numFmtId="179" fontId="83" fillId="3" borderId="37" xfId="6" applyNumberFormat="1" applyFont="1" applyFill="1" applyBorder="1" applyAlignment="1">
      <alignment horizontal="left"/>
    </xf>
    <xf numFmtId="0" fontId="83" fillId="3" borderId="37" xfId="6" applyFont="1" applyFill="1" applyBorder="1"/>
    <xf numFmtId="0" fontId="85" fillId="0" borderId="38" xfId="0" applyFont="1" applyBorder="1" applyAlignment="1">
      <alignment vertical="center"/>
    </xf>
    <xf numFmtId="0" fontId="88" fillId="0" borderId="10" xfId="0" quotePrefix="1" applyFont="1" applyBorder="1" applyAlignment="1">
      <alignment horizontal="center" vertical="center" wrapText="1"/>
    </xf>
    <xf numFmtId="166" fontId="88" fillId="0" borderId="2" xfId="0" applyNumberFormat="1" applyFont="1" applyBorder="1" applyAlignment="1">
      <alignment vertical="center"/>
    </xf>
    <xf numFmtId="0" fontId="89" fillId="0" borderId="2" xfId="0" applyFont="1" applyBorder="1" applyAlignment="1">
      <alignment vertical="center"/>
    </xf>
    <xf numFmtId="0" fontId="85" fillId="0" borderId="11" xfId="0" applyFont="1" applyBorder="1" applyAlignment="1">
      <alignment vertical="center"/>
    </xf>
    <xf numFmtId="0" fontId="34" fillId="0" borderId="2" xfId="0" applyFont="1" applyBorder="1"/>
    <xf numFmtId="0" fontId="34" fillId="0" borderId="11" xfId="0" applyFont="1" applyBorder="1" applyAlignment="1">
      <alignment horizontal="center" vertical="center"/>
    </xf>
    <xf numFmtId="2" fontId="24" fillId="5" borderId="10" xfId="8" applyNumberFormat="1" applyFont="1" applyFill="1" applyBorder="1" applyAlignment="1">
      <alignment horizontal="center" vertical="center"/>
    </xf>
    <xf numFmtId="2" fontId="34" fillId="0" borderId="10" xfId="0" applyNumberFormat="1" applyFont="1" applyBorder="1" applyAlignment="1">
      <alignment horizontal="center" vertical="center"/>
    </xf>
    <xf numFmtId="166" fontId="34" fillId="0" borderId="2" xfId="0" applyNumberFormat="1" applyFont="1" applyBorder="1" applyAlignment="1">
      <alignment horizontal="left" vertical="center"/>
    </xf>
    <xf numFmtId="169" fontId="34" fillId="0" borderId="10" xfId="0" applyNumberFormat="1" applyFont="1" applyBorder="1" applyAlignment="1">
      <alignment horizontal="center" vertical="center"/>
    </xf>
    <xf numFmtId="164" fontId="34" fillId="0" borderId="11" xfId="1" applyFont="1" applyFill="1" applyBorder="1" applyAlignment="1">
      <alignment horizontal="center" vertical="center"/>
    </xf>
    <xf numFmtId="164" fontId="95" fillId="2" borderId="8" xfId="4" applyFont="1" applyFill="1" applyBorder="1" applyAlignment="1">
      <alignment horizontal="center" vertical="center"/>
    </xf>
    <xf numFmtId="43" fontId="93" fillId="0" borderId="0" xfId="0" applyNumberFormat="1" applyFont="1" applyAlignment="1">
      <alignment horizontal="center"/>
    </xf>
    <xf numFmtId="179" fontId="34" fillId="0" borderId="16" xfId="6" quotePrefix="1" applyNumberFormat="1" applyFont="1" applyBorder="1" applyAlignment="1">
      <alignment horizontal="center"/>
    </xf>
    <xf numFmtId="179" fontId="34" fillId="0" borderId="16" xfId="6" applyNumberFormat="1" applyFont="1" applyBorder="1" applyAlignment="1">
      <alignment horizontal="center"/>
    </xf>
    <xf numFmtId="2" fontId="34" fillId="0" borderId="16" xfId="6" quotePrefix="1" applyNumberFormat="1" applyFont="1" applyBorder="1" applyAlignment="1">
      <alignment horizontal="center"/>
    </xf>
    <xf numFmtId="164" fontId="24" fillId="0" borderId="2" xfId="1" applyFont="1" applyBorder="1" applyAlignment="1">
      <alignment vertical="center"/>
    </xf>
    <xf numFmtId="169" fontId="24" fillId="5" borderId="10" xfId="1" applyNumberFormat="1" applyFont="1" applyFill="1" applyBorder="1" applyAlignment="1">
      <alignment horizontal="center" vertical="center"/>
    </xf>
    <xf numFmtId="0" fontId="91" fillId="0" borderId="3" xfId="0" applyFont="1" applyBorder="1" applyAlignment="1">
      <alignment vertical="center"/>
    </xf>
    <xf numFmtId="179" fontId="34" fillId="0" borderId="17" xfId="6" quotePrefix="1" applyNumberFormat="1" applyFont="1" applyBorder="1" applyAlignment="1">
      <alignment horizontal="center"/>
    </xf>
    <xf numFmtId="2" fontId="34" fillId="0" borderId="17" xfId="6" quotePrefix="1" applyNumberFormat="1" applyFont="1" applyBorder="1" applyAlignment="1">
      <alignment horizontal="center"/>
    </xf>
    <xf numFmtId="164" fontId="24" fillId="0" borderId="27" xfId="4" applyFont="1" applyBorder="1" applyAlignment="1">
      <alignment horizontal="center" vertical="center"/>
    </xf>
    <xf numFmtId="169" fontId="24" fillId="0" borderId="11" xfId="9" applyNumberFormat="1" applyFont="1" applyBorder="1" applyAlignment="1">
      <alignment horizontal="center" vertical="center"/>
    </xf>
    <xf numFmtId="164" fontId="24" fillId="0" borderId="68" xfId="4" applyFont="1" applyBorder="1" applyAlignment="1">
      <alignment horizontal="centerContinuous" vertical="center"/>
    </xf>
    <xf numFmtId="0" fontId="96" fillId="0" borderId="10" xfId="57" quotePrefix="1" applyFont="1" applyBorder="1" applyAlignment="1">
      <alignment horizontal="center" vertical="center"/>
    </xf>
    <xf numFmtId="0" fontId="96" fillId="0" borderId="27" xfId="57" applyFont="1" applyBorder="1" applyAlignment="1">
      <alignment vertical="center"/>
    </xf>
    <xf numFmtId="169" fontId="86" fillId="0" borderId="17" xfId="1" applyNumberFormat="1" applyFont="1" applyFill="1" applyBorder="1" applyAlignment="1">
      <alignment horizontal="center" vertical="center"/>
    </xf>
    <xf numFmtId="0" fontId="86" fillId="0" borderId="17" xfId="0" applyFont="1" applyBorder="1" applyAlignment="1">
      <alignment horizontal="center" vertical="center"/>
    </xf>
    <xf numFmtId="0" fontId="34" fillId="0" borderId="10" xfId="0" quotePrefix="1" applyFont="1" applyBorder="1" applyAlignment="1">
      <alignment horizontal="center" vertical="center"/>
    </xf>
    <xf numFmtId="0" fontId="34" fillId="0" borderId="2" xfId="0" applyFont="1" applyBorder="1" applyAlignment="1">
      <alignment horizontal="left" vertical="center"/>
    </xf>
    <xf numFmtId="169" fontId="34" fillId="0" borderId="10" xfId="1" applyNumberFormat="1" applyFont="1" applyFill="1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83" fillId="0" borderId="2" xfId="0" applyFont="1" applyBorder="1" applyAlignment="1">
      <alignment horizontal="left" vertical="center"/>
    </xf>
    <xf numFmtId="0" fontId="83" fillId="2" borderId="26" xfId="5" applyFont="1" applyFill="1" applyBorder="1" applyAlignment="1">
      <alignment vertical="center"/>
    </xf>
    <xf numFmtId="0" fontId="83" fillId="2" borderId="9" xfId="5" applyFont="1" applyFill="1" applyBorder="1" applyAlignment="1">
      <alignment vertical="center"/>
    </xf>
    <xf numFmtId="169" fontId="18" fillId="0" borderId="0" xfId="1" applyNumberFormat="1" applyFont="1"/>
    <xf numFmtId="0" fontId="28" fillId="0" borderId="1" xfId="0" applyFont="1" applyBorder="1" applyAlignment="1">
      <alignment horizontal="center" vertical="top"/>
    </xf>
    <xf numFmtId="0" fontId="28" fillId="0" borderId="2" xfId="0" applyFont="1" applyBorder="1" applyAlignment="1">
      <alignment horizontal="center" vertical="top"/>
    </xf>
    <xf numFmtId="0" fontId="28" fillId="0" borderId="0" xfId="0" applyFont="1" applyAlignment="1">
      <alignment horizontal="center"/>
    </xf>
    <xf numFmtId="0" fontId="32" fillId="0" borderId="2" xfId="0" applyFont="1" applyBorder="1" applyAlignment="1">
      <alignment horizontal="center" vertical="top"/>
    </xf>
    <xf numFmtId="0" fontId="34" fillId="0" borderId="16" xfId="0" quotePrefix="1" applyFont="1" applyBorder="1" applyAlignment="1">
      <alignment horizontal="center" vertical="center"/>
    </xf>
    <xf numFmtId="0" fontId="34" fillId="0" borderId="3" xfId="0" applyFont="1" applyBorder="1" applyAlignment="1">
      <alignment horizontal="left" vertical="center"/>
    </xf>
    <xf numFmtId="0" fontId="34" fillId="0" borderId="3" xfId="0" applyFont="1" applyBorder="1"/>
    <xf numFmtId="0" fontId="34" fillId="0" borderId="28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165" fontId="34" fillId="0" borderId="3" xfId="3" applyNumberFormat="1" applyFont="1" applyFill="1" applyBorder="1" applyAlignment="1">
      <alignment horizontal="centerContinuous"/>
    </xf>
    <xf numFmtId="164" fontId="34" fillId="0" borderId="3" xfId="1" applyFont="1" applyFill="1" applyBorder="1" applyAlignment="1">
      <alignment horizontal="center" vertical="center"/>
    </xf>
    <xf numFmtId="0" fontId="95" fillId="2" borderId="20" xfId="0" applyFont="1" applyFill="1" applyBorder="1" applyAlignment="1">
      <alignment horizontal="center" vertical="center"/>
    </xf>
    <xf numFmtId="0" fontId="95" fillId="2" borderId="20" xfId="5" applyFont="1" applyFill="1" applyBorder="1" applyAlignment="1">
      <alignment vertical="center"/>
    </xf>
    <xf numFmtId="0" fontId="95" fillId="2" borderId="64" xfId="5" applyFont="1" applyFill="1" applyBorder="1" applyAlignment="1">
      <alignment vertical="center"/>
    </xf>
    <xf numFmtId="164" fontId="95" fillId="2" borderId="25" xfId="1" applyFont="1" applyFill="1" applyBorder="1" applyAlignment="1">
      <alignment horizontal="center" vertical="center"/>
    </xf>
    <xf numFmtId="164" fontId="95" fillId="2" borderId="64" xfId="1" applyFont="1" applyFill="1" applyBorder="1" applyAlignment="1">
      <alignment horizontal="center" vertical="center"/>
    </xf>
    <xf numFmtId="164" fontId="95" fillId="2" borderId="20" xfId="1" applyFont="1" applyFill="1" applyBorder="1" applyAlignment="1">
      <alignment horizontal="center" vertical="center"/>
    </xf>
    <xf numFmtId="164" fontId="118" fillId="0" borderId="0" xfId="1" applyFont="1"/>
    <xf numFmtId="0" fontId="96" fillId="5" borderId="30" xfId="8" applyFont="1" applyFill="1" applyBorder="1" applyAlignment="1">
      <alignment horizontal="left" vertical="center"/>
    </xf>
    <xf numFmtId="164" fontId="24" fillId="0" borderId="30" xfId="1" applyFont="1" applyBorder="1" applyAlignment="1">
      <alignment horizontal="centerContinuous" vertical="center"/>
    </xf>
    <xf numFmtId="164" fontId="24" fillId="3" borderId="18" xfId="1" applyFont="1" applyFill="1" applyBorder="1" applyAlignment="1">
      <alignment horizontal="center" vertical="center"/>
    </xf>
    <xf numFmtId="164" fontId="24" fillId="3" borderId="1" xfId="1" applyFont="1" applyFill="1" applyBorder="1" applyAlignment="1">
      <alignment horizontal="center" vertical="center"/>
    </xf>
    <xf numFmtId="0" fontId="83" fillId="0" borderId="10" xfId="0" quotePrefix="1" applyFont="1" applyBorder="1" applyAlignment="1">
      <alignment horizontal="center" vertical="center"/>
    </xf>
    <xf numFmtId="0" fontId="83" fillId="0" borderId="2" xfId="0" applyFont="1" applyBorder="1"/>
    <xf numFmtId="164" fontId="24" fillId="0" borderId="27" xfId="1" applyFont="1" applyBorder="1" applyAlignment="1">
      <alignment horizontal="centerContinuous" vertical="center"/>
    </xf>
    <xf numFmtId="164" fontId="24" fillId="3" borderId="12" xfId="1" applyFont="1" applyFill="1" applyBorder="1" applyAlignment="1">
      <alignment horizontal="center" vertical="center"/>
    </xf>
    <xf numFmtId="164" fontId="24" fillId="3" borderId="2" xfId="1" applyFont="1" applyFill="1" applyBorder="1" applyAlignment="1">
      <alignment horizontal="center" vertical="center"/>
    </xf>
    <xf numFmtId="164" fontId="24" fillId="3" borderId="10" xfId="1" applyFont="1" applyFill="1" applyBorder="1" applyAlignment="1">
      <alignment horizontal="center" vertical="center"/>
    </xf>
    <xf numFmtId="169" fontId="34" fillId="0" borderId="16" xfId="1" applyNumberFormat="1" applyFont="1" applyFill="1" applyBorder="1" applyAlignment="1">
      <alignment horizontal="center" vertical="center"/>
    </xf>
    <xf numFmtId="164" fontId="24" fillId="0" borderId="47" xfId="1" applyFont="1" applyBorder="1" applyAlignment="1">
      <alignment horizontal="centerContinuous" vertical="center"/>
    </xf>
    <xf numFmtId="164" fontId="24" fillId="3" borderId="3" xfId="1" applyFont="1" applyFill="1" applyBorder="1" applyAlignment="1">
      <alignment horizontal="center" vertical="center"/>
    </xf>
    <xf numFmtId="164" fontId="24" fillId="3" borderId="16" xfId="1" applyFont="1" applyFill="1" applyBorder="1" applyAlignment="1">
      <alignment horizontal="center" vertical="center"/>
    </xf>
    <xf numFmtId="0" fontId="34" fillId="0" borderId="27" xfId="0" applyFont="1" applyBorder="1" applyAlignment="1">
      <alignment horizontal="left" vertical="center"/>
    </xf>
    <xf numFmtId="164" fontId="24" fillId="3" borderId="27" xfId="1" applyFont="1" applyFill="1" applyBorder="1" applyAlignment="1">
      <alignment horizontal="centerContinuous" vertical="center"/>
    </xf>
    <xf numFmtId="164" fontId="24" fillId="3" borderId="11" xfId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24" fillId="0" borderId="47" xfId="8" applyFont="1" applyBorder="1" applyAlignment="1">
      <alignment horizontal="left" vertical="center"/>
    </xf>
    <xf numFmtId="164" fontId="24" fillId="0" borderId="47" xfId="1" applyFont="1" applyBorder="1" applyAlignment="1">
      <alignment horizontal="center" vertical="center"/>
    </xf>
    <xf numFmtId="164" fontId="24" fillId="3" borderId="29" xfId="1" applyFont="1" applyFill="1" applyBorder="1" applyAlignment="1">
      <alignment horizontal="center" vertical="center"/>
    </xf>
    <xf numFmtId="164" fontId="24" fillId="3" borderId="28" xfId="1" applyFont="1" applyFill="1" applyBorder="1" applyAlignment="1">
      <alignment horizontal="center" vertical="center"/>
    </xf>
    <xf numFmtId="0" fontId="83" fillId="0" borderId="13" xfId="0" quotePrefix="1" applyFont="1" applyBorder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34" fillId="0" borderId="0" xfId="0" applyFont="1"/>
    <xf numFmtId="0" fontId="34" fillId="0" borderId="14" xfId="0" applyFont="1" applyBorder="1" applyAlignment="1">
      <alignment horizontal="center" vertical="center"/>
    </xf>
    <xf numFmtId="169" fontId="34" fillId="0" borderId="13" xfId="1" applyNumberFormat="1" applyFont="1" applyFill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64" fontId="24" fillId="0" borderId="63" xfId="4" applyFont="1" applyBorder="1" applyAlignment="1">
      <alignment horizontal="center" vertical="center"/>
    </xf>
    <xf numFmtId="164" fontId="24" fillId="3" borderId="15" xfId="4" applyFont="1" applyFill="1" applyBorder="1" applyAlignment="1">
      <alignment horizontal="center" vertical="center"/>
    </xf>
    <xf numFmtId="164" fontId="24" fillId="3" borderId="0" xfId="4" applyFont="1" applyFill="1" applyBorder="1" applyAlignment="1">
      <alignment horizontal="center" vertical="center"/>
    </xf>
    <xf numFmtId="164" fontId="24" fillId="3" borderId="14" xfId="4" applyFont="1" applyFill="1" applyBorder="1" applyAlignment="1">
      <alignment horizontal="center" vertical="center"/>
    </xf>
    <xf numFmtId="164" fontId="24" fillId="0" borderId="47" xfId="4" applyFont="1" applyBorder="1" applyAlignment="1">
      <alignment horizontal="center" vertical="center"/>
    </xf>
    <xf numFmtId="164" fontId="93" fillId="0" borderId="0" xfId="0" applyNumberFormat="1" applyFont="1"/>
    <xf numFmtId="0" fontId="83" fillId="0" borderId="17" xfId="0" quotePrefix="1" applyFont="1" applyBorder="1" applyAlignment="1">
      <alignment horizontal="center" vertical="center"/>
    </xf>
    <xf numFmtId="0" fontId="83" fillId="0" borderId="1" xfId="0" applyFont="1" applyBorder="1" applyAlignment="1">
      <alignment horizontal="left" vertical="center"/>
    </xf>
    <xf numFmtId="0" fontId="34" fillId="0" borderId="1" xfId="0" applyFont="1" applyBorder="1"/>
    <xf numFmtId="0" fontId="34" fillId="0" borderId="19" xfId="0" applyFont="1" applyBorder="1" applyAlignment="1">
      <alignment horizontal="center" vertical="center"/>
    </xf>
    <xf numFmtId="169" fontId="34" fillId="0" borderId="17" xfId="1" applyNumberFormat="1" applyFont="1" applyFill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3" fontId="34" fillId="0" borderId="10" xfId="1" applyNumberFormat="1" applyFont="1" applyFill="1" applyBorder="1" applyAlignment="1">
      <alignment horizontal="right" vertical="center"/>
    </xf>
    <xf numFmtId="169" fontId="18" fillId="0" borderId="0" xfId="1" applyNumberFormat="1" applyFont="1" applyAlignment="1">
      <alignment horizontal="center"/>
    </xf>
    <xf numFmtId="169" fontId="24" fillId="0" borderId="17" xfId="1" applyNumberFormat="1" applyFont="1" applyBorder="1" applyAlignment="1">
      <alignment horizontal="right" vertical="center"/>
    </xf>
    <xf numFmtId="164" fontId="34" fillId="3" borderId="14" xfId="4" applyFont="1" applyFill="1" applyBorder="1" applyAlignment="1">
      <alignment horizontal="center" vertical="center"/>
    </xf>
    <xf numFmtId="164" fontId="34" fillId="3" borderId="11" xfId="4" applyFont="1" applyFill="1" applyBorder="1" applyAlignment="1">
      <alignment horizontal="center" vertical="center"/>
    </xf>
    <xf numFmtId="0" fontId="34" fillId="0" borderId="1" xfId="0" applyFont="1" applyBorder="1" applyAlignment="1">
      <alignment horizontal="left" vertical="center"/>
    </xf>
    <xf numFmtId="164" fontId="34" fillId="3" borderId="28" xfId="4" applyFont="1" applyFill="1" applyBorder="1" applyAlignment="1">
      <alignment horizontal="center" vertical="center"/>
    </xf>
    <xf numFmtId="0" fontId="34" fillId="0" borderId="17" xfId="0" quotePrefix="1" applyFont="1" applyBorder="1" applyAlignment="1">
      <alignment horizontal="center" vertical="center"/>
    </xf>
    <xf numFmtId="164" fontId="34" fillId="3" borderId="19" xfId="4" applyFont="1" applyFill="1" applyBorder="1" applyAlignment="1">
      <alignment horizontal="center" vertical="center"/>
    </xf>
    <xf numFmtId="0" fontId="34" fillId="0" borderId="47" xfId="0" applyFont="1" applyBorder="1" applyAlignment="1">
      <alignment horizontal="left" vertical="center"/>
    </xf>
    <xf numFmtId="169" fontId="24" fillId="0" borderId="16" xfId="1" applyNumberFormat="1" applyFont="1" applyBorder="1" applyAlignment="1">
      <alignment horizontal="right" vertical="center"/>
    </xf>
    <xf numFmtId="164" fontId="34" fillId="3" borderId="28" xfId="1" applyFont="1" applyFill="1" applyBorder="1" applyAlignment="1">
      <alignment horizontal="center" vertical="center"/>
    </xf>
    <xf numFmtId="164" fontId="83" fillId="2" borderId="20" xfId="1" applyFont="1" applyFill="1" applyBorder="1" applyAlignment="1">
      <alignment horizontal="center" vertical="center"/>
    </xf>
    <xf numFmtId="164" fontId="34" fillId="0" borderId="16" xfId="0" quotePrefix="1" applyNumberFormat="1" applyFont="1" applyBorder="1" applyAlignment="1">
      <alignment horizontal="center" vertical="center"/>
    </xf>
    <xf numFmtId="0" fontId="24" fillId="5" borderId="27" xfId="8" applyFont="1" applyFill="1" applyBorder="1" applyAlignment="1">
      <alignment horizontal="left" vertical="center"/>
    </xf>
    <xf numFmtId="169" fontId="24" fillId="0" borderId="10" xfId="1" applyNumberFormat="1" applyFont="1" applyBorder="1" applyAlignment="1">
      <alignment horizontal="right" vertical="center"/>
    </xf>
    <xf numFmtId="0" fontId="34" fillId="0" borderId="13" xfId="0" quotePrefix="1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96" fillId="5" borderId="27" xfId="8" applyFont="1" applyFill="1" applyBorder="1" applyAlignment="1">
      <alignment horizontal="left" vertical="center"/>
    </xf>
    <xf numFmtId="0" fontId="96" fillId="5" borderId="2" xfId="8" applyFont="1" applyFill="1" applyBorder="1" applyAlignment="1">
      <alignment horizontal="left" vertical="center"/>
    </xf>
    <xf numFmtId="169" fontId="93" fillId="0" borderId="0" xfId="1" applyNumberFormat="1" applyFont="1"/>
    <xf numFmtId="0" fontId="34" fillId="0" borderId="16" xfId="0" quotePrefix="1" applyFont="1" applyBorder="1" applyAlignment="1">
      <alignment horizontal="left" vertical="center"/>
    </xf>
    <xf numFmtId="165" fontId="86" fillId="0" borderId="1" xfId="3" applyNumberFormat="1" applyFont="1" applyFill="1" applyBorder="1" applyAlignment="1">
      <alignment horizontal="center"/>
    </xf>
    <xf numFmtId="165" fontId="34" fillId="0" borderId="2" xfId="3" applyNumberFormat="1" applyFont="1" applyFill="1" applyBorder="1" applyAlignment="1">
      <alignment horizontal="center"/>
    </xf>
    <xf numFmtId="0" fontId="83" fillId="0" borderId="1" xfId="0" applyFont="1" applyBorder="1"/>
    <xf numFmtId="169" fontId="34" fillId="0" borderId="17" xfId="1" applyNumberFormat="1" applyFont="1" applyFill="1" applyBorder="1" applyAlignment="1">
      <alignment horizontal="right" vertical="center"/>
    </xf>
    <xf numFmtId="169" fontId="34" fillId="0" borderId="10" xfId="1" applyNumberFormat="1" applyFont="1" applyFill="1" applyBorder="1" applyAlignment="1">
      <alignment horizontal="right" vertical="center"/>
    </xf>
    <xf numFmtId="37" fontId="34" fillId="0" borderId="17" xfId="1" applyNumberFormat="1" applyFont="1" applyFill="1" applyBorder="1" applyAlignment="1">
      <alignment horizontal="right" vertical="center"/>
    </xf>
    <xf numFmtId="180" fontId="34" fillId="0" borderId="17" xfId="1" applyNumberFormat="1" applyFont="1" applyFill="1" applyBorder="1" applyAlignment="1">
      <alignment horizontal="right" vertical="center"/>
    </xf>
    <xf numFmtId="179" fontId="34" fillId="0" borderId="17" xfId="1" applyNumberFormat="1" applyFont="1" applyFill="1" applyBorder="1" applyAlignment="1">
      <alignment horizontal="right" vertical="center"/>
    </xf>
    <xf numFmtId="164" fontId="24" fillId="0" borderId="30" xfId="1" applyFont="1" applyBorder="1" applyAlignment="1">
      <alignment horizontal="center" vertical="center"/>
    </xf>
    <xf numFmtId="179" fontId="24" fillId="0" borderId="17" xfId="1" applyNumberFormat="1" applyFont="1" applyFill="1" applyBorder="1" applyAlignment="1">
      <alignment horizontal="right" vertical="center"/>
    </xf>
    <xf numFmtId="180" fontId="24" fillId="0" borderId="17" xfId="1" applyNumberFormat="1" applyFont="1" applyFill="1" applyBorder="1" applyAlignment="1">
      <alignment horizontal="right" vertical="center"/>
    </xf>
    <xf numFmtId="2" fontId="24" fillId="0" borderId="17" xfId="1" applyNumberFormat="1" applyFont="1" applyBorder="1" applyAlignment="1">
      <alignment horizontal="right" vertical="center"/>
    </xf>
    <xf numFmtId="0" fontId="95" fillId="2" borderId="20" xfId="5" applyFont="1" applyFill="1" applyBorder="1" applyAlignment="1">
      <alignment horizontal="right" vertical="center"/>
    </xf>
    <xf numFmtId="164" fontId="24" fillId="0" borderId="27" xfId="4" applyFont="1" applyFill="1" applyBorder="1" applyAlignment="1">
      <alignment horizontal="center" vertical="center"/>
    </xf>
    <xf numFmtId="164" fontId="24" fillId="3" borderId="27" xfId="4" applyFont="1" applyFill="1" applyBorder="1" applyAlignment="1">
      <alignment horizontal="center" vertical="center"/>
    </xf>
    <xf numFmtId="169" fontId="93" fillId="0" borderId="0" xfId="1" applyNumberFormat="1" applyFont="1" applyAlignment="1">
      <alignment horizontal="right"/>
    </xf>
    <xf numFmtId="169" fontId="93" fillId="0" borderId="0" xfId="1" applyNumberFormat="1" applyFont="1" applyAlignment="1">
      <alignment horizontal="center"/>
    </xf>
    <xf numFmtId="181" fontId="24" fillId="0" borderId="17" xfId="1" applyNumberFormat="1" applyFont="1" applyFill="1" applyBorder="1" applyAlignment="1">
      <alignment horizontal="right" vertical="center"/>
    </xf>
    <xf numFmtId="164" fontId="24" fillId="0" borderId="17" xfId="1" applyFont="1" applyBorder="1" applyAlignment="1">
      <alignment horizontal="right" vertical="center"/>
    </xf>
    <xf numFmtId="0" fontId="34" fillId="0" borderId="79" xfId="0" quotePrefix="1" applyFont="1" applyBorder="1" applyAlignment="1">
      <alignment horizontal="center" vertical="center"/>
    </xf>
    <xf numFmtId="164" fontId="24" fillId="3" borderId="38" xfId="4" applyFont="1" applyFill="1" applyBorder="1" applyAlignment="1">
      <alignment horizontal="center" vertical="center"/>
    </xf>
    <xf numFmtId="164" fontId="24" fillId="0" borderId="61" xfId="4" applyFont="1" applyBorder="1" applyAlignment="1">
      <alignment horizontal="center" vertical="center"/>
    </xf>
    <xf numFmtId="164" fontId="24" fillId="0" borderId="76" xfId="4" applyFont="1" applyBorder="1" applyAlignment="1">
      <alignment horizontal="center" vertical="center"/>
    </xf>
    <xf numFmtId="164" fontId="24" fillId="3" borderId="66" xfId="4" applyFont="1" applyFill="1" applyBorder="1" applyAlignment="1">
      <alignment horizontal="center" vertical="center"/>
    </xf>
    <xf numFmtId="0" fontId="93" fillId="7" borderId="0" xfId="0" applyFont="1" applyFill="1"/>
    <xf numFmtId="169" fontId="34" fillId="3" borderId="10" xfId="1" applyNumberFormat="1" applyFont="1" applyFill="1" applyBorder="1" applyAlignment="1">
      <alignment horizontal="center" vertical="center"/>
    </xf>
    <xf numFmtId="164" fontId="24" fillId="0" borderId="30" xfId="4" applyFont="1" applyBorder="1" applyAlignment="1">
      <alignment vertical="center"/>
    </xf>
    <xf numFmtId="165" fontId="34" fillId="0" borderId="0" xfId="3" applyNumberFormat="1" applyFont="1" applyFill="1" applyBorder="1" applyAlignment="1">
      <alignment horizontal="centerContinuous"/>
    </xf>
    <xf numFmtId="164" fontId="34" fillId="0" borderId="15" xfId="1" applyFont="1" applyFill="1" applyBorder="1" applyAlignment="1">
      <alignment horizontal="center" vertical="center"/>
    </xf>
    <xf numFmtId="164" fontId="34" fillId="0" borderId="0" xfId="1" applyFont="1" applyFill="1" applyBorder="1" applyAlignment="1">
      <alignment horizontal="center" vertical="center"/>
    </xf>
    <xf numFmtId="164" fontId="98" fillId="0" borderId="14" xfId="1" applyFont="1" applyFill="1" applyBorder="1" applyAlignment="1">
      <alignment horizontal="left" vertical="center"/>
    </xf>
    <xf numFmtId="164" fontId="34" fillId="0" borderId="10" xfId="0" quotePrefix="1" applyNumberFormat="1" applyFont="1" applyBorder="1" applyAlignment="1">
      <alignment horizontal="center" vertical="center"/>
    </xf>
    <xf numFmtId="164" fontId="110" fillId="0" borderId="17" xfId="1" applyFont="1" applyFill="1" applyBorder="1" applyAlignment="1">
      <alignment horizontal="center" vertical="center"/>
    </xf>
    <xf numFmtId="164" fontId="98" fillId="0" borderId="13" xfId="1" applyFont="1" applyFill="1" applyBorder="1" applyAlignment="1">
      <alignment horizontal="left" vertical="center"/>
    </xf>
    <xf numFmtId="164" fontId="98" fillId="0" borderId="16" xfId="1" applyFont="1" applyFill="1" applyBorder="1" applyAlignment="1">
      <alignment horizontal="left" vertical="center"/>
    </xf>
    <xf numFmtId="0" fontId="83" fillId="0" borderId="36" xfId="0" quotePrefix="1" applyFont="1" applyBorder="1" applyAlignment="1">
      <alignment horizontal="center" vertical="center"/>
    </xf>
    <xf numFmtId="0" fontId="83" fillId="0" borderId="37" xfId="0" applyFont="1" applyBorder="1" applyAlignment="1">
      <alignment horizontal="left" vertical="center"/>
    </xf>
    <xf numFmtId="0" fontId="34" fillId="0" borderId="37" xfId="0" applyFont="1" applyBorder="1"/>
    <xf numFmtId="0" fontId="34" fillId="0" borderId="38" xfId="0" applyFont="1" applyBorder="1" applyAlignment="1">
      <alignment horizontal="center" vertical="center"/>
    </xf>
    <xf numFmtId="169" fontId="34" fillId="0" borderId="36" xfId="1" applyNumberFormat="1" applyFont="1" applyFill="1" applyBorder="1" applyAlignment="1">
      <alignment horizontal="center" vertical="center"/>
    </xf>
    <xf numFmtId="0" fontId="34" fillId="0" borderId="36" xfId="0" quotePrefix="1" applyFont="1" applyBorder="1" applyAlignment="1">
      <alignment horizontal="center" vertical="center"/>
    </xf>
    <xf numFmtId="164" fontId="24" fillId="0" borderId="39" xfId="4" applyFont="1" applyBorder="1" applyAlignment="1">
      <alignment horizontal="center" vertical="center"/>
    </xf>
    <xf numFmtId="164" fontId="34" fillId="3" borderId="36" xfId="4" applyFont="1" applyFill="1" applyBorder="1" applyAlignment="1">
      <alignment horizontal="center" vertical="center"/>
    </xf>
    <xf numFmtId="164" fontId="34" fillId="3" borderId="10" xfId="4" applyFont="1" applyFill="1" applyBorder="1" applyAlignment="1">
      <alignment horizontal="center" vertical="center"/>
    </xf>
    <xf numFmtId="0" fontId="103" fillId="0" borderId="10" xfId="0" quotePrefix="1" applyFont="1" applyBorder="1" applyAlignment="1">
      <alignment horizontal="center" vertical="center"/>
    </xf>
    <xf numFmtId="0" fontId="24" fillId="0" borderId="2" xfId="0" applyFont="1" applyBorder="1" applyAlignment="1">
      <alignment horizontal="left" vertical="center"/>
    </xf>
    <xf numFmtId="0" fontId="24" fillId="0" borderId="2" xfId="0" applyFont="1" applyBorder="1"/>
    <xf numFmtId="0" fontId="24" fillId="0" borderId="11" xfId="0" applyFont="1" applyBorder="1" applyAlignment="1">
      <alignment horizontal="center" vertical="center"/>
    </xf>
    <xf numFmtId="169" fontId="24" fillId="0" borderId="10" xfId="1" applyNumberFormat="1" applyFont="1" applyFill="1" applyBorder="1" applyAlignment="1">
      <alignment horizontal="center" vertical="center"/>
    </xf>
    <xf numFmtId="0" fontId="24" fillId="0" borderId="10" xfId="0" quotePrefix="1" applyFont="1" applyBorder="1" applyAlignment="1">
      <alignment horizontal="center" vertical="center"/>
    </xf>
    <xf numFmtId="164" fontId="34" fillId="3" borderId="17" xfId="4" applyFont="1" applyFill="1" applyBorder="1" applyAlignment="1">
      <alignment horizontal="center" vertical="center"/>
    </xf>
    <xf numFmtId="182" fontId="24" fillId="0" borderId="17" xfId="1" applyNumberFormat="1" applyFont="1" applyFill="1" applyBorder="1" applyAlignment="1">
      <alignment horizontal="right" vertical="center"/>
    </xf>
    <xf numFmtId="164" fontId="24" fillId="0" borderId="17" xfId="1" applyFont="1" applyBorder="1" applyAlignment="1">
      <alignment vertical="center"/>
    </xf>
    <xf numFmtId="0" fontId="34" fillId="0" borderId="10" xfId="0" quotePrefix="1" applyFont="1" applyBorder="1" applyAlignment="1">
      <alignment horizontal="right" vertical="center"/>
    </xf>
    <xf numFmtId="169" fontId="24" fillId="0" borderId="17" xfId="1" applyNumberFormat="1" applyFont="1" applyBorder="1" applyAlignment="1">
      <alignment vertical="center"/>
    </xf>
    <xf numFmtId="169" fontId="34" fillId="0" borderId="17" xfId="1" applyNumberFormat="1" applyFont="1" applyFill="1" applyBorder="1" applyAlignment="1">
      <alignment vertical="center"/>
    </xf>
    <xf numFmtId="182" fontId="24" fillId="0" borderId="17" xfId="1" applyNumberFormat="1" applyFont="1" applyFill="1" applyBorder="1" applyAlignment="1">
      <alignment vertical="center"/>
    </xf>
    <xf numFmtId="182" fontId="24" fillId="0" borderId="17" xfId="1" applyNumberFormat="1" applyFont="1" applyBorder="1" applyAlignment="1">
      <alignment vertical="center"/>
    </xf>
    <xf numFmtId="179" fontId="24" fillId="0" borderId="17" xfId="1" applyNumberFormat="1" applyFont="1" applyFill="1" applyBorder="1" applyAlignment="1">
      <alignment vertical="center"/>
    </xf>
    <xf numFmtId="164" fontId="24" fillId="0" borderId="10" xfId="1" applyFont="1" applyFill="1" applyBorder="1" applyAlignment="1">
      <alignment vertical="center"/>
    </xf>
    <xf numFmtId="164" fontId="24" fillId="0" borderId="17" xfId="1" applyFont="1" applyFill="1" applyBorder="1" applyAlignment="1">
      <alignment vertical="center"/>
    </xf>
    <xf numFmtId="169" fontId="34" fillId="0" borderId="10" xfId="1" applyNumberFormat="1" applyFont="1" applyFill="1" applyBorder="1" applyAlignment="1">
      <alignment vertical="center"/>
    </xf>
    <xf numFmtId="169" fontId="34" fillId="0" borderId="13" xfId="1" applyNumberFormat="1" applyFont="1" applyFill="1" applyBorder="1" applyAlignment="1">
      <alignment vertical="center"/>
    </xf>
    <xf numFmtId="169" fontId="34" fillId="0" borderId="16" xfId="1" applyNumberFormat="1" applyFont="1" applyFill="1" applyBorder="1" applyAlignment="1">
      <alignment vertical="center"/>
    </xf>
    <xf numFmtId="169" fontId="24" fillId="0" borderId="10" xfId="1" applyNumberFormat="1" applyFont="1" applyBorder="1" applyAlignment="1">
      <alignment vertical="center"/>
    </xf>
    <xf numFmtId="0" fontId="96" fillId="5" borderId="47" xfId="8" applyFont="1" applyFill="1" applyBorder="1" applyAlignment="1">
      <alignment horizontal="left" vertical="center"/>
    </xf>
    <xf numFmtId="169" fontId="93" fillId="0" borderId="0" xfId="1" applyNumberFormat="1" applyFont="1" applyAlignment="1"/>
    <xf numFmtId="0" fontId="83" fillId="0" borderId="11" xfId="0" applyFont="1" applyBorder="1" applyAlignment="1">
      <alignment horizontal="center" vertical="center"/>
    </xf>
    <xf numFmtId="180" fontId="34" fillId="0" borderId="16" xfId="0" quotePrefix="1" applyNumberFormat="1" applyFont="1" applyBorder="1" applyAlignment="1">
      <alignment horizontal="center" vertical="center"/>
    </xf>
    <xf numFmtId="169" fontId="34" fillId="0" borderId="13" xfId="1" applyNumberFormat="1" applyFont="1" applyFill="1" applyBorder="1" applyAlignment="1">
      <alignment horizontal="right" vertical="center"/>
    </xf>
    <xf numFmtId="169" fontId="34" fillId="0" borderId="16" xfId="1" applyNumberFormat="1" applyFont="1" applyFill="1" applyBorder="1" applyAlignment="1">
      <alignment horizontal="right" vertical="center"/>
    </xf>
    <xf numFmtId="164" fontId="95" fillId="2" borderId="8" xfId="1" applyFont="1" applyFill="1" applyBorder="1" applyAlignment="1">
      <alignment horizontal="center" vertical="center"/>
    </xf>
    <xf numFmtId="0" fontId="83" fillId="0" borderId="16" xfId="0" quotePrefix="1" applyFont="1" applyBorder="1" applyAlignment="1">
      <alignment horizontal="center" vertical="center"/>
    </xf>
    <xf numFmtId="0" fontId="83" fillId="0" borderId="3" xfId="0" applyFont="1" applyBorder="1" applyAlignment="1">
      <alignment horizontal="left" vertical="center"/>
    </xf>
    <xf numFmtId="164" fontId="24" fillId="0" borderId="30" xfId="1" applyFont="1" applyFill="1" applyBorder="1" applyAlignment="1">
      <alignment horizontal="center" vertical="center"/>
    </xf>
    <xf numFmtId="164" fontId="24" fillId="0" borderId="17" xfId="1" applyFont="1" applyFill="1" applyBorder="1" applyAlignment="1">
      <alignment horizontal="right" vertical="center"/>
    </xf>
    <xf numFmtId="164" fontId="24" fillId="0" borderId="10" xfId="1" applyFont="1" applyBorder="1" applyAlignment="1">
      <alignment horizontal="right" vertical="center"/>
    </xf>
    <xf numFmtId="164" fontId="24" fillId="0" borderId="10" xfId="1" applyFont="1" applyFill="1" applyBorder="1" applyAlignment="1">
      <alignment horizontal="right" vertical="center"/>
    </xf>
    <xf numFmtId="0" fontId="86" fillId="0" borderId="19" xfId="0" applyFont="1" applyBorder="1" applyAlignment="1">
      <alignment horizontal="center" vertical="center"/>
    </xf>
    <xf numFmtId="0" fontId="35" fillId="0" borderId="10" xfId="57" quotePrefix="1" applyFont="1" applyBorder="1" applyAlignment="1">
      <alignment horizontal="center" vertical="center"/>
    </xf>
    <xf numFmtId="0" fontId="35" fillId="0" borderId="2" xfId="57" applyFont="1" applyBorder="1" applyAlignment="1">
      <alignment vertical="center"/>
    </xf>
    <xf numFmtId="0" fontId="88" fillId="0" borderId="1" xfId="0" applyFont="1" applyBorder="1" applyAlignment="1">
      <alignment horizontal="left" vertical="center"/>
    </xf>
    <xf numFmtId="164" fontId="92" fillId="2" borderId="25" xfId="1" applyFont="1" applyFill="1" applyBorder="1" applyAlignment="1">
      <alignment horizontal="center" vertical="center"/>
    </xf>
    <xf numFmtId="0" fontId="18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93" fillId="0" borderId="0" xfId="0" applyFont="1" applyAlignment="1">
      <alignment horizontal="left"/>
    </xf>
    <xf numFmtId="0" fontId="121" fillId="0" borderId="0" xfId="0" applyFont="1" applyAlignment="1">
      <alignment horizontal="center"/>
    </xf>
    <xf numFmtId="179" fontId="34" fillId="0" borderId="17" xfId="0" quotePrefix="1" applyNumberFormat="1" applyFont="1" applyBorder="1" applyAlignment="1">
      <alignment horizontal="center" vertical="center"/>
    </xf>
    <xf numFmtId="0" fontId="96" fillId="0" borderId="17" xfId="8" quotePrefix="1" applyFont="1" applyBorder="1" applyAlignment="1">
      <alignment horizontal="center" vertical="center"/>
    </xf>
    <xf numFmtId="166" fontId="96" fillId="0" borderId="1" xfId="0" applyNumberFormat="1" applyFont="1" applyBorder="1" applyAlignment="1">
      <alignment horizontal="left" vertical="center"/>
    </xf>
    <xf numFmtId="0" fontId="24" fillId="0" borderId="19" xfId="8" applyFont="1" applyBorder="1" applyAlignment="1">
      <alignment horizontal="left" vertical="center"/>
    </xf>
    <xf numFmtId="0" fontId="122" fillId="0" borderId="0" xfId="0" applyFont="1" applyAlignment="1">
      <alignment horizontal="left"/>
    </xf>
    <xf numFmtId="0" fontId="122" fillId="0" borderId="0" xfId="0" applyFont="1"/>
    <xf numFmtId="0" fontId="24" fillId="0" borderId="10" xfId="8" quotePrefix="1" applyFont="1" applyBorder="1" applyAlignment="1">
      <alignment horizontal="center" vertical="center"/>
    </xf>
    <xf numFmtId="166" fontId="24" fillId="0" borderId="2" xfId="0" applyNumberFormat="1" applyFont="1" applyBorder="1" applyAlignment="1">
      <alignment horizontal="left" vertical="center"/>
    </xf>
    <xf numFmtId="0" fontId="24" fillId="0" borderId="11" xfId="8" applyFont="1" applyBorder="1" applyAlignment="1">
      <alignment horizontal="left" vertical="center"/>
    </xf>
    <xf numFmtId="164" fontId="24" fillId="0" borderId="27" xfId="1" applyFont="1" applyFill="1" applyBorder="1" applyAlignment="1">
      <alignment horizontal="center" vertical="center"/>
    </xf>
    <xf numFmtId="0" fontId="24" fillId="0" borderId="16" xfId="8" quotePrefix="1" applyFont="1" applyBorder="1" applyAlignment="1">
      <alignment horizontal="center" vertical="center"/>
    </xf>
    <xf numFmtId="166" fontId="24" fillId="0" borderId="3" xfId="0" applyNumberFormat="1" applyFont="1" applyBorder="1" applyAlignment="1">
      <alignment horizontal="left" vertical="center"/>
    </xf>
    <xf numFmtId="0" fontId="24" fillId="0" borderId="28" xfId="8" applyFont="1" applyBorder="1" applyAlignment="1">
      <alignment horizontal="left" vertical="center"/>
    </xf>
    <xf numFmtId="164" fontId="24" fillId="0" borderId="16" xfId="4" applyFont="1" applyFill="1" applyBorder="1" applyAlignment="1">
      <alignment horizontal="center" vertical="center"/>
    </xf>
    <xf numFmtId="164" fontId="24" fillId="0" borderId="47" xfId="1" applyFont="1" applyFill="1" applyBorder="1" applyAlignment="1">
      <alignment horizontal="center" vertical="center"/>
    </xf>
    <xf numFmtId="166" fontId="24" fillId="0" borderId="1" xfId="0" applyNumberFormat="1" applyFont="1" applyBorder="1" applyAlignment="1">
      <alignment horizontal="left" vertical="center"/>
    </xf>
    <xf numFmtId="0" fontId="24" fillId="0" borderId="10" xfId="8" applyFont="1" applyBorder="1" applyAlignment="1">
      <alignment horizontal="center" vertical="center"/>
    </xf>
    <xf numFmtId="164" fontId="24" fillId="0" borderId="27" xfId="1" applyFont="1" applyBorder="1" applyAlignment="1">
      <alignment horizontal="center" vertical="center"/>
    </xf>
    <xf numFmtId="0" fontId="105" fillId="0" borderId="0" xfId="0" applyFont="1" applyAlignment="1">
      <alignment horizontal="left"/>
    </xf>
    <xf numFmtId="179" fontId="96" fillId="5" borderId="17" xfId="8" quotePrefix="1" applyNumberFormat="1" applyFont="1" applyFill="1" applyBorder="1" applyAlignment="1">
      <alignment horizontal="center" vertical="center"/>
    </xf>
    <xf numFmtId="164" fontId="24" fillId="0" borderId="17" xfId="4" applyFont="1" applyBorder="1" applyAlignment="1">
      <alignment horizontal="center" vertical="center"/>
    </xf>
    <xf numFmtId="164" fontId="24" fillId="0" borderId="10" xfId="4" applyFont="1" applyBorder="1" applyAlignment="1">
      <alignment horizontal="center" vertical="center"/>
    </xf>
    <xf numFmtId="0" fontId="24" fillId="5" borderId="11" xfId="8" applyFont="1" applyFill="1" applyBorder="1" applyAlignment="1">
      <alignment horizontal="left" vertical="center"/>
    </xf>
    <xf numFmtId="0" fontId="96" fillId="0" borderId="1" xfId="8" applyFont="1" applyBorder="1" applyAlignment="1">
      <alignment horizontal="left" vertical="center"/>
    </xf>
    <xf numFmtId="164" fontId="24" fillId="0" borderId="30" xfId="4" applyFont="1" applyFill="1" applyBorder="1" applyAlignment="1">
      <alignment horizontal="center" vertical="center"/>
    </xf>
    <xf numFmtId="0" fontId="96" fillId="0" borderId="2" xfId="8" applyFont="1" applyBorder="1" applyAlignment="1">
      <alignment horizontal="left" vertical="center"/>
    </xf>
    <xf numFmtId="37" fontId="24" fillId="0" borderId="10" xfId="4" applyNumberFormat="1" applyFont="1" applyFill="1" applyBorder="1" applyAlignment="1">
      <alignment horizontal="right" vertical="center"/>
    </xf>
    <xf numFmtId="164" fontId="24" fillId="0" borderId="27" xfId="1" applyFont="1" applyFill="1" applyBorder="1" applyAlignment="1">
      <alignment horizontal="centerContinuous" vertical="center"/>
    </xf>
    <xf numFmtId="0" fontId="96" fillId="0" borderId="3" xfId="8" applyFont="1" applyBorder="1" applyAlignment="1">
      <alignment horizontal="left" vertical="center"/>
    </xf>
    <xf numFmtId="164" fontId="24" fillId="0" borderId="47" xfId="4" applyFont="1" applyFill="1" applyBorder="1" applyAlignment="1">
      <alignment horizontal="center" vertical="center"/>
    </xf>
    <xf numFmtId="166" fontId="83" fillId="0" borderId="1" xfId="0" applyNumberFormat="1" applyFont="1" applyBorder="1" applyAlignment="1">
      <alignment horizontal="left" vertical="center"/>
    </xf>
    <xf numFmtId="0" fontId="96" fillId="0" borderId="10" xfId="8" quotePrefix="1" applyFont="1" applyBorder="1" applyAlignment="1">
      <alignment horizontal="center" vertical="center"/>
    </xf>
    <xf numFmtId="166" fontId="34" fillId="0" borderId="1" xfId="0" applyNumberFormat="1" applyFont="1" applyBorder="1" applyAlignment="1">
      <alignment horizontal="left" vertical="center"/>
    </xf>
    <xf numFmtId="164" fontId="31" fillId="0" borderId="80" xfId="1" applyFont="1" applyFill="1" applyBorder="1" applyAlignment="1">
      <alignment horizontal="center" vertical="center"/>
    </xf>
    <xf numFmtId="164" fontId="31" fillId="0" borderId="64" xfId="1" applyFont="1" applyFill="1" applyBorder="1" applyAlignment="1">
      <alignment horizontal="center" vertical="center"/>
    </xf>
    <xf numFmtId="164" fontId="28" fillId="0" borderId="24" xfId="1" applyFont="1" applyFill="1" applyBorder="1" applyAlignment="1">
      <alignment horizontal="center" vertical="center"/>
    </xf>
    <xf numFmtId="0" fontId="86" fillId="0" borderId="1" xfId="0" applyFont="1" applyBorder="1" applyAlignment="1">
      <alignment horizontal="center" vertical="center"/>
    </xf>
    <xf numFmtId="0" fontId="86" fillId="0" borderId="30" xfId="0" applyFont="1" applyBorder="1" applyAlignment="1">
      <alignment horizontal="center" vertical="center"/>
    </xf>
    <xf numFmtId="165" fontId="86" fillId="0" borderId="68" xfId="3" applyNumberFormat="1" applyFont="1" applyFill="1" applyBorder="1" applyAlignment="1">
      <alignment horizontal="centerContinuous"/>
    </xf>
    <xf numFmtId="164" fontId="86" fillId="0" borderId="68" xfId="1" applyFont="1" applyFill="1" applyBorder="1" applyAlignment="1">
      <alignment horizontal="center" vertical="center"/>
    </xf>
    <xf numFmtId="164" fontId="86" fillId="0" borderId="70" xfId="1" applyFont="1" applyFill="1" applyBorder="1" applyAlignment="1">
      <alignment horizontal="center" vertical="center"/>
    </xf>
    <xf numFmtId="164" fontId="86" fillId="0" borderId="36" xfId="1" applyFont="1" applyFill="1" applyBorder="1" applyAlignment="1">
      <alignment horizontal="center" vertical="center"/>
    </xf>
    <xf numFmtId="164" fontId="110" fillId="0" borderId="36" xfId="1" applyFont="1" applyFill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165" fontId="34" fillId="0" borderId="61" xfId="3" applyNumberFormat="1" applyFont="1" applyFill="1" applyBorder="1" applyAlignment="1">
      <alignment horizontal="centerContinuous"/>
    </xf>
    <xf numFmtId="164" fontId="34" fillId="0" borderId="61" xfId="1" applyFont="1" applyFill="1" applyBorder="1" applyAlignment="1">
      <alignment horizontal="center" vertical="center"/>
    </xf>
    <xf numFmtId="164" fontId="34" fillId="0" borderId="67" xfId="1" applyFont="1" applyFill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165" fontId="34" fillId="0" borderId="76" xfId="3" applyNumberFormat="1" applyFont="1" applyFill="1" applyBorder="1" applyAlignment="1">
      <alignment horizontal="centerContinuous"/>
    </xf>
    <xf numFmtId="179" fontId="34" fillId="0" borderId="10" xfId="0" quotePrefix="1" applyNumberFormat="1" applyFont="1" applyBorder="1" applyAlignment="1">
      <alignment horizontal="center" vertical="center"/>
    </xf>
    <xf numFmtId="164" fontId="34" fillId="0" borderId="10" xfId="1" applyFont="1" applyFill="1" applyBorder="1" applyAlignment="1">
      <alignment horizontal="right" vertical="center"/>
    </xf>
    <xf numFmtId="2" fontId="34" fillId="0" borderId="17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165" fontId="34" fillId="0" borderId="68" xfId="3" applyNumberFormat="1" applyFont="1" applyFill="1" applyBorder="1" applyAlignment="1">
      <alignment horizontal="centerContinuous"/>
    </xf>
    <xf numFmtId="164" fontId="34" fillId="0" borderId="68" xfId="1" applyFont="1" applyFill="1" applyBorder="1" applyAlignment="1">
      <alignment horizontal="center" vertical="center"/>
    </xf>
    <xf numFmtId="164" fontId="34" fillId="0" borderId="70" xfId="1" applyFont="1" applyFill="1" applyBorder="1" applyAlignment="1">
      <alignment horizontal="center" vertical="center"/>
    </xf>
    <xf numFmtId="0" fontId="95" fillId="2" borderId="8" xfId="5" applyFont="1" applyFill="1" applyBorder="1" applyAlignment="1">
      <alignment vertical="center"/>
    </xf>
    <xf numFmtId="164" fontId="95" fillId="2" borderId="81" xfId="1" applyFont="1" applyFill="1" applyBorder="1" applyAlignment="1">
      <alignment horizontal="center" vertical="center"/>
    </xf>
    <xf numFmtId="0" fontId="96" fillId="0" borderId="36" xfId="8" quotePrefix="1" applyFont="1" applyBorder="1" applyAlignment="1">
      <alignment horizontal="center" vertical="center"/>
    </xf>
    <xf numFmtId="166" fontId="96" fillId="0" borderId="37" xfId="0" applyNumberFormat="1" applyFont="1" applyBorder="1" applyAlignment="1">
      <alignment horizontal="left" vertical="center"/>
    </xf>
    <xf numFmtId="0" fontId="96" fillId="0" borderId="37" xfId="8" applyFont="1" applyBorder="1" applyAlignment="1">
      <alignment horizontal="left" vertical="center"/>
    </xf>
    <xf numFmtId="0" fontId="24" fillId="0" borderId="37" xfId="8" applyFont="1" applyBorder="1" applyAlignment="1">
      <alignment horizontal="left" vertical="center"/>
    </xf>
    <xf numFmtId="164" fontId="24" fillId="0" borderId="36" xfId="1" applyFont="1" applyFill="1" applyBorder="1" applyAlignment="1">
      <alignment horizontal="center" vertical="center"/>
    </xf>
    <xf numFmtId="164" fontId="24" fillId="0" borderId="39" xfId="1" applyFont="1" applyFill="1" applyBorder="1" applyAlignment="1">
      <alignment horizontal="center" vertical="center"/>
    </xf>
    <xf numFmtId="164" fontId="24" fillId="0" borderId="82" xfId="1" applyFont="1" applyFill="1" applyBorder="1" applyAlignment="1">
      <alignment horizontal="center" vertical="center"/>
    </xf>
    <xf numFmtId="164" fontId="24" fillId="0" borderId="75" xfId="1" applyFont="1" applyFill="1" applyBorder="1" applyAlignment="1">
      <alignment horizontal="center" vertical="center"/>
    </xf>
    <xf numFmtId="164" fontId="24" fillId="0" borderId="83" xfId="1" applyFont="1" applyFill="1" applyBorder="1" applyAlignment="1">
      <alignment horizontal="center" vertical="center"/>
    </xf>
    <xf numFmtId="164" fontId="24" fillId="0" borderId="61" xfId="1" applyFont="1" applyFill="1" applyBorder="1" applyAlignment="1">
      <alignment horizontal="center" vertical="center"/>
    </xf>
    <xf numFmtId="164" fontId="24" fillId="0" borderId="67" xfId="1" applyFont="1" applyFill="1" applyBorder="1" applyAlignment="1">
      <alignment horizontal="center" vertical="center"/>
    </xf>
    <xf numFmtId="164" fontId="24" fillId="0" borderId="61" xfId="4" applyFont="1" applyFill="1" applyBorder="1" applyAlignment="1">
      <alignment horizontal="center" vertical="center"/>
    </xf>
    <xf numFmtId="164" fontId="24" fillId="0" borderId="67" xfId="4" applyFont="1" applyFill="1" applyBorder="1" applyAlignment="1">
      <alignment horizontal="center" vertical="center"/>
    </xf>
    <xf numFmtId="164" fontId="24" fillId="0" borderId="61" xfId="1" applyFont="1" applyFill="1" applyBorder="1" applyAlignment="1">
      <alignment horizontal="right" vertical="center"/>
    </xf>
    <xf numFmtId="0" fontId="24" fillId="0" borderId="16" xfId="8" applyFont="1" applyBorder="1" applyAlignment="1">
      <alignment horizontal="center" vertical="center"/>
    </xf>
    <xf numFmtId="164" fontId="24" fillId="0" borderId="76" xfId="1" applyFont="1" applyFill="1" applyBorder="1" applyAlignment="1">
      <alignment horizontal="center" vertical="center"/>
    </xf>
    <xf numFmtId="164" fontId="24" fillId="0" borderId="84" xfId="1" applyFont="1" applyFill="1" applyBorder="1" applyAlignment="1">
      <alignment horizontal="center" vertical="center"/>
    </xf>
    <xf numFmtId="164" fontId="24" fillId="0" borderId="68" xfId="1" applyFont="1" applyFill="1" applyBorder="1" applyAlignment="1">
      <alignment horizontal="center" vertical="center"/>
    </xf>
    <xf numFmtId="164" fontId="24" fillId="0" borderId="70" xfId="1" applyFont="1" applyFill="1" applyBorder="1" applyAlignment="1">
      <alignment horizontal="center" vertical="center"/>
    </xf>
    <xf numFmtId="164" fontId="24" fillId="0" borderId="61" xfId="1" applyFont="1" applyBorder="1" applyAlignment="1">
      <alignment horizontal="center" vertical="center"/>
    </xf>
    <xf numFmtId="164" fontId="92" fillId="3" borderId="10" xfId="4" applyFont="1" applyFill="1" applyBorder="1" applyAlignment="1">
      <alignment horizontal="center" vertical="center"/>
    </xf>
    <xf numFmtId="0" fontId="122" fillId="0" borderId="0" xfId="0" applyFont="1" applyAlignment="1">
      <alignment horizontal="center"/>
    </xf>
    <xf numFmtId="179" fontId="96" fillId="0" borderId="17" xfId="8" quotePrefix="1" applyNumberFormat="1" applyFont="1" applyBorder="1" applyAlignment="1">
      <alignment horizontal="center" vertical="center"/>
    </xf>
    <xf numFmtId="164" fontId="24" fillId="0" borderId="68" xfId="4" applyFont="1" applyFill="1" applyBorder="1" applyAlignment="1">
      <alignment horizontal="center" vertical="center"/>
    </xf>
    <xf numFmtId="164" fontId="24" fillId="0" borderId="70" xfId="4" applyFont="1" applyFill="1" applyBorder="1" applyAlignment="1">
      <alignment horizontal="center" vertical="center"/>
    </xf>
    <xf numFmtId="164" fontId="24" fillId="0" borderId="61" xfId="1" applyFont="1" applyFill="1" applyBorder="1" applyAlignment="1">
      <alignment horizontal="centerContinuous" vertical="center"/>
    </xf>
    <xf numFmtId="0" fontId="96" fillId="0" borderId="13" xfId="8" quotePrefix="1" applyFont="1" applyBorder="1" applyAlignment="1">
      <alignment horizontal="center" vertical="center"/>
    </xf>
    <xf numFmtId="166" fontId="24" fillId="0" borderId="0" xfId="0" applyNumberFormat="1" applyFont="1" applyAlignment="1">
      <alignment horizontal="left" vertical="center"/>
    </xf>
    <xf numFmtId="0" fontId="96" fillId="0" borderId="0" xfId="8" applyFont="1" applyAlignment="1">
      <alignment horizontal="left" vertical="center"/>
    </xf>
    <xf numFmtId="0" fontId="24" fillId="0" borderId="0" xfId="8" applyFont="1" applyAlignment="1">
      <alignment horizontal="left" vertical="center"/>
    </xf>
    <xf numFmtId="164" fontId="24" fillId="0" borderId="63" xfId="4" applyFont="1" applyFill="1" applyBorder="1" applyAlignment="1">
      <alignment horizontal="center" vertical="center"/>
    </xf>
    <xf numFmtId="164" fontId="24" fillId="0" borderId="85" xfId="4" applyFont="1" applyFill="1" applyBorder="1" applyAlignment="1">
      <alignment horizontal="center" vertical="center"/>
    </xf>
    <xf numFmtId="164" fontId="24" fillId="0" borderId="15" xfId="4" applyFont="1" applyFill="1" applyBorder="1" applyAlignment="1">
      <alignment horizontal="center" vertical="center"/>
    </xf>
    <xf numFmtId="164" fontId="24" fillId="0" borderId="86" xfId="4" applyFont="1" applyFill="1" applyBorder="1" applyAlignment="1">
      <alignment horizontal="center" vertical="center"/>
    </xf>
    <xf numFmtId="0" fontId="96" fillId="0" borderId="16" xfId="8" quotePrefix="1" applyFont="1" applyBorder="1" applyAlignment="1">
      <alignment horizontal="center" vertical="center"/>
    </xf>
    <xf numFmtId="164" fontId="24" fillId="0" borderId="76" xfId="4" applyFont="1" applyFill="1" applyBorder="1" applyAlignment="1">
      <alignment horizontal="center" vertical="center"/>
    </xf>
    <xf numFmtId="164" fontId="24" fillId="0" borderId="84" xfId="4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4" fontId="24" fillId="0" borderId="61" xfId="4" applyFont="1" applyFill="1" applyBorder="1" applyAlignment="1">
      <alignment horizontal="right" vertical="center"/>
    </xf>
    <xf numFmtId="0" fontId="93" fillId="0" borderId="13" xfId="0" applyFont="1" applyBorder="1"/>
    <xf numFmtId="0" fontId="93" fillId="0" borderId="63" xfId="0" applyFont="1" applyBorder="1"/>
    <xf numFmtId="0" fontId="93" fillId="0" borderId="85" xfId="0" applyFont="1" applyBorder="1"/>
    <xf numFmtId="0" fontId="93" fillId="0" borderId="15" xfId="0" applyFont="1" applyBorder="1"/>
    <xf numFmtId="0" fontId="93" fillId="0" borderId="86" xfId="0" applyFont="1" applyBorder="1"/>
    <xf numFmtId="0" fontId="18" fillId="0" borderId="0" xfId="0" quotePrefix="1" applyFont="1"/>
    <xf numFmtId="0" fontId="29" fillId="0" borderId="0" xfId="0" applyFont="1" applyAlignment="1">
      <alignment horizontal="left" vertical="center"/>
    </xf>
    <xf numFmtId="0" fontId="36" fillId="0" borderId="0" xfId="1" applyNumberFormat="1" applyFont="1" applyFill="1" applyAlignment="1">
      <alignment horizontal="center" vertical="center"/>
    </xf>
    <xf numFmtId="0" fontId="109" fillId="0" borderId="0" xfId="0" applyFont="1" applyAlignment="1">
      <alignment horizontal="left"/>
    </xf>
    <xf numFmtId="49" fontId="29" fillId="0" borderId="1" xfId="1" applyNumberFormat="1" applyFont="1" applyFill="1" applyBorder="1" applyAlignment="1">
      <alignment vertical="top"/>
    </xf>
    <xf numFmtId="0" fontId="29" fillId="0" borderId="1" xfId="0" applyFont="1" applyBorder="1" applyAlignment="1">
      <alignment horizontal="left" vertical="top"/>
    </xf>
    <xf numFmtId="0" fontId="29" fillId="0" borderId="1" xfId="1" applyNumberFormat="1" applyFont="1" applyFill="1" applyBorder="1" applyAlignment="1">
      <alignment vertical="center"/>
    </xf>
    <xf numFmtId="49" fontId="29" fillId="0" borderId="2" xfId="1" applyNumberFormat="1" applyFont="1" applyFill="1" applyBorder="1" applyAlignment="1">
      <alignment vertical="top"/>
    </xf>
    <xf numFmtId="0" fontId="29" fillId="0" borderId="1" xfId="0" applyFont="1" applyBorder="1" applyAlignment="1">
      <alignment vertical="center"/>
    </xf>
    <xf numFmtId="0" fontId="29" fillId="0" borderId="2" xfId="0" applyFont="1" applyBorder="1" applyAlignment="1">
      <alignment horizontal="right"/>
    </xf>
    <xf numFmtId="0" fontId="29" fillId="0" borderId="2" xfId="1" applyNumberFormat="1" applyFont="1" applyFill="1" applyBorder="1" applyAlignment="1">
      <alignment horizontal="center"/>
    </xf>
    <xf numFmtId="0" fontId="29" fillId="0" borderId="2" xfId="1" applyNumberFormat="1" applyFont="1" applyFill="1" applyBorder="1" applyAlignment="1">
      <alignment horizontal="center" vertical="top"/>
    </xf>
    <xf numFmtId="17" fontId="29" fillId="0" borderId="2" xfId="1" applyNumberFormat="1" applyFont="1" applyFill="1" applyBorder="1" applyAlignment="1">
      <alignment vertical="top"/>
    </xf>
    <xf numFmtId="164" fontId="32" fillId="0" borderId="0" xfId="1" applyFont="1" applyFill="1" applyAlignment="1">
      <alignment vertical="center"/>
    </xf>
    <xf numFmtId="0" fontId="32" fillId="0" borderId="0" xfId="1" applyNumberFormat="1" applyFont="1" applyFill="1" applyAlignment="1">
      <alignment vertical="center"/>
    </xf>
    <xf numFmtId="0" fontId="32" fillId="0" borderId="0" xfId="1" applyNumberFormat="1" applyFont="1" applyFill="1" applyAlignment="1">
      <alignment horizontal="center" vertical="center"/>
    </xf>
    <xf numFmtId="0" fontId="124" fillId="0" borderId="0" xfId="0" applyFont="1" applyAlignment="1">
      <alignment horizontal="left"/>
    </xf>
    <xf numFmtId="0" fontId="124" fillId="0" borderId="0" xfId="0" applyFont="1"/>
    <xf numFmtId="164" fontId="30" fillId="0" borderId="80" xfId="1" applyFont="1" applyFill="1" applyBorder="1" applyAlignment="1">
      <alignment horizontal="center" vertical="center"/>
    </xf>
    <xf numFmtId="164" fontId="30" fillId="0" borderId="64" xfId="1" applyFont="1" applyFill="1" applyBorder="1" applyAlignment="1">
      <alignment horizontal="center" vertical="center"/>
    </xf>
    <xf numFmtId="164" fontId="29" fillId="0" borderId="24" xfId="1" applyFont="1" applyFill="1" applyBorder="1" applyAlignment="1">
      <alignment horizontal="center" vertical="center"/>
    </xf>
    <xf numFmtId="0" fontId="96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165" fontId="19" fillId="0" borderId="82" xfId="3" applyNumberFormat="1" applyFont="1" applyFill="1" applyBorder="1" applyAlignment="1">
      <alignment horizontal="centerContinuous"/>
    </xf>
    <xf numFmtId="164" fontId="19" fillId="0" borderId="75" xfId="1" applyFont="1" applyFill="1" applyBorder="1" applyAlignment="1">
      <alignment horizontal="center" vertical="center"/>
    </xf>
    <xf numFmtId="164" fontId="19" fillId="0" borderId="68" xfId="1" applyFont="1" applyFill="1" applyBorder="1" applyAlignment="1">
      <alignment horizontal="center" vertical="center"/>
    </xf>
    <xf numFmtId="164" fontId="19" fillId="0" borderId="70" xfId="1" applyFont="1" applyFill="1" applyBorder="1" applyAlignment="1">
      <alignment horizontal="center" vertical="center"/>
    </xf>
    <xf numFmtId="164" fontId="19" fillId="0" borderId="36" xfId="1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165" fontId="24" fillId="0" borderId="61" xfId="3" applyNumberFormat="1" applyFont="1" applyFill="1" applyBorder="1" applyAlignment="1">
      <alignment horizontal="centerContinuous"/>
    </xf>
    <xf numFmtId="0" fontId="125" fillId="0" borderId="0" xfId="0" applyFont="1" applyAlignment="1">
      <alignment horizontal="center"/>
    </xf>
    <xf numFmtId="0" fontId="24" fillId="0" borderId="16" xfId="0" quotePrefix="1" applyFont="1" applyBorder="1" applyAlignment="1">
      <alignment horizontal="center" vertical="center"/>
    </xf>
    <xf numFmtId="0" fontId="24" fillId="0" borderId="3" xfId="0" applyFont="1" applyBorder="1"/>
    <xf numFmtId="0" fontId="24" fillId="0" borderId="3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165" fontId="24" fillId="0" borderId="76" xfId="3" applyNumberFormat="1" applyFont="1" applyFill="1" applyBorder="1" applyAlignment="1">
      <alignment horizontal="centerContinuous"/>
    </xf>
    <xf numFmtId="179" fontId="24" fillId="0" borderId="10" xfId="0" quotePrefix="1" applyNumberFormat="1" applyFont="1" applyBorder="1" applyAlignment="1">
      <alignment horizontal="center" vertical="center"/>
    </xf>
    <xf numFmtId="2" fontId="24" fillId="0" borderId="17" xfId="0" applyNumberFormat="1" applyFont="1" applyBorder="1" applyAlignment="1">
      <alignment horizontal="center" vertical="center"/>
    </xf>
    <xf numFmtId="0" fontId="24" fillId="0" borderId="1" xfId="0" applyFont="1" applyBorder="1"/>
    <xf numFmtId="0" fontId="24" fillId="0" borderId="1" xfId="0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165" fontId="24" fillId="0" borderId="68" xfId="3" applyNumberFormat="1" applyFont="1" applyFill="1" applyBorder="1" applyAlignment="1">
      <alignment horizontal="centerContinuous"/>
    </xf>
    <xf numFmtId="164" fontId="24" fillId="0" borderId="17" xfId="1" applyFont="1" applyFill="1" applyBorder="1" applyAlignment="1">
      <alignment horizontal="left" vertical="center"/>
    </xf>
    <xf numFmtId="2" fontId="24" fillId="0" borderId="10" xfId="0" applyNumberFormat="1" applyFont="1" applyBorder="1" applyAlignment="1">
      <alignment horizontal="center" vertical="center"/>
    </xf>
    <xf numFmtId="10" fontId="95" fillId="2" borderId="20" xfId="1" applyNumberFormat="1" applyFont="1" applyFill="1" applyBorder="1" applyAlignment="1">
      <alignment horizontal="center" vertical="center"/>
    </xf>
    <xf numFmtId="164" fontId="24" fillId="3" borderId="67" xfId="4" applyFont="1" applyFill="1" applyBorder="1" applyAlignment="1">
      <alignment horizontal="center" vertical="center"/>
    </xf>
    <xf numFmtId="164" fontId="24" fillId="3" borderId="68" xfId="4" applyFont="1" applyFill="1" applyBorder="1" applyAlignment="1">
      <alignment horizontal="center" vertical="center"/>
    </xf>
    <xf numFmtId="164" fontId="24" fillId="3" borderId="70" xfId="4" applyFont="1" applyFill="1" applyBorder="1" applyAlignment="1">
      <alignment horizontal="center" vertical="center"/>
    </xf>
    <xf numFmtId="164" fontId="92" fillId="0" borderId="61" xfId="4" applyFont="1" applyBorder="1" applyAlignment="1">
      <alignment horizontal="center" vertical="center"/>
    </xf>
    <xf numFmtId="164" fontId="92" fillId="3" borderId="61" xfId="4" applyFont="1" applyFill="1" applyBorder="1" applyAlignment="1">
      <alignment horizontal="center" vertical="center"/>
    </xf>
    <xf numFmtId="0" fontId="24" fillId="0" borderId="17" xfId="8" quotePrefix="1" applyFont="1" applyBorder="1" applyAlignment="1">
      <alignment horizontal="center" vertical="center"/>
    </xf>
    <xf numFmtId="0" fontId="105" fillId="0" borderId="0" xfId="0" applyFont="1" applyAlignment="1">
      <alignment horizontal="center"/>
    </xf>
    <xf numFmtId="0" fontId="105" fillId="0" borderId="13" xfId="0" applyFont="1" applyBorder="1"/>
    <xf numFmtId="0" fontId="105" fillId="0" borderId="63" xfId="0" applyFont="1" applyBorder="1"/>
    <xf numFmtId="0" fontId="105" fillId="0" borderId="85" xfId="0" applyFont="1" applyBorder="1"/>
    <xf numFmtId="0" fontId="105" fillId="0" borderId="15" xfId="0" applyFont="1" applyBorder="1"/>
    <xf numFmtId="0" fontId="105" fillId="0" borderId="86" xfId="0" applyFont="1" applyBorder="1"/>
    <xf numFmtId="0" fontId="109" fillId="0" borderId="0" xfId="0" quotePrefix="1" applyFont="1"/>
    <xf numFmtId="0" fontId="109" fillId="0" borderId="0" xfId="0" applyFont="1" applyAlignment="1">
      <alignment horizontal="center"/>
    </xf>
    <xf numFmtId="165" fontId="19" fillId="0" borderId="68" xfId="3" applyNumberFormat="1" applyFont="1" applyFill="1" applyBorder="1" applyAlignment="1">
      <alignment horizontal="centerContinuous"/>
    </xf>
    <xf numFmtId="2" fontId="24" fillId="0" borderId="10" xfId="0" quotePrefix="1" applyNumberFormat="1" applyFont="1" applyBorder="1" applyAlignment="1">
      <alignment horizontal="center" vertical="center"/>
    </xf>
    <xf numFmtId="164" fontId="24" fillId="3" borderId="68" xfId="1" applyFont="1" applyFill="1" applyBorder="1" applyAlignment="1">
      <alignment horizontal="center" vertical="center"/>
    </xf>
    <xf numFmtId="164" fontId="24" fillId="3" borderId="70" xfId="1" applyFont="1" applyFill="1" applyBorder="1" applyAlignment="1">
      <alignment horizontal="center" vertical="center"/>
    </xf>
    <xf numFmtId="1" fontId="122" fillId="0" borderId="0" xfId="0" applyNumberFormat="1" applyFont="1"/>
    <xf numFmtId="179" fontId="122" fillId="0" borderId="0" xfId="0" applyNumberFormat="1" applyFont="1"/>
    <xf numFmtId="164" fontId="24" fillId="3" borderId="61" xfId="1" applyFont="1" applyFill="1" applyBorder="1" applyAlignment="1">
      <alignment horizontal="center" vertical="center"/>
    </xf>
    <xf numFmtId="164" fontId="103" fillId="0" borderId="61" xfId="4" applyFont="1" applyBorder="1" applyAlignment="1">
      <alignment horizontal="center" vertical="center"/>
    </xf>
    <xf numFmtId="164" fontId="24" fillId="3" borderId="67" xfId="1" applyFont="1" applyFill="1" applyBorder="1" applyAlignment="1">
      <alignment horizontal="center" vertical="center"/>
    </xf>
    <xf numFmtId="164" fontId="92" fillId="3" borderId="12" xfId="4" applyFont="1" applyFill="1" applyBorder="1" applyAlignment="1">
      <alignment horizontal="center" vertical="center"/>
    </xf>
    <xf numFmtId="164" fontId="92" fillId="3" borderId="67" xfId="4" applyFont="1" applyFill="1" applyBorder="1" applyAlignment="1">
      <alignment horizontal="center" vertical="center"/>
    </xf>
    <xf numFmtId="164" fontId="92" fillId="0" borderId="10" xfId="4" applyFont="1" applyBorder="1" applyAlignment="1">
      <alignment horizontal="center" vertical="center"/>
    </xf>
    <xf numFmtId="164" fontId="92" fillId="0" borderId="27" xfId="4" applyFont="1" applyBorder="1" applyAlignment="1">
      <alignment horizontal="center" vertical="center"/>
    </xf>
    <xf numFmtId="164" fontId="92" fillId="0" borderId="61" xfId="1" applyFont="1" applyBorder="1" applyAlignment="1">
      <alignment horizontal="centerContinuous" vertical="center"/>
    </xf>
    <xf numFmtId="164" fontId="24" fillId="0" borderId="61" xfId="1" applyFont="1" applyBorder="1" applyAlignment="1">
      <alignment horizontal="centerContinuous" vertical="center"/>
    </xf>
    <xf numFmtId="0" fontId="24" fillId="0" borderId="10" xfId="57" quotePrefix="1" applyFont="1" applyBorder="1" applyAlignment="1">
      <alignment horizontal="center" vertical="center"/>
    </xf>
    <xf numFmtId="166" fontId="24" fillId="0" borderId="2" xfId="57" applyNumberFormat="1" applyFont="1" applyBorder="1" applyAlignment="1">
      <alignment vertical="center"/>
    </xf>
    <xf numFmtId="164" fontId="24" fillId="0" borderId="16" xfId="1" applyFont="1" applyFill="1" applyBorder="1" applyAlignment="1">
      <alignment horizontal="left" vertical="center"/>
    </xf>
    <xf numFmtId="179" fontId="24" fillId="0" borderId="10" xfId="57" quotePrefix="1" applyNumberFormat="1" applyFont="1" applyBorder="1" applyAlignment="1">
      <alignment horizontal="center" vertical="center"/>
    </xf>
    <xf numFmtId="49" fontId="24" fillId="0" borderId="10" xfId="0" quotePrefix="1" applyNumberFormat="1" applyFont="1" applyBorder="1" applyAlignment="1">
      <alignment horizontal="center" vertical="center"/>
    </xf>
    <xf numFmtId="0" fontId="96" fillId="2" borderId="20" xfId="0" applyFont="1" applyFill="1" applyBorder="1" applyAlignment="1">
      <alignment horizontal="center" vertical="center"/>
    </xf>
    <xf numFmtId="0" fontId="96" fillId="2" borderId="20" xfId="5" applyFont="1" applyFill="1" applyBorder="1" applyAlignment="1">
      <alignment vertical="center"/>
    </xf>
    <xf numFmtId="0" fontId="96" fillId="2" borderId="8" xfId="5" applyFont="1" applyFill="1" applyBorder="1" applyAlignment="1">
      <alignment vertical="center"/>
    </xf>
    <xf numFmtId="0" fontId="96" fillId="2" borderId="64" xfId="5" applyFont="1" applyFill="1" applyBorder="1" applyAlignment="1">
      <alignment vertical="center"/>
    </xf>
    <xf numFmtId="164" fontId="96" fillId="2" borderId="25" xfId="1" applyFont="1" applyFill="1" applyBorder="1" applyAlignment="1">
      <alignment horizontal="center" vertical="center"/>
    </xf>
    <xf numFmtId="164" fontId="96" fillId="2" borderId="64" xfId="1" applyFont="1" applyFill="1" applyBorder="1" applyAlignment="1">
      <alignment horizontal="center" vertical="center"/>
    </xf>
    <xf numFmtId="164" fontId="96" fillId="2" borderId="81" xfId="1" applyFont="1" applyFill="1" applyBorder="1" applyAlignment="1">
      <alignment horizontal="center" vertical="center"/>
    </xf>
    <xf numFmtId="164" fontId="96" fillId="2" borderId="20" xfId="1" applyFont="1" applyFill="1" applyBorder="1" applyAlignment="1">
      <alignment horizontal="center" vertical="center"/>
    </xf>
    <xf numFmtId="166" fontId="96" fillId="0" borderId="2" xfId="0" applyNumberFormat="1" applyFont="1" applyBorder="1" applyAlignment="1">
      <alignment horizontal="left" vertical="center"/>
    </xf>
    <xf numFmtId="0" fontId="24" fillId="0" borderId="17" xfId="8" applyFont="1" applyBorder="1" applyAlignment="1">
      <alignment horizontal="center" vertical="center"/>
    </xf>
    <xf numFmtId="164" fontId="24" fillId="0" borderId="68" xfId="1" applyFont="1" applyFill="1" applyBorder="1" applyAlignment="1">
      <alignment horizontal="right" vertical="center"/>
    </xf>
    <xf numFmtId="164" fontId="96" fillId="2" borderId="64" xfId="5" applyNumberFormat="1" applyFont="1" applyFill="1" applyBorder="1" applyAlignment="1">
      <alignment vertical="center"/>
    </xf>
    <xf numFmtId="164" fontId="96" fillId="2" borderId="81" xfId="5" applyNumberFormat="1" applyFont="1" applyFill="1" applyBorder="1" applyAlignment="1">
      <alignment vertical="center"/>
    </xf>
    <xf numFmtId="164" fontId="96" fillId="2" borderId="20" xfId="5" applyNumberFormat="1" applyFont="1" applyFill="1" applyBorder="1" applyAlignment="1">
      <alignment vertical="center"/>
    </xf>
    <xf numFmtId="166" fontId="24" fillId="0" borderId="27" xfId="0" applyNumberFormat="1" applyFont="1" applyBorder="1" applyAlignment="1">
      <alignment horizontal="left" vertical="center"/>
    </xf>
    <xf numFmtId="0" fontId="24" fillId="0" borderId="10" xfId="0" applyFont="1" applyBorder="1" applyAlignment="1">
      <alignment horizontal="right" vertical="center"/>
    </xf>
    <xf numFmtId="179" fontId="24" fillId="0" borderId="10" xfId="8" quotePrefix="1" applyNumberFormat="1" applyFont="1" applyBorder="1" applyAlignment="1">
      <alignment horizontal="center" vertical="center"/>
    </xf>
    <xf numFmtId="43" fontId="122" fillId="0" borderId="0" xfId="0" applyNumberFormat="1" applyFont="1" applyAlignment="1">
      <alignment horizontal="left"/>
    </xf>
    <xf numFmtId="49" fontId="96" fillId="0" borderId="10" xfId="57" quotePrefix="1" applyNumberFormat="1" applyFont="1" applyBorder="1" applyAlignment="1">
      <alignment horizontal="center" vertical="center"/>
    </xf>
    <xf numFmtId="165" fontId="19" fillId="0" borderId="68" xfId="3" applyNumberFormat="1" applyFont="1" applyFill="1" applyBorder="1" applyAlignment="1">
      <alignment horizontal="center"/>
    </xf>
    <xf numFmtId="165" fontId="24" fillId="0" borderId="61" xfId="3" applyNumberFormat="1" applyFont="1" applyFill="1" applyBorder="1" applyAlignment="1">
      <alignment horizontal="center"/>
    </xf>
    <xf numFmtId="165" fontId="24" fillId="0" borderId="76" xfId="3" applyNumberFormat="1" applyFont="1" applyFill="1" applyBorder="1" applyAlignment="1">
      <alignment horizontal="center"/>
    </xf>
    <xf numFmtId="165" fontId="24" fillId="0" borderId="68" xfId="3" applyNumberFormat="1" applyFont="1" applyFill="1" applyBorder="1" applyAlignment="1">
      <alignment horizontal="center"/>
    </xf>
    <xf numFmtId="49" fontId="24" fillId="0" borderId="10" xfId="0" applyNumberFormat="1" applyFont="1" applyBorder="1" applyAlignment="1">
      <alignment horizontal="center" vertical="center"/>
    </xf>
    <xf numFmtId="0" fontId="126" fillId="0" borderId="0" xfId="0" applyFont="1" applyAlignment="1">
      <alignment horizontal="left"/>
    </xf>
    <xf numFmtId="0" fontId="126" fillId="0" borderId="0" xfId="0" applyFont="1" applyAlignment="1">
      <alignment horizontal="center"/>
    </xf>
    <xf numFmtId="0" fontId="127" fillId="0" borderId="0" xfId="0" applyFont="1" applyAlignment="1">
      <alignment horizontal="center"/>
    </xf>
    <xf numFmtId="0" fontId="24" fillId="0" borderId="32" xfId="8" quotePrefix="1" applyFont="1" applyBorder="1" applyAlignment="1">
      <alignment horizontal="center" vertical="center"/>
    </xf>
    <xf numFmtId="166" fontId="24" fillId="0" borderId="34" xfId="0" applyNumberFormat="1" applyFont="1" applyBorder="1" applyAlignment="1">
      <alignment horizontal="left" vertical="center"/>
    </xf>
    <xf numFmtId="0" fontId="96" fillId="0" borderId="34" xfId="8" applyFont="1" applyBorder="1" applyAlignment="1">
      <alignment horizontal="left" vertical="center"/>
    </xf>
    <xf numFmtId="0" fontId="24" fillId="0" borderId="34" xfId="8" applyFont="1" applyBorder="1" applyAlignment="1">
      <alignment horizontal="left" vertical="center"/>
    </xf>
    <xf numFmtId="164" fontId="24" fillId="0" borderId="32" xfId="4" applyFont="1" applyFill="1" applyBorder="1" applyAlignment="1">
      <alignment horizontal="center" vertical="center"/>
    </xf>
    <xf numFmtId="164" fontId="24" fillId="0" borderId="35" xfId="4" applyFont="1" applyFill="1" applyBorder="1" applyAlignment="1">
      <alignment horizontal="center" vertical="center"/>
    </xf>
    <xf numFmtId="164" fontId="24" fillId="0" borderId="33" xfId="4" applyFont="1" applyFill="1" applyBorder="1" applyAlignment="1">
      <alignment horizontal="center" vertical="center"/>
    </xf>
    <xf numFmtId="164" fontId="24" fillId="0" borderId="77" xfId="4" applyFont="1" applyFill="1" applyBorder="1" applyAlignment="1">
      <alignment horizontal="center" vertical="center"/>
    </xf>
    <xf numFmtId="164" fontId="24" fillId="0" borderId="34" xfId="4" applyFont="1" applyFill="1" applyBorder="1" applyAlignment="1">
      <alignment horizontal="center" vertical="center"/>
    </xf>
    <xf numFmtId="179" fontId="24" fillId="0" borderId="17" xfId="8" quotePrefix="1" applyNumberFormat="1" applyFont="1" applyBorder="1" applyAlignment="1">
      <alignment horizontal="center" vertical="center"/>
    </xf>
    <xf numFmtId="0" fontId="128" fillId="0" borderId="87" xfId="58" applyFont="1" applyBorder="1" applyAlignment="1">
      <alignment horizontal="center" vertical="center"/>
    </xf>
    <xf numFmtId="164" fontId="92" fillId="0" borderId="2" xfId="4" applyFont="1" applyBorder="1" applyAlignment="1">
      <alignment horizontal="center" vertical="center"/>
    </xf>
    <xf numFmtId="164" fontId="24" fillId="0" borderId="2" xfId="4" applyFont="1" applyBorder="1" applyAlignment="1">
      <alignment horizontal="center" vertical="center"/>
    </xf>
    <xf numFmtId="164" fontId="95" fillId="2" borderId="88" xfId="1" applyFont="1" applyFill="1" applyBorder="1" applyAlignment="1">
      <alignment horizontal="center" vertical="center"/>
    </xf>
    <xf numFmtId="0" fontId="124" fillId="0" borderId="0" xfId="0" applyFont="1" applyAlignment="1">
      <alignment horizontal="center"/>
    </xf>
    <xf numFmtId="0" fontId="129" fillId="0" borderId="0" xfId="0" applyFont="1" applyAlignment="1">
      <alignment horizontal="center"/>
    </xf>
    <xf numFmtId="0" fontId="105" fillId="0" borderId="63" xfId="0" applyFont="1" applyBorder="1" applyAlignment="1">
      <alignment horizontal="center"/>
    </xf>
    <xf numFmtId="0" fontId="109" fillId="0" borderId="63" xfId="0" applyFont="1" applyBorder="1" applyAlignment="1">
      <alignment horizontal="center"/>
    </xf>
    <xf numFmtId="0" fontId="109" fillId="0" borderId="13" xfId="0" applyFont="1" applyBorder="1"/>
    <xf numFmtId="0" fontId="109" fillId="0" borderId="63" xfId="0" applyFont="1" applyBorder="1"/>
    <xf numFmtId="0" fontId="109" fillId="0" borderId="85" xfId="0" applyFont="1" applyBorder="1"/>
    <xf numFmtId="0" fontId="109" fillId="0" borderId="15" xfId="0" applyFont="1" applyBorder="1"/>
    <xf numFmtId="0" fontId="109" fillId="0" borderId="86" xfId="0" applyFont="1" applyBorder="1"/>
    <xf numFmtId="0" fontId="130" fillId="0" borderId="0" xfId="0" applyFont="1" applyAlignment="1">
      <alignment horizontal="left" vertical="center"/>
    </xf>
    <xf numFmtId="0" fontId="130" fillId="0" borderId="0" xfId="0" applyFont="1" applyAlignment="1">
      <alignment vertical="center"/>
    </xf>
    <xf numFmtId="0" fontId="131" fillId="0" borderId="0" xfId="1" applyNumberFormat="1" applyFont="1" applyAlignment="1">
      <alignment horizontal="center" vertical="center"/>
    </xf>
    <xf numFmtId="0" fontId="130" fillId="0" borderId="0" xfId="1" applyNumberFormat="1" applyFont="1" applyFill="1" applyAlignment="1">
      <alignment vertical="center"/>
    </xf>
    <xf numFmtId="0" fontId="130" fillId="0" borderId="0" xfId="1" applyNumberFormat="1" applyFont="1" applyAlignment="1">
      <alignment vertical="center"/>
    </xf>
    <xf numFmtId="0" fontId="130" fillId="0" borderId="0" xfId="1" applyNumberFormat="1" applyFont="1" applyFill="1" applyBorder="1" applyAlignment="1">
      <alignment horizontal="left" vertical="center"/>
    </xf>
    <xf numFmtId="0" fontId="130" fillId="0" borderId="0" xfId="0" applyFont="1"/>
    <xf numFmtId="49" fontId="130" fillId="0" borderId="1" xfId="1" applyNumberFormat="1" applyFont="1" applyFill="1" applyBorder="1" applyAlignment="1">
      <alignment vertical="top"/>
    </xf>
    <xf numFmtId="0" fontId="130" fillId="0" borderId="1" xfId="0" applyFont="1" applyBorder="1" applyAlignment="1">
      <alignment horizontal="left" vertical="top"/>
    </xf>
    <xf numFmtId="0" fontId="130" fillId="0" borderId="1" xfId="0" applyFont="1" applyBorder="1" applyAlignment="1">
      <alignment vertical="top"/>
    </xf>
    <xf numFmtId="0" fontId="37" fillId="0" borderId="1" xfId="0" applyFont="1" applyBorder="1" applyAlignment="1">
      <alignment vertical="top"/>
    </xf>
    <xf numFmtId="0" fontId="130" fillId="0" borderId="1" xfId="1" applyNumberFormat="1" applyFont="1" applyFill="1" applyBorder="1" applyAlignment="1">
      <alignment vertical="top"/>
    </xf>
    <xf numFmtId="0" fontId="130" fillId="0" borderId="1" xfId="1" applyNumberFormat="1" applyFont="1" applyBorder="1" applyAlignment="1">
      <alignment vertical="top"/>
    </xf>
    <xf numFmtId="0" fontId="130" fillId="0" borderId="1" xfId="1" applyNumberFormat="1" applyFont="1" applyFill="1" applyBorder="1" applyAlignment="1">
      <alignment vertical="center"/>
    </xf>
    <xf numFmtId="49" fontId="130" fillId="0" borderId="2" xfId="1" applyNumberFormat="1" applyFont="1" applyFill="1" applyBorder="1" applyAlignment="1">
      <alignment vertical="top"/>
    </xf>
    <xf numFmtId="0" fontId="130" fillId="0" borderId="2" xfId="0" applyFont="1" applyBorder="1" applyAlignment="1">
      <alignment horizontal="left" vertical="top"/>
    </xf>
    <xf numFmtId="0" fontId="130" fillId="0" borderId="2" xfId="0" applyFont="1" applyBorder="1" applyAlignment="1">
      <alignment vertical="top"/>
    </xf>
    <xf numFmtId="0" fontId="130" fillId="0" borderId="1" xfId="0" applyFont="1" applyBorder="1" applyAlignment="1">
      <alignment vertical="center"/>
    </xf>
    <xf numFmtId="0" fontId="130" fillId="0" borderId="2" xfId="1" applyNumberFormat="1" applyFont="1" applyFill="1" applyBorder="1" applyAlignment="1">
      <alignment vertical="top"/>
    </xf>
    <xf numFmtId="0" fontId="130" fillId="0" borderId="2" xfId="0" applyFont="1" applyBorder="1"/>
    <xf numFmtId="0" fontId="130" fillId="0" borderId="2" xfId="0" applyFont="1" applyBorder="1" applyAlignment="1">
      <alignment horizontal="right"/>
    </xf>
    <xf numFmtId="0" fontId="130" fillId="0" borderId="1" xfId="1" applyNumberFormat="1" applyFont="1" applyFill="1" applyBorder="1" applyAlignment="1">
      <alignment horizontal="right" vertical="top"/>
    </xf>
    <xf numFmtId="0" fontId="130" fillId="0" borderId="1" xfId="1" applyNumberFormat="1" applyFont="1" applyFill="1" applyBorder="1" applyAlignment="1">
      <alignment horizontal="center" vertical="top"/>
    </xf>
    <xf numFmtId="0" fontId="130" fillId="0" borderId="2" xfId="1" applyNumberFormat="1" applyFont="1" applyFill="1" applyBorder="1" applyAlignment="1">
      <alignment vertical="center"/>
    </xf>
    <xf numFmtId="0" fontId="37" fillId="0" borderId="2" xfId="0" applyFont="1" applyBorder="1" applyAlignment="1">
      <alignment horizontal="left" vertical="top"/>
    </xf>
    <xf numFmtId="3" fontId="130" fillId="0" borderId="2" xfId="0" applyNumberFormat="1" applyFont="1" applyBorder="1" applyAlignment="1">
      <alignment vertical="center"/>
    </xf>
    <xf numFmtId="0" fontId="130" fillId="0" borderId="2" xfId="1" applyNumberFormat="1" applyFont="1" applyFill="1" applyBorder="1" applyAlignment="1">
      <alignment horizontal="left" vertical="top"/>
    </xf>
    <xf numFmtId="0" fontId="37" fillId="0" borderId="2" xfId="1" applyNumberFormat="1" applyFont="1" applyBorder="1" applyAlignment="1">
      <alignment horizontal="left" vertical="top"/>
    </xf>
    <xf numFmtId="0" fontId="19" fillId="0" borderId="2" xfId="0" applyFont="1" applyBorder="1" applyAlignment="1">
      <alignment vertical="top"/>
    </xf>
    <xf numFmtId="0" fontId="19" fillId="0" borderId="2" xfId="0" quotePrefix="1" applyFont="1" applyBorder="1" applyAlignment="1">
      <alignment horizontal="center" vertical="top"/>
    </xf>
    <xf numFmtId="0" fontId="37" fillId="0" borderId="2" xfId="1" applyNumberFormat="1" applyFont="1" applyBorder="1" applyAlignment="1">
      <alignment horizontal="center"/>
    </xf>
    <xf numFmtId="0" fontId="37" fillId="0" borderId="2" xfId="1" applyNumberFormat="1" applyFont="1" applyBorder="1" applyAlignment="1">
      <alignment horizontal="center" vertical="top"/>
    </xf>
    <xf numFmtId="17" fontId="37" fillId="0" borderId="2" xfId="1" applyNumberFormat="1" applyFont="1" applyBorder="1" applyAlignment="1">
      <alignment vertical="top"/>
    </xf>
    <xf numFmtId="0" fontId="19" fillId="0" borderId="0" xfId="2" applyFont="1" applyAlignment="1">
      <alignment horizontal="center" vertical="center"/>
    </xf>
    <xf numFmtId="164" fontId="19" fillId="0" borderId="0" xfId="1" applyFont="1" applyAlignment="1">
      <alignment vertical="center"/>
    </xf>
    <xf numFmtId="0" fontId="19" fillId="0" borderId="0" xfId="1" applyNumberFormat="1" applyFont="1" applyAlignment="1">
      <alignment vertical="center"/>
    </xf>
    <xf numFmtId="0" fontId="19" fillId="0" borderId="0" xfId="1" applyNumberFormat="1" applyFont="1" applyAlignment="1">
      <alignment horizontal="center" vertical="center"/>
    </xf>
    <xf numFmtId="164" fontId="130" fillId="0" borderId="4" xfId="1" applyFont="1" applyFill="1" applyBorder="1" applyAlignment="1">
      <alignment horizontal="center" vertical="center"/>
    </xf>
    <xf numFmtId="164" fontId="133" fillId="0" borderId="23" xfId="1" applyFont="1" applyFill="1" applyBorder="1" applyAlignment="1">
      <alignment horizontal="center" vertical="center"/>
    </xf>
    <xf numFmtId="164" fontId="130" fillId="0" borderId="25" xfId="1" applyFont="1" applyFill="1" applyBorder="1" applyAlignment="1">
      <alignment horizontal="center" vertical="center"/>
    </xf>
    <xf numFmtId="164" fontId="130" fillId="0" borderId="21" xfId="1" applyFont="1" applyFill="1" applyBorder="1" applyAlignment="1">
      <alignment horizontal="center" vertical="center"/>
    </xf>
    <xf numFmtId="179" fontId="83" fillId="3" borderId="10" xfId="6" quotePrefix="1" applyNumberFormat="1" applyFont="1" applyFill="1" applyBorder="1" applyAlignment="1">
      <alignment horizontal="center"/>
    </xf>
    <xf numFmtId="179" fontId="83" fillId="3" borderId="3" xfId="6" applyNumberFormat="1" applyFont="1" applyFill="1" applyBorder="1" applyAlignment="1">
      <alignment horizontal="left"/>
    </xf>
    <xf numFmtId="0" fontId="83" fillId="3" borderId="3" xfId="6" applyFont="1" applyFill="1" applyBorder="1"/>
    <xf numFmtId="165" fontId="34" fillId="0" borderId="89" xfId="3" applyNumberFormat="1" applyFont="1" applyFill="1" applyBorder="1" applyAlignment="1">
      <alignment horizontal="centerContinuous"/>
    </xf>
    <xf numFmtId="164" fontId="98" fillId="0" borderId="19" xfId="1" applyFont="1" applyFill="1" applyBorder="1" applyAlignment="1">
      <alignment horizontal="center" vertical="center"/>
    </xf>
    <xf numFmtId="164" fontId="86" fillId="3" borderId="61" xfId="1" applyFont="1" applyFill="1" applyBorder="1" applyAlignment="1">
      <alignment horizontal="center" vertical="center"/>
    </xf>
    <xf numFmtId="164" fontId="86" fillId="0" borderId="12" xfId="1" applyFont="1" applyFill="1" applyBorder="1" applyAlignment="1">
      <alignment horizontal="center" vertical="center"/>
    </xf>
    <xf numFmtId="164" fontId="86" fillId="0" borderId="2" xfId="1" applyFont="1" applyFill="1" applyBorder="1" applyAlignment="1">
      <alignment horizontal="center" vertical="center"/>
    </xf>
    <xf numFmtId="164" fontId="110" fillId="0" borderId="11" xfId="1" applyFont="1" applyFill="1" applyBorder="1" applyAlignment="1">
      <alignment horizontal="left" vertical="center"/>
    </xf>
    <xf numFmtId="179" fontId="34" fillId="3" borderId="2" xfId="6" applyNumberFormat="1" applyFont="1" applyFill="1" applyBorder="1" applyAlignment="1">
      <alignment horizontal="left"/>
    </xf>
    <xf numFmtId="0" fontId="34" fillId="3" borderId="2" xfId="6" applyFont="1" applyFill="1" applyBorder="1"/>
    <xf numFmtId="0" fontId="34" fillId="3" borderId="2" xfId="6" applyFont="1" applyFill="1" applyBorder="1" applyAlignment="1">
      <alignment horizontal="left" vertical="center"/>
    </xf>
    <xf numFmtId="169" fontId="34" fillId="3" borderId="10" xfId="1" applyNumberFormat="1" applyFont="1" applyFill="1" applyBorder="1" applyAlignment="1">
      <alignment horizontal="right" vertical="center"/>
    </xf>
    <xf numFmtId="169" fontId="24" fillId="3" borderId="10" xfId="1" applyNumberFormat="1" applyFont="1" applyFill="1" applyBorder="1" applyAlignment="1">
      <alignment horizontal="right" vertical="center"/>
    </xf>
    <xf numFmtId="164" fontId="86" fillId="3" borderId="61" xfId="7" applyFont="1" applyFill="1" applyBorder="1" applyAlignment="1">
      <alignment horizontal="right"/>
    </xf>
    <xf numFmtId="179" fontId="86" fillId="3" borderId="2" xfId="6" applyNumberFormat="1" applyFont="1" applyFill="1" applyBorder="1" applyAlignment="1">
      <alignment horizontal="left"/>
    </xf>
    <xf numFmtId="0" fontId="86" fillId="3" borderId="2" xfId="6" applyFont="1" applyFill="1" applyBorder="1"/>
    <xf numFmtId="0" fontId="86" fillId="3" borderId="2" xfId="6" applyFont="1" applyFill="1" applyBorder="1" applyAlignment="1">
      <alignment horizontal="left" vertical="center"/>
    </xf>
    <xf numFmtId="169" fontId="19" fillId="3" borderId="10" xfId="1" applyNumberFormat="1" applyFont="1" applyFill="1" applyBorder="1" applyAlignment="1">
      <alignment horizontal="right" vertical="center"/>
    </xf>
    <xf numFmtId="179" fontId="86" fillId="3" borderId="10" xfId="6" applyNumberFormat="1" applyFont="1" applyFill="1" applyBorder="1" applyAlignment="1">
      <alignment horizontal="center"/>
    </xf>
    <xf numFmtId="164" fontId="86" fillId="3" borderId="11" xfId="1" applyFont="1" applyFill="1" applyBorder="1" applyAlignment="1">
      <alignment horizontal="center" vertical="center" wrapText="1"/>
    </xf>
    <xf numFmtId="2" fontId="86" fillId="0" borderId="10" xfId="0" applyNumberFormat="1" applyFont="1" applyBorder="1" applyAlignment="1">
      <alignment horizontal="right" vertical="center"/>
    </xf>
    <xf numFmtId="0" fontId="86" fillId="0" borderId="2" xfId="0" applyFont="1" applyBorder="1" applyAlignment="1">
      <alignment horizontal="left" vertical="center"/>
    </xf>
    <xf numFmtId="0" fontId="86" fillId="0" borderId="2" xfId="0" applyFont="1" applyBorder="1"/>
    <xf numFmtId="0" fontId="86" fillId="0" borderId="11" xfId="0" applyFont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165" fontId="86" fillId="0" borderId="2" xfId="3" applyNumberFormat="1" applyFont="1" applyFill="1" applyBorder="1" applyAlignment="1">
      <alignment horizontal="centerContinuous"/>
    </xf>
    <xf numFmtId="164" fontId="86" fillId="0" borderId="11" xfId="1" applyFont="1" applyFill="1" applyBorder="1" applyAlignment="1">
      <alignment horizontal="center" vertical="center"/>
    </xf>
    <xf numFmtId="0" fontId="86" fillId="0" borderId="10" xfId="0" applyFont="1" applyBorder="1" applyAlignment="1">
      <alignment horizontal="right" vertical="center"/>
    </xf>
    <xf numFmtId="179" fontId="86" fillId="3" borderId="10" xfId="6" quotePrefix="1" applyNumberFormat="1" applyFont="1" applyFill="1" applyBorder="1" applyAlignment="1">
      <alignment horizontal="center"/>
    </xf>
    <xf numFmtId="169" fontId="86" fillId="3" borderId="10" xfId="1" applyNumberFormat="1" applyFont="1" applyFill="1" applyBorder="1" applyAlignment="1">
      <alignment horizontal="right" vertical="center"/>
    </xf>
    <xf numFmtId="164" fontId="19" fillId="3" borderId="11" xfId="1" applyFont="1" applyFill="1" applyBorder="1" applyAlignment="1">
      <alignment horizontal="center" vertical="center"/>
    </xf>
    <xf numFmtId="2" fontId="110" fillId="0" borderId="13" xfId="0" applyNumberFormat="1" applyFont="1" applyBorder="1" applyAlignment="1">
      <alignment horizontal="right" vertical="center"/>
    </xf>
    <xf numFmtId="0" fontId="86" fillId="0" borderId="0" xfId="0" applyFont="1" applyAlignment="1">
      <alignment horizontal="left" vertical="center"/>
    </xf>
    <xf numFmtId="0" fontId="86" fillId="0" borderId="0" xfId="0" applyFont="1"/>
    <xf numFmtId="0" fontId="86" fillId="0" borderId="14" xfId="0" applyFont="1" applyBorder="1" applyAlignment="1">
      <alignment horizontal="center" vertical="center"/>
    </xf>
    <xf numFmtId="0" fontId="86" fillId="0" borderId="13" xfId="0" applyFont="1" applyBorder="1" applyAlignment="1">
      <alignment horizontal="center" vertical="center"/>
    </xf>
    <xf numFmtId="165" fontId="86" fillId="0" borderId="0" xfId="3" applyNumberFormat="1" applyFont="1" applyFill="1" applyBorder="1" applyAlignment="1">
      <alignment horizontal="centerContinuous"/>
    </xf>
    <xf numFmtId="164" fontId="86" fillId="0" borderId="15" xfId="1" applyFont="1" applyFill="1" applyBorder="1" applyAlignment="1">
      <alignment vertical="center"/>
    </xf>
    <xf numFmtId="164" fontId="86" fillId="0" borderId="0" xfId="1" applyFont="1" applyFill="1" applyBorder="1" applyAlignment="1">
      <alignment vertical="center"/>
    </xf>
    <xf numFmtId="164" fontId="86" fillId="0" borderId="14" xfId="1" applyFont="1" applyFill="1" applyBorder="1" applyAlignment="1">
      <alignment horizontal="center" vertical="center"/>
    </xf>
    <xf numFmtId="164" fontId="134" fillId="0" borderId="14" xfId="1" applyFont="1" applyFill="1" applyBorder="1" applyAlignment="1">
      <alignment horizontal="left" vertical="center"/>
    </xf>
    <xf numFmtId="0" fontId="96" fillId="5" borderId="17" xfId="8" applyFont="1" applyFill="1" applyBorder="1" applyAlignment="1">
      <alignment horizontal="center" vertical="center"/>
    </xf>
    <xf numFmtId="0" fontId="34" fillId="0" borderId="17" xfId="0" applyFont="1" applyBorder="1" applyAlignment="1">
      <alignment horizontal="center"/>
    </xf>
    <xf numFmtId="43" fontId="34" fillId="0" borderId="1" xfId="3" applyFont="1" applyFill="1" applyBorder="1"/>
    <xf numFmtId="43" fontId="34" fillId="0" borderId="40" xfId="3" applyFont="1" applyFill="1" applyBorder="1"/>
    <xf numFmtId="164" fontId="34" fillId="3" borderId="19" xfId="1" applyFont="1" applyFill="1" applyBorder="1" applyAlignment="1">
      <alignment horizontal="center" vertical="center" wrapText="1"/>
    </xf>
    <xf numFmtId="164" fontId="34" fillId="3" borderId="68" xfId="1" applyFont="1" applyFill="1" applyBorder="1" applyAlignment="1">
      <alignment horizontal="center" vertical="center"/>
    </xf>
    <xf numFmtId="164" fontId="34" fillId="0" borderId="2" xfId="1" applyFont="1" applyFill="1" applyBorder="1"/>
    <xf numFmtId="0" fontId="98" fillId="0" borderId="10" xfId="0" applyFont="1" applyBorder="1"/>
    <xf numFmtId="164" fontId="34" fillId="3" borderId="61" xfId="7" applyFont="1" applyFill="1" applyBorder="1" applyAlignment="1">
      <alignment horizontal="right"/>
    </xf>
    <xf numFmtId="0" fontId="98" fillId="0" borderId="16" xfId="0" applyFont="1" applyBorder="1"/>
    <xf numFmtId="0" fontId="91" fillId="0" borderId="1" xfId="0" applyFont="1" applyBorder="1" applyAlignment="1">
      <alignment vertical="center"/>
    </xf>
    <xf numFmtId="169" fontId="24" fillId="5" borderId="17" xfId="1" applyNumberFormat="1" applyFont="1" applyFill="1" applyBorder="1" applyAlignment="1">
      <alignment horizontal="center" vertical="center"/>
    </xf>
    <xf numFmtId="164" fontId="34" fillId="3" borderId="68" xfId="7" applyFont="1" applyFill="1" applyBorder="1" applyAlignment="1">
      <alignment horizontal="right"/>
    </xf>
    <xf numFmtId="164" fontId="34" fillId="0" borderId="1" xfId="1" applyFont="1" applyFill="1" applyBorder="1"/>
    <xf numFmtId="0" fontId="98" fillId="0" borderId="17" xfId="0" applyFont="1" applyBorder="1"/>
    <xf numFmtId="0" fontId="88" fillId="0" borderId="2" xfId="0" applyFont="1" applyBorder="1" applyAlignment="1">
      <alignment vertical="center"/>
    </xf>
    <xf numFmtId="165" fontId="43" fillId="0" borderId="1" xfId="3" applyNumberFormat="1" applyFont="1" applyFill="1" applyBorder="1" applyAlignment="1">
      <alignment horizontal="centerContinuous"/>
    </xf>
    <xf numFmtId="164" fontId="43" fillId="0" borderId="19" xfId="1" applyFont="1" applyFill="1" applyBorder="1" applyAlignment="1">
      <alignment horizontal="center" vertical="center"/>
    </xf>
    <xf numFmtId="164" fontId="44" fillId="0" borderId="19" xfId="1" applyFont="1" applyFill="1" applyBorder="1" applyAlignment="1">
      <alignment horizontal="center" vertical="center"/>
    </xf>
    <xf numFmtId="0" fontId="39" fillId="0" borderId="10" xfId="57" quotePrefix="1" applyFont="1" applyBorder="1" applyAlignment="1">
      <alignment horizontal="center" vertical="center"/>
    </xf>
    <xf numFmtId="0" fontId="39" fillId="0" borderId="2" xfId="57" applyFont="1" applyBorder="1" applyAlignment="1">
      <alignment vertical="center"/>
    </xf>
    <xf numFmtId="0" fontId="43" fillId="0" borderId="19" xfId="0" applyFont="1" applyBorder="1" applyAlignment="1">
      <alignment horizontal="center" vertical="center"/>
    </xf>
    <xf numFmtId="0" fontId="34" fillId="0" borderId="2" xfId="0" applyFont="1" applyBorder="1" applyAlignment="1">
      <alignment vertical="center"/>
    </xf>
    <xf numFmtId="43" fontId="130" fillId="0" borderId="0" xfId="0" applyNumberFormat="1" applyFont="1"/>
    <xf numFmtId="164" fontId="46" fillId="2" borderId="25" xfId="1" applyFont="1" applyFill="1" applyBorder="1" applyAlignment="1">
      <alignment horizontal="center" vertical="center"/>
    </xf>
    <xf numFmtId="0" fontId="85" fillId="0" borderId="2" xfId="0" applyFont="1" applyBorder="1" applyAlignment="1">
      <alignment vertical="center"/>
    </xf>
    <xf numFmtId="0" fontId="103" fillId="0" borderId="2" xfId="0" applyFont="1" applyBorder="1" applyAlignment="1">
      <alignment vertical="center"/>
    </xf>
    <xf numFmtId="172" fontId="24" fillId="5" borderId="19" xfId="1" applyNumberFormat="1" applyFont="1" applyFill="1" applyBorder="1" applyAlignment="1">
      <alignment horizontal="center" vertical="center"/>
    </xf>
    <xf numFmtId="43" fontId="34" fillId="0" borderId="2" xfId="3" applyFont="1" applyFill="1" applyBorder="1" applyAlignment="1">
      <alignment horizontal="center"/>
    </xf>
    <xf numFmtId="166" fontId="24" fillId="3" borderId="2" xfId="0" applyNumberFormat="1" applyFont="1" applyFill="1" applyBorder="1" applyAlignment="1">
      <alignment vertical="center"/>
    </xf>
    <xf numFmtId="0" fontId="24" fillId="3" borderId="11" xfId="0" applyFont="1" applyFill="1" applyBorder="1" applyAlignment="1">
      <alignment vertical="center"/>
    </xf>
    <xf numFmtId="166" fontId="24" fillId="0" borderId="2" xfId="0" applyNumberFormat="1" applyFont="1" applyBorder="1" applyAlignment="1">
      <alignment vertical="center"/>
    </xf>
    <xf numFmtId="164" fontId="24" fillId="3" borderId="19" xfId="1" applyFont="1" applyFill="1" applyBorder="1" applyAlignment="1">
      <alignment horizontal="center" vertical="center" wrapText="1"/>
    </xf>
    <xf numFmtId="164" fontId="137" fillId="0" borderId="11" xfId="1" applyFont="1" applyFill="1" applyBorder="1" applyAlignment="1">
      <alignment horizontal="center" vertical="center"/>
    </xf>
    <xf numFmtId="164" fontId="86" fillId="0" borderId="0" xfId="0" applyNumberFormat="1" applyFont="1"/>
    <xf numFmtId="164" fontId="34" fillId="0" borderId="19" xfId="1" applyFont="1" applyFill="1" applyBorder="1" applyAlignment="1">
      <alignment horizontal="center" vertical="center"/>
    </xf>
    <xf numFmtId="0" fontId="34" fillId="0" borderId="11" xfId="0" applyFont="1" applyBorder="1" applyAlignment="1">
      <alignment vertical="center"/>
    </xf>
    <xf numFmtId="176" fontId="103" fillId="3" borderId="17" xfId="0" applyNumberFormat="1" applyFont="1" applyFill="1" applyBorder="1" applyAlignment="1">
      <alignment horizontal="center" vertical="center"/>
    </xf>
    <xf numFmtId="172" fontId="24" fillId="5" borderId="10" xfId="1" applyNumberFormat="1" applyFont="1" applyFill="1" applyBorder="1" applyAlignment="1">
      <alignment horizontal="center" vertical="center"/>
    </xf>
    <xf numFmtId="43" fontId="34" fillId="0" borderId="2" xfId="3" applyFont="1" applyFill="1" applyBorder="1" applyAlignment="1">
      <alignment horizontal="centerContinuous"/>
    </xf>
    <xf numFmtId="164" fontId="24" fillId="0" borderId="11" xfId="1" applyFont="1" applyFill="1" applyBorder="1" applyAlignment="1">
      <alignment horizontal="left" vertical="center"/>
    </xf>
    <xf numFmtId="0" fontId="34" fillId="0" borderId="10" xfId="0" applyFont="1" applyBorder="1" applyAlignment="1">
      <alignment horizontal="right" vertical="center"/>
    </xf>
    <xf numFmtId="0" fontId="35" fillId="2" borderId="20" xfId="57" quotePrefix="1" applyFont="1" applyFill="1" applyBorder="1" applyAlignment="1">
      <alignment horizontal="center" vertical="center"/>
    </xf>
    <xf numFmtId="0" fontId="83" fillId="2" borderId="8" xfId="5" applyFont="1" applyFill="1" applyBorder="1" applyAlignment="1">
      <alignment vertical="center"/>
    </xf>
    <xf numFmtId="164" fontId="139" fillId="2" borderId="20" xfId="1" applyFont="1" applyFill="1" applyBorder="1" applyAlignment="1">
      <alignment horizontal="center" vertical="center"/>
    </xf>
    <xf numFmtId="164" fontId="34" fillId="2" borderId="20" xfId="1" applyFont="1" applyFill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24" fillId="0" borderId="27" xfId="57" applyFont="1" applyBorder="1" applyAlignment="1">
      <alignment vertical="center"/>
    </xf>
    <xf numFmtId="165" fontId="34" fillId="0" borderId="1" xfId="3" applyNumberFormat="1" applyFont="1" applyFill="1" applyBorder="1" applyAlignment="1">
      <alignment horizontal="center"/>
    </xf>
    <xf numFmtId="164" fontId="34" fillId="0" borderId="11" xfId="1" applyFont="1" applyFill="1" applyBorder="1" applyAlignment="1">
      <alignment horizontal="left" vertical="center"/>
    </xf>
    <xf numFmtId="0" fontId="42" fillId="5" borderId="17" xfId="8" quotePrefix="1" applyFont="1" applyFill="1" applyBorder="1" applyAlignment="1">
      <alignment horizontal="center" vertical="center"/>
    </xf>
    <xf numFmtId="166" fontId="96" fillId="0" borderId="2" xfId="0" applyNumberFormat="1" applyFont="1" applyBorder="1" applyAlignment="1">
      <alignment vertical="center"/>
    </xf>
    <xf numFmtId="0" fontId="83" fillId="0" borderId="2" xfId="0" applyFont="1" applyBorder="1" applyAlignment="1">
      <alignment vertical="center"/>
    </xf>
    <xf numFmtId="0" fontId="34" fillId="0" borderId="17" xfId="0" applyFont="1" applyBorder="1" applyAlignment="1">
      <alignment horizontal="left" vertical="center"/>
    </xf>
    <xf numFmtId="164" fontId="42" fillId="3" borderId="19" xfId="1" applyFont="1" applyFill="1" applyBorder="1" applyAlignment="1">
      <alignment horizontal="center" vertical="center"/>
    </xf>
    <xf numFmtId="0" fontId="96" fillId="2" borderId="20" xfId="57" quotePrefix="1" applyFont="1" applyFill="1" applyBorder="1" applyAlignment="1">
      <alignment horizontal="center" vertical="center"/>
    </xf>
    <xf numFmtId="43" fontId="86" fillId="0" borderId="0" xfId="0" applyNumberFormat="1" applyFont="1"/>
    <xf numFmtId="0" fontId="110" fillId="0" borderId="0" xfId="0" applyFont="1" applyAlignment="1">
      <alignment horizontal="center"/>
    </xf>
    <xf numFmtId="0" fontId="130" fillId="0" borderId="36" xfId="0" applyFont="1" applyBorder="1" applyAlignment="1">
      <alignment horizontal="center" vertical="center" wrapText="1"/>
    </xf>
    <xf numFmtId="0" fontId="130" fillId="0" borderId="39" xfId="0" applyFont="1" applyBorder="1" applyAlignment="1">
      <alignment horizontal="center" vertical="center" wrapText="1"/>
    </xf>
    <xf numFmtId="0" fontId="130" fillId="0" borderId="37" xfId="0" applyFont="1" applyBorder="1" applyAlignment="1">
      <alignment horizontal="center" vertical="center" wrapText="1"/>
    </xf>
    <xf numFmtId="0" fontId="130" fillId="0" borderId="38" xfId="0" applyFont="1" applyBorder="1" applyAlignment="1">
      <alignment horizontal="center" vertical="center" wrapText="1"/>
    </xf>
    <xf numFmtId="164" fontId="130" fillId="0" borderId="36" xfId="1" applyFont="1" applyFill="1" applyBorder="1" applyAlignment="1">
      <alignment horizontal="center" vertical="center" wrapText="1"/>
    </xf>
    <xf numFmtId="164" fontId="133" fillId="0" borderId="37" xfId="1" applyFont="1" applyFill="1" applyBorder="1" applyAlignment="1">
      <alignment horizontal="center" vertical="center"/>
    </xf>
    <xf numFmtId="164" fontId="130" fillId="0" borderId="75" xfId="1" applyFont="1" applyFill="1" applyBorder="1" applyAlignment="1">
      <alignment horizontal="center" vertical="center"/>
    </xf>
    <xf numFmtId="164" fontId="130" fillId="0" borderId="38" xfId="1" applyFont="1" applyFill="1" applyBorder="1" applyAlignment="1">
      <alignment horizontal="center" vertical="center"/>
    </xf>
    <xf numFmtId="165" fontId="86" fillId="0" borderId="2" xfId="3" applyNumberFormat="1" applyFont="1" applyFill="1" applyBorder="1" applyAlignment="1">
      <alignment horizontal="center"/>
    </xf>
    <xf numFmtId="164" fontId="110" fillId="0" borderId="11" xfId="1" applyFont="1" applyFill="1" applyBorder="1" applyAlignment="1">
      <alignment horizontal="center" vertical="center"/>
    </xf>
    <xf numFmtId="164" fontId="19" fillId="3" borderId="11" xfId="1" applyFont="1" applyFill="1" applyBorder="1" applyAlignment="1">
      <alignment horizontal="center" vertical="center" wrapText="1"/>
    </xf>
    <xf numFmtId="172" fontId="24" fillId="5" borderId="11" xfId="1" applyNumberFormat="1" applyFont="1" applyFill="1" applyBorder="1" applyAlignment="1">
      <alignment horizontal="center" vertical="center"/>
    </xf>
    <xf numFmtId="164" fontId="24" fillId="3" borderId="11" xfId="1" applyFont="1" applyFill="1" applyBorder="1" applyAlignment="1">
      <alignment horizontal="center" vertical="center" wrapText="1"/>
    </xf>
    <xf numFmtId="164" fontId="43" fillId="0" borderId="0" xfId="1" applyFont="1" applyAlignment="1">
      <alignment horizontal="center"/>
    </xf>
    <xf numFmtId="2" fontId="93" fillId="0" borderId="0" xfId="0" applyNumberFormat="1" applyFont="1"/>
    <xf numFmtId="39" fontId="141" fillId="3" borderId="10" xfId="4" applyNumberFormat="1" applyFont="1" applyFill="1" applyBorder="1" applyAlignment="1">
      <alignment horizontal="right" vertical="center"/>
    </xf>
    <xf numFmtId="39" fontId="24" fillId="0" borderId="10" xfId="4" applyNumberFormat="1" applyFont="1" applyFill="1" applyBorder="1" applyAlignment="1">
      <alignment horizontal="right" vertical="center"/>
    </xf>
    <xf numFmtId="39" fontId="141" fillId="3" borderId="10" xfId="4" applyNumberFormat="1" applyFont="1" applyFill="1" applyBorder="1" applyAlignment="1">
      <alignment horizontal="center" vertical="center"/>
    </xf>
    <xf numFmtId="0" fontId="122" fillId="0" borderId="0" xfId="0" applyFont="1" applyAlignment="1">
      <alignment horizontal="right"/>
    </xf>
    <xf numFmtId="0" fontId="93" fillId="0" borderId="0" xfId="0" applyFont="1" applyAlignment="1">
      <alignment horizontal="right"/>
    </xf>
    <xf numFmtId="164" fontId="86" fillId="0" borderId="12" xfId="1" applyFont="1" applyFill="1" applyBorder="1" applyAlignment="1">
      <alignment horizontal="right" vertical="center"/>
    </xf>
    <xf numFmtId="164" fontId="86" fillId="0" borderId="61" xfId="1" applyFont="1" applyFill="1" applyBorder="1" applyAlignment="1">
      <alignment horizontal="center" vertical="center"/>
    </xf>
    <xf numFmtId="164" fontId="86" fillId="0" borderId="67" xfId="1" applyFont="1" applyFill="1" applyBorder="1" applyAlignment="1">
      <alignment horizontal="right" vertical="center"/>
    </xf>
    <xf numFmtId="164" fontId="19" fillId="0" borderId="12" xfId="1" applyFont="1" applyFill="1" applyBorder="1" applyAlignment="1">
      <alignment horizontal="right" vertical="center"/>
    </xf>
    <xf numFmtId="164" fontId="19" fillId="0" borderId="61" xfId="1" applyFont="1" applyFill="1" applyBorder="1" applyAlignment="1">
      <alignment horizontal="center" vertical="center"/>
    </xf>
    <xf numFmtId="164" fontId="19" fillId="0" borderId="67" xfId="1" applyFont="1" applyFill="1" applyBorder="1" applyAlignment="1">
      <alignment horizontal="right" vertical="center"/>
    </xf>
    <xf numFmtId="164" fontId="24" fillId="0" borderId="85" xfId="4" applyFont="1" applyBorder="1" applyAlignment="1">
      <alignment horizontal="center" vertical="center"/>
    </xf>
    <xf numFmtId="164" fontId="24" fillId="3" borderId="90" xfId="4" applyFont="1" applyFill="1" applyBorder="1" applyAlignment="1">
      <alignment horizontal="center" vertical="center"/>
    </xf>
    <xf numFmtId="164" fontId="24" fillId="3" borderId="13" xfId="4" applyFont="1" applyFill="1" applyBorder="1" applyAlignment="1">
      <alignment horizontal="center" vertical="center"/>
    </xf>
    <xf numFmtId="0" fontId="31" fillId="0" borderId="0" xfId="86" applyFont="1" applyAlignment="1">
      <alignment horizontal="left" vertical="center"/>
    </xf>
    <xf numFmtId="0" fontId="31" fillId="0" borderId="0" xfId="86" applyFont="1" applyAlignment="1">
      <alignment vertical="center"/>
    </xf>
    <xf numFmtId="0" fontId="151" fillId="0" borderId="0" xfId="87" applyNumberFormat="1" applyFont="1" applyAlignment="1">
      <alignment horizontal="center" vertical="center"/>
    </xf>
    <xf numFmtId="0" fontId="31" fillId="0" borderId="0" xfId="87" applyNumberFormat="1" applyFont="1" applyFill="1" applyAlignment="1">
      <alignment vertical="center"/>
    </xf>
    <xf numFmtId="0" fontId="31" fillId="0" borderId="0" xfId="87" applyNumberFormat="1" applyFont="1" applyAlignment="1">
      <alignment vertical="center"/>
    </xf>
    <xf numFmtId="0" fontId="31" fillId="0" borderId="0" xfId="87" applyNumberFormat="1" applyFont="1" applyFill="1" applyBorder="1" applyAlignment="1">
      <alignment horizontal="left" vertical="center"/>
    </xf>
    <xf numFmtId="0" fontId="30" fillId="0" borderId="0" xfId="87" applyNumberFormat="1" applyFont="1" applyAlignment="1">
      <alignment vertical="center"/>
    </xf>
    <xf numFmtId="0" fontId="42" fillId="0" borderId="0" xfId="86" applyFont="1" applyAlignment="1">
      <alignment vertical="center"/>
    </xf>
    <xf numFmtId="49" fontId="31" fillId="0" borderId="1" xfId="87" applyNumberFormat="1" applyFont="1" applyFill="1" applyBorder="1" applyAlignment="1">
      <alignment vertical="center"/>
    </xf>
    <xf numFmtId="0" fontId="31" fillId="0" borderId="1" xfId="86" applyFont="1" applyBorder="1" applyAlignment="1">
      <alignment horizontal="left" vertical="center"/>
    </xf>
    <xf numFmtId="0" fontId="31" fillId="0" borderId="1" xfId="86" applyFont="1" applyBorder="1" applyAlignment="1">
      <alignment vertical="center"/>
    </xf>
    <xf numFmtId="0" fontId="31" fillId="0" borderId="1" xfId="87" applyNumberFormat="1" applyFont="1" applyFill="1" applyBorder="1" applyAlignment="1">
      <alignment vertical="center"/>
    </xf>
    <xf numFmtId="0" fontId="31" fillId="0" borderId="1" xfId="87" applyNumberFormat="1" applyFont="1" applyBorder="1" applyAlignment="1">
      <alignment vertical="center"/>
    </xf>
    <xf numFmtId="0" fontId="30" fillId="0" borderId="0" xfId="87" applyNumberFormat="1" applyFont="1" applyFill="1" applyBorder="1" applyAlignment="1">
      <alignment vertical="center"/>
    </xf>
    <xf numFmtId="49" fontId="31" fillId="0" borderId="2" xfId="87" applyNumberFormat="1" applyFont="1" applyFill="1" applyBorder="1" applyAlignment="1">
      <alignment vertical="center"/>
    </xf>
    <xf numFmtId="0" fontId="31" fillId="0" borderId="2" xfId="86" applyFont="1" applyBorder="1" applyAlignment="1">
      <alignment horizontal="left" vertical="center"/>
    </xf>
    <xf numFmtId="0" fontId="31" fillId="0" borderId="2" xfId="86" applyFont="1" applyBorder="1" applyAlignment="1">
      <alignment vertical="center"/>
    </xf>
    <xf numFmtId="0" fontId="31" fillId="0" borderId="2" xfId="87" applyNumberFormat="1" applyFont="1" applyFill="1" applyBorder="1" applyAlignment="1">
      <alignment vertical="center"/>
    </xf>
    <xf numFmtId="0" fontId="31" fillId="0" borderId="2" xfId="86" applyFont="1" applyBorder="1" applyAlignment="1">
      <alignment horizontal="right" vertical="center"/>
    </xf>
    <xf numFmtId="0" fontId="30" fillId="0" borderId="0" xfId="86" applyFont="1" applyAlignment="1">
      <alignment horizontal="right" vertical="center"/>
    </xf>
    <xf numFmtId="0" fontId="31" fillId="0" borderId="1" xfId="87" applyNumberFormat="1" applyFont="1" applyFill="1" applyBorder="1" applyAlignment="1">
      <alignment horizontal="right" vertical="center"/>
    </xf>
    <xf numFmtId="0" fontId="31" fillId="0" borderId="1" xfId="87" applyNumberFormat="1" applyFont="1" applyFill="1" applyBorder="1" applyAlignment="1">
      <alignment horizontal="center" vertical="center"/>
    </xf>
    <xf numFmtId="3" fontId="31" fillId="0" borderId="2" xfId="86" applyNumberFormat="1" applyFont="1" applyBorder="1" applyAlignment="1">
      <alignment vertical="center"/>
    </xf>
    <xf numFmtId="0" fontId="31" fillId="0" borderId="2" xfId="87" applyNumberFormat="1" applyFont="1" applyFill="1" applyBorder="1" applyAlignment="1">
      <alignment horizontal="left" vertical="center"/>
    </xf>
    <xf numFmtId="0" fontId="31" fillId="0" borderId="2" xfId="87" applyNumberFormat="1" applyFont="1" applyBorder="1" applyAlignment="1">
      <alignment horizontal="left" vertical="center"/>
    </xf>
    <xf numFmtId="0" fontId="43" fillId="0" borderId="2" xfId="86" applyFont="1" applyBorder="1" applyAlignment="1">
      <alignment vertical="center"/>
    </xf>
    <xf numFmtId="0" fontId="43" fillId="0" borderId="2" xfId="86" applyFont="1" applyBorder="1" applyAlignment="1">
      <alignment horizontal="center" vertical="center"/>
    </xf>
    <xf numFmtId="0" fontId="31" fillId="0" borderId="2" xfId="87" applyNumberFormat="1" applyFont="1" applyBorder="1" applyAlignment="1">
      <alignment horizontal="center" vertical="center"/>
    </xf>
    <xf numFmtId="17" fontId="31" fillId="0" borderId="2" xfId="87" applyNumberFormat="1" applyFont="1" applyBorder="1" applyAlignment="1">
      <alignment vertical="center"/>
    </xf>
    <xf numFmtId="0" fontId="30" fillId="0" borderId="0" xfId="87" applyNumberFormat="1" applyFont="1" applyBorder="1" applyAlignment="1">
      <alignment vertical="center"/>
    </xf>
    <xf numFmtId="0" fontId="43" fillId="0" borderId="0" xfId="88" applyFont="1" applyAlignment="1">
      <alignment horizontal="center" vertical="center"/>
    </xf>
    <xf numFmtId="164" fontId="43" fillId="0" borderId="0" xfId="87" applyFont="1" applyAlignment="1">
      <alignment vertical="center"/>
    </xf>
    <xf numFmtId="0" fontId="43" fillId="0" borderId="0" xfId="86" applyFont="1" applyAlignment="1">
      <alignment vertical="center"/>
    </xf>
    <xf numFmtId="0" fontId="43" fillId="0" borderId="0" xfId="87" applyNumberFormat="1" applyFont="1" applyAlignment="1">
      <alignment vertical="center"/>
    </xf>
    <xf numFmtId="0" fontId="43" fillId="0" borderId="0" xfId="87" applyNumberFormat="1" applyFont="1" applyAlignment="1">
      <alignment horizontal="center" vertical="center"/>
    </xf>
    <xf numFmtId="164" fontId="30" fillId="0" borderId="0" xfId="87" applyFont="1" applyFill="1" applyBorder="1" applyAlignment="1">
      <alignment horizontal="center" vertical="center"/>
    </xf>
    <xf numFmtId="0" fontId="30" fillId="0" borderId="0" xfId="86" applyFont="1" applyAlignment="1">
      <alignment vertical="center"/>
    </xf>
    <xf numFmtId="0" fontId="30" fillId="0" borderId="0" xfId="86" applyFont="1"/>
    <xf numFmtId="14" fontId="30" fillId="0" borderId="0" xfId="86" applyNumberFormat="1" applyFont="1"/>
    <xf numFmtId="164" fontId="31" fillId="0" borderId="23" xfId="87" applyFont="1" applyFill="1" applyBorder="1" applyAlignment="1">
      <alignment horizontal="center" vertical="center"/>
    </xf>
    <xf numFmtId="164" fontId="31" fillId="0" borderId="25" xfId="87" applyFont="1" applyFill="1" applyBorder="1" applyAlignment="1">
      <alignment horizontal="center" vertical="center"/>
    </xf>
    <xf numFmtId="0" fontId="46" fillId="0" borderId="17" xfId="86" applyFont="1" applyBorder="1" applyAlignment="1">
      <alignment horizontal="center" vertical="center" wrapText="1"/>
    </xf>
    <xf numFmtId="166" fontId="46" fillId="0" borderId="2" xfId="86" applyNumberFormat="1" applyFont="1" applyBorder="1" applyAlignment="1">
      <alignment vertical="center"/>
    </xf>
    <xf numFmtId="0" fontId="152" fillId="0" borderId="2" xfId="86" applyFont="1" applyBorder="1" applyAlignment="1">
      <alignment vertical="center"/>
    </xf>
    <xf numFmtId="0" fontId="152" fillId="0" borderId="11" xfId="86" applyFont="1" applyBorder="1" applyAlignment="1">
      <alignment vertical="center"/>
    </xf>
    <xf numFmtId="164" fontId="43" fillId="3" borderId="19" xfId="87" applyFont="1" applyFill="1" applyBorder="1" applyAlignment="1">
      <alignment horizontal="center" vertical="center" wrapText="1"/>
    </xf>
    <xf numFmtId="165" fontId="43" fillId="0" borderId="1" xfId="89" applyNumberFormat="1" applyFont="1" applyFill="1" applyBorder="1" applyAlignment="1">
      <alignment horizontal="centerContinuous" vertical="center"/>
    </xf>
    <xf numFmtId="164" fontId="43" fillId="0" borderId="18" xfId="87" applyFont="1" applyFill="1" applyBorder="1" applyAlignment="1">
      <alignment horizontal="center" vertical="center"/>
    </xf>
    <xf numFmtId="164" fontId="43" fillId="0" borderId="1" xfId="87" applyFont="1" applyFill="1" applyBorder="1" applyAlignment="1">
      <alignment horizontal="center" vertical="center"/>
    </xf>
    <xf numFmtId="164" fontId="43" fillId="0" borderId="19" xfId="87" applyFont="1" applyFill="1" applyBorder="1" applyAlignment="1">
      <alignment horizontal="center" vertical="center"/>
    </xf>
    <xf numFmtId="0" fontId="143" fillId="0" borderId="0" xfId="86" applyFont="1" applyAlignment="1">
      <alignment horizontal="center" vertical="center"/>
    </xf>
    <xf numFmtId="0" fontId="143" fillId="0" borderId="0" xfId="86" applyFont="1" applyAlignment="1">
      <alignment horizontal="center"/>
    </xf>
    <xf numFmtId="176" fontId="43" fillId="0" borderId="17" xfId="86" applyNumberFormat="1" applyFont="1" applyBorder="1" applyAlignment="1">
      <alignment horizontal="center" vertical="center"/>
    </xf>
    <xf numFmtId="166" fontId="43" fillId="0" borderId="2" xfId="86" applyNumberFormat="1" applyFont="1" applyBorder="1" applyAlignment="1">
      <alignment vertical="center"/>
    </xf>
    <xf numFmtId="0" fontId="152" fillId="0" borderId="19" xfId="86" applyFont="1" applyBorder="1" applyAlignment="1">
      <alignment vertical="center"/>
    </xf>
    <xf numFmtId="177" fontId="43" fillId="5" borderId="19" xfId="87" applyNumberFormat="1" applyFont="1" applyFill="1" applyBorder="1" applyAlignment="1">
      <alignment horizontal="center" vertical="center"/>
    </xf>
    <xf numFmtId="164" fontId="43" fillId="5" borderId="19" xfId="87" applyFont="1" applyFill="1" applyBorder="1" applyAlignment="1">
      <alignment horizontal="center" vertical="center" wrapText="1"/>
    </xf>
    <xf numFmtId="165" fontId="43" fillId="0" borderId="2" xfId="89" applyNumberFormat="1" applyFont="1" applyFill="1" applyBorder="1" applyAlignment="1">
      <alignment horizontal="centerContinuous" vertical="center"/>
    </xf>
    <xf numFmtId="164" fontId="43" fillId="0" borderId="12" xfId="87" applyFont="1" applyFill="1" applyBorder="1" applyAlignment="1">
      <alignment horizontal="center" vertical="center"/>
    </xf>
    <xf numFmtId="164" fontId="43" fillId="0" borderId="2" xfId="87" applyFont="1" applyFill="1" applyBorder="1" applyAlignment="1">
      <alignment horizontal="center" vertical="center"/>
    </xf>
    <xf numFmtId="164" fontId="135" fillId="0" borderId="12" xfId="87" applyFont="1" applyFill="1" applyBorder="1" applyAlignment="1">
      <alignment horizontal="center" vertical="center"/>
    </xf>
    <xf numFmtId="164" fontId="43" fillId="0" borderId="11" xfId="87" applyFont="1" applyFill="1" applyBorder="1" applyAlignment="1">
      <alignment horizontal="left" vertical="center"/>
    </xf>
    <xf numFmtId="164" fontId="143" fillId="0" borderId="0" xfId="87" applyFont="1" applyFill="1" applyBorder="1" applyAlignment="1">
      <alignment horizontal="left" vertical="center"/>
    </xf>
    <xf numFmtId="164" fontId="143" fillId="0" borderId="0" xfId="87" applyFont="1" applyFill="1" applyAlignment="1">
      <alignment vertical="center"/>
    </xf>
    <xf numFmtId="164" fontId="143" fillId="0" borderId="0" xfId="87" applyFont="1"/>
    <xf numFmtId="43" fontId="144" fillId="0" borderId="0" xfId="86" applyNumberFormat="1" applyFont="1"/>
    <xf numFmtId="164" fontId="145" fillId="4" borderId="0" xfId="86" applyNumberFormat="1" applyFont="1" applyFill="1"/>
    <xf numFmtId="164" fontId="42" fillId="0" borderId="0" xfId="86" applyNumberFormat="1" applyFont="1" applyAlignment="1">
      <alignment vertical="center"/>
    </xf>
    <xf numFmtId="0" fontId="43" fillId="5" borderId="2" xfId="86" applyFont="1" applyFill="1" applyBorder="1" applyAlignment="1">
      <alignment vertical="center"/>
    </xf>
    <xf numFmtId="0" fontId="43" fillId="5" borderId="11" xfId="86" applyFont="1" applyFill="1" applyBorder="1" applyAlignment="1">
      <alignment horizontal="right" vertical="center"/>
    </xf>
    <xf numFmtId="0" fontId="43" fillId="5" borderId="11" xfId="86" applyFont="1" applyFill="1" applyBorder="1" applyAlignment="1">
      <alignment vertical="center"/>
    </xf>
    <xf numFmtId="0" fontId="43" fillId="0" borderId="11" xfId="86" applyFont="1" applyBorder="1" applyAlignment="1">
      <alignment horizontal="center" vertical="center"/>
    </xf>
    <xf numFmtId="164" fontId="145" fillId="0" borderId="0" xfId="87" applyFont="1" applyFill="1" applyBorder="1" applyAlignment="1">
      <alignment horizontal="left" vertical="center"/>
    </xf>
    <xf numFmtId="164" fontId="145" fillId="0" borderId="0" xfId="87" applyFont="1" applyFill="1" applyAlignment="1">
      <alignment vertical="center"/>
    </xf>
    <xf numFmtId="178" fontId="43" fillId="0" borderId="17" xfId="86" applyNumberFormat="1" applyFont="1" applyBorder="1" applyAlignment="1">
      <alignment horizontal="center" vertical="center"/>
    </xf>
    <xf numFmtId="0" fontId="145" fillId="0" borderId="0" xfId="86" applyFont="1" applyAlignment="1">
      <alignment vertical="center"/>
    </xf>
    <xf numFmtId="0" fontId="43" fillId="0" borderId="10" xfId="86" applyFont="1" applyBorder="1" applyAlignment="1">
      <alignment horizontal="center" vertical="center"/>
    </xf>
    <xf numFmtId="0" fontId="43" fillId="0" borderId="2" xfId="86" applyFont="1" applyBorder="1" applyAlignment="1">
      <alignment horizontal="left" vertical="center"/>
    </xf>
    <xf numFmtId="164" fontId="43" fillId="0" borderId="11" xfId="87" applyFont="1" applyFill="1" applyBorder="1" applyAlignment="1">
      <alignment horizontal="center" vertical="center"/>
    </xf>
    <xf numFmtId="164" fontId="42" fillId="0" borderId="0" xfId="87" applyFont="1" applyFill="1" applyBorder="1" applyAlignment="1">
      <alignment horizontal="left" vertical="center"/>
    </xf>
    <xf numFmtId="2" fontId="43" fillId="0" borderId="10" xfId="86" applyNumberFormat="1" applyFont="1" applyBorder="1" applyAlignment="1">
      <alignment horizontal="center" vertical="center"/>
    </xf>
    <xf numFmtId="0" fontId="43" fillId="0" borderId="27" xfId="86" applyFont="1" applyBorder="1" applyAlignment="1">
      <alignment horizontal="center" vertical="center"/>
    </xf>
    <xf numFmtId="0" fontId="43" fillId="0" borderId="27" xfId="86" applyFont="1" applyBorder="1" applyAlignment="1">
      <alignment horizontal="left" vertical="center"/>
    </xf>
    <xf numFmtId="43" fontId="143" fillId="0" borderId="0" xfId="86" applyNumberFormat="1" applyFont="1" applyAlignment="1">
      <alignment vertical="center"/>
    </xf>
    <xf numFmtId="2" fontId="43" fillId="0" borderId="63" xfId="86" applyNumberFormat="1" applyFont="1" applyBorder="1" applyAlignment="1">
      <alignment horizontal="center" vertical="center"/>
    </xf>
    <xf numFmtId="0" fontId="43" fillId="0" borderId="63" xfId="86" applyFont="1" applyBorder="1" applyAlignment="1">
      <alignment horizontal="left" vertical="center"/>
    </xf>
    <xf numFmtId="0" fontId="43" fillId="0" borderId="14" xfId="86" applyFont="1" applyBorder="1" applyAlignment="1">
      <alignment horizontal="center" vertical="center"/>
    </xf>
    <xf numFmtId="0" fontId="43" fillId="0" borderId="13" xfId="86" applyFont="1" applyBorder="1" applyAlignment="1">
      <alignment horizontal="center" vertical="center"/>
    </xf>
    <xf numFmtId="165" fontId="43" fillId="0" borderId="0" xfId="89" applyNumberFormat="1" applyFont="1" applyFill="1" applyBorder="1" applyAlignment="1">
      <alignment horizontal="centerContinuous" vertical="center"/>
    </xf>
    <xf numFmtId="164" fontId="43" fillId="0" borderId="15" xfId="87" applyFont="1" applyFill="1" applyBorder="1" applyAlignment="1">
      <alignment vertical="center"/>
    </xf>
    <xf numFmtId="164" fontId="43" fillId="0" borderId="0" xfId="87" applyFont="1" applyFill="1" applyBorder="1" applyAlignment="1">
      <alignment vertical="center"/>
    </xf>
    <xf numFmtId="164" fontId="43" fillId="0" borderId="14" xfId="87" applyFont="1" applyFill="1" applyBorder="1" applyAlignment="1">
      <alignment horizontal="center" vertical="center"/>
    </xf>
    <xf numFmtId="164" fontId="31" fillId="0" borderId="14" xfId="87" applyFont="1" applyFill="1" applyBorder="1" applyAlignment="1">
      <alignment horizontal="left" vertical="center"/>
    </xf>
    <xf numFmtId="164" fontId="146" fillId="0" borderId="0" xfId="87" applyFont="1" applyFill="1" applyBorder="1" applyAlignment="1">
      <alignment horizontal="left" vertical="center"/>
    </xf>
    <xf numFmtId="0" fontId="145" fillId="0" borderId="0" xfId="86" applyFont="1" applyAlignment="1">
      <alignment horizontal="center" vertical="center"/>
    </xf>
    <xf numFmtId="0" fontId="46" fillId="2" borderId="8" xfId="86" applyFont="1" applyFill="1" applyBorder="1" applyAlignment="1">
      <alignment horizontal="center" vertical="center"/>
    </xf>
    <xf numFmtId="171" fontId="46" fillId="2" borderId="20" xfId="91" applyNumberFormat="1" applyFont="1" applyFill="1" applyBorder="1" applyAlignment="1">
      <alignment horizontal="center" vertical="center"/>
    </xf>
    <xf numFmtId="164" fontId="46" fillId="2" borderId="20" xfId="91" applyFont="1" applyFill="1" applyBorder="1" applyAlignment="1">
      <alignment horizontal="center" vertical="center"/>
    </xf>
    <xf numFmtId="164" fontId="46" fillId="2" borderId="26" xfId="87" applyFont="1" applyFill="1" applyBorder="1" applyAlignment="1">
      <alignment horizontal="center" vertical="center"/>
    </xf>
    <xf numFmtId="164" fontId="46" fillId="2" borderId="25" xfId="87" applyFont="1" applyFill="1" applyBorder="1" applyAlignment="1">
      <alignment horizontal="center" vertical="center"/>
    </xf>
    <xf numFmtId="164" fontId="46" fillId="2" borderId="64" xfId="87" applyFont="1" applyFill="1" applyBorder="1" applyAlignment="1">
      <alignment horizontal="center" vertical="center"/>
    </xf>
    <xf numFmtId="164" fontId="46" fillId="2" borderId="9" xfId="87" applyFont="1" applyFill="1" applyBorder="1" applyAlignment="1">
      <alignment horizontal="center" vertical="center"/>
    </xf>
    <xf numFmtId="164" fontId="43" fillId="2" borderId="25" xfId="87" applyFont="1" applyFill="1" applyBorder="1" applyAlignment="1">
      <alignment horizontal="center" vertical="center"/>
    </xf>
    <xf numFmtId="164" fontId="145" fillId="0" borderId="0" xfId="86" applyNumberFormat="1" applyFont="1" applyAlignment="1">
      <alignment vertical="center"/>
    </xf>
    <xf numFmtId="164" fontId="145" fillId="4" borderId="0" xfId="86" applyNumberFormat="1" applyFont="1" applyFill="1" applyAlignment="1">
      <alignment vertical="center"/>
    </xf>
    <xf numFmtId="43" fontId="145" fillId="0" borderId="0" xfId="86" applyNumberFormat="1" applyFont="1" applyAlignment="1">
      <alignment horizontal="center" vertical="center"/>
    </xf>
    <xf numFmtId="43" fontId="42" fillId="0" borderId="0" xfId="86" applyNumberFormat="1" applyFont="1" applyAlignment="1">
      <alignment horizontal="center" vertical="center"/>
    </xf>
    <xf numFmtId="0" fontId="42" fillId="0" borderId="0" xfId="86" applyFont="1" applyAlignment="1">
      <alignment horizontal="center" vertical="center"/>
    </xf>
    <xf numFmtId="176" fontId="46" fillId="0" borderId="30" xfId="86" applyNumberFormat="1" applyFont="1" applyBorder="1" applyAlignment="1">
      <alignment horizontal="center" vertical="center"/>
    </xf>
    <xf numFmtId="166" fontId="46" fillId="0" borderId="30" xfId="86" applyNumberFormat="1" applyFont="1" applyBorder="1" applyAlignment="1">
      <alignment vertical="center"/>
    </xf>
    <xf numFmtId="0" fontId="46" fillId="0" borderId="1" xfId="86" applyFont="1" applyBorder="1" applyAlignment="1">
      <alignment vertical="center"/>
    </xf>
    <xf numFmtId="0" fontId="43" fillId="0" borderId="19" xfId="86" applyFont="1" applyBorder="1" applyAlignment="1">
      <alignment horizontal="center" vertical="center"/>
    </xf>
    <xf numFmtId="164" fontId="43" fillId="0" borderId="17" xfId="92" applyNumberFormat="1" applyFont="1" applyBorder="1" applyAlignment="1">
      <alignment horizontal="center" vertical="center"/>
    </xf>
    <xf numFmtId="164" fontId="43" fillId="0" borderId="1" xfId="87" applyFont="1" applyBorder="1" applyAlignment="1">
      <alignment horizontal="center" vertical="center"/>
    </xf>
    <xf numFmtId="164" fontId="43" fillId="0" borderId="18" xfId="87" applyFont="1" applyBorder="1" applyAlignment="1">
      <alignment horizontal="center" vertical="center"/>
    </xf>
    <xf numFmtId="164" fontId="43" fillId="0" borderId="65" xfId="87" applyFont="1" applyBorder="1" applyAlignment="1">
      <alignment horizontal="center" vertical="center"/>
    </xf>
    <xf numFmtId="164" fontId="43" fillId="0" borderId="19" xfId="87" applyFont="1" applyBorder="1" applyAlignment="1">
      <alignment horizontal="center" vertical="center"/>
    </xf>
    <xf numFmtId="164" fontId="43" fillId="0" borderId="17" xfId="87" applyFont="1" applyFill="1" applyBorder="1" applyAlignment="1">
      <alignment horizontal="left" vertical="center"/>
    </xf>
    <xf numFmtId="0" fontId="46" fillId="0" borderId="30" xfId="86" applyFont="1" applyBorder="1" applyAlignment="1">
      <alignment horizontal="center" vertical="center"/>
    </xf>
    <xf numFmtId="0" fontId="46" fillId="0" borderId="27" xfId="86" applyFont="1" applyBorder="1" applyAlignment="1">
      <alignment vertical="center"/>
    </xf>
    <xf numFmtId="0" fontId="43" fillId="3" borderId="2" xfId="86" applyFont="1" applyFill="1" applyBorder="1" applyAlignment="1">
      <alignment vertical="center"/>
    </xf>
    <xf numFmtId="0" fontId="43" fillId="3" borderId="11" xfId="86" applyFont="1" applyFill="1" applyBorder="1" applyAlignment="1">
      <alignment vertical="center" wrapText="1"/>
    </xf>
    <xf numFmtId="164" fontId="43" fillId="0" borderId="10" xfId="87" applyFont="1" applyBorder="1" applyAlignment="1">
      <alignment horizontal="center" vertical="center"/>
    </xf>
    <xf numFmtId="164" fontId="43" fillId="3" borderId="27" xfId="87" applyFont="1" applyFill="1" applyBorder="1" applyAlignment="1">
      <alignment horizontal="center" vertical="center"/>
    </xf>
    <xf numFmtId="43" fontId="43" fillId="3" borderId="12" xfId="93" applyFont="1" applyFill="1" applyBorder="1" applyAlignment="1">
      <alignment vertical="center"/>
    </xf>
    <xf numFmtId="164" fontId="43" fillId="3" borderId="61" xfId="87" applyFont="1" applyFill="1" applyBorder="1" applyAlignment="1">
      <alignment horizontal="center" vertical="center"/>
    </xf>
    <xf numFmtId="43" fontId="43" fillId="3" borderId="11" xfId="93" applyFont="1" applyFill="1" applyBorder="1" applyAlignment="1">
      <alignment vertical="center"/>
    </xf>
    <xf numFmtId="164" fontId="43" fillId="3" borderId="27" xfId="94" applyNumberFormat="1" applyFont="1" applyFill="1" applyBorder="1" applyAlignment="1">
      <alignment vertical="center"/>
    </xf>
    <xf numFmtId="164" fontId="43" fillId="0" borderId="10" xfId="87" applyFont="1" applyFill="1" applyBorder="1" applyAlignment="1">
      <alignment horizontal="left" vertical="center"/>
    </xf>
    <xf numFmtId="0" fontId="43" fillId="0" borderId="2" xfId="86" applyFont="1" applyBorder="1" applyAlignment="1">
      <alignment vertical="center" wrapText="1"/>
    </xf>
    <xf numFmtId="164" fontId="43" fillId="0" borderId="10" xfId="92" applyNumberFormat="1" applyFont="1" applyFill="1" applyBorder="1" applyAlignment="1">
      <alignment horizontal="center" vertical="center"/>
    </xf>
    <xf numFmtId="164" fontId="43" fillId="0" borderId="12" xfId="91" applyFont="1" applyFill="1" applyBorder="1" applyAlignment="1">
      <alignment horizontal="center" vertical="center"/>
    </xf>
    <xf numFmtId="164" fontId="43" fillId="0" borderId="2" xfId="91" applyFont="1" applyFill="1" applyBorder="1" applyAlignment="1">
      <alignment horizontal="center" vertical="center"/>
    </xf>
    <xf numFmtId="164" fontId="42" fillId="0" borderId="0" xfId="87" applyFont="1" applyFill="1" applyAlignment="1">
      <alignment vertical="center"/>
    </xf>
    <xf numFmtId="164" fontId="43" fillId="0" borderId="10" xfId="91" applyFont="1" applyFill="1" applyBorder="1" applyAlignment="1">
      <alignment horizontal="center" vertical="center"/>
    </xf>
    <xf numFmtId="164" fontId="43" fillId="0" borderId="10" xfId="91" applyFont="1" applyFill="1" applyBorder="1" applyAlignment="1">
      <alignment horizontal="left" vertical="center"/>
    </xf>
    <xf numFmtId="164" fontId="42" fillId="0" borderId="0" xfId="91" applyFont="1" applyFill="1" applyBorder="1" applyAlignment="1">
      <alignment horizontal="left" vertical="center"/>
    </xf>
    <xf numFmtId="0" fontId="43" fillId="0" borderId="66" xfId="86" applyFont="1" applyBorder="1" applyAlignment="1">
      <alignment vertical="center"/>
    </xf>
    <xf numFmtId="0" fontId="43" fillId="0" borderId="67" xfId="86" applyFont="1" applyBorder="1" applyAlignment="1">
      <alignment vertical="center"/>
    </xf>
    <xf numFmtId="164" fontId="42" fillId="0" borderId="30" xfId="91" applyFont="1" applyFill="1" applyBorder="1" applyAlignment="1">
      <alignment horizontal="left" vertical="center"/>
    </xf>
    <xf numFmtId="164" fontId="42" fillId="0" borderId="1" xfId="91" applyFont="1" applyFill="1" applyBorder="1" applyAlignment="1">
      <alignment horizontal="left" vertical="center"/>
    </xf>
    <xf numFmtId="164" fontId="42" fillId="0" borderId="30" xfId="87" applyFont="1" applyBorder="1" applyAlignment="1">
      <alignment vertical="center"/>
    </xf>
    <xf numFmtId="0" fontId="43" fillId="0" borderId="11" xfId="0" applyFont="1" applyBorder="1" applyAlignment="1">
      <alignment horizontal="center"/>
    </xf>
    <xf numFmtId="164" fontId="43" fillId="0" borderId="1" xfId="17" applyFont="1" applyFill="1" applyBorder="1" applyAlignment="1">
      <alignment horizontal="center" vertical="center"/>
    </xf>
    <xf numFmtId="164" fontId="43" fillId="0" borderId="18" xfId="17" applyFont="1" applyFill="1" applyBorder="1" applyAlignment="1">
      <alignment horizontal="center" vertical="center"/>
    </xf>
    <xf numFmtId="164" fontId="43" fillId="0" borderId="65" xfId="17" applyFont="1" applyFill="1" applyBorder="1" applyAlignment="1">
      <alignment horizontal="center" vertical="center"/>
    </xf>
    <xf numFmtId="164" fontId="43" fillId="0" borderId="11" xfId="4" applyFont="1" applyFill="1" applyBorder="1" applyAlignment="1">
      <alignment horizontal="center" vertical="center"/>
    </xf>
    <xf numFmtId="164" fontId="43" fillId="0" borderId="2" xfId="4" applyFont="1" applyFill="1" applyBorder="1" applyAlignment="1">
      <alignment horizontal="center" vertical="center"/>
    </xf>
    <xf numFmtId="164" fontId="42" fillId="0" borderId="27" xfId="91" applyFont="1" applyFill="1" applyBorder="1" applyAlignment="1">
      <alignment horizontal="left" vertical="center"/>
    </xf>
    <xf numFmtId="0" fontId="42" fillId="0" borderId="2" xfId="86" applyFont="1" applyBorder="1" applyAlignment="1">
      <alignment vertical="center"/>
    </xf>
    <xf numFmtId="164" fontId="42" fillId="0" borderId="27" xfId="87" applyFont="1" applyBorder="1" applyAlignment="1">
      <alignment vertical="center"/>
    </xf>
    <xf numFmtId="164" fontId="42" fillId="0" borderId="27" xfId="86" applyNumberFormat="1" applyFont="1" applyBorder="1" applyAlignment="1">
      <alignment vertical="center"/>
    </xf>
    <xf numFmtId="164" fontId="43" fillId="0" borderId="12" xfId="4" applyFont="1" applyFill="1" applyBorder="1" applyAlignment="1">
      <alignment horizontal="center" vertical="center"/>
    </xf>
    <xf numFmtId="0" fontId="42" fillId="0" borderId="27" xfId="86" applyFont="1" applyBorder="1" applyAlignment="1">
      <alignment horizontal="center" vertical="center"/>
    </xf>
    <xf numFmtId="164" fontId="149" fillId="0" borderId="27" xfId="87" applyFont="1" applyBorder="1" applyAlignment="1">
      <alignment vertical="center"/>
    </xf>
    <xf numFmtId="164" fontId="43" fillId="0" borderId="11" xfId="92" applyNumberFormat="1" applyFont="1" applyFill="1" applyBorder="1" applyAlignment="1">
      <alignment horizontal="center" vertical="center"/>
    </xf>
    <xf numFmtId="0" fontId="42" fillId="0" borderId="0" xfId="86" applyFont="1" applyAlignment="1">
      <alignment horizontal="right" vertical="center"/>
    </xf>
    <xf numFmtId="0" fontId="43" fillId="0" borderId="2" xfId="86" quotePrefix="1" applyFont="1" applyBorder="1" applyAlignment="1">
      <alignment horizontal="center" vertical="center"/>
    </xf>
    <xf numFmtId="0" fontId="43" fillId="0" borderId="2" xfId="0" applyFont="1" applyBorder="1" applyAlignment="1">
      <alignment vertical="center"/>
    </xf>
    <xf numFmtId="0" fontId="43" fillId="0" borderId="2" xfId="0" applyFont="1" applyBorder="1" applyAlignment="1">
      <alignment vertical="center" wrapText="1"/>
    </xf>
    <xf numFmtId="164" fontId="43" fillId="0" borderId="10" xfId="4" applyFont="1" applyFill="1" applyBorder="1" applyAlignment="1">
      <alignment horizontal="center" vertical="center"/>
    </xf>
    <xf numFmtId="0" fontId="43" fillId="0" borderId="1" xfId="86" applyFont="1" applyBorder="1" applyAlignment="1">
      <alignment vertical="center" wrapText="1"/>
    </xf>
    <xf numFmtId="43" fontId="43" fillId="0" borderId="2" xfId="89" applyFont="1" applyFill="1" applyBorder="1" applyAlignment="1">
      <alignment vertical="center"/>
    </xf>
    <xf numFmtId="164" fontId="43" fillId="0" borderId="61" xfId="97" applyFont="1" applyBorder="1" applyAlignment="1">
      <alignment vertical="center"/>
    </xf>
    <xf numFmtId="164" fontId="42" fillId="0" borderId="0" xfId="91" applyFont="1" applyFill="1" applyBorder="1" applyAlignment="1">
      <alignment horizontal="center" vertical="center"/>
    </xf>
    <xf numFmtId="0" fontId="43" fillId="0" borderId="1" xfId="86" applyFont="1" applyBorder="1" applyAlignment="1">
      <alignment vertical="center"/>
    </xf>
    <xf numFmtId="176" fontId="46" fillId="0" borderId="10" xfId="86" applyNumberFormat="1" applyFont="1" applyBorder="1" applyAlignment="1">
      <alignment horizontal="center" vertical="center"/>
    </xf>
    <xf numFmtId="164" fontId="43" fillId="0" borderId="10" xfId="87" applyFont="1" applyFill="1" applyBorder="1" applyAlignment="1">
      <alignment horizontal="center" vertical="center"/>
    </xf>
    <xf numFmtId="0" fontId="43" fillId="3" borderId="10" xfId="86" applyFont="1" applyFill="1" applyBorder="1" applyAlignment="1">
      <alignment horizontal="center" vertical="center"/>
    </xf>
    <xf numFmtId="0" fontId="43" fillId="0" borderId="10" xfId="86" applyFont="1" applyBorder="1" applyAlignment="1">
      <alignment vertical="center"/>
    </xf>
    <xf numFmtId="0" fontId="39" fillId="0" borderId="0" xfId="86" applyFont="1" applyAlignment="1">
      <alignment vertical="center"/>
    </xf>
    <xf numFmtId="176" fontId="43" fillId="0" borderId="10" xfId="86" applyNumberFormat="1" applyFont="1" applyBorder="1" applyAlignment="1">
      <alignment horizontal="center" vertical="center"/>
    </xf>
    <xf numFmtId="0" fontId="43" fillId="0" borderId="30" xfId="0" applyFont="1" applyBorder="1" applyAlignment="1">
      <alignment horizontal="center"/>
    </xf>
    <xf numFmtId="0" fontId="43" fillId="3" borderId="1" xfId="98" applyFont="1" applyFill="1" applyBorder="1" applyAlignment="1">
      <alignment vertical="center"/>
    </xf>
    <xf numFmtId="164" fontId="43" fillId="3" borderId="61" xfId="1" applyFont="1" applyFill="1" applyBorder="1" applyAlignment="1">
      <alignment horizontal="center" vertical="center"/>
    </xf>
    <xf numFmtId="0" fontId="43" fillId="3" borderId="1" xfId="86" applyFont="1" applyFill="1" applyBorder="1" applyAlignment="1">
      <alignment horizontal="left" vertical="center"/>
    </xf>
    <xf numFmtId="0" fontId="43" fillId="3" borderId="2" xfId="86" applyFont="1" applyFill="1" applyBorder="1" applyAlignment="1">
      <alignment vertical="center" wrapText="1"/>
    </xf>
    <xf numFmtId="164" fontId="43" fillId="3" borderId="2" xfId="87" applyFont="1" applyFill="1" applyBorder="1" applyAlignment="1">
      <alignment horizontal="center" vertical="center"/>
    </xf>
    <xf numFmtId="166" fontId="46" fillId="0" borderId="1" xfId="86" applyNumberFormat="1" applyFont="1" applyBorder="1" applyAlignment="1">
      <alignment vertical="center"/>
    </xf>
    <xf numFmtId="0" fontId="43" fillId="3" borderId="1" xfId="86" applyFont="1" applyFill="1" applyBorder="1" applyAlignment="1">
      <alignment vertical="center" wrapText="1"/>
    </xf>
    <xf numFmtId="164" fontId="43" fillId="0" borderId="17" xfId="87" applyFont="1" applyBorder="1" applyAlignment="1">
      <alignment horizontal="center" vertical="center"/>
    </xf>
    <xf numFmtId="43" fontId="43" fillId="3" borderId="18" xfId="93" applyFont="1" applyFill="1" applyBorder="1" applyAlignment="1">
      <alignment vertical="center"/>
    </xf>
    <xf numFmtId="164" fontId="43" fillId="3" borderId="68" xfId="87" applyFont="1" applyFill="1" applyBorder="1" applyAlignment="1">
      <alignment horizontal="center" vertical="center"/>
    </xf>
    <xf numFmtId="43" fontId="43" fillId="3" borderId="19" xfId="93" applyFont="1" applyFill="1" applyBorder="1" applyAlignment="1">
      <alignment vertical="center"/>
    </xf>
    <xf numFmtId="164" fontId="43" fillId="3" borderId="30" xfId="94" applyNumberFormat="1" applyFont="1" applyFill="1" applyBorder="1" applyAlignment="1">
      <alignment vertical="center"/>
    </xf>
    <xf numFmtId="0" fontId="43" fillId="0" borderId="1" xfId="86" applyFont="1" applyBorder="1" applyAlignment="1">
      <alignment horizontal="center" vertical="center"/>
    </xf>
    <xf numFmtId="164" fontId="43" fillId="0" borderId="19" xfId="91" applyFont="1" applyFill="1" applyBorder="1" applyAlignment="1">
      <alignment horizontal="center" vertical="center"/>
    </xf>
    <xf numFmtId="164" fontId="43" fillId="0" borderId="1" xfId="91" applyFont="1" applyFill="1" applyBorder="1" applyAlignment="1">
      <alignment horizontal="center" vertical="center"/>
    </xf>
    <xf numFmtId="0" fontId="43" fillId="0" borderId="17" xfId="86" applyFont="1" applyBorder="1" applyAlignment="1">
      <alignment vertical="center"/>
    </xf>
    <xf numFmtId="164" fontId="43" fillId="0" borderId="1" xfId="97" applyFont="1" applyFill="1" applyBorder="1" applyAlignment="1">
      <alignment vertical="center"/>
    </xf>
    <xf numFmtId="164" fontId="43" fillId="0" borderId="68" xfId="97" applyFont="1" applyBorder="1" applyAlignment="1">
      <alignment vertical="center"/>
    </xf>
    <xf numFmtId="164" fontId="43" fillId="3" borderId="1" xfId="87" applyFont="1" applyFill="1" applyBorder="1" applyAlignment="1">
      <alignment horizontal="center" vertical="center"/>
    </xf>
    <xf numFmtId="164" fontId="43" fillId="0" borderId="30" xfId="92" applyNumberFormat="1" applyFont="1" applyBorder="1" applyAlignment="1">
      <alignment vertical="center"/>
    </xf>
    <xf numFmtId="164" fontId="43" fillId="0" borderId="68" xfId="92" applyNumberFormat="1" applyFont="1" applyBorder="1" applyAlignment="1">
      <alignment vertical="center"/>
    </xf>
    <xf numFmtId="164" fontId="43" fillId="0" borderId="30" xfId="92" applyNumberFormat="1" applyFont="1" applyFill="1" applyBorder="1" applyAlignment="1">
      <alignment vertical="center"/>
    </xf>
    <xf numFmtId="43" fontId="43" fillId="0" borderId="1" xfId="89" applyFont="1" applyFill="1" applyBorder="1" applyAlignment="1">
      <alignment vertical="center"/>
    </xf>
    <xf numFmtId="43" fontId="43" fillId="0" borderId="40" xfId="89" applyFont="1" applyFill="1" applyBorder="1" applyAlignment="1">
      <alignment vertical="center"/>
    </xf>
    <xf numFmtId="164" fontId="43" fillId="0" borderId="18" xfId="91" applyFont="1" applyFill="1" applyBorder="1" applyAlignment="1">
      <alignment horizontal="center" vertical="center"/>
    </xf>
    <xf numFmtId="164" fontId="46" fillId="2" borderId="8" xfId="91" applyFont="1" applyFill="1" applyBorder="1" applyAlignment="1">
      <alignment horizontal="center" vertical="center"/>
    </xf>
    <xf numFmtId="164" fontId="46" fillId="2" borderId="25" xfId="91" applyFont="1" applyFill="1" applyBorder="1" applyAlignment="1">
      <alignment horizontal="center" vertical="center"/>
    </xf>
    <xf numFmtId="164" fontId="46" fillId="2" borderId="64" xfId="91" applyFont="1" applyFill="1" applyBorder="1" applyAlignment="1">
      <alignment horizontal="center" vertical="center"/>
    </xf>
    <xf numFmtId="164" fontId="46" fillId="2" borderId="9" xfId="91" applyFont="1" applyFill="1" applyBorder="1" applyAlignment="1">
      <alignment horizontal="center" vertical="center"/>
    </xf>
    <xf numFmtId="164" fontId="43" fillId="2" borderId="20" xfId="91" applyFont="1" applyFill="1" applyBorder="1" applyAlignment="1">
      <alignment horizontal="center" vertical="center"/>
    </xf>
    <xf numFmtId="176" fontId="46" fillId="0" borderId="17" xfId="86" applyNumberFormat="1" applyFont="1" applyBorder="1" applyAlignment="1">
      <alignment horizontal="center" vertical="center"/>
    </xf>
    <xf numFmtId="164" fontId="43" fillId="0" borderId="19" xfId="92" applyNumberFormat="1" applyFont="1" applyBorder="1" applyAlignment="1">
      <alignment horizontal="center" vertical="center"/>
    </xf>
    <xf numFmtId="164" fontId="43" fillId="0" borderId="75" xfId="87" applyFont="1" applyBorder="1" applyAlignment="1">
      <alignment horizontal="center" vertical="center"/>
    </xf>
    <xf numFmtId="164" fontId="43" fillId="0" borderId="27" xfId="100" applyFont="1" applyFill="1" applyBorder="1" applyAlignment="1">
      <alignment horizontal="center" vertical="center"/>
    </xf>
    <xf numFmtId="164" fontId="43" fillId="0" borderId="12" xfId="100" applyFont="1" applyFill="1" applyBorder="1" applyAlignment="1">
      <alignment horizontal="center" vertical="center"/>
    </xf>
    <xf numFmtId="164" fontId="43" fillId="0" borderId="61" xfId="100" applyFont="1" applyFill="1" applyBorder="1" applyAlignment="1">
      <alignment horizontal="center" vertical="center"/>
    </xf>
    <xf numFmtId="164" fontId="43" fillId="0" borderId="11" xfId="91" applyFont="1" applyFill="1" applyBorder="1" applyAlignment="1">
      <alignment horizontal="center" vertical="center"/>
    </xf>
    <xf numFmtId="164" fontId="43" fillId="0" borderId="10" xfId="100" applyFont="1" applyFill="1" applyBorder="1" applyAlignment="1">
      <alignment horizontal="left" vertical="center"/>
    </xf>
    <xf numFmtId="164" fontId="42" fillId="0" borderId="0" xfId="100" applyFont="1" applyFill="1" applyBorder="1" applyAlignment="1">
      <alignment horizontal="left" vertical="center"/>
    </xf>
    <xf numFmtId="43" fontId="43" fillId="0" borderId="10" xfId="91" applyNumberFormat="1" applyFont="1" applyFill="1" applyBorder="1" applyAlignment="1">
      <alignment horizontal="center" vertical="center"/>
    </xf>
    <xf numFmtId="164" fontId="43" fillId="0" borderId="27" xfId="91" applyFont="1" applyFill="1" applyBorder="1" applyAlignment="1">
      <alignment horizontal="center" vertical="center"/>
    </xf>
    <xf numFmtId="164" fontId="43" fillId="0" borderId="61" xfId="91" applyFont="1" applyFill="1" applyBorder="1" applyAlignment="1">
      <alignment horizontal="center" vertical="center"/>
    </xf>
    <xf numFmtId="0" fontId="46" fillId="0" borderId="2" xfId="86" applyFont="1" applyBorder="1" applyAlignment="1">
      <alignment horizontal="left" vertical="center"/>
    </xf>
    <xf numFmtId="164" fontId="42" fillId="0" borderId="0" xfId="87" applyFont="1" applyFill="1" applyBorder="1" applyAlignment="1">
      <alignment horizontal="center" vertical="center"/>
    </xf>
    <xf numFmtId="164" fontId="43" fillId="0" borderId="11" xfId="100" applyFont="1" applyFill="1" applyBorder="1" applyAlignment="1">
      <alignment horizontal="center" vertical="center"/>
    </xf>
    <xf numFmtId="0" fontId="43" fillId="0" borderId="10" xfId="100" applyNumberFormat="1" applyFont="1" applyFill="1" applyBorder="1" applyAlignment="1">
      <alignment horizontal="left" vertical="center"/>
    </xf>
    <xf numFmtId="0" fontId="42" fillId="0" borderId="0" xfId="100" applyNumberFormat="1" applyFont="1" applyFill="1" applyBorder="1" applyAlignment="1">
      <alignment horizontal="left" vertical="center"/>
    </xf>
    <xf numFmtId="43" fontId="43" fillId="0" borderId="10" xfId="4" applyNumberFormat="1" applyFont="1" applyFill="1" applyBorder="1" applyAlignment="1">
      <alignment horizontal="center"/>
    </xf>
    <xf numFmtId="164" fontId="43" fillId="0" borderId="61" xfId="40" applyFont="1" applyFill="1" applyBorder="1" applyAlignment="1">
      <alignment horizontal="center" vertical="center"/>
    </xf>
    <xf numFmtId="43" fontId="43" fillId="0" borderId="10" xfId="4" applyNumberFormat="1" applyFont="1" applyFill="1" applyBorder="1" applyAlignment="1">
      <alignment horizontal="center" vertical="center"/>
    </xf>
    <xf numFmtId="164" fontId="43" fillId="0" borderId="27" xfId="40" applyFont="1" applyFill="1" applyBorder="1" applyAlignment="1">
      <alignment horizontal="center" vertical="center"/>
    </xf>
    <xf numFmtId="164" fontId="42" fillId="6" borderId="0" xfId="100" applyFont="1" applyFill="1" applyBorder="1" applyAlignment="1">
      <alignment horizontal="left" vertical="center"/>
    </xf>
    <xf numFmtId="164" fontId="39" fillId="0" borderId="0" xfId="100" applyFont="1" applyFill="1" applyBorder="1" applyAlignment="1">
      <alignment horizontal="left" vertical="center"/>
    </xf>
    <xf numFmtId="0" fontId="46" fillId="0" borderId="67" xfId="86" applyFont="1" applyBorder="1" applyAlignment="1">
      <alignment vertical="center"/>
    </xf>
    <xf numFmtId="166" fontId="46" fillId="0" borderId="66" xfId="86" applyNumberFormat="1" applyFont="1" applyBorder="1" applyAlignment="1">
      <alignment vertical="center"/>
    </xf>
    <xf numFmtId="0" fontId="43" fillId="3" borderId="41" xfId="86" applyFont="1" applyFill="1" applyBorder="1" applyAlignment="1">
      <alignment vertical="center"/>
    </xf>
    <xf numFmtId="0" fontId="43" fillId="3" borderId="12" xfId="86" applyFont="1" applyFill="1" applyBorder="1" applyAlignment="1">
      <alignment vertical="center" wrapText="1"/>
    </xf>
    <xf numFmtId="164" fontId="43" fillId="0" borderId="11" xfId="87" applyFont="1" applyBorder="1" applyAlignment="1">
      <alignment horizontal="center" vertical="center"/>
    </xf>
    <xf numFmtId="0" fontId="43" fillId="0" borderId="11" xfId="86" applyFont="1" applyBorder="1" applyAlignment="1">
      <alignment vertical="center"/>
    </xf>
    <xf numFmtId="43" fontId="43" fillId="0" borderId="10" xfId="91" applyNumberFormat="1" applyFont="1" applyFill="1" applyBorder="1" applyAlignment="1">
      <alignment horizontal="center"/>
    </xf>
    <xf numFmtId="0" fontId="43" fillId="3" borderId="2" xfId="98" applyFont="1" applyFill="1" applyBorder="1" applyAlignment="1">
      <alignment vertical="center"/>
    </xf>
    <xf numFmtId="164" fontId="43" fillId="0" borderId="67" xfId="97" applyFont="1" applyFill="1" applyBorder="1" applyAlignment="1">
      <alignment vertical="center"/>
    </xf>
    <xf numFmtId="0" fontId="43" fillId="0" borderId="2" xfId="98" applyFont="1" applyBorder="1" applyAlignment="1">
      <alignment vertical="center"/>
    </xf>
    <xf numFmtId="164" fontId="43" fillId="0" borderId="2" xfId="97" applyFont="1" applyFill="1" applyBorder="1" applyAlignment="1">
      <alignment vertical="center"/>
    </xf>
    <xf numFmtId="43" fontId="43" fillId="0" borderId="12" xfId="93" applyFont="1" applyFill="1" applyBorder="1" applyAlignment="1">
      <alignment vertical="center"/>
    </xf>
    <xf numFmtId="164" fontId="43" fillId="0" borderId="61" xfId="97" applyFont="1" applyFill="1" applyBorder="1" applyAlignment="1">
      <alignment vertical="center"/>
    </xf>
    <xf numFmtId="0" fontId="43" fillId="3" borderId="11" xfId="98" applyFont="1" applyFill="1" applyBorder="1" applyAlignment="1">
      <alignment vertical="center"/>
    </xf>
    <xf numFmtId="0" fontId="43" fillId="0" borderId="11" xfId="86" applyFont="1" applyBorder="1" applyAlignment="1">
      <alignment vertical="center" wrapText="1"/>
    </xf>
    <xf numFmtId="0" fontId="43" fillId="0" borderId="34" xfId="86" applyFont="1" applyBorder="1" applyAlignment="1">
      <alignment vertical="center"/>
    </xf>
    <xf numFmtId="0" fontId="43" fillId="0" borderId="35" xfId="86" applyFont="1" applyBorder="1" applyAlignment="1">
      <alignment vertical="center"/>
    </xf>
    <xf numFmtId="164" fontId="43" fillId="2" borderId="8" xfId="91" applyFont="1" applyFill="1" applyBorder="1" applyAlignment="1">
      <alignment horizontal="center" vertical="center"/>
    </xf>
    <xf numFmtId="171" fontId="43" fillId="2" borderId="20" xfId="91" applyNumberFormat="1" applyFont="1" applyFill="1" applyBorder="1" applyAlignment="1">
      <alignment horizontal="center" vertical="center"/>
    </xf>
    <xf numFmtId="164" fontId="43" fillId="2" borderId="26" xfId="91" applyFont="1" applyFill="1" applyBorder="1" applyAlignment="1">
      <alignment horizontal="center" vertical="center"/>
    </xf>
    <xf numFmtId="164" fontId="43" fillId="2" borderId="25" xfId="91" applyFont="1" applyFill="1" applyBorder="1" applyAlignment="1">
      <alignment horizontal="center" vertical="center"/>
    </xf>
    <xf numFmtId="164" fontId="43" fillId="2" borderId="69" xfId="91" applyFont="1" applyFill="1" applyBorder="1" applyAlignment="1">
      <alignment horizontal="center" vertical="center"/>
    </xf>
    <xf numFmtId="0" fontId="46" fillId="0" borderId="2" xfId="86" applyFont="1" applyBorder="1" applyAlignment="1">
      <alignment vertical="center"/>
    </xf>
    <xf numFmtId="43" fontId="43" fillId="0" borderId="41" xfId="89" applyFont="1" applyFill="1" applyBorder="1" applyAlignment="1">
      <alignment vertical="center"/>
    </xf>
    <xf numFmtId="164" fontId="43" fillId="0" borderId="66" xfId="91" applyFont="1" applyBorder="1" applyAlignment="1">
      <alignment vertical="center"/>
    </xf>
    <xf numFmtId="164" fontId="43" fillId="0" borderId="66" xfId="87" applyFont="1" applyBorder="1" applyAlignment="1">
      <alignment vertical="center"/>
    </xf>
    <xf numFmtId="164" fontId="43" fillId="0" borderId="66" xfId="91" applyFont="1" applyFill="1" applyBorder="1" applyAlignment="1">
      <alignment vertical="center"/>
    </xf>
    <xf numFmtId="164" fontId="43" fillId="0" borderId="70" xfId="97" applyFont="1" applyBorder="1" applyAlignment="1">
      <alignment vertical="center"/>
    </xf>
    <xf numFmtId="164" fontId="43" fillId="0" borderId="17" xfId="87" applyFont="1" applyFill="1" applyBorder="1" applyAlignment="1">
      <alignment horizontal="center" vertical="center"/>
    </xf>
    <xf numFmtId="164" fontId="43" fillId="0" borderId="1" xfId="97" applyFont="1" applyBorder="1" applyAlignment="1">
      <alignment vertical="center"/>
    </xf>
    <xf numFmtId="164" fontId="43" fillId="0" borderId="2" xfId="97" applyFont="1" applyBorder="1" applyAlignment="1">
      <alignment vertical="center"/>
    </xf>
    <xf numFmtId="0" fontId="43" fillId="0" borderId="19" xfId="86" applyFont="1" applyBorder="1" applyAlignment="1">
      <alignment vertical="center"/>
    </xf>
    <xf numFmtId="0" fontId="43" fillId="3" borderId="19" xfId="86" applyFont="1" applyFill="1" applyBorder="1" applyAlignment="1">
      <alignment vertical="center" wrapText="1"/>
    </xf>
    <xf numFmtId="0" fontId="43" fillId="0" borderId="33" xfId="86" applyFont="1" applyBorder="1" applyAlignment="1">
      <alignment horizontal="center" vertical="center"/>
    </xf>
    <xf numFmtId="164" fontId="42" fillId="2" borderId="0" xfId="91" applyFont="1" applyFill="1" applyBorder="1" applyAlignment="1">
      <alignment horizontal="center" vertical="center"/>
    </xf>
    <xf numFmtId="166" fontId="46" fillId="0" borderId="1" xfId="86" applyNumberFormat="1" applyFont="1" applyBorder="1" applyAlignment="1">
      <alignment horizontal="left" vertical="center"/>
    </xf>
    <xf numFmtId="166" fontId="43" fillId="0" borderId="1" xfId="86" applyNumberFormat="1" applyFont="1" applyBorder="1" applyAlignment="1">
      <alignment horizontal="left" vertical="center"/>
    </xf>
    <xf numFmtId="166" fontId="42" fillId="0" borderId="1" xfId="86" applyNumberFormat="1" applyFont="1" applyBorder="1" applyAlignment="1">
      <alignment horizontal="center" vertical="center"/>
    </xf>
    <xf numFmtId="0" fontId="42" fillId="0" borderId="1" xfId="86" applyFont="1" applyBorder="1" applyAlignment="1">
      <alignment vertical="center"/>
    </xf>
    <xf numFmtId="0" fontId="42" fillId="0" borderId="1" xfId="86" applyFont="1" applyBorder="1" applyAlignment="1">
      <alignment horizontal="center" vertical="center"/>
    </xf>
    <xf numFmtId="164" fontId="42" fillId="0" borderId="17" xfId="92" applyNumberFormat="1" applyFont="1" applyBorder="1" applyAlignment="1">
      <alignment horizontal="center" vertical="center"/>
    </xf>
    <xf numFmtId="0" fontId="42" fillId="0" borderId="10" xfId="86" applyFont="1" applyBorder="1" applyAlignment="1">
      <alignment horizontal="center" vertical="center"/>
    </xf>
    <xf numFmtId="164" fontId="42" fillId="0" borderId="1" xfId="87" applyFont="1" applyBorder="1" applyAlignment="1">
      <alignment horizontal="center" vertical="center"/>
    </xf>
    <xf numFmtId="43" fontId="42" fillId="3" borderId="12" xfId="93" applyFont="1" applyFill="1" applyBorder="1" applyAlignment="1">
      <alignment vertical="center"/>
    </xf>
    <xf numFmtId="164" fontId="42" fillId="0" borderId="61" xfId="97" applyFont="1" applyBorder="1" applyAlignment="1">
      <alignment vertical="center"/>
    </xf>
    <xf numFmtId="43" fontId="42" fillId="3" borderId="11" xfId="93" applyFont="1" applyFill="1" applyBorder="1" applyAlignment="1">
      <alignment vertical="center"/>
    </xf>
    <xf numFmtId="164" fontId="42" fillId="3" borderId="27" xfId="94" applyNumberFormat="1" applyFont="1" applyFill="1" applyBorder="1" applyAlignment="1">
      <alignment vertical="center"/>
    </xf>
    <xf numFmtId="166" fontId="43" fillId="0" borderId="1" xfId="86" applyNumberFormat="1" applyFont="1" applyBorder="1" applyAlignment="1">
      <alignment horizontal="center" vertical="center"/>
    </xf>
    <xf numFmtId="164" fontId="42" fillId="0" borderId="0" xfId="87" applyFont="1" applyAlignment="1">
      <alignment vertical="center"/>
    </xf>
    <xf numFmtId="164" fontId="42" fillId="0" borderId="65" xfId="97" applyFont="1" applyBorder="1" applyAlignment="1">
      <alignment vertical="center"/>
    </xf>
    <xf numFmtId="164" fontId="43" fillId="0" borderId="65" xfId="97" applyFont="1" applyBorder="1" applyAlignment="1">
      <alignment vertical="center"/>
    </xf>
    <xf numFmtId="0" fontId="42" fillId="3" borderId="10" xfId="86" applyFont="1" applyFill="1" applyBorder="1" applyAlignment="1">
      <alignment horizontal="center" vertical="center"/>
    </xf>
    <xf numFmtId="164" fontId="42" fillId="0" borderId="65" xfId="87" applyFont="1" applyBorder="1" applyAlignment="1">
      <alignment horizontal="center" vertical="center"/>
    </xf>
    <xf numFmtId="0" fontId="42" fillId="0" borderId="2" xfId="86" applyFont="1" applyBorder="1" applyAlignment="1">
      <alignment horizontal="center" vertical="center"/>
    </xf>
    <xf numFmtId="0" fontId="42" fillId="3" borderId="2" xfId="86" applyFont="1" applyFill="1" applyBorder="1" applyAlignment="1">
      <alignment horizontal="left" vertical="center"/>
    </xf>
    <xf numFmtId="0" fontId="42" fillId="3" borderId="2" xfId="98" applyFont="1" applyFill="1" applyBorder="1" applyAlignment="1">
      <alignment vertical="center"/>
    </xf>
    <xf numFmtId="164" fontId="42" fillId="0" borderId="10" xfId="87" applyFont="1" applyBorder="1" applyAlignment="1">
      <alignment horizontal="center" vertical="center"/>
    </xf>
    <xf numFmtId="164" fontId="42" fillId="0" borderId="2" xfId="97" applyFont="1" applyBorder="1" applyAlignment="1">
      <alignment vertical="center"/>
    </xf>
    <xf numFmtId="0" fontId="43" fillId="3" borderId="2" xfId="86" applyFont="1" applyFill="1" applyBorder="1" applyAlignment="1">
      <alignment horizontal="left" vertical="center"/>
    </xf>
    <xf numFmtId="0" fontId="43" fillId="0" borderId="10" xfId="86" applyFont="1" applyBorder="1" applyAlignment="1">
      <alignment horizontal="left" vertical="center"/>
    </xf>
    <xf numFmtId="164" fontId="42" fillId="0" borderId="0" xfId="87" applyFont="1" applyAlignment="1">
      <alignment horizontal="left" vertical="center"/>
    </xf>
    <xf numFmtId="43" fontId="42" fillId="3" borderId="67" xfId="93" applyFont="1" applyFill="1" applyBorder="1" applyAlignment="1">
      <alignment vertical="center"/>
    </xf>
    <xf numFmtId="43" fontId="43" fillId="3" borderId="67" xfId="93" applyFont="1" applyFill="1" applyBorder="1" applyAlignment="1">
      <alignment vertical="center"/>
    </xf>
    <xf numFmtId="164" fontId="42" fillId="0" borderId="0" xfId="86" applyNumberFormat="1" applyFont="1" applyAlignment="1">
      <alignment horizontal="center" vertical="center"/>
    </xf>
    <xf numFmtId="164" fontId="42" fillId="0" borderId="17" xfId="92" applyNumberFormat="1" applyFont="1" applyFill="1" applyBorder="1" applyAlignment="1">
      <alignment horizontal="center" vertical="center"/>
    </xf>
    <xf numFmtId="164" fontId="43" fillId="0" borderId="17" xfId="92" applyNumberFormat="1" applyFont="1" applyFill="1" applyBorder="1" applyAlignment="1">
      <alignment horizontal="center" vertical="center"/>
    </xf>
    <xf numFmtId="166" fontId="42" fillId="0" borderId="1" xfId="86" applyNumberFormat="1" applyFont="1" applyBorder="1" applyAlignment="1">
      <alignment horizontal="left" vertical="center"/>
    </xf>
    <xf numFmtId="0" fontId="42" fillId="0" borderId="66" xfId="86" applyFont="1" applyBorder="1" applyAlignment="1">
      <alignment vertical="center"/>
    </xf>
    <xf numFmtId="164" fontId="42" fillId="0" borderId="0" xfId="87" applyFont="1" applyAlignment="1">
      <alignment horizontal="center" vertical="center"/>
    </xf>
    <xf numFmtId="0" fontId="42" fillId="3" borderId="1" xfId="98" applyFont="1" applyFill="1" applyBorder="1" applyAlignment="1">
      <alignment vertical="center"/>
    </xf>
    <xf numFmtId="43" fontId="42" fillId="3" borderId="1" xfId="93" applyFont="1" applyFill="1" applyBorder="1" applyAlignment="1">
      <alignment vertical="center"/>
    </xf>
    <xf numFmtId="43" fontId="43" fillId="3" borderId="1" xfId="93" applyFont="1" applyFill="1" applyBorder="1" applyAlignment="1">
      <alignment vertical="center"/>
    </xf>
    <xf numFmtId="164" fontId="42" fillId="0" borderId="1" xfId="87" applyFont="1" applyFill="1" applyBorder="1" applyAlignment="1">
      <alignment horizontal="center" vertical="center"/>
    </xf>
    <xf numFmtId="43" fontId="42" fillId="0" borderId="12" xfId="93" applyFont="1" applyFill="1" applyBorder="1" applyAlignment="1">
      <alignment vertical="center"/>
    </xf>
    <xf numFmtId="164" fontId="42" fillId="0" borderId="61" xfId="97" applyFont="1" applyFill="1" applyBorder="1" applyAlignment="1">
      <alignment vertical="center"/>
    </xf>
    <xf numFmtId="43" fontId="42" fillId="0" borderId="11" xfId="93" applyFont="1" applyFill="1" applyBorder="1" applyAlignment="1">
      <alignment vertical="center"/>
    </xf>
    <xf numFmtId="164" fontId="42" fillId="0" borderId="27" xfId="94" applyNumberFormat="1" applyFont="1" applyFill="1" applyBorder="1" applyAlignment="1">
      <alignment vertical="center"/>
    </xf>
    <xf numFmtId="43" fontId="42" fillId="0" borderId="10" xfId="91" applyNumberFormat="1" applyFont="1" applyFill="1" applyBorder="1" applyAlignment="1">
      <alignment horizontal="center" vertical="center"/>
    </xf>
    <xf numFmtId="164" fontId="42" fillId="0" borderId="61" xfId="100" applyFont="1" applyFill="1" applyBorder="1" applyAlignment="1">
      <alignment horizontal="center" vertical="center"/>
    </xf>
    <xf numFmtId="164" fontId="42" fillId="0" borderId="11" xfId="100" applyFont="1" applyFill="1" applyBorder="1" applyAlignment="1">
      <alignment horizontal="center" vertical="center"/>
    </xf>
    <xf numFmtId="164" fontId="42" fillId="0" borderId="11" xfId="91" applyFont="1" applyFill="1" applyBorder="1" applyAlignment="1">
      <alignment horizontal="center" vertical="center"/>
    </xf>
    <xf numFmtId="164" fontId="42" fillId="0" borderId="10" xfId="91" applyFont="1" applyFill="1" applyBorder="1" applyAlignment="1">
      <alignment horizontal="center" vertical="center"/>
    </xf>
    <xf numFmtId="164" fontId="42" fillId="0" borderId="10" xfId="92" applyNumberFormat="1" applyFont="1" applyFill="1" applyBorder="1" applyAlignment="1">
      <alignment horizontal="center" vertical="center"/>
    </xf>
    <xf numFmtId="164" fontId="43" fillId="2" borderId="9" xfId="91" applyFont="1" applyFill="1" applyBorder="1" applyAlignment="1">
      <alignment horizontal="center" vertical="center"/>
    </xf>
    <xf numFmtId="164" fontId="143" fillId="2" borderId="0" xfId="87" applyFont="1" applyFill="1" applyBorder="1" applyAlignment="1">
      <alignment horizontal="center" vertical="center"/>
    </xf>
    <xf numFmtId="166" fontId="43" fillId="0" borderId="1" xfId="86" applyNumberFormat="1" applyFont="1" applyBorder="1" applyAlignment="1">
      <alignment vertical="center"/>
    </xf>
    <xf numFmtId="164" fontId="43" fillId="0" borderId="12" xfId="87" applyFont="1" applyBorder="1" applyAlignment="1">
      <alignment horizontal="center" vertical="center"/>
    </xf>
    <xf numFmtId="164" fontId="43" fillId="0" borderId="17" xfId="87" applyFont="1" applyBorder="1" applyAlignment="1">
      <alignment horizontal="left" vertical="center"/>
    </xf>
    <xf numFmtId="164" fontId="42" fillId="0" borderId="0" xfId="87" applyFont="1" applyBorder="1" applyAlignment="1">
      <alignment horizontal="left" vertical="center"/>
    </xf>
    <xf numFmtId="0" fontId="43" fillId="0" borderId="17" xfId="92" applyNumberFormat="1" applyFont="1" applyBorder="1" applyAlignment="1">
      <alignment horizontal="center" vertical="center"/>
    </xf>
    <xf numFmtId="43" fontId="43" fillId="0" borderId="2" xfId="89" applyFont="1" applyBorder="1" applyAlignment="1">
      <alignment vertical="center"/>
    </xf>
    <xf numFmtId="164" fontId="42" fillId="0" borderId="0" xfId="87" applyFont="1" applyBorder="1" applyAlignment="1">
      <alignment horizontal="center" vertical="center"/>
    </xf>
    <xf numFmtId="43" fontId="43" fillId="0" borderId="67" xfId="89" applyFont="1" applyBorder="1" applyAlignment="1">
      <alignment vertical="center"/>
    </xf>
    <xf numFmtId="164" fontId="43" fillId="0" borderId="10" xfId="87" applyFont="1" applyBorder="1" applyAlignment="1">
      <alignment horizontal="left" vertical="center"/>
    </xf>
    <xf numFmtId="43" fontId="43" fillId="0" borderId="1" xfId="89" applyFont="1" applyBorder="1" applyAlignment="1">
      <alignment vertical="center"/>
    </xf>
    <xf numFmtId="164" fontId="43" fillId="3" borderId="1" xfId="94" applyNumberFormat="1" applyFont="1" applyFill="1" applyBorder="1" applyAlignment="1">
      <alignment vertical="center"/>
    </xf>
    <xf numFmtId="0" fontId="43" fillId="0" borderId="10" xfId="87" applyNumberFormat="1" applyFont="1" applyBorder="1" applyAlignment="1">
      <alignment horizontal="center" vertical="center"/>
    </xf>
    <xf numFmtId="176" fontId="43" fillId="3" borderId="17" xfId="86" applyNumberFormat="1" applyFont="1" applyFill="1" applyBorder="1" applyAlignment="1">
      <alignment horizontal="center" vertical="center"/>
    </xf>
    <xf numFmtId="166" fontId="43" fillId="3" borderId="1" xfId="86" applyNumberFormat="1" applyFont="1" applyFill="1" applyBorder="1" applyAlignment="1">
      <alignment vertical="center"/>
    </xf>
    <xf numFmtId="0" fontId="43" fillId="3" borderId="1" xfId="86" applyFont="1" applyFill="1" applyBorder="1" applyAlignment="1">
      <alignment vertical="center"/>
    </xf>
    <xf numFmtId="0" fontId="43" fillId="3" borderId="17" xfId="87" applyNumberFormat="1" applyFont="1" applyFill="1" applyBorder="1" applyAlignment="1">
      <alignment horizontal="center" vertical="center"/>
    </xf>
    <xf numFmtId="0" fontId="43" fillId="3" borderId="17" xfId="86" applyFont="1" applyFill="1" applyBorder="1" applyAlignment="1">
      <alignment horizontal="center" vertical="center"/>
    </xf>
    <xf numFmtId="164" fontId="43" fillId="3" borderId="17" xfId="87" applyFont="1" applyFill="1" applyBorder="1" applyAlignment="1">
      <alignment horizontal="left" vertical="center"/>
    </xf>
    <xf numFmtId="164" fontId="42" fillId="3" borderId="0" xfId="87" applyFont="1" applyFill="1" applyBorder="1" applyAlignment="1">
      <alignment horizontal="left" vertical="center"/>
    </xf>
    <xf numFmtId="0" fontId="42" fillId="3" borderId="0" xfId="86" applyFont="1" applyFill="1" applyAlignment="1">
      <alignment horizontal="center" vertical="center"/>
    </xf>
    <xf numFmtId="0" fontId="42" fillId="3" borderId="0" xfId="86" applyFont="1" applyFill="1" applyAlignment="1">
      <alignment vertical="center"/>
    </xf>
    <xf numFmtId="0" fontId="43" fillId="0" borderId="17" xfId="92" applyNumberFormat="1" applyFont="1" applyFill="1" applyBorder="1" applyAlignment="1">
      <alignment horizontal="center" vertical="center"/>
    </xf>
    <xf numFmtId="0" fontId="43" fillId="0" borderId="17" xfId="87" applyNumberFormat="1" applyFont="1" applyFill="1" applyBorder="1" applyAlignment="1">
      <alignment horizontal="center" vertical="center"/>
    </xf>
    <xf numFmtId="164" fontId="43" fillId="3" borderId="70" xfId="97" applyFont="1" applyFill="1" applyBorder="1" applyAlignment="1">
      <alignment vertical="center"/>
    </xf>
    <xf numFmtId="164" fontId="43" fillId="3" borderId="68" xfId="97" applyFont="1" applyFill="1" applyBorder="1" applyAlignment="1">
      <alignment vertical="center"/>
    </xf>
    <xf numFmtId="164" fontId="43" fillId="3" borderId="1" xfId="97" applyFont="1" applyFill="1" applyBorder="1" applyAlignment="1">
      <alignment vertical="center"/>
    </xf>
    <xf numFmtId="0" fontId="43" fillId="3" borderId="17" xfId="86" applyFont="1" applyFill="1" applyBorder="1" applyAlignment="1">
      <alignment vertical="center"/>
    </xf>
    <xf numFmtId="43" fontId="43" fillId="0" borderId="1" xfId="86" applyNumberFormat="1" applyFont="1" applyBorder="1" applyAlignment="1">
      <alignment horizontal="center" vertical="center"/>
    </xf>
    <xf numFmtId="0" fontId="43" fillId="0" borderId="27" xfId="103" applyNumberFormat="1" applyFont="1" applyFill="1" applyBorder="1" applyAlignment="1">
      <alignment vertical="center"/>
    </xf>
    <xf numFmtId="0" fontId="43" fillId="0" borderId="2" xfId="103" applyNumberFormat="1" applyFont="1" applyFill="1" applyBorder="1" applyAlignment="1">
      <alignment vertical="center"/>
    </xf>
    <xf numFmtId="0" fontId="43" fillId="0" borderId="11" xfId="103" applyNumberFormat="1" applyFont="1" applyFill="1" applyBorder="1" applyAlignment="1">
      <alignment vertical="center"/>
    </xf>
    <xf numFmtId="0" fontId="43" fillId="3" borderId="11" xfId="87" applyNumberFormat="1" applyFont="1" applyFill="1" applyBorder="1" applyAlignment="1">
      <alignment horizontal="center" vertical="center"/>
    </xf>
    <xf numFmtId="164" fontId="43" fillId="3" borderId="11" xfId="87" applyFont="1" applyFill="1" applyBorder="1" applyAlignment="1">
      <alignment horizontal="center" vertical="center"/>
    </xf>
    <xf numFmtId="164" fontId="43" fillId="3" borderId="12" xfId="87" applyFont="1" applyFill="1" applyBorder="1" applyAlignment="1">
      <alignment horizontal="center" vertical="center"/>
    </xf>
    <xf numFmtId="164" fontId="43" fillId="3" borderId="10" xfId="87" applyFont="1" applyFill="1" applyBorder="1" applyAlignment="1">
      <alignment horizontal="center" vertical="center"/>
    </xf>
    <xf numFmtId="164" fontId="43" fillId="3" borderId="11" xfId="87" applyFont="1" applyFill="1" applyBorder="1" applyAlignment="1">
      <alignment horizontal="left" vertical="center"/>
    </xf>
    <xf numFmtId="43" fontId="42" fillId="0" borderId="0" xfId="86" applyNumberFormat="1" applyFont="1" applyAlignment="1">
      <alignment vertical="center"/>
    </xf>
    <xf numFmtId="0" fontId="43" fillId="0" borderId="27" xfId="103" applyNumberFormat="1" applyFont="1" applyFill="1" applyBorder="1" applyAlignment="1">
      <alignment horizontal="center" vertical="center"/>
    </xf>
    <xf numFmtId="0" fontId="43" fillId="0" borderId="11" xfId="87" applyNumberFormat="1" applyFont="1" applyFill="1" applyBorder="1" applyAlignment="1">
      <alignment horizontal="center" vertical="center"/>
    </xf>
    <xf numFmtId="164" fontId="43" fillId="0" borderId="27" xfId="87" applyFont="1" applyFill="1" applyBorder="1" applyAlignment="1">
      <alignment horizontal="center" vertical="center"/>
    </xf>
    <xf numFmtId="164" fontId="42" fillId="3" borderId="0" xfId="87" applyFont="1" applyFill="1" applyBorder="1" applyAlignment="1">
      <alignment horizontal="center" vertical="center"/>
    </xf>
    <xf numFmtId="164" fontId="43" fillId="0" borderId="27" xfId="1" applyFont="1" applyFill="1" applyBorder="1" applyAlignment="1">
      <alignment horizontal="center" vertical="center"/>
    </xf>
    <xf numFmtId="164" fontId="43" fillId="0" borderId="61" xfId="87" applyFont="1" applyFill="1" applyBorder="1" applyAlignment="1">
      <alignment horizontal="center" vertical="center"/>
    </xf>
    <xf numFmtId="164" fontId="43" fillId="3" borderId="27" xfId="1" applyFont="1" applyFill="1" applyBorder="1" applyAlignment="1">
      <alignment horizontal="center" vertical="center"/>
    </xf>
    <xf numFmtId="164" fontId="43" fillId="3" borderId="12" xfId="1" applyFont="1" applyFill="1" applyBorder="1" applyAlignment="1">
      <alignment horizontal="center" vertical="center"/>
    </xf>
    <xf numFmtId="164" fontId="43" fillId="3" borderId="11" xfId="1" applyFont="1" applyFill="1" applyBorder="1" applyAlignment="1">
      <alignment horizontal="center" vertical="center"/>
    </xf>
    <xf numFmtId="164" fontId="43" fillId="3" borderId="10" xfId="1" applyFont="1" applyFill="1" applyBorder="1" applyAlignment="1">
      <alignment horizontal="center" vertical="center"/>
    </xf>
    <xf numFmtId="164" fontId="43" fillId="0" borderId="66" xfId="40" applyFont="1" applyFill="1" applyBorder="1" applyAlignment="1">
      <alignment horizontal="center" vertical="center"/>
    </xf>
    <xf numFmtId="0" fontId="43" fillId="0" borderId="27" xfId="103" applyNumberFormat="1" applyFont="1" applyFill="1" applyBorder="1" applyAlignment="1">
      <alignment horizontal="left" vertical="center"/>
    </xf>
    <xf numFmtId="0" fontId="43" fillId="0" borderId="27" xfId="43" applyNumberFormat="1" applyFont="1" applyFill="1" applyBorder="1" applyAlignment="1">
      <alignment horizontal="center"/>
    </xf>
    <xf numFmtId="0" fontId="43" fillId="0" borderId="11" xfId="43" applyNumberFormat="1" applyFont="1" applyFill="1" applyBorder="1" applyAlignment="1"/>
    <xf numFmtId="0" fontId="43" fillId="0" borderId="11" xfId="1" applyNumberFormat="1" applyFont="1" applyFill="1" applyBorder="1" applyAlignment="1">
      <alignment horizontal="center" vertical="center"/>
    </xf>
    <xf numFmtId="176" fontId="43" fillId="0" borderId="16" xfId="86" applyNumberFormat="1" applyFont="1" applyBorder="1" applyAlignment="1">
      <alignment horizontal="center" vertical="center"/>
    </xf>
    <xf numFmtId="0" fontId="43" fillId="0" borderId="3" xfId="103" applyNumberFormat="1" applyFont="1" applyFill="1" applyBorder="1" applyAlignment="1">
      <alignment horizontal="center" vertical="center"/>
    </xf>
    <xf numFmtId="0" fontId="43" fillId="0" borderId="3" xfId="86" applyFont="1" applyBorder="1" applyAlignment="1">
      <alignment vertical="center"/>
    </xf>
    <xf numFmtId="164" fontId="43" fillId="3" borderId="28" xfId="87" applyFont="1" applyFill="1" applyBorder="1" applyAlignment="1">
      <alignment horizontal="center" vertical="center"/>
    </xf>
    <xf numFmtId="164" fontId="43" fillId="0" borderId="3" xfId="87" applyFont="1" applyFill="1" applyBorder="1" applyAlignment="1">
      <alignment horizontal="center" vertical="center"/>
    </xf>
    <xf numFmtId="164" fontId="43" fillId="3" borderId="29" xfId="87" applyFont="1" applyFill="1" applyBorder="1" applyAlignment="1">
      <alignment horizontal="center" vertical="center"/>
    </xf>
    <xf numFmtId="164" fontId="43" fillId="3" borderId="73" xfId="87" applyFont="1" applyFill="1" applyBorder="1" applyAlignment="1">
      <alignment horizontal="center" vertical="center"/>
    </xf>
    <xf numFmtId="164" fontId="43" fillId="3" borderId="3" xfId="87" applyFont="1" applyFill="1" applyBorder="1" applyAlignment="1">
      <alignment horizontal="center" vertical="center"/>
    </xf>
    <xf numFmtId="0" fontId="43" fillId="0" borderId="3" xfId="86" applyFont="1" applyBorder="1" applyAlignment="1">
      <alignment horizontal="left" vertical="center"/>
    </xf>
    <xf numFmtId="171" fontId="43" fillId="0" borderId="16" xfId="89" applyNumberFormat="1" applyFont="1" applyFill="1" applyBorder="1" applyAlignment="1">
      <alignment vertical="center"/>
    </xf>
    <xf numFmtId="43" fontId="43" fillId="0" borderId="3" xfId="89" applyFont="1" applyFill="1" applyBorder="1" applyAlignment="1">
      <alignment vertical="center"/>
    </xf>
    <xf numFmtId="164" fontId="43" fillId="0" borderId="29" xfId="87" applyFont="1" applyFill="1" applyBorder="1" applyAlignment="1">
      <alignment horizontal="center" vertical="center"/>
    </xf>
    <xf numFmtId="43" fontId="43" fillId="0" borderId="31" xfId="89" applyFont="1" applyFill="1" applyBorder="1" applyAlignment="1">
      <alignment vertical="center"/>
    </xf>
    <xf numFmtId="164" fontId="43" fillId="0" borderId="28" xfId="87" applyFont="1" applyFill="1" applyBorder="1" applyAlignment="1">
      <alignment horizontal="center" vertical="center"/>
    </xf>
    <xf numFmtId="0" fontId="43" fillId="0" borderId="16" xfId="86" applyFont="1" applyBorder="1" applyAlignment="1">
      <alignment vertical="center"/>
    </xf>
    <xf numFmtId="176" fontId="46" fillId="5" borderId="10" xfId="86" applyNumberFormat="1" applyFont="1" applyFill="1" applyBorder="1" applyAlignment="1">
      <alignment horizontal="center" vertical="center"/>
    </xf>
    <xf numFmtId="0" fontId="43" fillId="0" borderId="27" xfId="86" applyFont="1" applyBorder="1" applyAlignment="1">
      <alignment vertical="center"/>
    </xf>
    <xf numFmtId="0" fontId="43" fillId="0" borderId="10" xfId="86" quotePrefix="1" applyFont="1" applyBorder="1" applyAlignment="1">
      <alignment horizontal="center" vertical="center"/>
    </xf>
    <xf numFmtId="0" fontId="42" fillId="0" borderId="27" xfId="103" applyNumberFormat="1" applyFont="1" applyFill="1" applyBorder="1" applyAlignment="1">
      <alignment horizontal="center" vertical="center"/>
    </xf>
    <xf numFmtId="0" fontId="42" fillId="0" borderId="2" xfId="103" applyNumberFormat="1" applyFont="1" applyFill="1" applyBorder="1" applyAlignment="1">
      <alignment vertical="center"/>
    </xf>
    <xf numFmtId="0" fontId="42" fillId="0" borderId="11" xfId="103" applyNumberFormat="1" applyFont="1" applyFill="1" applyBorder="1" applyAlignment="1">
      <alignment vertical="center"/>
    </xf>
    <xf numFmtId="164" fontId="42" fillId="3" borderId="11" xfId="87" applyFont="1" applyFill="1" applyBorder="1" applyAlignment="1">
      <alignment horizontal="center" vertical="center"/>
    </xf>
    <xf numFmtId="164" fontId="42" fillId="3" borderId="27" xfId="87" applyFont="1" applyFill="1" applyBorder="1" applyAlignment="1">
      <alignment horizontal="center" vertical="center"/>
    </xf>
    <xf numFmtId="164" fontId="42" fillId="3" borderId="12" xfId="87" applyFont="1" applyFill="1" applyBorder="1" applyAlignment="1">
      <alignment horizontal="center" vertical="center"/>
    </xf>
    <xf numFmtId="164" fontId="42" fillId="3" borderId="61" xfId="87" applyFont="1" applyFill="1" applyBorder="1" applyAlignment="1">
      <alignment horizontal="center" vertical="center"/>
    </xf>
    <xf numFmtId="164" fontId="42" fillId="3" borderId="10" xfId="87" applyFont="1" applyFill="1" applyBorder="1" applyAlignment="1">
      <alignment horizontal="center" vertical="center"/>
    </xf>
    <xf numFmtId="176" fontId="43" fillId="0" borderId="74" xfId="86" applyNumberFormat="1" applyFont="1" applyBorder="1" applyAlignment="1">
      <alignment horizontal="center" vertical="center"/>
    </xf>
    <xf numFmtId="0" fontId="43" fillId="0" borderId="71" xfId="86" applyFont="1" applyBorder="1" applyAlignment="1">
      <alignment vertical="center"/>
    </xf>
    <xf numFmtId="43" fontId="43" fillId="0" borderId="27" xfId="104" applyNumberFormat="1" applyFont="1" applyFill="1" applyBorder="1" applyAlignment="1">
      <alignment vertical="center"/>
    </xf>
    <xf numFmtId="164" fontId="43" fillId="0" borderId="12" xfId="91" applyFont="1" applyBorder="1" applyAlignment="1">
      <alignment horizontal="center" vertical="center"/>
    </xf>
    <xf numFmtId="43" fontId="43" fillId="0" borderId="61" xfId="104" applyNumberFormat="1" applyFont="1" applyFill="1" applyBorder="1" applyAlignment="1">
      <alignment vertical="center"/>
    </xf>
    <xf numFmtId="164" fontId="43" fillId="0" borderId="2" xfId="91" applyFont="1" applyBorder="1" applyAlignment="1">
      <alignment horizontal="center" vertical="center"/>
    </xf>
    <xf numFmtId="0" fontId="43" fillId="0" borderId="72" xfId="86" applyFont="1" applyBorder="1" applyAlignment="1">
      <alignment horizontal="center" vertical="center"/>
    </xf>
    <xf numFmtId="164" fontId="43" fillId="0" borderId="66" xfId="91" applyFont="1" applyFill="1" applyBorder="1" applyAlignment="1">
      <alignment horizontal="center" vertical="center"/>
    </xf>
    <xf numFmtId="164" fontId="43" fillId="0" borderId="19" xfId="100" applyFont="1" applyFill="1" applyBorder="1" applyAlignment="1">
      <alignment horizontal="center" vertical="center"/>
    </xf>
    <xf numFmtId="0" fontId="43" fillId="0" borderId="2" xfId="103" applyNumberFormat="1" applyFont="1" applyFill="1" applyBorder="1" applyAlignment="1">
      <alignment horizontal="center" vertical="center"/>
    </xf>
    <xf numFmtId="164" fontId="42" fillId="0" borderId="0" xfId="87" applyFont="1" applyFill="1" applyAlignment="1">
      <alignment horizontal="center" vertical="center"/>
    </xf>
    <xf numFmtId="164" fontId="43" fillId="0" borderId="17" xfId="91" applyFont="1" applyFill="1" applyBorder="1" applyAlignment="1">
      <alignment horizontal="left" vertical="center"/>
    </xf>
    <xf numFmtId="43" fontId="43" fillId="0" borderId="16" xfId="91" applyNumberFormat="1" applyFont="1" applyFill="1" applyBorder="1" applyAlignment="1">
      <alignment horizontal="center" vertical="center"/>
    </xf>
    <xf numFmtId="0" fontId="43" fillId="0" borderId="28" xfId="86" applyFont="1" applyBorder="1" applyAlignment="1">
      <alignment horizontal="center" vertical="center"/>
    </xf>
    <xf numFmtId="0" fontId="43" fillId="0" borderId="3" xfId="103" applyNumberFormat="1" applyFont="1" applyFill="1" applyBorder="1" applyAlignment="1">
      <alignment vertical="center"/>
    </xf>
    <xf numFmtId="164" fontId="43" fillId="3" borderId="16" xfId="87" applyFont="1" applyFill="1" applyBorder="1" applyAlignment="1">
      <alignment horizontal="center" vertical="center"/>
    </xf>
    <xf numFmtId="164" fontId="43" fillId="0" borderId="3" xfId="91" applyFont="1" applyFill="1" applyBorder="1" applyAlignment="1">
      <alignment horizontal="center" vertical="center"/>
    </xf>
    <xf numFmtId="164" fontId="43" fillId="0" borderId="29" xfId="91" applyFont="1" applyBorder="1" applyAlignment="1">
      <alignment horizontal="center" vertical="center"/>
    </xf>
    <xf numFmtId="164" fontId="43" fillId="0" borderId="73" xfId="91" applyFont="1" applyFill="1" applyBorder="1" applyAlignment="1">
      <alignment horizontal="center" vertical="center"/>
    </xf>
    <xf numFmtId="164" fontId="43" fillId="0" borderId="28" xfId="91" applyFont="1" applyBorder="1" applyAlignment="1">
      <alignment horizontal="center" vertical="center"/>
    </xf>
    <xf numFmtId="164" fontId="43" fillId="0" borderId="3" xfId="91" applyFont="1" applyBorder="1" applyAlignment="1">
      <alignment horizontal="center" vertical="center"/>
    </xf>
    <xf numFmtId="164" fontId="43" fillId="0" borderId="16" xfId="91" applyFont="1" applyBorder="1" applyAlignment="1">
      <alignment horizontal="center" vertical="center"/>
    </xf>
    <xf numFmtId="164" fontId="43" fillId="3" borderId="28" xfId="87" applyFont="1" applyFill="1" applyBorder="1" applyAlignment="1">
      <alignment horizontal="left" vertical="center"/>
    </xf>
    <xf numFmtId="164" fontId="43" fillId="0" borderId="10" xfId="91" applyFont="1" applyBorder="1" applyAlignment="1">
      <alignment horizontal="center" vertical="center"/>
    </xf>
    <xf numFmtId="0" fontId="46" fillId="0" borderId="27" xfId="103" applyNumberFormat="1" applyFont="1" applyFill="1" applyBorder="1" applyAlignment="1">
      <alignment horizontal="left" vertical="center"/>
    </xf>
    <xf numFmtId="164" fontId="43" fillId="0" borderId="12" xfId="87" applyFont="1" applyFill="1" applyBorder="1" applyAlignment="1">
      <alignment vertical="center"/>
    </xf>
    <xf numFmtId="164" fontId="43" fillId="3" borderId="10" xfId="87" applyFont="1" applyFill="1" applyBorder="1" applyAlignment="1">
      <alignment horizontal="left" vertical="center"/>
    </xf>
    <xf numFmtId="164" fontId="43" fillId="3" borderId="16" xfId="87" applyFont="1" applyFill="1" applyBorder="1" applyAlignment="1">
      <alignment horizontal="left" vertical="center"/>
    </xf>
    <xf numFmtId="43" fontId="43" fillId="0" borderId="11" xfId="93" applyFont="1" applyFill="1" applyBorder="1" applyAlignment="1">
      <alignment vertical="center"/>
    </xf>
    <xf numFmtId="164" fontId="43" fillId="0" borderId="27" xfId="94" applyNumberFormat="1" applyFont="1" applyFill="1" applyBorder="1" applyAlignment="1">
      <alignment vertical="center"/>
    </xf>
    <xf numFmtId="0" fontId="42" fillId="0" borderId="0" xfId="86" applyFont="1" applyAlignment="1">
      <alignment horizontal="left" vertical="center"/>
    </xf>
    <xf numFmtId="164" fontId="153" fillId="10" borderId="0" xfId="86" applyNumberFormat="1" applyFont="1" applyFill="1" applyAlignment="1">
      <alignment horizontal="center" vertical="center"/>
    </xf>
    <xf numFmtId="164" fontId="154" fillId="0" borderId="0" xfId="1" applyFont="1" applyAlignment="1">
      <alignment horizontal="left" vertical="center"/>
    </xf>
    <xf numFmtId="164" fontId="154" fillId="0" borderId="0" xfId="87" applyFont="1" applyFill="1" applyBorder="1" applyAlignment="1">
      <alignment horizontal="center" vertical="center"/>
    </xf>
    <xf numFmtId="164" fontId="42" fillId="0" borderId="0" xfId="1" applyFont="1" applyAlignment="1">
      <alignment horizontal="center" vertical="center"/>
    </xf>
    <xf numFmtId="0" fontId="42" fillId="8" borderId="0" xfId="86" applyFont="1" applyFill="1" applyAlignment="1">
      <alignment horizontal="center" vertical="center"/>
    </xf>
    <xf numFmtId="0" fontId="42" fillId="9" borderId="0" xfId="86" applyFont="1" applyFill="1" applyAlignment="1">
      <alignment horizontal="center" vertical="center"/>
    </xf>
    <xf numFmtId="43" fontId="43" fillId="0" borderId="67" xfId="93" applyFont="1" applyFill="1" applyBorder="1" applyAlignment="1">
      <alignment vertical="center"/>
    </xf>
    <xf numFmtId="164" fontId="42" fillId="9" borderId="0" xfId="86" applyNumberFormat="1" applyFont="1" applyFill="1" applyAlignment="1">
      <alignment horizontal="center" vertical="center"/>
    </xf>
    <xf numFmtId="0" fontId="46" fillId="0" borderId="11" xfId="86" applyFont="1" applyBorder="1" applyAlignment="1">
      <alignment vertical="center"/>
    </xf>
    <xf numFmtId="166" fontId="43" fillId="0" borderId="10" xfId="86" applyNumberFormat="1" applyFont="1" applyBorder="1" applyAlignment="1">
      <alignment horizontal="center" vertical="center"/>
    </xf>
    <xf numFmtId="164" fontId="43" fillId="0" borderId="27" xfId="92" applyNumberFormat="1" applyFont="1" applyFill="1" applyBorder="1" applyAlignment="1">
      <alignment vertical="center"/>
    </xf>
    <xf numFmtId="164" fontId="47" fillId="0" borderId="0" xfId="87" applyFont="1" applyFill="1" applyAlignment="1">
      <alignment horizontal="center" vertical="center"/>
    </xf>
    <xf numFmtId="164" fontId="47" fillId="0" borderId="0" xfId="1" applyFont="1" applyAlignment="1">
      <alignment horizontal="center" vertical="center"/>
    </xf>
    <xf numFmtId="164" fontId="154" fillId="0" borderId="0" xfId="1" applyFont="1" applyFill="1" applyBorder="1" applyAlignment="1">
      <alignment horizontal="left" vertical="center"/>
    </xf>
    <xf numFmtId="164" fontId="154" fillId="0" borderId="0" xfId="1" applyFont="1" applyAlignment="1">
      <alignment vertical="center"/>
    </xf>
    <xf numFmtId="0" fontId="47" fillId="0" borderId="0" xfId="86" applyFont="1" applyAlignment="1">
      <alignment vertical="center"/>
    </xf>
    <xf numFmtId="164" fontId="42" fillId="8" borderId="0" xfId="87" applyFont="1" applyFill="1" applyBorder="1" applyAlignment="1">
      <alignment horizontal="center" vertical="center"/>
    </xf>
    <xf numFmtId="164" fontId="42" fillId="8" borderId="0" xfId="86" applyNumberFormat="1" applyFont="1" applyFill="1" applyAlignment="1">
      <alignment horizontal="center" vertical="center"/>
    </xf>
    <xf numFmtId="164" fontId="42" fillId="8" borderId="0" xfId="87" applyFont="1" applyFill="1" applyAlignment="1">
      <alignment horizontal="left" vertical="center"/>
    </xf>
    <xf numFmtId="0" fontId="47" fillId="0" borderId="0" xfId="86" applyFont="1" applyAlignment="1">
      <alignment horizontal="center" vertical="center"/>
    </xf>
    <xf numFmtId="164" fontId="47" fillId="0" borderId="0" xfId="87" applyFont="1" applyFill="1" applyBorder="1" applyAlignment="1">
      <alignment horizontal="center" vertical="center"/>
    </xf>
    <xf numFmtId="0" fontId="42" fillId="8" borderId="0" xfId="86" applyFont="1" applyFill="1" applyAlignment="1">
      <alignment vertical="center"/>
    </xf>
    <xf numFmtId="0" fontId="43" fillId="0" borderId="27" xfId="103" applyNumberFormat="1" applyFont="1" applyFill="1" applyBorder="1" applyAlignment="1">
      <alignment horizontal="center"/>
    </xf>
    <xf numFmtId="164" fontId="43" fillId="0" borderId="10" xfId="87" applyFont="1" applyFill="1" applyBorder="1"/>
    <xf numFmtId="43" fontId="43" fillId="0" borderId="2" xfId="89" applyFont="1" applyFill="1" applyBorder="1"/>
    <xf numFmtId="4" fontId="42" fillId="0" borderId="0" xfId="86" applyNumberFormat="1" applyFont="1" applyAlignment="1">
      <alignment horizontal="center" vertical="center"/>
    </xf>
    <xf numFmtId="0" fontId="43" fillId="0" borderId="2" xfId="103" applyNumberFormat="1" applyFont="1" applyFill="1" applyBorder="1" applyAlignment="1">
      <alignment horizontal="center"/>
    </xf>
    <xf numFmtId="164" fontId="43" fillId="0" borderId="27" xfId="97" applyFont="1" applyFill="1" applyBorder="1" applyAlignment="1">
      <alignment vertical="center"/>
    </xf>
    <xf numFmtId="0" fontId="43" fillId="0" borderId="16" xfId="86" applyFont="1" applyBorder="1" applyAlignment="1">
      <alignment horizontal="left" vertical="center"/>
    </xf>
    <xf numFmtId="43" fontId="150" fillId="0" borderId="10" xfId="91" applyNumberFormat="1" applyFont="1" applyFill="1" applyBorder="1" applyAlignment="1">
      <alignment horizontal="center" vertical="center"/>
    </xf>
    <xf numFmtId="164" fontId="150" fillId="0" borderId="61" xfId="91" applyFont="1" applyFill="1" applyBorder="1" applyAlignment="1">
      <alignment horizontal="center" vertical="center"/>
    </xf>
    <xf numFmtId="164" fontId="150" fillId="0" borderId="11" xfId="91" applyFont="1" applyFill="1" applyBorder="1" applyAlignment="1">
      <alignment horizontal="center" vertical="center"/>
    </xf>
    <xf numFmtId="164" fontId="150" fillId="0" borderId="10" xfId="91" applyFont="1" applyFill="1" applyBorder="1" applyAlignment="1">
      <alignment horizontal="center" vertical="center"/>
    </xf>
    <xf numFmtId="164" fontId="42" fillId="0" borderId="0" xfId="86" applyNumberFormat="1" applyFont="1" applyAlignment="1">
      <alignment horizontal="left" vertical="center"/>
    </xf>
    <xf numFmtId="164" fontId="42" fillId="0" borderId="0" xfId="87" applyFont="1" applyFill="1" applyBorder="1" applyAlignment="1">
      <alignment vertical="center"/>
    </xf>
    <xf numFmtId="0" fontId="43" fillId="0" borderId="2" xfId="103" applyNumberFormat="1" applyFont="1" applyFill="1" applyBorder="1" applyAlignment="1">
      <alignment horizontal="left" vertical="center"/>
    </xf>
    <xf numFmtId="169" fontId="43" fillId="0" borderId="10" xfId="87" applyNumberFormat="1" applyFont="1" applyFill="1" applyBorder="1" applyAlignment="1">
      <alignment horizontal="center" vertical="center"/>
    </xf>
    <xf numFmtId="164" fontId="43" fillId="0" borderId="10" xfId="87" applyFont="1" applyFill="1" applyBorder="1" applyAlignment="1">
      <alignment vertical="center"/>
    </xf>
    <xf numFmtId="164" fontId="43" fillId="0" borderId="73" xfId="87" applyFont="1" applyFill="1" applyBorder="1" applyAlignment="1">
      <alignment horizontal="center" vertical="center"/>
    </xf>
    <xf numFmtId="184" fontId="42" fillId="0" borderId="0" xfId="87" applyNumberFormat="1" applyFont="1" applyFill="1" applyAlignment="1">
      <alignment vertical="center"/>
    </xf>
    <xf numFmtId="164" fontId="43" fillId="0" borderId="2" xfId="100" applyFont="1" applyFill="1" applyBorder="1" applyAlignment="1">
      <alignment horizontal="center" vertical="center"/>
    </xf>
    <xf numFmtId="0" fontId="43" fillId="0" borderId="1" xfId="103" applyNumberFormat="1" applyFont="1" applyFill="1" applyBorder="1" applyAlignment="1">
      <alignment horizontal="center" vertical="center"/>
    </xf>
    <xf numFmtId="0" fontId="43" fillId="0" borderId="1" xfId="103" applyNumberFormat="1" applyFont="1" applyFill="1" applyBorder="1" applyAlignment="1">
      <alignment vertical="center"/>
    </xf>
    <xf numFmtId="0" fontId="43" fillId="0" borderId="19" xfId="87" applyNumberFormat="1" applyFont="1" applyFill="1" applyBorder="1" applyAlignment="1">
      <alignment horizontal="center" vertical="center"/>
    </xf>
    <xf numFmtId="164" fontId="43" fillId="3" borderId="19" xfId="87" applyFont="1" applyFill="1" applyBorder="1" applyAlignment="1">
      <alignment horizontal="center" vertical="center"/>
    </xf>
    <xf numFmtId="164" fontId="43" fillId="3" borderId="18" xfId="87" applyFont="1" applyFill="1" applyBorder="1" applyAlignment="1">
      <alignment horizontal="center" vertical="center"/>
    </xf>
    <xf numFmtId="164" fontId="43" fillId="3" borderId="30" xfId="87" applyFont="1" applyFill="1" applyBorder="1" applyAlignment="1">
      <alignment horizontal="center" vertical="center"/>
    </xf>
    <xf numFmtId="0" fontId="24" fillId="5" borderId="35" xfId="0" applyFont="1" applyFill="1" applyBorder="1" applyAlignment="1">
      <alignment vertical="center"/>
    </xf>
    <xf numFmtId="166" fontId="43" fillId="0" borderId="30" xfId="86" applyNumberFormat="1" applyFont="1" applyBorder="1" applyAlignment="1">
      <alignment horizontal="center" vertical="center"/>
    </xf>
    <xf numFmtId="0" fontId="43" fillId="0" borderId="32" xfId="86" applyFont="1" applyBorder="1" applyAlignment="1">
      <alignment vertical="center"/>
    </xf>
    <xf numFmtId="174" fontId="42" fillId="0" borderId="0" xfId="87" applyNumberFormat="1" applyFont="1" applyFill="1" applyAlignment="1">
      <alignment vertical="center"/>
    </xf>
    <xf numFmtId="164" fontId="24" fillId="0" borderId="10" xfId="26" applyFont="1" applyFill="1" applyBorder="1" applyAlignment="1">
      <alignment horizontal="left" vertical="center"/>
    </xf>
    <xf numFmtId="0" fontId="19" fillId="0" borderId="0" xfId="19" applyFont="1"/>
    <xf numFmtId="43" fontId="24" fillId="0" borderId="13" xfId="26" applyNumberFormat="1" applyFont="1" applyFill="1" applyBorder="1" applyAlignment="1">
      <alignment horizontal="center"/>
    </xf>
    <xf numFmtId="9" fontId="24" fillId="0" borderId="0" xfId="27" applyFont="1" applyFill="1" applyBorder="1" applyAlignment="1">
      <alignment horizontal="center"/>
    </xf>
    <xf numFmtId="164" fontId="24" fillId="0" borderId="13" xfId="1" applyFont="1" applyFill="1" applyBorder="1" applyAlignment="1">
      <alignment horizontal="center"/>
    </xf>
    <xf numFmtId="164" fontId="46" fillId="2" borderId="9" xfId="4" applyFont="1" applyFill="1" applyBorder="1" applyAlignment="1">
      <alignment horizontal="center" vertical="center"/>
    </xf>
    <xf numFmtId="164" fontId="135" fillId="0" borderId="11" xfId="100" applyFont="1" applyFill="1" applyBorder="1" applyAlignment="1">
      <alignment horizontal="center" vertical="center"/>
    </xf>
    <xf numFmtId="164" fontId="135" fillId="0" borderId="61" xfId="100" applyFont="1" applyFill="1" applyBorder="1" applyAlignment="1">
      <alignment horizontal="center" vertical="center"/>
    </xf>
    <xf numFmtId="164" fontId="135" fillId="0" borderId="11" xfId="91" applyFont="1" applyFill="1" applyBorder="1" applyAlignment="1">
      <alignment horizontal="center" vertical="center"/>
    </xf>
    <xf numFmtId="164" fontId="135" fillId="0" borderId="10" xfId="91" applyFont="1" applyFill="1" applyBorder="1" applyAlignment="1">
      <alignment horizontal="center" vertical="center"/>
    </xf>
    <xf numFmtId="164" fontId="43" fillId="0" borderId="11" xfId="100" applyFont="1" applyFill="1" applyBorder="1" applyAlignment="1">
      <alignment horizontal="left" vertical="center"/>
    </xf>
    <xf numFmtId="43" fontId="43" fillId="0" borderId="18" xfId="93" applyFont="1" applyFill="1" applyBorder="1" applyAlignment="1">
      <alignment vertical="center"/>
    </xf>
    <xf numFmtId="164" fontId="43" fillId="0" borderId="68" xfId="87" applyFont="1" applyFill="1" applyBorder="1" applyAlignment="1">
      <alignment horizontal="center" vertical="center"/>
    </xf>
    <xf numFmtId="43" fontId="43" fillId="0" borderId="19" xfId="93" applyFont="1" applyFill="1" applyBorder="1" applyAlignment="1">
      <alignment vertical="center"/>
    </xf>
    <xf numFmtId="164" fontId="43" fillId="0" borderId="30" xfId="94" applyNumberFormat="1" applyFont="1" applyFill="1" applyBorder="1" applyAlignment="1">
      <alignment vertical="center"/>
    </xf>
    <xf numFmtId="164" fontId="43" fillId="0" borderId="68" xfId="97" applyFont="1" applyFill="1" applyBorder="1" applyAlignment="1">
      <alignment vertical="center"/>
    </xf>
    <xf numFmtId="164" fontId="43" fillId="0" borderId="68" xfId="92" applyNumberFormat="1" applyFont="1" applyFill="1" applyBorder="1" applyAlignment="1">
      <alignment vertical="center"/>
    </xf>
    <xf numFmtId="164" fontId="43" fillId="0" borderId="65" xfId="87" applyFont="1" applyFill="1" applyBorder="1" applyAlignment="1">
      <alignment horizontal="center" vertical="center"/>
    </xf>
    <xf numFmtId="164" fontId="43" fillId="0" borderId="66" xfId="87" applyFont="1" applyFill="1" applyBorder="1" applyAlignment="1">
      <alignment horizontal="center" vertical="center"/>
    </xf>
    <xf numFmtId="164" fontId="43" fillId="0" borderId="2" xfId="94" applyNumberFormat="1" applyFont="1" applyFill="1" applyBorder="1" applyAlignment="1">
      <alignment vertical="center"/>
    </xf>
    <xf numFmtId="164" fontId="34" fillId="0" borderId="10" xfId="1" applyFont="1" applyFill="1" applyBorder="1" applyAlignment="1">
      <alignment horizontal="center"/>
    </xf>
    <xf numFmtId="164" fontId="34" fillId="0" borderId="1" xfId="26" applyFont="1" applyFill="1" applyBorder="1" applyAlignment="1">
      <alignment horizontal="center" vertical="center"/>
    </xf>
    <xf numFmtId="164" fontId="34" fillId="0" borderId="18" xfId="26" applyFont="1" applyFill="1" applyBorder="1" applyAlignment="1">
      <alignment horizontal="center" vertical="center"/>
    </xf>
    <xf numFmtId="164" fontId="34" fillId="0" borderId="68" xfId="26" applyFont="1" applyFill="1" applyBorder="1" applyAlignment="1">
      <alignment horizontal="center" vertical="center"/>
    </xf>
    <xf numFmtId="164" fontId="34" fillId="0" borderId="19" xfId="26" applyFont="1" applyFill="1" applyBorder="1" applyAlignment="1">
      <alignment horizontal="center" vertical="center"/>
    </xf>
    <xf numFmtId="0" fontId="30" fillId="0" borderId="0" xfId="86" applyFont="1" applyAlignment="1">
      <alignment horizontal="center" vertical="center"/>
    </xf>
    <xf numFmtId="14" fontId="30" fillId="0" borderId="0" xfId="86" applyNumberFormat="1" applyFont="1" applyAlignment="1">
      <alignment horizontal="center"/>
    </xf>
    <xf numFmtId="0" fontId="43" fillId="0" borderId="1" xfId="0" applyFont="1" applyBorder="1" applyAlignment="1">
      <alignment horizontal="left" vertical="center"/>
    </xf>
    <xf numFmtId="0" fontId="43" fillId="0" borderId="1" xfId="98" applyFont="1" applyBorder="1" applyAlignment="1">
      <alignment vertical="center"/>
    </xf>
    <xf numFmtId="0" fontId="43" fillId="0" borderId="30" xfId="86" applyFont="1" applyBorder="1" applyAlignment="1">
      <alignment horizontal="center" vertical="center"/>
    </xf>
    <xf numFmtId="0" fontId="43" fillId="0" borderId="1" xfId="86" applyFont="1" applyBorder="1" applyAlignment="1">
      <alignment horizontal="left" vertical="center"/>
    </xf>
    <xf numFmtId="0" fontId="46" fillId="0" borderId="17" xfId="86" applyFont="1" applyBorder="1" applyAlignment="1">
      <alignment horizontal="center" vertical="center"/>
    </xf>
    <xf numFmtId="0" fontId="43" fillId="0" borderId="2" xfId="99" applyFont="1" applyBorder="1" applyAlignment="1">
      <alignment vertical="center"/>
    </xf>
    <xf numFmtId="0" fontId="43" fillId="0" borderId="1" xfId="99" applyFont="1" applyBorder="1" applyAlignment="1">
      <alignment vertical="center"/>
    </xf>
    <xf numFmtId="0" fontId="42" fillId="0" borderId="67" xfId="86" applyFont="1" applyBorder="1" applyAlignment="1">
      <alignment vertical="center"/>
    </xf>
    <xf numFmtId="164" fontId="42" fillId="0" borderId="27" xfId="91" applyFont="1" applyFill="1" applyBorder="1" applyAlignment="1">
      <alignment horizontal="center" vertical="center"/>
    </xf>
    <xf numFmtId="164" fontId="42" fillId="0" borderId="12" xfId="91" applyFont="1" applyFill="1" applyBorder="1" applyAlignment="1">
      <alignment horizontal="center" vertical="center"/>
    </xf>
    <xf numFmtId="164" fontId="42" fillId="0" borderId="61" xfId="91" applyFont="1" applyFill="1" applyBorder="1" applyAlignment="1">
      <alignment horizontal="center" vertical="center"/>
    </xf>
    <xf numFmtId="164" fontId="42" fillId="0" borderId="10" xfId="91" applyFont="1" applyFill="1" applyBorder="1" applyAlignment="1">
      <alignment horizontal="left" vertical="center"/>
    </xf>
    <xf numFmtId="0" fontId="43" fillId="0" borderId="10" xfId="86" applyFont="1" applyBorder="1" applyAlignment="1">
      <alignment horizontal="center"/>
    </xf>
    <xf numFmtId="0" fontId="43" fillId="0" borderId="2" xfId="86" applyFont="1" applyBorder="1" applyAlignment="1">
      <alignment horizontal="left"/>
    </xf>
    <xf numFmtId="0" fontId="150" fillId="0" borderId="2" xfId="86" applyFont="1" applyBorder="1" applyAlignment="1">
      <alignment horizontal="center" vertical="center"/>
    </xf>
    <xf numFmtId="0" fontId="150" fillId="0" borderId="66" xfId="86" applyFont="1" applyBorder="1" applyAlignment="1">
      <alignment vertical="center"/>
    </xf>
    <xf numFmtId="0" fontId="150" fillId="0" borderId="67" xfId="86" applyFont="1" applyBorder="1" applyAlignment="1">
      <alignment vertical="center"/>
    </xf>
    <xf numFmtId="0" fontId="150" fillId="0" borderId="10" xfId="86" applyFont="1" applyBorder="1" applyAlignment="1">
      <alignment horizontal="center" vertical="center"/>
    </xf>
    <xf numFmtId="0" fontId="150" fillId="0" borderId="2" xfId="86" applyFont="1" applyBorder="1" applyAlignment="1">
      <alignment horizontal="left" vertical="center"/>
    </xf>
    <xf numFmtId="0" fontId="150" fillId="0" borderId="2" xfId="86" applyFont="1" applyBorder="1" applyAlignment="1">
      <alignment vertical="center"/>
    </xf>
    <xf numFmtId="164" fontId="42" fillId="0" borderId="0" xfId="1" applyFont="1" applyAlignment="1">
      <alignment horizontal="left" vertical="center"/>
    </xf>
    <xf numFmtId="0" fontId="43" fillId="0" borderId="2" xfId="86" quotePrefix="1" applyFont="1" applyBorder="1" applyAlignment="1">
      <alignment vertical="center"/>
    </xf>
    <xf numFmtId="176" fontId="34" fillId="0" borderId="10" xfId="19" applyNumberFormat="1" applyFont="1" applyBorder="1" applyAlignment="1">
      <alignment horizontal="right" vertical="center"/>
    </xf>
    <xf numFmtId="0" fontId="34" fillId="0" borderId="2" xfId="19" applyFont="1" applyBorder="1" applyAlignment="1">
      <alignment horizontal="center"/>
    </xf>
    <xf numFmtId="0" fontId="34" fillId="0" borderId="2" xfId="19" applyFont="1" applyBorder="1"/>
    <xf numFmtId="0" fontId="34" fillId="0" borderId="2" xfId="13" applyFont="1" applyBorder="1" applyAlignment="1">
      <alignment vertical="center"/>
    </xf>
    <xf numFmtId="0" fontId="34" fillId="0" borderId="11" xfId="19" applyFont="1" applyBorder="1" applyAlignment="1">
      <alignment horizontal="center"/>
    </xf>
    <xf numFmtId="164" fontId="42" fillId="0" borderId="19" xfId="92" applyNumberFormat="1" applyFont="1" applyFill="1" applyBorder="1" applyAlignment="1">
      <alignment horizontal="center" vertical="center"/>
    </xf>
    <xf numFmtId="0" fontId="43" fillId="0" borderId="33" xfId="86" applyFont="1" applyBorder="1" applyAlignment="1">
      <alignment vertical="center"/>
    </xf>
    <xf numFmtId="0" fontId="42" fillId="0" borderId="17" xfId="92" applyNumberFormat="1" applyFont="1" applyFill="1" applyBorder="1" applyAlignment="1">
      <alignment horizontal="center" vertical="center"/>
    </xf>
    <xf numFmtId="0" fontId="43" fillId="0" borderId="67" xfId="86" applyFont="1" applyFill="1" applyBorder="1" applyAlignment="1">
      <alignment vertical="center"/>
    </xf>
    <xf numFmtId="164" fontId="28" fillId="0" borderId="4" xfId="1" applyFont="1" applyFill="1" applyBorder="1" applyAlignment="1">
      <alignment horizontal="center" vertical="center"/>
    </xf>
    <xf numFmtId="164" fontId="28" fillId="0" borderId="21" xfId="1" applyFont="1" applyFill="1" applyBorder="1" applyAlignment="1">
      <alignment horizontal="center" vertical="center"/>
    </xf>
    <xf numFmtId="164" fontId="28" fillId="0" borderId="25" xfId="1" applyFont="1" applyFill="1" applyBorder="1" applyAlignment="1">
      <alignment horizontal="center" vertical="center"/>
    </xf>
    <xf numFmtId="164" fontId="29" fillId="0" borderId="25" xfId="1" applyFont="1" applyFill="1" applyBorder="1" applyAlignment="1">
      <alignment horizontal="center" vertical="center"/>
    </xf>
    <xf numFmtId="164" fontId="29" fillId="0" borderId="4" xfId="1" applyFont="1" applyFill="1" applyBorder="1" applyAlignment="1">
      <alignment horizontal="center" vertical="center"/>
    </xf>
    <xf numFmtId="0" fontId="95" fillId="2" borderId="20" xfId="5" applyFont="1" applyFill="1" applyBorder="1" applyAlignment="1">
      <alignment horizontal="center" vertical="center"/>
    </xf>
    <xf numFmtId="164" fontId="130" fillId="0" borderId="4" xfId="1" applyFont="1" applyFill="1" applyBorder="1" applyAlignment="1">
      <alignment horizontal="center" vertical="center"/>
    </xf>
    <xf numFmtId="164" fontId="130" fillId="0" borderId="21" xfId="1" applyFont="1" applyFill="1" applyBorder="1" applyAlignment="1">
      <alignment horizontal="center" vertical="center"/>
    </xf>
    <xf numFmtId="176" fontId="24" fillId="5" borderId="17" xfId="0" quotePrefix="1" applyNumberFormat="1" applyFont="1" applyFill="1" applyBorder="1" applyAlignment="1">
      <alignment horizontal="center" vertical="center"/>
    </xf>
    <xf numFmtId="179" fontId="24" fillId="3" borderId="10" xfId="6" quotePrefix="1" applyNumberFormat="1" applyFont="1" applyFill="1" applyBorder="1" applyAlignment="1">
      <alignment horizontal="center"/>
    </xf>
    <xf numFmtId="179" fontId="24" fillId="3" borderId="10" xfId="6" applyNumberFormat="1" applyFont="1" applyFill="1" applyBorder="1" applyAlignment="1">
      <alignment horizontal="center"/>
    </xf>
    <xf numFmtId="169" fontId="24" fillId="5" borderId="16" xfId="1" applyNumberFormat="1" applyFont="1" applyFill="1" applyBorder="1" applyAlignment="1">
      <alignment horizontal="center" vertical="center"/>
    </xf>
    <xf numFmtId="164" fontId="114" fillId="0" borderId="11" xfId="1" applyFont="1" applyFill="1" applyBorder="1" applyAlignment="1">
      <alignment horizontal="left" vertical="center"/>
    </xf>
    <xf numFmtId="164" fontId="114" fillId="2" borderId="25" xfId="1" applyFont="1" applyFill="1" applyBorder="1" applyAlignment="1">
      <alignment horizontal="center" vertical="center"/>
    </xf>
    <xf numFmtId="39" fontId="141" fillId="3" borderId="10" xfId="4" applyNumberFormat="1" applyFont="1" applyFill="1" applyBorder="1" applyAlignment="1">
      <alignment horizontal="left" vertical="center"/>
    </xf>
    <xf numFmtId="0" fontId="43" fillId="0" borderId="16" xfId="86" applyFont="1" applyBorder="1" applyAlignment="1">
      <alignment horizontal="center" vertical="center"/>
    </xf>
    <xf numFmtId="0" fontId="43" fillId="0" borderId="17" xfId="86" applyFont="1" applyBorder="1" applyAlignment="1">
      <alignment horizontal="center" vertical="center"/>
    </xf>
    <xf numFmtId="164" fontId="43" fillId="0" borderId="16" xfId="87" applyFont="1" applyFill="1" applyBorder="1" applyAlignment="1">
      <alignment horizontal="center" vertical="center"/>
    </xf>
    <xf numFmtId="164" fontId="43" fillId="0" borderId="13" xfId="87" applyFont="1" applyFill="1" applyBorder="1" applyAlignment="1">
      <alignment horizontal="center" vertical="center"/>
    </xf>
    <xf numFmtId="164" fontId="31" fillId="0" borderId="4" xfId="87" applyFont="1" applyFill="1" applyBorder="1" applyAlignment="1">
      <alignment horizontal="center" vertical="center"/>
    </xf>
    <xf numFmtId="164" fontId="31" fillId="0" borderId="21" xfId="87" applyFont="1" applyFill="1" applyBorder="1" applyAlignment="1">
      <alignment horizontal="center" vertical="center"/>
    </xf>
    <xf numFmtId="176" fontId="24" fillId="0" borderId="13" xfId="0" applyNumberFormat="1" applyFont="1" applyBorder="1" applyAlignment="1">
      <alignment horizontal="center" vertical="center"/>
    </xf>
    <xf numFmtId="166" fontId="24" fillId="0" borderId="63" xfId="8" applyNumberFormat="1" applyFont="1" applyBorder="1" applyAlignment="1">
      <alignment horizontal="left" vertical="center"/>
    </xf>
    <xf numFmtId="169" fontId="24" fillId="0" borderId="13" xfId="9" applyNumberFormat="1" applyFont="1" applyFill="1" applyBorder="1" applyAlignment="1">
      <alignment horizontal="center" vertical="center"/>
    </xf>
    <xf numFmtId="164" fontId="24" fillId="0" borderId="13" xfId="9" applyNumberFormat="1" applyFont="1" applyFill="1" applyBorder="1" applyAlignment="1">
      <alignment horizontal="center"/>
    </xf>
    <xf numFmtId="164" fontId="24" fillId="0" borderId="0" xfId="1" applyFont="1" applyFill="1" applyBorder="1" applyAlignment="1">
      <alignment horizontal="center" vertical="center"/>
    </xf>
    <xf numFmtId="164" fontId="24" fillId="0" borderId="15" xfId="1" applyFont="1" applyFill="1" applyBorder="1" applyAlignment="1">
      <alignment horizontal="center" vertical="center"/>
    </xf>
    <xf numFmtId="164" fontId="24" fillId="0" borderId="90" xfId="1" applyFont="1" applyFill="1" applyBorder="1" applyAlignment="1">
      <alignment horizontal="center" vertical="center"/>
    </xf>
    <xf numFmtId="164" fontId="24" fillId="0" borderId="14" xfId="1" applyFont="1" applyFill="1" applyBorder="1" applyAlignment="1">
      <alignment horizontal="center" vertical="center"/>
    </xf>
    <xf numFmtId="166" fontId="24" fillId="0" borderId="0" xfId="0" applyNumberFormat="1" applyFont="1" applyBorder="1" applyAlignment="1">
      <alignment horizontal="left" vertical="center"/>
    </xf>
    <xf numFmtId="164" fontId="43" fillId="0" borderId="1" xfId="117" applyFont="1" applyFill="1" applyBorder="1" applyAlignment="1">
      <alignment horizontal="center" vertical="center"/>
    </xf>
    <xf numFmtId="164" fontId="43" fillId="0" borderId="18" xfId="117" applyFont="1" applyFill="1" applyBorder="1" applyAlignment="1">
      <alignment horizontal="center" vertical="center"/>
    </xf>
    <xf numFmtId="164" fontId="43" fillId="0" borderId="65" xfId="117" applyFont="1" applyFill="1" applyBorder="1" applyAlignment="1">
      <alignment horizontal="center" vertical="center"/>
    </xf>
    <xf numFmtId="164" fontId="43" fillId="0" borderId="17" xfId="117" applyFont="1" applyFill="1" applyBorder="1" applyAlignment="1">
      <alignment horizontal="left" vertical="center"/>
    </xf>
    <xf numFmtId="164" fontId="42" fillId="0" borderId="0" xfId="117" applyFont="1" applyFill="1" applyBorder="1" applyAlignment="1">
      <alignment horizontal="left" vertical="center"/>
    </xf>
    <xf numFmtId="164" fontId="43" fillId="0" borderId="1" xfId="118" applyFont="1" applyFill="1" applyBorder="1" applyAlignment="1">
      <alignment horizontal="center" vertical="center"/>
    </xf>
    <xf numFmtId="164" fontId="43" fillId="0" borderId="18" xfId="118" applyFont="1" applyFill="1" applyBorder="1" applyAlignment="1">
      <alignment horizontal="center" vertical="center"/>
    </xf>
    <xf numFmtId="164" fontId="43" fillId="0" borderId="65" xfId="118" applyFont="1" applyFill="1" applyBorder="1" applyAlignment="1">
      <alignment horizontal="center" vertical="center"/>
    </xf>
    <xf numFmtId="164" fontId="43" fillId="0" borderId="27" xfId="119" applyFont="1" applyFill="1" applyBorder="1" applyAlignment="1">
      <alignment horizontal="right" vertical="center"/>
    </xf>
    <xf numFmtId="164" fontId="43" fillId="0" borderId="61" xfId="119" applyFont="1" applyBorder="1" applyAlignment="1">
      <alignment horizontal="right" vertical="center"/>
    </xf>
    <xf numFmtId="0" fontId="43" fillId="0" borderId="10" xfId="120" applyFont="1" applyBorder="1" applyAlignment="1">
      <alignment vertical="center"/>
    </xf>
    <xf numFmtId="0" fontId="42" fillId="0" borderId="0" xfId="120" applyFont="1" applyAlignment="1">
      <alignment vertical="center"/>
    </xf>
    <xf numFmtId="164" fontId="43" fillId="0" borderId="61" xfId="119" applyFont="1" applyFill="1" applyBorder="1" applyAlignment="1">
      <alignment horizontal="right" vertical="center"/>
    </xf>
    <xf numFmtId="43" fontId="43" fillId="0" borderId="10" xfId="117" applyNumberFormat="1" applyFont="1" applyBorder="1" applyAlignment="1">
      <alignment horizontal="center" vertical="center"/>
    </xf>
    <xf numFmtId="164" fontId="43" fillId="0" borderId="18" xfId="117" applyFont="1" applyBorder="1" applyAlignment="1">
      <alignment horizontal="center" vertical="center"/>
    </xf>
    <xf numFmtId="164" fontId="43" fillId="0" borderId="68" xfId="117" applyFont="1" applyFill="1" applyBorder="1" applyAlignment="1">
      <alignment horizontal="center" vertical="center"/>
    </xf>
    <xf numFmtId="164" fontId="43" fillId="0" borderId="19" xfId="117" applyFont="1" applyBorder="1" applyAlignment="1">
      <alignment horizontal="center" vertical="center"/>
    </xf>
    <xf numFmtId="164" fontId="43" fillId="0" borderId="1" xfId="117" applyFont="1" applyBorder="1" applyAlignment="1">
      <alignment horizontal="center" vertical="center"/>
    </xf>
    <xf numFmtId="43" fontId="43" fillId="0" borderId="10" xfId="117" applyNumberFormat="1" applyFont="1" applyFill="1" applyBorder="1" applyAlignment="1">
      <alignment horizontal="center" vertical="center"/>
    </xf>
    <xf numFmtId="164" fontId="43" fillId="0" borderId="19" xfId="117" applyFont="1" applyFill="1" applyBorder="1" applyAlignment="1">
      <alignment horizontal="center" vertical="center"/>
    </xf>
    <xf numFmtId="43" fontId="43" fillId="0" borderId="17" xfId="117" applyNumberFormat="1" applyFont="1" applyFill="1" applyBorder="1" applyAlignment="1">
      <alignment horizontal="center" vertical="center"/>
    </xf>
    <xf numFmtId="166" fontId="43" fillId="11" borderId="1" xfId="86" applyNumberFormat="1" applyFont="1" applyFill="1" applyBorder="1" applyAlignment="1">
      <alignment horizontal="center" vertical="center"/>
    </xf>
    <xf numFmtId="0" fontId="43" fillId="11" borderId="1" xfId="86" applyFont="1" applyFill="1" applyBorder="1" applyAlignment="1">
      <alignment vertical="center"/>
    </xf>
    <xf numFmtId="0" fontId="43" fillId="11" borderId="1" xfId="86" applyFont="1" applyFill="1" applyBorder="1" applyAlignment="1">
      <alignment horizontal="center" vertical="center"/>
    </xf>
    <xf numFmtId="0" fontId="43" fillId="11" borderId="17" xfId="92" applyNumberFormat="1" applyFont="1" applyFill="1" applyBorder="1" applyAlignment="1">
      <alignment horizontal="center" vertical="center"/>
    </xf>
    <xf numFmtId="164" fontId="43" fillId="11" borderId="17" xfId="92" applyNumberFormat="1" applyFont="1" applyFill="1" applyBorder="1" applyAlignment="1">
      <alignment horizontal="center" vertical="center"/>
    </xf>
    <xf numFmtId="43" fontId="43" fillId="11" borderId="2" xfId="89" applyFont="1" applyFill="1" applyBorder="1" applyAlignment="1">
      <alignment vertical="center"/>
    </xf>
    <xf numFmtId="43" fontId="43" fillId="11" borderId="12" xfId="93" applyFont="1" applyFill="1" applyBorder="1" applyAlignment="1">
      <alignment vertical="center"/>
    </xf>
    <xf numFmtId="164" fontId="43" fillId="11" borderId="27" xfId="94" applyNumberFormat="1" applyFont="1" applyFill="1" applyBorder="1" applyAlignment="1">
      <alignment vertical="center"/>
    </xf>
    <xf numFmtId="164" fontId="43" fillId="0" borderId="66" xfId="117" applyFont="1" applyFill="1" applyBorder="1" applyAlignment="1">
      <alignment horizontal="center" vertical="center"/>
    </xf>
    <xf numFmtId="164" fontId="43" fillId="0" borderId="12" xfId="117" applyFont="1" applyBorder="1" applyAlignment="1">
      <alignment horizontal="center" vertical="center"/>
    </xf>
    <xf numFmtId="164" fontId="43" fillId="0" borderId="61" xfId="117" applyFont="1" applyFill="1" applyBorder="1" applyAlignment="1">
      <alignment horizontal="center" vertical="center"/>
    </xf>
    <xf numFmtId="164" fontId="43" fillId="0" borderId="2" xfId="117" applyFont="1" applyBorder="1" applyAlignment="1">
      <alignment horizontal="center" vertical="center"/>
    </xf>
    <xf numFmtId="164" fontId="43" fillId="0" borderId="11" xfId="117" applyFont="1" applyBorder="1" applyAlignment="1">
      <alignment horizontal="center" vertical="center"/>
    </xf>
    <xf numFmtId="164" fontId="43" fillId="0" borderId="1" xfId="119" applyFont="1" applyBorder="1" applyAlignment="1">
      <alignment horizontal="right" vertical="center"/>
    </xf>
    <xf numFmtId="164" fontId="43" fillId="0" borderId="65" xfId="119" applyFont="1" applyBorder="1" applyAlignment="1">
      <alignment horizontal="right" vertical="center"/>
    </xf>
    <xf numFmtId="0" fontId="43" fillId="0" borderId="17" xfId="120" applyFont="1" applyBorder="1" applyAlignment="1">
      <alignment vertical="center"/>
    </xf>
    <xf numFmtId="164" fontId="43" fillId="0" borderId="27" xfId="119" applyFont="1" applyBorder="1" applyAlignment="1">
      <alignment horizontal="right" vertical="center"/>
    </xf>
    <xf numFmtId="0" fontId="46" fillId="0" borderId="2" xfId="86" applyFont="1" applyFill="1" applyBorder="1" applyAlignment="1">
      <alignment horizontal="left" vertical="center"/>
    </xf>
    <xf numFmtId="0" fontId="43" fillId="0" borderId="2" xfId="86" applyFont="1" applyFill="1" applyBorder="1" applyAlignment="1">
      <alignment horizontal="left" vertical="center"/>
    </xf>
    <xf numFmtId="0" fontId="43" fillId="0" borderId="10" xfId="86" applyFont="1" applyFill="1" applyBorder="1" applyAlignment="1">
      <alignment horizontal="center" vertical="center"/>
    </xf>
    <xf numFmtId="0" fontId="43" fillId="0" borderId="10" xfId="86" applyFont="1" applyFill="1" applyBorder="1" applyAlignment="1">
      <alignment horizontal="left" vertical="center"/>
    </xf>
    <xf numFmtId="0" fontId="150" fillId="0" borderId="2" xfId="86" applyFont="1" applyFill="1" applyBorder="1" applyAlignment="1">
      <alignment horizontal="center" vertical="center"/>
    </xf>
    <xf numFmtId="0" fontId="150" fillId="0" borderId="66" xfId="86" applyFont="1" applyFill="1" applyBorder="1" applyAlignment="1">
      <alignment vertical="center"/>
    </xf>
    <xf numFmtId="0" fontId="150" fillId="0" borderId="67" xfId="86" applyFont="1" applyFill="1" applyBorder="1" applyAlignment="1">
      <alignment vertical="center"/>
    </xf>
    <xf numFmtId="0" fontId="150" fillId="0" borderId="10" xfId="86" applyFont="1" applyFill="1" applyBorder="1" applyAlignment="1">
      <alignment horizontal="center" vertical="center"/>
    </xf>
    <xf numFmtId="0" fontId="150" fillId="0" borderId="2" xfId="86" applyFont="1" applyFill="1" applyBorder="1" applyAlignment="1">
      <alignment horizontal="left" vertical="center"/>
    </xf>
    <xf numFmtId="0" fontId="150" fillId="0" borderId="2" xfId="86" applyFont="1" applyFill="1" applyBorder="1" applyAlignment="1">
      <alignment vertical="center"/>
    </xf>
    <xf numFmtId="0" fontId="43" fillId="0" borderId="66" xfId="86" applyFont="1" applyFill="1" applyBorder="1" applyAlignment="1">
      <alignment vertical="center"/>
    </xf>
    <xf numFmtId="0" fontId="43" fillId="0" borderId="2" xfId="86" applyFont="1" applyFill="1" applyBorder="1" applyAlignment="1">
      <alignment horizontal="center" vertical="center"/>
    </xf>
    <xf numFmtId="43" fontId="47" fillId="0" borderId="2" xfId="89" applyFont="1" applyFill="1" applyBorder="1" applyAlignment="1">
      <alignment vertical="center"/>
    </xf>
    <xf numFmtId="0" fontId="43" fillId="0" borderId="27" xfId="86" applyFont="1" applyFill="1" applyBorder="1" applyAlignment="1">
      <alignment vertical="center"/>
    </xf>
    <xf numFmtId="0" fontId="43" fillId="0" borderId="2" xfId="98" applyFont="1" applyFill="1" applyBorder="1" applyAlignment="1">
      <alignment vertical="center"/>
    </xf>
    <xf numFmtId="0" fontId="43" fillId="0" borderId="10" xfId="86" applyFont="1" applyFill="1" applyBorder="1" applyAlignment="1">
      <alignment vertical="center"/>
    </xf>
    <xf numFmtId="0" fontId="43" fillId="0" borderId="11" xfId="86" applyFont="1" applyFill="1" applyBorder="1" applyAlignment="1">
      <alignment vertical="center"/>
    </xf>
    <xf numFmtId="164" fontId="42" fillId="0" borderId="2" xfId="87" applyFont="1" applyFill="1" applyBorder="1" applyAlignment="1">
      <alignment horizontal="center" vertical="center"/>
    </xf>
    <xf numFmtId="164" fontId="42" fillId="0" borderId="12" xfId="87" applyFont="1" applyFill="1" applyBorder="1" applyAlignment="1">
      <alignment horizontal="center" vertical="center"/>
    </xf>
    <xf numFmtId="164" fontId="42" fillId="0" borderId="61" xfId="87" applyFont="1" applyFill="1" applyBorder="1" applyAlignment="1">
      <alignment horizontal="center" vertical="center"/>
    </xf>
    <xf numFmtId="39" fontId="93" fillId="0" borderId="0" xfId="0" applyNumberFormat="1" applyFont="1"/>
    <xf numFmtId="164" fontId="93" fillId="0" borderId="0" xfId="0" applyNumberFormat="1" applyFont="1" applyAlignment="1">
      <alignment horizontal="center"/>
    </xf>
    <xf numFmtId="176" fontId="156" fillId="0" borderId="10" xfId="0" applyNumberFormat="1" applyFont="1" applyBorder="1" applyAlignment="1">
      <alignment horizontal="center" vertical="center"/>
    </xf>
    <xf numFmtId="164" fontId="103" fillId="0" borderId="28" xfId="1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0" fontId="93" fillId="0" borderId="61" xfId="0" applyFont="1" applyBorder="1"/>
    <xf numFmtId="176" fontId="24" fillId="5" borderId="13" xfId="0" applyNumberFormat="1" applyFont="1" applyFill="1" applyBorder="1" applyAlignment="1">
      <alignment horizontal="center" vertical="center"/>
    </xf>
    <xf numFmtId="169" fontId="24" fillId="0" borderId="13" xfId="9" applyNumberFormat="1" applyFont="1" applyBorder="1" applyAlignment="1">
      <alignment horizontal="center" vertical="center"/>
    </xf>
    <xf numFmtId="164" fontId="24" fillId="0" borderId="13" xfId="9" applyNumberFormat="1" applyFont="1" applyBorder="1" applyAlignment="1">
      <alignment horizontal="center"/>
    </xf>
    <xf numFmtId="164" fontId="24" fillId="0" borderId="0" xfId="1" applyFont="1" applyBorder="1" applyAlignment="1">
      <alignment horizontal="center" vertical="center"/>
    </xf>
    <xf numFmtId="164" fontId="24" fillId="0" borderId="15" xfId="1" applyFont="1" applyBorder="1" applyAlignment="1">
      <alignment horizontal="center" vertical="center"/>
    </xf>
    <xf numFmtId="164" fontId="24" fillId="0" borderId="90" xfId="1" applyFont="1" applyBorder="1" applyAlignment="1">
      <alignment horizontal="center" vertical="center"/>
    </xf>
    <xf numFmtId="164" fontId="24" fillId="0" borderId="14" xfId="1" applyFont="1" applyBorder="1" applyAlignment="1">
      <alignment horizontal="center" vertical="center"/>
    </xf>
    <xf numFmtId="164" fontId="92" fillId="0" borderId="14" xfId="1" applyFont="1" applyBorder="1" applyAlignment="1">
      <alignment horizontal="center" vertical="center"/>
    </xf>
    <xf numFmtId="164" fontId="24" fillId="0" borderId="14" xfId="9" applyNumberFormat="1" applyFont="1" applyBorder="1" applyAlignment="1">
      <alignment horizontal="center"/>
    </xf>
    <xf numFmtId="164" fontId="28" fillId="0" borderId="4" xfId="1" applyFont="1" applyFill="1" applyBorder="1" applyAlignment="1">
      <alignment horizontal="center" vertical="center"/>
    </xf>
    <xf numFmtId="164" fontId="28" fillId="0" borderId="21" xfId="1" applyFont="1" applyFill="1" applyBorder="1" applyAlignment="1">
      <alignment horizontal="center" vertical="center"/>
    </xf>
    <xf numFmtId="164" fontId="28" fillId="0" borderId="25" xfId="1" applyFont="1" applyFill="1" applyBorder="1" applyAlignment="1">
      <alignment horizontal="center" vertical="center"/>
    </xf>
    <xf numFmtId="164" fontId="29" fillId="0" borderId="25" xfId="1" applyFont="1" applyFill="1" applyBorder="1" applyAlignment="1">
      <alignment horizontal="center" vertical="center"/>
    </xf>
    <xf numFmtId="164" fontId="29" fillId="0" borderId="4" xfId="1" applyFont="1" applyFill="1" applyBorder="1" applyAlignment="1">
      <alignment horizontal="center" vertical="center"/>
    </xf>
    <xf numFmtId="164" fontId="29" fillId="0" borderId="21" xfId="1" applyFont="1" applyFill="1" applyBorder="1" applyAlignment="1">
      <alignment horizontal="center" vertical="center"/>
    </xf>
    <xf numFmtId="0" fontId="24" fillId="5" borderId="0" xfId="0" applyFont="1" applyFill="1" applyAlignment="1">
      <alignment vertical="center"/>
    </xf>
    <xf numFmtId="169" fontId="95" fillId="2" borderId="9" xfId="4" applyNumberFormat="1" applyFont="1" applyFill="1" applyBorder="1" applyAlignment="1">
      <alignment horizontal="center" vertical="center"/>
    </xf>
    <xf numFmtId="169" fontId="24" fillId="0" borderId="19" xfId="4" applyNumberFormat="1" applyFont="1" applyBorder="1" applyAlignment="1">
      <alignment horizontal="center" vertical="center"/>
    </xf>
    <xf numFmtId="169" fontId="103" fillId="0" borderId="11" xfId="4" applyNumberFormat="1" applyFont="1" applyFill="1" applyBorder="1" applyAlignment="1">
      <alignment horizontal="center" vertical="center"/>
    </xf>
    <xf numFmtId="169" fontId="24" fillId="0" borderId="11" xfId="4" applyNumberFormat="1" applyFont="1" applyFill="1" applyBorder="1" applyAlignment="1">
      <alignment horizontal="center" vertical="center"/>
    </xf>
    <xf numFmtId="169" fontId="24" fillId="0" borderId="11" xfId="4" applyNumberFormat="1" applyFont="1" applyBorder="1" applyAlignment="1">
      <alignment horizontal="center" vertical="center"/>
    </xf>
    <xf numFmtId="169" fontId="24" fillId="0" borderId="38" xfId="4" applyNumberFormat="1" applyFont="1" applyBorder="1" applyAlignment="1">
      <alignment horizontal="center" vertical="center"/>
    </xf>
    <xf numFmtId="169" fontId="24" fillId="0" borderId="11" xfId="9" applyNumberFormat="1" applyFont="1" applyBorder="1" applyAlignment="1">
      <alignment horizontal="right" vertical="center"/>
    </xf>
    <xf numFmtId="169" fontId="24" fillId="0" borderId="19" xfId="9" applyNumberFormat="1" applyFont="1" applyBorder="1" applyAlignment="1">
      <alignment horizontal="center" vertical="center"/>
    </xf>
    <xf numFmtId="169" fontId="24" fillId="0" borderId="11" xfId="9" applyNumberFormat="1" applyFont="1" applyFill="1" applyBorder="1" applyAlignment="1">
      <alignment horizontal="center" vertical="center"/>
    </xf>
    <xf numFmtId="169" fontId="24" fillId="0" borderId="19" xfId="9" applyNumberFormat="1" applyFont="1" applyFill="1" applyBorder="1" applyAlignment="1">
      <alignment horizontal="center" vertical="center"/>
    </xf>
    <xf numFmtId="169" fontId="113" fillId="0" borderId="11" xfId="9" applyNumberFormat="1" applyFont="1" applyFill="1" applyBorder="1" applyAlignment="1">
      <alignment horizontal="center" vertical="center"/>
    </xf>
    <xf numFmtId="171" fontId="95" fillId="2" borderId="9" xfId="4" applyNumberFormat="1" applyFont="1" applyFill="1" applyBorder="1" applyAlignment="1">
      <alignment horizontal="center" vertical="center"/>
    </xf>
    <xf numFmtId="166" fontId="83" fillId="0" borderId="30" xfId="0" applyNumberFormat="1" applyFont="1" applyBorder="1" applyAlignment="1">
      <alignment vertical="center"/>
    </xf>
    <xf numFmtId="0" fontId="24" fillId="5" borderId="19" xfId="8" applyFont="1" applyFill="1" applyBorder="1" applyAlignment="1">
      <alignment horizontal="left" vertical="center"/>
    </xf>
    <xf numFmtId="0" fontId="103" fillId="0" borderId="11" xfId="8" applyFont="1" applyBorder="1" applyAlignment="1">
      <alignment horizontal="left" vertical="center"/>
    </xf>
    <xf numFmtId="0" fontId="24" fillId="5" borderId="38" xfId="8" applyFont="1" applyFill="1" applyBorder="1" applyAlignment="1">
      <alignment horizontal="left" vertical="center"/>
    </xf>
    <xf numFmtId="0" fontId="24" fillId="0" borderId="2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39" fontId="24" fillId="3" borderId="19" xfId="4" applyNumberFormat="1" applyFont="1" applyFill="1" applyBorder="1" applyAlignment="1">
      <alignment horizontal="right" vertical="center"/>
    </xf>
    <xf numFmtId="164" fontId="86" fillId="0" borderId="82" xfId="1" applyFont="1" applyFill="1" applyBorder="1" applyAlignment="1">
      <alignment horizontal="center" vertical="center"/>
    </xf>
    <xf numFmtId="164" fontId="24" fillId="0" borderId="68" xfId="1" applyFont="1" applyBorder="1" applyAlignment="1">
      <alignment horizontal="center" vertical="center"/>
    </xf>
    <xf numFmtId="164" fontId="113" fillId="0" borderId="61" xfId="1" applyFont="1" applyFill="1" applyBorder="1" applyAlignment="1">
      <alignment horizontal="center" vertical="center"/>
    </xf>
    <xf numFmtId="164" fontId="86" fillId="0" borderId="75" xfId="1" applyFont="1" applyFill="1" applyBorder="1" applyAlignment="1">
      <alignment horizontal="center" vertical="center"/>
    </xf>
    <xf numFmtId="164" fontId="92" fillId="0" borderId="19" xfId="1" applyFont="1" applyFill="1" applyBorder="1" applyAlignment="1">
      <alignment horizontal="left" vertical="center"/>
    </xf>
    <xf numFmtId="164" fontId="103" fillId="0" borderId="11" xfId="1" applyFont="1" applyFill="1" applyBorder="1" applyAlignment="1">
      <alignment horizontal="left" vertical="center"/>
    </xf>
    <xf numFmtId="39" fontId="141" fillId="3" borderId="11" xfId="4" applyNumberFormat="1" applyFont="1" applyFill="1" applyBorder="1" applyAlignment="1">
      <alignment horizontal="center" vertical="center"/>
    </xf>
    <xf numFmtId="39" fontId="141" fillId="3" borderId="11" xfId="4" applyNumberFormat="1" applyFont="1" applyFill="1" applyBorder="1" applyAlignment="1">
      <alignment horizontal="right" vertical="center"/>
    </xf>
    <xf numFmtId="0" fontId="104" fillId="0" borderId="13" xfId="0" applyFont="1" applyBorder="1"/>
    <xf numFmtId="166" fontId="83" fillId="0" borderId="39" xfId="0" applyNumberFormat="1" applyFont="1" applyBorder="1" applyAlignment="1">
      <alignment vertical="center"/>
    </xf>
    <xf numFmtId="0" fontId="84" fillId="0" borderId="37" xfId="0" applyFont="1" applyBorder="1" applyAlignment="1">
      <alignment vertical="center"/>
    </xf>
    <xf numFmtId="0" fontId="83" fillId="0" borderId="36" xfId="0" quotePrefix="1" applyFont="1" applyBorder="1" applyAlignment="1">
      <alignment horizontal="center" vertical="center" wrapText="1"/>
    </xf>
    <xf numFmtId="0" fontId="64" fillId="0" borderId="30" xfId="0" applyFont="1" applyBorder="1" applyAlignment="1">
      <alignment horizontal="left" vertical="center"/>
    </xf>
    <xf numFmtId="0" fontId="64" fillId="0" borderId="1" xfId="0" applyFont="1" applyBorder="1" applyAlignment="1">
      <alignment horizontal="left" vertical="center"/>
    </xf>
    <xf numFmtId="0" fontId="64" fillId="0" borderId="39" xfId="0" applyFont="1" applyBorder="1" applyAlignment="1">
      <alignment horizontal="left" vertical="center"/>
    </xf>
    <xf numFmtId="0" fontId="64" fillId="0" borderId="37" xfId="0" applyFont="1" applyBorder="1" applyAlignment="1">
      <alignment horizontal="left" vertical="center"/>
    </xf>
    <xf numFmtId="0" fontId="58" fillId="0" borderId="22" xfId="0" applyFont="1" applyBorder="1" applyAlignment="1">
      <alignment horizontal="center"/>
    </xf>
    <xf numFmtId="0" fontId="58" fillId="0" borderId="24" xfId="0" applyFont="1" applyBorder="1" applyAlignment="1">
      <alignment horizontal="center"/>
    </xf>
    <xf numFmtId="0" fontId="36" fillId="0" borderId="0" xfId="0" applyFont="1" applyAlignment="1">
      <alignment horizontal="center" vertical="center"/>
    </xf>
    <xf numFmtId="3" fontId="30" fillId="0" borderId="3" xfId="0" applyNumberFormat="1" applyFont="1" applyBorder="1" applyAlignment="1">
      <alignment horizontal="center"/>
    </xf>
    <xf numFmtId="3" fontId="30" fillId="0" borderId="0" xfId="0" applyNumberFormat="1" applyFont="1" applyAlignment="1">
      <alignment horizontal="center"/>
    </xf>
    <xf numFmtId="0" fontId="58" fillId="0" borderId="4" xfId="0" applyFont="1" applyBorder="1" applyAlignment="1">
      <alignment horizontal="center" vertical="center"/>
    </xf>
    <xf numFmtId="0" fontId="58" fillId="0" borderId="21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/>
    </xf>
    <xf numFmtId="0" fontId="58" fillId="0" borderId="6" xfId="0" applyFont="1" applyBorder="1" applyAlignment="1">
      <alignment horizontal="center" vertical="center"/>
    </xf>
    <xf numFmtId="0" fontId="58" fillId="0" borderId="7" xfId="0" applyFont="1" applyBorder="1" applyAlignment="1">
      <alignment horizontal="center" vertical="center"/>
    </xf>
    <xf numFmtId="0" fontId="58" fillId="0" borderId="22" xfId="0" applyFont="1" applyBorder="1" applyAlignment="1">
      <alignment horizontal="center" vertical="center"/>
    </xf>
    <xf numFmtId="0" fontId="58" fillId="0" borderId="23" xfId="0" applyFont="1" applyBorder="1" applyAlignment="1">
      <alignment horizontal="center" vertical="center"/>
    </xf>
    <xf numFmtId="0" fontId="58" fillId="0" borderId="24" xfId="0" applyFont="1" applyBorder="1" applyAlignment="1">
      <alignment horizontal="center" vertical="center"/>
    </xf>
    <xf numFmtId="3" fontId="58" fillId="0" borderId="4" xfId="0" applyNumberFormat="1" applyFont="1" applyBorder="1" applyAlignment="1">
      <alignment horizontal="center" vertical="center"/>
    </xf>
    <xf numFmtId="3" fontId="58" fillId="0" borderId="21" xfId="0" applyNumberFormat="1" applyFont="1" applyBorder="1" applyAlignment="1">
      <alignment horizontal="center" vertical="center"/>
    </xf>
    <xf numFmtId="0" fontId="64" fillId="0" borderId="30" xfId="0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4" fillId="0" borderId="19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/>
    </xf>
    <xf numFmtId="0" fontId="41" fillId="0" borderId="23" xfId="0" applyFont="1" applyBorder="1" applyAlignment="1">
      <alignment horizontal="center" vertical="center"/>
    </xf>
    <xf numFmtId="0" fontId="41" fillId="0" borderId="24" xfId="0" applyFont="1" applyBorder="1" applyAlignment="1">
      <alignment horizontal="center" vertical="center"/>
    </xf>
    <xf numFmtId="3" fontId="30" fillId="0" borderId="3" xfId="0" applyNumberFormat="1" applyFont="1" applyBorder="1" applyAlignment="1">
      <alignment horizontal="center" vertical="center"/>
    </xf>
    <xf numFmtId="3" fontId="30" fillId="0" borderId="0" xfId="0" applyNumberFormat="1" applyFont="1" applyAlignment="1">
      <alignment horizontal="center" vertical="center"/>
    </xf>
    <xf numFmtId="0" fontId="48" fillId="2" borderId="26" xfId="0" applyFont="1" applyFill="1" applyBorder="1" applyAlignment="1">
      <alignment horizontal="center" vertical="center"/>
    </xf>
    <xf numFmtId="0" fontId="30" fillId="0" borderId="3" xfId="1" applyNumberFormat="1" applyFont="1" applyBorder="1" applyAlignment="1"/>
    <xf numFmtId="0" fontId="30" fillId="0" borderId="0" xfId="1" applyNumberFormat="1" applyFont="1" applyBorder="1" applyAlignment="1"/>
    <xf numFmtId="0" fontId="28" fillId="0" borderId="4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164" fontId="28" fillId="0" borderId="4" xfId="1" applyFont="1" applyFill="1" applyBorder="1" applyAlignment="1">
      <alignment horizontal="center" vertical="center" wrapText="1"/>
    </xf>
    <xf numFmtId="164" fontId="28" fillId="0" borderId="21" xfId="1" applyFont="1" applyFill="1" applyBorder="1" applyAlignment="1">
      <alignment horizontal="center" vertical="center" wrapText="1"/>
    </xf>
    <xf numFmtId="164" fontId="28" fillId="0" borderId="8" xfId="1" applyFont="1" applyFill="1" applyBorder="1" applyAlignment="1">
      <alignment horizontal="center" vertical="center"/>
    </xf>
    <xf numFmtId="164" fontId="28" fillId="0" borderId="9" xfId="1" applyFont="1" applyFill="1" applyBorder="1" applyAlignment="1">
      <alignment horizontal="center" vertical="center"/>
    </xf>
    <xf numFmtId="164" fontId="28" fillId="0" borderId="4" xfId="1" applyFont="1" applyFill="1" applyBorder="1" applyAlignment="1">
      <alignment horizontal="center" vertical="center"/>
    </xf>
    <xf numFmtId="164" fontId="28" fillId="0" borderId="21" xfId="1" applyFont="1" applyFill="1" applyBorder="1" applyAlignment="1">
      <alignment horizontal="center" vertical="center"/>
    </xf>
    <xf numFmtId="0" fontId="46" fillId="2" borderId="26" xfId="5" applyFont="1" applyFill="1" applyBorder="1" applyAlignment="1">
      <alignment horizontal="center" vertical="center"/>
    </xf>
    <xf numFmtId="0" fontId="43" fillId="0" borderId="16" xfId="86" applyFont="1" applyBorder="1" applyAlignment="1">
      <alignment horizontal="center" vertical="center"/>
    </xf>
    <xf numFmtId="0" fontId="43" fillId="0" borderId="17" xfId="86" applyFont="1" applyBorder="1" applyAlignment="1">
      <alignment horizontal="center" vertical="center"/>
    </xf>
    <xf numFmtId="164" fontId="43" fillId="0" borderId="16" xfId="87" applyFont="1" applyFill="1" applyBorder="1" applyAlignment="1">
      <alignment horizontal="center" vertical="center"/>
    </xf>
    <xf numFmtId="164" fontId="43" fillId="0" borderId="13" xfId="87" applyFont="1" applyFill="1" applyBorder="1" applyAlignment="1">
      <alignment horizontal="center" vertical="center"/>
    </xf>
    <xf numFmtId="0" fontId="46" fillId="2" borderId="26" xfId="90" applyFont="1" applyFill="1" applyBorder="1" applyAlignment="1">
      <alignment horizontal="center" vertical="center"/>
    </xf>
    <xf numFmtId="0" fontId="46" fillId="2" borderId="8" xfId="90" applyFont="1" applyFill="1" applyBorder="1" applyAlignment="1">
      <alignment horizontal="center" vertical="center"/>
    </xf>
    <xf numFmtId="0" fontId="46" fillId="2" borderId="9" xfId="90" applyFont="1" applyFill="1" applyBorder="1" applyAlignment="1">
      <alignment horizontal="center" vertical="center"/>
    </xf>
    <xf numFmtId="0" fontId="31" fillId="0" borderId="3" xfId="87" applyNumberFormat="1" applyFont="1" applyBorder="1" applyAlignment="1">
      <alignment vertical="center"/>
    </xf>
    <xf numFmtId="0" fontId="31" fillId="0" borderId="0" xfId="87" applyNumberFormat="1" applyFont="1" applyBorder="1" applyAlignment="1">
      <alignment vertical="center"/>
    </xf>
    <xf numFmtId="0" fontId="31" fillId="0" borderId="4" xfId="86" applyFont="1" applyBorder="1" applyAlignment="1">
      <alignment horizontal="center" vertical="center" wrapText="1"/>
    </xf>
    <xf numFmtId="0" fontId="31" fillId="0" borderId="21" xfId="86" applyFont="1" applyBorder="1" applyAlignment="1">
      <alignment horizontal="center" vertical="center" wrapText="1"/>
    </xf>
    <xf numFmtId="0" fontId="31" fillId="0" borderId="5" xfId="86" applyFont="1" applyBorder="1" applyAlignment="1">
      <alignment horizontal="center" vertical="center" wrapText="1"/>
    </xf>
    <xf numFmtId="0" fontId="31" fillId="0" borderId="6" xfId="86" applyFont="1" applyBorder="1" applyAlignment="1">
      <alignment horizontal="center" vertical="center" wrapText="1"/>
    </xf>
    <xf numFmtId="0" fontId="31" fillId="0" borderId="7" xfId="86" applyFont="1" applyBorder="1" applyAlignment="1">
      <alignment horizontal="center" vertical="center" wrapText="1"/>
    </xf>
    <xf numFmtId="0" fontId="31" fillId="0" borderId="22" xfId="86" applyFont="1" applyBorder="1" applyAlignment="1">
      <alignment horizontal="center" vertical="center" wrapText="1"/>
    </xf>
    <xf numFmtId="0" fontId="31" fillId="0" borderId="23" xfId="86" applyFont="1" applyBorder="1" applyAlignment="1">
      <alignment horizontal="center" vertical="center" wrapText="1"/>
    </xf>
    <xf numFmtId="0" fontId="31" fillId="0" borderId="24" xfId="86" applyFont="1" applyBorder="1" applyAlignment="1">
      <alignment horizontal="center" vertical="center" wrapText="1"/>
    </xf>
    <xf numFmtId="164" fontId="31" fillId="0" borderId="4" xfId="87" applyFont="1" applyFill="1" applyBorder="1" applyAlignment="1">
      <alignment horizontal="center" vertical="center" wrapText="1"/>
    </xf>
    <xf numFmtId="164" fontId="31" fillId="0" borderId="21" xfId="87" applyFont="1" applyFill="1" applyBorder="1" applyAlignment="1">
      <alignment horizontal="center" vertical="center" wrapText="1"/>
    </xf>
    <xf numFmtId="164" fontId="31" fillId="0" borderId="8" xfId="87" applyFont="1" applyFill="1" applyBorder="1" applyAlignment="1">
      <alignment horizontal="center" vertical="center"/>
    </xf>
    <xf numFmtId="164" fontId="31" fillId="0" borderId="9" xfId="87" applyFont="1" applyFill="1" applyBorder="1" applyAlignment="1">
      <alignment horizontal="center" vertical="center"/>
    </xf>
    <xf numFmtId="164" fontId="31" fillId="0" borderId="4" xfId="87" applyFont="1" applyFill="1" applyBorder="1" applyAlignment="1">
      <alignment horizontal="center" vertical="center"/>
    </xf>
    <xf numFmtId="164" fontId="31" fillId="0" borderId="21" xfId="87" applyFont="1" applyFill="1" applyBorder="1" applyAlignment="1">
      <alignment horizontal="center" vertical="center"/>
    </xf>
    <xf numFmtId="0" fontId="83" fillId="2" borderId="26" xfId="5" applyFont="1" applyFill="1" applyBorder="1" applyAlignment="1">
      <alignment horizontal="center" vertical="center"/>
    </xf>
    <xf numFmtId="0" fontId="82" fillId="0" borderId="3" xfId="1" applyNumberFormat="1" applyFont="1" applyBorder="1" applyAlignment="1"/>
    <xf numFmtId="0" fontId="82" fillId="0" borderId="0" xfId="1" applyNumberFormat="1" applyFont="1" applyBorder="1" applyAlignment="1"/>
    <xf numFmtId="164" fontId="82" fillId="0" borderId="4" xfId="1" applyFont="1" applyFill="1" applyBorder="1" applyAlignment="1">
      <alignment horizontal="center" vertical="center"/>
    </xf>
    <xf numFmtId="164" fontId="82" fillId="0" borderId="21" xfId="1" applyFont="1" applyFill="1" applyBorder="1" applyAlignment="1">
      <alignment horizontal="center" vertical="center"/>
    </xf>
    <xf numFmtId="164" fontId="29" fillId="0" borderId="8" xfId="1" applyFont="1" applyFill="1" applyBorder="1" applyAlignment="1">
      <alignment horizontal="center" vertical="center"/>
    </xf>
    <xf numFmtId="164" fontId="29" fillId="0" borderId="9" xfId="1" applyFont="1" applyFill="1" applyBorder="1" applyAlignment="1">
      <alignment horizontal="center" vertical="center"/>
    </xf>
    <xf numFmtId="0" fontId="95" fillId="2" borderId="8" xfId="5" applyFont="1" applyFill="1" applyBorder="1" applyAlignment="1">
      <alignment horizontal="center" vertical="center"/>
    </xf>
    <xf numFmtId="0" fontId="95" fillId="2" borderId="26" xfId="5" applyFont="1" applyFill="1" applyBorder="1" applyAlignment="1">
      <alignment horizontal="center" vertical="center"/>
    </xf>
    <xf numFmtId="0" fontId="95" fillId="2" borderId="9" xfId="5" applyFont="1" applyFill="1" applyBorder="1" applyAlignment="1">
      <alignment horizontal="center" vertical="center"/>
    </xf>
    <xf numFmtId="164" fontId="28" fillId="0" borderId="7" xfId="1" applyFont="1" applyFill="1" applyBorder="1" applyAlignment="1">
      <alignment horizontal="center" vertical="center" wrapText="1"/>
    </xf>
    <xf numFmtId="164" fontId="28" fillId="0" borderId="24" xfId="1" applyFont="1" applyFill="1" applyBorder="1" applyAlignment="1">
      <alignment horizontal="center" vertical="center" wrapText="1"/>
    </xf>
    <xf numFmtId="164" fontId="31" fillId="0" borderId="4" xfId="1" applyFont="1" applyFill="1" applyBorder="1" applyAlignment="1">
      <alignment horizontal="center" vertical="center"/>
    </xf>
    <xf numFmtId="164" fontId="31" fillId="0" borderId="21" xfId="1" applyFont="1" applyFill="1" applyBorder="1" applyAlignment="1">
      <alignment horizontal="center" vertical="center"/>
    </xf>
    <xf numFmtId="164" fontId="31" fillId="0" borderId="7" xfId="1" applyFont="1" applyFill="1" applyBorder="1" applyAlignment="1">
      <alignment horizontal="center" vertical="center"/>
    </xf>
    <xf numFmtId="164" fontId="31" fillId="0" borderId="24" xfId="1" applyFont="1" applyFill="1" applyBorder="1" applyAlignment="1">
      <alignment horizontal="center" vertical="center"/>
    </xf>
    <xf numFmtId="0" fontId="117" fillId="0" borderId="3" xfId="1" applyNumberFormat="1" applyFont="1" applyBorder="1" applyAlignment="1"/>
    <xf numFmtId="0" fontId="117" fillId="0" borderId="0" xfId="1" applyNumberFormat="1" applyFont="1" applyBorder="1" applyAlignment="1"/>
    <xf numFmtId="0" fontId="30" fillId="0" borderId="23" xfId="1" applyNumberFormat="1" applyFont="1" applyBorder="1" applyAlignment="1"/>
    <xf numFmtId="164" fontId="28" fillId="0" borderId="5" xfId="1" applyFont="1" applyFill="1" applyBorder="1" applyAlignment="1">
      <alignment horizontal="center" vertical="center" wrapText="1"/>
    </xf>
    <xf numFmtId="164" fontId="28" fillId="0" borderId="22" xfId="1" applyFont="1" applyFill="1" applyBorder="1" applyAlignment="1">
      <alignment horizontal="center" vertical="center" wrapText="1"/>
    </xf>
    <xf numFmtId="164" fontId="28" fillId="0" borderId="64" xfId="1" applyFont="1" applyFill="1" applyBorder="1" applyAlignment="1">
      <alignment horizontal="center" vertical="center"/>
    </xf>
    <xf numFmtId="164" fontId="28" fillId="0" borderId="25" xfId="1" applyFont="1" applyFill="1" applyBorder="1" applyAlignment="1">
      <alignment horizontal="center" vertical="center"/>
    </xf>
    <xf numFmtId="164" fontId="28" fillId="0" borderId="26" xfId="1" applyFont="1" applyFill="1" applyBorder="1" applyAlignment="1">
      <alignment horizontal="center" vertical="center"/>
    </xf>
    <xf numFmtId="0" fontId="30" fillId="0" borderId="3" xfId="1" applyNumberFormat="1" applyFont="1" applyFill="1" applyBorder="1" applyAlignment="1"/>
    <xf numFmtId="0" fontId="30" fillId="0" borderId="0" xfId="1" applyNumberFormat="1" applyFont="1" applyFill="1" applyBorder="1" applyAlignment="1"/>
    <xf numFmtId="0" fontId="29" fillId="0" borderId="4" xfId="0" applyFont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164" fontId="29" fillId="0" borderId="4" xfId="1" applyFont="1" applyFill="1" applyBorder="1" applyAlignment="1">
      <alignment horizontal="center" vertical="center" wrapText="1"/>
    </xf>
    <xf numFmtId="164" fontId="29" fillId="0" borderId="21" xfId="1" applyFont="1" applyFill="1" applyBorder="1" applyAlignment="1">
      <alignment horizontal="center" vertical="center" wrapText="1"/>
    </xf>
    <xf numFmtId="164" fontId="29" fillId="0" borderId="5" xfId="1" applyFont="1" applyFill="1" applyBorder="1" applyAlignment="1">
      <alignment horizontal="center" vertical="center" wrapText="1"/>
    </xf>
    <xf numFmtId="164" fontId="29" fillId="0" borderId="22" xfId="1" applyFont="1" applyFill="1" applyBorder="1" applyAlignment="1">
      <alignment horizontal="center" vertical="center" wrapText="1"/>
    </xf>
    <xf numFmtId="164" fontId="29" fillId="0" borderId="64" xfId="1" applyFont="1" applyFill="1" applyBorder="1" applyAlignment="1">
      <alignment horizontal="center" vertical="center"/>
    </xf>
    <xf numFmtId="164" fontId="29" fillId="0" borderId="25" xfId="1" applyFont="1" applyFill="1" applyBorder="1" applyAlignment="1">
      <alignment horizontal="center" vertical="center"/>
    </xf>
    <xf numFmtId="164" fontId="29" fillId="0" borderId="26" xfId="1" applyFont="1" applyFill="1" applyBorder="1" applyAlignment="1">
      <alignment horizontal="center" vertical="center"/>
    </xf>
    <xf numFmtId="164" fontId="29" fillId="0" borderId="4" xfId="1" applyFont="1" applyFill="1" applyBorder="1" applyAlignment="1">
      <alignment horizontal="center" vertical="center"/>
    </xf>
    <xf numFmtId="164" fontId="29" fillId="0" borderId="21" xfId="1" applyFont="1" applyFill="1" applyBorder="1" applyAlignment="1">
      <alignment horizontal="center" vertical="center"/>
    </xf>
    <xf numFmtId="0" fontId="96" fillId="2" borderId="8" xfId="5" applyFont="1" applyFill="1" applyBorder="1" applyAlignment="1">
      <alignment horizontal="center" vertical="center"/>
    </xf>
    <xf numFmtId="0" fontId="96" fillId="2" borderId="26" xfId="5" applyFont="1" applyFill="1" applyBorder="1" applyAlignment="1">
      <alignment horizontal="center" vertical="center"/>
    </xf>
    <xf numFmtId="0" fontId="30" fillId="0" borderId="23" xfId="1" applyNumberFormat="1" applyFont="1" applyFill="1" applyBorder="1" applyAlignment="1"/>
    <xf numFmtId="0" fontId="95" fillId="2" borderId="20" xfId="5" applyFont="1" applyFill="1" applyBorder="1" applyAlignment="1">
      <alignment horizontal="center" vertical="center"/>
    </xf>
    <xf numFmtId="0" fontId="132" fillId="0" borderId="3" xfId="1" applyNumberFormat="1" applyFont="1" applyBorder="1" applyAlignment="1"/>
    <xf numFmtId="0" fontId="132" fillId="0" borderId="0" xfId="1" applyNumberFormat="1" applyFont="1" applyBorder="1" applyAlignment="1"/>
    <xf numFmtId="0" fontId="130" fillId="0" borderId="4" xfId="0" applyFont="1" applyBorder="1" applyAlignment="1">
      <alignment horizontal="center" vertical="center" wrapText="1"/>
    </xf>
    <xf numFmtId="0" fontId="130" fillId="0" borderId="21" xfId="0" applyFont="1" applyBorder="1" applyAlignment="1">
      <alignment horizontal="center" vertical="center" wrapText="1"/>
    </xf>
    <xf numFmtId="0" fontId="130" fillId="0" borderId="5" xfId="0" applyFont="1" applyBorder="1" applyAlignment="1">
      <alignment horizontal="center" vertical="center" wrapText="1"/>
    </xf>
    <xf numFmtId="0" fontId="130" fillId="0" borderId="6" xfId="0" applyFont="1" applyBorder="1" applyAlignment="1">
      <alignment horizontal="center" vertical="center" wrapText="1"/>
    </xf>
    <xf numFmtId="0" fontId="130" fillId="0" borderId="7" xfId="0" applyFont="1" applyBorder="1" applyAlignment="1">
      <alignment horizontal="center" vertical="center" wrapText="1"/>
    </xf>
    <xf numFmtId="0" fontId="130" fillId="0" borderId="22" xfId="0" applyFont="1" applyBorder="1" applyAlignment="1">
      <alignment horizontal="center" vertical="center" wrapText="1"/>
    </xf>
    <xf numFmtId="0" fontId="130" fillId="0" borderId="23" xfId="0" applyFont="1" applyBorder="1" applyAlignment="1">
      <alignment horizontal="center" vertical="center" wrapText="1"/>
    </xf>
    <xf numFmtId="0" fontId="130" fillId="0" borderId="24" xfId="0" applyFont="1" applyBorder="1" applyAlignment="1">
      <alignment horizontal="center" vertical="center" wrapText="1"/>
    </xf>
    <xf numFmtId="164" fontId="130" fillId="0" borderId="4" xfId="1" applyFont="1" applyFill="1" applyBorder="1" applyAlignment="1">
      <alignment horizontal="center" vertical="center" wrapText="1"/>
    </xf>
    <xf numFmtId="164" fontId="130" fillId="0" borderId="21" xfId="1" applyFont="1" applyFill="1" applyBorder="1" applyAlignment="1">
      <alignment horizontal="center" vertical="center" wrapText="1"/>
    </xf>
    <xf numFmtId="164" fontId="130" fillId="0" borderId="8" xfId="1" applyFont="1" applyFill="1" applyBorder="1" applyAlignment="1">
      <alignment horizontal="center" vertical="center"/>
    </xf>
    <xf numFmtId="164" fontId="130" fillId="0" borderId="9" xfId="1" applyFont="1" applyFill="1" applyBorder="1" applyAlignment="1">
      <alignment horizontal="center" vertical="center"/>
    </xf>
    <xf numFmtId="164" fontId="130" fillId="0" borderId="4" xfId="1" applyFont="1" applyFill="1" applyBorder="1" applyAlignment="1">
      <alignment horizontal="center" vertical="center"/>
    </xf>
    <xf numFmtId="164" fontId="130" fillId="0" borderId="21" xfId="1" applyFont="1" applyFill="1" applyBorder="1" applyAlignment="1">
      <alignment horizontal="center" vertical="center"/>
    </xf>
    <xf numFmtId="0" fontId="135" fillId="2" borderId="26" xfId="5" applyFont="1" applyFill="1" applyBorder="1" applyAlignment="1">
      <alignment horizontal="center" vertical="center"/>
    </xf>
    <xf numFmtId="0" fontId="136" fillId="2" borderId="26" xfId="5" applyFont="1" applyFill="1" applyBorder="1" applyAlignment="1">
      <alignment horizontal="center" vertical="center"/>
    </xf>
    <xf numFmtId="0" fontId="136" fillId="2" borderId="9" xfId="5" applyFont="1" applyFill="1" applyBorder="1" applyAlignment="1">
      <alignment horizontal="center" vertical="center"/>
    </xf>
    <xf numFmtId="0" fontId="96" fillId="2" borderId="8" xfId="57" applyFont="1" applyFill="1" applyBorder="1" applyAlignment="1">
      <alignment horizontal="center" vertical="center"/>
    </xf>
    <xf numFmtId="0" fontId="96" fillId="2" borderId="26" xfId="57" applyFont="1" applyFill="1" applyBorder="1" applyAlignment="1">
      <alignment horizontal="center" vertical="center"/>
    </xf>
    <xf numFmtId="0" fontId="96" fillId="2" borderId="9" xfId="57" applyFont="1" applyFill="1" applyBorder="1" applyAlignment="1">
      <alignment horizontal="center" vertical="center"/>
    </xf>
    <xf numFmtId="0" fontId="48" fillId="0" borderId="27" xfId="16" applyFont="1" applyBorder="1" applyAlignment="1">
      <alignment horizontal="center" wrapText="1"/>
    </xf>
    <xf numFmtId="0" fontId="48" fillId="0" borderId="2" xfId="16" applyFont="1" applyBorder="1" applyAlignment="1">
      <alignment horizontal="center" wrapText="1"/>
    </xf>
    <xf numFmtId="0" fontId="48" fillId="0" borderId="11" xfId="16" applyFont="1" applyBorder="1" applyAlignment="1">
      <alignment horizontal="center" wrapText="1"/>
    </xf>
    <xf numFmtId="0" fontId="48" fillId="2" borderId="8" xfId="5" applyFont="1" applyFill="1" applyBorder="1" applyAlignment="1">
      <alignment horizontal="center" vertical="center"/>
    </xf>
    <xf numFmtId="0" fontId="48" fillId="2" borderId="26" xfId="5" applyFont="1" applyFill="1" applyBorder="1" applyAlignment="1">
      <alignment horizontal="center" vertical="center"/>
    </xf>
    <xf numFmtId="0" fontId="29" fillId="0" borderId="3" xfId="21" applyNumberFormat="1" applyFont="1" applyBorder="1" applyAlignment="1"/>
    <xf numFmtId="0" fontId="29" fillId="0" borderId="0" xfId="21" applyNumberFormat="1" applyFont="1" applyBorder="1" applyAlignment="1"/>
    <xf numFmtId="0" fontId="28" fillId="0" borderId="4" xfId="16" applyFont="1" applyBorder="1" applyAlignment="1">
      <alignment horizontal="center" vertical="center" wrapText="1"/>
    </xf>
    <xf numFmtId="0" fontId="28" fillId="0" borderId="21" xfId="16" applyFont="1" applyBorder="1" applyAlignment="1">
      <alignment horizontal="center" vertical="center" wrapText="1"/>
    </xf>
    <xf numFmtId="0" fontId="28" fillId="0" borderId="5" xfId="16" applyFont="1" applyBorder="1" applyAlignment="1">
      <alignment horizontal="center" vertical="center" wrapText="1"/>
    </xf>
    <xf numFmtId="0" fontId="28" fillId="0" borderId="6" xfId="16" applyFont="1" applyBorder="1" applyAlignment="1">
      <alignment horizontal="center" vertical="center" wrapText="1"/>
    </xf>
    <xf numFmtId="0" fontId="28" fillId="0" borderId="7" xfId="16" applyFont="1" applyBorder="1" applyAlignment="1">
      <alignment horizontal="center" vertical="center" wrapText="1"/>
    </xf>
    <xf numFmtId="0" fontId="28" fillId="0" borderId="22" xfId="16" applyFont="1" applyBorder="1" applyAlignment="1">
      <alignment horizontal="center" vertical="center" wrapText="1"/>
    </xf>
    <xf numFmtId="0" fontId="28" fillId="0" borderId="23" xfId="16" applyFont="1" applyBorder="1" applyAlignment="1">
      <alignment horizontal="center" vertical="center" wrapText="1"/>
    </xf>
    <xf numFmtId="0" fontId="28" fillId="0" borderId="24" xfId="16" applyFont="1" applyBorder="1" applyAlignment="1">
      <alignment horizontal="center" vertical="center" wrapText="1"/>
    </xf>
    <xf numFmtId="164" fontId="28" fillId="0" borderId="4" xfId="21" applyFont="1" applyFill="1" applyBorder="1" applyAlignment="1">
      <alignment horizontal="center" vertical="center" wrapText="1"/>
    </xf>
    <xf numFmtId="164" fontId="28" fillId="0" borderId="21" xfId="21" applyFont="1" applyFill="1" applyBorder="1" applyAlignment="1">
      <alignment horizontal="center" vertical="center" wrapText="1"/>
    </xf>
    <xf numFmtId="164" fontId="28" fillId="0" borderId="4" xfId="21" applyFont="1" applyFill="1" applyBorder="1" applyAlignment="1">
      <alignment horizontal="center" vertical="center"/>
    </xf>
    <xf numFmtId="164" fontId="28" fillId="0" borderId="21" xfId="21" applyFont="1" applyFill="1" applyBorder="1" applyAlignment="1">
      <alignment horizontal="center" vertical="center"/>
    </xf>
    <xf numFmtId="0" fontId="42" fillId="0" borderId="27" xfId="37" applyFont="1" applyBorder="1" applyAlignment="1">
      <alignment horizontal="left" vertical="center"/>
    </xf>
    <xf numFmtId="0" fontId="42" fillId="0" borderId="2" xfId="37" applyFont="1" applyBorder="1" applyAlignment="1">
      <alignment horizontal="left" vertical="center"/>
    </xf>
    <xf numFmtId="0" fontId="42" fillId="0" borderId="11" xfId="37" applyFont="1" applyBorder="1" applyAlignment="1">
      <alignment horizontal="left" vertical="center"/>
    </xf>
    <xf numFmtId="173" fontId="42" fillId="0" borderId="27" xfId="37" applyNumberFormat="1" applyFont="1" applyBorder="1" applyAlignment="1">
      <alignment horizontal="center" vertical="center"/>
    </xf>
    <xf numFmtId="173" fontId="42" fillId="0" borderId="11" xfId="37" applyNumberFormat="1" applyFont="1" applyBorder="1" applyAlignment="1">
      <alignment horizontal="center" vertical="center"/>
    </xf>
    <xf numFmtId="0" fontId="42" fillId="0" borderId="56" xfId="37" applyFont="1" applyBorder="1" applyAlignment="1">
      <alignment horizontal="left" vertical="center"/>
    </xf>
    <xf numFmtId="0" fontId="42" fillId="0" borderId="57" xfId="37" applyFont="1" applyBorder="1" applyAlignment="1">
      <alignment horizontal="left" vertical="center"/>
    </xf>
    <xf numFmtId="0" fontId="42" fillId="0" borderId="58" xfId="37" applyFont="1" applyBorder="1" applyAlignment="1">
      <alignment horizontal="left" vertical="center"/>
    </xf>
    <xf numFmtId="173" fontId="42" fillId="0" borderId="56" xfId="37" applyNumberFormat="1" applyFont="1" applyBorder="1" applyAlignment="1">
      <alignment horizontal="center" vertical="center"/>
    </xf>
    <xf numFmtId="173" fontId="42" fillId="0" borderId="58" xfId="37" applyNumberFormat="1" applyFont="1" applyBorder="1" applyAlignment="1">
      <alignment horizontal="center" vertical="center"/>
    </xf>
    <xf numFmtId="0" fontId="42" fillId="0" borderId="27" xfId="37" quotePrefix="1" applyFont="1" applyBorder="1" applyAlignment="1">
      <alignment horizontal="left" vertical="center"/>
    </xf>
    <xf numFmtId="0" fontId="29" fillId="0" borderId="2" xfId="36" applyNumberFormat="1" applyFont="1" applyBorder="1" applyAlignment="1">
      <alignment horizontal="left" vertical="top"/>
    </xf>
    <xf numFmtId="0" fontId="29" fillId="0" borderId="2" xfId="36" applyNumberFormat="1" applyFont="1" applyBorder="1" applyAlignment="1">
      <alignment horizontal="left" vertical="top" wrapText="1" indent="2"/>
    </xf>
    <xf numFmtId="0" fontId="32" fillId="0" borderId="4" xfId="37" applyFont="1" applyBorder="1" applyAlignment="1">
      <alignment horizontal="center" vertical="center"/>
    </xf>
    <xf numFmtId="0" fontId="32" fillId="0" borderId="48" xfId="37" applyFont="1" applyBorder="1" applyAlignment="1">
      <alignment horizontal="center" vertical="center"/>
    </xf>
    <xf numFmtId="0" fontId="32" fillId="0" borderId="5" xfId="37" applyFont="1" applyBorder="1" applyAlignment="1">
      <alignment horizontal="center" vertical="center"/>
    </xf>
    <xf numFmtId="0" fontId="32" fillId="0" borderId="6" xfId="37" applyFont="1" applyBorder="1" applyAlignment="1">
      <alignment horizontal="center" vertical="center"/>
    </xf>
    <xf numFmtId="0" fontId="32" fillId="0" borderId="7" xfId="37" applyFont="1" applyBorder="1" applyAlignment="1">
      <alignment horizontal="center" vertical="center"/>
    </xf>
    <xf numFmtId="0" fontId="32" fillId="0" borderId="49" xfId="37" applyFont="1" applyBorder="1" applyAlignment="1">
      <alignment horizontal="center" vertical="center"/>
    </xf>
    <xf numFmtId="0" fontId="32" fillId="0" borderId="50" xfId="37" applyFont="1" applyBorder="1" applyAlignment="1">
      <alignment horizontal="center" vertical="center"/>
    </xf>
    <xf numFmtId="0" fontId="32" fillId="0" borderId="51" xfId="37" applyFont="1" applyBorder="1" applyAlignment="1">
      <alignment horizontal="center" vertical="center"/>
    </xf>
    <xf numFmtId="3" fontId="32" fillId="0" borderId="5" xfId="37" applyNumberFormat="1" applyFont="1" applyBorder="1" applyAlignment="1">
      <alignment horizontal="center" vertical="center"/>
    </xf>
    <xf numFmtId="3" fontId="32" fillId="0" borderId="7" xfId="37" applyNumberFormat="1" applyFont="1" applyBorder="1" applyAlignment="1">
      <alignment horizontal="center" vertical="center"/>
    </xf>
    <xf numFmtId="3" fontId="32" fillId="0" borderId="49" xfId="37" applyNumberFormat="1" applyFont="1" applyBorder="1" applyAlignment="1">
      <alignment horizontal="center" vertical="center"/>
    </xf>
    <xf numFmtId="3" fontId="32" fillId="0" borderId="51" xfId="37" applyNumberFormat="1" applyFont="1" applyBorder="1" applyAlignment="1">
      <alignment horizontal="center" vertical="center"/>
    </xf>
    <xf numFmtId="0" fontId="32" fillId="0" borderId="52" xfId="37" applyFont="1" applyBorder="1" applyAlignment="1">
      <alignment horizontal="left" vertical="center"/>
    </xf>
    <xf numFmtId="0" fontId="32" fillId="0" borderId="53" xfId="37" applyFont="1" applyBorder="1" applyAlignment="1">
      <alignment horizontal="left" vertical="center"/>
    </xf>
    <xf numFmtId="0" fontId="32" fillId="0" borderId="54" xfId="37" applyFont="1" applyBorder="1" applyAlignment="1">
      <alignment horizontal="left" vertical="center"/>
    </xf>
    <xf numFmtId="173" fontId="32" fillId="0" borderId="52" xfId="37" applyNumberFormat="1" applyFont="1" applyBorder="1" applyAlignment="1">
      <alignment horizontal="center" vertical="center"/>
    </xf>
    <xf numFmtId="173" fontId="32" fillId="0" borderId="54" xfId="37" applyNumberFormat="1" applyFont="1" applyBorder="1" applyAlignment="1">
      <alignment horizontal="center" vertical="center"/>
    </xf>
    <xf numFmtId="0" fontId="36" fillId="0" borderId="0" xfId="20" applyFont="1" applyAlignment="1">
      <alignment horizontal="center" vertical="center" wrapText="1"/>
    </xf>
    <xf numFmtId="0" fontId="36" fillId="0" borderId="0" xfId="20" applyFont="1" applyAlignment="1">
      <alignment horizontal="center" vertical="center"/>
    </xf>
    <xf numFmtId="0" fontId="29" fillId="0" borderId="2" xfId="21" applyNumberFormat="1" applyFont="1" applyBorder="1" applyAlignment="1">
      <alignment horizontal="left" vertical="top"/>
    </xf>
    <xf numFmtId="0" fontId="29" fillId="0" borderId="2" xfId="21" applyNumberFormat="1" applyFont="1" applyBorder="1" applyAlignment="1">
      <alignment horizontal="left" vertical="top" wrapText="1" indent="2"/>
    </xf>
    <xf numFmtId="0" fontId="32" fillId="0" borderId="4" xfId="20" applyFont="1" applyBorder="1" applyAlignment="1">
      <alignment horizontal="center" vertical="center"/>
    </xf>
    <xf numFmtId="0" fontId="32" fillId="0" borderId="48" xfId="20" applyFont="1" applyBorder="1" applyAlignment="1">
      <alignment horizontal="center" vertical="center"/>
    </xf>
    <xf numFmtId="0" fontId="32" fillId="0" borderId="5" xfId="20" applyFont="1" applyBorder="1" applyAlignment="1">
      <alignment horizontal="center" vertical="center"/>
    </xf>
    <xf numFmtId="0" fontId="32" fillId="0" borderId="6" xfId="20" applyFont="1" applyBorder="1" applyAlignment="1">
      <alignment horizontal="center" vertical="center"/>
    </xf>
    <xf numFmtId="0" fontId="32" fillId="0" borderId="7" xfId="20" applyFont="1" applyBorder="1" applyAlignment="1">
      <alignment horizontal="center" vertical="center"/>
    </xf>
    <xf numFmtId="0" fontId="32" fillId="0" borderId="49" xfId="20" applyFont="1" applyBorder="1" applyAlignment="1">
      <alignment horizontal="center" vertical="center"/>
    </xf>
    <xf numFmtId="0" fontId="32" fillId="0" borderId="50" xfId="20" applyFont="1" applyBorder="1" applyAlignment="1">
      <alignment horizontal="center" vertical="center"/>
    </xf>
    <xf numFmtId="0" fontId="32" fillId="0" borderId="51" xfId="20" applyFont="1" applyBorder="1" applyAlignment="1">
      <alignment horizontal="center" vertical="center"/>
    </xf>
    <xf numFmtId="3" fontId="32" fillId="0" borderId="5" xfId="20" applyNumberFormat="1" applyFont="1" applyBorder="1" applyAlignment="1">
      <alignment horizontal="center" vertical="center"/>
    </xf>
    <xf numFmtId="3" fontId="32" fillId="0" borderId="7" xfId="20" applyNumberFormat="1" applyFont="1" applyBorder="1" applyAlignment="1">
      <alignment horizontal="center" vertical="center"/>
    </xf>
    <xf numFmtId="3" fontId="32" fillId="0" borderId="49" xfId="20" applyNumberFormat="1" applyFont="1" applyBorder="1" applyAlignment="1">
      <alignment horizontal="center" vertical="center"/>
    </xf>
    <xf numFmtId="3" fontId="32" fillId="0" borderId="51" xfId="20" applyNumberFormat="1" applyFont="1" applyBorder="1" applyAlignment="1">
      <alignment horizontal="center" vertical="center"/>
    </xf>
    <xf numFmtId="0" fontId="42" fillId="0" borderId="27" xfId="20" quotePrefix="1" applyFont="1" applyBorder="1" applyAlignment="1">
      <alignment horizontal="left" vertical="center"/>
    </xf>
    <xf numFmtId="0" fontId="42" fillId="0" borderId="2" xfId="20" applyFont="1" applyBorder="1" applyAlignment="1">
      <alignment horizontal="left" vertical="center"/>
    </xf>
    <xf numFmtId="0" fontId="42" fillId="0" borderId="11" xfId="20" applyFont="1" applyBorder="1" applyAlignment="1">
      <alignment horizontal="left" vertical="center"/>
    </xf>
    <xf numFmtId="173" fontId="42" fillId="0" borderId="27" xfId="20" applyNumberFormat="1" applyFont="1" applyBorder="1" applyAlignment="1">
      <alignment horizontal="center" vertical="center"/>
    </xf>
    <xf numFmtId="173" fontId="42" fillId="0" borderId="11" xfId="20" applyNumberFormat="1" applyFont="1" applyBorder="1" applyAlignment="1">
      <alignment horizontal="center" vertical="center"/>
    </xf>
    <xf numFmtId="0" fontId="32" fillId="0" borderId="52" xfId="20" applyFont="1" applyBorder="1" applyAlignment="1">
      <alignment horizontal="left" vertical="center"/>
    </xf>
    <xf numFmtId="0" fontId="32" fillId="0" borderId="53" xfId="20" applyFont="1" applyBorder="1" applyAlignment="1">
      <alignment horizontal="left" vertical="center"/>
    </xf>
    <xf numFmtId="0" fontId="32" fillId="0" borderId="54" xfId="20" applyFont="1" applyBorder="1" applyAlignment="1">
      <alignment horizontal="left" vertical="center"/>
    </xf>
    <xf numFmtId="173" fontId="32" fillId="0" borderId="52" xfId="20" applyNumberFormat="1" applyFont="1" applyBorder="1" applyAlignment="1">
      <alignment horizontal="center" vertical="center"/>
    </xf>
    <xf numFmtId="173" fontId="32" fillId="0" borderId="54" xfId="20" applyNumberFormat="1" applyFont="1" applyBorder="1" applyAlignment="1">
      <alignment horizontal="center" vertical="center"/>
    </xf>
    <xf numFmtId="0" fontId="32" fillId="0" borderId="27" xfId="20" applyFont="1" applyBorder="1" applyAlignment="1">
      <alignment horizontal="left" vertical="center"/>
    </xf>
    <xf numFmtId="0" fontId="32" fillId="0" borderId="2" xfId="20" applyFont="1" applyBorder="1" applyAlignment="1">
      <alignment horizontal="left" vertical="center"/>
    </xf>
    <xf numFmtId="0" fontId="32" fillId="0" borderId="11" xfId="20" applyFont="1" applyBorder="1" applyAlignment="1">
      <alignment horizontal="left" vertical="center"/>
    </xf>
    <xf numFmtId="0" fontId="41" fillId="0" borderId="0" xfId="20" applyFont="1" applyAlignment="1">
      <alignment horizontal="right" vertical="center"/>
    </xf>
    <xf numFmtId="0" fontId="41" fillId="0" borderId="14" xfId="20" applyFont="1" applyBorder="1" applyAlignment="1">
      <alignment horizontal="right" vertical="center"/>
    </xf>
    <xf numFmtId="173" fontId="42" fillId="0" borderId="56" xfId="20" applyNumberFormat="1" applyFont="1" applyBorder="1" applyAlignment="1">
      <alignment horizontal="center" vertical="center"/>
    </xf>
    <xf numFmtId="173" fontId="42" fillId="0" borderId="58" xfId="20" applyNumberFormat="1" applyFont="1" applyBorder="1" applyAlignment="1">
      <alignment horizontal="center" vertical="center"/>
    </xf>
    <xf numFmtId="0" fontId="42" fillId="0" borderId="27" xfId="20" applyFont="1" applyBorder="1" applyAlignment="1">
      <alignment horizontal="left" vertical="center"/>
    </xf>
    <xf numFmtId="0" fontId="42" fillId="0" borderId="56" xfId="20" applyFont="1" applyBorder="1" applyAlignment="1">
      <alignment horizontal="left" vertical="center"/>
    </xf>
    <xf numFmtId="0" fontId="42" fillId="0" borderId="57" xfId="20" applyFont="1" applyBorder="1" applyAlignment="1">
      <alignment horizontal="left" vertical="center"/>
    </xf>
    <xf numFmtId="0" fontId="42" fillId="0" borderId="58" xfId="20" applyFont="1" applyBorder="1" applyAlignment="1">
      <alignment horizontal="left" vertical="center"/>
    </xf>
    <xf numFmtId="0" fontId="41" fillId="0" borderId="59" xfId="20" applyFont="1" applyBorder="1" applyAlignment="1">
      <alignment horizontal="right" vertical="center"/>
    </xf>
    <xf numFmtId="0" fontId="41" fillId="0" borderId="60" xfId="20" applyFont="1" applyBorder="1" applyAlignment="1">
      <alignment horizontal="right" vertical="center"/>
    </xf>
    <xf numFmtId="3" fontId="42" fillId="0" borderId="27" xfId="20" quotePrefix="1" applyNumberFormat="1" applyFont="1" applyBorder="1" applyAlignment="1">
      <alignment horizontal="left" vertical="center"/>
    </xf>
    <xf numFmtId="164" fontId="19" fillId="0" borderId="0" xfId="1" applyFont="1" applyAlignment="1">
      <alignment horizontal="left"/>
    </xf>
    <xf numFmtId="174" fontId="19" fillId="0" borderId="0" xfId="1" applyNumberFormat="1" applyFont="1" applyAlignment="1">
      <alignment horizontal="left"/>
    </xf>
    <xf numFmtId="173" fontId="50" fillId="0" borderId="6" xfId="20" applyNumberFormat="1" applyFont="1" applyBorder="1" applyAlignment="1">
      <alignment horizontal="center"/>
    </xf>
    <xf numFmtId="10" fontId="19" fillId="0" borderId="0" xfId="20" applyNumberFormat="1" applyFont="1" applyAlignment="1">
      <alignment horizontal="right"/>
    </xf>
    <xf numFmtId="2" fontId="98" fillId="0" borderId="35" xfId="1" applyNumberFormat="1" applyFont="1" applyFill="1" applyBorder="1"/>
    <xf numFmtId="2" fontId="24" fillId="3" borderId="32" xfId="4" applyNumberFormat="1" applyFont="1" applyFill="1" applyBorder="1" applyAlignment="1">
      <alignment horizontal="center" vertical="center"/>
    </xf>
    <xf numFmtId="164" fontId="24" fillId="3" borderId="61" xfId="4" applyFont="1" applyFill="1" applyBorder="1" applyAlignment="1">
      <alignment vertical="center"/>
    </xf>
    <xf numFmtId="164" fontId="24" fillId="3" borderId="62" xfId="4" applyFont="1" applyFill="1" applyBorder="1" applyAlignment="1">
      <alignment vertical="center"/>
    </xf>
    <xf numFmtId="0" fontId="104" fillId="0" borderId="10" xfId="0" applyFont="1" applyBorder="1"/>
    <xf numFmtId="0" fontId="93" fillId="0" borderId="10" xfId="0" applyFont="1" applyBorder="1"/>
  </cellXfs>
  <cellStyles count="121">
    <cellStyle name="Comma" xfId="1" builtinId="3"/>
    <cellStyle name="Comma 10" xfId="52" xr:uid="{00000000-0005-0000-0000-000001000000}"/>
    <cellStyle name="Comma 10 10" xfId="12" xr:uid="{00000000-0005-0000-0000-000002000000}"/>
    <cellStyle name="Comma 10 10 2" xfId="78" xr:uid="{5385DA7E-7E00-44C7-B471-EB49037AD9BB}"/>
    <cellStyle name="Comma 10 10 2 2" xfId="97" xr:uid="{BF122ECE-2FD5-4486-9E4B-D850A44487E6}"/>
    <cellStyle name="Comma 11" xfId="3" xr:uid="{00000000-0005-0000-0000-000003000000}"/>
    <cellStyle name="Comma 11 2" xfId="31" xr:uid="{00000000-0005-0000-0000-000004000000}"/>
    <cellStyle name="Comma 11 3" xfId="71" xr:uid="{E4F337A9-4304-481E-B6D4-2BAF1CB154A2}"/>
    <cellStyle name="Comma 11 3 2" xfId="89" xr:uid="{C98ED4CF-5A81-4A70-A59A-BACE4F9E6DBE}"/>
    <cellStyle name="Comma 12 2" xfId="26" xr:uid="{00000000-0005-0000-0000-000005000000}"/>
    <cellStyle name="Comma 2" xfId="17" xr:uid="{00000000-0005-0000-0000-000006000000}"/>
    <cellStyle name="Comma 2 19" xfId="35" xr:uid="{00000000-0005-0000-0000-000007000000}"/>
    <cellStyle name="Comma 2 2" xfId="10" xr:uid="{00000000-0005-0000-0000-000008000000}"/>
    <cellStyle name="Comma 2 2 2" xfId="75" xr:uid="{399F2009-89BF-44EC-A705-40D242FCEB34}"/>
    <cellStyle name="Comma 2 2 2 2" xfId="93" xr:uid="{00635791-8E5F-49AF-B5A8-76126D24443F}"/>
    <cellStyle name="Comma 2 2 3" xfId="40" xr:uid="{00000000-0005-0000-0000-000009000000}"/>
    <cellStyle name="Comma 2 2 3 2" xfId="81" xr:uid="{559F297A-398E-439B-BDD3-CE5B5CDD0A53}"/>
    <cellStyle name="Comma 2 2 3 2 2" xfId="100" xr:uid="{059CF347-F3B6-47FC-9691-E438D516CFE4}"/>
    <cellStyle name="Comma 2 3" xfId="21" xr:uid="{00000000-0005-0000-0000-00000A000000}"/>
    <cellStyle name="Comma 2 3 2" xfId="36" xr:uid="{00000000-0005-0000-0000-00000B000000}"/>
    <cellStyle name="Comma 2 4" xfId="60" xr:uid="{00000000-0005-0000-0000-00000C000000}"/>
    <cellStyle name="Comma 2 5" xfId="63" xr:uid="{00000000-0005-0000-0000-00000D000000}"/>
    <cellStyle name="Comma 2 6" xfId="67" xr:uid="{F7E7D6E3-6207-4E4C-ABD9-8968615FDE92}"/>
    <cellStyle name="Comma 2 6 2" xfId="96" xr:uid="{C947C492-36E9-49FC-AEC9-3EEFBED07DCE}"/>
    <cellStyle name="Comma 2 6 2 2" xfId="106" xr:uid="{D4FCF011-8BD4-4109-9359-60A87062FE2B}"/>
    <cellStyle name="Comma 2 6 2 2 2" xfId="110" xr:uid="{0B8EF6EF-1C72-401E-B59A-36E8D827550E}"/>
    <cellStyle name="Comma 2 6 2 2 2 2" xfId="114" xr:uid="{E9EF46A3-CF56-45CD-8B58-FD24EAA61C92}"/>
    <cellStyle name="Comma 2 6 2 2 2 2 2" xfId="118" xr:uid="{AE1BA1FD-4984-40EB-B759-890C80A4B697}"/>
    <cellStyle name="Comma 2 7" xfId="77" xr:uid="{A013D155-9EBA-4B81-82F9-56385B183C70}"/>
    <cellStyle name="Comma 2 7 2" xfId="95" xr:uid="{8B59E224-D75A-4415-AA14-ADB333195094}"/>
    <cellStyle name="Comma 2 7 2 2" xfId="105" xr:uid="{EEB6ABF1-ABA5-46CF-9C55-FA8AA6033654}"/>
    <cellStyle name="Comma 2 7 2 2 2" xfId="109" xr:uid="{7C72810D-719F-4981-9C25-568368D72AD3}"/>
    <cellStyle name="Comma 2 7 2 2 2 2" xfId="113" xr:uid="{D1D0C736-6DAC-41C0-A50A-08983380E759}"/>
    <cellStyle name="Comma 2 7 2 2 2 2 2" xfId="117" xr:uid="{190005B6-C286-4950-9FB8-5F951B6A1C8C}"/>
    <cellStyle name="Comma 20" xfId="7" xr:uid="{00000000-0005-0000-0000-00000E000000}"/>
    <cellStyle name="Comma 21" xfId="4" xr:uid="{00000000-0005-0000-0000-00000F000000}"/>
    <cellStyle name="Comma 21 2" xfId="73" xr:uid="{C0A2DF96-1CAF-4AFE-B76D-45C3003E5040}"/>
    <cellStyle name="Comma 21 2 2" xfId="91" xr:uid="{F2628856-1142-4056-BB96-834DFDC48673}"/>
    <cellStyle name="Comma 3" xfId="22" xr:uid="{00000000-0005-0000-0000-000010000000}"/>
    <cellStyle name="Comma 3 5" xfId="9" xr:uid="{00000000-0005-0000-0000-000011000000}"/>
    <cellStyle name="Comma 3 5 2" xfId="34" xr:uid="{00000000-0005-0000-0000-000012000000}"/>
    <cellStyle name="Comma 3 5 3" xfId="74" xr:uid="{EB5C98FF-CD59-4EFC-9877-FDB5551BE846}"/>
    <cellStyle name="Comma 3 5 3 2" xfId="92" xr:uid="{59DF8DBF-DCAD-4910-A24D-DB3177EB8CC0}"/>
    <cellStyle name="Comma 4" xfId="70" xr:uid="{F65DDA2C-0DED-4978-84FE-E24F2E7ADA6D}"/>
    <cellStyle name="Comma 4 2" xfId="87" xr:uid="{5DEEA579-9475-4B22-916A-B8F7A1F151A2}"/>
    <cellStyle name="Comma 5" xfId="39" xr:uid="{00000000-0005-0000-0000-000013000000}"/>
    <cellStyle name="Comma 56" xfId="24" xr:uid="{00000000-0005-0000-0000-000014000000}"/>
    <cellStyle name="Comma 56 2" xfId="29" xr:uid="{00000000-0005-0000-0000-000015000000}"/>
    <cellStyle name="Comma 56 2 2" xfId="32" xr:uid="{00000000-0005-0000-0000-000016000000}"/>
    <cellStyle name="Comma 56 3" xfId="41" xr:uid="{00000000-0005-0000-0000-000017000000}"/>
    <cellStyle name="Comma 56 4" xfId="45" xr:uid="{00000000-0005-0000-0000-000018000000}"/>
    <cellStyle name="Comma 56 5" xfId="47" xr:uid="{00000000-0005-0000-0000-000019000000}"/>
    <cellStyle name="Comma 56 6" xfId="49" xr:uid="{00000000-0005-0000-0000-00001A000000}"/>
    <cellStyle name="Comma 56 6 2" xfId="55" xr:uid="{00000000-0005-0000-0000-00001B000000}"/>
    <cellStyle name="Comma 56 6 3" xfId="61" xr:uid="{00000000-0005-0000-0000-00001C000000}"/>
    <cellStyle name="Comma 56 6 4" xfId="64" xr:uid="{00000000-0005-0000-0000-00001D000000}"/>
    <cellStyle name="Comma 56 6 5" xfId="68" xr:uid="{7328BE0D-4061-4F5B-9B06-3CCB1AA36B35}"/>
    <cellStyle name="Comma 56 6 6" xfId="82" xr:uid="{D1E9CEAD-AC45-4231-9A60-9CC715CF3157}"/>
    <cellStyle name="Comma 56 6 6 2" xfId="101" xr:uid="{66238C7F-D60B-495F-B70D-830AF7A3E17F}"/>
    <cellStyle name="Comma 56 6 6 2 2" xfId="107" xr:uid="{A6A49FCB-4350-4A45-8301-128F89FD63BA}"/>
    <cellStyle name="Comma 56 6 6 2 2 2" xfId="111" xr:uid="{242A2B02-A591-43DC-8997-B012B77B78DF}"/>
    <cellStyle name="Comma 56 6 6 2 2 2 2" xfId="115" xr:uid="{D0B2D1F2-5B7F-4AC2-9D9B-6CEDFCC46831}"/>
    <cellStyle name="Comma 56 6 6 2 2 2 2 2" xfId="119" xr:uid="{367F6E4D-6105-4C0D-AD3B-BCF8C3C8BF82}"/>
    <cellStyle name="Normal" xfId="0" builtinId="0"/>
    <cellStyle name="Normal 132" xfId="25" xr:uid="{00000000-0005-0000-0000-00001F000000}"/>
    <cellStyle name="Normal 132 2" xfId="30" xr:uid="{00000000-0005-0000-0000-000020000000}"/>
    <cellStyle name="Normal 132 2 2" xfId="33" xr:uid="{00000000-0005-0000-0000-000021000000}"/>
    <cellStyle name="Normal 132 3" xfId="42" xr:uid="{00000000-0005-0000-0000-000022000000}"/>
    <cellStyle name="Normal 132 4" xfId="46" xr:uid="{00000000-0005-0000-0000-000023000000}"/>
    <cellStyle name="Normal 132 5" xfId="48" xr:uid="{00000000-0005-0000-0000-000024000000}"/>
    <cellStyle name="Normal 132 6" xfId="50" xr:uid="{00000000-0005-0000-0000-000025000000}"/>
    <cellStyle name="Normal 132 6 2" xfId="56" xr:uid="{00000000-0005-0000-0000-000026000000}"/>
    <cellStyle name="Normal 132 6 3" xfId="62" xr:uid="{00000000-0005-0000-0000-000027000000}"/>
    <cellStyle name="Normal 132 6 4" xfId="65" xr:uid="{00000000-0005-0000-0000-000028000000}"/>
    <cellStyle name="Normal 132 6 5" xfId="69" xr:uid="{0E1524A5-5A24-474D-96C1-19ED41D97D0A}"/>
    <cellStyle name="Normal 132 6 6" xfId="83" xr:uid="{B2395F12-77E2-48BF-A14D-E2F0D12A1EDB}"/>
    <cellStyle name="Normal 132 6 6 2" xfId="102" xr:uid="{0E32C9C1-F18F-40DC-99D9-A1FE0C2FAF46}"/>
    <cellStyle name="Normal 132 6 6 2 2" xfId="108" xr:uid="{DEC4EB6D-B1D7-4220-A385-12508F2BEAC8}"/>
    <cellStyle name="Normal 132 6 6 2 2 2" xfId="112" xr:uid="{D98C9321-B22A-47EC-8B7C-EA0A8162EB0F}"/>
    <cellStyle name="Normal 132 6 6 2 2 2 2" xfId="116" xr:uid="{F2B4F070-C35F-4020-8BD6-93677160427B}"/>
    <cellStyle name="Normal 132 6 6 2 2 2 2 2" xfId="120" xr:uid="{2D81F8FB-D110-490F-B608-6F2E59A25665}"/>
    <cellStyle name="Normal 17 2" xfId="18" xr:uid="{00000000-0005-0000-0000-000029000000}"/>
    <cellStyle name="Normal 2" xfId="16" xr:uid="{00000000-0005-0000-0000-00002A000000}"/>
    <cellStyle name="Normal 2 2" xfId="51" xr:uid="{00000000-0005-0000-0000-00002B000000}"/>
    <cellStyle name="Normal 2 3" xfId="53" xr:uid="{00000000-0005-0000-0000-00002C000000}"/>
    <cellStyle name="Normal 2 4" xfId="80" xr:uid="{14545DCE-F0A4-41A9-8D6C-04DC54AF066C}"/>
    <cellStyle name="Normal 2 4 2" xfId="99" xr:uid="{E48CEF02-8BF8-4CE5-951E-D4A02C60A3A5}"/>
    <cellStyle name="Normal 20" xfId="6" xr:uid="{00000000-0005-0000-0000-00002D000000}"/>
    <cellStyle name="Normal 3" xfId="19" xr:uid="{00000000-0005-0000-0000-00002E000000}"/>
    <cellStyle name="Normal 3 2" xfId="20" xr:uid="{00000000-0005-0000-0000-00002F000000}"/>
    <cellStyle name="Normal 3 2 2" xfId="37" xr:uid="{00000000-0005-0000-0000-000030000000}"/>
    <cellStyle name="Normal 3 3" xfId="54" xr:uid="{00000000-0005-0000-0000-000031000000}"/>
    <cellStyle name="Normal 30" xfId="5" xr:uid="{00000000-0005-0000-0000-000032000000}"/>
    <cellStyle name="Normal 30 2" xfId="72" xr:uid="{B559C0CA-C509-4FA4-B8EF-71DC840472D9}"/>
    <cellStyle name="Normal 30 2 2" xfId="90" xr:uid="{87F87F4C-496D-4CFA-891A-FD32C6367350}"/>
    <cellStyle name="Normal 4" xfId="66" xr:uid="{719FEAEB-9716-43A6-A8D6-92B64D23A4B8}"/>
    <cellStyle name="Normal 4 2" xfId="86" xr:uid="{70F2E8E2-8895-475D-AA45-E3BF7B9F8C2B}"/>
    <cellStyle name="Normal 9" xfId="44" xr:uid="{00000000-0005-0000-0000-000033000000}"/>
    <cellStyle name="Normal_0-EQUIP LIST-122" xfId="58" xr:uid="{00000000-0005-0000-0000-000034000000}"/>
    <cellStyle name="Normal_BOQ-M&amp;E" xfId="57" xr:uid="{00000000-0005-0000-0000-000035000000}"/>
    <cellStyle name="Percent" xfId="27" builtinId="5"/>
    <cellStyle name="Percent 2" xfId="23" xr:uid="{00000000-0005-0000-0000-000037000000}"/>
    <cellStyle name="Percent 2 27" xfId="38" xr:uid="{00000000-0005-0000-0000-000038000000}"/>
    <cellStyle name="เครื่องหมายจุลภาค 2" xfId="43" xr:uid="{00000000-0005-0000-0000-000039000000}"/>
    <cellStyle name="เครื่องหมายจุลภาค 2 2" xfId="84" xr:uid="{121375CF-C312-4FC5-976C-3107D61CB580}"/>
    <cellStyle name="เครื่องหมายจุลภาค 2 2 2" xfId="11" xr:uid="{00000000-0005-0000-0000-00003A000000}"/>
    <cellStyle name="เครื่องหมายจุลภาค 2 2 2 2" xfId="59" xr:uid="{00000000-0005-0000-0000-00003B000000}"/>
    <cellStyle name="เครื่องหมายจุลภาค 2 2 2 3" xfId="76" xr:uid="{1A773A28-9E14-43B9-ABC1-7BA9DFAF95AC}"/>
    <cellStyle name="เครื่องหมายจุลภาค 2 2 2 3 2" xfId="94" xr:uid="{7871B78E-C087-41AC-9D19-2ABCE8E1FB4D}"/>
    <cellStyle name="เครื่องหมายจุลภาค 2 2 3" xfId="103" xr:uid="{72EE24B4-0E73-4ECC-B44E-2CA3480D51B6}"/>
    <cellStyle name="เครื่องหมายจุลภาค 9" xfId="14" xr:uid="{00000000-0005-0000-0000-00003C000000}"/>
    <cellStyle name="เครื่องหมายจุลภาค 9 2" xfId="85" xr:uid="{69889379-1892-4DCC-B33C-D5D3ADFE0252}"/>
    <cellStyle name="เครื่องหมายจุลภาค 9 2 2" xfId="104" xr:uid="{9C901F4E-107F-4252-93E0-8D22935A9D8D}"/>
    <cellStyle name="ปกติ 2 2" xfId="13" xr:uid="{00000000-0005-0000-0000-00003D000000}"/>
    <cellStyle name="ปกติ 2 2 2" xfId="79" xr:uid="{C388F85F-CC45-4CD7-8A0A-109001BBA76F}"/>
    <cellStyle name="ปกติ 2 2 2 2" xfId="98" xr:uid="{60279847-7B10-46FC-B15D-1E2967A6F9A6}"/>
    <cellStyle name="ปกติ 4" xfId="15" xr:uid="{00000000-0005-0000-0000-00003E000000}"/>
    <cellStyle name="ปกติ_BOQ_Blankform_S_A_REV(1)._1_M" xfId="8" xr:uid="{00000000-0005-0000-0000-00003F000000}"/>
    <cellStyle name="ปกติ_STR BOQ" xfId="2" xr:uid="{00000000-0005-0000-0000-000040000000}"/>
    <cellStyle name="ปกติ_STR BOQ 2 2" xfId="88" xr:uid="{7A7F3641-1923-4206-9315-E62254632178}"/>
    <cellStyle name="ปกติ_ตัวอย่างการคำนวณ FACTOR F" xfId="28" xr:uid="{00000000-0005-0000-0000-000041000000}"/>
  </cellStyles>
  <dxfs count="1295"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fgColor rgb="FFFFFF99"/>
          <bgColor rgb="FFFFFF99"/>
        </patternFill>
      </fill>
    </dxf>
    <dxf>
      <font>
        <color rgb="FFC00000"/>
      </font>
      <fill>
        <patternFill>
          <fgColor rgb="FFFFFF99"/>
          <bgColor rgb="FFFFFF99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4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9.xml"/><Relationship Id="rId89" Type="http://schemas.openxmlformats.org/officeDocument/2006/relationships/externalLink" Target="externalLinks/externalLink14.xml"/><Relationship Id="rId112" Type="http://schemas.openxmlformats.org/officeDocument/2006/relationships/externalLink" Target="externalLinks/externalLink37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4.xml"/><Relationship Id="rId102" Type="http://schemas.openxmlformats.org/officeDocument/2006/relationships/externalLink" Target="externalLinks/externalLink27.xml"/><Relationship Id="rId123" Type="http://schemas.openxmlformats.org/officeDocument/2006/relationships/externalLink" Target="externalLinks/externalLink4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5.xml"/><Relationship Id="rId95" Type="http://schemas.openxmlformats.org/officeDocument/2006/relationships/externalLink" Target="externalLinks/externalLink2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8.xml"/><Relationship Id="rId118" Type="http://schemas.openxmlformats.org/officeDocument/2006/relationships/externalLink" Target="externalLinks/externalLink43.xml"/><Relationship Id="rId80" Type="http://schemas.openxmlformats.org/officeDocument/2006/relationships/externalLink" Target="externalLinks/externalLink5.xml"/><Relationship Id="rId85" Type="http://schemas.openxmlformats.org/officeDocument/2006/relationships/externalLink" Target="externalLinks/externalLink1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33.xml"/><Relationship Id="rId124" Type="http://schemas.openxmlformats.org/officeDocument/2006/relationships/theme" Target="theme/theme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16.xml"/><Relationship Id="rId96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39.xml"/><Relationship Id="rId119" Type="http://schemas.openxmlformats.org/officeDocument/2006/relationships/externalLink" Target="externalLinks/externalLink44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externalLink" Target="externalLinks/externalLink6.xml"/><Relationship Id="rId86" Type="http://schemas.openxmlformats.org/officeDocument/2006/relationships/externalLink" Target="externalLinks/externalLink1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97" Type="http://schemas.openxmlformats.org/officeDocument/2006/relationships/externalLink" Target="externalLinks/externalLink22.xml"/><Relationship Id="rId104" Type="http://schemas.openxmlformats.org/officeDocument/2006/relationships/externalLink" Target="externalLinks/externalLink29.xml"/><Relationship Id="rId120" Type="http://schemas.openxmlformats.org/officeDocument/2006/relationships/externalLink" Target="externalLinks/externalLink45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2.xml"/><Relationship Id="rId11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40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2.xml"/><Relationship Id="rId100" Type="http://schemas.openxmlformats.org/officeDocument/2006/relationships/externalLink" Target="externalLinks/externalLink25.xml"/><Relationship Id="rId105" Type="http://schemas.openxmlformats.org/officeDocument/2006/relationships/externalLink" Target="externalLinks/externalLink30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8.xml"/><Relationship Id="rId98" Type="http://schemas.openxmlformats.org/officeDocument/2006/relationships/externalLink" Target="externalLinks/externalLink23.xml"/><Relationship Id="rId121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4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8.xml"/><Relationship Id="rId88" Type="http://schemas.openxmlformats.org/officeDocument/2006/relationships/externalLink" Target="externalLinks/externalLink13.xml"/><Relationship Id="rId111" Type="http://schemas.openxmlformats.org/officeDocument/2006/relationships/externalLink" Target="externalLinks/externalLink3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1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3.xml"/><Relationship Id="rId94" Type="http://schemas.openxmlformats.org/officeDocument/2006/relationships/externalLink" Target="externalLinks/externalLink19.xml"/><Relationship Id="rId99" Type="http://schemas.openxmlformats.org/officeDocument/2006/relationships/externalLink" Target="externalLinks/externalLink24.xml"/><Relationship Id="rId101" Type="http://schemas.openxmlformats.org/officeDocument/2006/relationships/externalLink" Target="externalLinks/externalLink26.xml"/><Relationship Id="rId122" Type="http://schemas.openxmlformats.org/officeDocument/2006/relationships/externalLink" Target="externalLinks/externalLink4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prachuab\Library\Mail%20Downloads\Salaya2\d_salaya2\WINDOWS\TEMP\Cost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9BPN2_Cost%20&amp;%20BOQ\02_BOQ\01_Mainline\BOQ_UPDATE_mainline&#3594;&#3656;&#3623;&#3591;&#3607;&#3637;&#3656;1(&#3588;&#3656;&#3634;&#3586;&#3609;&#3626;&#3656;&#3591;&#3611;&#3634;&#3585;&#3594;&#3656;&#3629;&#3591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9BPN2_Cost%20&amp;%20BOQ\BOQ\&#3605;&#3633;&#3623;&#3629;&#3618;&#3656;&#3634;&#3591;&#3611;&#3619;&#3632;&#3617;&#3634;&#3603;&#3619;&#3634;&#3588;&#3634;&#3592;&#3634;&#3585;%20A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work\Project\2008\MotorWay\Backup%20From%20MAA\BOQ_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nisarat_y\Desktop\&#3591;&#3634;&#3609;BOOTH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&#3650;&#3588;&#3619;&#3591;&#3585;&#3634;&#3619;&#3592;&#3634;&#3585;%20&#3626;&#3626;&#3629;\&#3616;&#3634;&#3588;&#3605;&#3632;&#3623;&#3633;&#3609;&#3629;&#3629;&#3585;&#3648;&#3593;&#3637;&#3618;&#3591;&#3648;&#3627;&#3609;&#3639;&#3629;\&#3626;&#3634;&#3618;&#3609;&#3635;&#3605;&#3585;&#3605;&#3634;&#3604;&#3650;&#3605;&#3609;%20&#3592;.&#3586;&#3629;&#3609;&#3649;&#3585;&#3656;&#3609;\&#3612;&#3641;&#3657;&#3651;&#3594;&#3657;&#3607;&#3656;&#3634;&#3609;&#3629;&#3639;&#3656;&#3609;\&#3648;&#3593;&#3636;&#3604;-&#3648;&#3593;&#3636;&#3604;\P%200233\&#3648;&#3629;&#3585;&#3626;&#3634;&#3619;&#3611;&#3619;&#3632;&#3617;&#3634;&#3603;&#3619;&#3634;&#3588;&#3634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&#3623;&#3591;&#3649;&#3627;&#3623;&#3609;&#3619;&#3629;&#3610;&#3609;&#3629;&#3585;\&#3594;&#3633;&#3618;&#3616;&#3641;&#3617;&#3636;%20%20-%20%20&#3649;&#3585;&#3657;&#3591;&#3588;&#3621;&#3657;&#3629;%20&#3626;&#3656;&#3623;&#3609;&#3607;&#3637;&#3656;%2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Users\Administrator\Desktop\&#3619;&#3634;&#3588;&#3634;&#3623;&#3633;&#3626;&#3604;&#3640;&#3585;&#3656;&#3629;&#3626;&#3619;&#3657;&#3634;&#3591;\&#3619;&#3623;&#3610;&#3619;&#3623;&#3617;&#3591;&#3634;&#3609;\&#3611;&#3619;&#3632;&#3648;&#3617;&#3636;&#3609;&#3619;&#3634;&#3588;&#3634;&#3605;&#3657;&#3609;&#3607;&#3640;&#3609;\&#3611;&#3619;&#3632;&#3617;&#3641;&#3621;50\&#3614;&#3633;&#3591;&#3591;&#3634;-&#3585;&#3619;&#3632;&#3610;&#3637;&#3656;2.2\Documents%20and%20Settings\user\My%20Documents\WorkZ\&#3594;&#3633;&#3618;&#3609;&#3634;&#3607;-&#3607;&#3621;%2032%20&#3605;&#3629;&#3609;%201%20&#3626;&#3656;&#3623;&#3609;&#3607;&#3637;&#3656;%2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Users\Administrator\Desktop\&#3619;&#3634;&#3588;&#3634;&#3623;&#3633;&#3626;&#3604;&#3640;&#3585;&#3656;&#3629;&#3626;&#3619;&#3657;&#3634;&#3591;\Documents%20and%20Settings\user\My%20Documents\WorkZ\&#3594;&#3633;&#3618;&#3609;&#3634;&#3607;-&#3607;&#3621;%2032%20&#3605;&#3629;&#3609;%201%20&#3626;&#3656;&#3623;&#3609;&#3607;&#3637;&#3656;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_29\01_BOQ_UPDATE_HW4006(REV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Users\pareena.c.WISEPROJECT\Desktop\&#3585;&#3634;&#3597;&#3592;&#3609;&#3634;&#3616;&#3636;&#3648;&#3625;&#3585;\&#3650;&#3588;&#3619;&#3591;&#3585;&#3634;&#3619;&#3585;&#3634;&#3597;&#3592;&#3609;&#3634;&#3616;&#3636;&#3648;&#3625;&#3585;-&#3610;&#3634;&#3591;&#3649;&#3585;&#3657;&#3623;\CostBreakDown_Civil_0508255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prachuab/Library/Mail%20Downloads/Salaya2/d_salaya2/WINDOWS/TEMP/Cost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DOR-TOUR1\03%20DOR-TOUR1_Myteam\Cost_Estimate\04_&#3611;&#3619;&#3632;&#3617;&#3634;&#3603;&#3619;&#3634;&#3588;&#3634;%20&#3588;&#3607;&#3593;-2.1\01_&#3649;&#3627;&#3621;&#3617;&#3626;&#3609;\&#3611;&#3619;&#3632;&#3617;&#3634;&#3603;&#3619;&#3634;&#3588;&#3634;%20&#3588;&#3607;&#3593;-2\&#3611;&#3619;&#3632;&#3617;&#3634;&#3603;&#3619;&#3634;&#3588;&#3634;&#3594;&#3656;&#3623;&#3591;&#3606;&#3609;&#3609;&#3648;&#3594;&#3639;&#3656;&#3629;&#3617;%20&#3610;.&#3606;&#3609;&#3609;&#3585;&#3619;&#3632;&#3648;&#3614;&#3619;&#3634;-&#3627;&#3634;&#3604;&#3649;&#3627;&#3621;&#3617;&#3626;&#3609;\Backup\&#3592;&#3640;&#3604;&#3614;&#3633;&#3585;&#3619;&#3606;%20&#3594;&#3617;&#3623;&#3636;&#3623;&#3649;&#3621;&#3632;&#3616;&#3641;&#3617;&#3636;&#3626;&#3606;&#3634;&#3611;&#3633;&#3605;&#3618;&#3585;&#3619;&#3619;&#3617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&#3624;&#3619;&#3637;&#3619;&#3633;&#3594;\Copy%20of%20BOQ_STREET%20LIGHTING%23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H-MW7-PATTAYA\07_DOH-MW7-PATTAYA_Cost\00_&#3611;&#3619;&#3632;&#3617;&#3634;&#3603;&#3619;&#3634;&#3588;&#3634;\01_BOQ\01_BOQ_MW7%20PATAYA_Rev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H-MW7-PATTAYA/07_DOH-MW7-PATTAYA_Cost/00_&#3611;&#3619;&#3632;&#3617;&#3634;&#3603;&#3619;&#3634;&#3588;&#3634;/01_BOQ/01_BOQ_MW7%20PATAYA_Rev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dministrator\Desktop\&#3608;&#3637;&#3619;&#3624;&#3633;&#3585;&#3604;&#3636;&#3660;\&#3619;&#3634;&#3588;&#3634;&#3585;&#3621;&#3634;&#3591;&#3619;&#3623;&#3617;&#3626;&#3634;&#3618;&#3607;&#3634;&#3591;%20&#3611;&#3637;&#3591;&#3610;&#3611;&#3619;&#3632;&#3617;&#3634;&#3603;%202547\&#3626;&#3634;&#3618;&#3649;&#3617;&#3656;&#3619;&#3636;&#3617;-&#3649;&#3617;&#3656;&#3649;&#3605;&#3591;%20&#3605;&#3629;&#3609;2%20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626;&#3634;&#3618;&#3649;&#3617;&#3656;&#3649;&#3605;&#3591;-&#3613;&#3634;&#3591;(&#3624;&#3641;&#3609;&#3618;&#3660;&#3613;&#3638;&#3585;&#3621;&#3641;&#3585;&#3594;&#3657;&#3634;&#3591;)%20&#3605;&#3629;&#3609;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My%20Apainukool%20Addwork\(8)&#3649;&#3615;&#3657;&#3617;&#3591;&#3634;&#3609;&#3606;&#3609;&#3609;&#3648;&#3621;&#3637;&#3656;&#3618;&#3591;&#3648;&#3617;&#3639;&#3629;&#3591;(&#3612;&#3633;&#3591;&#3648;&#3617;&#3639;&#3629;&#3591;&#3619;&#3623;&#3617;),&#3629;&#3639;&#3656;&#3609;&#3654;\(2)&#3605;&#3633;&#3623;&#3629;&#3618;&#3656;&#3634;&#3591;&#3591;&#3634;&#3609;&#3605;&#3657;&#3609;&#3607;&#3640;&#3609;&#3591;&#3634;&#3609;&#3606;&#3609;&#3609;&#3612;&#3633;&#3591;&#3648;&#3617;&#3639;&#3629;&#3591;&#3619;&#3623;&#3617;\form_backup%23&#3591;&#3634;&#3609;&#3585;&#3656;&#3629;&#3626;&#3619;&#3657;&#3634;&#3591;,&#3611;&#3619;&#3633;&#3610;&#3611;&#3619;&#3640;&#3591;&#3607;&#3634;&#3591;&#3619;&#3606;&#3652;&#3615;&#3626;&#3634;&#3618;&#3648;&#3585;&#3656;&#3634;\Cost_&#3626;&#3617;&#3640;&#3607;&#3619;&#3611;&#3619;&#3634;&#3585;&#3634;&#3619;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My%20Apainukool%20Addwork\(8)&#3649;&#3615;&#3657;&#3617;&#3591;&#3634;&#3609;&#3606;&#3609;&#3609;&#3648;&#3621;&#3637;&#3656;&#3618;&#3591;&#3648;&#3617;&#3639;&#3629;&#3591;(&#3612;&#3633;&#3591;&#3648;&#3617;&#3639;&#3629;&#3591;&#3619;&#3623;&#3617;),&#3629;&#3639;&#3656;&#3609;&#3654;\(2)&#3605;&#3633;&#3623;&#3629;&#3618;&#3656;&#3634;&#3591;&#3591;&#3634;&#3609;&#3605;&#3657;&#3609;&#3607;&#3640;&#3609;&#3591;&#3634;&#3609;&#3606;&#3609;&#3609;&#3612;&#3633;&#3591;&#3648;&#3617;&#3639;&#3629;&#3591;&#3619;&#3623;&#3617;\form_backup#&#3591;&#3634;&#3609;&#3585;&#3656;&#3629;&#3626;&#3619;&#3657;&#3634;&#3591;,&#3611;&#3619;&#3633;&#3610;&#3611;&#3619;&#3640;&#3591;&#3607;&#3634;&#3591;&#3619;&#3606;&#3652;&#3615;&#3626;&#3634;&#3618;&#3648;&#3585;&#3656;&#3634;\Cost_&#3626;&#3617;&#3640;&#3607;&#3619;&#3611;&#3619;&#3634;&#3585;&#3634;&#3619;V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Users\rattana_m\AppData\Local\Microsoft\Windows\Temporary%20Internet%20Files\Content.Outlook\AJ8CF3MB\01_BOQ_UPDATE_HW4006(REV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626;&#3635;&#3648;&#3609;&#3634;&#3586;&#3629;&#3591;%20Pier%20Box%20Girder%20Bridge%20Height%2020%20m%20ma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B30511E\&#3594;&#3633;&#3618;&#3609;&#3634;&#3607;-&#3607;&#3621;%2032%20&#3605;&#3629;&#3609;%201%20&#3626;&#3656;&#3623;&#3609;&#3607;&#3637;&#3656;%20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H-BPN2\09BPN2_Cost%20&amp;%20BOQ\02_BOQ\01_Mainline\BOQ_UPDATE_mainline&#3594;&#3656;&#3623;&#3591;&#3607;&#3637;&#3656;1(Mainline&amp;Relocate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New%20folder\CBB_7RoofofCarpark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&#3619;&#3634;&#3588;&#3634;&#3585;&#3621;&#3634;&#3591;&#3611;&#3637;&#3591;&#3610;&#3611;&#3619;&#3632;&#3617;&#3634;&#3603;%202551\&#3627;&#3609;&#3629;&#3591;&#3617;&#3609;\&#3627;&#3609;&#3629;&#3591;&#3617;&#3609;&#3605;&#3629;&#3609;%202&#3651;&#3627;&#3617;&#3656;\&#3627;&#3609;&#3629;&#3591;&#3617;&#3609;%20%20&#3605;&#3629;&#3609;2%20%20(31-07-51)&#3609;&#3657;&#3635;&#3617;&#3633;&#3609;37(&#3648;&#3586;&#3655;&#3617;1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608;&#3637;&#3619;&#3624;&#3633;&#3585;&#3604;&#3636;&#3660;\&#3619;&#3634;&#3588;&#3634;&#3585;&#3621;&#3634;&#3591;&#3619;&#3623;&#3617;&#3626;&#3634;&#3618;&#3607;&#3634;&#3591;%20&#3611;&#3637;&#3591;&#3610;&#3611;&#3619;&#3632;&#3617;&#3634;&#3603;%202547\&#3626;&#3634;&#3618;&#3649;&#3617;&#3656;&#3619;&#3636;&#3617;-&#3649;&#3617;&#3656;&#3649;&#3605;&#3591;%20&#3605;&#3629;&#3609;2%20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H-BANGPING\09DOH-BANGPING_Cost%20&amp;%20BOQ\02_BOQ\02_InterChange\&#3611;&#3619;&#3632;&#3617;&#3634;&#3603;&#3619;&#3634;&#3588;&#3634;&#3588;&#3656;&#3634;&#3585;&#3656;&#3629;&#3626;&#3619;&#3657;&#3634;&#3591;&#3607;&#3634;&#3591;&#3649;&#3618;&#3585;&#3618;&#3585;&#3619;&#3632;&#3604;&#3633;&#3610;&#3649;&#3614;&#3619;&#3585;&#3625;&#3634;%20update%2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M-ESTM\PROJECT\2005\200-239%20(&#3601;&#3633;&#3609;&#3605;&#3585;&#3619;&#3619;&#3617;)\BOQ1\BOQ-LIF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&#3619;&#3634;&#3618;&#3585;&#3634;&#3619;&#3611;&#3619;&#3632;&#3617;&#3634;&#3603;&#3619;&#3634;&#3588;&#3634;%2048\&#3591;&#3634;&#3609;&#3612;&#3633;&#3591;&#3648;&#3617;&#3639;&#3629;&#3591;\&#3648;&#3621;&#3637;&#3656;&#3618;&#3591;&#3648;&#3617;&#3639;&#3629;&#3591;&#3648;&#3610;&#3605;&#3591;\05-06-20%20BOQ_Update-&#3649;&#3585;&#3657;&#3652;&#3586;\09%20-%20BOQ\BOQ-UPDATE%20(%20&#3607;&#3640;&#3656;&#3591;&#3609;&#3634;&#3591;&#3604;&#3635;)%2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74_KKU-ENG50\10-12-07%20Cost%20&amp;%20BOQ\&#3591;&#3634;&#3609;BOOTH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uwat\zsomsak-1\ESTIMAT\HOUSE-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9BPN2_Cost%20&amp;%20BOQ\02_BOQ\04_CIVIL\BOQ_update(19_11_50)\BOQ\UnitPric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871786D\&#3594;&#3633;&#3618;&#3609;&#3634;&#3607;-&#3607;&#3621;%2032%20&#3605;&#3629;&#3609;%201%20&#3626;&#3656;&#3623;&#3609;&#3607;&#3637;&#3656;%2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74_KKU-ENG50\10-12-07%20Cost%20&amp;%20BOQ\KKU50-Cost-Estimate%2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6_D238%20DOR-PNG_Estimate\01%20&#3611;&#3619;&#3632;&#3617;&#3634;&#3603;&#3619;&#3634;&#3588;&#3634;&#3606;&#3609;&#3609;&#3626;&#3634;&#3618;&#3607;&#3637;&#3656;1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3%20DOR-TOUR1_Myteam\Cost_Estimate\-----------------------------&#3649;&#3585;&#3657;%20estimate%2029-05-06%20MAA\&#3611;&#3619;&#3632;&#3617;&#3634;&#3603;&#3619;&#3634;&#3588;&#3634;%20&#3626;&#3634;&#3618;&#3592;&#3633;&#3609;&#3607;&#3610;&#3640;&#3619;&#3637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60\Temp\08%20DOR48-G5_Cost-Estimate\01_&#3585;&#3634;&#3597;&#3592;&#3609;&#3610;&#3640;&#3619;&#3637;-&#3649;&#3617;&#3656;&#3609;&#3657;&#3635;&#3649;&#3617;&#3656;&#3585;&#3621;&#3629;&#3591;\09%20-%20BOQ\BOQ-UPDATE1%2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08%20DOR48-G5_Cost-Estimate\01_&#3585;&#3634;&#3597;&#3592;&#3609;&#3610;&#3640;&#3619;&#3637;-&#3649;&#3617;&#3656;&#3609;&#3657;&#3635;&#3649;&#3617;&#3656;&#3585;&#3621;&#3629;&#3591;\09%20-%20BOQ\BOQ-UPDATE1%2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nukul\My%20Documents\&#3585;&#3619;&#3619;&#3617;&#3585;&#3634;&#3619;&#3585;&#3635;&#3627;&#3609;&#3604;&#3619;&#3634;&#3588;&#3634;&#3585;&#3621;&#3634;&#3591;%20&#3592;.&#3629;&#3640;&#3610;&#3621;\Documents%20and%20Settings\Administrator\My%20Documents\&#3626;&#3635;&#3648;&#3609;&#3634;&#3586;&#3629;&#3591;%20&#3619;&#3634;&#3588;&#3634;&#3585;&#3621;&#3634;&#3591;_&#3624;&#3634;&#3621;&#3611;&#3585;&#3588;&#3619;&#3629;&#3591;&#3626;&#3591;&#3586;&#3621;&#3634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9\pop_temp\DOR-TOUR1\01%20DOR-TOUR1_Doc%20In\06-19-06%20&#3592;&#3634;&#3585;&#3614;&#3637;&#3656;&#3618;&#3640;&#3607;&#3608;&#3624;&#3633;&#3585;&#3604;&#3636;&#3660;\&#3619;&#3634;&#3588;&#3634;&#3585;&#3621;&#3634;&#3591;\&#3619;&#3634;&#3588;&#3634;&#3585;&#3621;&#3634;&#3591;%20&#3619;&#3632;&#3618;&#3629;&#3591;-&#3592;&#3633;&#3609;&#3607;&#3610;&#3640;&#3619;&#3637;\&#3619;&#3632;&#3618;&#3629;&#3591;_&#3626;&#3640;&#3609;&#3607;&#3619;&#3616;&#3641;&#3656;_&#3605;&#3633;&#3604;&#3626;&#3634;&#3618;&#3607;&#3637;&#3656;%202\Cost_DOR-TOUR1_&#3616;&#3641;&#3617;&#3636;&#3626;&#3606;&#3634;&#3611;&#3633;&#3605;-&#3626;&#3640;&#3609;&#3607;&#3619;&#3616;&#3641;&#3656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5_Cost%20&amp;%20BOQ\BOQ_Pung_Nga-AP_VSMO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BOQ-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9BPN2_Cost%20&amp;%20BOQ\02_BOQ\01_Mainline\BOQ_UPDATE_mainlin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Users\Administrator\Desktop\&#3619;&#3634;&#3588;&#3634;&#3623;&#3633;&#3626;&#3604;&#3640;&#3585;&#3656;&#3629;&#3626;&#3619;&#3657;&#3634;&#3591;\toon\&#3611;&#3619;&#3632;&#3617;&#3641;&#3621;50\&#3611;&#3634;&#3585;&#3607;&#3656;&#3629;1.1(REBIDDING)\KRABI%20-%20HUAYYOD%20-%201\KRABI-HUAYYOD%20-%201\Documents%20and%20Settings\user\My%20Documents\WorkZ\&#3594;&#3633;&#3618;&#3609;&#3634;&#3607;-&#3607;&#3621;%2032%20&#3605;&#3629;&#3609;%201%20&#3626;&#3656;&#3623;&#3609;&#3607;&#3637;&#3656;%2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&#3619;&#3634;&#3618;&#3585;&#3634;&#3619;&#3611;&#3619;&#3632;&#3617;&#3634;&#3603;&#3619;&#3634;&#3588;&#3634;%2048\&#3591;&#3634;&#3609;&#3612;&#3633;&#3591;&#3648;&#3617;&#3639;&#3629;&#3591;\&#3648;&#3621;&#3637;&#3656;&#3618;&#3591;&#3648;&#3617;&#3639;&#3629;&#3591;&#3648;&#3610;&#3605;&#3591;\05-06-20%20BOQ_Update-&#3649;&#3585;&#3657;&#3652;&#3586;\06%20-%20&#3591;&#3634;&#3609;&#3611;&#3657;&#3629;&#3591;&#3585;&#3633;&#3609;&#3648;&#3594;&#3636;&#3591;&#3621;&#3634;&#3604;&#3649;&#3621;&#3632;&#3619;&#3632;&#3610;&#3610;&#3619;&#3632;&#3610;&#3634;&#3618;&#3609;&#3657;&#3635;\Retaing%20wall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05_Cost%20&amp;%20BOQ\BOQ_Pung_Nga-AP_Update(30-01-50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8.88.2\&#3619;&#3634;&#3618;&#3585;&#3634;&#3619;&#3611;&#3619;&#3632;&#3617;&#3634;&#3603;&#3619;&#3634;&#3588;&#3634;%2048\&#3591;&#3634;&#3609;&#3612;&#3633;&#3591;&#3648;&#3617;&#3639;&#3629;&#3591;\&#3648;&#3621;&#3637;&#3656;&#3618;&#3591;&#3648;&#3617;&#3639;&#3629;&#3591;&#3648;&#3610;&#3605;&#3591;\05-06-20%20BOQ_Update-&#3649;&#3585;&#3657;&#3652;&#3586;\09%20-%20BOQ\BOQ-UPDATE&#3648;&#3610;&#3605;&#359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"/>
      <sheetName val="ศูนย์การแพทย์"/>
      <sheetName val="หอพักผู้ป่วย"/>
      <sheetName val="อาคารบริการ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าคาของพี่วีระ"/>
      <sheetName val="ส่งพี่วินัย"/>
      <sheetName val="รายละเอียดโครงการ"/>
      <sheetName val="ปร5"/>
      <sheetName val="สรุปรายงาน"/>
      <sheetName val="สารบัญ"/>
      <sheetName val="Summary"/>
      <sheetName val="รายการงานของโครงการ"/>
      <sheetName val="รายการทั้งหมด"/>
      <sheetName val="ข้อมูลเบื้องต้น"/>
      <sheetName val="1"/>
      <sheetName val="2"/>
      <sheetName val="3"/>
      <sheetName val="4"/>
      <sheetName val="5-2"/>
      <sheetName val="Unit cost"/>
      <sheetName val="6"/>
      <sheetName val="6 (2)"/>
      <sheetName val="back up"/>
      <sheetName val="7.1"/>
      <sheetName val="7.2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concrete&amp;งานไม้แบบ"/>
      <sheetName val="ราคาวัสดุ"/>
      <sheetName val="ข้อมูลวัสดุค่าดำเนินการ"/>
      <sheetName val="ค่าแรงต่อหน่วย"/>
      <sheetName val="ส่วนขยายและค่ายุบตัว"/>
      <sheetName val="backup ค่าของงานโครงสร้าง"/>
      <sheetName val="ค่าขนส่งทางทะเล"/>
      <sheetName val="BOQ_UPDATE_mainlineช่วงที่1(ค่า"/>
      <sheetName val="สรุป"/>
      <sheetName val="pl"/>
      <sheetName val="หมวด 6(2)"/>
      <sheetName val="หมวด 2"/>
    </sheetNames>
    <sheetDataSet>
      <sheetData sheetId="0" refreshError="1"/>
      <sheetData sheetId="1" refreshError="1"/>
      <sheetData sheetId="2" refreshError="1">
        <row r="4">
          <cell r="B4" t="str">
            <v>ประมาณราคา วันที่  1  พฤศจิกายน พ.ศ. 2550</v>
          </cell>
        </row>
        <row r="29">
          <cell r="B29" t="str">
            <v>ค่าขนส่งวัสดุก่อสร้างพิจารณาตามราคาน้ำมันดีเซลของปตท  (แหล่งกทม.)   ที่ราคา     28.00 - 28.99  บาท/ลิตร</v>
          </cell>
        </row>
        <row r="35">
          <cell r="B35" t="str">
            <v xml:space="preserve">ที่ ราคา 28.00 - 28.99 บาท/ลิตร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53">
          <cell r="M53">
            <v>56.31</v>
          </cell>
        </row>
        <row r="54">
          <cell r="M54">
            <v>172.64</v>
          </cell>
        </row>
        <row r="55">
          <cell r="M55">
            <v>128.32</v>
          </cell>
        </row>
        <row r="57">
          <cell r="L57">
            <v>222.23</v>
          </cell>
        </row>
        <row r="58">
          <cell r="L58">
            <v>277.63</v>
          </cell>
        </row>
        <row r="59">
          <cell r="L59">
            <v>119.36</v>
          </cell>
        </row>
        <row r="60">
          <cell r="L60">
            <v>40.22</v>
          </cell>
        </row>
        <row r="61">
          <cell r="L61">
            <v>6.5</v>
          </cell>
          <cell r="M61">
            <v>9.11</v>
          </cell>
        </row>
        <row r="62">
          <cell r="L62">
            <v>40.22</v>
          </cell>
          <cell r="M62">
            <v>56.31</v>
          </cell>
        </row>
        <row r="63">
          <cell r="L63">
            <v>222.23</v>
          </cell>
          <cell r="M63">
            <v>311.12</v>
          </cell>
        </row>
        <row r="70">
          <cell r="M70">
            <v>39.200000000000003</v>
          </cell>
        </row>
        <row r="71">
          <cell r="M71">
            <v>121.98</v>
          </cell>
        </row>
        <row r="72">
          <cell r="M72">
            <v>90.28</v>
          </cell>
        </row>
        <row r="74">
          <cell r="L74">
            <v>156.33000000000001</v>
          </cell>
        </row>
        <row r="75">
          <cell r="L75">
            <v>195.33</v>
          </cell>
        </row>
        <row r="76">
          <cell r="L76">
            <v>84.62</v>
          </cell>
        </row>
        <row r="77">
          <cell r="L77">
            <v>28</v>
          </cell>
        </row>
        <row r="78">
          <cell r="L78">
            <v>3.93</v>
          </cell>
          <cell r="M78">
            <v>5.5</v>
          </cell>
        </row>
        <row r="79">
          <cell r="L79">
            <v>28</v>
          </cell>
          <cell r="M79">
            <v>39.200000000000003</v>
          </cell>
        </row>
      </sheetData>
      <sheetData sheetId="23" refreshError="1">
        <row r="57">
          <cell r="I57">
            <v>11.44</v>
          </cell>
        </row>
      </sheetData>
      <sheetData sheetId="24" refreshError="1">
        <row r="8">
          <cell r="B8">
            <v>4.88</v>
          </cell>
          <cell r="C8">
            <v>6.83</v>
          </cell>
          <cell r="H8">
            <v>2.76</v>
          </cell>
          <cell r="I8">
            <v>3.87</v>
          </cell>
        </row>
        <row r="9">
          <cell r="B9">
            <v>6.5</v>
          </cell>
          <cell r="C9">
            <v>9.11</v>
          </cell>
          <cell r="H9">
            <v>3.93</v>
          </cell>
          <cell r="I9">
            <v>5.5</v>
          </cell>
        </row>
        <row r="10">
          <cell r="B10">
            <v>8.1300000000000008</v>
          </cell>
          <cell r="C10">
            <v>11.38</v>
          </cell>
          <cell r="H10">
            <v>5.09</v>
          </cell>
          <cell r="I10">
            <v>7.12</v>
          </cell>
        </row>
        <row r="11">
          <cell r="B11">
            <v>9.75</v>
          </cell>
          <cell r="C11">
            <v>13.65</v>
          </cell>
          <cell r="H11">
            <v>6.25</v>
          </cell>
          <cell r="I11">
            <v>8.75</v>
          </cell>
        </row>
        <row r="12">
          <cell r="B12">
            <v>11.37</v>
          </cell>
          <cell r="C12">
            <v>15.92</v>
          </cell>
          <cell r="H12">
            <v>7.41</v>
          </cell>
          <cell r="I12">
            <v>10.38</v>
          </cell>
        </row>
        <row r="13">
          <cell r="B13">
            <v>13</v>
          </cell>
          <cell r="C13">
            <v>18.190000000000001</v>
          </cell>
          <cell r="H13">
            <v>8.58</v>
          </cell>
          <cell r="I13">
            <v>12.01</v>
          </cell>
        </row>
        <row r="14">
          <cell r="B14">
            <v>14.62</v>
          </cell>
          <cell r="C14">
            <v>20.47</v>
          </cell>
          <cell r="H14">
            <v>9.74</v>
          </cell>
          <cell r="I14">
            <v>13.64</v>
          </cell>
        </row>
        <row r="15">
          <cell r="B15">
            <v>16.48</v>
          </cell>
          <cell r="C15">
            <v>23.07</v>
          </cell>
          <cell r="H15">
            <v>10.9</v>
          </cell>
          <cell r="I15">
            <v>15.26</v>
          </cell>
        </row>
        <row r="16">
          <cell r="B16">
            <v>18.46</v>
          </cell>
          <cell r="C16">
            <v>25.84</v>
          </cell>
          <cell r="H16">
            <v>12.07</v>
          </cell>
          <cell r="I16">
            <v>16.89</v>
          </cell>
        </row>
        <row r="17">
          <cell r="B17">
            <v>20.440000000000001</v>
          </cell>
          <cell r="C17">
            <v>28.61</v>
          </cell>
          <cell r="H17">
            <v>13.23</v>
          </cell>
          <cell r="I17">
            <v>18.52</v>
          </cell>
        </row>
        <row r="18">
          <cell r="B18">
            <v>22.41</v>
          </cell>
          <cell r="C18">
            <v>31.38</v>
          </cell>
          <cell r="H18">
            <v>14.39</v>
          </cell>
          <cell r="I18">
            <v>20.149999999999999</v>
          </cell>
        </row>
        <row r="19">
          <cell r="B19">
            <v>24.39</v>
          </cell>
          <cell r="C19">
            <v>34.15</v>
          </cell>
          <cell r="H19">
            <v>15.56</v>
          </cell>
          <cell r="I19">
            <v>21.78</v>
          </cell>
        </row>
        <row r="20">
          <cell r="B20">
            <v>26.37</v>
          </cell>
          <cell r="C20">
            <v>36.92</v>
          </cell>
          <cell r="H20">
            <v>16.72</v>
          </cell>
          <cell r="I20">
            <v>23.41</v>
          </cell>
        </row>
        <row r="21">
          <cell r="B21">
            <v>28.35</v>
          </cell>
          <cell r="C21">
            <v>39.69</v>
          </cell>
          <cell r="H21">
            <v>17.88</v>
          </cell>
          <cell r="I21">
            <v>25.03</v>
          </cell>
        </row>
        <row r="22">
          <cell r="B22">
            <v>30.33</v>
          </cell>
          <cell r="C22">
            <v>42.46</v>
          </cell>
          <cell r="H22">
            <v>19.190000000000001</v>
          </cell>
          <cell r="I22">
            <v>26.87</v>
          </cell>
        </row>
        <row r="23">
          <cell r="B23">
            <v>32.31</v>
          </cell>
          <cell r="C23">
            <v>45.23</v>
          </cell>
          <cell r="H23">
            <v>20.45</v>
          </cell>
          <cell r="I23">
            <v>28.63</v>
          </cell>
        </row>
        <row r="24">
          <cell r="B24">
            <v>34.28</v>
          </cell>
          <cell r="C24">
            <v>48</v>
          </cell>
          <cell r="H24">
            <v>21.71</v>
          </cell>
          <cell r="I24">
            <v>30.39</v>
          </cell>
        </row>
        <row r="25">
          <cell r="B25">
            <v>36.26</v>
          </cell>
          <cell r="C25">
            <v>50.77</v>
          </cell>
          <cell r="H25">
            <v>22.97</v>
          </cell>
          <cell r="I25">
            <v>32.15</v>
          </cell>
        </row>
        <row r="26">
          <cell r="B26">
            <v>38.24</v>
          </cell>
          <cell r="C26">
            <v>53.54</v>
          </cell>
          <cell r="H26">
            <v>24.22</v>
          </cell>
          <cell r="I26">
            <v>33.909999999999997</v>
          </cell>
        </row>
        <row r="27">
          <cell r="B27">
            <v>40.22</v>
          </cell>
          <cell r="C27">
            <v>56.31</v>
          </cell>
          <cell r="H27">
            <v>25.48</v>
          </cell>
          <cell r="I27">
            <v>35.68</v>
          </cell>
        </row>
        <row r="28">
          <cell r="B28">
            <v>42.2</v>
          </cell>
          <cell r="C28">
            <v>59.08</v>
          </cell>
          <cell r="H28">
            <v>26.74</v>
          </cell>
          <cell r="I28">
            <v>37.44</v>
          </cell>
        </row>
        <row r="29">
          <cell r="B29">
            <v>44.18</v>
          </cell>
          <cell r="C29">
            <v>61.85</v>
          </cell>
          <cell r="H29">
            <v>28</v>
          </cell>
          <cell r="I29">
            <v>39.200000000000003</v>
          </cell>
        </row>
        <row r="30">
          <cell r="B30">
            <v>46.15</v>
          </cell>
          <cell r="C30">
            <v>64.62</v>
          </cell>
          <cell r="H30">
            <v>29.26</v>
          </cell>
          <cell r="I30">
            <v>40.96</v>
          </cell>
        </row>
        <row r="31">
          <cell r="B31">
            <v>48.13</v>
          </cell>
          <cell r="C31">
            <v>67.39</v>
          </cell>
          <cell r="H31">
            <v>30.52</v>
          </cell>
          <cell r="I31">
            <v>42.72</v>
          </cell>
        </row>
        <row r="32">
          <cell r="B32">
            <v>50.11</v>
          </cell>
          <cell r="C32">
            <v>70.16</v>
          </cell>
          <cell r="H32">
            <v>31.77</v>
          </cell>
          <cell r="I32">
            <v>44.48</v>
          </cell>
        </row>
        <row r="33">
          <cell r="B33">
            <v>52.09</v>
          </cell>
          <cell r="C33">
            <v>72.930000000000007</v>
          </cell>
          <cell r="H33">
            <v>33.03</v>
          </cell>
          <cell r="I33">
            <v>46.24</v>
          </cell>
        </row>
        <row r="34">
          <cell r="B34">
            <v>54.07</v>
          </cell>
          <cell r="C34">
            <v>75.7</v>
          </cell>
          <cell r="H34">
            <v>34.29</v>
          </cell>
          <cell r="I34">
            <v>48.01</v>
          </cell>
        </row>
        <row r="35">
          <cell r="B35">
            <v>56.05</v>
          </cell>
          <cell r="C35">
            <v>78.47</v>
          </cell>
          <cell r="H35">
            <v>35.549999999999997</v>
          </cell>
          <cell r="I35">
            <v>49.77</v>
          </cell>
        </row>
        <row r="36">
          <cell r="B36">
            <v>58.03</v>
          </cell>
          <cell r="C36">
            <v>81.239999999999995</v>
          </cell>
          <cell r="H36">
            <v>36.81</v>
          </cell>
          <cell r="I36">
            <v>51.53</v>
          </cell>
        </row>
        <row r="37">
          <cell r="B37">
            <v>60</v>
          </cell>
          <cell r="C37">
            <v>84</v>
          </cell>
          <cell r="H37">
            <v>38.06</v>
          </cell>
          <cell r="I37">
            <v>53.29</v>
          </cell>
        </row>
        <row r="38">
          <cell r="B38">
            <v>61.98</v>
          </cell>
          <cell r="C38">
            <v>86.77</v>
          </cell>
          <cell r="H38">
            <v>39.32</v>
          </cell>
          <cell r="I38">
            <v>55.05</v>
          </cell>
        </row>
        <row r="39">
          <cell r="B39">
            <v>63.96</v>
          </cell>
          <cell r="C39">
            <v>89.54</v>
          </cell>
          <cell r="H39">
            <v>40.58</v>
          </cell>
          <cell r="I39">
            <v>56.81</v>
          </cell>
        </row>
        <row r="40">
          <cell r="B40">
            <v>65.94</v>
          </cell>
          <cell r="C40">
            <v>92.31</v>
          </cell>
          <cell r="H40">
            <v>41.84</v>
          </cell>
          <cell r="I40">
            <v>58.57</v>
          </cell>
        </row>
        <row r="41">
          <cell r="B41">
            <v>67.92</v>
          </cell>
          <cell r="C41">
            <v>95.08</v>
          </cell>
          <cell r="H41">
            <v>43.1</v>
          </cell>
          <cell r="I41">
            <v>60.34</v>
          </cell>
        </row>
        <row r="42">
          <cell r="B42">
            <v>69.900000000000006</v>
          </cell>
          <cell r="C42">
            <v>97.85</v>
          </cell>
          <cell r="H42">
            <v>44.35</v>
          </cell>
          <cell r="I42">
            <v>62.1</v>
          </cell>
        </row>
        <row r="43">
          <cell r="B43">
            <v>71.87</v>
          </cell>
          <cell r="C43">
            <v>100.62</v>
          </cell>
          <cell r="H43">
            <v>45.61</v>
          </cell>
          <cell r="I43">
            <v>63.86</v>
          </cell>
        </row>
        <row r="44">
          <cell r="B44">
            <v>73.849999999999994</v>
          </cell>
          <cell r="C44">
            <v>103.39</v>
          </cell>
          <cell r="H44">
            <v>46.87</v>
          </cell>
          <cell r="I44">
            <v>65.62</v>
          </cell>
        </row>
        <row r="45">
          <cell r="B45">
            <v>75.83</v>
          </cell>
          <cell r="C45">
            <v>106.16</v>
          </cell>
          <cell r="H45">
            <v>48.13</v>
          </cell>
          <cell r="I45">
            <v>67.38</v>
          </cell>
        </row>
        <row r="46">
          <cell r="B46">
            <v>77.81</v>
          </cell>
          <cell r="C46">
            <v>108.93</v>
          </cell>
          <cell r="H46">
            <v>49.39</v>
          </cell>
          <cell r="I46">
            <v>69.14</v>
          </cell>
        </row>
        <row r="47">
          <cell r="B47">
            <v>79.790000000000006</v>
          </cell>
          <cell r="C47">
            <v>111.7</v>
          </cell>
          <cell r="H47">
            <v>50.65</v>
          </cell>
          <cell r="I47">
            <v>70.900000000000006</v>
          </cell>
        </row>
        <row r="48">
          <cell r="B48">
            <v>81.77</v>
          </cell>
          <cell r="C48">
            <v>114.47</v>
          </cell>
          <cell r="H48">
            <v>51.9</v>
          </cell>
          <cell r="I48">
            <v>72.67</v>
          </cell>
        </row>
        <row r="49">
          <cell r="B49">
            <v>83.74</v>
          </cell>
          <cell r="C49">
            <v>117.24</v>
          </cell>
          <cell r="H49">
            <v>53.16</v>
          </cell>
          <cell r="I49">
            <v>74.430000000000007</v>
          </cell>
        </row>
        <row r="50">
          <cell r="B50">
            <v>85.72</v>
          </cell>
          <cell r="C50">
            <v>120.01</v>
          </cell>
          <cell r="H50">
            <v>54.42</v>
          </cell>
          <cell r="I50">
            <v>76.19</v>
          </cell>
        </row>
        <row r="51">
          <cell r="B51">
            <v>87.7</v>
          </cell>
          <cell r="C51">
            <v>122.78</v>
          </cell>
          <cell r="H51">
            <v>55.68</v>
          </cell>
          <cell r="I51">
            <v>77.95</v>
          </cell>
        </row>
        <row r="52">
          <cell r="B52">
            <v>89.68</v>
          </cell>
          <cell r="C52">
            <v>125.55</v>
          </cell>
          <cell r="H52">
            <v>56.94</v>
          </cell>
          <cell r="I52">
            <v>79.709999999999994</v>
          </cell>
        </row>
        <row r="53">
          <cell r="B53">
            <v>91.66</v>
          </cell>
          <cell r="C53">
            <v>128.32</v>
          </cell>
          <cell r="H53">
            <v>58.19</v>
          </cell>
          <cell r="I53">
            <v>81.47</v>
          </cell>
        </row>
        <row r="54">
          <cell r="B54">
            <v>93.64</v>
          </cell>
          <cell r="C54">
            <v>131.09</v>
          </cell>
          <cell r="H54">
            <v>59.45</v>
          </cell>
          <cell r="I54">
            <v>83.23</v>
          </cell>
        </row>
        <row r="55">
          <cell r="B55">
            <v>95.61</v>
          </cell>
          <cell r="C55">
            <v>133.86000000000001</v>
          </cell>
          <cell r="H55">
            <v>60.71</v>
          </cell>
          <cell r="I55">
            <v>85</v>
          </cell>
        </row>
        <row r="56">
          <cell r="B56">
            <v>97.59</v>
          </cell>
          <cell r="C56">
            <v>136.63</v>
          </cell>
          <cell r="H56">
            <v>61.97</v>
          </cell>
          <cell r="I56">
            <v>86.76</v>
          </cell>
        </row>
        <row r="57">
          <cell r="B57">
            <v>99.57</v>
          </cell>
          <cell r="C57">
            <v>139.4</v>
          </cell>
          <cell r="H57">
            <v>63.23</v>
          </cell>
          <cell r="I57">
            <v>88.52</v>
          </cell>
        </row>
        <row r="58">
          <cell r="B58">
            <v>101.55</v>
          </cell>
          <cell r="C58">
            <v>142.16999999999999</v>
          </cell>
          <cell r="H58">
            <v>64.489999999999995</v>
          </cell>
          <cell r="I58">
            <v>90.28</v>
          </cell>
        </row>
        <row r="59">
          <cell r="B59">
            <v>103.53</v>
          </cell>
          <cell r="C59">
            <v>144.94</v>
          </cell>
          <cell r="H59">
            <v>65.739999999999995</v>
          </cell>
          <cell r="I59">
            <v>92.04</v>
          </cell>
        </row>
        <row r="60">
          <cell r="B60">
            <v>105.51</v>
          </cell>
          <cell r="C60">
            <v>147.71</v>
          </cell>
          <cell r="H60">
            <v>67</v>
          </cell>
          <cell r="I60">
            <v>93.8</v>
          </cell>
        </row>
        <row r="61">
          <cell r="B61">
            <v>107.48</v>
          </cell>
          <cell r="C61">
            <v>150.47999999999999</v>
          </cell>
          <cell r="H61">
            <v>68.260000000000005</v>
          </cell>
          <cell r="I61">
            <v>95.56</v>
          </cell>
        </row>
        <row r="62">
          <cell r="B62">
            <v>109.46</v>
          </cell>
          <cell r="C62">
            <v>153.25</v>
          </cell>
          <cell r="H62">
            <v>69.52</v>
          </cell>
          <cell r="I62">
            <v>97.33</v>
          </cell>
        </row>
        <row r="63">
          <cell r="B63">
            <v>111.44</v>
          </cell>
          <cell r="C63">
            <v>156.02000000000001</v>
          </cell>
          <cell r="H63">
            <v>70.78</v>
          </cell>
          <cell r="I63">
            <v>99.09</v>
          </cell>
        </row>
        <row r="64">
          <cell r="B64">
            <v>113.42</v>
          </cell>
          <cell r="C64">
            <v>158.79</v>
          </cell>
          <cell r="H64">
            <v>72.03</v>
          </cell>
          <cell r="I64">
            <v>100.85</v>
          </cell>
        </row>
        <row r="65">
          <cell r="B65">
            <v>115.4</v>
          </cell>
          <cell r="C65">
            <v>161.56</v>
          </cell>
          <cell r="H65">
            <v>73.290000000000006</v>
          </cell>
          <cell r="I65">
            <v>102.61</v>
          </cell>
        </row>
        <row r="66">
          <cell r="B66">
            <v>117.38</v>
          </cell>
          <cell r="C66">
            <v>164.33</v>
          </cell>
          <cell r="H66">
            <v>74.55</v>
          </cell>
          <cell r="I66">
            <v>104.37</v>
          </cell>
        </row>
        <row r="67">
          <cell r="B67">
            <v>119.36</v>
          </cell>
          <cell r="C67">
            <v>167.1</v>
          </cell>
          <cell r="H67">
            <v>75.81</v>
          </cell>
          <cell r="I67">
            <v>106.13</v>
          </cell>
        </row>
        <row r="68">
          <cell r="B68">
            <v>121.33</v>
          </cell>
          <cell r="C68">
            <v>169.87</v>
          </cell>
          <cell r="H68">
            <v>77.069999999999993</v>
          </cell>
          <cell r="I68">
            <v>107.89</v>
          </cell>
        </row>
        <row r="69">
          <cell r="B69">
            <v>123.31</v>
          </cell>
          <cell r="C69">
            <v>172.64</v>
          </cell>
          <cell r="H69">
            <v>78.319999999999993</v>
          </cell>
          <cell r="I69">
            <v>109.65</v>
          </cell>
        </row>
        <row r="70">
          <cell r="B70">
            <v>125.29</v>
          </cell>
          <cell r="C70">
            <v>175.41</v>
          </cell>
          <cell r="H70">
            <v>79.58</v>
          </cell>
          <cell r="I70">
            <v>111.42</v>
          </cell>
        </row>
        <row r="71">
          <cell r="B71">
            <v>127.27</v>
          </cell>
          <cell r="C71">
            <v>178.18</v>
          </cell>
          <cell r="H71">
            <v>80.84</v>
          </cell>
          <cell r="I71">
            <v>113.18</v>
          </cell>
        </row>
        <row r="72">
          <cell r="B72">
            <v>129.25</v>
          </cell>
          <cell r="C72">
            <v>180.95</v>
          </cell>
          <cell r="H72">
            <v>82.1</v>
          </cell>
          <cell r="I72">
            <v>114.94</v>
          </cell>
        </row>
        <row r="73">
          <cell r="B73">
            <v>131.22999999999999</v>
          </cell>
          <cell r="C73">
            <v>183.72</v>
          </cell>
          <cell r="H73">
            <v>83.36</v>
          </cell>
          <cell r="I73">
            <v>116.7</v>
          </cell>
        </row>
        <row r="74">
          <cell r="B74">
            <v>133.19999999999999</v>
          </cell>
          <cell r="C74">
            <v>186.49</v>
          </cell>
          <cell r="H74">
            <v>84.62</v>
          </cell>
          <cell r="I74">
            <v>118.46</v>
          </cell>
        </row>
        <row r="75">
          <cell r="B75">
            <v>135.18</v>
          </cell>
          <cell r="C75">
            <v>189.26</v>
          </cell>
          <cell r="H75">
            <v>85.87</v>
          </cell>
          <cell r="I75">
            <v>120.22</v>
          </cell>
        </row>
        <row r="76">
          <cell r="B76">
            <v>137.16</v>
          </cell>
          <cell r="C76">
            <v>192.02</v>
          </cell>
          <cell r="H76">
            <v>87.13</v>
          </cell>
          <cell r="I76">
            <v>121.98</v>
          </cell>
        </row>
        <row r="77">
          <cell r="B77">
            <v>139.13999999999999</v>
          </cell>
          <cell r="C77">
            <v>194.79</v>
          </cell>
          <cell r="H77">
            <v>88.39</v>
          </cell>
          <cell r="I77">
            <v>123.75</v>
          </cell>
        </row>
        <row r="78">
          <cell r="B78">
            <v>141.12</v>
          </cell>
          <cell r="C78">
            <v>197.56</v>
          </cell>
          <cell r="H78">
            <v>89.65</v>
          </cell>
          <cell r="I78">
            <v>125.51</v>
          </cell>
        </row>
        <row r="79">
          <cell r="B79">
            <v>143.1</v>
          </cell>
          <cell r="C79">
            <v>200.33</v>
          </cell>
          <cell r="H79">
            <v>90.91</v>
          </cell>
          <cell r="I79">
            <v>127.27</v>
          </cell>
        </row>
        <row r="80">
          <cell r="B80">
            <v>145.07</v>
          </cell>
          <cell r="C80">
            <v>203.1</v>
          </cell>
          <cell r="H80">
            <v>92.16</v>
          </cell>
          <cell r="I80">
            <v>129.03</v>
          </cell>
        </row>
        <row r="81">
          <cell r="B81">
            <v>147.05000000000001</v>
          </cell>
          <cell r="C81">
            <v>205.87</v>
          </cell>
          <cell r="H81">
            <v>93.42</v>
          </cell>
          <cell r="I81">
            <v>130.79</v>
          </cell>
        </row>
        <row r="82">
          <cell r="B82">
            <v>149.03</v>
          </cell>
          <cell r="C82">
            <v>208.64</v>
          </cell>
          <cell r="H82">
            <v>94.68</v>
          </cell>
          <cell r="I82">
            <v>132.55000000000001</v>
          </cell>
        </row>
        <row r="83">
          <cell r="B83">
            <v>151.01</v>
          </cell>
          <cell r="C83">
            <v>211.41</v>
          </cell>
          <cell r="H83">
            <v>95.94</v>
          </cell>
          <cell r="I83">
            <v>134.31</v>
          </cell>
        </row>
        <row r="84">
          <cell r="B84">
            <v>152.99</v>
          </cell>
          <cell r="C84">
            <v>214.18</v>
          </cell>
          <cell r="H84">
            <v>97.2</v>
          </cell>
          <cell r="I84">
            <v>136.08000000000001</v>
          </cell>
        </row>
        <row r="85">
          <cell r="B85">
            <v>154.97</v>
          </cell>
          <cell r="C85">
            <v>216.95</v>
          </cell>
          <cell r="H85">
            <v>98.46</v>
          </cell>
          <cell r="I85">
            <v>137.84</v>
          </cell>
        </row>
        <row r="86">
          <cell r="B86">
            <v>156.94</v>
          </cell>
          <cell r="C86">
            <v>219.72</v>
          </cell>
          <cell r="H86">
            <v>99.71</v>
          </cell>
          <cell r="I86">
            <v>139.6</v>
          </cell>
        </row>
        <row r="87">
          <cell r="B87">
            <v>158.91999999999999</v>
          </cell>
          <cell r="C87">
            <v>222.49</v>
          </cell>
          <cell r="H87">
            <v>100.97</v>
          </cell>
          <cell r="I87">
            <v>141.36000000000001</v>
          </cell>
        </row>
        <row r="88">
          <cell r="B88">
            <v>160.9</v>
          </cell>
          <cell r="C88">
            <v>225.26</v>
          </cell>
          <cell r="H88">
            <v>102.23</v>
          </cell>
          <cell r="I88">
            <v>143.12</v>
          </cell>
        </row>
        <row r="89">
          <cell r="B89">
            <v>162.88</v>
          </cell>
          <cell r="C89">
            <v>228.03</v>
          </cell>
          <cell r="H89">
            <v>103.49</v>
          </cell>
          <cell r="I89">
            <v>144.88</v>
          </cell>
        </row>
        <row r="90">
          <cell r="B90">
            <v>164.86</v>
          </cell>
          <cell r="C90">
            <v>230.8</v>
          </cell>
          <cell r="H90">
            <v>104.75</v>
          </cell>
          <cell r="I90">
            <v>146.63999999999999</v>
          </cell>
        </row>
        <row r="91">
          <cell r="B91">
            <v>166.84</v>
          </cell>
          <cell r="C91">
            <v>233.57</v>
          </cell>
          <cell r="H91">
            <v>106</v>
          </cell>
          <cell r="I91">
            <v>148.41</v>
          </cell>
        </row>
        <row r="92">
          <cell r="B92">
            <v>168.81</v>
          </cell>
          <cell r="C92">
            <v>236.34</v>
          </cell>
          <cell r="H92">
            <v>107.26</v>
          </cell>
          <cell r="I92">
            <v>150.16999999999999</v>
          </cell>
        </row>
        <row r="93">
          <cell r="B93">
            <v>170.79</v>
          </cell>
          <cell r="C93">
            <v>239.11</v>
          </cell>
          <cell r="H93">
            <v>108.52</v>
          </cell>
          <cell r="I93">
            <v>151.93</v>
          </cell>
        </row>
        <row r="94">
          <cell r="B94">
            <v>172.77</v>
          </cell>
          <cell r="C94">
            <v>241.88</v>
          </cell>
          <cell r="H94">
            <v>109.78</v>
          </cell>
          <cell r="I94">
            <v>153.69</v>
          </cell>
        </row>
        <row r="95">
          <cell r="B95">
            <v>174.75</v>
          </cell>
          <cell r="C95">
            <v>244.65</v>
          </cell>
          <cell r="H95">
            <v>111.04</v>
          </cell>
          <cell r="I95">
            <v>155.44999999999999</v>
          </cell>
        </row>
        <row r="96">
          <cell r="B96">
            <v>176.73</v>
          </cell>
          <cell r="C96">
            <v>247.42</v>
          </cell>
          <cell r="H96">
            <v>112.29</v>
          </cell>
          <cell r="I96">
            <v>157.21</v>
          </cell>
        </row>
        <row r="97">
          <cell r="B97">
            <v>178.71</v>
          </cell>
          <cell r="C97">
            <v>250.19</v>
          </cell>
          <cell r="H97">
            <v>113.55</v>
          </cell>
          <cell r="I97">
            <v>158.97</v>
          </cell>
        </row>
        <row r="98">
          <cell r="B98">
            <v>180.69</v>
          </cell>
          <cell r="C98">
            <v>252.96</v>
          </cell>
          <cell r="H98">
            <v>114.81</v>
          </cell>
          <cell r="I98">
            <v>160.74</v>
          </cell>
        </row>
        <row r="99">
          <cell r="B99">
            <v>182.66</v>
          </cell>
          <cell r="C99">
            <v>255.73</v>
          </cell>
          <cell r="H99">
            <v>116.07</v>
          </cell>
          <cell r="I99">
            <v>162.5</v>
          </cell>
        </row>
        <row r="100">
          <cell r="B100">
            <v>184.64</v>
          </cell>
          <cell r="C100">
            <v>258.5</v>
          </cell>
          <cell r="H100">
            <v>117.33</v>
          </cell>
          <cell r="I100">
            <v>164.26</v>
          </cell>
        </row>
        <row r="101">
          <cell r="B101">
            <v>186.62</v>
          </cell>
          <cell r="C101">
            <v>261.27</v>
          </cell>
          <cell r="H101">
            <v>118.59</v>
          </cell>
          <cell r="I101">
            <v>166.02</v>
          </cell>
        </row>
        <row r="102">
          <cell r="B102">
            <v>188.6</v>
          </cell>
          <cell r="C102">
            <v>264.04000000000002</v>
          </cell>
          <cell r="H102">
            <v>119.84</v>
          </cell>
          <cell r="I102">
            <v>167.78</v>
          </cell>
        </row>
        <row r="103">
          <cell r="B103">
            <v>190.58</v>
          </cell>
          <cell r="C103">
            <v>266.81</v>
          </cell>
          <cell r="H103">
            <v>121.1</v>
          </cell>
          <cell r="I103">
            <v>169.54</v>
          </cell>
        </row>
        <row r="104">
          <cell r="B104">
            <v>192.56</v>
          </cell>
          <cell r="C104">
            <v>269.58</v>
          </cell>
          <cell r="H104">
            <v>122.36</v>
          </cell>
          <cell r="I104">
            <v>171.3</v>
          </cell>
        </row>
        <row r="105">
          <cell r="B105">
            <v>194.53</v>
          </cell>
          <cell r="C105">
            <v>272.35000000000002</v>
          </cell>
          <cell r="H105">
            <v>123.62</v>
          </cell>
          <cell r="I105">
            <v>173.07</v>
          </cell>
        </row>
        <row r="106">
          <cell r="B106">
            <v>196.51</v>
          </cell>
          <cell r="C106">
            <v>275.12</v>
          </cell>
          <cell r="H106">
            <v>124.88</v>
          </cell>
          <cell r="I106">
            <v>174.83</v>
          </cell>
        </row>
        <row r="107">
          <cell r="B107">
            <v>198.49</v>
          </cell>
          <cell r="C107">
            <v>277.89</v>
          </cell>
          <cell r="H107">
            <v>126.13</v>
          </cell>
          <cell r="I107">
            <v>176.59</v>
          </cell>
        </row>
        <row r="108">
          <cell r="B108">
            <v>200.47</v>
          </cell>
          <cell r="C108">
            <v>280.66000000000003</v>
          </cell>
          <cell r="H108">
            <v>127.39</v>
          </cell>
          <cell r="I108">
            <v>178.35</v>
          </cell>
        </row>
        <row r="109">
          <cell r="B109">
            <v>202.45</v>
          </cell>
          <cell r="C109">
            <v>283.43</v>
          </cell>
          <cell r="H109">
            <v>128.65</v>
          </cell>
          <cell r="I109">
            <v>180.11</v>
          </cell>
        </row>
        <row r="110">
          <cell r="B110">
            <v>204.43</v>
          </cell>
          <cell r="C110">
            <v>286.2</v>
          </cell>
          <cell r="H110">
            <v>129.91</v>
          </cell>
          <cell r="I110">
            <v>181.87</v>
          </cell>
        </row>
        <row r="111">
          <cell r="B111">
            <v>206.4</v>
          </cell>
          <cell r="C111">
            <v>288.97000000000003</v>
          </cell>
          <cell r="H111">
            <v>131.16999999999999</v>
          </cell>
          <cell r="I111">
            <v>183.63</v>
          </cell>
        </row>
        <row r="112">
          <cell r="B112">
            <v>208.38</v>
          </cell>
          <cell r="C112">
            <v>291.74</v>
          </cell>
          <cell r="H112">
            <v>132.43</v>
          </cell>
          <cell r="I112">
            <v>185.4</v>
          </cell>
        </row>
        <row r="113">
          <cell r="B113">
            <v>210.36</v>
          </cell>
          <cell r="C113">
            <v>294.51</v>
          </cell>
          <cell r="H113">
            <v>133.68</v>
          </cell>
          <cell r="I113">
            <v>187.16</v>
          </cell>
        </row>
        <row r="114">
          <cell r="B114">
            <v>212.34</v>
          </cell>
          <cell r="C114">
            <v>297.27999999999997</v>
          </cell>
          <cell r="H114">
            <v>134.94</v>
          </cell>
          <cell r="I114">
            <v>188.92</v>
          </cell>
        </row>
        <row r="115">
          <cell r="B115">
            <v>214.32</v>
          </cell>
          <cell r="C115">
            <v>300.05</v>
          </cell>
          <cell r="H115">
            <v>136.19999999999999</v>
          </cell>
          <cell r="I115">
            <v>190.68</v>
          </cell>
        </row>
        <row r="116">
          <cell r="B116">
            <v>216.3</v>
          </cell>
          <cell r="C116">
            <v>302.81</v>
          </cell>
          <cell r="H116">
            <v>137.46</v>
          </cell>
          <cell r="I116">
            <v>192.44</v>
          </cell>
        </row>
        <row r="117">
          <cell r="B117">
            <v>218.27</v>
          </cell>
          <cell r="C117">
            <v>305.58</v>
          </cell>
          <cell r="H117">
            <v>138.72</v>
          </cell>
          <cell r="I117">
            <v>194.2</v>
          </cell>
        </row>
        <row r="118">
          <cell r="B118">
            <v>220.25</v>
          </cell>
          <cell r="C118">
            <v>308.35000000000002</v>
          </cell>
          <cell r="H118">
            <v>139.97</v>
          </cell>
          <cell r="I118">
            <v>195.96</v>
          </cell>
        </row>
        <row r="119">
          <cell r="B119">
            <v>222.23</v>
          </cell>
          <cell r="C119">
            <v>311.12</v>
          </cell>
          <cell r="H119">
            <v>141.22999999999999</v>
          </cell>
          <cell r="I119">
            <v>197.73</v>
          </cell>
        </row>
        <row r="120">
          <cell r="B120">
            <v>224.21</v>
          </cell>
          <cell r="C120">
            <v>313.89</v>
          </cell>
          <cell r="H120">
            <v>142.49</v>
          </cell>
          <cell r="I120">
            <v>199.49</v>
          </cell>
        </row>
        <row r="121">
          <cell r="B121">
            <v>226.19</v>
          </cell>
          <cell r="C121">
            <v>316.66000000000003</v>
          </cell>
          <cell r="H121">
            <v>143.75</v>
          </cell>
          <cell r="I121">
            <v>201.25</v>
          </cell>
        </row>
        <row r="122">
          <cell r="B122">
            <v>228.17</v>
          </cell>
          <cell r="C122">
            <v>319.43</v>
          </cell>
          <cell r="H122">
            <v>145.01</v>
          </cell>
          <cell r="I122">
            <v>203.01</v>
          </cell>
        </row>
        <row r="123">
          <cell r="B123">
            <v>230.14</v>
          </cell>
          <cell r="C123">
            <v>322.2</v>
          </cell>
          <cell r="H123">
            <v>146.26</v>
          </cell>
          <cell r="I123">
            <v>204.77</v>
          </cell>
        </row>
        <row r="124">
          <cell r="B124">
            <v>232.12</v>
          </cell>
          <cell r="C124">
            <v>324.97000000000003</v>
          </cell>
          <cell r="H124">
            <v>147.52000000000001</v>
          </cell>
          <cell r="I124">
            <v>206.53</v>
          </cell>
        </row>
        <row r="125">
          <cell r="B125">
            <v>234.1</v>
          </cell>
          <cell r="C125">
            <v>327.74</v>
          </cell>
          <cell r="H125">
            <v>148.78</v>
          </cell>
          <cell r="I125">
            <v>208.29</v>
          </cell>
        </row>
        <row r="126">
          <cell r="B126">
            <v>236.08</v>
          </cell>
          <cell r="C126">
            <v>330.51</v>
          </cell>
          <cell r="H126">
            <v>150.04</v>
          </cell>
          <cell r="I126">
            <v>210.05</v>
          </cell>
        </row>
        <row r="127">
          <cell r="B127">
            <v>238.06</v>
          </cell>
          <cell r="C127">
            <v>333.28</v>
          </cell>
          <cell r="H127">
            <v>151.30000000000001</v>
          </cell>
          <cell r="I127">
            <v>211.82</v>
          </cell>
        </row>
        <row r="128">
          <cell r="B128">
            <v>240.04</v>
          </cell>
          <cell r="C128">
            <v>336.05</v>
          </cell>
          <cell r="H128">
            <v>152.56</v>
          </cell>
          <cell r="I128">
            <v>213.58</v>
          </cell>
        </row>
        <row r="129">
          <cell r="B129">
            <v>242.02</v>
          </cell>
          <cell r="C129">
            <v>338.82</v>
          </cell>
          <cell r="H129">
            <v>153.81</v>
          </cell>
          <cell r="I129">
            <v>215.34</v>
          </cell>
        </row>
        <row r="130">
          <cell r="B130">
            <v>243.99</v>
          </cell>
          <cell r="C130">
            <v>31.59</v>
          </cell>
          <cell r="H130">
            <v>155.07</v>
          </cell>
          <cell r="I130">
            <v>217.1</v>
          </cell>
        </row>
        <row r="131">
          <cell r="B131">
            <v>245.97</v>
          </cell>
          <cell r="C131">
            <v>344.36</v>
          </cell>
          <cell r="H131">
            <v>156.33000000000001</v>
          </cell>
          <cell r="I131">
            <v>218.86</v>
          </cell>
        </row>
        <row r="132">
          <cell r="B132">
            <v>247.95</v>
          </cell>
          <cell r="C132">
            <v>347.13</v>
          </cell>
          <cell r="H132">
            <v>157.59</v>
          </cell>
          <cell r="I132">
            <v>220.62</v>
          </cell>
        </row>
        <row r="133">
          <cell r="B133">
            <v>249.93</v>
          </cell>
          <cell r="C133">
            <v>349.9</v>
          </cell>
          <cell r="H133">
            <v>158.85</v>
          </cell>
          <cell r="I133">
            <v>222.38</v>
          </cell>
        </row>
        <row r="134">
          <cell r="B134">
            <v>251.91</v>
          </cell>
          <cell r="C134">
            <v>352.67</v>
          </cell>
          <cell r="H134">
            <v>160.1</v>
          </cell>
          <cell r="I134">
            <v>224.15</v>
          </cell>
        </row>
        <row r="135">
          <cell r="B135">
            <v>253.89</v>
          </cell>
          <cell r="C135">
            <v>355.44</v>
          </cell>
          <cell r="H135">
            <v>161.36000000000001</v>
          </cell>
          <cell r="I135">
            <v>225.91</v>
          </cell>
        </row>
        <row r="136">
          <cell r="B136">
            <v>255.86</v>
          </cell>
          <cell r="C136">
            <v>358.21</v>
          </cell>
          <cell r="H136">
            <v>162.62</v>
          </cell>
          <cell r="I136">
            <v>227.67</v>
          </cell>
        </row>
        <row r="137">
          <cell r="B137">
            <v>257.83999999999997</v>
          </cell>
          <cell r="C137">
            <v>360.98</v>
          </cell>
          <cell r="H137">
            <v>163.88</v>
          </cell>
          <cell r="I137">
            <v>229.43</v>
          </cell>
        </row>
        <row r="138">
          <cell r="B138">
            <v>259.82</v>
          </cell>
          <cell r="C138">
            <v>363.75</v>
          </cell>
          <cell r="H138">
            <v>165.14</v>
          </cell>
          <cell r="I138">
            <v>231.19</v>
          </cell>
        </row>
        <row r="139">
          <cell r="B139">
            <v>261.8</v>
          </cell>
          <cell r="C139">
            <v>366.52</v>
          </cell>
          <cell r="H139">
            <v>166.4</v>
          </cell>
          <cell r="I139">
            <v>232.95</v>
          </cell>
        </row>
        <row r="140">
          <cell r="B140">
            <v>263.77999999999997</v>
          </cell>
          <cell r="C140">
            <v>369.29</v>
          </cell>
          <cell r="H140">
            <v>167.65</v>
          </cell>
          <cell r="I140">
            <v>234.71</v>
          </cell>
        </row>
        <row r="141">
          <cell r="B141">
            <v>265.76</v>
          </cell>
          <cell r="C141">
            <v>372.06</v>
          </cell>
          <cell r="H141">
            <v>168.97</v>
          </cell>
          <cell r="I141">
            <v>236.48</v>
          </cell>
        </row>
        <row r="142">
          <cell r="B142">
            <v>267.73</v>
          </cell>
          <cell r="C142">
            <v>374.83</v>
          </cell>
          <cell r="H142">
            <v>170.17</v>
          </cell>
          <cell r="I142">
            <v>238.24</v>
          </cell>
        </row>
        <row r="143">
          <cell r="B143">
            <v>269.70999999999998</v>
          </cell>
          <cell r="C143">
            <v>377.6</v>
          </cell>
          <cell r="H143">
            <v>171.43</v>
          </cell>
          <cell r="I143">
            <v>240</v>
          </cell>
        </row>
        <row r="144">
          <cell r="B144">
            <v>271.69</v>
          </cell>
          <cell r="C144">
            <v>380.37</v>
          </cell>
          <cell r="H144">
            <v>172.69</v>
          </cell>
          <cell r="I144">
            <v>241.76</v>
          </cell>
        </row>
        <row r="145">
          <cell r="B145">
            <v>273.67</v>
          </cell>
          <cell r="C145">
            <v>383.14</v>
          </cell>
          <cell r="H145">
            <v>173.94</v>
          </cell>
          <cell r="I145">
            <v>243.52</v>
          </cell>
        </row>
        <row r="146">
          <cell r="B146">
            <v>275.64999999999998</v>
          </cell>
          <cell r="C146">
            <v>385.91</v>
          </cell>
          <cell r="H146">
            <v>175.2</v>
          </cell>
          <cell r="I146">
            <v>245.28</v>
          </cell>
        </row>
        <row r="147">
          <cell r="B147">
            <v>277.63</v>
          </cell>
          <cell r="C147">
            <v>388.68</v>
          </cell>
          <cell r="H147">
            <v>176.46</v>
          </cell>
          <cell r="I147">
            <v>247.04</v>
          </cell>
        </row>
        <row r="148">
          <cell r="B148">
            <v>279.60000000000002</v>
          </cell>
          <cell r="C148">
            <v>391.45</v>
          </cell>
          <cell r="H148">
            <v>177.72</v>
          </cell>
          <cell r="I148">
            <v>248.81</v>
          </cell>
        </row>
        <row r="149">
          <cell r="B149">
            <v>281.58</v>
          </cell>
          <cell r="C149">
            <v>394.22</v>
          </cell>
          <cell r="H149">
            <v>178.98</v>
          </cell>
          <cell r="I149">
            <v>250.57</v>
          </cell>
        </row>
        <row r="150">
          <cell r="B150">
            <v>283.56</v>
          </cell>
          <cell r="C150">
            <v>396.99</v>
          </cell>
          <cell r="H150">
            <v>180.23</v>
          </cell>
          <cell r="I150">
            <v>252.33</v>
          </cell>
        </row>
        <row r="151">
          <cell r="B151">
            <v>285.54000000000002</v>
          </cell>
          <cell r="C151">
            <v>399.76</v>
          </cell>
          <cell r="H151">
            <v>181.49</v>
          </cell>
          <cell r="I151">
            <v>254.09</v>
          </cell>
        </row>
        <row r="152">
          <cell r="B152">
            <v>287.52</v>
          </cell>
          <cell r="C152">
            <v>402.53</v>
          </cell>
          <cell r="H152">
            <v>182.75</v>
          </cell>
          <cell r="I152">
            <v>255.85</v>
          </cell>
        </row>
        <row r="153">
          <cell r="B153">
            <v>289.5</v>
          </cell>
          <cell r="C153">
            <v>405.3</v>
          </cell>
          <cell r="H153">
            <v>184.01</v>
          </cell>
          <cell r="I153">
            <v>257.61</v>
          </cell>
        </row>
        <row r="154">
          <cell r="B154">
            <v>291.48</v>
          </cell>
          <cell r="C154">
            <v>408.07</v>
          </cell>
          <cell r="H154">
            <v>185.27</v>
          </cell>
          <cell r="I154">
            <v>259.37</v>
          </cell>
        </row>
        <row r="155">
          <cell r="B155">
            <v>293.45</v>
          </cell>
          <cell r="C155">
            <v>410.83</v>
          </cell>
          <cell r="H155">
            <v>186.53</v>
          </cell>
          <cell r="I155">
            <v>261.14</v>
          </cell>
        </row>
        <row r="156">
          <cell r="B156">
            <v>295.43</v>
          </cell>
          <cell r="C156">
            <v>413.6</v>
          </cell>
          <cell r="H156">
            <v>187.78</v>
          </cell>
          <cell r="I156">
            <v>262.89999999999998</v>
          </cell>
        </row>
        <row r="157">
          <cell r="B157">
            <v>297.41000000000003</v>
          </cell>
          <cell r="C157">
            <v>416.37</v>
          </cell>
          <cell r="H157">
            <v>189.04</v>
          </cell>
          <cell r="I157">
            <v>264.66000000000003</v>
          </cell>
        </row>
        <row r="158">
          <cell r="B158">
            <v>299.39</v>
          </cell>
          <cell r="C158">
            <v>419.14</v>
          </cell>
          <cell r="H158">
            <v>190.3</v>
          </cell>
          <cell r="I158">
            <v>266.42</v>
          </cell>
        </row>
        <row r="159">
          <cell r="B159">
            <v>301.37</v>
          </cell>
          <cell r="C159">
            <v>421.91</v>
          </cell>
          <cell r="H159">
            <v>191.56</v>
          </cell>
          <cell r="I159">
            <v>268.18</v>
          </cell>
        </row>
        <row r="160">
          <cell r="B160">
            <v>303.35000000000002</v>
          </cell>
          <cell r="C160">
            <v>424.68</v>
          </cell>
          <cell r="H160">
            <v>192.82</v>
          </cell>
          <cell r="I160">
            <v>269.94</v>
          </cell>
        </row>
        <row r="161">
          <cell r="B161">
            <v>305.32</v>
          </cell>
          <cell r="C161">
            <v>427.45</v>
          </cell>
          <cell r="H161">
            <v>194.07</v>
          </cell>
          <cell r="I161">
            <v>271.7</v>
          </cell>
        </row>
        <row r="162">
          <cell r="B162">
            <v>307.3</v>
          </cell>
          <cell r="C162">
            <v>430.22</v>
          </cell>
          <cell r="H162">
            <v>195.33</v>
          </cell>
          <cell r="I162">
            <v>273.47000000000003</v>
          </cell>
        </row>
        <row r="163">
          <cell r="B163">
            <v>309.27999999999997</v>
          </cell>
          <cell r="C163">
            <v>432.99</v>
          </cell>
          <cell r="H163">
            <v>196.59</v>
          </cell>
          <cell r="I163">
            <v>275.23</v>
          </cell>
        </row>
        <row r="164">
          <cell r="B164">
            <v>311.26</v>
          </cell>
          <cell r="C164">
            <v>435.76</v>
          </cell>
          <cell r="H164">
            <v>197.85</v>
          </cell>
          <cell r="I164">
            <v>276.99</v>
          </cell>
        </row>
        <row r="165">
          <cell r="B165">
            <v>313.24</v>
          </cell>
          <cell r="C165">
            <v>438.53</v>
          </cell>
          <cell r="H165">
            <v>199.11</v>
          </cell>
          <cell r="I165">
            <v>278.75</v>
          </cell>
        </row>
        <row r="166">
          <cell r="B166">
            <v>315.22000000000003</v>
          </cell>
          <cell r="C166">
            <v>441.3</v>
          </cell>
          <cell r="H166">
            <v>200.37</v>
          </cell>
          <cell r="I166">
            <v>280.51</v>
          </cell>
        </row>
        <row r="167">
          <cell r="B167">
            <v>317.19</v>
          </cell>
          <cell r="C167">
            <v>444.07</v>
          </cell>
          <cell r="H167">
            <v>201.62</v>
          </cell>
          <cell r="I167">
            <v>282.27</v>
          </cell>
        </row>
        <row r="168">
          <cell r="B168">
            <v>319.17</v>
          </cell>
          <cell r="C168">
            <v>446.84</v>
          </cell>
          <cell r="H168">
            <v>202.88</v>
          </cell>
          <cell r="I168">
            <v>284.02999999999997</v>
          </cell>
        </row>
        <row r="169">
          <cell r="B169">
            <v>321.14999999999998</v>
          </cell>
          <cell r="C169">
            <v>449.61</v>
          </cell>
          <cell r="H169">
            <v>204.14</v>
          </cell>
          <cell r="I169">
            <v>285.8</v>
          </cell>
        </row>
        <row r="170">
          <cell r="B170">
            <v>323.13</v>
          </cell>
          <cell r="C170">
            <v>452.38</v>
          </cell>
          <cell r="H170">
            <v>205.4</v>
          </cell>
          <cell r="I170">
            <v>287.56</v>
          </cell>
        </row>
        <row r="171">
          <cell r="B171">
            <v>325.11</v>
          </cell>
          <cell r="C171">
            <v>455.15</v>
          </cell>
          <cell r="H171">
            <v>206.66</v>
          </cell>
          <cell r="I171">
            <v>289.32</v>
          </cell>
        </row>
        <row r="172">
          <cell r="B172">
            <v>327.08999999999997</v>
          </cell>
          <cell r="C172">
            <v>457.92</v>
          </cell>
          <cell r="H172">
            <v>207.91</v>
          </cell>
          <cell r="I172">
            <v>291.08</v>
          </cell>
        </row>
        <row r="173">
          <cell r="B173">
            <v>329.06</v>
          </cell>
          <cell r="C173">
            <v>460.69</v>
          </cell>
          <cell r="H173">
            <v>209.17</v>
          </cell>
          <cell r="I173">
            <v>292.83999999999997</v>
          </cell>
        </row>
        <row r="174">
          <cell r="B174">
            <v>331.04</v>
          </cell>
          <cell r="C174">
            <v>463.46</v>
          </cell>
          <cell r="H174">
            <v>210.43</v>
          </cell>
          <cell r="I174">
            <v>294.60000000000002</v>
          </cell>
        </row>
        <row r="175">
          <cell r="B175">
            <v>333.02</v>
          </cell>
          <cell r="C175">
            <v>466.23</v>
          </cell>
          <cell r="H175">
            <v>211.69</v>
          </cell>
          <cell r="I175">
            <v>296.36</v>
          </cell>
        </row>
        <row r="176">
          <cell r="B176">
            <v>335</v>
          </cell>
          <cell r="C176">
            <v>469</v>
          </cell>
          <cell r="H176">
            <v>212.95</v>
          </cell>
          <cell r="I176">
            <v>298.13</v>
          </cell>
        </row>
        <row r="177">
          <cell r="B177">
            <v>336.98</v>
          </cell>
          <cell r="C177">
            <v>471.77</v>
          </cell>
          <cell r="H177">
            <v>214.2</v>
          </cell>
          <cell r="I177">
            <v>299.89</v>
          </cell>
        </row>
        <row r="178">
          <cell r="B178">
            <v>338.96</v>
          </cell>
          <cell r="C178">
            <v>474.54</v>
          </cell>
          <cell r="H178">
            <v>215.46</v>
          </cell>
          <cell r="I178">
            <v>301.64999999999998</v>
          </cell>
        </row>
        <row r="179">
          <cell r="B179">
            <v>340.93</v>
          </cell>
          <cell r="C179">
            <v>477.31</v>
          </cell>
          <cell r="H179">
            <v>216.72</v>
          </cell>
          <cell r="I179">
            <v>303.41000000000003</v>
          </cell>
        </row>
        <row r="180">
          <cell r="B180">
            <v>342.91</v>
          </cell>
          <cell r="C180">
            <v>480.08</v>
          </cell>
          <cell r="H180">
            <v>217.98</v>
          </cell>
          <cell r="I180">
            <v>305.17</v>
          </cell>
        </row>
        <row r="181">
          <cell r="B181">
            <v>344.89</v>
          </cell>
          <cell r="C181">
            <v>482.85</v>
          </cell>
          <cell r="H181">
            <v>219.24</v>
          </cell>
          <cell r="I181">
            <v>306.93</v>
          </cell>
        </row>
        <row r="182">
          <cell r="B182">
            <v>346.87</v>
          </cell>
          <cell r="C182">
            <v>485.62</v>
          </cell>
          <cell r="H182">
            <v>220.5</v>
          </cell>
          <cell r="I182">
            <v>308.69</v>
          </cell>
        </row>
        <row r="183">
          <cell r="B183">
            <v>348.85</v>
          </cell>
          <cell r="C183">
            <v>488.39</v>
          </cell>
          <cell r="H183">
            <v>221.75</v>
          </cell>
          <cell r="I183">
            <v>310.45999999999998</v>
          </cell>
        </row>
        <row r="184">
          <cell r="B184">
            <v>350.83</v>
          </cell>
          <cell r="C184">
            <v>491.16</v>
          </cell>
          <cell r="H184">
            <v>223.01</v>
          </cell>
          <cell r="I184">
            <v>312.22000000000003</v>
          </cell>
        </row>
        <row r="185">
          <cell r="B185">
            <v>352.81</v>
          </cell>
          <cell r="C185">
            <v>493.93</v>
          </cell>
          <cell r="H185">
            <v>224.27</v>
          </cell>
          <cell r="I185">
            <v>313.98</v>
          </cell>
        </row>
        <row r="186">
          <cell r="B186">
            <v>354.78</v>
          </cell>
          <cell r="C186">
            <v>496.7</v>
          </cell>
          <cell r="H186">
            <v>225.53</v>
          </cell>
          <cell r="I186">
            <v>315.74</v>
          </cell>
        </row>
        <row r="187">
          <cell r="B187">
            <v>356.76</v>
          </cell>
          <cell r="C187">
            <v>499.47</v>
          </cell>
          <cell r="H187">
            <v>226.79</v>
          </cell>
          <cell r="I187">
            <v>317.5</v>
          </cell>
        </row>
        <row r="188">
          <cell r="B188">
            <v>358.74</v>
          </cell>
          <cell r="C188">
            <v>502.24</v>
          </cell>
          <cell r="H188">
            <v>228.04</v>
          </cell>
          <cell r="I188">
            <v>319.26</v>
          </cell>
        </row>
        <row r="189">
          <cell r="B189">
            <v>360.72</v>
          </cell>
          <cell r="C189">
            <v>505.01</v>
          </cell>
          <cell r="H189">
            <v>229.3</v>
          </cell>
          <cell r="I189">
            <v>321.02</v>
          </cell>
        </row>
        <row r="190">
          <cell r="B190">
            <v>362.7</v>
          </cell>
          <cell r="C190">
            <v>507.78</v>
          </cell>
          <cell r="H190">
            <v>230.56</v>
          </cell>
          <cell r="I190">
            <v>322.77999999999997</v>
          </cell>
        </row>
        <row r="191">
          <cell r="B191">
            <v>364.68</v>
          </cell>
          <cell r="C191">
            <v>510.55</v>
          </cell>
          <cell r="H191">
            <v>231.82</v>
          </cell>
          <cell r="I191">
            <v>324.55</v>
          </cell>
        </row>
        <row r="192">
          <cell r="B192">
            <v>366.65</v>
          </cell>
          <cell r="C192">
            <v>513.32000000000005</v>
          </cell>
          <cell r="H192">
            <v>233.08</v>
          </cell>
          <cell r="I192">
            <v>326.31</v>
          </cell>
        </row>
        <row r="193">
          <cell r="B193">
            <v>368.63</v>
          </cell>
          <cell r="C193">
            <v>516.09</v>
          </cell>
          <cell r="H193">
            <v>234.34</v>
          </cell>
          <cell r="I193">
            <v>328.07</v>
          </cell>
        </row>
        <row r="194">
          <cell r="B194">
            <v>370.61</v>
          </cell>
          <cell r="C194">
            <v>518.85</v>
          </cell>
          <cell r="H194">
            <v>235.59</v>
          </cell>
          <cell r="I194">
            <v>329.83</v>
          </cell>
        </row>
        <row r="195">
          <cell r="B195">
            <v>372.59</v>
          </cell>
          <cell r="C195">
            <v>521.62</v>
          </cell>
          <cell r="H195">
            <v>236.85</v>
          </cell>
          <cell r="I195">
            <v>331.59</v>
          </cell>
        </row>
        <row r="196">
          <cell r="B196">
            <v>374.57</v>
          </cell>
          <cell r="C196">
            <v>524.39</v>
          </cell>
          <cell r="H196">
            <v>238.11</v>
          </cell>
          <cell r="I196">
            <v>333.35</v>
          </cell>
        </row>
        <row r="197">
          <cell r="B197">
            <v>376.55</v>
          </cell>
          <cell r="C197">
            <v>527.16</v>
          </cell>
          <cell r="H197">
            <v>239.37</v>
          </cell>
          <cell r="I197">
            <v>335.11</v>
          </cell>
        </row>
        <row r="198">
          <cell r="B198">
            <v>378.52</v>
          </cell>
          <cell r="C198">
            <v>529.92999999999995</v>
          </cell>
          <cell r="H198">
            <v>240.63</v>
          </cell>
          <cell r="I198">
            <v>336.88</v>
          </cell>
        </row>
        <row r="199">
          <cell r="B199">
            <v>380.5</v>
          </cell>
          <cell r="C199">
            <v>532.70000000000005</v>
          </cell>
          <cell r="H199">
            <v>241.88</v>
          </cell>
          <cell r="I199">
            <v>338.64</v>
          </cell>
        </row>
        <row r="200">
          <cell r="B200">
            <v>382.48</v>
          </cell>
          <cell r="C200">
            <v>535.47</v>
          </cell>
          <cell r="H200">
            <v>243.14</v>
          </cell>
          <cell r="I200">
            <v>340.4</v>
          </cell>
        </row>
        <row r="201">
          <cell r="B201">
            <v>384.46</v>
          </cell>
          <cell r="C201">
            <v>538.24</v>
          </cell>
          <cell r="H201">
            <v>244.4</v>
          </cell>
          <cell r="I201">
            <v>342.16</v>
          </cell>
        </row>
        <row r="202">
          <cell r="B202">
            <v>386.44</v>
          </cell>
          <cell r="C202">
            <v>541.01</v>
          </cell>
          <cell r="H202">
            <v>245.66</v>
          </cell>
          <cell r="I202">
            <v>343.92</v>
          </cell>
        </row>
        <row r="203">
          <cell r="B203">
            <v>388.42</v>
          </cell>
          <cell r="C203">
            <v>543.78</v>
          </cell>
          <cell r="H203">
            <v>246.92</v>
          </cell>
          <cell r="I203">
            <v>345.68</v>
          </cell>
        </row>
        <row r="204">
          <cell r="B204">
            <v>390.39</v>
          </cell>
          <cell r="C204">
            <v>546.54999999999995</v>
          </cell>
          <cell r="H204">
            <v>248.17</v>
          </cell>
          <cell r="I204">
            <v>347.44</v>
          </cell>
        </row>
        <row r="205">
          <cell r="B205">
            <v>392.37</v>
          </cell>
          <cell r="C205">
            <v>549.32000000000005</v>
          </cell>
          <cell r="H205">
            <v>249.43</v>
          </cell>
          <cell r="I205">
            <v>349.21</v>
          </cell>
        </row>
        <row r="206">
          <cell r="B206">
            <v>394.35</v>
          </cell>
          <cell r="C206">
            <v>552.09</v>
          </cell>
          <cell r="H206">
            <v>250.69</v>
          </cell>
          <cell r="I206">
            <v>350.97</v>
          </cell>
        </row>
        <row r="207">
          <cell r="B207">
            <v>396.33</v>
          </cell>
          <cell r="C207">
            <v>554.86</v>
          </cell>
          <cell r="H207">
            <v>251.95</v>
          </cell>
          <cell r="I207">
            <v>352.73</v>
          </cell>
        </row>
        <row r="208">
          <cell r="B208">
            <v>1.98</v>
          </cell>
          <cell r="C208">
            <v>2.77</v>
          </cell>
          <cell r="H208">
            <v>1.26</v>
          </cell>
          <cell r="I208">
            <v>1.76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ทั้งโครงการ"/>
      <sheetName val="ปร5"/>
      <sheetName val="ปร4"/>
      <sheetName val="ปร4.1"/>
      <sheetName val="BOQ"/>
      <sheetName val="การหาค่า factor F (2)"/>
      <sheetName val="งานทั่วไป "/>
      <sheetName val="หมวด 2"/>
      <sheetName val="หมวด 3"/>
      <sheetName val="หมวด 4"/>
      <sheetName val="หมวด 5"/>
      <sheetName val="หัวข้อ 6"/>
      <sheetName val="หัวข้อ 7"/>
      <sheetName val="หัวข้อ 9"/>
      <sheetName val="ค่าดำเนินการ+ค่าเสื่อมราคา"/>
      <sheetName val="สรุปค่าขนส่ง"/>
      <sheetName val="ตารางค่าขนส่ง"/>
      <sheetName val="ค่าขนส่ง-1"/>
      <sheetName val="F ฝนตกชุก"/>
      <sheetName val="Bank form ปร4 "/>
      <sheetName val="ราคาวัสดุ"/>
      <sheetName val="ราคาคอนกรีตต่อหน่วย"/>
      <sheetName val="สรุปเข็ม"/>
      <sheetName val="รายละเอียดโครงการ"/>
      <sheetName val="ตารางค่าขนส่ง 10ล้อ (11)"/>
      <sheetName val="Sheet2"/>
      <sheetName val="Sheet3"/>
      <sheetName val="ASPHALT CONCRETE"/>
      <sheetName val="unitcost"/>
      <sheetName val="8unsui+soft"/>
      <sheetName val="25-27rc. pipe(3หน้า)"/>
      <sheetName val="42หลักกิโล"/>
      <sheetName val="52ป้ายชั่วคราว+ด่าน"/>
      <sheetName val="3ข้อมูลวัสดุ-ค่าดำเนิน"/>
      <sheetName val="FCal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1">
          <cell r="M51">
            <v>12.71</v>
          </cell>
        </row>
        <row r="52">
          <cell r="M52">
            <v>18.82</v>
          </cell>
        </row>
        <row r="53">
          <cell r="M53">
            <v>12.71</v>
          </cell>
        </row>
        <row r="54">
          <cell r="M54">
            <v>0</v>
          </cell>
        </row>
        <row r="55">
          <cell r="L55">
            <v>45.91</v>
          </cell>
        </row>
        <row r="56">
          <cell r="L56">
            <v>362.73</v>
          </cell>
        </row>
        <row r="57">
          <cell r="L57">
            <v>27.81</v>
          </cell>
        </row>
        <row r="58">
          <cell r="L58">
            <v>27.81</v>
          </cell>
        </row>
        <row r="59">
          <cell r="L59">
            <v>6.17</v>
          </cell>
          <cell r="M59">
            <v>8.64</v>
          </cell>
        </row>
        <row r="68">
          <cell r="M68">
            <v>9.58</v>
          </cell>
        </row>
        <row r="69">
          <cell r="M69">
            <v>13.98</v>
          </cell>
        </row>
        <row r="70">
          <cell r="M70">
            <v>9.58</v>
          </cell>
        </row>
        <row r="72">
          <cell r="L72">
            <v>32.340000000000003</v>
          </cell>
        </row>
        <row r="73">
          <cell r="L73">
            <v>255.29999999999998</v>
          </cell>
        </row>
        <row r="74">
          <cell r="L74">
            <v>19.760000000000002</v>
          </cell>
          <cell r="M74">
            <v>27.66</v>
          </cell>
        </row>
        <row r="75">
          <cell r="L75">
            <v>19.760000000000002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ละเอียดโครงการ"/>
      <sheetName val="ปร5"/>
      <sheetName val="สารบัญ"/>
      <sheetName val="Summary"/>
      <sheetName val="รายการงานของโครงการ"/>
      <sheetName val="รายการทั้งหมด"/>
      <sheetName val="ข้อมูลเบื้องต้น"/>
      <sheetName val="1"/>
      <sheetName val="2"/>
      <sheetName val="3"/>
      <sheetName val="4"/>
      <sheetName val="ท่อระบายน้ำ"/>
      <sheetName val="5-2"/>
      <sheetName val="Unit cost"/>
      <sheetName val="6"/>
      <sheetName val="6 (2)"/>
      <sheetName val="back up"/>
      <sheetName val="7.1"/>
      <sheetName val="7.2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concrete&amp;งานไม้แบบ"/>
      <sheetName val="ราคาวัสดุ"/>
      <sheetName val="ข้อมูลวัสดุค่าดำเนินการ"/>
      <sheetName val="ค่าแรงต่อหน่วย"/>
      <sheetName val="ส่วนขยายและค่ายุบตัว"/>
      <sheetName val="backup ค่าของงานโครงสร้าง"/>
      <sheetName val="ค่าขนส่งทางทะเล"/>
      <sheetName val="unitcostรวม"/>
      <sheetName val="ค่าขนส่ง"/>
      <sheetName val="Unit_cost"/>
      <sheetName val="6_(2)"/>
      <sheetName val="back_up"/>
      <sheetName val="7_1"/>
      <sheetName val="7_2"/>
      <sheetName val="ตาราง_Factor_F_งานทาง"/>
      <sheetName val="ตาราง_Factor_F_สะพาน_ท่อเหลี่ยม"/>
      <sheetName val="ตาราง_Factor_F_อาคาร"/>
      <sheetName val="Factor_F"/>
      <sheetName val="F_ฝนตกชุก"/>
      <sheetName val="backup_ค่าของงานโครงสร้าง"/>
      <sheetName val="Unit_cost1"/>
      <sheetName val="6_(2)1"/>
      <sheetName val="back_up1"/>
      <sheetName val="7_11"/>
      <sheetName val="7_21"/>
      <sheetName val="ตาราง_Factor_F_งานทาง1"/>
      <sheetName val="ตาราง_Factor_F_สะพาน_ท่อเหลี่ย1"/>
      <sheetName val="ตาราง_Factor_F_อาคาร1"/>
      <sheetName val="Factor_F1"/>
      <sheetName val="F_ฝนตกชุก1"/>
      <sheetName val="backup_ค่าของงานโครงสร้าง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าคาร 2 5Boots"/>
      <sheetName val="อาคาร 2 6Boots"/>
      <sheetName val="อาคาร 2 11Boots"/>
      <sheetName val="อาคาร 2 14Boots"/>
      <sheetName val="Sum.No.02 (11 Boots)"/>
      <sheetName val="No.02 (11 Boots)"/>
      <sheetName val="Sum.No.02 (14 Boots)"/>
      <sheetName val="No.02 (14 Boots)"/>
      <sheetName val="Sum.No.02 (5 Boots)"/>
      <sheetName val="No.02 (5 Boots)"/>
      <sheetName val="Sum.No.02 (6 Boots)"/>
      <sheetName val="No.02 (6 Boots)"/>
      <sheetName val="Equipment"/>
      <sheetName val="detail"/>
      <sheetName val="สรุป"/>
      <sheetName val="รายละเอียดโครงการ"/>
      <sheetName val="ค่าขนส่ง-1"/>
      <sheetName val="ตารางค่าขนส่ง"/>
      <sheetName val="ค่าดำเนินการ+ค่าเสื่อมราคา"/>
      <sheetName val="arch"/>
      <sheetName val="10 ข้อมูลวัสดุ-ค่าดำเนิน"/>
      <sheetName val="อาคาร_2_5Boots"/>
      <sheetName val="อาคาร_2_6Boots"/>
      <sheetName val="อาคาร_2_11Boots"/>
      <sheetName val="อาคาร_2_14Boots"/>
      <sheetName val="Sum_No_02_(11_Boots)"/>
      <sheetName val="No_02_(11_Boots)"/>
      <sheetName val="Sum_No_02_(14_Boots)"/>
      <sheetName val="No_02_(14_Boots)"/>
      <sheetName val="Sum_No_02_(5_Boots)"/>
      <sheetName val="No_02_(5_Boots)"/>
      <sheetName val="Sum_No_02_(6_Boots)"/>
      <sheetName val="No_02_(6_Boots)"/>
      <sheetName val="10_ข้อมูลวัสดุ-ค่าดำเนิน"/>
      <sheetName val="อาคาร_2_5Boots1"/>
      <sheetName val="อาคาร_2_6Boots1"/>
      <sheetName val="อาคาร_2_11Boots1"/>
      <sheetName val="อาคาร_2_14Boots1"/>
      <sheetName val="Sum_No_02_(11_Boots)1"/>
      <sheetName val="No_02_(11_Boots)1"/>
      <sheetName val="Sum_No_02_(14_Boots)1"/>
      <sheetName val="No_02_(14_Boots)1"/>
      <sheetName val="Sum_No_02_(5_Boots)1"/>
      <sheetName val="No_02_(5_Boots)1"/>
      <sheetName val="Sum_No_02_(6_Boots)1"/>
      <sheetName val="No_02_(6_Boots)1"/>
      <sheetName val="10_ข้อมูลวัสดุ-ค่าดำเนิน1"/>
      <sheetName val="FCalSH"/>
      <sheetName val="BOQ"/>
      <sheetName val="ปร5"/>
    </sheetNames>
    <sheetDataSet>
      <sheetData sheetId="0" refreshError="1">
        <row r="4">
          <cell r="I4" t="e">
            <v>#REF!</v>
          </cell>
        </row>
      </sheetData>
      <sheetData sheetId="1" refreshError="1">
        <row r="4">
          <cell r="I4" t="e">
            <v>#REF!</v>
          </cell>
        </row>
      </sheetData>
      <sheetData sheetId="2" refreshError="1">
        <row r="4">
          <cell r="I4" t="e">
            <v>#REF!</v>
          </cell>
        </row>
      </sheetData>
      <sheetData sheetId="3" refreshError="1">
        <row r="4">
          <cell r="I4" t="e">
            <v>#REF!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สารบัญ"/>
      <sheetName val="ปะหน้า"/>
      <sheetName val="ปร5"/>
      <sheetName val="ปร4"/>
      <sheetName val="ปร4.1"/>
      <sheetName val="หา FACTOR F"/>
      <sheetName val="unitcost"/>
      <sheetName val="กราฟทำงาน"/>
      <sheetName val="Worktime"/>
      <sheetName val="อัตราทำงาน"/>
      <sheetName val="sorce"/>
      <sheetName val="ค่าเครื่องจักร"/>
      <sheetName val="ค่าขนส่ง"/>
      <sheetName val="สรุปOHCทาง"/>
      <sheetName val="สรุปOHCโครงสร้าง"/>
      <sheetName val="Factor ดิน"/>
      <sheetName val="สรุปค่าเครื่องจักร+อะไหล่สึกหรอ"/>
      <sheetName val="เริ่มต้น"/>
      <sheetName val="บทที่1"/>
      <sheetName val="DetailOHCโครงสร้าง"/>
      <sheetName val="ตารางขนส่ง"/>
      <sheetName val="วิธีคิดค่าขนส่ง"/>
      <sheetName val="Detailค่าเครื่องจักร"/>
      <sheetName val="บทที่3"/>
      <sheetName val="บทที่3(2)"/>
      <sheetName val="บทที่2(3)"/>
      <sheetName val="DetailOHCทาง"/>
      <sheetName val="จัดเครื่องจักรทาง"/>
      <sheetName val="อ้างอิง"/>
      <sheetName val="เอกสารหมายเลข 3 (1)"/>
      <sheetName val="2 (3)"/>
      <sheetName val="8"/>
      <sheetName val="คำนำ"/>
      <sheetName val="หัวเรื่อง"/>
      <sheetName val="ปก"/>
      <sheetName val="เอกสารสัมพันธ์"/>
      <sheetName val="ขั้นตอน"/>
      <sheetName val="สรุป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">
          <cell r="J11">
            <v>1.0783</v>
          </cell>
        </row>
        <row r="31">
          <cell r="J31">
            <v>1.1619999999999999</v>
          </cell>
        </row>
      </sheetData>
      <sheetData sheetId="7" refreshError="1">
        <row r="512">
          <cell r="Q512">
            <v>9429.1967999999997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(ของเรา)"/>
      <sheetName val="ราคาเบื้องต้น"/>
      <sheetName val="เวลาทำการ"/>
      <sheetName val="10 ข้อมูลวัสดุ-ค่าดำเนิน (2)"/>
      <sheetName val="ระยะขนส่ง"/>
      <sheetName val="11 ข้อมูลงานCon"/>
      <sheetName val="12 ข้อมูลงานไม้แบบ"/>
      <sheetName val="หมายเหตุ"/>
      <sheetName val="ประชาสัมพันธ์"/>
      <sheetName val="8 ข้อมูลเบื้องต้น"/>
      <sheetName val="1"/>
      <sheetName val="2"/>
      <sheetName val="3"/>
      <sheetName val="4"/>
      <sheetName val="44 (2)"/>
      <sheetName val="5"/>
      <sheetName val="6 "/>
      <sheetName val="48"/>
      <sheetName val="51"/>
      <sheetName val="53.2"/>
      <sheetName val="48 (3)"/>
      <sheetName val="62 (3)"/>
      <sheetName val="64 (3)"/>
      <sheetName val="62 (4)"/>
      <sheetName val="64 (4)"/>
      <sheetName val="66"/>
      <sheetName val="71"/>
      <sheetName val="68"/>
      <sheetName val="72 (2)"/>
      <sheetName val="73"/>
      <sheetName val="113"/>
      <sheetName val="113 (2)"/>
      <sheetName val="114 (2)"/>
      <sheetName val="114"/>
      <sheetName val="115"/>
      <sheetName val="115 (2)"/>
      <sheetName val="115 (3)"/>
      <sheetName val="116 (2)"/>
      <sheetName val="128"/>
      <sheetName val="148"/>
      <sheetName val="150"/>
      <sheetName val="151"/>
      <sheetName val="152"/>
      <sheetName val="171"/>
      <sheetName val="174 (2)"/>
      <sheetName val="172"/>
      <sheetName val="178"/>
      <sheetName val="180"/>
      <sheetName val="183"/>
      <sheetName val="185"/>
      <sheetName val="FACTOR F"/>
      <sheetName val="ราคากลาง"/>
      <sheetName val="62"/>
      <sheetName val="64"/>
      <sheetName val="62 (2)"/>
      <sheetName val="64 (2)"/>
      <sheetName val="29"/>
      <sheetName val="44"/>
      <sheetName val="77"/>
      <sheetName val="128 (2)"/>
      <sheetName val="81"/>
      <sheetName val="91"/>
      <sheetName val="116"/>
      <sheetName val="120"/>
      <sheetName val="129"/>
      <sheetName val="130"/>
      <sheetName val="135 (2)"/>
      <sheetName val="137"/>
      <sheetName val="139"/>
      <sheetName val="182"/>
      <sheetName val="146"/>
      <sheetName val="153"/>
      <sheetName val="154"/>
      <sheetName val="159"/>
      <sheetName val="160"/>
      <sheetName val="173"/>
      <sheetName val="181"/>
      <sheetName val="184"/>
      <sheetName val="187"/>
      <sheetName val="48 (2)"/>
      <sheetName val="ราคากลางหักค่าควบคุมงาน"/>
      <sheetName val="ใบเสนอราคา"/>
      <sheetName val="ราคากลางหลังปรับลด"/>
      <sheetName val="หา FACTOR F"/>
      <sheetName val="unitcost"/>
      <sheetName val="ตัดแบ่งกม.ส่งพี่หนุ่ม"/>
      <sheetName val="boq"/>
      <sheetName val="10_ข้อมูลวัสดุ-ค่าดำเนิน_(2)"/>
      <sheetName val="11_ข้อมูลงานCon"/>
      <sheetName val="12_ข้อมูลงานไม้แบบ"/>
      <sheetName val="8_ข้อมูลเบื้องต้น"/>
      <sheetName val="44_(2)"/>
      <sheetName val="6_"/>
      <sheetName val="53_2"/>
      <sheetName val="48_(3)"/>
      <sheetName val="62_(3)"/>
      <sheetName val="64_(3)"/>
      <sheetName val="62_(4)"/>
      <sheetName val="64_(4)"/>
      <sheetName val="72_(2)"/>
      <sheetName val="113_(2)"/>
      <sheetName val="114_(2)"/>
      <sheetName val="115_(2)"/>
      <sheetName val="115_(3)"/>
      <sheetName val="116_(2)"/>
      <sheetName val="174_(2)"/>
      <sheetName val="FACTOR_F"/>
      <sheetName val="62_(2)"/>
      <sheetName val="64_(2)"/>
      <sheetName val="128_(2)"/>
      <sheetName val="135_(2)"/>
      <sheetName val="48_(2)"/>
      <sheetName val="หา_FACTOR_F"/>
      <sheetName val="ตัดแบ่งกม_ส่งพี่หนุ่ม"/>
      <sheetName val="10_ข้อมูลวัสดุ-ค่าดำเนิน_(2)1"/>
      <sheetName val="11_ข้อมูลงานCon1"/>
      <sheetName val="12_ข้อมูลงานไม้แบบ1"/>
      <sheetName val="8_ข้อมูลเบื้องต้น1"/>
      <sheetName val="44_(2)1"/>
      <sheetName val="6_1"/>
      <sheetName val="53_21"/>
      <sheetName val="48_(3)1"/>
      <sheetName val="62_(3)1"/>
      <sheetName val="64_(3)1"/>
      <sheetName val="62_(4)1"/>
      <sheetName val="64_(4)1"/>
      <sheetName val="72_(2)1"/>
      <sheetName val="113_(2)1"/>
      <sheetName val="114_(2)1"/>
      <sheetName val="115_(2)1"/>
      <sheetName val="115_(3)1"/>
      <sheetName val="116_(2)1"/>
      <sheetName val="174_(2)1"/>
      <sheetName val="FACTOR_F1"/>
      <sheetName val="62_(2)1"/>
      <sheetName val="64_(2)1"/>
      <sheetName val="128_(2)1"/>
      <sheetName val="135_(2)1"/>
      <sheetName val="48_(2)1"/>
      <sheetName val="หา_FACTOR_F1"/>
      <sheetName val="ตัดแบ่งกม_ส่งพี่หนุ่ม1"/>
      <sheetName val="หมวด 6(2)"/>
      <sheetName val="หมวด 2"/>
      <sheetName val="อาคาร 2 11Boots"/>
      <sheetName val="อาคาร 2 14Boots"/>
      <sheetName val="อาคาร 2 5Boots"/>
      <sheetName val="อาคาร 2 6Boots"/>
    </sheetNames>
    <sheetDataSet>
      <sheetData sheetId="0" refreshError="1">
        <row r="27">
          <cell r="G27">
            <v>1.2416378400000001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  <sheetName val="หา FACTOR F"/>
      <sheetName val="boq"/>
      <sheetName val="ปร5"/>
      <sheetName val="unitcost"/>
    </sheetNames>
    <sheetDataSet>
      <sheetData sheetId="0" refreshError="1"/>
      <sheetData sheetId="1" refreshError="1"/>
      <sheetData sheetId="2" refreshError="1"/>
      <sheetData sheetId="3" refreshError="1">
        <row r="30">
          <cell r="AB30">
            <v>182.41</v>
          </cell>
        </row>
      </sheetData>
      <sheetData sheetId="4" refreshError="1">
        <row r="29">
          <cell r="W29">
            <v>112.29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  <sheetName val="4"/>
      <sheetName val="6"/>
      <sheetName val="3"/>
      <sheetName val="2"/>
      <sheetName val="1"/>
      <sheetName val="รายละเอียดโครงการ"/>
      <sheetName val="5-2"/>
      <sheetName val="หมวด 6(2)"/>
      <sheetName val="หมวด 2"/>
      <sheetName val="F(ของเรา)"/>
    </sheetNames>
    <sheetDataSet>
      <sheetData sheetId="0" refreshError="1"/>
      <sheetData sheetId="1" refreshError="1"/>
      <sheetData sheetId="2" refreshError="1">
        <row r="15">
          <cell r="X15">
            <v>23831.83</v>
          </cell>
        </row>
        <row r="19">
          <cell r="X19">
            <v>28.75</v>
          </cell>
        </row>
      </sheetData>
      <sheetData sheetId="3" refreshError="1">
        <row r="30">
          <cell r="AB30">
            <v>182.41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ละเอียดโครงการ"/>
      <sheetName val="ข้อมูลเบื้องต้น"/>
      <sheetName val="รายการทั้งหมด"/>
      <sheetName val="สารบัญ"/>
      <sheetName val="Summary (SUM)"/>
      <sheetName val="ค่าแรงงาน,ดำเนินการต่อหน่วย"/>
      <sheetName val="รายการงานของโครงการ (SUM)"/>
      <sheetName val="UNIT COST (2)"/>
      <sheetName val="General"/>
      <sheetName val="ราคาต่อหน่วย1.1_1"/>
      <sheetName val="ราคาต่อหน่วย 1.1_2"/>
      <sheetName val="ราคาต่อหน่วย 1.2"/>
      <sheetName val="ราคาต่อหน่วย 1.3-1.8"/>
      <sheetName val="ราคาวัสดุหมวด 1"/>
      <sheetName val="EWork"/>
      <sheetName val="REMOVAL"/>
      <sheetName val="2"/>
      <sheetName val="3"/>
      <sheetName val="4"/>
      <sheetName val="5-2"/>
      <sheetName val="Unit Cost"/>
      <sheetName val="6"/>
      <sheetName val="7"/>
      <sheetName val="8"/>
      <sheetName val="ค่าดำเนินการ+ค่าเสื่อมราคา"/>
      <sheetName val="ตารางค่าขนส่ง"/>
      <sheetName val="การหาค่า factor F (2)"/>
      <sheetName val="Factor F ฝนตกชุก"/>
      <sheetName val="ข้อมูลวัสดุและค่าดำเนินการ"/>
      <sheetName val="concrete&amp;งานไม้แบบ"/>
      <sheetName val="ราคาวัสดุ"/>
      <sheetName val="สรุปค่าขนส่ง"/>
      <sheetName val="ค่าขนส่ง-1"/>
      <sheetName val="DRAINAGE(KM)"/>
      <sheetName val="Barrier"/>
      <sheetName val="Bk Traffic"/>
      <sheetName val="6.12(1)"/>
      <sheetName val="6.12(2)"/>
      <sheetName val="6.12(2-a)"/>
      <sheetName val="6.12(2-b)"/>
      <sheetName val="6.12(2-c)"/>
      <sheetName val="6.12(6)"/>
      <sheetName val="6.12(7)"/>
      <sheetName val="6.12 (10)"/>
      <sheetName val="7.1"/>
      <sheetName val="Sheet3"/>
      <sheetName val="7.2"/>
      <sheetName val="6.13.1"/>
      <sheetName val="back up"/>
      <sheetName val="back up2"/>
      <sheetName val="back up3"/>
      <sheetName val="Soil Cement Column"/>
      <sheetName val="ค่าแรงต่อหน่วย"/>
      <sheetName val="ส่วนขยายและค่ายุบตัว"/>
      <sheetName val="รายชื่อสะพาน"/>
      <sheetName val="งานรื้อถอนสะพาน"/>
      <sheetName val="ท่อระบายน้ำ"/>
      <sheetName val="Traffic"/>
      <sheetName val="งานผิวจราจร"/>
      <sheetName val="ทางเชื่อม"/>
      <sheetName val="LOCAL ROAD"/>
      <sheetName val="UNIT_COST"/>
      <sheetName val="GIRDER"/>
      <sheetName val="STRUTURE _UNIT COST"/>
      <sheetName val="Piling"/>
      <sheetName val="Bor pile"/>
      <sheetName val="G"/>
      <sheetName val="backup ค่าของงานโครงสร้าง"/>
      <sheetName val="ค่าขนส่งทางทะเล"/>
      <sheetName val="หิน"/>
      <sheetName val="Summary"/>
      <sheetName val="รายการงานของโครงการ"/>
      <sheetName val="1"/>
      <sheetName val="5"/>
      <sheetName val="7.General-new"/>
      <sheetName val="Back Bill 4"/>
      <sheetName val="วัสดุคัดเลือก"/>
      <sheetName val="ดินถม ลูกรัง"/>
      <sheetName val="ทราย"/>
      <sheetName val="ป้อมยาม"/>
      <sheetName val="โรงจอดรถ"/>
      <sheetName val="Sheet1"/>
      <sheetName val="BILLS (edit)"/>
      <sheetName val="BILLS (2)"/>
      <sheetName val="เปรียบเทียบ"/>
      <sheetName val="SUM-CS"/>
      <sheetName val="Bill No.1"/>
      <sheetName val="Back Bill.1"/>
      <sheetName val="Bill No.2"/>
      <sheetName val="Back Bill.2"/>
      <sheetName val="Back Bill.2 (2)"/>
      <sheetName val="Bill No.3"/>
      <sheetName val="Back Bill.3 (Access Rd)REV"/>
      <sheetName val="Back Bill.3"/>
      <sheetName val="Back Bill.3 (Access Rd)"/>
      <sheetName val="atgrade"/>
      <sheetName val="Bill No.4"/>
      <sheetName val="Back Bill.4"/>
      <sheetName val="ความยาวสะพาน"/>
      <sheetName val="Back Bill.4 (Bearing Slab)"/>
      <sheetName val="Sum Bill No.5(sta)"/>
      <sheetName val="Bill No.5"/>
      <sheetName val="Sum Bill No.5(Sum)"/>
      <sheetName val="Sum Bill No.5(Building)"/>
      <sheetName val="Back Bill.5-AR"/>
      <sheetName val="Back Bill.5-AC"/>
      <sheetName val="Back Bill.5-SN"/>
      <sheetName val="Back Bill.5-EE"/>
      <sheetName val="Back Bill.5-EE (2)"/>
      <sheetName val="Bill No.6"/>
      <sheetName val="Back Bill.6"/>
      <sheetName val="Bill No.7"/>
      <sheetName val="Bill No.8"/>
      <sheetName val="8201"/>
      <sheetName val="8503"/>
      <sheetName val="8506"/>
      <sheetName val="Bill No.9"/>
      <sheetName val="เก่าBill No.10"/>
      <sheetName val="Bill No.10 "/>
      <sheetName val="เก่าBackBill No.10"/>
      <sheetName val="ราคาวัสดุก่อสร้าง"/>
      <sheetName val="ราคาคอนกรีต&amp;ไม้แบบ"/>
      <sheetName val="ราคาเหล็ก"/>
      <sheetName val="ลูกรัง"/>
      <sheetName val="ดินถม"/>
      <sheetName val="หินโรยทาง"/>
      <sheetName val="กทม."/>
      <sheetName val="ขอนแก่น"/>
      <sheetName val="มหาสารคาม"/>
      <sheetName val="ร้อยเอ็ด"/>
      <sheetName val="มุกดาหาร"/>
      <sheetName val="นครพนม"/>
      <sheetName val="กรุงเทพมหานคร(เก่า)"/>
      <sheetName val="นครปฐม"/>
      <sheetName val="ราชบุรี"/>
      <sheetName val="เพชรบุรี"/>
      <sheetName val="SUM-CS (2)"/>
      <sheetName val="ค่าแรงงาน"/>
      <sheetName val="ส่วนขยายและยุบตัว"/>
      <sheetName val="F_ทาง"/>
      <sheetName val="FactorF-Bill1"/>
      <sheetName val="FactorF-Bill8"/>
      <sheetName val="FactorF-Bill10"/>
      <sheetName val="ค่าดำเนินการและค่าเสื่อมราคา"/>
      <sheetName val="Detour"/>
      <sheetName val="รั้ว"/>
      <sheetName val="11 ข้อมูลงานCon"/>
      <sheetName val="10 ข้อมูลวัสดุ-ค่าดำเนิน"/>
      <sheetName val="หมวด 6(2)"/>
      <sheetName val="หมวด 2"/>
      <sheetName val="Summary_(SUM)"/>
      <sheetName val="รายการงานของโครงการ_(SUM)"/>
      <sheetName val="UNIT_COST_(2)"/>
      <sheetName val="ราคาต่อหน่วย1_1_1"/>
      <sheetName val="ราคาต่อหน่วย_1_1_2"/>
      <sheetName val="ราคาต่อหน่วย_1_2"/>
      <sheetName val="ราคาต่อหน่วย_1_3-1_8"/>
      <sheetName val="ราคาวัสดุหมวด_1"/>
      <sheetName val="การหาค่า_factor_F_(2)"/>
      <sheetName val="Factor_F_ฝนตกชุก"/>
      <sheetName val="Bk_Traffic"/>
      <sheetName val="6_12(1)"/>
      <sheetName val="6_12(2)"/>
      <sheetName val="6_12(2-a)"/>
      <sheetName val="6_12(2-b)"/>
      <sheetName val="6_12(2-c)"/>
      <sheetName val="6_12(6)"/>
      <sheetName val="6_12(7)"/>
      <sheetName val="6_12_(10)"/>
      <sheetName val="7_1"/>
      <sheetName val="7_2"/>
      <sheetName val="6_13_1"/>
      <sheetName val="back_up"/>
      <sheetName val="back_up2"/>
      <sheetName val="back_up3"/>
      <sheetName val="Soil_Cement_Column"/>
      <sheetName val="LOCAL_ROAD"/>
      <sheetName val="STRUTURE__UNIT_COST"/>
      <sheetName val="Bor_pile"/>
      <sheetName val="backup_ค่าของงานโครงสร้าง"/>
      <sheetName val="7_General-new"/>
      <sheetName val="Back_Bill_4"/>
      <sheetName val="ดินถม_ลูกรัง"/>
      <sheetName val="BILLS_(edit)"/>
      <sheetName val="BILLS_(2)"/>
      <sheetName val="Bill_No_1"/>
      <sheetName val="Back_Bill_1"/>
      <sheetName val="Bill_No_2"/>
      <sheetName val="Back_Bill_2"/>
      <sheetName val="Back_Bill_2_(2)"/>
      <sheetName val="Bill_No_3"/>
      <sheetName val="Back_Bill_3_(Access_Rd)REV"/>
      <sheetName val="Back_Bill_3"/>
      <sheetName val="Back_Bill_3_(Access_Rd)"/>
      <sheetName val="Bill_No_4"/>
      <sheetName val="Back_Bill_41"/>
      <sheetName val="Back_Bill_4_(Bearing_Slab)"/>
      <sheetName val="Sum_Bill_No_5(sta)"/>
      <sheetName val="Bill_No_5"/>
      <sheetName val="Sum_Bill_No_5(Sum)"/>
      <sheetName val="Sum_Bill_No_5(Building)"/>
      <sheetName val="Back_Bill_5-AR"/>
      <sheetName val="Back_Bill_5-AC"/>
      <sheetName val="Back_Bill_5-SN"/>
      <sheetName val="Back_Bill_5-EE"/>
      <sheetName val="Back_Bill_5-EE_(2)"/>
      <sheetName val="Bill_No_6"/>
      <sheetName val="Back_Bill_6"/>
      <sheetName val="Bill_No_7"/>
      <sheetName val="Bill_No_8"/>
      <sheetName val="Bill_No_9"/>
      <sheetName val="เก่าBill_No_10"/>
      <sheetName val="Bill_No_10_"/>
      <sheetName val="เก่าBackBill_No_10"/>
      <sheetName val="กทม_"/>
      <sheetName val="SUM-CS_(2)"/>
      <sheetName val="11_ข้อมูลงานCon"/>
      <sheetName val="10_ข้อมูลวัสดุ-ค่าดำเนิน"/>
      <sheetName val="หมวด_6(2)"/>
      <sheetName val="หมวด_2"/>
      <sheetName val="Summary_(SUM)1"/>
      <sheetName val="รายการงานของโครงการ_(SUM)1"/>
      <sheetName val="UNIT_COST_(2)1"/>
      <sheetName val="ราคาต่อหน่วย1_1_11"/>
      <sheetName val="ราคาต่อหน่วย_1_1_21"/>
      <sheetName val="ราคาต่อหน่วย_1_21"/>
      <sheetName val="ราคาต่อหน่วย_1_3-1_81"/>
      <sheetName val="ราคาวัสดุหมวด_11"/>
      <sheetName val="Unit_Cost1"/>
      <sheetName val="การหาค่า_factor_F_(2)1"/>
      <sheetName val="Factor_F_ฝนตกชุก1"/>
      <sheetName val="Bk_Traffic1"/>
      <sheetName val="6_12(1)1"/>
      <sheetName val="6_12(2)1"/>
      <sheetName val="6_12(2-a)1"/>
      <sheetName val="6_12(2-b)1"/>
      <sheetName val="6_12(2-c)1"/>
      <sheetName val="6_12(6)1"/>
      <sheetName val="6_12(7)1"/>
      <sheetName val="6_12_(10)1"/>
      <sheetName val="7_11"/>
      <sheetName val="7_21"/>
      <sheetName val="6_13_11"/>
      <sheetName val="back_up1"/>
      <sheetName val="back_up21"/>
      <sheetName val="back_up31"/>
      <sheetName val="Soil_Cement_Column1"/>
      <sheetName val="LOCAL_ROAD1"/>
      <sheetName val="STRUTURE__UNIT_COST1"/>
      <sheetName val="Bor_pile1"/>
      <sheetName val="backup_ค่าของงานโครงสร้าง1"/>
      <sheetName val="7_General-new1"/>
      <sheetName val="Back_Bill_42"/>
      <sheetName val="ดินถม_ลูกรัง1"/>
      <sheetName val="BILLS_(edit)1"/>
      <sheetName val="BILLS_(2)1"/>
      <sheetName val="Bill_No_11"/>
      <sheetName val="Back_Bill_11"/>
      <sheetName val="Bill_No_21"/>
      <sheetName val="Back_Bill_21"/>
      <sheetName val="Back_Bill_2_(2)1"/>
      <sheetName val="Bill_No_31"/>
      <sheetName val="Back_Bill_3_(Access_Rd)REV1"/>
      <sheetName val="Back_Bill_31"/>
      <sheetName val="Back_Bill_3_(Access_Rd)1"/>
      <sheetName val="Bill_No_41"/>
      <sheetName val="Back_Bill_43"/>
      <sheetName val="Back_Bill_4_(Bearing_Slab)1"/>
      <sheetName val="Sum_Bill_No_5(sta)1"/>
      <sheetName val="Bill_No_51"/>
      <sheetName val="Sum_Bill_No_5(Sum)1"/>
      <sheetName val="Sum_Bill_No_5(Building)1"/>
      <sheetName val="Back_Bill_5-AR1"/>
      <sheetName val="Back_Bill_5-AC1"/>
      <sheetName val="Back_Bill_5-SN1"/>
      <sheetName val="Back_Bill_5-EE1"/>
      <sheetName val="Back_Bill_5-EE_(2)1"/>
      <sheetName val="Bill_No_61"/>
      <sheetName val="Back_Bill_61"/>
      <sheetName val="Bill_No_71"/>
      <sheetName val="Bill_No_81"/>
      <sheetName val="Bill_No_91"/>
      <sheetName val="เก่าBill_No_101"/>
      <sheetName val="Bill_No_10_1"/>
      <sheetName val="เก่าBackBill_No_101"/>
      <sheetName val="กทม_1"/>
      <sheetName val="SUM-CS_(2)1"/>
      <sheetName val="11_ข้อมูลงานCon1"/>
      <sheetName val="10_ข้อมูลวัสดุ-ค่าดำเนิน1"/>
      <sheetName val="หมวด_6(2)1"/>
      <sheetName val="หมวด_21"/>
      <sheetName val="UnitCost"/>
      <sheetName val="Data"/>
      <sheetName val="back up สตัด"/>
      <sheetName val="12 ข้อมูลงานไม้แบบ"/>
    </sheetNames>
    <sheetDataSet>
      <sheetData sheetId="0">
        <row r="2">
          <cell r="B2" t="str">
            <v>HIGHTWAY ROUTE NO.4006 BAN RATCHAKRUT - AMPHOE LANG SUAN SECTION 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69">
          <cell r="W269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3">
          <cell r="J13">
            <v>16.100000000000001</v>
          </cell>
        </row>
        <row r="376">
          <cell r="J376">
            <v>230</v>
          </cell>
        </row>
      </sheetData>
      <sheetData sheetId="16">
        <row r="10">
          <cell r="J10">
            <v>3.15</v>
          </cell>
        </row>
      </sheetData>
      <sheetData sheetId="17">
        <row r="12">
          <cell r="J12">
            <v>614</v>
          </cell>
        </row>
      </sheetData>
      <sheetData sheetId="18">
        <row r="8">
          <cell r="J8">
            <v>25.19036273</v>
          </cell>
        </row>
      </sheetData>
      <sheetData sheetId="19">
        <row r="1244">
          <cell r="J1244">
            <v>2290</v>
          </cell>
        </row>
        <row r="1832">
          <cell r="J1832">
            <v>6070</v>
          </cell>
        </row>
        <row r="1844">
          <cell r="J1844">
            <v>5473</v>
          </cell>
        </row>
        <row r="1856">
          <cell r="J1856">
            <v>5093</v>
          </cell>
        </row>
        <row r="1916">
          <cell r="J1916">
            <v>6927</v>
          </cell>
        </row>
        <row r="1928">
          <cell r="J1928">
            <v>6240</v>
          </cell>
        </row>
        <row r="1940">
          <cell r="J1940">
            <v>5769</v>
          </cell>
        </row>
        <row r="1952">
          <cell r="J1952">
            <v>5087</v>
          </cell>
        </row>
        <row r="1964">
          <cell r="J1964">
            <v>4405</v>
          </cell>
        </row>
        <row r="1976">
          <cell r="J1976">
            <v>3723</v>
          </cell>
        </row>
        <row r="1988">
          <cell r="J1988">
            <v>3041</v>
          </cell>
        </row>
        <row r="2291">
          <cell r="J2291">
            <v>2269</v>
          </cell>
        </row>
        <row r="2304">
          <cell r="J2304">
            <v>3521</v>
          </cell>
        </row>
        <row r="2317">
          <cell r="J2317">
            <v>3784</v>
          </cell>
        </row>
        <row r="2431">
          <cell r="K2431">
            <v>4049110.3614220666</v>
          </cell>
        </row>
      </sheetData>
      <sheetData sheetId="20">
        <row r="137">
          <cell r="M137">
            <v>3430</v>
          </cell>
        </row>
        <row r="169">
          <cell r="M169">
            <v>26270</v>
          </cell>
        </row>
        <row r="180">
          <cell r="M180">
            <v>26270</v>
          </cell>
        </row>
      </sheetData>
      <sheetData sheetId="21">
        <row r="17">
          <cell r="J17">
            <v>393.22724104308389</v>
          </cell>
        </row>
        <row r="93">
          <cell r="J93">
            <v>1786.12</v>
          </cell>
        </row>
        <row r="167">
          <cell r="J167">
            <v>393.13953105625001</v>
          </cell>
        </row>
        <row r="259">
          <cell r="J259">
            <v>18799.219044657289</v>
          </cell>
        </row>
        <row r="286">
          <cell r="J286">
            <v>41805.125164500001</v>
          </cell>
        </row>
        <row r="298">
          <cell r="J298">
            <v>0</v>
          </cell>
        </row>
        <row r="382">
          <cell r="J382">
            <v>5711.8166987500008</v>
          </cell>
        </row>
        <row r="409">
          <cell r="J409">
            <v>5423.3511817500012</v>
          </cell>
        </row>
        <row r="451">
          <cell r="J451">
            <v>4008.7370714999997</v>
          </cell>
        </row>
        <row r="472">
          <cell r="J472">
            <v>4561.9896724999999</v>
          </cell>
        </row>
        <row r="493">
          <cell r="J493">
            <v>4966.2083984999999</v>
          </cell>
        </row>
        <row r="514">
          <cell r="J514">
            <v>5627.7405945</v>
          </cell>
        </row>
        <row r="1284">
          <cell r="J1284">
            <v>23524.437306666667</v>
          </cell>
        </row>
        <row r="1289">
          <cell r="J1289">
            <v>21009.293924999998</v>
          </cell>
        </row>
        <row r="1625">
          <cell r="J1625">
            <v>3009.2732797500003</v>
          </cell>
        </row>
        <row r="1825">
          <cell r="J1825">
            <v>23041</v>
          </cell>
        </row>
        <row r="1835">
          <cell r="J1835">
            <v>42808</v>
          </cell>
        </row>
        <row r="1847">
          <cell r="J1847">
            <v>34958</v>
          </cell>
        </row>
        <row r="1881">
          <cell r="J1881">
            <v>374.48207812500004</v>
          </cell>
        </row>
        <row r="2091">
          <cell r="J2091">
            <v>803.28399999999999</v>
          </cell>
        </row>
        <row r="2104">
          <cell r="J2104">
            <v>839.73039999999992</v>
          </cell>
        </row>
        <row r="2116">
          <cell r="J2116">
            <v>1425.3217050000001</v>
          </cell>
        </row>
        <row r="2128">
          <cell r="J2128">
            <v>1955.516705</v>
          </cell>
        </row>
        <row r="2142">
          <cell r="J2142">
            <v>632.21899999999994</v>
          </cell>
        </row>
        <row r="2154">
          <cell r="J2154">
            <v>617.30099999999993</v>
          </cell>
        </row>
        <row r="2297">
          <cell r="J2297">
            <v>12438.158693250001</v>
          </cell>
        </row>
        <row r="2309">
          <cell r="J2309">
            <v>17662.785125875002</v>
          </cell>
        </row>
      </sheetData>
      <sheetData sheetId="22">
        <row r="26">
          <cell r="J26">
            <v>1700980</v>
          </cell>
        </row>
      </sheetData>
      <sheetData sheetId="23" refreshError="1"/>
      <sheetData sheetId="24"/>
      <sheetData sheetId="25"/>
      <sheetData sheetId="26"/>
      <sheetData sheetId="27" refreshError="1"/>
      <sheetData sheetId="28">
        <row r="8">
          <cell r="J8">
            <v>24885.75</v>
          </cell>
        </row>
      </sheetData>
      <sheetData sheetId="29"/>
      <sheetData sheetId="30">
        <row r="11">
          <cell r="D11">
            <v>2.7570000000000001</v>
          </cell>
        </row>
      </sheetData>
      <sheetData sheetId="31"/>
      <sheetData sheetId="32">
        <row r="53">
          <cell r="M53">
            <v>285.69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5">
          <cell r="D5">
            <v>1.45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32">
          <cell r="C32">
            <v>0.62</v>
          </cell>
        </row>
      </sheetData>
      <sheetData sheetId="69">
        <row r="32">
          <cell r="C32">
            <v>0.62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>
        <row r="137">
          <cell r="M137">
            <v>3430</v>
          </cell>
        </row>
      </sheetData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 refreshError="1"/>
      <sheetData sheetId="292" refreshError="1"/>
      <sheetData sheetId="293" refreshError="1"/>
      <sheetData sheetId="29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1.GENERAL "/>
      <sheetName val="2.EARTHWORK "/>
      <sheetName val="2'.SHEET PILE"/>
      <sheetName val="3.SUBBASE"/>
      <sheetName val="4.SURFACE"/>
      <sheetName val="STRUCTURES, UNITCOST"/>
      <sheetName val="5.BRIDGE"/>
      <sheetName val="5.PILING"/>
      <sheetName val="5.PRESTRESSED"/>
      <sheetName val="5'.PILING Test"/>
      <sheetName val="MISCELLANEOUS-01"/>
      <sheetName val="6.MISCELLANEOUS-01 for print"/>
      <sheetName val="7.INCIDENTALS-1"/>
      <sheetName val="7.INCIDENTALS-2"/>
      <sheetName val="7.INCIDENTALS-3"/>
      <sheetName val="INCIDENTALS (1)-not use"/>
      <sheetName val="7'.INCIDENTALS"/>
      <sheetName val="9.BUILDING"/>
      <sheetName val="FURNITURES"/>
      <sheetName val="ROOF CARPARK"/>
      <sheetName val="TOLL+CANOPY"/>
      <sheetName val="WEIGHTING"/>
      <sheetName val="SANITARY&amp;FIGHTING"/>
      <sheetName val="AIR&amp;FAN"/>
      <sheetName val="Paint not use"/>
      <sheetName val="Build-Light"/>
      <sheetName val="9'ค่าใช้จ่ายพิเศษ"/>
      <sheetName val="9M.ครุภัณฑ์"/>
      <sheetName val="10.Street Lighting"/>
      <sheetName val="C1.ไม้แบบ"/>
      <sheetName val="C2.sand"/>
      <sheetName val="C3.ทาสี"/>
      <sheetName val="C4.ค่าวัสดุมวลรวมที่ใฃ้"/>
      <sheetName val="C5.Roof Steel"/>
      <sheetName val="C6.Toll Steel"/>
      <sheetName val="C7.แผ่นเหล็กดำ"/>
      <sheetName val="C8.Door"/>
      <sheetName val="ค่าวัสดุมวลรวม"/>
      <sheetName val="ค่าแรงขั้นต่ำ"/>
      <sheetName val="backup"/>
      <sheetName val="10 ข้อมูลวัสดุ-ค่าดำเนิน"/>
      <sheetName val="12 ข้อมูลงานไม้แบบ"/>
      <sheetName val="11 ข้อมูลงานCon"/>
      <sheetName val="summary"/>
      <sheetName val="Std."/>
    </sheetNames>
    <sheetDataSet>
      <sheetData sheetId="0">
        <row r="4">
          <cell r="E4">
            <v>20000</v>
          </cell>
        </row>
        <row r="6">
          <cell r="E6">
            <v>0</v>
          </cell>
        </row>
      </sheetData>
      <sheetData sheetId="1">
        <row r="2">
          <cell r="Q2">
            <v>29.99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"/>
      <sheetName val="ศูนย์การแพทย์"/>
      <sheetName val="หอพักผู้ป่วย"/>
      <sheetName val="อาคารบริการ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5"/>
      <sheetName val="ปร4"/>
      <sheetName val="ปร4.1"/>
      <sheetName val="ที่จอดรถและถนนในจุดพักรถ"/>
      <sheetName val="อาคารจุดพักรถ"/>
      <sheetName val="โครงสร้างศาลาพักคอย"/>
      <sheetName val="งานสถาปัตยกรรม"/>
      <sheetName val="งานทางเท้าและภูมิสถาปัตยกรรม"/>
      <sheetName val="ไฟฟ้าอาคารย่อย"/>
      <sheetName val="ไฟฟ้าผังบริเวณจุดพักรถ"/>
      <sheetName val="ระบบระบายน้ำผังบริจุดพักรถชมวิว"/>
      <sheetName val="backup"/>
      <sheetName val="สุนทรภู่"/>
      <sheetName val="แหลมสน"/>
      <sheetName val="ประแสร์"/>
      <sheetName val="พังราด"/>
      <sheetName val="หาดค้งวิมาน"/>
      <sheetName val="สนามไชย"/>
      <sheetName val="จ้าวหลาว"/>
      <sheetName val="เฉลิมพระเกียรติ"/>
      <sheetName val="แหลมสิงห์"/>
      <sheetName val="บางชัน"/>
      <sheetName val="ปรับปรุงสะพานพังราด"/>
      <sheetName val="ปรับปรุงสะพานเฉลิมฯ"/>
      <sheetName val="Riprap"/>
      <sheetName val="fr"/>
      <sheetName val="REF ONLY2"/>
      <sheetName val="6"/>
      <sheetName val="5-2"/>
      <sheetName val="REMOVAL"/>
      <sheetName val="Unit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2">
          <cell r="K72">
            <v>40</v>
          </cell>
        </row>
        <row r="77">
          <cell r="K77">
            <v>85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-Main road Contract No.1"/>
      <sheetName val="EE-Main road Contract No.2"/>
      <sheetName val="EE-Main road Contract No.3"/>
      <sheetName val="EE-Main road Contract No.4"/>
      <sheetName val="Main road Backup"/>
      <sheetName val="EE-Local road Contract No.1"/>
      <sheetName val="EE-Local road Contract No.2"/>
      <sheetName val="EE-Local road Contract No.3"/>
      <sheetName val="EE-Local road Contract No.4"/>
      <sheetName val="Local road Backup"/>
      <sheetName val="10 ข้อมูลวัสดุ-ค่าดำเนิน"/>
      <sheetName val="5-2"/>
      <sheetName val="2"/>
      <sheetName val="F(ของเรา)"/>
      <sheetName val="ราคาวัสดุ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J5">
            <v>3750</v>
          </cell>
        </row>
        <row r="7">
          <cell r="J7">
            <v>9900</v>
          </cell>
        </row>
        <row r="10">
          <cell r="I10">
            <v>75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ละเอียดโครงการ"/>
      <sheetName val="ปร5"/>
      <sheetName val="รายการทั้งหมด"/>
      <sheetName val="สารบัญ"/>
      <sheetName val="Summary"/>
      <sheetName val="รายการงานของโครงการ"/>
      <sheetName val="SumBridge"/>
      <sheetName val="Price Bridge"/>
      <sheetName val="ปริมาณ Bridge"/>
      <sheetName val="SumIntersection"/>
      <sheetName val="Price Intersection"/>
      <sheetName val="ปริมาณ Intersection"/>
      <sheetName val="SUMunderpass"/>
      <sheetName val="Price Underpass"/>
      <sheetName val="ปริมาณ Underpass"/>
      <sheetName val="SUMoverpass"/>
      <sheetName val="Price Overpass"/>
      <sheetName val="ปริมาณ Overpass"/>
      <sheetName val="SUMinterchange"/>
      <sheetName val="Price Interchange"/>
      <sheetName val="ปริมาณ Interchange"/>
      <sheetName val="SumSpur Road"/>
      <sheetName val="Price Spur Road"/>
      <sheetName val="ปริมาณ Spur Road"/>
      <sheetName val="SumService Road"/>
      <sheetName val="Price Service road"/>
      <sheetName val="ปริมาณ Service road"/>
      <sheetName val="INTERCHANGE"/>
      <sheetName val="ข้อมูลเบื้องต้น"/>
      <sheetName val="ราคาวัสดุหมวด 1"/>
      <sheetName val="1"/>
      <sheetName val="2"/>
      <sheetName val="3"/>
      <sheetName val="4"/>
      <sheetName val="5"/>
      <sheetName val="UNIT COST (2)"/>
      <sheetName val="6"/>
      <sheetName val="6 (2)"/>
      <sheetName val="back up"/>
      <sheetName val="7.1"/>
      <sheetName val="7.2"/>
      <sheetName val="7"/>
      <sheetName val="7.General-new"/>
      <sheetName val="UNIT COST"/>
      <sheetName val="concrete&amp;งานไม้แบบ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ข้อมูลวัสดุค่าดำเนินการ"/>
      <sheetName val="ราคาวัสดุ"/>
      <sheetName val="ค่าแรงต่อหน่วย"/>
      <sheetName val="ค่าแรงต่อหน่วย(เดิม)"/>
      <sheetName val="ส่วนขยายและค่ายุบตัว"/>
      <sheetName val="Factor F ฝนตกชุก"/>
      <sheetName val="การหาค่า factor F (2)"/>
      <sheetName val="ป้อมยาม"/>
      <sheetName val="โรงจอดรถ"/>
      <sheetName val="backup ค่าของงานโครงสร้าง"/>
      <sheetName val="ค่าขนส่งทางทะเล"/>
    </sheetNames>
    <sheetDataSet>
      <sheetData sheetId="0">
        <row r="2">
          <cell r="B2" t="str">
            <v>โครงการทางหลวงพิเศษระหว่างเมืองพัทยา - มาบตาพุด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0">
          <cell r="J10">
            <v>3.06</v>
          </cell>
        </row>
      </sheetData>
      <sheetData sheetId="32">
        <row r="12">
          <cell r="J12">
            <v>171</v>
          </cell>
        </row>
      </sheetData>
      <sheetData sheetId="33">
        <row r="8">
          <cell r="J8">
            <v>31.740949999999998</v>
          </cell>
        </row>
      </sheetData>
      <sheetData sheetId="34">
        <row r="34">
          <cell r="J34">
            <v>374</v>
          </cell>
        </row>
        <row r="48">
          <cell r="J48">
            <v>518</v>
          </cell>
        </row>
        <row r="61">
          <cell r="J61">
            <v>946</v>
          </cell>
        </row>
        <row r="74">
          <cell r="J74">
            <v>1418</v>
          </cell>
        </row>
        <row r="87">
          <cell r="J87">
            <v>1994</v>
          </cell>
        </row>
        <row r="100">
          <cell r="J100">
            <v>2492</v>
          </cell>
        </row>
        <row r="113">
          <cell r="J113">
            <v>3482</v>
          </cell>
        </row>
      </sheetData>
      <sheetData sheetId="35" refreshError="1"/>
      <sheetData sheetId="36">
        <row r="17">
          <cell r="I17">
            <v>412.02484186666669</v>
          </cell>
        </row>
        <row r="278">
          <cell r="I278">
            <v>8091.0054263999991</v>
          </cell>
        </row>
        <row r="305">
          <cell r="I305">
            <v>14420.760288999998</v>
          </cell>
        </row>
        <row r="333">
          <cell r="I333">
            <v>17937.823880399999</v>
          </cell>
        </row>
        <row r="361">
          <cell r="I361">
            <v>20227.061449000001</v>
          </cell>
        </row>
        <row r="554">
          <cell r="I554">
            <v>21801.861416096523</v>
          </cell>
        </row>
        <row r="582">
          <cell r="I582">
            <v>22499.414984666666</v>
          </cell>
        </row>
        <row r="749">
          <cell r="I749">
            <v>40614.575913000008</v>
          </cell>
        </row>
        <row r="1226">
          <cell r="I1226">
            <v>15763</v>
          </cell>
        </row>
        <row r="1236">
          <cell r="I1236">
            <v>19553</v>
          </cell>
        </row>
        <row r="1246">
          <cell r="I1246">
            <v>21221</v>
          </cell>
        </row>
        <row r="1256">
          <cell r="I1256">
            <v>26292</v>
          </cell>
        </row>
        <row r="1492">
          <cell r="I1492">
            <v>4005.4521921657333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267">
          <cell r="W267">
            <v>1</v>
          </cell>
        </row>
      </sheetData>
      <sheetData sheetId="43" refreshError="1"/>
      <sheetData sheetId="44">
        <row r="9">
          <cell r="C9">
            <v>1840</v>
          </cell>
        </row>
      </sheetData>
      <sheetData sheetId="45">
        <row r="6">
          <cell r="D6" t="str">
            <v>บ่อลูกรังบ้านห้วยใหญ่</v>
          </cell>
        </row>
      </sheetData>
      <sheetData sheetId="46">
        <row r="53">
          <cell r="M53">
            <v>28.39</v>
          </cell>
        </row>
      </sheetData>
      <sheetData sheetId="47">
        <row r="6">
          <cell r="I6">
            <v>1.28</v>
          </cell>
        </row>
      </sheetData>
      <sheetData sheetId="48">
        <row r="8">
          <cell r="B8">
            <v>5.25</v>
          </cell>
        </row>
      </sheetData>
      <sheetData sheetId="49" refreshError="1"/>
      <sheetData sheetId="50" refreshError="1"/>
      <sheetData sheetId="51" refreshError="1"/>
      <sheetData sheetId="52">
        <row r="6">
          <cell r="H6">
            <v>3459012403.0093694</v>
          </cell>
        </row>
      </sheetData>
      <sheetData sheetId="53" refreshError="1"/>
      <sheetData sheetId="54">
        <row r="7">
          <cell r="J7">
            <v>26986.680000000004</v>
          </cell>
        </row>
      </sheetData>
      <sheetData sheetId="55" refreshError="1"/>
      <sheetData sheetId="56">
        <row r="11">
          <cell r="D11">
            <v>2.194</v>
          </cell>
        </row>
      </sheetData>
      <sheetData sheetId="57" refreshError="1"/>
      <sheetData sheetId="58" refreshError="1"/>
      <sheetData sheetId="59">
        <row r="5">
          <cell r="D5">
            <v>1.45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32">
          <cell r="C32">
            <v>0.62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ละเอียดโครงการ"/>
      <sheetName val="ปร5"/>
      <sheetName val="รายการทั้งหมด"/>
      <sheetName val="สารบัญ"/>
      <sheetName val="Summary"/>
      <sheetName val="รายการงานของโครงการ"/>
      <sheetName val="SumBridge"/>
      <sheetName val="Price Bridge"/>
      <sheetName val="ปริมาณ Bridge"/>
      <sheetName val="SumIntersection"/>
      <sheetName val="Price Intersection"/>
      <sheetName val="ปริมาณ Intersection"/>
      <sheetName val="SUMunderpass"/>
      <sheetName val="Price Underpass"/>
      <sheetName val="ปริมาณ Underpass"/>
      <sheetName val="SUMoverpass"/>
      <sheetName val="Price Overpass"/>
      <sheetName val="ปริมาณ Overpass"/>
      <sheetName val="SUMinterchange"/>
      <sheetName val="Price Interchange"/>
      <sheetName val="ปริมาณ Interchange"/>
      <sheetName val="SumSpur Road"/>
      <sheetName val="Price Spur Road"/>
      <sheetName val="ปริมาณ Spur Road"/>
      <sheetName val="SumService Road"/>
      <sheetName val="Price Service road"/>
      <sheetName val="ปริมาณ Service road"/>
      <sheetName val="INTERCHANGE"/>
      <sheetName val="ข้อมูลเบื้องต้น"/>
      <sheetName val="ราคาวัสดุหมวด 1"/>
      <sheetName val="1"/>
      <sheetName val="2"/>
      <sheetName val="3"/>
      <sheetName val="4"/>
      <sheetName val="5"/>
      <sheetName val="UNIT COST (2)"/>
      <sheetName val="6"/>
      <sheetName val="6 (2)"/>
      <sheetName val="back up"/>
      <sheetName val="7.1"/>
      <sheetName val="7.2"/>
      <sheetName val="7"/>
      <sheetName val="7.General-new"/>
      <sheetName val="UNIT COST"/>
      <sheetName val="concrete&amp;งานไม้แบบ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ข้อมูลวัสดุค่าดำเนินการ"/>
      <sheetName val="ราคาวัสดุ"/>
      <sheetName val="ค่าแรงต่อหน่วย"/>
      <sheetName val="ค่าแรงต่อหน่วย(เดิม)"/>
      <sheetName val="ส่วนขยายและค่ายุบตัว"/>
      <sheetName val="Factor F ฝนตกชุก"/>
      <sheetName val="การหาค่า factor F (2)"/>
      <sheetName val="ป้อมยาม"/>
      <sheetName val="โรงจอดรถ"/>
      <sheetName val="backup ค่าของงานโครงสร้าง"/>
      <sheetName val="ค่าขนส่งทางทะเล"/>
    </sheetNames>
    <sheetDataSet>
      <sheetData sheetId="0">
        <row r="2">
          <cell r="B2" t="str">
            <v>โครงการทางหลวงพิเศษระหว่างเมืองพัทยา - มาบตาพุด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0">
          <cell r="J10">
            <v>3.06</v>
          </cell>
        </row>
      </sheetData>
      <sheetData sheetId="32">
        <row r="12">
          <cell r="J12">
            <v>171</v>
          </cell>
        </row>
      </sheetData>
      <sheetData sheetId="33">
        <row r="8">
          <cell r="J8">
            <v>31.740949999999998</v>
          </cell>
        </row>
      </sheetData>
      <sheetData sheetId="34">
        <row r="34">
          <cell r="J34">
            <v>374</v>
          </cell>
        </row>
        <row r="48">
          <cell r="J48">
            <v>518</v>
          </cell>
        </row>
        <row r="61">
          <cell r="J61">
            <v>946</v>
          </cell>
        </row>
        <row r="74">
          <cell r="J74">
            <v>1418</v>
          </cell>
        </row>
        <row r="87">
          <cell r="J87">
            <v>1994</v>
          </cell>
        </row>
        <row r="100">
          <cell r="J100">
            <v>2492</v>
          </cell>
        </row>
        <row r="113">
          <cell r="J113">
            <v>3482</v>
          </cell>
        </row>
      </sheetData>
      <sheetData sheetId="35" refreshError="1"/>
      <sheetData sheetId="36">
        <row r="17">
          <cell r="I17">
            <v>412.02484186666669</v>
          </cell>
        </row>
        <row r="278">
          <cell r="I278">
            <v>8091.0054263999991</v>
          </cell>
        </row>
        <row r="305">
          <cell r="I305">
            <v>14420.760288999998</v>
          </cell>
        </row>
        <row r="333">
          <cell r="I333">
            <v>17937.823880399999</v>
          </cell>
        </row>
        <row r="361">
          <cell r="I361">
            <v>20227.061449000001</v>
          </cell>
        </row>
        <row r="554">
          <cell r="I554">
            <v>21801.861416096523</v>
          </cell>
        </row>
        <row r="582">
          <cell r="I582">
            <v>22499.414984666666</v>
          </cell>
        </row>
        <row r="749">
          <cell r="I749">
            <v>40614.575913000008</v>
          </cell>
        </row>
        <row r="1226">
          <cell r="I1226">
            <v>15763</v>
          </cell>
        </row>
        <row r="1236">
          <cell r="I1236">
            <v>19553</v>
          </cell>
        </row>
        <row r="1246">
          <cell r="I1246">
            <v>21221</v>
          </cell>
        </row>
        <row r="1256">
          <cell r="I1256">
            <v>26292</v>
          </cell>
        </row>
        <row r="1492">
          <cell r="I1492">
            <v>4005.4521921657333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267">
          <cell r="W267">
            <v>1</v>
          </cell>
        </row>
      </sheetData>
      <sheetData sheetId="43" refreshError="1"/>
      <sheetData sheetId="44">
        <row r="9">
          <cell r="C9">
            <v>1840</v>
          </cell>
        </row>
      </sheetData>
      <sheetData sheetId="45">
        <row r="6">
          <cell r="D6" t="str">
            <v>บ่อลูกรังบ้านห้วยใหญ่</v>
          </cell>
        </row>
      </sheetData>
      <sheetData sheetId="46">
        <row r="53">
          <cell r="M53">
            <v>28.39</v>
          </cell>
        </row>
      </sheetData>
      <sheetData sheetId="47">
        <row r="6">
          <cell r="I6">
            <v>1.28</v>
          </cell>
        </row>
      </sheetData>
      <sheetData sheetId="48">
        <row r="8">
          <cell r="B8">
            <v>5.25</v>
          </cell>
        </row>
      </sheetData>
      <sheetData sheetId="49" refreshError="1"/>
      <sheetData sheetId="50" refreshError="1"/>
      <sheetData sheetId="51" refreshError="1"/>
      <sheetData sheetId="52">
        <row r="6">
          <cell r="H6">
            <v>3459012403.0093694</v>
          </cell>
        </row>
      </sheetData>
      <sheetData sheetId="53" refreshError="1"/>
      <sheetData sheetId="54">
        <row r="7">
          <cell r="J7">
            <v>26986.680000000004</v>
          </cell>
        </row>
      </sheetData>
      <sheetData sheetId="55" refreshError="1"/>
      <sheetData sheetId="56">
        <row r="11">
          <cell r="D11">
            <v>2.194</v>
          </cell>
        </row>
      </sheetData>
      <sheetData sheetId="57" refreshError="1"/>
      <sheetData sheetId="58" refreshError="1"/>
      <sheetData sheetId="59">
        <row r="5">
          <cell r="D5">
            <v>1.45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32">
          <cell r="C32">
            <v>0.62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บัญชีฯ(ทุน)"/>
      <sheetName val="ค่า F"/>
      <sheetName val="ระยะขนส่งวัสดุ"/>
      <sheetName val="ข้อมูลวัสดุก่อสร้างทาง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40"/>
      <sheetName val="41.EXCAVATION"/>
      <sheetName val="42.1"/>
      <sheetName val="42.2 EMBANKMENT"/>
      <sheetName val="44"/>
      <sheetName val="45. SELECTED,SUBBASE"/>
      <sheetName val="48.BASE,Recyciing"/>
      <sheetName val="51.ASPHALT,PRIME,TACK"/>
      <sheetName val="53.2"/>
      <sheetName val="56"/>
      <sheetName val="62. BRIDGE"/>
      <sheetName val="63"/>
      <sheetName val="64"/>
      <sheetName val="64.1(อัดแรง)"/>
      <sheetName val="คานอัดแรง"/>
      <sheetName val="Approach"/>
      <sheetName val="67"/>
      <sheetName val="68"/>
      <sheetName val="69"/>
      <sheetName val="70.RC. BOX"/>
      <sheetName val="71.RC. PIPE (3)"/>
      <sheetName val="72"/>
      <sheetName val="73"/>
      <sheetName val="83.RC.MANHOLE"/>
      <sheetName val="116 (1)"/>
      <sheetName val="123"/>
      <sheetName val="130"/>
      <sheetName val="130.1"/>
      <sheetName val="149"/>
      <sheetName val="149.1"/>
      <sheetName val="150"/>
      <sheetName val="152"/>
      <sheetName val="154 "/>
      <sheetName val="156"/>
      <sheetName val="157"/>
      <sheetName val="158"/>
      <sheetName val="166"/>
      <sheetName val="167"/>
      <sheetName val="168"/>
      <sheetName val="173 "/>
      <sheetName val="173(1) "/>
      <sheetName val="173(2)"/>
      <sheetName val="180"/>
      <sheetName val="176"/>
      <sheetName val="182 "/>
      <sheetName val="183 "/>
      <sheetName val="TRAFFIC"/>
      <sheetName val="192"/>
      <sheetName val="6"/>
      <sheetName val="5"/>
      <sheetName val="2"/>
      <sheetName val="1.1RE. ASPHAL-1.5 RE. PIPE +1.7"/>
      <sheetName val="2.4.2 SELECTED"/>
      <sheetName val="3.1.1 SUBBASE - 3.7 RECYCLING"/>
      <sheetName val="5.1(13) TEST"/>
      <sheetName val="5.1.4 BRIDGE APPRO"/>
      <sheetName val="5.2.1  NEW  R.C. BOX  "/>
      <sheetName val="6.3(15.5)SUBSOIL"/>
      <sheetName val="6.3(15.4)GABION "/>
      <sheetName val="6.3(16.8)SUBSOIL (2)"/>
      <sheetName val="6.3(17.1)SOIL NAIL"/>
      <sheetName val="6.3.2 CATCH BASIN"/>
      <sheetName val="6.8.1 W-GUARD"/>
      <sheetName val="6.8.3.2 BARRIER HIGH  FILL"/>
      <sheetName val="B.O.Q"/>
      <sheetName val="ค่า_F"/>
      <sheetName val="8_ข้อมูลเบื้องต้น"/>
      <sheetName val="10_ข้อมูลวัสดุ-ค่าดำเนิน"/>
      <sheetName val="11_ข้อมูลงานCon"/>
      <sheetName val="12_ข้อมูลงานไม้แบบ"/>
      <sheetName val="41_EXCAVATION"/>
      <sheetName val="42_1"/>
      <sheetName val="42_2_EMBANKMENT"/>
      <sheetName val="45__SELECTED,SUBBASE"/>
      <sheetName val="48_BASE,Recyciing"/>
      <sheetName val="51_ASPHALT,PRIME,TACK"/>
      <sheetName val="53_2"/>
      <sheetName val="62__BRIDGE"/>
      <sheetName val="64_1(อัดแรง)"/>
      <sheetName val="70_RC__BOX"/>
      <sheetName val="71_RC__PIPE_(3)"/>
      <sheetName val="83_RC_MANHOLE"/>
      <sheetName val="116_(1)"/>
      <sheetName val="130_1"/>
      <sheetName val="149_1"/>
      <sheetName val="154_"/>
      <sheetName val="173_"/>
      <sheetName val="173(1)_"/>
      <sheetName val="182_"/>
      <sheetName val="183_"/>
      <sheetName val="1_1RE__ASPHAL-1_5_RE__PIPE_+1_7"/>
      <sheetName val="2_4_2_SELECTED"/>
      <sheetName val="3_1_1_SUBBASE_-_3_7_RECYCLING"/>
      <sheetName val="5_1(13)_TEST"/>
      <sheetName val="5_1_4_BRIDGE_APPRO"/>
      <sheetName val="5_2_1__NEW__R_C__BOX__"/>
      <sheetName val="6_3(15_5)SUBSOIL"/>
      <sheetName val="6_3(15_4)GABION_"/>
      <sheetName val="6_3(16_8)SUBSOIL_(2)"/>
      <sheetName val="6_3(17_1)SOIL_NAIL"/>
      <sheetName val="6_3_2_CATCH_BASIN"/>
      <sheetName val="6_8_1_W-GUARD"/>
      <sheetName val="6_8_3_2_BARRIER_HIGH__FILL"/>
      <sheetName val="B_O_Q"/>
      <sheetName val="ค่า_F1"/>
      <sheetName val="8_ข้อมูลเบื้องต้น1"/>
      <sheetName val="10_ข้อมูลวัสดุ-ค่าดำเนิน1"/>
      <sheetName val="11_ข้อมูลงานCon1"/>
      <sheetName val="12_ข้อมูลงานไม้แบบ1"/>
      <sheetName val="41_EXCAVATION1"/>
      <sheetName val="42_11"/>
      <sheetName val="42_2_EMBANKMENT1"/>
      <sheetName val="45__SELECTED,SUBBASE1"/>
      <sheetName val="48_BASE,Recyciing1"/>
      <sheetName val="51_ASPHALT,PRIME,TACK1"/>
      <sheetName val="53_21"/>
      <sheetName val="62__BRIDGE1"/>
      <sheetName val="64_1(อัดแรง)1"/>
      <sheetName val="70_RC__BOX1"/>
      <sheetName val="71_RC__PIPE_(3)1"/>
      <sheetName val="83_RC_MANHOLE1"/>
      <sheetName val="116_(1)1"/>
      <sheetName val="130_11"/>
      <sheetName val="149_11"/>
      <sheetName val="154_1"/>
      <sheetName val="173_1"/>
      <sheetName val="173(1)_1"/>
      <sheetName val="182_1"/>
      <sheetName val="183_1"/>
      <sheetName val="1_1RE__ASPHAL-1_5_RE__PIPE_+1_1"/>
      <sheetName val="2_4_2_SELECTED1"/>
      <sheetName val="3_1_1_SUBBASE_-_3_7_RECYCLING1"/>
      <sheetName val="5_1(13)_TEST1"/>
      <sheetName val="5_1_4_BRIDGE_APPRO1"/>
      <sheetName val="5_2_1__NEW__R_C__BOX__1"/>
      <sheetName val="6_3(15_5)SUBSOIL1"/>
      <sheetName val="6_3(15_4)GABION_1"/>
      <sheetName val="6_3(16_8)SUBSOIL_(2)1"/>
      <sheetName val="6_3(17_1)SOIL_NAIL1"/>
      <sheetName val="6_3_2_CATCH_BASIN1"/>
      <sheetName val="6_8_1_W-GUARD1"/>
      <sheetName val="6_8_3_2_BARRIER_HIGH__FILL1"/>
      <sheetName val="B_O_Q1"/>
      <sheetName val="Local road Bac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หลักเกณฑ์(2หน้า)"/>
      <sheetName val="ต้นทุน(10หน้า)"/>
      <sheetName val="BOQ.(10 หน้า)"/>
      <sheetName val="ค่า F"/>
      <sheetName val="1ระยะขนส่ง"/>
      <sheetName val="2ข้อมูลเบื้องต้น"/>
      <sheetName val="3ข้อมูลวัสดุ-ค่าดำเนิน"/>
      <sheetName val="4ข้อมูลงานCon"/>
      <sheetName val="5ข้อมูลงานไม้แบบ"/>
      <sheetName val="6Remove+Clear"/>
      <sheetName val="7Cut+Soft.R+Hart.R+Uns"/>
      <sheetName val="8Unsui+Soft"/>
      <sheetName val="9EMB."/>
      <sheetName val="10Fil.Islandl+Side"/>
      <sheetName val="11P.B.Fill"/>
      <sheetName val="12Selec+Subbase"/>
      <sheetName val="13Base+Recyc+Scari"/>
      <sheetName val="14Prime+Tack"/>
      <sheetName val="15ASP.Lev."/>
      <sheetName val="16Asphaltic"/>
      <sheetName val="17สะพาน"/>
      <sheetName val="(ไม่เอา)ทางเบี่ยง"/>
      <sheetName val="18สะพาน.ราคารวม"/>
      <sheetName val="19คานอัดแรง"/>
      <sheetName val="20สะพานต่อ"/>
      <sheetName val="21สะพานต่อราคารวม"/>
      <sheetName val="22B.Appro"/>
      <sheetName val="23,24R.C.BOX (2ตัว)"/>
      <sheetName val="25-27RC. PIPE(3หน้า)"/>
      <sheetName val="28,29Slope.Pro+Shot(2หน้า)"/>
      <sheetName val="30Per.Pipe+R.Fill"/>
      <sheetName val="31,32Catch.Baแบบพิเศษ"/>
      <sheetName val="33R.C.Ditch"/>
      <sheetName val="34D.Lining"/>
      <sheetName val="35Retain"/>
      <sheetName val="36Crub"/>
      <sheetName val="37ทางเท้า"/>
      <sheetName val="38SODDING"/>
      <sheetName val="39,40Barr.(2หน้า)"/>
      <sheetName val="41G.POST"/>
      <sheetName val="42หลักกิโล"/>
      <sheetName val="43แผ่นป้าย+เสา"/>
      <sheetName val="44เสาไฟกิ่งคู่"/>
      <sheetName val="45ไฟนีออน"/>
      <sheetName val="46,47ย้ายเสาไฟ(2หน้า)"/>
      <sheetName val="48ไฟ เขียว-แดง"/>
      <sheetName val="49สีตีเส้น+R.Stu+C.Mak"/>
      <sheetName val="50C.mark+Barricade"/>
      <sheetName val="51BUS STOP"/>
      <sheetName val="52ป้ายชั่วคราว+ด่าน"/>
      <sheetName val="Input"/>
      <sheetName val="Form1"/>
      <sheetName val="41.EXCAVATION"/>
      <sheetName val="BOQ_(10_หน้า)"/>
      <sheetName val="ค่า_F"/>
      <sheetName val="7Cut+Soft_R+Hart_R+Uns"/>
      <sheetName val="9EMB_"/>
      <sheetName val="10Fil_Islandl+Side"/>
      <sheetName val="11P_B_Fill"/>
      <sheetName val="15ASP_Lev_"/>
      <sheetName val="18สะพาน_ราคารวม"/>
      <sheetName val="22B_Appro"/>
      <sheetName val="23,24R_C_BOX_(2ตัว)"/>
      <sheetName val="25-27RC__PIPE(3หน้า)"/>
      <sheetName val="28,29Slope_Pro+Shot(2หน้า)"/>
      <sheetName val="30Per_Pipe+R_Fill"/>
      <sheetName val="31,32Catch_Baแบบพิเศษ"/>
      <sheetName val="33R_C_Ditch"/>
      <sheetName val="34D_Lining"/>
      <sheetName val="39,40Barr_(2หน้า)"/>
      <sheetName val="41G_POST"/>
      <sheetName val="48ไฟ_เขียว-แดง"/>
      <sheetName val="49สีตีเส้น+R_Stu+C_Mak"/>
      <sheetName val="50C_mark+Barricade"/>
      <sheetName val="51BUS_STOP"/>
      <sheetName val="41_EXCAVATION"/>
      <sheetName val="BOQ_(10_หน้า)1"/>
      <sheetName val="ค่า_F1"/>
      <sheetName val="7Cut+Soft_R+Hart_R+Uns1"/>
      <sheetName val="9EMB_1"/>
      <sheetName val="10Fil_Islandl+Side1"/>
      <sheetName val="11P_B_Fill1"/>
      <sheetName val="15ASP_Lev_1"/>
      <sheetName val="18สะพาน_ราคารวม1"/>
      <sheetName val="22B_Appro1"/>
      <sheetName val="23,24R_C_BOX_(2ตัว)1"/>
      <sheetName val="25-27RC__PIPE(3หน้า)1"/>
      <sheetName val="28,29Slope_Pro+Shot(2หน้า)1"/>
      <sheetName val="30Per_Pipe+R_Fill1"/>
      <sheetName val="31,32Catch_Baแบบพิเศษ1"/>
      <sheetName val="33R_C_Ditch1"/>
      <sheetName val="34D_Lining1"/>
      <sheetName val="39,40Barr_(2หน้า)1"/>
      <sheetName val="41G_POST1"/>
      <sheetName val="48ไฟ_เขียว-แดง1"/>
      <sheetName val="49สีตีเส้น+R_Stu+C_Mak1"/>
      <sheetName val="50C_mark+Barricade1"/>
      <sheetName val="51BUS_STOP1"/>
      <sheetName val="41_EXCAVATION1"/>
      <sheetName val="6"/>
      <sheetName val="5"/>
    </sheetNames>
    <sheetDataSet>
      <sheetData sheetId="0"/>
      <sheetData sheetId="1"/>
      <sheetData sheetId="2"/>
      <sheetData sheetId="3"/>
      <sheetData sheetId="4"/>
      <sheetData sheetId="5"/>
      <sheetData sheetId="6">
        <row r="16">
          <cell r="X16">
            <v>21978.43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ทั่วไป"/>
      <sheetName val="INPUT"/>
      <sheetName val="สารบัญ"/>
      <sheetName val="ปะหน้า"/>
      <sheetName val="สารบัญหัวข้อการเบิกจ่าย"/>
      <sheetName val="ปร5"/>
      <sheetName val="ปร4"/>
      <sheetName val="ปร4-1"/>
      <sheetName val="หา FACTOR F"/>
      <sheetName val="ตารางFACTOR Fทาง"/>
      <sheetName val="ตารางFACTOR Fโครงสร้าง"/>
      <sheetName val="unitcost"/>
      <sheetName val="FACTOR - F"/>
      <sheetName val="กราฟทำงาน"/>
      <sheetName val="เวลาทำงาน (1)"/>
      <sheetName val="อัตราทำงาน"/>
      <sheetName val="แหล่งวัสดุ"/>
      <sheetName val="ค่าดำเนินการ"/>
      <sheetName val="ค่าขนส่ง 1"/>
      <sheetName val="ค่าขนส่ง 1(ต่อ)"/>
      <sheetName val="ดำเนินการ"/>
      <sheetName val="ดำเนินการ (เดิม)"/>
      <sheetName val="Factor ดิน"/>
      <sheetName val="bf"/>
      <sheetName val="boq-bf"/>
      <sheetName val="การคิดค่า"/>
      <sheetName val="ตารางขนส่ง"/>
      <sheetName val="ขนส่งพ่วง"/>
      <sheetName val="ขนส่งพ่วง(ต่อ)"/>
      <sheetName val="เริ่มต้น"/>
      <sheetName val="บทที่1"/>
      <sheetName val="บทที่2(1)"/>
      <sheetName val="วิธีคิดค่าขนส่ง"/>
      <sheetName val="Detailค่าเครื่องจักร"/>
      <sheetName val="สรุปค่าเครื่องจักร+อะไหล่สึกหรอ"/>
      <sheetName val="บทที่2(2)"/>
      <sheetName val="บทที่2(3)"/>
      <sheetName val="บทที่2(4)"/>
      <sheetName val="บทที่2(6)"/>
      <sheetName val="บทที่2(7)"/>
      <sheetName val="บทที่3"/>
      <sheetName val="บทที่3(2)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ทั่วไป"/>
      <sheetName val="INPUT"/>
      <sheetName val="สารบัญ"/>
      <sheetName val="ปะหน้า"/>
      <sheetName val="สารบัญหัวข้อการเบิกจ่าย"/>
      <sheetName val="ปร5"/>
      <sheetName val="ปร4"/>
      <sheetName val="ปร4-1"/>
      <sheetName val="หา FACTOR F"/>
      <sheetName val="ตารางFACTOR Fทาง"/>
      <sheetName val="ตารางFACTOR Fโครงสร้าง"/>
      <sheetName val="unitcost"/>
      <sheetName val="FACTOR - F"/>
      <sheetName val="กราฟทำงาน"/>
      <sheetName val="เวลาทำงาน (1)"/>
      <sheetName val="อัตราทำงาน"/>
      <sheetName val="แหล่งวัสดุ"/>
      <sheetName val="ค่าดำเนินการ"/>
      <sheetName val="ค่าขนส่ง 1"/>
      <sheetName val="ค่าขนส่ง 1(ต่อ)"/>
      <sheetName val="ดำเนินการ"/>
      <sheetName val="ดำเนินการ (เดิม)"/>
      <sheetName val="Factor ดิน"/>
      <sheetName val="bf"/>
      <sheetName val="boq-bf"/>
      <sheetName val="การคิดค่า"/>
      <sheetName val="ตารางขนส่ง"/>
      <sheetName val="ขนส่งพ่วง"/>
      <sheetName val="ขนส่งพ่วง(ต่อ)"/>
      <sheetName val="เริ่มต้น"/>
      <sheetName val="บทที่1"/>
      <sheetName val="บทที่2(1)"/>
      <sheetName val="วิธีคิดค่าขนส่ง"/>
      <sheetName val="Detailค่าเครื่องจักร"/>
      <sheetName val="สรุปค่าเครื่องจักร+อะไหล่สึกหรอ"/>
      <sheetName val="บทที่2(2)"/>
      <sheetName val="บทที่2(3)"/>
      <sheetName val="บทที่2(4)"/>
      <sheetName val="บทที่2(6)"/>
      <sheetName val="บทที่2(7)"/>
      <sheetName val="บทที่3"/>
      <sheetName val="บทที่3(2)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ละเอียดโครงการ"/>
      <sheetName val="ข้อมูลเบื้องต้น"/>
      <sheetName val="รายการทั้งหมด"/>
      <sheetName val="สารบัญ"/>
      <sheetName val="Summary (SUM)"/>
      <sheetName val="ค่าแรงงาน,ดำเนินการต่อหน่วย"/>
      <sheetName val="รายการงานของโครงการ (SUM)"/>
      <sheetName val="UNIT COST (2)"/>
      <sheetName val="General"/>
      <sheetName val="ราคาต่อหน่วย1.1_1"/>
      <sheetName val="ราคาต่อหน่วย 1.1_2"/>
      <sheetName val="ราคาต่อหน่วย 1.2"/>
      <sheetName val="ราคาต่อหน่วย 1.3-1.8"/>
      <sheetName val="ราคาวัสดุหมวด 1"/>
      <sheetName val="EWork"/>
      <sheetName val="REMOVAL"/>
      <sheetName val="2"/>
      <sheetName val="3"/>
      <sheetName val="4"/>
      <sheetName val="5-2"/>
      <sheetName val="Unit Cost"/>
      <sheetName val="6"/>
      <sheetName val="7"/>
      <sheetName val="8"/>
      <sheetName val="ค่าดำเนินการ+ค่าเสื่อมราคา"/>
      <sheetName val="ตารางค่าขนส่ง"/>
      <sheetName val="การหาค่า factor F (2)"/>
      <sheetName val="Factor F ฝนตกชุก"/>
      <sheetName val="ข้อมูลวัสดุและค่าดำเนินการ"/>
      <sheetName val="concrete&amp;งานไม้แบบ"/>
      <sheetName val="ราคาวัสดุ"/>
      <sheetName val="สรุปค่าขนส่ง"/>
      <sheetName val="ค่าขนส่ง-1"/>
      <sheetName val="DRAINAGE(KM)"/>
      <sheetName val="Barrier"/>
      <sheetName val="Bk Traffic"/>
      <sheetName val="6.12(1)"/>
      <sheetName val="6.12(2)"/>
      <sheetName val="6.12(2-a)"/>
      <sheetName val="6.12(2-b)"/>
      <sheetName val="6.12(2-c)"/>
      <sheetName val="6.12(6)"/>
      <sheetName val="6.12(7)"/>
      <sheetName val="6.12 (10)"/>
      <sheetName val="7.1"/>
      <sheetName val="Sheet3"/>
      <sheetName val="7.2"/>
      <sheetName val="6.13.1"/>
      <sheetName val="back up"/>
      <sheetName val="back up2"/>
      <sheetName val="back up3"/>
      <sheetName val="Soil Cement Column"/>
      <sheetName val="ค่าแรงต่อหน่วย"/>
      <sheetName val="ส่วนขยายและค่ายุบตัว"/>
      <sheetName val="รายชื่อสะพาน"/>
      <sheetName val="งานรื้อถอนสะพาน"/>
      <sheetName val="ท่อระบายน้ำ"/>
      <sheetName val="Traffic"/>
      <sheetName val="งานผิวจราจร"/>
      <sheetName val="ทางเชื่อม"/>
      <sheetName val="LOCAL ROAD"/>
      <sheetName val="UNIT_COST"/>
      <sheetName val="GIRDER"/>
      <sheetName val="STRUTURE _UNIT COST"/>
      <sheetName val="Piling"/>
      <sheetName val="Bor pile"/>
      <sheetName val="G"/>
      <sheetName val="backup ค่าของงานโครงสร้าง"/>
      <sheetName val="ค่าขนส่งทางทะเล"/>
      <sheetName val="หิน"/>
      <sheetName val="Summary"/>
      <sheetName val="รายการงานของโครงการ"/>
      <sheetName val="1"/>
      <sheetName val="5"/>
      <sheetName val="7.General-new"/>
      <sheetName val="Back Bill 4"/>
      <sheetName val="วัสดุคัดเลือก"/>
      <sheetName val="ดินถม ลูกรัง"/>
      <sheetName val="ทราย"/>
      <sheetName val="ป้อมยาม"/>
      <sheetName val="โรงจอดรถ"/>
      <sheetName val="Sheet1"/>
      <sheetName val="8Unsui+Soft"/>
      <sheetName val="25-27RC. PIPE(3หน้า)"/>
      <sheetName val="42หลักกิโล"/>
      <sheetName val="52ป้ายชั่วคราว+ด่าน"/>
      <sheetName val="3ข้อมูลวัสดุ-ค่าดำเนิน"/>
    </sheetNames>
    <sheetDataSet>
      <sheetData sheetId="0">
        <row r="2">
          <cell r="B2" t="str">
            <v>HIGHTWAY ROUTE NO.4006 BAN RATCHAKRUT - AMPHOE LANG SUAN SECTION 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69">
          <cell r="W269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3">
          <cell r="J13">
            <v>16.100000000000001</v>
          </cell>
        </row>
      </sheetData>
      <sheetData sheetId="16">
        <row r="10">
          <cell r="J10">
            <v>3.15</v>
          </cell>
        </row>
      </sheetData>
      <sheetData sheetId="17">
        <row r="12">
          <cell r="J12">
            <v>614</v>
          </cell>
        </row>
      </sheetData>
      <sheetData sheetId="18">
        <row r="8">
          <cell r="J8">
            <v>25.19036273</v>
          </cell>
        </row>
      </sheetData>
      <sheetData sheetId="19">
        <row r="1244">
          <cell r="J1244">
            <v>2290</v>
          </cell>
        </row>
      </sheetData>
      <sheetData sheetId="20">
        <row r="137">
          <cell r="M137">
            <v>3430</v>
          </cell>
        </row>
      </sheetData>
      <sheetData sheetId="21">
        <row r="17">
          <cell r="J17">
            <v>393.22724104308389</v>
          </cell>
        </row>
      </sheetData>
      <sheetData sheetId="22">
        <row r="26">
          <cell r="J26">
            <v>1700980</v>
          </cell>
        </row>
      </sheetData>
      <sheetData sheetId="23" refreshError="1"/>
      <sheetData sheetId="24"/>
      <sheetData sheetId="25"/>
      <sheetData sheetId="26"/>
      <sheetData sheetId="27" refreshError="1"/>
      <sheetData sheetId="28">
        <row r="8">
          <cell r="J8">
            <v>24885.75</v>
          </cell>
        </row>
      </sheetData>
      <sheetData sheetId="29"/>
      <sheetData sheetId="30">
        <row r="11">
          <cell r="D11">
            <v>2.7570000000000001</v>
          </cell>
        </row>
      </sheetData>
      <sheetData sheetId="31"/>
      <sheetData sheetId="32">
        <row r="53">
          <cell r="M53">
            <v>285.69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5">
          <cell r="D5">
            <v>1.45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32">
          <cell r="C32">
            <v>0.62</v>
          </cell>
        </row>
      </sheetData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Worksheet"/>
      <sheetName val="data"/>
      <sheetName val="unitcost"/>
      <sheetName val="RUN เลขหน้า ITEM"/>
      <sheetName val="B.O.Q"/>
      <sheetName val="ค่าขนส่งวัสดุ"/>
      <sheetName val="ตารางค่าดำเนินการ"/>
      <sheetName val="11 ข้อมูลงานCon"/>
      <sheetName val="10 ข้อมูลวัสดุ-ค่าดำเนิน"/>
      <sheetName val="12 ข้อมูลงานไม้แบบ"/>
      <sheetName val="5-2"/>
      <sheetName val="3"/>
      <sheetName val="2"/>
      <sheetName val="6"/>
      <sheetName val="Factor F"/>
      <sheetName val="4.1.1 prime-4.2.2 double"/>
      <sheetName val="5.1.1.1-5.1.1.2 new bridge "/>
      <sheetName val="traff.manage"/>
      <sheetName val="4"/>
      <sheetName val="รายละเอียดโครงการ"/>
      <sheetName val="detail"/>
      <sheetName val="fr"/>
      <sheetName val="EEC"/>
      <sheetName val="RUN_เลขหน้า_ITEM"/>
      <sheetName val="B_O_Q"/>
      <sheetName val="11_ข้อมูลงานCon"/>
      <sheetName val="10_ข้อมูลวัสดุ-ค่าดำเนิน"/>
      <sheetName val="12_ข้อมูลงานไม้แบบ"/>
      <sheetName val="Factor_F"/>
      <sheetName val="4_1_1_prime-4_2_2_double"/>
      <sheetName val="5_1_1_1-5_1_1_2_new_bridge_"/>
      <sheetName val="traff_manage"/>
      <sheetName val="RUN_เลขหน้า_ITEM1"/>
      <sheetName val="B_O_Q1"/>
      <sheetName val="11_ข้อมูลงานCon1"/>
      <sheetName val="10_ข้อมูลวัสดุ-ค่าดำเนิน1"/>
      <sheetName val="12_ข้อมูลงานไม้แบบ1"/>
      <sheetName val="Factor_F1"/>
      <sheetName val="4_1_1_prime-4_2_2_double1"/>
      <sheetName val="5_1_1_1-5_1_1_2_new_bridge_1"/>
      <sheetName val="traff_manage1"/>
      <sheetName val="ข้อมูลงานและราคา"/>
    </sheetNames>
    <sheetDataSet>
      <sheetData sheetId="0" refreshError="1"/>
      <sheetData sheetId="1" refreshError="1">
        <row r="8">
          <cell r="L8">
            <v>7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  <sheetName val="EEC"/>
    </sheetNames>
    <sheetDataSet>
      <sheetData sheetId="0" refreshError="1"/>
      <sheetData sheetId="1" refreshError="1"/>
      <sheetData sheetId="2" refreshError="1"/>
      <sheetData sheetId="3" refreshError="1">
        <row r="30">
          <cell r="AB30">
            <v>182.41</v>
          </cell>
        </row>
      </sheetData>
      <sheetData sheetId="4" refreshError="1">
        <row r="29">
          <cell r="W29">
            <v>112.29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ดแบ่งกม.ส่งพี่หนุ่ม"/>
      <sheetName val="ตัดแบ่งกม.ส่งพี่หนุ่ม (2)"/>
      <sheetName val="สรุปราคาของพี่วีระ"/>
      <sheetName val="ส่งพี่วินัย"/>
      <sheetName val="รายละเอียดโครงการ"/>
      <sheetName val="ปร5"/>
      <sheetName val="สรุปรายงาน"/>
      <sheetName val="สารบัญ"/>
      <sheetName val="Summary"/>
      <sheetName val="รายการงานของโครงการ"/>
      <sheetName val="รายการทั้งหมด"/>
      <sheetName val="ข้อมูลเบื้องต้น"/>
      <sheetName val="1"/>
      <sheetName val="2"/>
      <sheetName val="3"/>
      <sheetName val="4"/>
      <sheetName val="ท่อระบายน้ำ"/>
      <sheetName val="5-2"/>
      <sheetName val="Unit cost"/>
      <sheetName val="6"/>
      <sheetName val="6 (2)"/>
      <sheetName val="back up"/>
      <sheetName val="7.1"/>
      <sheetName val="7.2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concrete&amp;งานไม้แบบ"/>
      <sheetName val="ราคาวัสดุ"/>
      <sheetName val="ข้อมูลวัสดุค่าดำเนินการ"/>
      <sheetName val="ค่าแรงต่อหน่วย"/>
      <sheetName val="ส่วนขยายและค่ายุบตัว"/>
      <sheetName val="backup ค่าของงานโครงสร้าง"/>
      <sheetName val="ค่าขนส่งทางทะเล"/>
      <sheetName val="Worksheet"/>
      <sheetName val="ตัดแบ่งกม_ส่งพี่หนุ่ม"/>
      <sheetName val="ตัดแบ่งกม_ส่งพี่หนุ่ม_(2)"/>
      <sheetName val="Unit_cost"/>
      <sheetName val="6_(2)"/>
      <sheetName val="back_up"/>
      <sheetName val="7_1"/>
      <sheetName val="7_2"/>
      <sheetName val="ตาราง_Factor_F_งานทาง"/>
      <sheetName val="ตาราง_Factor_F_สะพาน_ท่อเหลี่ยม"/>
      <sheetName val="ตาราง_Factor_F_อาคาร"/>
      <sheetName val="Factor_F"/>
      <sheetName val="F_ฝนตกชุก"/>
      <sheetName val="backup_ค่าของงานโครงสร้าง"/>
      <sheetName val="ตัดแบ่งกม_ส่งพี่หนุ่ม1"/>
      <sheetName val="ตัดแบ่งกม_ส่งพี่หนุ่ม_(2)1"/>
      <sheetName val="Unit_cost1"/>
      <sheetName val="6_(2)1"/>
      <sheetName val="back_up1"/>
      <sheetName val="7_11"/>
      <sheetName val="7_21"/>
      <sheetName val="ตาราง_Factor_F_งานทาง1"/>
      <sheetName val="ตาราง_Factor_F_สะพาน_ท่อเหลี่ย1"/>
      <sheetName val="ตาราง_Factor_F_อาคาร1"/>
      <sheetName val="Factor_F1"/>
      <sheetName val="F_ฝนตกชุก1"/>
      <sheetName val="backup_ค่าของงานโครงสร้าง1"/>
    </sheetNames>
    <sheetDataSet>
      <sheetData sheetId="0" refreshError="1">
        <row r="4">
          <cell r="E4">
            <v>183908246.11031938</v>
          </cell>
        </row>
        <row r="33">
          <cell r="D33">
            <v>54349540</v>
          </cell>
        </row>
        <row r="34">
          <cell r="D34">
            <v>52793420</v>
          </cell>
        </row>
        <row r="35">
          <cell r="D35">
            <v>160711090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ckup Data"/>
      <sheetName val="บัญชีรายการ"/>
      <sheetName val="ปร.4"/>
      <sheetName val="ปร.5"/>
      <sheetName val="ปร.6"/>
      <sheetName val="BOQ Form"/>
      <sheetName val="Break Down Cost"/>
      <sheetName val="Break Down Cost (2)"/>
      <sheetName val="Appendix"/>
      <sheetName val="Steel Weight"/>
      <sheetName val="สืบราคา"/>
      <sheetName val="Take of material"/>
      <sheetName val="ใบปะหน้า"/>
      <sheetName val="Paint"/>
      <sheetName val="10 ข้อมูลวัสดุ-ค่าดำเนิน"/>
      <sheetName val="pl"/>
      <sheetName val="EEC"/>
      <sheetName val="ค่าขนส่ง-1"/>
      <sheetName val="5-2"/>
      <sheetName val="Worksheet"/>
    </sheetNames>
    <sheetDataSet>
      <sheetData sheetId="0">
        <row r="3">
          <cell r="B3" t="str">
            <v>โครงการก่อสร้างทางเชื่อมต่อทางพิเศษสายบางพลี - สุขสวัสดิ์ กับทางพิเศษบูรพาวิถี</v>
          </cell>
        </row>
        <row r="4">
          <cell r="B4" t="str">
            <v>งานก่อสร้างหลังคาลานจอดรถที่อาคารควบคุมด่านเก็บค่าผ่านทาง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2">
          <cell r="H22">
            <v>91.240000000000009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วัสดุก่อสร้างทั่วไป"/>
      <sheetName val="ค่าขนส่งวัสดุ"/>
      <sheetName val="ตารางค่า F"/>
      <sheetName val="ตารางค่าดำเนินการ"/>
      <sheetName val="1.รายละเอียด"/>
      <sheetName val="2.แผนที่แหล่งวัสดุ"/>
      <sheetName val="3.หลักเกณฑ์ (3)"/>
      <sheetName val="3.หลักเกณฑ์"/>
      <sheetName val="4.ข้อมูลเบื้องต้น"/>
      <sheetName val="5.ระยะขนส่ง"/>
      <sheetName val="ตัวแปรค่าขนส่ง"/>
      <sheetName val="6.ข้อมูลวัสดุ-ค่าดำเนิน"/>
      <sheetName val="ตารางเปรียบเทียบราคาไม้"/>
      <sheetName val="7.ข้อมูลงานCon+ไม้แบบ"/>
      <sheetName val="8.ข้อมูลงานไม้แบบ+งานทั่วไป"/>
      <sheetName val="ราคาต้นทุนกรรมการ"/>
      <sheetName val="ราคากลาง"/>
      <sheetName val="Fกรรมการ"/>
      <sheetName val="9.ค่า F"/>
      <sheetName val="B.O.Q"/>
      <sheetName val="หมายเหตุ."/>
      <sheetName val="1.1RE. ASPHAL-1.7RE.V-Ditch"/>
      <sheetName val="2.1CLEAR-2.2.4 UNSUIT."/>
      <sheetName val="2.3.1 EARTH EMB.-2.3.6 POROUS"/>
      <sheetName val="2.4.1SE.B. - 2.4.4SE.GRANULAR"/>
      <sheetName val="3.1.1 SUBBASE - 3.5 SCAR."/>
      <sheetName val="4.1.1 PRIME-4.1.2 TACK"/>
      <sheetName val="4.4.3 BIN.-4.4.4 WEAR."/>
      <sheetName val="4.4(4.3)overly wearing"/>
      <sheetName val="4.9.1PORTLAND"/>
      <sheetName val="4.9(3-6)EXPAN JIONT"/>
      <sheetName val="BOX G.+I G.+PLANK G."/>
      <sheetName val="ราวสะพาน"/>
      <sheetName val="เสาเข็ม65x65+fin"/>
      <sheetName val="DRAINAGE"/>
      <sheetName val="PRECAST FORM"/>
      <sheetName val="สะพานเบี่ยง +MULTI BEAM"/>
      <sheetName val="5.1.2.1สะพาน"/>
      <sheetName val="5.1.4 APPRO+5.1.6 ABUT.PROJEC"/>
      <sheetName val="BEARING U-REINFORCED -R.C."/>
      <sheetName val="5.1.7.1 สะพานคนเดินข้าม 113,123"/>
      <sheetName val="รายละเอียด สะพานคนเดินข้าม (2)"/>
      <sheetName val="5.2.2  EXTENSION  R.C. BOX "/>
      <sheetName val="เพิ่มเติมทุบย้ายBOX"/>
      <sheetName val="5.3RC. PIPE"/>
      <sheetName val="6.1.1 SLOPE-6.1.17"/>
      <sheetName val="6.3.1.3. MH. TYPE C 1.20"/>
      <sheetName val="6.3.1.4MH TYPE D  0.60"/>
      <sheetName val="6.3.1.3.เสริม TYPE C 1.20 "/>
      <sheetName val="6.3.1.4.1เสริม  MH. TYPE D 1.20"/>
      <sheetName val="6.3.2 CATCH BASIN"/>
      <sheetName val="6.3.3.2.4 DROP TYPE II"/>
      <sheetName val="6.3.4REC. PIPE+6.3.5.1+6.3. (2)"/>
      <sheetName val="6.3.12.1TYPE I-6.3.15MSE WALL"/>
      <sheetName val="6.4.1CURB &amp; GUTTER -6.4.4MOUNTA"/>
      <sheetName val="6.5.1 SLAB BLOCK 0.4 X 0.4"/>
      <sheetName val="6.5.3 IMPROVEM SLAB BLOCK "/>
      <sheetName val="6.6.1 B. SODDING"/>
      <sheetName val="6.8.1 W-GUARD"/>
      <sheetName val="6.8.1RE W-GUARD (2)"/>
      <sheetName val="6.8.3.1BARRIER TYPE 1"/>
      <sheetName val="6.8.3.3 BARRIER TYPE II"/>
      <sheetName val="6.8.4.1 APP. TYPE A-6.8.4.5 SPE"/>
      <sheetName val="6.10.1GUIDE P.-6.10.4.3 REFLEX."/>
      <sheetName val="6.11.1แผ่นป้าย - 6.11.2.2เสา"/>
      <sheetName val="6.11.3.1 MOUNTING ON STEEL TRUS"/>
      <sheetName val="6.11.4.1 STEEL POLE52800 "/>
      <sheetName val="6.11.4.2 STEEL POLE108000"/>
      <sheetName val="6.11.5.1.1STEEL TRUSS I"/>
      <sheetName val="6.11.5.2.1FOUNDATION I"/>
      <sheetName val="6.11.5.1 STEEL TRUSS II(2)"/>
      <sheetName val="6.11.5.2 PILE FOUNDATION II (2)"/>
      <sheetName val="6.12.1เสาไฟกิ่งเดี่ยว"/>
      <sheetName val="6.12.2 เสาไฟฟ้ากิ่งคู่"/>
      <sheetName val="2-40  watt"/>
      <sheetName val="1-150watt soffit"/>
      <sheetName val="6.12.10.1 RE. SINGLE BRAC."/>
      <sheetName val="6.12.10.1 RE. DOUBLE BRAC."/>
      <sheetName val="6.13.1.1 TRAFFIC SIGNAL4 F"/>
      <sheetName val="6.13.1.1 TRAFFIC SIGNAL (3)3F"/>
      <sheetName val="รายละเอียดเสาไฟสัญญาณ10ม. "/>
      <sheetName val="FLASHIS SIGHL"/>
      <sheetName val="6.15สีตีเส้น+6.15.4.1 STUD (2)"/>
      <sheetName val="6.15+6.15.4.1 STUD"/>
      <sheetName val="6.17.1BUS STOP A-F"/>
      <sheetName val="6.18 B. GASSING (2)-DRAINAGE"/>
      <sheetName val="ป้าย"/>
      <sheetName val="RUN เลขหน้า ITEM"/>
      <sheetName val="boq"/>
      <sheetName val="FCalSH"/>
      <sheetName val="4"/>
      <sheetName val="6"/>
      <sheetName val="3"/>
      <sheetName val="2"/>
      <sheetName val="1"/>
      <sheetName val="รายละเอียดโครงการ"/>
      <sheetName val="5-2"/>
      <sheetName val="สรุป"/>
      <sheetName val="ตัดแบ่งกม.ส่งพี่หนุ่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8">
          <cell r="D3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บัญชีฯ(ทุน)"/>
      <sheetName val="ค่า F"/>
      <sheetName val="ระยะขนส่งวัสดุ"/>
      <sheetName val="ข้อมูลวัสดุก่อสร้างทาง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40"/>
      <sheetName val="41.EXCAVATION"/>
      <sheetName val="42.1"/>
      <sheetName val="42.2 EMBANKMENT"/>
      <sheetName val="44"/>
      <sheetName val="45. SELECTED,SUBBASE"/>
      <sheetName val="48.BASE,Recyciing"/>
      <sheetName val="51.ASPHALT,PRIME,TACK"/>
      <sheetName val="53.2"/>
      <sheetName val="56"/>
      <sheetName val="62. BRIDGE"/>
      <sheetName val="63"/>
      <sheetName val="64"/>
      <sheetName val="64.1(อัดแรง)"/>
      <sheetName val="คานอัดแรง"/>
      <sheetName val="Approach"/>
      <sheetName val="67"/>
      <sheetName val="68"/>
      <sheetName val="69"/>
      <sheetName val="70.RC. BOX"/>
      <sheetName val="71.RC. PIPE (3)"/>
      <sheetName val="72"/>
      <sheetName val="73"/>
      <sheetName val="83.RC.MANHOLE"/>
      <sheetName val="116 (1)"/>
      <sheetName val="123"/>
      <sheetName val="130"/>
      <sheetName val="130.1"/>
      <sheetName val="149"/>
      <sheetName val="149.1"/>
      <sheetName val="150"/>
      <sheetName val="152"/>
      <sheetName val="154 "/>
      <sheetName val="156"/>
      <sheetName val="157"/>
      <sheetName val="158"/>
      <sheetName val="166"/>
      <sheetName val="167"/>
      <sheetName val="168"/>
      <sheetName val="173 "/>
      <sheetName val="173(1) "/>
      <sheetName val="173(2)"/>
      <sheetName val="180"/>
      <sheetName val="176"/>
      <sheetName val="182 "/>
      <sheetName val="183 "/>
      <sheetName val="TRAFFIC"/>
      <sheetName val="192"/>
      <sheetName val="Bill No. 2 - Carpark"/>
      <sheetName val="สายแม่ริม-แม่แตง ตอน2 A"/>
      <sheetName val="ราคาคอนกรีตต่อหน่วย"/>
      <sheetName val="detail"/>
      <sheetName val="สรุป"/>
      <sheetName val="fr"/>
      <sheetName val="อาคาร 2 11Boots"/>
      <sheetName val="อาคาร 2 14Boots"/>
      <sheetName val="อาคาร 2 5Boots"/>
      <sheetName val="อาคาร 2 6Boots"/>
      <sheetName val="boq"/>
      <sheetName val="ปร5"/>
      <sheetName val="Backup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">
          <cell r="R11">
            <v>1705.86</v>
          </cell>
        </row>
      </sheetData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วิธีการใช้งาน"/>
      <sheetName val="RUN เลขหน้า ITEM"/>
      <sheetName val="1.รายละเอียด"/>
      <sheetName val="2.แผนที่แหล่งวัสดุ"/>
      <sheetName val="3.หลักเกณฑ์"/>
      <sheetName val="3.หลักเกณฑ์ (3)"/>
      <sheetName val="GIRDER"/>
      <sheetName val="STRUTURE _UNIT COST"/>
      <sheetName val="4.ข้อมูลเบื้องต้น"/>
      <sheetName val="ราคาวัสดุก่อสร้างทั่วไป"/>
      <sheetName val="ตารางค่าดำเนินการ"/>
      <sheetName val="ค่าขนส่งวัสดุ"/>
      <sheetName val="5.ระยะขนส่ง"/>
      <sheetName val="ระยะทางเฉลี่ย"/>
      <sheetName val="ตารางเปรียบเทียบราคาไม้"/>
      <sheetName val="ตัวแปรค่าขนส่ง"/>
      <sheetName val="6.ข้อมูลวัสดุ-ค่าดำเนิน"/>
      <sheetName val="7.ข้อมูลงานCon+ไม้แบบ"/>
      <sheetName val="8.ข้อมูลงานไม้แบบ+งานทั่วไป"/>
      <sheetName val="ตารางค่า F"/>
      <sheetName val="9.ค่า F"/>
      <sheetName val="B.O.Q"/>
      <sheetName val="B5"/>
      <sheetName val="คอนกรีตสะพานข้ามแยก"/>
      <sheetName val="Piling"/>
      <sheetName val="Bor pile"/>
      <sheetName val="V2"/>
      <sheetName val="B5.1(2)"/>
      <sheetName val="ตีเส้น"/>
      <sheetName val="ป้ายจราจร"/>
      <sheetName val="6.4"/>
      <sheetName val="B6.12"/>
      <sheetName val="ดินตัด-ถม"/>
      <sheetName val="หมายเหตุ. (2)"/>
      <sheetName val="หมายเหตุ."/>
      <sheetName val="หมายเหตุ1"/>
      <sheetName val="1.1RE EXS.BRIDGE"/>
      <sheetName val="2.1CLEAR-2.2.5 SOFT MAT"/>
      <sheetName val="2.3.1 EARTH EMB.-2.3.6 POROUS"/>
      <sheetName val="2.4.1SE.B. - 2.4.2 SE.A"/>
      <sheetName val="2.3(10.2)CEMENT COLUMN"/>
      <sheetName val="3.1.1 SUBBASE - 3.7 RECYCLING"/>
      <sheetName val="4.1.1 PRIME-4.2.2 DOUBLE"/>
      <sheetName val="4.4.(3)BIND.-4.4.(4)WEAR"/>
      <sheetName val="5.1.1.1-5.1.1.2 NEW BRIDGE "/>
      <sheetName val="นั่งร้าน"/>
      <sheetName val="5.1.4 APPRO"/>
      <sheetName val="5.1.5 BEARING UNIT"/>
      <sheetName val="5.2.1.1-5.2.3.1 R.C. BOX"/>
      <sheetName val="5.3RC. PIPE(6)"/>
      <sheetName val="PLANK G.+เสาเข็มDIA 80"/>
      <sheetName val="6.1(1) SLOPE-6.1.20"/>
      <sheetName val="6.3.1.4 MH. TYPE D 0.80"/>
      <sheetName val="MH.E,B"/>
      <sheetName val="RE.WALLI,II,RA-RW"/>
      <sheetName val="6.3.8 R.C.DITCH TYPE A"/>
      <sheetName val="6.(4)REC.PIPE "/>
      <sheetName val="6.4.1CURB &amp; GUTTER -6.4.4MOUNTA"/>
      <sheetName val="R.STUD.CURBMARK"/>
      <sheetName val="6.5.1SLAB BLOCK-6.5.3HALLOW"/>
      <sheetName val="6.8.4.1 APP. TYPE A-6.8.4.5 SPE"/>
      <sheetName val="RC.STEELRAIL"/>
      <sheetName val="6.10.2KM.- 6.10.3ROW."/>
      <sheetName val="6.11.1แผ่นป้าย - 6.11.2.2เสา"/>
      <sheetName val="6.11.3.1 MOUNTING ON STEEL TRUS"/>
      <sheetName val="6.11.5.1 STEEL TRUSS"/>
      <sheetName val="6.11.5.2 PILE FOUNDATION"/>
      <sheetName val="6.12.3เสาไฟกิ่งเดี่ยว 9ม. "/>
      <sheetName val="เสาไฟกิ่งเดี่ยว 12 ม."/>
      <sheetName val="6.12.4เสาไฟกิ่งคู่ 9ม."/>
      <sheetName val="Deck Soffit"/>
      <sheetName val="SUPPLY PILLAR"/>
      <sheetName val="6.13.1.1 TRAFFIC SIGNAL (3)3F"/>
      <sheetName val="6.15สีตีเส้น"/>
      <sheetName val="Sheet1"/>
      <sheetName val="TRAFF.MANAGE"/>
      <sheetName val="ITEM ที่ยังไม่ได้ตรวจสอบปริมาณ"/>
      <sheetName val="11 ข้อมูลงานCon"/>
      <sheetName val="ปร4"/>
      <sheetName val="ราคาวัสดุ"/>
      <sheetName val="pl"/>
      <sheetName val="หา FACTOR F"/>
      <sheetName val="unitcost"/>
      <sheetName val="RUN_เลขหน้า_ITEM"/>
      <sheetName val="1_รายละเอียด"/>
      <sheetName val="2_แผนที่แหล่งวัสดุ"/>
      <sheetName val="3_หลักเกณฑ์"/>
      <sheetName val="3_หลักเกณฑ์_(3)"/>
      <sheetName val="STRUTURE__UNIT_COST"/>
      <sheetName val="4_ข้อมูลเบื้องต้น"/>
      <sheetName val="5_ระยะขนส่ง"/>
      <sheetName val="6_ข้อมูลวัสดุ-ค่าดำเนิน"/>
      <sheetName val="7_ข้อมูลงานCon+ไม้แบบ"/>
      <sheetName val="8_ข้อมูลงานไม้แบบ+งานทั่วไป"/>
      <sheetName val="ตารางค่า_F"/>
      <sheetName val="9_ค่า_F"/>
      <sheetName val="B_O_Q"/>
      <sheetName val="Bor_pile"/>
      <sheetName val="B5_1(2)"/>
      <sheetName val="6_4"/>
      <sheetName val="B6_12"/>
      <sheetName val="หมายเหตุ__(2)"/>
      <sheetName val="หมายเหตุ_"/>
      <sheetName val="1_1RE_EXS_BRIDGE"/>
      <sheetName val="2_1CLEAR-2_2_5_SOFT_MAT"/>
      <sheetName val="2_3_1_EARTH_EMB_-2_3_6_POROUS"/>
      <sheetName val="2_4_1SE_B__-_2_4_2_SE_A"/>
      <sheetName val="2_3(10_2)CEMENT_COLUMN"/>
      <sheetName val="3_1_1_SUBBASE_-_3_7_RECYCLING"/>
      <sheetName val="4_1_1_PRIME-4_2_2_DOUBLE"/>
      <sheetName val="4_4_(3)BIND_-4_4_(4)WEAR"/>
      <sheetName val="5_1_1_1-5_1_1_2_NEW_BRIDGE_"/>
      <sheetName val="5_1_4_APPRO"/>
      <sheetName val="5_1_5_BEARING_UNIT"/>
      <sheetName val="5_2_1_1-5_2_3_1_R_C__BOX"/>
      <sheetName val="5_3RC__PIPE(6)"/>
      <sheetName val="PLANK_G_+เสาเข็มDIA_80"/>
      <sheetName val="6_1(1)_SLOPE-6_1_20"/>
      <sheetName val="6_3_1_4_MH__TYPE_D_0_80"/>
      <sheetName val="MH_E,B"/>
      <sheetName val="RE_WALLI,II,RA-RW"/>
      <sheetName val="6_3_8_R_C_DITCH_TYPE_A"/>
      <sheetName val="6_(4)REC_PIPE_"/>
      <sheetName val="6_4_1CURB_&amp;_GUTTER_-6_4_4MOUNTA"/>
      <sheetName val="R_STUD_CURBMARK"/>
      <sheetName val="6_5_1SLAB_BLOCK-6_5_3HALLOW"/>
      <sheetName val="6_8_4_1_APP__TYPE_A-6_8_4_5_SPE"/>
      <sheetName val="RC_STEELRAIL"/>
      <sheetName val="6_10_2KM_-_6_10_3ROW_"/>
      <sheetName val="6_11_1แผ่นป้าย_-_6_11_2_2เสา"/>
      <sheetName val="6_11_3_1_MOUNTING_ON_STEEL_TRUS"/>
      <sheetName val="6_11_5_1_STEEL_TRUSS"/>
      <sheetName val="6_11_5_2_PILE_FOUNDATION"/>
      <sheetName val="6_12_3เสาไฟกิ่งเดี่ยว_9ม__"/>
      <sheetName val="เสาไฟกิ่งเดี่ยว_12_ม_"/>
      <sheetName val="6_12_4เสาไฟกิ่งคู่_9ม_"/>
      <sheetName val="Deck_Soffit"/>
      <sheetName val="SUPPLY_PILLAR"/>
      <sheetName val="6_13_1_1_TRAFFIC_SIGNAL_(3)3F"/>
      <sheetName val="6_15สีตีเส้น"/>
      <sheetName val="TRAFF_MANAGE"/>
      <sheetName val="ITEM_ที่ยังไม่ได้ตรวจสอบปริมาณ"/>
      <sheetName val="11_ข้อมูลงานCon"/>
      <sheetName val="หา_FACTOR_F"/>
      <sheetName val="RUN_เลขหน้า_ITEM1"/>
      <sheetName val="1_รายละเอียด1"/>
      <sheetName val="2_แผนที่แหล่งวัสดุ1"/>
      <sheetName val="3_หลักเกณฑ์1"/>
      <sheetName val="3_หลักเกณฑ์_(3)1"/>
      <sheetName val="STRUTURE__UNIT_COST1"/>
      <sheetName val="4_ข้อมูลเบื้องต้น1"/>
      <sheetName val="5_ระยะขนส่ง1"/>
      <sheetName val="6_ข้อมูลวัสดุ-ค่าดำเนิน1"/>
      <sheetName val="7_ข้อมูลงานCon+ไม้แบบ1"/>
      <sheetName val="8_ข้อมูลงานไม้แบบ+งานทั่วไป1"/>
      <sheetName val="ตารางค่า_F1"/>
      <sheetName val="9_ค่า_F1"/>
      <sheetName val="B_O_Q1"/>
      <sheetName val="Bor_pile1"/>
      <sheetName val="B5_1(2)1"/>
      <sheetName val="6_41"/>
      <sheetName val="B6_121"/>
      <sheetName val="หมายเหตุ__(2)1"/>
      <sheetName val="หมายเหตุ_1"/>
      <sheetName val="1_1RE_EXS_BRIDGE1"/>
      <sheetName val="2_1CLEAR-2_2_5_SOFT_MAT1"/>
      <sheetName val="2_3_1_EARTH_EMB_-2_3_6_POROUS1"/>
      <sheetName val="2_4_1SE_B__-_2_4_2_SE_A1"/>
      <sheetName val="2_3(10_2)CEMENT_COLUMN1"/>
      <sheetName val="3_1_1_SUBBASE_-_3_7_RECYCLING1"/>
      <sheetName val="4_1_1_PRIME-4_2_2_DOUBLE1"/>
      <sheetName val="4_4_(3)BIND_-4_4_(4)WEAR1"/>
      <sheetName val="5_1_1_1-5_1_1_2_NEW_BRIDGE_1"/>
      <sheetName val="5_1_4_APPRO1"/>
      <sheetName val="5_1_5_BEARING_UNIT1"/>
      <sheetName val="5_2_1_1-5_2_3_1_R_C__BOX1"/>
      <sheetName val="5_3RC__PIPE(6)1"/>
      <sheetName val="PLANK_G_+เสาเข็มDIA_801"/>
      <sheetName val="6_1(1)_SLOPE-6_1_201"/>
      <sheetName val="6_3_1_4_MH__TYPE_D_0_801"/>
      <sheetName val="MH_E,B1"/>
      <sheetName val="RE_WALLI,II,RA-RW1"/>
      <sheetName val="6_3_8_R_C_DITCH_TYPE_A1"/>
      <sheetName val="6_(4)REC_PIPE_1"/>
      <sheetName val="6_4_1CURB_&amp;_GUTTER_-6_4_4MOUNT1"/>
      <sheetName val="R_STUD_CURBMARK1"/>
      <sheetName val="6_5_1SLAB_BLOCK-6_5_3HALLOW1"/>
      <sheetName val="6_8_4_1_APP__TYPE_A-6_8_4_5_SP1"/>
      <sheetName val="RC_STEELRAIL1"/>
      <sheetName val="6_10_2KM_-_6_10_3ROW_1"/>
      <sheetName val="6_11_1แผ่นป้าย_-_6_11_2_2เสา1"/>
      <sheetName val="6_11_3_1_MOUNTING_ON_STEEL_TRU1"/>
      <sheetName val="6_11_5_1_STEEL_TRUSS1"/>
      <sheetName val="6_11_5_2_PILE_FOUNDATION1"/>
      <sheetName val="6_12_3เสาไฟกิ่งเดี่ยว_9ม__1"/>
      <sheetName val="เสาไฟกิ่งเดี่ยว_12_ม_1"/>
      <sheetName val="6_12_4เสาไฟกิ่งคู่_9ม_1"/>
      <sheetName val="Deck_Soffit1"/>
      <sheetName val="SUPPLY_PILLAR1"/>
      <sheetName val="6_13_1_1_TRAFFIC_SIGNAL_(3)3F1"/>
      <sheetName val="6_15สีตีเส้น1"/>
      <sheetName val="TRAFF_MANAGE1"/>
      <sheetName val="ITEM_ที่ยังไม่ได้ตรวจสอบปริมาณ1"/>
      <sheetName val="11_ข้อมูลงานCon1"/>
      <sheetName val="หา_FACTOR_F1"/>
      <sheetName val="summary"/>
      <sheetName val="Std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5">
          <cell r="X15">
            <v>47846.41</v>
          </cell>
        </row>
        <row r="31">
          <cell r="X31">
            <v>601.53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"/>
      <sheetName val="LITF"/>
      <sheetName val="EE-SIMC (2)"/>
      <sheetName val="ภูมิทัศน์"/>
      <sheetName val="boq"/>
      <sheetName val="Bill No. 2 - Carpark"/>
      <sheetName val="Form"/>
      <sheetName val="Structure"/>
      <sheetName val="11 ข้อมูลงานC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่าดำเนินการ+เสื่อมราคา"/>
      <sheetName val="ราคาคอนกรีตต่อหน่วย"/>
      <sheetName val="ราคาวัสดุ"/>
      <sheetName val="ต้นทุนงานทาง"/>
      <sheetName val="สรุปผล"/>
      <sheetName val="ต้นทุนต่อหน่วย-ปร.1"/>
      <sheetName val="รายการสรุปผล"/>
      <sheetName val="F-งานสะพาน"/>
      <sheetName val="F-งานทาง"/>
      <sheetName val="F ฝนตกชุก"/>
      <sheetName val="รายละเอียดโครงการ"/>
      <sheetName val="ค่าขนส่ง-1"/>
      <sheetName val="ตารางค่าขนส่ง"/>
      <sheetName val="ค่าดำเนินการ+ค่าเสื่อมราคา"/>
      <sheetName val="boq"/>
      <sheetName val="pl"/>
      <sheetName val="10 ข้อมูลวัสดุ-ค่าดำเนิน"/>
      <sheetName val="6.ข้อมูลวัสดุ-ค่าดำเนิน"/>
    </sheetNames>
    <sheetDataSet>
      <sheetData sheetId="0" refreshError="1"/>
      <sheetData sheetId="1" refreshError="1"/>
      <sheetData sheetId="2" refreshError="1">
        <row r="61">
          <cell r="F61">
            <v>35.1779996</v>
          </cell>
        </row>
        <row r="63">
          <cell r="F63">
            <v>35.1779996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าคาร 2 5Boots"/>
      <sheetName val="อาคาร 2 6Boots"/>
      <sheetName val="อาคาร 2 11Boots"/>
      <sheetName val="อาคาร 2 14Boots"/>
      <sheetName val="Sum.No.02 (11 Boots)"/>
      <sheetName val="No.02 (11 Boots)"/>
      <sheetName val="Sum.No.02 (14 Boots)"/>
      <sheetName val="No.02 (14 Boots)"/>
      <sheetName val="Sum.No.02 (5 Boots)"/>
      <sheetName val="No.02 (5 Boots)"/>
      <sheetName val="Sum.No.02 (6 Boots)"/>
      <sheetName val="No.02 (6 Boots)"/>
      <sheetName val="ค่าขนส่ง-1"/>
      <sheetName val="5-2"/>
      <sheetName val="FCalSH"/>
      <sheetName val="boq"/>
      <sheetName val="4"/>
      <sheetName val="6"/>
      <sheetName val="3"/>
      <sheetName val="2"/>
      <sheetName val="1"/>
      <sheetName val="รายละเอียดโครงการ"/>
      <sheetName val="12 ข้อมูลงานไม้แบบ"/>
      <sheetName val="11 ข้อมูลงานCon"/>
      <sheetName val="LITF"/>
    </sheetNames>
    <sheetDataSet>
      <sheetData sheetId="0">
        <row r="4">
          <cell r="I4" t="e">
            <v>#REF!</v>
          </cell>
        </row>
      </sheetData>
      <sheetData sheetId="1">
        <row r="4">
          <cell r="I4" t="e">
            <v>#REF!</v>
          </cell>
        </row>
      </sheetData>
      <sheetData sheetId="2">
        <row r="4">
          <cell r="I4" t="e">
            <v>#REF!</v>
          </cell>
        </row>
      </sheetData>
      <sheetData sheetId="3">
        <row r="4">
          <cell r="I4" t="e">
            <v>#REF!</v>
          </cell>
        </row>
      </sheetData>
      <sheetData sheetId="4">
        <row r="27">
          <cell r="F27" t="e">
            <v>#REF!</v>
          </cell>
        </row>
      </sheetData>
      <sheetData sheetId="5" refreshError="1"/>
      <sheetData sheetId="6">
        <row r="27">
          <cell r="F27" t="e">
            <v>#REF!</v>
          </cell>
        </row>
      </sheetData>
      <sheetData sheetId="7" refreshError="1"/>
      <sheetData sheetId="8">
        <row r="27">
          <cell r="F27" t="e">
            <v>#REF!</v>
          </cell>
        </row>
      </sheetData>
      <sheetData sheetId="9" refreshError="1"/>
      <sheetData sheetId="10">
        <row r="27">
          <cell r="F27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-FOOTING (G)"/>
      <sheetName val="EST_FOOTING _G_"/>
      <sheetName val="Bill No. 2 - Carpark"/>
      <sheetName val="Invoice"/>
      <sheetName val="Sum"/>
      <sheetName val="HOUSE-G"/>
      <sheetName val="Take-off stru"/>
      <sheetName val="QUANTITY COMPARISON"/>
      <sheetName val="BK Unit Rate"/>
      <sheetName val="SH-B"/>
      <sheetName val="SH-D"/>
      <sheetName val="SH-E"/>
      <sheetName val="SH-G"/>
      <sheetName val="SH-C"/>
      <sheetName val="SAN REDUCED 1"/>
      <sheetName val="โครงสร้าง"/>
      <sheetName val="LITF"/>
      <sheetName val="sheetNO"/>
      <sheetName val="Cover  Blank Form  B.O.Q  "/>
      <sheetName val="H1.0"/>
      <sheetName val="EST-FOOTING_(G)"/>
      <sheetName val="EST_FOOTING__G_"/>
      <sheetName val="Bill_No__2_-_Carpark"/>
      <sheetName val="Take-off_stru"/>
      <sheetName val="BK_Unit_Rate"/>
      <sheetName val="sum 1-4"/>
      <sheetName val="Sch 2 bu"/>
      <sheetName val="rate"/>
      <sheetName val="Material"/>
      <sheetName val="Sheet1"/>
      <sheetName val="รวมราคาทั้งสิ้น"/>
      <sheetName val="สรุปการประมาณราคา"/>
      <sheetName val="ปริมาณ-ราคา งาน"/>
      <sheetName val="EST-TOTAL (G)"/>
      <sheetName val="ÊÃØ»¡ÒÃ»ÃÐÁÒ³ÃÒ¤Ò"/>
      <sheetName val="»ÃÔÁÒ³-ÃÒ¤Ò §Ò¹"/>
      <sheetName val="Cal Fto"/>
      <sheetName val="BOQ1 (2)"/>
      <sheetName val="Summary"/>
      <sheetName val="I-slab"/>
      <sheetName val="Syntec Summary_B_C_F"/>
      <sheetName val="bq"/>
      <sheetName val="2.0"/>
      <sheetName val="3.0"/>
      <sheetName val="4.0"/>
      <sheetName val="5.0"/>
      <sheetName val="6.0"/>
      <sheetName val="7.0"/>
      <sheetName val="8.0"/>
      <sheetName val="สรุป"/>
      <sheetName val="Beam (b1)"/>
      <sheetName val="Criteria"/>
      <sheetName val="Interial"/>
      <sheetName val="TOSHIBA-Structure"/>
      <sheetName val="Cavity Inputs"/>
      <sheetName val="Rpt Qld"/>
      <sheetName val="ราคาวัสดุ"/>
    </sheetNames>
    <sheetDataSet>
      <sheetData sheetId="0" refreshError="1">
        <row r="1">
          <cell r="A1" t="str">
            <v>Program Estimate Footing</v>
          </cell>
        </row>
        <row r="2">
          <cell r="A2" t="str">
            <v>Project</v>
          </cell>
        </row>
        <row r="4">
          <cell r="R4" t="str">
            <v xml:space="preserve">   ด้านสั้น</v>
          </cell>
          <cell r="AP4" t="str">
            <v xml:space="preserve">   ด้านยาว</v>
          </cell>
        </row>
        <row r="5">
          <cell r="G5" t="str">
            <v>เหล็กบน</v>
          </cell>
          <cell r="S5" t="str">
            <v>เหล็กล่างด้านสั้น</v>
          </cell>
          <cell r="AE5" t="str">
            <v>เหล็กบน</v>
          </cell>
          <cell r="AQ5" t="str">
            <v>เหล็กล่างด้านยาว</v>
          </cell>
          <cell r="BJ5" t="str">
            <v>บดอัด</v>
          </cell>
          <cell r="BK5" t="str">
            <v>ทราย</v>
          </cell>
          <cell r="BO5" t="str">
            <v>REINFORCEMENT BAR</v>
          </cell>
        </row>
        <row r="6">
          <cell r="A6" t="str">
            <v>NAME</v>
          </cell>
          <cell r="B6" t="str">
            <v>กว้าง</v>
          </cell>
          <cell r="C6" t="str">
            <v>ยาว</v>
          </cell>
          <cell r="D6" t="str">
            <v>หนา</v>
          </cell>
          <cell r="E6" t="str">
            <v>ลึก</v>
          </cell>
          <cell r="F6" t="str">
            <v>จำนวน</v>
          </cell>
          <cell r="G6" t="str">
            <v>จำนวน(เส้น)</v>
          </cell>
          <cell r="M6" t="str">
            <v>ระยะ( @ )</v>
          </cell>
          <cell r="S6" t="str">
            <v>จำนวน(เส้น)</v>
          </cell>
          <cell r="Y6" t="str">
            <v>ระยะ( @ ) (ม.)</v>
          </cell>
          <cell r="AE6" t="str">
            <v>จำนวน(เส้น)</v>
          </cell>
          <cell r="AK6" t="str">
            <v>ระยะ( @ )</v>
          </cell>
          <cell r="AQ6" t="str">
            <v>จำนวน(เส้น)</v>
          </cell>
          <cell r="AW6" t="str">
            <v>ระยะ( @ ) (ม.)</v>
          </cell>
          <cell r="BE6" t="str">
            <v>รัดรอบ</v>
          </cell>
          <cell r="BH6" t="str">
            <v>ขุดดิน</v>
          </cell>
          <cell r="BI6" t="str">
            <v>ถมดินกลับ</v>
          </cell>
          <cell r="BJ6" t="str">
            <v>ดินเดิม</v>
          </cell>
          <cell r="BK6" t="str">
            <v>รองพื้น</v>
          </cell>
          <cell r="BL6" t="str">
            <v>Lean</v>
          </cell>
          <cell r="BM6" t="str">
            <v>FW</v>
          </cell>
          <cell r="BN6" t="str">
            <v>CONC</v>
          </cell>
          <cell r="BO6" t="str">
            <v>Dia.6 mm.</v>
          </cell>
          <cell r="BP6" t="str">
            <v>Dia.9 mm.</v>
          </cell>
          <cell r="BQ6" t="str">
            <v>Dia.12 mm.</v>
          </cell>
          <cell r="BR6" t="str">
            <v>Dia.16 mm.</v>
          </cell>
          <cell r="BS6" t="str">
            <v>Dia.20 mm.</v>
          </cell>
          <cell r="BT6" t="str">
            <v>Dia.25 mm.</v>
          </cell>
          <cell r="BU6" t="str">
            <v>REMARK</v>
          </cell>
        </row>
        <row r="7">
          <cell r="B7" t="str">
            <v>(m.)</v>
          </cell>
          <cell r="C7" t="str">
            <v>(m.)</v>
          </cell>
          <cell r="D7" t="str">
            <v>(m.)</v>
          </cell>
          <cell r="E7" t="str">
            <v>(m.)</v>
          </cell>
          <cell r="F7" t="str">
            <v>(Set)</v>
          </cell>
          <cell r="G7">
            <v>9</v>
          </cell>
          <cell r="H7">
            <v>12</v>
          </cell>
          <cell r="I7">
            <v>16</v>
          </cell>
          <cell r="J7">
            <v>20</v>
          </cell>
          <cell r="K7">
            <v>25</v>
          </cell>
          <cell r="L7">
            <v>28</v>
          </cell>
          <cell r="M7">
            <v>9</v>
          </cell>
          <cell r="N7">
            <v>12</v>
          </cell>
          <cell r="O7">
            <v>16</v>
          </cell>
          <cell r="P7">
            <v>20</v>
          </cell>
          <cell r="Q7">
            <v>25</v>
          </cell>
          <cell r="R7">
            <v>28</v>
          </cell>
          <cell r="S7">
            <v>9</v>
          </cell>
          <cell r="T7">
            <v>12</v>
          </cell>
          <cell r="U7">
            <v>16</v>
          </cell>
          <cell r="V7">
            <v>20</v>
          </cell>
          <cell r="W7">
            <v>25</v>
          </cell>
          <cell r="X7">
            <v>28</v>
          </cell>
          <cell r="Y7">
            <v>9</v>
          </cell>
          <cell r="Z7">
            <v>12</v>
          </cell>
          <cell r="AA7">
            <v>16</v>
          </cell>
          <cell r="AB7">
            <v>20</v>
          </cell>
          <cell r="AC7">
            <v>25</v>
          </cell>
          <cell r="AD7">
            <v>28</v>
          </cell>
          <cell r="AE7">
            <v>9</v>
          </cell>
          <cell r="AF7">
            <v>12</v>
          </cell>
          <cell r="AG7">
            <v>16</v>
          </cell>
          <cell r="AH7">
            <v>20</v>
          </cell>
          <cell r="AI7">
            <v>25</v>
          </cell>
          <cell r="AJ7">
            <v>28</v>
          </cell>
          <cell r="AK7">
            <v>9</v>
          </cell>
          <cell r="AL7">
            <v>12</v>
          </cell>
          <cell r="AM7">
            <v>16</v>
          </cell>
          <cell r="AN7">
            <v>20</v>
          </cell>
          <cell r="AO7">
            <v>25</v>
          </cell>
          <cell r="AP7">
            <v>28</v>
          </cell>
          <cell r="AQ7">
            <v>9</v>
          </cell>
          <cell r="AR7">
            <v>12</v>
          </cell>
          <cell r="AS7">
            <v>16</v>
          </cell>
          <cell r="AT7">
            <v>20</v>
          </cell>
          <cell r="AU7">
            <v>25</v>
          </cell>
          <cell r="AV7">
            <v>28</v>
          </cell>
          <cell r="AW7">
            <v>9</v>
          </cell>
          <cell r="AX7">
            <v>12</v>
          </cell>
          <cell r="AY7">
            <v>16</v>
          </cell>
          <cell r="AZ7">
            <v>20</v>
          </cell>
          <cell r="BA7">
            <v>25</v>
          </cell>
          <cell r="BB7">
            <v>28</v>
          </cell>
          <cell r="BC7">
            <v>6</v>
          </cell>
          <cell r="BD7">
            <v>9</v>
          </cell>
          <cell r="BE7">
            <v>12</v>
          </cell>
          <cell r="BF7">
            <v>16</v>
          </cell>
          <cell r="BG7">
            <v>20</v>
          </cell>
          <cell r="BH7" t="str">
            <v>(Cu.m.)</v>
          </cell>
          <cell r="BI7" t="str">
            <v>(Cu.m.)</v>
          </cell>
          <cell r="BJ7" t="str">
            <v>(Sq.m.)</v>
          </cell>
          <cell r="BK7" t="str">
            <v>(Sq.m.)</v>
          </cell>
          <cell r="BL7" t="str">
            <v>(Sq.m.)</v>
          </cell>
          <cell r="BM7" t="str">
            <v>(Sq.m.)</v>
          </cell>
          <cell r="BN7" t="str">
            <v>(Cu.m.)</v>
          </cell>
          <cell r="BO7" t="str">
            <v>(kg.)</v>
          </cell>
          <cell r="BP7" t="str">
            <v>(kg.)</v>
          </cell>
          <cell r="BQ7" t="str">
            <v>(kg.)</v>
          </cell>
          <cell r="BR7" t="str">
            <v>(kg.)</v>
          </cell>
          <cell r="BS7" t="str">
            <v>(kg.)</v>
          </cell>
          <cell r="BT7" t="str">
            <v>(kg.)</v>
          </cell>
        </row>
        <row r="8">
          <cell r="A8" t="str">
            <v>F1</v>
          </cell>
          <cell r="B8">
            <v>0.4</v>
          </cell>
          <cell r="C8">
            <v>0.4</v>
          </cell>
          <cell r="D8">
            <v>0.4</v>
          </cell>
          <cell r="E8">
            <v>0.8</v>
          </cell>
          <cell r="F8">
            <v>10</v>
          </cell>
        </row>
        <row r="9">
          <cell r="A9" t="str">
            <v>F2</v>
          </cell>
          <cell r="B9">
            <v>0.4</v>
          </cell>
          <cell r="C9">
            <v>1</v>
          </cell>
          <cell r="D9">
            <v>0.4</v>
          </cell>
          <cell r="E9">
            <v>0.8</v>
          </cell>
          <cell r="F9">
            <v>2</v>
          </cell>
        </row>
        <row r="26">
          <cell r="A26" t="str">
            <v>TOTAL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cost"/>
      <sheetName val="Doors-Windows"/>
      <sheetName val="mirror"/>
      <sheetName val="Sanitary Ware"/>
      <sheetName val="ราคาวัสดุ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Sum.No.02 (11 Boots)"/>
      <sheetName val="Sum.No.02 (14 Boots)"/>
      <sheetName val="Sum.No.02 (5 Boots)"/>
      <sheetName val="Sum.No.02 (6 Boot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  <sheetName val="summary"/>
      <sheetName val="Std."/>
      <sheetName val="หมวด 6(2)"/>
      <sheetName val="หมวด 2"/>
      <sheetName val="Factor F งาน DB."/>
    </sheetNames>
    <sheetDataSet>
      <sheetData sheetId="0" refreshError="1"/>
      <sheetData sheetId="1" refreshError="1"/>
      <sheetData sheetId="2" refreshError="1">
        <row r="15">
          <cell r="X15">
            <v>23831.83</v>
          </cell>
        </row>
        <row r="19">
          <cell r="X19">
            <v>28.75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.6"/>
      <sheetName val="ปร.5"/>
      <sheetName val="ปร.5-ข้อ1"/>
      <sheetName val="ปร.4-ข้อ1"/>
      <sheetName val="ข้อ1.1"/>
      <sheetName val="ข้อ1.1 (2)"/>
      <sheetName val="ข้อ1.2"/>
      <sheetName val="ข้อ1.2 (2)"/>
      <sheetName val="ข้อ1.3"/>
      <sheetName val="ข้อ1.3(2)"/>
      <sheetName val="ข้อ1.4"/>
      <sheetName val="ข้อ1.4(2)"/>
      <sheetName val="ข้อ1.5"/>
      <sheetName val="ข้อ1.5(2)"/>
      <sheetName val="ข้อ1.6"/>
      <sheetName val="ข้อ1.6(2)"/>
      <sheetName val="ปร.5-ข้อ2"/>
      <sheetName val="ปร.4-ข้อ2"/>
      <sheetName val="ข้อ2.1"/>
      <sheetName val="ข้อ2.1(2)"/>
      <sheetName val="ข้อ2.2"/>
      <sheetName val="ข้อ2.2(2)"/>
      <sheetName val="ข้อ2.3"/>
      <sheetName val="ข้อ2.3(2)"/>
      <sheetName val="ปร.5-ข้อ3"/>
      <sheetName val="ปร.4-ข้อ3"/>
      <sheetName val="ข้อ3.1"/>
      <sheetName val="ข้อ3.1(2)"/>
      <sheetName val="ปร.5-ข้อ4"/>
      <sheetName val="ปร.4-ข้อ4"/>
      <sheetName val="ข้อ4.1"/>
      <sheetName val="ข้อ4.1(2)"/>
      <sheetName val="ข้อ4.2"/>
      <sheetName val="ข้อ4.2(2)"/>
      <sheetName val="ข้อ4.3"/>
      <sheetName val="ข้อ4.3(2)"/>
      <sheetName val="ปร.5-ข้อ5"/>
      <sheetName val="ปร.4-ข้อ5"/>
      <sheetName val="ข้อ5.1"/>
      <sheetName val="ปร.5-ข้อ6"/>
      <sheetName val="ปร.4-ข้อ6"/>
      <sheetName val="ข้อ6.1"/>
      <sheetName val="FActorFอาคาร"/>
      <sheetName val="EST-FOOTING (G)"/>
    </sheetNames>
    <sheetDataSet>
      <sheetData sheetId="0"/>
      <sheetData sheetId="1">
        <row r="44">
          <cell r="I44">
            <v>6932250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ทั้งโครงการ"/>
      <sheetName val="ปร5"/>
      <sheetName val="ปร4"/>
      <sheetName val="ปร4.1"/>
      <sheetName val="BOQ"/>
      <sheetName val="การหาค่า factor F (2)"/>
      <sheetName val="1.1"/>
      <sheetName val="ราคาต่อหน่วย1.1"/>
      <sheetName val="1.2"/>
      <sheetName val="1.3-1.7"/>
      <sheetName val="หมวด 2"/>
      <sheetName val="หมวด 3"/>
      <sheetName val="หมวด 4"/>
      <sheetName val="หมวด 5"/>
      <sheetName val="หัวข้อ 6"/>
      <sheetName val="หัวข้อ 7"/>
      <sheetName val="backup รื้อย้าย"/>
      <sheetName val="หัวข้อ 9"/>
      <sheetName val="หมวด 10"/>
      <sheetName val="ราคาต้นไม้"/>
      <sheetName val="Unit-Rateภูมิสถาปัต"/>
      <sheetName val="7a"/>
      <sheetName val="7b"/>
      <sheetName val="ราคาวัสดุ"/>
      <sheetName val="ราคาคอนกรีตต่อหน่วย"/>
      <sheetName val="ค่าขนส่งทางทะเล"/>
      <sheetName val="สรุปค่าขนส่ง"/>
      <sheetName val="ค่าขนส่ง-1"/>
      <sheetName val="ตารางค่าขนส่ง"/>
      <sheetName val="ค่าดำเนินการ+ค่าเสื่อมราคา"/>
      <sheetName val="F ฝนตกชุก"/>
      <sheetName val="Traffic sign"/>
      <sheetName val="งานรื้อย้าย"/>
      <sheetName val="Bank form ปร4 "/>
      <sheetName val="CUT_FILL_Route1"/>
      <sheetName val="TEMP_ROUTE1"/>
      <sheetName val="ไฟฟ้า"/>
      <sheetName val="ระบบระบายน้ำ"/>
      <sheetName val="สรุปปริมาณจราจร"/>
      <sheetName val="ปลูกต้นไม้"/>
      <sheetName val="งานผิวจราจร"/>
      <sheetName val="ปลูกหญ้า+คันหิน+คันหินเกาะกลาง"/>
      <sheetName val="ปริมาณท่อลอดเกาะ"/>
      <sheetName val="ปลูกต้นไม้ (2)"/>
      <sheetName val="BOQ (ไฟฟ้า)"/>
      <sheetName val="unit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5"/>
      <sheetName val="ปร4"/>
      <sheetName val="ปร4.1"/>
      <sheetName val="ปลูกต้นไม้"/>
      <sheetName val="BOQ"/>
      <sheetName val="การหาค่า factor F (2)"/>
      <sheetName val="งานทั่วไป "/>
      <sheetName val="หมวด 2"/>
      <sheetName val="หมวด 3"/>
      <sheetName val="หมวด 5"/>
      <sheetName val="หัวข้อ 6"/>
      <sheetName val="หัวข้อ 7"/>
      <sheetName val="หัวข้อ 9"/>
      <sheetName val="backup รื้อย้าย"/>
      <sheetName val="หมวด 10"/>
      <sheetName val="ราคาต้นไม้"/>
      <sheetName val="Unit-Rate"/>
      <sheetName val="ค่าดำเนินการ+ค่าเสื่อมราคา"/>
      <sheetName val="ราคาวัสดุ"/>
      <sheetName val="สรุปค่าขนส่ง"/>
      <sheetName val="ค่าขนส่ง-1"/>
      <sheetName val="ตารางค่าขนส่ง"/>
      <sheetName val="F-งานสะพาน"/>
      <sheetName val="F-งานทาง"/>
      <sheetName val="F ฝนตกชุก"/>
      <sheetName val="F-งานอาคาร"/>
      <sheetName val="Bank Form ปร4"/>
      <sheetName val="ข้อ1.1"/>
      <sheetName val="ปร.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วัสดุ"/>
      <sheetName val="ราคาคอนกรีตต่อหน่วย"/>
      <sheetName val="ตางรางค่าดำเนินการ"/>
      <sheetName val="ต้นทุนงานทาง,อื่นๆ"/>
      <sheetName val="สรุปผล"/>
      <sheetName val="ต้นทุนต่อหน่วย-ปร.1"/>
      <sheetName val="รายการสรุปผล"/>
      <sheetName val="F-งานสะพาน"/>
      <sheetName val="F-งานทาง"/>
      <sheetName val="F ฝนตกชุก"/>
      <sheetName val="รถ 10 ล้อ23.00-23.99 "/>
      <sheetName val="รถพ่วง 23.00-23.99"/>
      <sheetName val="BOQ-UPDATE1 "/>
      <sheetName val="ปร4.1"/>
      <sheetName val="Poject name"/>
      <sheetName val="สรุปค่าขนส่ง"/>
      <sheetName val="ค่าขนส่ง-1"/>
      <sheetName val="ตารางค่าขนส่ง"/>
      <sheetName val="สรุปทั้งโครงการ"/>
      <sheetName val="ปร5"/>
      <sheetName val="ปร4"/>
      <sheetName val="BOQ"/>
      <sheetName val="ปลูกต้นไม้"/>
      <sheetName val="การหาค่า factor F (2)"/>
      <sheetName val="1.1"/>
      <sheetName val="ราคาต่อหน่วย1.1"/>
      <sheetName val="1.2"/>
      <sheetName val="1.3-1.7"/>
      <sheetName val="หมวด 2"/>
      <sheetName val="หมวด 3"/>
      <sheetName val="หมวด 4"/>
      <sheetName val="หมวด 5"/>
      <sheetName val="หัวข้อ 6"/>
      <sheetName val="หัวข้อ 7"/>
      <sheetName val="backup รื้อย้าย"/>
      <sheetName val="หมวด 10"/>
      <sheetName val="หัวข้อ 9"/>
      <sheetName val="ราคาต้นไม้"/>
      <sheetName val="Unit-Rateภูมิสถาปัต"/>
      <sheetName val="ค่าขนส่งทางทะเล"/>
      <sheetName val="ค่าดำเนินการ+ค่าเสื่อมราคา"/>
      <sheetName val="งานผิวจราจร"/>
      <sheetName val="Traffic sign"/>
      <sheetName val="งานรื้อย้าย"/>
      <sheetName val="ปลูกหญ้า+คันหิน+คันหินเกาะกลาง"/>
      <sheetName val="ปริมาณท่อลอดเกาะ"/>
      <sheetName val="ปลูกต้นไม้ (2)"/>
      <sheetName val="Bank form ปร4 "/>
      <sheetName val="unitcost"/>
      <sheetName val="กทม กันยา 55"/>
    </sheetNames>
    <sheetDataSet>
      <sheetData sheetId="0" refreshError="1"/>
      <sheetData sheetId="1" refreshError="1">
        <row r="2">
          <cell r="A2" t="str">
            <v>สะพานข้ามแม่น้ำแม่กลอง ต. ท่าตะคร้อ/วังศาลา  อ. ท่าม่วง  จ. กาญจนบุรี</v>
          </cell>
        </row>
        <row r="3">
          <cell r="B3" t="str">
            <v>สะพาน ผิวจราจรกว้าง 9.00 เมตร ทางเท้ากว้างข้างละ 1.00 เมตร ความยาว 280.00 เมตร ถนนต่อเชื่อมผิวทางคอนกรีต กว้าง 8.00 เมตร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วัสดุ"/>
      <sheetName val="ราคาคอนกรีตต่อหน่วย"/>
      <sheetName val="ตางรางค่าดำเนินการ"/>
      <sheetName val="ต้นทุนงานทาง,อื่นๆ"/>
      <sheetName val="สรุปผล"/>
      <sheetName val="ต้นทุนต่อหน่วย-ปร.1"/>
      <sheetName val="รายการสรุปผล"/>
      <sheetName val="F-งานสะพาน"/>
      <sheetName val="F-งานทาง"/>
      <sheetName val="F ฝนตกชุก"/>
      <sheetName val="รถ 10 ล้อ23.00-23.99 "/>
      <sheetName val="รถพ่วง 23.00-23.99"/>
      <sheetName val="BOQ-UPDATE1 "/>
      <sheetName val="ปร4.1"/>
      <sheetName val="Poject name"/>
      <sheetName val="สรุปค่าขนส่ง"/>
      <sheetName val="ค่าขนส่ง-1"/>
      <sheetName val="ตารางค่าขนส่ง"/>
      <sheetName val="สรุปทั้งโครงการ"/>
      <sheetName val="ปร5"/>
      <sheetName val="ปร4"/>
      <sheetName val="BOQ"/>
      <sheetName val="ปลูกต้นไม้"/>
      <sheetName val="การหาค่า factor F (2)"/>
      <sheetName val="1.1"/>
      <sheetName val="ราคาต่อหน่วย1.1"/>
      <sheetName val="1.2"/>
      <sheetName val="1.3-1.7"/>
      <sheetName val="หมวด 2"/>
      <sheetName val="หมวด 3"/>
      <sheetName val="หมวด 4"/>
      <sheetName val="หมวด 5"/>
      <sheetName val="หัวข้อ 6"/>
      <sheetName val="หัวข้อ 7"/>
      <sheetName val="backup รื้อย้าย"/>
      <sheetName val="หมวด 10"/>
      <sheetName val="หัวข้อ 9"/>
      <sheetName val="ราคาต้นไม้"/>
      <sheetName val="Unit-Rateภูมิสถาปัต"/>
      <sheetName val="ค่าขนส่งทางทะเล"/>
      <sheetName val="ค่าดำเนินการ+ค่าเสื่อมราคา"/>
      <sheetName val="งานผิวจราจร"/>
      <sheetName val="Traffic sign"/>
      <sheetName val="งานรื้อย้าย"/>
      <sheetName val="ปลูกหญ้า+คันหิน+คันหินเกาะกลาง"/>
      <sheetName val="ปริมาณท่อลอดเกาะ"/>
      <sheetName val="ปลูกต้นไม้ (2)"/>
      <sheetName val="Bank form ปร4 "/>
      <sheetName val="unitcost"/>
      <sheetName val="กทม กันยา 55"/>
      <sheetName val="5-2"/>
      <sheetName val="EEC"/>
      <sheetName val="Local road Backup"/>
      <sheetName val="ต้นทุนต่อหน่วย-ปร_1"/>
      <sheetName val="F_ฝนตกชุก"/>
      <sheetName val="รถ_10_ล้อ23_00-23_99_"/>
      <sheetName val="รถพ่วง_23_00-23_99"/>
      <sheetName val="BOQ-UPDATE1_"/>
      <sheetName val="ปร4_1"/>
      <sheetName val="Poject_name"/>
      <sheetName val="การหาค่า_factor_F_(2)"/>
      <sheetName val="1_1"/>
      <sheetName val="ราคาต่อหน่วย1_1"/>
      <sheetName val="1_2"/>
      <sheetName val="1_3-1_7"/>
      <sheetName val="หมวด_2"/>
      <sheetName val="หมวด_3"/>
      <sheetName val="หมวด_4"/>
      <sheetName val="หมวด_5"/>
      <sheetName val="หัวข้อ_6"/>
      <sheetName val="หัวข้อ_7"/>
      <sheetName val="backup_รื้อย้าย"/>
      <sheetName val="หมวด_10"/>
      <sheetName val="หัวข้อ_9"/>
      <sheetName val="Traffic_sign"/>
      <sheetName val="ปลูกต้นไม้_(2)"/>
      <sheetName val="Bank_form_ปร4_"/>
      <sheetName val="กทม_กันยา_55"/>
      <sheetName val="Local_road_Backup"/>
      <sheetName val="ต้นทุนต่อหน่วย-ปร_11"/>
      <sheetName val="F_ฝนตกชุก1"/>
      <sheetName val="รถ_10_ล้อ23_00-23_99_1"/>
      <sheetName val="รถพ่วง_23_00-23_991"/>
      <sheetName val="BOQ-UPDATE1_1"/>
      <sheetName val="ปร4_11"/>
      <sheetName val="Poject_name1"/>
      <sheetName val="การหาค่า_factor_F_(2)1"/>
      <sheetName val="1_11"/>
      <sheetName val="ราคาต่อหน่วย1_11"/>
      <sheetName val="1_21"/>
      <sheetName val="1_3-1_71"/>
      <sheetName val="หมวด_21"/>
      <sheetName val="หมวด_31"/>
      <sheetName val="หมวด_41"/>
      <sheetName val="หมวด_51"/>
      <sheetName val="หัวข้อ_61"/>
      <sheetName val="หัวข้อ_71"/>
      <sheetName val="backup_รื้อย้าย1"/>
      <sheetName val="หมวด_101"/>
      <sheetName val="หัวข้อ_91"/>
      <sheetName val="Traffic_sign1"/>
      <sheetName val="ปลูกต้นไม้_(2)1"/>
      <sheetName val="Bank_form_ปร4_1"/>
      <sheetName val="กทม_กันยา_551"/>
      <sheetName val="Local_road_Backup1"/>
      <sheetName val="F(ของเรา)"/>
    </sheetNames>
    <sheetDataSet>
      <sheetData sheetId="0" refreshError="1"/>
      <sheetData sheetId="1" refreshError="1">
        <row r="2">
          <cell r="A2" t="str">
            <v>สะพานข้ามแม่น้ำแม่กลอง ต. ท่าตะคร้อ/วังศาลา  อ. ท่าม่วง  จ. กาญจนบุรี</v>
          </cell>
        </row>
        <row r="3">
          <cell r="B3" t="str">
            <v>สะพาน ผิวจราจรกว้าง 9.00 เมตร ทางเท้ากว้างข้างละ 1.00 เมตร ความยาว 280.00 เมตร ถนนต่อเชื่อมผิวทางคอนกรีต กว้าง 8.00 เมตร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อาคาร"/>
      <sheetName val="ภูมิทัศน์"/>
      <sheetName val="เครื่องเสียง"/>
      <sheetName val="EST-FOOTING (G)"/>
      <sheetName val="LITF"/>
      <sheetName val="sheetNO"/>
      <sheetName val="หมวด 1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ต้นทุนต่อหน่วย"/>
      <sheetName val="ระบบกรองน้ำและน้ำพุ"/>
      <sheetName val="ภูมิสถาปัต"/>
      <sheetName val="ราคาต้นไม้"/>
      <sheetName val="Unit-Rateภูมิสถาปัต"/>
      <sheetName val="ราคาวัสดุ"/>
      <sheetName val="ค่าดำเนินการ+ค่าเสื่อมราคา"/>
      <sheetName val="ค่าขนส่ง"/>
      <sheetName val="ค่าขนส่ง-1"/>
      <sheetName val="อาคารจุดพักรถ"/>
      <sheetName val="unit cost"/>
      <sheetName val="5"/>
      <sheetName val="4 ข้อมูลงานไม้แบบ"/>
      <sheetName val="แบบเดิม"/>
      <sheetName val="unit_cost"/>
      <sheetName val="4_ข้อมูลงานไม้แบบ"/>
      <sheetName val="unit_cost1"/>
      <sheetName val="4_ข้อมูลงานไม้แบบ1"/>
      <sheetName val="6"/>
      <sheetName val="5-2"/>
      <sheetName val="REMOVAL"/>
      <sheetName val="ราคาคอนกรีตต่อหน่วย"/>
    </sheetNames>
    <sheetDataSet>
      <sheetData sheetId="0" refreshError="1"/>
      <sheetData sheetId="1" refreshError="1"/>
      <sheetData sheetId="2" refreshError="1"/>
      <sheetData sheetId="3" refreshError="1">
        <row r="21">
          <cell r="H21">
            <v>450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ละเอียดโครงการ"/>
      <sheetName val="ปร5"/>
      <sheetName val="ปร4"/>
      <sheetName val="ปร4_1"/>
      <sheetName val="BOQ"/>
      <sheetName val="Blank ปร5"/>
      <sheetName val="BLANK BOQ"/>
      <sheetName val="หมวด 1"/>
      <sheetName val="หมวด 2"/>
      <sheetName val="หมวด 3"/>
      <sheetName val="หมวด 4"/>
      <sheetName val="หมวด 5"/>
      <sheetName val="หมวด 6"/>
      <sheetName val="หมวด 7"/>
      <sheetName val="หมวด 8"/>
      <sheetName val="หมวด 9"/>
      <sheetName val="หมวด 10"/>
      <sheetName val="backup รื้อย้าย"/>
      <sheetName val="การหาค่า factor F"/>
      <sheetName val="F-งานสะพาน"/>
      <sheetName val="F-งานทาง"/>
      <sheetName val="F ฝนตกชุก"/>
      <sheetName val="F-งานอาคาร"/>
      <sheetName val="ค่าดำเนินการ+ค่าเสื่อมราคา"/>
      <sheetName val="ส่วนขยายและค่ายุบตัว"/>
      <sheetName val="ตารางค่าขนส่ง"/>
      <sheetName val="ค่าขนส่ง-1"/>
      <sheetName val="สรุปค่าขนส่ง"/>
      <sheetName val="ราคาวัสดุ"/>
      <sheetName val="ราคาต้นไม้"/>
      <sheetName val="Backup งานต้นไม้"/>
      <sheetName val="Traffic sign"/>
      <sheetName val="Unit-Rateภูมิสถาปัต"/>
      <sheetName val="ปลูกหญ้า+คันหิน+คันหินเกาะกลาง"/>
      <sheetName val="Sheet1"/>
      <sheetName val="Sheet2"/>
      <sheetName val="Sheet3"/>
      <sheetName val="Sheet4"/>
      <sheetName val="Sheet5"/>
      <sheetName val="ภูมิทัศน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่าดำเนินการ+เสื่อมราคา"/>
      <sheetName val="ราคาคอนกรีตต่อหน่วย"/>
      <sheetName val="ราคาวัสดุ"/>
      <sheetName val="ต้นทุนงานทาง"/>
      <sheetName val="สรุปผล"/>
      <sheetName val="ต้นทุนต่อหน่วย-ปร.1"/>
      <sheetName val="รายการสรุปผล"/>
      <sheetName val="F-งานสะพาน"/>
      <sheetName val="F-งานทาง"/>
      <sheetName val="F ฝนตกชุก"/>
      <sheetName val="BOQ-B"/>
      <sheetName val="ปร4"/>
      <sheetName val="ราคาต้นไม้"/>
    </sheetNames>
    <sheetDataSet>
      <sheetData sheetId="0" refreshError="1"/>
      <sheetData sheetId="1" refreshError="1"/>
      <sheetData sheetId="2" refreshError="1">
        <row r="28">
          <cell r="F28">
            <v>422.14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่งพี่หนุ่ม"/>
      <sheetName val="ตัดแบ่งกม."/>
      <sheetName val="รายละเอียดโครงการ"/>
      <sheetName val="ปร5"/>
      <sheetName val="สารบัญ"/>
      <sheetName val="Summary"/>
      <sheetName val="รายการงานของโครงการ"/>
      <sheetName val="รายการทั้งหมด"/>
      <sheetName val="ราคาต่อกม."/>
      <sheetName val="ข้อมูลเบื้องต้น"/>
      <sheetName val="1"/>
      <sheetName val="6.15_Remote lighting control"/>
      <sheetName val="1)105+825 to 106+850"/>
      <sheetName val="2)ee106+900 to 108+675"/>
      <sheetName val="3)ee120+675 to 122+650"/>
      <sheetName val="4)ee125+000 to 143+700"/>
      <sheetName val="5)ee145+600 to 146+625"/>
      <sheetName val="6)ee146+650 to 147+900"/>
      <sheetName val="7)ee147+900 to 149+100"/>
      <sheetName val="8)ee171+700 to 172+700"/>
      <sheetName val="9)ee173+500 to 174+500"/>
      <sheetName val="10)ee183+300 to 186+950"/>
      <sheetName val="2"/>
      <sheetName val="3"/>
      <sheetName val="4"/>
      <sheetName val="ท่อระบายน้ำ"/>
      <sheetName val="5-2"/>
      <sheetName val="Unit cost"/>
      <sheetName val="6"/>
      <sheetName val="6 (2)"/>
      <sheetName val="back up"/>
      <sheetName val="7.1"/>
      <sheetName val="7.2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concrete&amp;งานไม้แบบ"/>
      <sheetName val="ข้อมูลวัสดุค่าดำเนินการ"/>
      <sheetName val="ราคาวัสดุ"/>
      <sheetName val="ค่าแรงต่อหน่วย"/>
      <sheetName val="ส่วนขยายและค่ายุบตัว"/>
      <sheetName val="backup ค่าของงานโครงสร้าง"/>
      <sheetName val="ค่าขนส่งทางทะเล"/>
      <sheetName val="การหาค่า factor F"/>
      <sheetName val="ปร4.1"/>
      <sheetName val="11 ข้อมูลงานCon"/>
      <sheetName val="10 ข้อมูลวัสดุ-ค่าดำเนิน"/>
      <sheetName val="อาคาร 2 11Boots"/>
      <sheetName val="อาคาร 2 14Boots"/>
      <sheetName val="อาคาร 2 5Boots"/>
      <sheetName val="อาคาร 2 6Boots"/>
      <sheetName val="BOQ_UPDATE_mainline"/>
      <sheetName val="ปร4"/>
    </sheetNames>
    <sheetDataSet>
      <sheetData sheetId="0" refreshError="1"/>
      <sheetData sheetId="1" refreshError="1"/>
      <sheetData sheetId="2" refreshError="1">
        <row r="9">
          <cell r="B9" t="str">
            <v>โครงการทางหลวงพิเศษระหว่างเมืองหมายเลข 6 สายบางปะอิน - นครราชสีมา  ตอน 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3">
          <cell r="J13">
            <v>11.8</v>
          </cell>
        </row>
        <row r="24">
          <cell r="J24">
            <v>196.2</v>
          </cell>
        </row>
        <row r="36">
          <cell r="J36">
            <v>146000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">
          <cell r="J7">
            <v>1.02</v>
          </cell>
        </row>
        <row r="10">
          <cell r="J10">
            <v>2.2400000000000002</v>
          </cell>
        </row>
        <row r="13">
          <cell r="J13">
            <v>3.3</v>
          </cell>
        </row>
        <row r="25">
          <cell r="J25">
            <v>37</v>
          </cell>
        </row>
        <row r="36">
          <cell r="J36">
            <v>93</v>
          </cell>
        </row>
        <row r="44">
          <cell r="J44">
            <v>181</v>
          </cell>
        </row>
        <row r="49">
          <cell r="J49">
            <v>40.700000000000003</v>
          </cell>
        </row>
        <row r="54">
          <cell r="J54">
            <v>40.700000000000003</v>
          </cell>
        </row>
        <row r="64">
          <cell r="J64">
            <v>114</v>
          </cell>
        </row>
        <row r="75">
          <cell r="J75">
            <v>512</v>
          </cell>
        </row>
        <row r="102">
          <cell r="J102">
            <v>474</v>
          </cell>
        </row>
        <row r="143">
          <cell r="J143">
            <v>478</v>
          </cell>
        </row>
      </sheetData>
      <sheetData sheetId="23" refreshError="1">
        <row r="12">
          <cell r="J12">
            <v>497</v>
          </cell>
        </row>
        <row r="59">
          <cell r="J59">
            <v>647</v>
          </cell>
        </row>
        <row r="138">
          <cell r="J138">
            <v>610</v>
          </cell>
        </row>
      </sheetData>
      <sheetData sheetId="24" refreshError="1">
        <row r="8">
          <cell r="J8">
            <v>17.952729999999999</v>
          </cell>
        </row>
        <row r="14">
          <cell r="J14">
            <v>8.508818999999999</v>
          </cell>
        </row>
        <row r="42">
          <cell r="J42">
            <v>35.002743000000002</v>
          </cell>
        </row>
        <row r="51">
          <cell r="J51">
            <v>56.179526000000003</v>
          </cell>
        </row>
        <row r="62">
          <cell r="J62">
            <v>1540.6019499999998</v>
          </cell>
        </row>
        <row r="75">
          <cell r="J75">
            <v>188</v>
          </cell>
        </row>
        <row r="88">
          <cell r="J88">
            <v>185</v>
          </cell>
        </row>
        <row r="103">
          <cell r="J103">
            <v>188</v>
          </cell>
        </row>
        <row r="143">
          <cell r="J143">
            <v>4055.5</v>
          </cell>
        </row>
        <row r="222">
          <cell r="J222">
            <v>370.19550657142861</v>
          </cell>
        </row>
        <row r="248">
          <cell r="J248">
            <v>218.91836371428573</v>
          </cell>
        </row>
        <row r="278">
          <cell r="J278">
            <v>41.28</v>
          </cell>
        </row>
        <row r="290">
          <cell r="J290">
            <v>20.96</v>
          </cell>
        </row>
      </sheetData>
      <sheetData sheetId="25" refreshError="1"/>
      <sheetData sheetId="26" refreshError="1">
        <row r="34">
          <cell r="J34">
            <v>0</v>
          </cell>
        </row>
      </sheetData>
      <sheetData sheetId="27" refreshError="1"/>
      <sheetData sheetId="28" refreshError="1">
        <row r="17">
          <cell r="J17">
            <v>459.55858047222227</v>
          </cell>
        </row>
        <row r="777">
          <cell r="J777">
            <v>8508</v>
          </cell>
        </row>
        <row r="1150">
          <cell r="J1150">
            <v>867.92541468000002</v>
          </cell>
        </row>
        <row r="1236">
          <cell r="J1236">
            <v>13734.05679147</v>
          </cell>
        </row>
        <row r="1272">
          <cell r="J1272">
            <v>117.10066494640726</v>
          </cell>
        </row>
        <row r="1286">
          <cell r="J1286">
            <v>207.29726771205503</v>
          </cell>
        </row>
        <row r="1296">
          <cell r="J1296">
            <v>216.03399999999999</v>
          </cell>
        </row>
        <row r="1433">
          <cell r="J1433">
            <v>523.78</v>
          </cell>
        </row>
        <row r="1445">
          <cell r="J1445">
            <v>364.84499999999997</v>
          </cell>
        </row>
        <row r="1484">
          <cell r="J1484">
            <v>1451.3455918100001</v>
          </cell>
        </row>
        <row r="1504">
          <cell r="J1504">
            <v>1728.8028725600002</v>
          </cell>
        </row>
        <row r="1524">
          <cell r="J1524">
            <v>1705.9485574800005</v>
          </cell>
        </row>
        <row r="1599">
          <cell r="J1599">
            <v>18377.905120800002</v>
          </cell>
        </row>
        <row r="1616">
          <cell r="J1616">
            <v>20543.125606199999</v>
          </cell>
        </row>
        <row r="1633">
          <cell r="J1633">
            <v>26714.301579399998</v>
          </cell>
        </row>
        <row r="1651">
          <cell r="J1651">
            <v>23649.9583853</v>
          </cell>
        </row>
        <row r="1670">
          <cell r="J1670">
            <v>24044.153453300001</v>
          </cell>
        </row>
        <row r="1715">
          <cell r="J1715">
            <v>314.84334000000001</v>
          </cell>
        </row>
        <row r="1721">
          <cell r="J1721">
            <v>19</v>
          </cell>
        </row>
        <row r="1727">
          <cell r="J1727">
            <v>12</v>
          </cell>
        </row>
        <row r="1736">
          <cell r="J1736">
            <v>107.01750000000001</v>
          </cell>
        </row>
        <row r="1745">
          <cell r="J1745">
            <v>151.7715</v>
          </cell>
        </row>
        <row r="1763">
          <cell r="J1763">
            <v>1003.63375</v>
          </cell>
        </row>
        <row r="1787">
          <cell r="J1787">
            <v>1331.0400000000002</v>
          </cell>
        </row>
        <row r="2669">
          <cell r="J2669">
            <v>74</v>
          </cell>
        </row>
        <row r="2699">
          <cell r="J2699">
            <v>316</v>
          </cell>
        </row>
        <row r="2705">
          <cell r="J2705">
            <v>302.89999999999998</v>
          </cell>
        </row>
        <row r="2710">
          <cell r="J2710">
            <v>302.89999999999998</v>
          </cell>
        </row>
        <row r="2716">
          <cell r="J2716">
            <v>16.899999999999999</v>
          </cell>
        </row>
        <row r="2721">
          <cell r="J2721">
            <v>16.899999999999999</v>
          </cell>
        </row>
        <row r="2732">
          <cell r="J2732">
            <v>80</v>
          </cell>
        </row>
        <row r="2748">
          <cell r="J2748">
            <v>1074.7243686933334</v>
          </cell>
        </row>
        <row r="2778">
          <cell r="J2778">
            <v>53957</v>
          </cell>
        </row>
        <row r="2800">
          <cell r="J2800">
            <v>50362</v>
          </cell>
        </row>
        <row r="2824">
          <cell r="J2824">
            <v>85305</v>
          </cell>
        </row>
        <row r="2845">
          <cell r="J2845">
            <v>100427</v>
          </cell>
        </row>
        <row r="2869">
          <cell r="J2869">
            <v>30422</v>
          </cell>
        </row>
        <row r="2899">
          <cell r="J2899">
            <v>33300</v>
          </cell>
        </row>
        <row r="3004">
          <cell r="J3004">
            <v>17</v>
          </cell>
        </row>
        <row r="3019">
          <cell r="J3019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</sheetNames>
    <sheetDataSet>
      <sheetData sheetId="0" refreshError="1"/>
      <sheetData sheetId="1" refreshError="1"/>
      <sheetData sheetId="2" refreshError="1">
        <row r="15">
          <cell r="X15">
            <v>23831.83</v>
          </cell>
        </row>
        <row r="19">
          <cell r="X19">
            <v>28.75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"/>
      <sheetName val="FConclude"/>
      <sheetName val="FCalSH"/>
      <sheetName val="FCalSH (2)"/>
      <sheetName val="FBarList"/>
      <sheetName val="FInput"/>
      <sheetName val="FResult"/>
      <sheetName val="Sheet1"/>
      <sheetName val="อาคาร 2 11Boots"/>
      <sheetName val="อาคาร 2 14Boots"/>
      <sheetName val="อาคาร 2 5Boots"/>
      <sheetName val="อาคาร 2 6Boots"/>
      <sheetName val="boq"/>
      <sheetName val="ปร5"/>
      <sheetName val="4"/>
      <sheetName val="6"/>
      <sheetName val="3"/>
      <sheetName val="2"/>
      <sheetName val="1"/>
      <sheetName val="รายละเอียดโครงการ"/>
      <sheetName val="5-2"/>
    </sheetNames>
    <sheetDataSet>
      <sheetData sheetId="0" refreshError="1"/>
      <sheetData sheetId="1" refreshError="1"/>
      <sheetData sheetId="2" refreshError="1">
        <row r="18">
          <cell r="G18">
            <v>1.1549999999999998</v>
          </cell>
        </row>
        <row r="19">
          <cell r="G19">
            <v>6.91</v>
          </cell>
        </row>
        <row r="21">
          <cell r="G21">
            <v>0.185</v>
          </cell>
        </row>
        <row r="27">
          <cell r="G27">
            <v>3.7049999999999996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ละเอียดโครงการ"/>
      <sheetName val="ปร5"/>
      <sheetName val="สรุป_ปร4"/>
      <sheetName val="ปร4"/>
      <sheetName val="หมวด 1"/>
      <sheetName val="หมวด 2"/>
      <sheetName val="หมวด 3"/>
      <sheetName val="หมวด 4"/>
      <sheetName val="หมวด 5"/>
      <sheetName val="หมวด 5-1"/>
      <sheetName val="หมวด 6"/>
      <sheetName val="หมวด 6(1)"/>
      <sheetName val="หมวด 6(2)"/>
      <sheetName val="หมวด 9"/>
      <sheetName val="หมวด 9-1"/>
      <sheetName val="หมวด 10"/>
      <sheetName val="ราคาต้นไม้"/>
      <sheetName val="ตาราง Factor F งานทาง"/>
      <sheetName val="ตาราง Factor F อาคาร"/>
      <sheetName val="ตาราง Factor F สะพาน_ท่อเหลี่ยม"/>
      <sheetName val="ค่าดำเนินการ+ค่าเสื่อมราคา"/>
      <sheetName val="ส่วนขยายและค่ายุบตัว"/>
      <sheetName val="ตารางค่าขนส่ง"/>
      <sheetName val="ค่าขนส่ง-1"/>
      <sheetName val="สรุปค่าขนส่ง"/>
      <sheetName val="ราคาวัสดุ"/>
      <sheetName val="ค่าแรงต่อหน่วย"/>
      <sheetName val="ลวดผูกเหล็ก&amp;เหล็กเสริมคอนกรีต"/>
      <sheetName val="งาน R.C.BOX CULVERT"/>
      <sheetName val="Sheet1"/>
      <sheetName val="Sheet2"/>
      <sheetName val="Sheet3"/>
      <sheetName val="Sheet4"/>
      <sheetName val="Sheet5"/>
      <sheetName val="(BANK)BOQ"/>
      <sheetName val="ปร5 (2)"/>
      <sheetName val="งานอาคาร"/>
      <sheetName val="Worksheet"/>
      <sheetName val="5-2"/>
      <sheetName val="10 ข้อมูลวัสดุ-ค่าดำเนิ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46">
          <cell r="D46">
            <v>20.38785</v>
          </cell>
        </row>
        <row r="47">
          <cell r="D47">
            <v>18.695329999999998</v>
          </cell>
        </row>
        <row r="48">
          <cell r="D48">
            <v>18.081779999999998</v>
          </cell>
        </row>
        <row r="49">
          <cell r="D49">
            <v>17.800470000000001</v>
          </cell>
        </row>
        <row r="50">
          <cell r="D50">
            <v>17.800470000000001</v>
          </cell>
        </row>
        <row r="51">
          <cell r="D51">
            <v>17.383179999999999</v>
          </cell>
        </row>
        <row r="53">
          <cell r="D53">
            <v>17.757010000000001</v>
          </cell>
        </row>
        <row r="54">
          <cell r="D54">
            <v>17.383179999999999</v>
          </cell>
        </row>
        <row r="55">
          <cell r="D55">
            <v>17.383179999999999</v>
          </cell>
        </row>
        <row r="56">
          <cell r="D56">
            <v>17.383179999999999</v>
          </cell>
        </row>
        <row r="57">
          <cell r="D57">
            <v>17.383179999999999</v>
          </cell>
        </row>
        <row r="62">
          <cell r="D62">
            <v>37.166670000000003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5"/>
      <sheetName val="ปร4"/>
      <sheetName val="ปร4.1"/>
      <sheetName val="การหาค่า factor F"/>
      <sheetName val="BOQ"/>
      <sheetName val="งานทั่วไปฯ"/>
      <sheetName val="ราคาต้นทุนต่อหน่วย"/>
      <sheetName val="BOQ Arch"/>
      <sheetName val="ค่าดำเนินการ+ค่าเสื่อมราคา"/>
      <sheetName val="ค่าขนส่ง"/>
      <sheetName val="ค่าขนส่งที่ราคาน้ำมัน 19.99 บาท"/>
      <sheetName val="ราคาวัสดุ"/>
      <sheetName val="ราคาวัสดุที่จว.ยะลา"/>
      <sheetName val="ค่าขนส่ง-1"/>
      <sheetName val="F-งานสะพาน"/>
      <sheetName val="F-งานทาง"/>
      <sheetName val="F ฝนตกชุก"/>
      <sheetName val="F-งานอาคาร"/>
      <sheetName val="ราคาค่าก่อสร้าง"/>
      <sheetName val="รายการสรุปผล"/>
      <sheetName val="ต้นทุนงานทาง"/>
      <sheetName val="ราคาคอนกรีตต่อหน่วย"/>
      <sheetName val="ค่าดำเนินการ+เสื่อมราคา"/>
      <sheetName val="Sheet1"/>
      <sheetName val="งานถมดินใหม่"/>
      <sheetName val="ต้นทุนต่อหน่วย-ปร.1"/>
      <sheetName val="สรุปผล"/>
      <sheetName val="สรุป"/>
      <sheetName val="หา FACTOR F"/>
      <sheetName val="unitcost"/>
      <sheetName val="summary"/>
      <sheetName val="Std."/>
      <sheetName val="FCal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0">
          <cell r="F40">
            <v>388.96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42"/>
  <sheetViews>
    <sheetView view="pageBreakPreview" topLeftCell="A22" zoomScale="85" zoomScaleNormal="85" zoomScaleSheetLayoutView="85" workbookViewId="0">
      <selection activeCell="A36" sqref="A36"/>
    </sheetView>
  </sheetViews>
  <sheetFormatPr defaultColWidth="9" defaultRowHeight="24"/>
  <cols>
    <col min="1" max="1" width="12.703125" style="170" customWidth="1"/>
    <col min="2" max="2" width="5.703125" style="170" customWidth="1"/>
    <col min="3" max="3" width="12.703125" style="170" customWidth="1"/>
    <col min="4" max="4" width="37.703125" style="170" customWidth="1"/>
    <col min="5" max="5" width="15.703125" style="170" customWidth="1"/>
    <col min="6" max="6" width="40.703125" style="170" customWidth="1"/>
    <col min="7" max="7" width="15.703125" style="170" customWidth="1"/>
    <col min="8" max="17" width="9" style="169"/>
    <col min="18" max="16384" width="9" style="170"/>
  </cols>
  <sheetData>
    <row r="1" spans="1:17" ht="24" customHeight="1">
      <c r="A1" s="165"/>
      <c r="B1" s="166"/>
      <c r="C1" s="165"/>
      <c r="D1" s="165"/>
      <c r="E1" s="165"/>
      <c r="F1" s="167" t="s">
        <v>83</v>
      </c>
      <c r="G1" s="168" t="s">
        <v>84</v>
      </c>
    </row>
    <row r="2" spans="1:17" s="171" customFormat="1" ht="24" customHeight="1">
      <c r="A2" s="2406" t="s">
        <v>85</v>
      </c>
      <c r="B2" s="2406"/>
      <c r="C2" s="2406"/>
      <c r="D2" s="2406"/>
      <c r="E2" s="2406"/>
      <c r="F2" s="2406"/>
      <c r="G2" s="2406"/>
      <c r="H2" s="169"/>
      <c r="I2" s="169"/>
      <c r="J2" s="169"/>
      <c r="K2" s="169"/>
      <c r="L2" s="169"/>
      <c r="M2" s="169"/>
      <c r="N2" s="169"/>
      <c r="O2" s="169"/>
      <c r="P2" s="169"/>
      <c r="Q2" s="169"/>
    </row>
    <row r="3" spans="1:17" s="178" customFormat="1" ht="24" customHeight="1">
      <c r="A3" s="172" t="s">
        <v>86</v>
      </c>
      <c r="B3" s="173"/>
      <c r="C3" s="174"/>
      <c r="D3" s="175" t="s">
        <v>87</v>
      </c>
      <c r="E3" s="175"/>
      <c r="F3" s="176"/>
      <c r="G3" s="176"/>
      <c r="H3" s="177"/>
      <c r="I3" s="177"/>
      <c r="J3" s="177"/>
      <c r="K3" s="177"/>
      <c r="L3" s="177"/>
      <c r="M3" s="177"/>
      <c r="N3" s="177"/>
      <c r="O3" s="177"/>
      <c r="P3" s="177"/>
      <c r="Q3" s="177"/>
    </row>
    <row r="4" spans="1:17" s="178" customFormat="1" ht="24" customHeight="1">
      <c r="A4" s="172"/>
      <c r="B4" s="173"/>
      <c r="C4" s="174"/>
      <c r="D4" s="41" t="s">
        <v>2970</v>
      </c>
      <c r="E4" s="175"/>
      <c r="F4" s="176"/>
      <c r="G4" s="176"/>
      <c r="H4" s="177"/>
      <c r="I4" s="177"/>
      <c r="J4" s="177"/>
      <c r="K4" s="177"/>
      <c r="L4" s="177"/>
      <c r="M4" s="177"/>
      <c r="N4" s="177"/>
      <c r="O4" s="177"/>
      <c r="P4" s="177"/>
      <c r="Q4" s="177"/>
    </row>
    <row r="5" spans="1:17" s="178" customFormat="1" ht="24" customHeight="1">
      <c r="A5" s="179" t="s">
        <v>62</v>
      </c>
      <c r="B5" s="173"/>
      <c r="C5" s="174"/>
      <c r="D5" s="180" t="s">
        <v>63</v>
      </c>
      <c r="E5" s="181"/>
      <c r="F5" s="182"/>
      <c r="G5" s="176"/>
      <c r="H5" s="177"/>
      <c r="I5" s="177"/>
      <c r="J5" s="177"/>
      <c r="K5" s="177"/>
      <c r="L5" s="177"/>
      <c r="M5" s="177"/>
      <c r="N5" s="177"/>
      <c r="O5" s="177"/>
      <c r="P5" s="177"/>
      <c r="Q5" s="177"/>
    </row>
    <row r="6" spans="1:17" s="187" customFormat="1" ht="24" customHeight="1">
      <c r="A6" s="179" t="s">
        <v>64</v>
      </c>
      <c r="B6" s="183"/>
      <c r="C6" s="180"/>
      <c r="D6" s="184"/>
      <c r="E6" s="184"/>
      <c r="F6" s="185"/>
      <c r="G6" s="185"/>
      <c r="H6" s="186"/>
      <c r="I6" s="186"/>
      <c r="J6" s="186"/>
      <c r="K6" s="186"/>
      <c r="L6" s="186"/>
      <c r="M6" s="186"/>
      <c r="N6" s="186"/>
      <c r="O6" s="186"/>
      <c r="P6" s="186"/>
      <c r="Q6" s="186"/>
    </row>
    <row r="7" spans="1:17" s="178" customFormat="1" ht="24" customHeight="1">
      <c r="A7" s="172" t="s">
        <v>88</v>
      </c>
      <c r="B7" s="188"/>
      <c r="C7" s="189"/>
      <c r="D7" s="190"/>
      <c r="E7" s="190"/>
      <c r="F7" s="191"/>
      <c r="G7" s="191"/>
      <c r="H7" s="177"/>
      <c r="I7" s="177"/>
      <c r="J7" s="177"/>
      <c r="K7" s="177"/>
      <c r="L7" s="177"/>
      <c r="M7" s="177"/>
      <c r="N7" s="177"/>
      <c r="O7" s="177"/>
      <c r="P7" s="177"/>
      <c r="Q7" s="177"/>
    </row>
    <row r="8" spans="1:17" s="178" customFormat="1" ht="24" customHeight="1">
      <c r="A8" s="179" t="s">
        <v>89</v>
      </c>
      <c r="B8" s="188"/>
      <c r="C8" s="192"/>
      <c r="D8" s="189"/>
      <c r="E8" s="189"/>
      <c r="F8" s="191"/>
      <c r="G8" s="191"/>
      <c r="H8" s="177"/>
      <c r="I8" s="177"/>
      <c r="J8" s="177"/>
      <c r="K8" s="177"/>
      <c r="L8" s="177"/>
      <c r="M8" s="177"/>
      <c r="N8" s="177"/>
      <c r="O8" s="177"/>
      <c r="P8" s="177"/>
      <c r="Q8" s="177"/>
    </row>
    <row r="9" spans="1:17" s="178" customFormat="1" ht="24" customHeight="1">
      <c r="A9" s="193" t="s">
        <v>90</v>
      </c>
      <c r="B9" s="188"/>
      <c r="C9" s="194"/>
      <c r="D9" s="195"/>
      <c r="E9" s="195" t="s">
        <v>91</v>
      </c>
      <c r="F9" s="191"/>
      <c r="G9" s="196"/>
      <c r="H9" s="177"/>
      <c r="I9" s="177"/>
      <c r="J9" s="177"/>
      <c r="K9" s="177"/>
      <c r="L9" s="177"/>
      <c r="M9" s="177"/>
      <c r="N9" s="177"/>
      <c r="O9" s="177"/>
      <c r="P9" s="177"/>
      <c r="Q9" s="177"/>
    </row>
    <row r="10" spans="1:17" s="171" customFormat="1" ht="24" customHeight="1">
      <c r="A10" s="5"/>
      <c r="B10" s="197"/>
      <c r="C10" s="198"/>
      <c r="D10" s="47"/>
      <c r="E10" s="47"/>
      <c r="F10" s="199"/>
      <c r="G10" s="2407" t="s">
        <v>65</v>
      </c>
      <c r="H10" s="169"/>
      <c r="I10" s="169"/>
      <c r="J10" s="169"/>
      <c r="K10" s="169"/>
      <c r="L10" s="169"/>
      <c r="M10" s="169"/>
      <c r="N10" s="169"/>
      <c r="O10" s="169"/>
      <c r="P10" s="169"/>
      <c r="Q10" s="169"/>
    </row>
    <row r="11" spans="1:17" ht="9" customHeight="1">
      <c r="A11" s="46"/>
      <c r="B11" s="200"/>
      <c r="C11" s="201"/>
      <c r="D11" s="202"/>
      <c r="E11" s="202"/>
      <c r="F11" s="203"/>
      <c r="G11" s="2408"/>
    </row>
    <row r="12" spans="1:17" s="178" customFormat="1" ht="22.15" customHeight="1">
      <c r="A12" s="2409" t="s">
        <v>8</v>
      </c>
      <c r="B12" s="2411" t="s">
        <v>9</v>
      </c>
      <c r="C12" s="2412"/>
      <c r="D12" s="2412"/>
      <c r="E12" s="2413"/>
      <c r="F12" s="2417" t="s">
        <v>92</v>
      </c>
      <c r="G12" s="2417" t="s">
        <v>15</v>
      </c>
      <c r="H12" s="177"/>
      <c r="I12" s="177"/>
      <c r="J12" s="177"/>
      <c r="K12" s="177"/>
      <c r="L12" s="177"/>
      <c r="M12" s="177"/>
      <c r="N12" s="177"/>
      <c r="O12" s="177"/>
      <c r="P12" s="177"/>
      <c r="Q12" s="177"/>
    </row>
    <row r="13" spans="1:17" s="178" customFormat="1" ht="22.15" customHeight="1">
      <c r="A13" s="2410"/>
      <c r="B13" s="2414"/>
      <c r="C13" s="2415"/>
      <c r="D13" s="2415"/>
      <c r="E13" s="2416"/>
      <c r="F13" s="2418"/>
      <c r="G13" s="2418"/>
      <c r="H13" s="177"/>
      <c r="I13" s="177"/>
      <c r="J13" s="177"/>
      <c r="K13" s="177"/>
      <c r="L13" s="177"/>
      <c r="M13" s="177"/>
      <c r="N13" s="177"/>
      <c r="O13" s="177"/>
      <c r="P13" s="177"/>
      <c r="Q13" s="177"/>
    </row>
    <row r="14" spans="1:17" s="178" customFormat="1" ht="24" customHeight="1">
      <c r="A14" s="204" t="s">
        <v>93</v>
      </c>
      <c r="B14" s="2400" t="s">
        <v>94</v>
      </c>
      <c r="C14" s="2401"/>
      <c r="D14" s="2401"/>
      <c r="E14" s="205"/>
      <c r="F14" s="206"/>
      <c r="G14" s="207"/>
      <c r="H14" s="177"/>
      <c r="I14" s="177"/>
      <c r="J14" s="177"/>
      <c r="K14" s="177"/>
      <c r="L14" s="177"/>
      <c r="M14" s="177"/>
      <c r="N14" s="177"/>
      <c r="O14" s="177"/>
      <c r="P14" s="177"/>
      <c r="Q14" s="177"/>
    </row>
    <row r="15" spans="1:17" s="178" customFormat="1" ht="24" customHeight="1">
      <c r="A15" s="208"/>
      <c r="B15" s="209" t="s">
        <v>95</v>
      </c>
      <c r="C15" s="210" t="s">
        <v>96</v>
      </c>
      <c r="D15" s="210"/>
      <c r="E15" s="211"/>
      <c r="F15" s="212"/>
      <c r="G15" s="213"/>
      <c r="H15" s="177"/>
      <c r="I15" s="177"/>
      <c r="J15" s="177"/>
      <c r="K15" s="177"/>
      <c r="L15" s="177"/>
      <c r="M15" s="177"/>
      <c r="N15" s="177"/>
      <c r="O15" s="177"/>
      <c r="P15" s="177"/>
      <c r="Q15" s="177"/>
    </row>
    <row r="16" spans="1:17" s="178" customFormat="1" ht="24" customHeight="1">
      <c r="A16" s="214"/>
      <c r="B16" s="215" t="s">
        <v>97</v>
      </c>
      <c r="C16" s="216" t="s">
        <v>2971</v>
      </c>
      <c r="D16" s="217"/>
      <c r="E16" s="217"/>
      <c r="F16" s="218">
        <f>SUM('ปร.5(ก)อาคาร'!H19:H28)</f>
        <v>1255864286.22</v>
      </c>
      <c r="G16" s="219"/>
      <c r="H16" s="177"/>
      <c r="I16" s="177"/>
      <c r="J16" s="177"/>
      <c r="K16" s="177"/>
      <c r="L16" s="177"/>
      <c r="M16" s="177"/>
      <c r="N16" s="177"/>
      <c r="O16" s="177"/>
      <c r="P16" s="177"/>
      <c r="Q16" s="177"/>
    </row>
    <row r="17" spans="1:17" s="178" customFormat="1" ht="24" customHeight="1">
      <c r="A17" s="214"/>
      <c r="B17" s="215"/>
      <c r="C17" s="216"/>
      <c r="D17" s="217"/>
      <c r="E17" s="217"/>
      <c r="F17" s="218"/>
      <c r="G17" s="219"/>
      <c r="H17" s="177"/>
      <c r="I17" s="177"/>
      <c r="J17" s="177"/>
      <c r="K17" s="177"/>
      <c r="L17" s="177"/>
      <c r="M17" s="177"/>
      <c r="N17" s="177"/>
      <c r="O17" s="177"/>
      <c r="P17" s="177"/>
      <c r="Q17" s="177"/>
    </row>
    <row r="18" spans="1:17" s="178" customFormat="1" ht="24" customHeight="1">
      <c r="A18" s="214"/>
      <c r="B18" s="215"/>
      <c r="C18" s="216"/>
      <c r="D18" s="217"/>
      <c r="E18" s="217"/>
      <c r="F18" s="218"/>
      <c r="G18" s="219"/>
      <c r="H18" s="177"/>
      <c r="I18" s="177"/>
      <c r="J18" s="177"/>
      <c r="K18" s="177"/>
      <c r="L18" s="177"/>
      <c r="M18" s="177"/>
      <c r="N18" s="177"/>
      <c r="O18" s="177"/>
      <c r="P18" s="177"/>
      <c r="Q18" s="177"/>
    </row>
    <row r="19" spans="1:17" s="178" customFormat="1" ht="24" customHeight="1">
      <c r="A19" s="214"/>
      <c r="B19" s="215"/>
      <c r="C19" s="216"/>
      <c r="D19" s="217"/>
      <c r="E19" s="217"/>
      <c r="F19" s="218"/>
      <c r="G19" s="219"/>
      <c r="H19" s="177"/>
      <c r="I19" s="177"/>
      <c r="J19" s="177"/>
      <c r="K19" s="177"/>
      <c r="L19" s="177"/>
      <c r="M19" s="177"/>
      <c r="N19" s="177"/>
      <c r="O19" s="177"/>
      <c r="P19" s="177"/>
      <c r="Q19" s="177"/>
    </row>
    <row r="20" spans="1:17" s="178" customFormat="1" ht="24" customHeight="1">
      <c r="A20" s="214"/>
      <c r="B20" s="215"/>
      <c r="C20" s="216"/>
      <c r="D20" s="217"/>
      <c r="E20" s="217"/>
      <c r="F20" s="218"/>
      <c r="G20" s="219"/>
      <c r="H20" s="177"/>
      <c r="I20" s="177"/>
      <c r="J20" s="177"/>
      <c r="K20" s="177"/>
      <c r="L20" s="177"/>
      <c r="M20" s="177"/>
      <c r="N20" s="177"/>
      <c r="O20" s="177"/>
      <c r="P20" s="177"/>
      <c r="Q20" s="177"/>
    </row>
    <row r="21" spans="1:17" s="178" customFormat="1" ht="24" customHeight="1">
      <c r="A21" s="214"/>
      <c r="B21" s="215"/>
      <c r="C21" s="216"/>
      <c r="D21" s="217"/>
      <c r="E21" s="217"/>
      <c r="F21" s="218"/>
      <c r="G21" s="219"/>
      <c r="H21" s="177"/>
      <c r="I21" s="177"/>
      <c r="J21" s="177"/>
      <c r="K21" s="177"/>
      <c r="L21" s="177"/>
      <c r="M21" s="177"/>
      <c r="N21" s="177"/>
      <c r="O21" s="177"/>
      <c r="P21" s="177"/>
      <c r="Q21" s="177"/>
    </row>
    <row r="22" spans="1:17" ht="24" customHeight="1">
      <c r="A22" s="220"/>
      <c r="B22" s="221"/>
      <c r="C22" s="222"/>
      <c r="D22" s="88"/>
      <c r="E22" s="88"/>
      <c r="F22" s="223"/>
      <c r="G22" s="224"/>
    </row>
    <row r="23" spans="1:17" ht="24" customHeight="1">
      <c r="A23" s="225"/>
      <c r="B23" s="226"/>
      <c r="C23" s="227"/>
      <c r="D23" s="228"/>
      <c r="E23" s="228"/>
      <c r="F23" s="229"/>
      <c r="G23" s="230"/>
    </row>
    <row r="24" spans="1:17" s="178" customFormat="1" ht="24" customHeight="1">
      <c r="A24" s="214"/>
      <c r="B24" s="231" t="s">
        <v>98</v>
      </c>
      <c r="C24" s="217" t="s">
        <v>99</v>
      </c>
      <c r="D24" s="232"/>
      <c r="E24" s="232"/>
      <c r="F24" s="218"/>
      <c r="G24" s="219"/>
      <c r="H24" s="177"/>
      <c r="I24" s="177"/>
      <c r="J24" s="177"/>
      <c r="K24" s="177"/>
      <c r="L24" s="177"/>
      <c r="M24" s="177"/>
      <c r="N24" s="177"/>
      <c r="O24" s="177"/>
      <c r="P24" s="177"/>
      <c r="Q24" s="177"/>
    </row>
    <row r="25" spans="1:17" s="178" customFormat="1" ht="24" customHeight="1">
      <c r="A25" s="214"/>
      <c r="B25" s="215" t="s">
        <v>97</v>
      </c>
      <c r="C25" s="216" t="s">
        <v>100</v>
      </c>
      <c r="D25" s="216"/>
      <c r="E25" s="233"/>
      <c r="F25" s="218"/>
      <c r="G25" s="234"/>
      <c r="H25" s="177"/>
      <c r="I25" s="177"/>
      <c r="J25" s="177"/>
      <c r="K25" s="177"/>
      <c r="L25" s="177"/>
      <c r="M25" s="177"/>
      <c r="N25" s="177"/>
      <c r="O25" s="177"/>
      <c r="P25" s="177"/>
      <c r="Q25" s="177"/>
    </row>
    <row r="26" spans="1:17" s="178" customFormat="1" ht="24" customHeight="1">
      <c r="A26" s="235"/>
      <c r="B26" s="236" t="s">
        <v>97</v>
      </c>
      <c r="C26" s="237" t="s">
        <v>101</v>
      </c>
      <c r="D26" s="237"/>
      <c r="E26" s="238"/>
      <c r="F26" s="239"/>
      <c r="G26" s="240"/>
      <c r="H26" s="177"/>
      <c r="I26" s="177"/>
      <c r="J26" s="177"/>
      <c r="K26" s="177"/>
      <c r="L26" s="177"/>
      <c r="M26" s="177"/>
      <c r="N26" s="177"/>
      <c r="O26" s="177"/>
      <c r="P26" s="177"/>
      <c r="Q26" s="177"/>
    </row>
    <row r="27" spans="1:17" s="178" customFormat="1" ht="24" customHeight="1">
      <c r="A27" s="214"/>
      <c r="B27" s="241" t="s">
        <v>102</v>
      </c>
      <c r="C27" s="217" t="s">
        <v>103</v>
      </c>
      <c r="D27" s="232"/>
      <c r="E27" s="233"/>
      <c r="F27" s="218"/>
      <c r="G27" s="219"/>
      <c r="H27" s="177"/>
      <c r="I27" s="177"/>
      <c r="J27" s="177"/>
      <c r="K27" s="177"/>
      <c r="L27" s="177"/>
      <c r="M27" s="177"/>
      <c r="N27" s="177"/>
      <c r="O27" s="177"/>
      <c r="P27" s="177"/>
      <c r="Q27" s="177"/>
    </row>
    <row r="28" spans="1:17" s="178" customFormat="1" ht="24" customHeight="1">
      <c r="A28" s="208"/>
      <c r="B28" s="215" t="s">
        <v>97</v>
      </c>
      <c r="C28" s="216" t="s">
        <v>104</v>
      </c>
      <c r="D28" s="216"/>
      <c r="E28" s="242"/>
      <c r="F28" s="243">
        <f>'ปร.5(ก)อาคาร'!H33</f>
        <v>24171034.780000001</v>
      </c>
      <c r="G28" s="244"/>
      <c r="H28" s="177"/>
      <c r="I28" s="177"/>
      <c r="J28" s="177"/>
      <c r="K28" s="177"/>
      <c r="L28" s="177"/>
      <c r="M28" s="177"/>
      <c r="N28" s="177"/>
      <c r="O28" s="177"/>
      <c r="P28" s="177"/>
      <c r="Q28" s="177"/>
    </row>
    <row r="29" spans="1:17" s="178" customFormat="1" ht="24" customHeight="1">
      <c r="A29" s="245"/>
      <c r="B29" s="246" t="s">
        <v>97</v>
      </c>
      <c r="C29" s="247" t="s">
        <v>105</v>
      </c>
      <c r="D29" s="247"/>
      <c r="E29" s="248"/>
      <c r="F29" s="249"/>
      <c r="G29" s="250"/>
      <c r="H29" s="177"/>
      <c r="I29" s="177"/>
      <c r="J29" s="177"/>
      <c r="K29" s="177"/>
      <c r="L29" s="177"/>
      <c r="M29" s="177"/>
      <c r="N29" s="177"/>
      <c r="O29" s="177"/>
      <c r="P29" s="177"/>
      <c r="Q29" s="177"/>
    </row>
    <row r="30" spans="1:17" s="178" customFormat="1" ht="24" customHeight="1">
      <c r="A30" s="251" t="s">
        <v>106</v>
      </c>
      <c r="B30" s="2402" t="s">
        <v>107</v>
      </c>
      <c r="C30" s="2403"/>
      <c r="D30" s="2403"/>
      <c r="E30" s="252"/>
      <c r="F30" s="253"/>
      <c r="G30" s="254"/>
      <c r="H30" s="177"/>
      <c r="I30" s="177"/>
      <c r="J30" s="177"/>
      <c r="K30" s="177"/>
      <c r="L30" s="177"/>
      <c r="M30" s="177"/>
      <c r="N30" s="177"/>
      <c r="O30" s="177"/>
      <c r="P30" s="177"/>
      <c r="Q30" s="177"/>
    </row>
    <row r="31" spans="1:17" s="178" customFormat="1" ht="24" customHeight="1">
      <c r="A31" s="255"/>
      <c r="B31" s="215" t="s">
        <v>97</v>
      </c>
      <c r="C31" s="256" t="s">
        <v>331</v>
      </c>
      <c r="D31" s="247"/>
      <c r="E31" s="242"/>
      <c r="F31" s="218"/>
      <c r="G31" s="244"/>
      <c r="H31" s="177"/>
      <c r="I31" s="177"/>
      <c r="J31" s="177"/>
      <c r="K31" s="177"/>
      <c r="L31" s="177"/>
      <c r="M31" s="177"/>
      <c r="N31" s="177"/>
      <c r="O31" s="177"/>
      <c r="P31" s="177"/>
      <c r="Q31" s="177"/>
    </row>
    <row r="32" spans="1:17" s="178" customFormat="1" ht="24" customHeight="1">
      <c r="A32" s="257"/>
      <c r="B32" s="258" t="s">
        <v>97</v>
      </c>
      <c r="C32" s="259" t="s">
        <v>108</v>
      </c>
      <c r="D32" s="237"/>
      <c r="E32" s="238"/>
      <c r="F32" s="239"/>
      <c r="G32" s="260"/>
      <c r="H32" s="177"/>
      <c r="I32" s="177"/>
      <c r="J32" s="177"/>
      <c r="K32" s="177"/>
      <c r="L32" s="177"/>
      <c r="M32" s="177"/>
      <c r="N32" s="177"/>
      <c r="O32" s="177"/>
      <c r="P32" s="177"/>
      <c r="Q32" s="177"/>
    </row>
    <row r="33" spans="1:17" s="178" customFormat="1" ht="24" customHeight="1">
      <c r="A33" s="261" t="s">
        <v>109</v>
      </c>
      <c r="B33" s="2400" t="s">
        <v>60</v>
      </c>
      <c r="C33" s="2401"/>
      <c r="D33" s="2401"/>
      <c r="E33" s="205"/>
      <c r="F33" s="218">
        <f>'ปร.4 (พ)'!G35</f>
        <v>46408635.469999999</v>
      </c>
      <c r="G33" s="262"/>
      <c r="H33" s="177"/>
      <c r="I33" s="177"/>
      <c r="J33" s="177"/>
      <c r="K33" s="177"/>
      <c r="L33" s="177"/>
      <c r="M33" s="177"/>
      <c r="N33" s="177"/>
      <c r="O33" s="177"/>
      <c r="P33" s="177"/>
      <c r="Q33" s="177"/>
    </row>
    <row r="34" spans="1:17" s="178" customFormat="1" ht="24" customHeight="1">
      <c r="A34" s="263"/>
      <c r="B34" s="264"/>
      <c r="C34" s="264"/>
      <c r="D34" s="264"/>
      <c r="E34" s="265"/>
      <c r="F34" s="266"/>
      <c r="G34" s="267"/>
      <c r="H34" s="177"/>
      <c r="I34" s="177"/>
      <c r="J34" s="177"/>
      <c r="K34" s="177"/>
      <c r="L34" s="177"/>
      <c r="M34" s="177"/>
      <c r="N34" s="177"/>
      <c r="O34" s="177"/>
      <c r="P34" s="177"/>
      <c r="Q34" s="177"/>
    </row>
    <row r="35" spans="1:17" s="178" customFormat="1" ht="35.1" customHeight="1">
      <c r="A35" s="268"/>
      <c r="B35" s="269"/>
      <c r="C35" s="270" t="s">
        <v>110</v>
      </c>
      <c r="D35" s="270"/>
      <c r="E35" s="271"/>
      <c r="F35" s="272"/>
      <c r="G35" s="273"/>
      <c r="H35" s="177"/>
      <c r="I35" s="177"/>
      <c r="J35" s="177"/>
      <c r="K35" s="177"/>
      <c r="L35" s="177"/>
      <c r="M35" s="177"/>
      <c r="N35" s="177"/>
      <c r="O35" s="177"/>
      <c r="P35" s="177"/>
      <c r="Q35" s="177"/>
    </row>
    <row r="36" spans="1:17" s="178" customFormat="1" ht="35.1" customHeight="1">
      <c r="A36" s="274" t="s">
        <v>111</v>
      </c>
      <c r="B36" s="275"/>
      <c r="C36" s="276"/>
      <c r="D36" s="277" t="s">
        <v>112</v>
      </c>
      <c r="E36" s="278"/>
      <c r="F36" s="279">
        <f>SUM(F16:F34)</f>
        <v>1326443956.47</v>
      </c>
      <c r="G36" s="280"/>
      <c r="H36" s="177"/>
      <c r="I36" s="177"/>
      <c r="J36" s="177"/>
      <c r="K36" s="177"/>
      <c r="L36" s="177"/>
      <c r="M36" s="177"/>
      <c r="N36" s="177"/>
      <c r="O36" s="177"/>
      <c r="P36" s="177"/>
      <c r="Q36" s="177"/>
    </row>
    <row r="37" spans="1:17" s="178" customFormat="1" ht="35.1" customHeight="1">
      <c r="A37" s="281"/>
      <c r="B37" s="2404" t="s">
        <v>113</v>
      </c>
      <c r="C37" s="2405"/>
      <c r="D37" s="282" t="str">
        <f>"("&amp;BAHTTEXT(F36)&amp;")"</f>
        <v>(หนึ่งพันสามร้อยยี่สิบหกล้านสี่แสนสี่หมื่นสามพันเก้าร้อยห้าสิบหกบาทสี่สิบเจ็ดสตางค์)</v>
      </c>
      <c r="E37" s="283"/>
      <c r="F37" s="283"/>
      <c r="G37" s="284"/>
      <c r="H37" s="177"/>
      <c r="I37" s="177"/>
      <c r="J37" s="177"/>
      <c r="K37" s="177"/>
      <c r="L37" s="177"/>
      <c r="M37" s="177"/>
      <c r="N37" s="177"/>
      <c r="O37" s="177"/>
      <c r="P37" s="177"/>
      <c r="Q37" s="177"/>
    </row>
    <row r="38" spans="1:17">
      <c r="A38" s="285"/>
      <c r="B38" s="285"/>
      <c r="C38" s="285"/>
      <c r="D38" s="285"/>
      <c r="E38" s="285"/>
      <c r="F38" s="285"/>
      <c r="G38" s="285"/>
    </row>
    <row r="39" spans="1:17">
      <c r="A39" s="126"/>
      <c r="B39" s="126"/>
      <c r="C39" s="126"/>
      <c r="D39" s="126"/>
      <c r="E39" s="126"/>
      <c r="F39" s="126"/>
      <c r="G39" s="126"/>
    </row>
    <row r="40" spans="1:17">
      <c r="A40" s="126"/>
      <c r="B40" s="126"/>
      <c r="C40" s="126"/>
      <c r="D40" s="126"/>
      <c r="E40" s="126"/>
      <c r="F40" s="126"/>
      <c r="G40" s="126"/>
    </row>
    <row r="41" spans="1:17">
      <c r="A41" s="126"/>
      <c r="B41" s="126"/>
      <c r="C41" s="126"/>
      <c r="D41" s="126"/>
      <c r="E41" s="126"/>
      <c r="F41" s="126"/>
      <c r="G41" s="126"/>
    </row>
    <row r="42" spans="1:17">
      <c r="A42" s="126"/>
      <c r="B42" s="126"/>
      <c r="C42" s="126"/>
      <c r="D42" s="126"/>
      <c r="E42" s="126"/>
      <c r="F42" s="126"/>
      <c r="G42" s="126"/>
    </row>
  </sheetData>
  <mergeCells count="10">
    <mergeCell ref="B14:D14"/>
    <mergeCell ref="B30:D30"/>
    <mergeCell ref="B33:D33"/>
    <mergeCell ref="B37:C37"/>
    <mergeCell ref="A2:G2"/>
    <mergeCell ref="G10:G11"/>
    <mergeCell ref="A12:A13"/>
    <mergeCell ref="B12:E13"/>
    <mergeCell ref="F12:F13"/>
    <mergeCell ref="G12:G13"/>
  </mergeCells>
  <pageMargins left="0.70866141732283472" right="0.39370078740157483" top="0.94488188976377963" bottom="0.39370078740157483" header="0.31496062992125984" footer="0.31496062992125984"/>
  <pageSetup paperSize="9" scale="7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C2CBC-6F59-4B9D-BA4D-CBF20019DF7F}">
  <sheetPr>
    <tabColor rgb="FF92D050"/>
  </sheetPr>
  <dimension ref="A1:U451"/>
  <sheetViews>
    <sheetView tabSelected="1" view="pageBreakPreview" topLeftCell="A268" zoomScale="85" zoomScaleNormal="100" zoomScaleSheetLayoutView="8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41015625" style="1" customWidth="1"/>
    <col min="13" max="13" width="7.703125" style="1" customWidth="1"/>
    <col min="14" max="14" width="14" style="1" customWidth="1"/>
    <col min="15" max="15" width="16.87890625" style="1" customWidth="1"/>
    <col min="16" max="17" width="12.703125" style="1" customWidth="1"/>
    <col min="18" max="95" width="7.703125" style="1" customWidth="1"/>
    <col min="96" max="16384" width="9" style="1"/>
  </cols>
  <sheetData>
    <row r="1" spans="1:16" ht="35.200000000000003" customHeight="1">
      <c r="A1" s="681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6" ht="25.15" customHeight="1">
      <c r="A2" s="683" t="s">
        <v>2</v>
      </c>
      <c r="B2" s="33"/>
      <c r="C2" s="34"/>
      <c r="D2" s="11" t="s">
        <v>938</v>
      </c>
      <c r="E2" s="34"/>
      <c r="F2" s="12"/>
      <c r="G2" s="12"/>
      <c r="H2" s="12"/>
      <c r="I2" s="12"/>
      <c r="J2" s="13"/>
      <c r="K2" s="12"/>
      <c r="L2" s="14"/>
    </row>
    <row r="3" spans="1:16" ht="25.15" customHeight="1">
      <c r="A3" s="685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6" ht="25.15" customHeight="1">
      <c r="A4" s="687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6" ht="25.15" customHeight="1">
      <c r="A5" s="685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6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6" ht="26.2" customHeight="1">
      <c r="A7" s="6" t="s">
        <v>26</v>
      </c>
      <c r="B7" s="20"/>
      <c r="C7" s="20"/>
      <c r="D7" s="21"/>
      <c r="E7" s="20"/>
      <c r="F7" s="689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6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</row>
    <row r="9" spans="1:16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362" t="s">
        <v>14</v>
      </c>
      <c r="L9" s="2480" t="s">
        <v>15</v>
      </c>
    </row>
    <row r="10" spans="1:16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364" t="s">
        <v>17</v>
      </c>
      <c r="I10" s="28" t="s">
        <v>16</v>
      </c>
      <c r="J10" s="2364" t="s">
        <v>17</v>
      </c>
      <c r="K10" s="2363" t="s">
        <v>18</v>
      </c>
      <c r="L10" s="2481"/>
    </row>
    <row r="11" spans="1:16" ht="24" customHeight="1">
      <c r="A11" s="2399" t="s">
        <v>25</v>
      </c>
      <c r="B11" s="691" t="s">
        <v>1388</v>
      </c>
      <c r="C11" s="692"/>
      <c r="D11" s="693"/>
      <c r="E11" s="694"/>
      <c r="F11" s="695"/>
      <c r="G11" s="696"/>
      <c r="H11" s="697"/>
      <c r="I11" s="698"/>
      <c r="J11" s="697"/>
      <c r="K11" s="699"/>
      <c r="L11" s="953"/>
    </row>
    <row r="12" spans="1:16" s="714" customFormat="1" ht="24" customHeight="1">
      <c r="A12" s="719">
        <f>A35</f>
        <v>3.1</v>
      </c>
      <c r="B12" s="754" t="str">
        <f>B35</f>
        <v>Distribution Board</v>
      </c>
      <c r="C12" s="717"/>
      <c r="D12" s="718"/>
      <c r="E12" s="708">
        <v>1</v>
      </c>
      <c r="F12" s="709" t="s">
        <v>19</v>
      </c>
      <c r="G12" s="710"/>
      <c r="H12" s="711">
        <f>H77</f>
        <v>296685</v>
      </c>
      <c r="I12" s="712"/>
      <c r="J12" s="711">
        <f>J77</f>
        <v>26040</v>
      </c>
      <c r="K12" s="711">
        <f>K77</f>
        <v>322725</v>
      </c>
      <c r="L12" s="954"/>
    </row>
    <row r="13" spans="1:16" s="714" customFormat="1" ht="24" customHeight="1">
      <c r="A13" s="719">
        <f>A78</f>
        <v>3.2</v>
      </c>
      <c r="B13" s="754" t="str">
        <f>B78</f>
        <v>Essential Distribution Board</v>
      </c>
      <c r="C13" s="717"/>
      <c r="D13" s="718"/>
      <c r="E13" s="708">
        <v>1</v>
      </c>
      <c r="F13" s="709" t="s">
        <v>19</v>
      </c>
      <c r="G13" s="710"/>
      <c r="H13" s="711">
        <f>H130</f>
        <v>255070</v>
      </c>
      <c r="I13" s="712"/>
      <c r="J13" s="711">
        <f>J130</f>
        <v>20040</v>
      </c>
      <c r="K13" s="711">
        <f>K130</f>
        <v>275110</v>
      </c>
      <c r="L13" s="954"/>
    </row>
    <row r="14" spans="1:16" s="714" customFormat="1" ht="24" customHeight="1">
      <c r="A14" s="719" t="str">
        <f>A131</f>
        <v>3.3</v>
      </c>
      <c r="B14" s="705" t="str">
        <f>B131</f>
        <v>แผงสวิทช์ย่อยและเซอร์กิต เบรคเกอร์ (Panelboard &amp; CB)</v>
      </c>
      <c r="C14" s="717"/>
      <c r="D14" s="718"/>
      <c r="E14" s="708">
        <v>1</v>
      </c>
      <c r="F14" s="709" t="s">
        <v>19</v>
      </c>
      <c r="G14" s="710"/>
      <c r="H14" s="711">
        <f>H208</f>
        <v>197926</v>
      </c>
      <c r="I14" s="712"/>
      <c r="J14" s="711">
        <f>J208</f>
        <v>22500</v>
      </c>
      <c r="K14" s="711">
        <f>K208</f>
        <v>220426</v>
      </c>
      <c r="L14" s="954"/>
    </row>
    <row r="15" spans="1:16" s="714" customFormat="1" ht="24" customHeight="1">
      <c r="A15" s="719">
        <f>A209</f>
        <v>3.6</v>
      </c>
      <c r="B15" s="705" t="str">
        <f>B209</f>
        <v>สายไฟฟ้า (Cable &amp; Wire)</v>
      </c>
      <c r="C15" s="717"/>
      <c r="D15" s="718"/>
      <c r="E15" s="708">
        <v>1</v>
      </c>
      <c r="F15" s="709" t="s">
        <v>19</v>
      </c>
      <c r="G15" s="710"/>
      <c r="H15" s="711">
        <f>H226</f>
        <v>953295</v>
      </c>
      <c r="I15" s="712"/>
      <c r="J15" s="711">
        <f>J226</f>
        <v>519919</v>
      </c>
      <c r="K15" s="711">
        <f>K226</f>
        <v>1473214</v>
      </c>
      <c r="L15" s="954"/>
      <c r="P15" s="715"/>
    </row>
    <row r="16" spans="1:16" s="714" customFormat="1" ht="24" customHeight="1">
      <c r="A16" s="719" t="str">
        <f>A227</f>
        <v>3.5</v>
      </c>
      <c r="B16" s="705" t="str">
        <f>B227</f>
        <v>รางเดินสายไฟฟ้า (Raceway)</v>
      </c>
      <c r="C16" s="717"/>
      <c r="D16" s="718"/>
      <c r="E16" s="708">
        <v>1</v>
      </c>
      <c r="F16" s="709" t="s">
        <v>19</v>
      </c>
      <c r="G16" s="710"/>
      <c r="H16" s="711">
        <f>H250</f>
        <v>691513</v>
      </c>
      <c r="I16" s="712"/>
      <c r="J16" s="711">
        <f>J250</f>
        <v>412809</v>
      </c>
      <c r="K16" s="711">
        <f>K250</f>
        <v>1104322</v>
      </c>
      <c r="L16" s="954"/>
      <c r="P16" s="715"/>
    </row>
    <row r="17" spans="1:12" s="714" customFormat="1" ht="24" customHeight="1">
      <c r="A17" s="719" t="str">
        <f>A251</f>
        <v>3.6</v>
      </c>
      <c r="B17" s="705" t="str">
        <f>B251</f>
        <v>สวิทช์และเต้ารับ (Switch &amp; Outlet)</v>
      </c>
      <c r="C17" s="717"/>
      <c r="D17" s="718"/>
      <c r="E17" s="708">
        <v>1</v>
      </c>
      <c r="F17" s="709" t="s">
        <v>19</v>
      </c>
      <c r="G17" s="710"/>
      <c r="H17" s="711">
        <f>H264</f>
        <v>33766</v>
      </c>
      <c r="I17" s="712"/>
      <c r="J17" s="711">
        <f>J264</f>
        <v>15910</v>
      </c>
      <c r="K17" s="711">
        <f>K264</f>
        <v>49676</v>
      </c>
      <c r="L17" s="954"/>
    </row>
    <row r="18" spans="1:12" s="714" customFormat="1" ht="24" customHeight="1">
      <c r="A18" s="704" t="str">
        <f>A265</f>
        <v>3.7</v>
      </c>
      <c r="B18" s="705" t="str">
        <f>B265</f>
        <v>ระบบควบคุมแสงสว่าง (Lighting Control System)</v>
      </c>
      <c r="C18" s="717"/>
      <c r="D18" s="718"/>
      <c r="E18" s="708">
        <v>1</v>
      </c>
      <c r="F18" s="709" t="s">
        <v>19</v>
      </c>
      <c r="G18" s="710"/>
      <c r="H18" s="711">
        <f>H271</f>
        <v>195560</v>
      </c>
      <c r="I18" s="712"/>
      <c r="J18" s="711">
        <f>J271</f>
        <v>9778</v>
      </c>
      <c r="K18" s="711">
        <f>K271</f>
        <v>205338</v>
      </c>
      <c r="L18" s="954"/>
    </row>
    <row r="19" spans="1:12" s="714" customFormat="1" ht="24" customHeight="1">
      <c r="A19" s="719" t="str">
        <f>A272</f>
        <v>3.8</v>
      </c>
      <c r="B19" s="705" t="str">
        <f>B272</f>
        <v>โคมไฟฟ้า (Luminaire)</v>
      </c>
      <c r="C19" s="717"/>
      <c r="D19" s="718"/>
      <c r="E19" s="708">
        <v>1</v>
      </c>
      <c r="F19" s="709" t="s">
        <v>19</v>
      </c>
      <c r="G19" s="710"/>
      <c r="H19" s="711">
        <f>H298</f>
        <v>1187742</v>
      </c>
      <c r="I19" s="712"/>
      <c r="J19" s="711">
        <f>J298</f>
        <v>165390</v>
      </c>
      <c r="K19" s="711">
        <f>K298</f>
        <v>1353132</v>
      </c>
      <c r="L19" s="954"/>
    </row>
    <row r="20" spans="1:12" s="714" customFormat="1" ht="24" customHeight="1">
      <c r="A20" s="719">
        <f>A299</f>
        <v>3.9</v>
      </c>
      <c r="B20" s="720" t="str">
        <f>B299</f>
        <v>ระบบสัญญาณแจ้งเหตุเพลิงไหม้ (Fire Alarm System)</v>
      </c>
      <c r="C20" s="717"/>
      <c r="D20" s="718"/>
      <c r="E20" s="708">
        <v>1</v>
      </c>
      <c r="F20" s="722" t="s">
        <v>19</v>
      </c>
      <c r="G20" s="723"/>
      <c r="H20" s="711">
        <f>H334</f>
        <v>1228967</v>
      </c>
      <c r="I20" s="712"/>
      <c r="J20" s="711">
        <f>J334</f>
        <v>200968</v>
      </c>
      <c r="K20" s="711">
        <f>K334</f>
        <v>1429935</v>
      </c>
      <c r="L20" s="954"/>
    </row>
    <row r="21" spans="1:12" s="714" customFormat="1" ht="24" customHeight="1">
      <c r="A21" s="719" t="str">
        <f>A335</f>
        <v>3.10</v>
      </c>
      <c r="B21" s="720" t="str">
        <f>B335</f>
        <v>ระบบสายสื่อสารข้อมูล (Data Cabling System)</v>
      </c>
      <c r="C21" s="717"/>
      <c r="D21" s="718"/>
      <c r="E21" s="708">
        <v>1</v>
      </c>
      <c r="F21" s="722" t="s">
        <v>19</v>
      </c>
      <c r="G21" s="710"/>
      <c r="H21" s="711">
        <f>H354</f>
        <v>105685</v>
      </c>
      <c r="I21" s="712"/>
      <c r="J21" s="711">
        <f>J354</f>
        <v>22379</v>
      </c>
      <c r="K21" s="711">
        <f>K354</f>
        <v>128064</v>
      </c>
      <c r="L21" s="954"/>
    </row>
    <row r="22" spans="1:12" s="714" customFormat="1" ht="24" customHeight="1">
      <c r="A22" s="719" t="str">
        <f>A355</f>
        <v>3.11</v>
      </c>
      <c r="B22" s="720" t="str">
        <f>B355</f>
        <v>ระบบเสียงและประกาศเรียก (Public Address System)</v>
      </c>
      <c r="C22" s="717"/>
      <c r="D22" s="718"/>
      <c r="E22" s="708">
        <v>1</v>
      </c>
      <c r="F22" s="722" t="s">
        <v>19</v>
      </c>
      <c r="G22" s="710"/>
      <c r="H22" s="711">
        <f>H370</f>
        <v>203902</v>
      </c>
      <c r="I22" s="712"/>
      <c r="J22" s="711">
        <f>J370</f>
        <v>81089</v>
      </c>
      <c r="K22" s="711">
        <f>K370</f>
        <v>284991</v>
      </c>
      <c r="L22" s="954"/>
    </row>
    <row r="23" spans="1:12" s="714" customFormat="1" ht="24" customHeight="1">
      <c r="A23" s="719" t="str">
        <f>A371</f>
        <v>3.12</v>
      </c>
      <c r="B23" s="720" t="str">
        <f>B371</f>
        <v>ระบบควบคุมประตูอัตโนมัติ (Access Control System)</v>
      </c>
      <c r="C23" s="717"/>
      <c r="D23" s="718"/>
      <c r="E23" s="708">
        <v>1</v>
      </c>
      <c r="F23" s="722" t="s">
        <v>19</v>
      </c>
      <c r="G23" s="710"/>
      <c r="H23" s="711">
        <f>H394</f>
        <v>309396</v>
      </c>
      <c r="I23" s="712"/>
      <c r="J23" s="711">
        <f>J394</f>
        <v>12992</v>
      </c>
      <c r="K23" s="711">
        <f>K394</f>
        <v>322388</v>
      </c>
      <c r="L23" s="954"/>
    </row>
    <row r="24" spans="1:12" s="714" customFormat="1" ht="24" customHeight="1">
      <c r="A24" s="719" t="str">
        <f>A395</f>
        <v>3.13</v>
      </c>
      <c r="B24" s="720" t="str">
        <f>B395</f>
        <v>ระบบบริหารจัดการอาคาร (Building Management System : BMS)</v>
      </c>
      <c r="C24" s="717"/>
      <c r="D24" s="718"/>
      <c r="E24" s="708">
        <v>1</v>
      </c>
      <c r="F24" s="722" t="s">
        <v>19</v>
      </c>
      <c r="G24" s="710"/>
      <c r="H24" s="711">
        <f>H418</f>
        <v>619316</v>
      </c>
      <c r="I24" s="712"/>
      <c r="J24" s="711">
        <f>J418</f>
        <v>63174</v>
      </c>
      <c r="K24" s="711">
        <f>K418</f>
        <v>682490</v>
      </c>
      <c r="L24" s="954"/>
    </row>
    <row r="25" spans="1:12" s="714" customFormat="1" ht="24" customHeight="1">
      <c r="A25" s="719" t="str">
        <f>A419</f>
        <v>3.14</v>
      </c>
      <c r="B25" s="754" t="str">
        <f>B419</f>
        <v>ระบบแจ้งเหตุฉุกเฉิน (Panic Alarm System)</v>
      </c>
      <c r="C25" s="717"/>
      <c r="D25" s="718"/>
      <c r="E25" s="708">
        <v>1</v>
      </c>
      <c r="F25" s="722" t="s">
        <v>19</v>
      </c>
      <c r="G25" s="710"/>
      <c r="H25" s="711">
        <f>H442</f>
        <v>60040</v>
      </c>
      <c r="I25" s="712"/>
      <c r="J25" s="711">
        <f>J442</f>
        <v>22388</v>
      </c>
      <c r="K25" s="711">
        <f>K442</f>
        <v>82428</v>
      </c>
      <c r="L25" s="954"/>
    </row>
    <row r="26" spans="1:12" s="714" customFormat="1" ht="24" customHeight="1">
      <c r="A26" s="719"/>
      <c r="B26" s="955"/>
      <c r="C26" s="717"/>
      <c r="D26" s="718"/>
      <c r="E26" s="721"/>
      <c r="F26" s="722"/>
      <c r="G26" s="710"/>
      <c r="H26" s="711"/>
      <c r="I26" s="712"/>
      <c r="J26" s="957"/>
      <c r="K26" s="958"/>
      <c r="L26" s="954"/>
    </row>
    <row r="27" spans="1:12" s="714" customFormat="1" ht="24" customHeight="1">
      <c r="A27" s="719"/>
      <c r="B27" s="955"/>
      <c r="C27" s="717"/>
      <c r="D27" s="718"/>
      <c r="E27" s="721"/>
      <c r="F27" s="722"/>
      <c r="G27" s="710"/>
      <c r="H27" s="711"/>
      <c r="I27" s="712"/>
      <c r="J27" s="957"/>
      <c r="K27" s="958"/>
      <c r="L27" s="954"/>
    </row>
    <row r="28" spans="1:12" s="714" customFormat="1" ht="24" customHeight="1">
      <c r="A28" s="719"/>
      <c r="B28" s="955"/>
      <c r="C28" s="717"/>
      <c r="D28" s="718"/>
      <c r="E28" s="721"/>
      <c r="F28" s="722"/>
      <c r="G28" s="710"/>
      <c r="H28" s="711"/>
      <c r="I28" s="712"/>
      <c r="J28" s="957"/>
      <c r="K28" s="958"/>
      <c r="L28" s="954"/>
    </row>
    <row r="29" spans="1:12" s="714" customFormat="1" ht="24" customHeight="1">
      <c r="A29" s="719"/>
      <c r="B29" s="955"/>
      <c r="C29" s="717"/>
      <c r="D29" s="718"/>
      <c r="E29" s="721"/>
      <c r="F29" s="722"/>
      <c r="G29" s="710"/>
      <c r="H29" s="711"/>
      <c r="I29" s="956"/>
      <c r="J29" s="957"/>
      <c r="K29" s="958"/>
      <c r="L29" s="954"/>
    </row>
    <row r="30" spans="1:12" s="714" customFormat="1" ht="24" customHeight="1">
      <c r="A30" s="719"/>
      <c r="B30" s="955"/>
      <c r="C30" s="717"/>
      <c r="D30" s="718"/>
      <c r="E30" s="721"/>
      <c r="F30" s="722"/>
      <c r="G30" s="710"/>
      <c r="H30" s="711"/>
      <c r="I30" s="956"/>
      <c r="J30" s="957"/>
      <c r="K30" s="958"/>
      <c r="L30" s="954"/>
    </row>
    <row r="31" spans="1:12" s="714" customFormat="1" ht="24" customHeight="1">
      <c r="A31" s="719"/>
      <c r="B31" s="955"/>
      <c r="C31" s="717"/>
      <c r="D31" s="718"/>
      <c r="E31" s="721"/>
      <c r="F31" s="722"/>
      <c r="G31" s="710"/>
      <c r="H31" s="711"/>
      <c r="I31" s="956"/>
      <c r="J31" s="957"/>
      <c r="K31" s="958"/>
      <c r="L31" s="954"/>
    </row>
    <row r="32" spans="1:12" s="714" customFormat="1" ht="24" customHeight="1">
      <c r="A32" s="719"/>
      <c r="B32" s="955"/>
      <c r="C32" s="717"/>
      <c r="D32" s="718"/>
      <c r="E32" s="721"/>
      <c r="F32" s="722"/>
      <c r="G32" s="710"/>
      <c r="H32" s="711"/>
      <c r="I32" s="956"/>
      <c r="J32" s="957"/>
      <c r="K32" s="958"/>
      <c r="L32" s="954"/>
    </row>
    <row r="33" spans="1:17" s="714" customFormat="1" ht="24" customHeight="1">
      <c r="A33" s="719"/>
      <c r="B33" s="955"/>
      <c r="C33" s="717"/>
      <c r="D33" s="718"/>
      <c r="E33" s="721"/>
      <c r="F33" s="722"/>
      <c r="G33" s="710"/>
      <c r="H33" s="711"/>
      <c r="I33" s="956"/>
      <c r="J33" s="957"/>
      <c r="K33" s="958"/>
      <c r="L33" s="954"/>
    </row>
    <row r="34" spans="1:17" s="714" customFormat="1" ht="24" customHeight="1">
      <c r="A34" s="775"/>
      <c r="B34" s="2475" t="str">
        <f>"รวมราคา"&amp;B11</f>
        <v>รวมราคางานระบบไฟฟ้าและสื่อสาร ชั้น 1</v>
      </c>
      <c r="C34" s="2476"/>
      <c r="D34" s="2477"/>
      <c r="E34" s="776"/>
      <c r="F34" s="777"/>
      <c r="G34" s="959"/>
      <c r="H34" s="960">
        <f>SUM(H11:H33)</f>
        <v>6338863</v>
      </c>
      <c r="I34" s="959"/>
      <c r="J34" s="960">
        <f>SUM(J11:J33)</f>
        <v>1595376</v>
      </c>
      <c r="K34" s="960">
        <f>SUM(K11:K33)</f>
        <v>7934239</v>
      </c>
      <c r="L34" s="777"/>
      <c r="M34" s="729"/>
      <c r="N34" s="729"/>
      <c r="O34" s="729"/>
      <c r="P34" s="729"/>
      <c r="Q34" s="729"/>
    </row>
    <row r="35" spans="1:17" s="714" customFormat="1" ht="24" customHeight="1">
      <c r="A35" s="815">
        <v>3.1</v>
      </c>
      <c r="B35" s="816" t="s">
        <v>1050</v>
      </c>
      <c r="C35" s="859"/>
      <c r="D35" s="859"/>
      <c r="E35" s="851"/>
      <c r="F35" s="852"/>
      <c r="G35" s="853"/>
      <c r="H35" s="854"/>
      <c r="I35" s="855"/>
      <c r="J35" s="854"/>
      <c r="K35" s="855"/>
      <c r="L35" s="826"/>
    </row>
    <row r="36" spans="1:17" s="884" customFormat="1" ht="24" customHeight="1">
      <c r="A36" s="878" t="s">
        <v>941</v>
      </c>
      <c r="B36" s="879" t="s">
        <v>1052</v>
      </c>
      <c r="C36" s="880"/>
      <c r="D36" s="880"/>
      <c r="E36" s="881"/>
      <c r="F36" s="882"/>
      <c r="G36" s="795"/>
      <c r="H36" s="796"/>
      <c r="I36" s="797"/>
      <c r="J36" s="796"/>
      <c r="K36" s="797"/>
      <c r="L36" s="883"/>
    </row>
    <row r="37" spans="1:17" s="884" customFormat="1" ht="24" customHeight="1">
      <c r="A37" s="831" t="s">
        <v>943</v>
      </c>
      <c r="B37" s="720" t="s">
        <v>1053</v>
      </c>
      <c r="C37" s="792"/>
      <c r="D37" s="792"/>
      <c r="E37" s="793"/>
      <c r="F37" s="794"/>
      <c r="G37" s="795"/>
      <c r="H37" s="796"/>
      <c r="I37" s="797"/>
      <c r="J37" s="796"/>
      <c r="K37" s="797"/>
      <c r="L37" s="883"/>
    </row>
    <row r="38" spans="1:17" s="884" customFormat="1" ht="24" customHeight="1">
      <c r="A38" s="831"/>
      <c r="B38" s="720" t="s">
        <v>1054</v>
      </c>
      <c r="C38" s="792"/>
      <c r="D38" s="792"/>
      <c r="E38" s="793"/>
      <c r="F38" s="722" t="s">
        <v>240</v>
      </c>
      <c r="G38" s="795">
        <v>2400</v>
      </c>
      <c r="H38" s="796">
        <f t="shared" ref="H38:H53" si="0">ROUND(G38*E38,)</f>
        <v>0</v>
      </c>
      <c r="I38" s="797"/>
      <c r="J38" s="796"/>
      <c r="K38" s="799">
        <f t="shared" ref="K38:K53" si="1">H38+J38</f>
        <v>0</v>
      </c>
      <c r="L38" s="883"/>
    </row>
    <row r="39" spans="1:17" s="884" customFormat="1" ht="24" customHeight="1">
      <c r="A39" s="831"/>
      <c r="B39" s="720" t="s">
        <v>1055</v>
      </c>
      <c r="C39" s="792"/>
      <c r="D39" s="792"/>
      <c r="E39" s="793"/>
      <c r="F39" s="722" t="s">
        <v>240</v>
      </c>
      <c r="G39" s="795">
        <v>2400</v>
      </c>
      <c r="H39" s="796">
        <f t="shared" si="0"/>
        <v>0</v>
      </c>
      <c r="I39" s="797"/>
      <c r="J39" s="796"/>
      <c r="K39" s="799">
        <f t="shared" si="1"/>
        <v>0</v>
      </c>
      <c r="L39" s="883"/>
    </row>
    <row r="40" spans="1:17" s="884" customFormat="1" ht="24" customHeight="1">
      <c r="A40" s="831"/>
      <c r="B40" s="720" t="s">
        <v>1056</v>
      </c>
      <c r="C40" s="792"/>
      <c r="D40" s="792"/>
      <c r="E40" s="793">
        <v>4</v>
      </c>
      <c r="F40" s="722" t="s">
        <v>240</v>
      </c>
      <c r="G40" s="795">
        <v>2400</v>
      </c>
      <c r="H40" s="796">
        <f t="shared" si="0"/>
        <v>9600</v>
      </c>
      <c r="I40" s="797"/>
      <c r="J40" s="796"/>
      <c r="K40" s="799">
        <f t="shared" si="1"/>
        <v>9600</v>
      </c>
      <c r="L40" s="883"/>
    </row>
    <row r="41" spans="1:17" s="884" customFormat="1" ht="24" customHeight="1">
      <c r="A41" s="831"/>
      <c r="B41" s="720" t="s">
        <v>1057</v>
      </c>
      <c r="C41" s="792"/>
      <c r="D41" s="792"/>
      <c r="E41" s="793">
        <v>1</v>
      </c>
      <c r="F41" s="722" t="s">
        <v>240</v>
      </c>
      <c r="G41" s="795">
        <v>2400</v>
      </c>
      <c r="H41" s="796">
        <f t="shared" si="0"/>
        <v>2400</v>
      </c>
      <c r="I41" s="797"/>
      <c r="J41" s="796"/>
      <c r="K41" s="799">
        <f t="shared" si="1"/>
        <v>2400</v>
      </c>
      <c r="L41" s="883"/>
    </row>
    <row r="42" spans="1:17" s="884" customFormat="1" ht="24" customHeight="1">
      <c r="A42" s="831"/>
      <c r="B42" s="720" t="s">
        <v>1058</v>
      </c>
      <c r="C42" s="792"/>
      <c r="D42" s="792"/>
      <c r="E42" s="793">
        <v>1</v>
      </c>
      <c r="F42" s="722" t="s">
        <v>240</v>
      </c>
      <c r="G42" s="795">
        <v>2400</v>
      </c>
      <c r="H42" s="796">
        <f t="shared" si="0"/>
        <v>2400</v>
      </c>
      <c r="I42" s="797"/>
      <c r="J42" s="796"/>
      <c r="K42" s="799">
        <f t="shared" si="1"/>
        <v>2400</v>
      </c>
      <c r="L42" s="883"/>
    </row>
    <row r="43" spans="1:17" s="884" customFormat="1" ht="24" customHeight="1">
      <c r="A43" s="831"/>
      <c r="B43" s="720" t="s">
        <v>1059</v>
      </c>
      <c r="C43" s="792"/>
      <c r="D43" s="792"/>
      <c r="E43" s="793"/>
      <c r="F43" s="722" t="s">
        <v>240</v>
      </c>
      <c r="G43" s="795">
        <v>2600</v>
      </c>
      <c r="H43" s="796">
        <f t="shared" si="0"/>
        <v>0</v>
      </c>
      <c r="I43" s="797"/>
      <c r="J43" s="796"/>
      <c r="K43" s="799">
        <f t="shared" si="1"/>
        <v>0</v>
      </c>
      <c r="L43" s="883"/>
    </row>
    <row r="44" spans="1:17" s="884" customFormat="1" ht="24" customHeight="1">
      <c r="A44" s="831"/>
      <c r="B44" s="720" t="s">
        <v>1060</v>
      </c>
      <c r="C44" s="792"/>
      <c r="D44" s="792"/>
      <c r="E44" s="793">
        <v>1</v>
      </c>
      <c r="F44" s="722" t="s">
        <v>240</v>
      </c>
      <c r="G44" s="795">
        <v>3000</v>
      </c>
      <c r="H44" s="796">
        <f t="shared" si="0"/>
        <v>3000</v>
      </c>
      <c r="I44" s="797"/>
      <c r="J44" s="796"/>
      <c r="K44" s="799">
        <f t="shared" si="1"/>
        <v>3000</v>
      </c>
      <c r="L44" s="883"/>
    </row>
    <row r="45" spans="1:17" s="884" customFormat="1" ht="24" customHeight="1">
      <c r="A45" s="831"/>
      <c r="B45" s="720" t="s">
        <v>1061</v>
      </c>
      <c r="C45" s="792"/>
      <c r="D45" s="792"/>
      <c r="E45" s="793"/>
      <c r="F45" s="722" t="s">
        <v>240</v>
      </c>
      <c r="G45" s="795">
        <v>8600</v>
      </c>
      <c r="H45" s="796">
        <f t="shared" si="0"/>
        <v>0</v>
      </c>
      <c r="I45" s="797"/>
      <c r="J45" s="796"/>
      <c r="K45" s="799">
        <f t="shared" si="1"/>
        <v>0</v>
      </c>
      <c r="L45" s="883"/>
    </row>
    <row r="46" spans="1:17" s="884" customFormat="1" ht="24" customHeight="1">
      <c r="A46" s="831"/>
      <c r="B46" s="720" t="s">
        <v>1062</v>
      </c>
      <c r="C46" s="792"/>
      <c r="D46" s="792"/>
      <c r="E46" s="793"/>
      <c r="F46" s="722" t="s">
        <v>240</v>
      </c>
      <c r="G46" s="795">
        <v>8600</v>
      </c>
      <c r="H46" s="796">
        <f t="shared" si="0"/>
        <v>0</v>
      </c>
      <c r="I46" s="797"/>
      <c r="J46" s="796"/>
      <c r="K46" s="799">
        <f t="shared" si="1"/>
        <v>0</v>
      </c>
      <c r="L46" s="883"/>
    </row>
    <row r="47" spans="1:17" s="884" customFormat="1" ht="24" customHeight="1">
      <c r="A47" s="831"/>
      <c r="B47" s="720" t="s">
        <v>1063</v>
      </c>
      <c r="C47" s="792"/>
      <c r="D47" s="792"/>
      <c r="E47" s="793"/>
      <c r="F47" s="722" t="s">
        <v>240</v>
      </c>
      <c r="G47" s="795">
        <v>8600</v>
      </c>
      <c r="H47" s="796">
        <f t="shared" si="0"/>
        <v>0</v>
      </c>
      <c r="I47" s="797"/>
      <c r="J47" s="796"/>
      <c r="K47" s="799">
        <f t="shared" si="1"/>
        <v>0</v>
      </c>
      <c r="L47" s="883"/>
    </row>
    <row r="48" spans="1:17" s="884" customFormat="1" ht="24" customHeight="1">
      <c r="A48" s="831" t="s">
        <v>3088</v>
      </c>
      <c r="B48" s="720" t="s">
        <v>1001</v>
      </c>
      <c r="C48" s="792"/>
      <c r="D48" s="792"/>
      <c r="E48" s="793"/>
      <c r="F48" s="794"/>
      <c r="G48" s="795"/>
      <c r="H48" s="796">
        <f t="shared" si="0"/>
        <v>0</v>
      </c>
      <c r="I48" s="797"/>
      <c r="J48" s="796"/>
      <c r="K48" s="799">
        <f t="shared" si="1"/>
        <v>0</v>
      </c>
      <c r="L48" s="883"/>
    </row>
    <row r="49" spans="1:12" s="884" customFormat="1" ht="24" customHeight="1">
      <c r="A49" s="831"/>
      <c r="B49" s="720" t="s">
        <v>1064</v>
      </c>
      <c r="C49" s="792"/>
      <c r="D49" s="792"/>
      <c r="E49" s="793">
        <v>3</v>
      </c>
      <c r="F49" s="722" t="s">
        <v>240</v>
      </c>
      <c r="G49" s="795">
        <v>600</v>
      </c>
      <c r="H49" s="796">
        <f t="shared" si="0"/>
        <v>1800</v>
      </c>
      <c r="I49" s="797"/>
      <c r="J49" s="796"/>
      <c r="K49" s="799">
        <f t="shared" si="1"/>
        <v>1800</v>
      </c>
      <c r="L49" s="883"/>
    </row>
    <row r="50" spans="1:12" s="884" customFormat="1" ht="24" customHeight="1">
      <c r="A50" s="831"/>
      <c r="B50" s="720" t="s">
        <v>1003</v>
      </c>
      <c r="C50" s="792"/>
      <c r="D50" s="792"/>
      <c r="E50" s="793">
        <v>3</v>
      </c>
      <c r="F50" s="722" t="s">
        <v>240</v>
      </c>
      <c r="G50" s="795">
        <v>120</v>
      </c>
      <c r="H50" s="796">
        <f t="shared" si="0"/>
        <v>360</v>
      </c>
      <c r="I50" s="797"/>
      <c r="J50" s="796"/>
      <c r="K50" s="799">
        <f t="shared" si="1"/>
        <v>360</v>
      </c>
      <c r="L50" s="883"/>
    </row>
    <row r="51" spans="1:12" s="884" customFormat="1" ht="24" customHeight="1">
      <c r="A51" s="831"/>
      <c r="B51" s="720" t="s">
        <v>1004</v>
      </c>
      <c r="C51" s="792"/>
      <c r="D51" s="792"/>
      <c r="E51" s="793">
        <v>3</v>
      </c>
      <c r="F51" s="722" t="s">
        <v>240</v>
      </c>
      <c r="G51" s="795">
        <v>100</v>
      </c>
      <c r="H51" s="796">
        <f t="shared" si="0"/>
        <v>300</v>
      </c>
      <c r="I51" s="797"/>
      <c r="J51" s="796"/>
      <c r="K51" s="799">
        <f t="shared" si="1"/>
        <v>300</v>
      </c>
      <c r="L51" s="883"/>
    </row>
    <row r="52" spans="1:12" s="884" customFormat="1" ht="24" customHeight="1">
      <c r="A52" s="831"/>
      <c r="B52" s="720" t="s">
        <v>1065</v>
      </c>
      <c r="C52" s="792"/>
      <c r="D52" s="792"/>
      <c r="E52" s="793">
        <v>6</v>
      </c>
      <c r="F52" s="722" t="s">
        <v>240</v>
      </c>
      <c r="G52" s="795">
        <v>15435</v>
      </c>
      <c r="H52" s="796">
        <f t="shared" si="0"/>
        <v>92610</v>
      </c>
      <c r="I52" s="797"/>
      <c r="J52" s="796"/>
      <c r="K52" s="799">
        <f t="shared" si="1"/>
        <v>92610</v>
      </c>
      <c r="L52" s="883"/>
    </row>
    <row r="53" spans="1:12" s="884" customFormat="1" ht="24" customHeight="1">
      <c r="A53" s="831" t="s">
        <v>3089</v>
      </c>
      <c r="B53" s="720" t="s">
        <v>1066</v>
      </c>
      <c r="C53" s="792"/>
      <c r="D53" s="792"/>
      <c r="E53" s="793">
        <v>1</v>
      </c>
      <c r="F53" s="722" t="s">
        <v>948</v>
      </c>
      <c r="G53" s="795">
        <v>43400</v>
      </c>
      <c r="H53" s="796">
        <f t="shared" si="0"/>
        <v>43400</v>
      </c>
      <c r="I53" s="797">
        <f>G53*0.3</f>
        <v>13020</v>
      </c>
      <c r="J53" s="796">
        <f>ROUND(E53*I53,)</f>
        <v>13020</v>
      </c>
      <c r="K53" s="799">
        <f t="shared" si="1"/>
        <v>56420</v>
      </c>
      <c r="L53" s="883"/>
    </row>
    <row r="54" spans="1:12" s="884" customFormat="1" ht="24" customHeight="1">
      <c r="A54" s="878" t="s">
        <v>1394</v>
      </c>
      <c r="B54" s="879" t="s">
        <v>1089</v>
      </c>
      <c r="C54" s="880"/>
      <c r="D54" s="880"/>
      <c r="E54" s="881"/>
      <c r="F54" s="794"/>
      <c r="G54" s="795"/>
      <c r="H54" s="796"/>
      <c r="I54" s="797"/>
      <c r="J54" s="796"/>
      <c r="K54" s="797"/>
      <c r="L54" s="887"/>
    </row>
    <row r="55" spans="1:12" s="884" customFormat="1" ht="24" customHeight="1">
      <c r="A55" s="831" t="s">
        <v>3090</v>
      </c>
      <c r="B55" s="720" t="s">
        <v>1053</v>
      </c>
      <c r="C55" s="792"/>
      <c r="D55" s="792"/>
      <c r="E55" s="793"/>
      <c r="F55" s="794"/>
      <c r="G55" s="795"/>
      <c r="H55" s="796"/>
      <c r="I55" s="797"/>
      <c r="J55" s="796"/>
      <c r="K55" s="797"/>
      <c r="L55" s="887"/>
    </row>
    <row r="56" spans="1:12" s="884" customFormat="1" ht="24" customHeight="1">
      <c r="A56" s="831"/>
      <c r="B56" s="720" t="s">
        <v>1054</v>
      </c>
      <c r="C56" s="792"/>
      <c r="D56" s="792"/>
      <c r="E56" s="793"/>
      <c r="F56" s="722" t="s">
        <v>240</v>
      </c>
      <c r="G56" s="795">
        <v>2400</v>
      </c>
      <c r="H56" s="796">
        <f t="shared" ref="H56:H72" si="2">ROUND(G56*E56,)</f>
        <v>0</v>
      </c>
      <c r="I56" s="797"/>
      <c r="J56" s="796"/>
      <c r="K56" s="799">
        <f t="shared" ref="K56:K72" si="3">H56+J56</f>
        <v>0</v>
      </c>
      <c r="L56" s="883"/>
    </row>
    <row r="57" spans="1:12" s="884" customFormat="1" ht="24" customHeight="1">
      <c r="A57" s="831"/>
      <c r="B57" s="720" t="s">
        <v>1055</v>
      </c>
      <c r="C57" s="792"/>
      <c r="D57" s="792"/>
      <c r="E57" s="793"/>
      <c r="F57" s="722" t="s">
        <v>240</v>
      </c>
      <c r="G57" s="795">
        <v>2400</v>
      </c>
      <c r="H57" s="796">
        <f t="shared" si="2"/>
        <v>0</v>
      </c>
      <c r="I57" s="797"/>
      <c r="J57" s="796"/>
      <c r="K57" s="799">
        <f t="shared" si="3"/>
        <v>0</v>
      </c>
      <c r="L57" s="883"/>
    </row>
    <row r="58" spans="1:12" s="884" customFormat="1" ht="24" customHeight="1">
      <c r="A58" s="831"/>
      <c r="B58" s="720" t="s">
        <v>1056</v>
      </c>
      <c r="C58" s="792"/>
      <c r="D58" s="792"/>
      <c r="E58" s="793">
        <v>4</v>
      </c>
      <c r="F58" s="722" t="s">
        <v>240</v>
      </c>
      <c r="G58" s="795">
        <v>2400</v>
      </c>
      <c r="H58" s="796">
        <f t="shared" si="2"/>
        <v>9600</v>
      </c>
      <c r="I58" s="797"/>
      <c r="J58" s="796"/>
      <c r="K58" s="799">
        <f t="shared" si="3"/>
        <v>9600</v>
      </c>
      <c r="L58" s="883"/>
    </row>
    <row r="59" spans="1:12" s="884" customFormat="1" ht="24" customHeight="1">
      <c r="A59" s="831"/>
      <c r="B59" s="720" t="s">
        <v>1057</v>
      </c>
      <c r="C59" s="792"/>
      <c r="D59" s="792"/>
      <c r="E59" s="793"/>
      <c r="F59" s="722" t="s">
        <v>240</v>
      </c>
      <c r="G59" s="795">
        <v>2400</v>
      </c>
      <c r="H59" s="796">
        <f t="shared" si="2"/>
        <v>0</v>
      </c>
      <c r="I59" s="797"/>
      <c r="J59" s="796"/>
      <c r="K59" s="799">
        <f t="shared" si="3"/>
        <v>0</v>
      </c>
      <c r="L59" s="883"/>
    </row>
    <row r="60" spans="1:12" s="884" customFormat="1" ht="24" customHeight="1">
      <c r="A60" s="831"/>
      <c r="B60" s="720" t="s">
        <v>1058</v>
      </c>
      <c r="C60" s="792"/>
      <c r="D60" s="792"/>
      <c r="E60" s="793"/>
      <c r="F60" s="722" t="s">
        <v>240</v>
      </c>
      <c r="G60" s="795">
        <v>2400</v>
      </c>
      <c r="H60" s="796">
        <f t="shared" si="2"/>
        <v>0</v>
      </c>
      <c r="I60" s="797"/>
      <c r="J60" s="796"/>
      <c r="K60" s="799">
        <f t="shared" si="3"/>
        <v>0</v>
      </c>
      <c r="L60" s="883"/>
    </row>
    <row r="61" spans="1:12" s="884" customFormat="1" ht="24" customHeight="1">
      <c r="A61" s="831"/>
      <c r="B61" s="720" t="s">
        <v>1059</v>
      </c>
      <c r="C61" s="792"/>
      <c r="D61" s="792"/>
      <c r="E61" s="793"/>
      <c r="F61" s="722" t="s">
        <v>240</v>
      </c>
      <c r="G61" s="795">
        <v>2600</v>
      </c>
      <c r="H61" s="796">
        <f t="shared" si="2"/>
        <v>0</v>
      </c>
      <c r="I61" s="797"/>
      <c r="J61" s="796"/>
      <c r="K61" s="799">
        <f t="shared" si="3"/>
        <v>0</v>
      </c>
      <c r="L61" s="883"/>
    </row>
    <row r="62" spans="1:12" s="884" customFormat="1" ht="24" customHeight="1">
      <c r="A62" s="831"/>
      <c r="B62" s="720" t="s">
        <v>1060</v>
      </c>
      <c r="C62" s="792"/>
      <c r="D62" s="792"/>
      <c r="E62" s="793">
        <v>1</v>
      </c>
      <c r="F62" s="722" t="s">
        <v>240</v>
      </c>
      <c r="G62" s="795">
        <v>3000</v>
      </c>
      <c r="H62" s="796">
        <f t="shared" si="2"/>
        <v>3000</v>
      </c>
      <c r="I62" s="797"/>
      <c r="J62" s="796"/>
      <c r="K62" s="799">
        <f t="shared" si="3"/>
        <v>3000</v>
      </c>
      <c r="L62" s="883"/>
    </row>
    <row r="63" spans="1:12" s="884" customFormat="1" ht="24" customHeight="1">
      <c r="A63" s="831"/>
      <c r="B63" s="720" t="s">
        <v>1088</v>
      </c>
      <c r="C63" s="792"/>
      <c r="D63" s="792"/>
      <c r="E63" s="793">
        <v>1</v>
      </c>
      <c r="F63" s="722" t="s">
        <v>240</v>
      </c>
      <c r="G63" s="795">
        <v>5000</v>
      </c>
      <c r="H63" s="796">
        <f t="shared" si="2"/>
        <v>5000</v>
      </c>
      <c r="I63" s="797"/>
      <c r="J63" s="796"/>
      <c r="K63" s="799">
        <f t="shared" si="3"/>
        <v>5000</v>
      </c>
      <c r="L63" s="883"/>
    </row>
    <row r="64" spans="1:12" s="884" customFormat="1" ht="24" customHeight="1">
      <c r="A64" s="831"/>
      <c r="B64" s="720" t="s">
        <v>1061</v>
      </c>
      <c r="C64" s="792"/>
      <c r="D64" s="792"/>
      <c r="E64" s="793"/>
      <c r="F64" s="722" t="s">
        <v>240</v>
      </c>
      <c r="G64" s="795">
        <v>8600</v>
      </c>
      <c r="H64" s="796">
        <f t="shared" si="2"/>
        <v>0</v>
      </c>
      <c r="I64" s="797"/>
      <c r="J64" s="796"/>
      <c r="K64" s="799">
        <f t="shared" si="3"/>
        <v>0</v>
      </c>
      <c r="L64" s="883"/>
    </row>
    <row r="65" spans="1:17" s="884" customFormat="1" ht="24" customHeight="1">
      <c r="A65" s="831"/>
      <c r="B65" s="720" t="s">
        <v>1062</v>
      </c>
      <c r="C65" s="792"/>
      <c r="D65" s="792"/>
      <c r="E65" s="793"/>
      <c r="F65" s="722" t="s">
        <v>240</v>
      </c>
      <c r="G65" s="795">
        <v>8600</v>
      </c>
      <c r="H65" s="796">
        <f t="shared" si="2"/>
        <v>0</v>
      </c>
      <c r="I65" s="797"/>
      <c r="J65" s="796"/>
      <c r="K65" s="799">
        <f t="shared" si="3"/>
        <v>0</v>
      </c>
      <c r="L65" s="883"/>
    </row>
    <row r="66" spans="1:17" s="884" customFormat="1" ht="24" customHeight="1">
      <c r="A66" s="831"/>
      <c r="B66" s="720" t="s">
        <v>1063</v>
      </c>
      <c r="C66" s="792"/>
      <c r="D66" s="792"/>
      <c r="E66" s="793"/>
      <c r="F66" s="722" t="s">
        <v>240</v>
      </c>
      <c r="G66" s="795">
        <v>8600</v>
      </c>
      <c r="H66" s="796">
        <f t="shared" si="2"/>
        <v>0</v>
      </c>
      <c r="I66" s="797"/>
      <c r="J66" s="796"/>
      <c r="K66" s="799">
        <f t="shared" si="3"/>
        <v>0</v>
      </c>
      <c r="L66" s="883"/>
    </row>
    <row r="67" spans="1:17" s="884" customFormat="1" ht="24" customHeight="1">
      <c r="A67" s="831" t="s">
        <v>3091</v>
      </c>
      <c r="B67" s="720" t="s">
        <v>1001</v>
      </c>
      <c r="C67" s="792"/>
      <c r="D67" s="792"/>
      <c r="E67" s="793"/>
      <c r="F67" s="794"/>
      <c r="G67" s="795"/>
      <c r="H67" s="796">
        <f t="shared" si="2"/>
        <v>0</v>
      </c>
      <c r="I67" s="797"/>
      <c r="J67" s="796"/>
      <c r="K67" s="799">
        <f t="shared" si="3"/>
        <v>0</v>
      </c>
      <c r="L67" s="887"/>
    </row>
    <row r="68" spans="1:17" s="884" customFormat="1" ht="24" customHeight="1">
      <c r="A68" s="831"/>
      <c r="B68" s="720" t="s">
        <v>1064</v>
      </c>
      <c r="C68" s="792"/>
      <c r="D68" s="792"/>
      <c r="E68" s="793">
        <v>3</v>
      </c>
      <c r="F68" s="722" t="s">
        <v>240</v>
      </c>
      <c r="G68" s="795">
        <v>660</v>
      </c>
      <c r="H68" s="796">
        <f t="shared" si="2"/>
        <v>1980</v>
      </c>
      <c r="I68" s="797"/>
      <c r="J68" s="796"/>
      <c r="K68" s="799">
        <f t="shared" si="3"/>
        <v>1980</v>
      </c>
      <c r="L68" s="887"/>
    </row>
    <row r="69" spans="1:17" s="884" customFormat="1" ht="24" customHeight="1">
      <c r="A69" s="831"/>
      <c r="B69" s="720" t="s">
        <v>1003</v>
      </c>
      <c r="C69" s="792"/>
      <c r="D69" s="792"/>
      <c r="E69" s="793">
        <v>3</v>
      </c>
      <c r="F69" s="722" t="s">
        <v>240</v>
      </c>
      <c r="G69" s="795">
        <v>120</v>
      </c>
      <c r="H69" s="796">
        <f t="shared" si="2"/>
        <v>360</v>
      </c>
      <c r="I69" s="797"/>
      <c r="J69" s="796"/>
      <c r="K69" s="799">
        <f t="shared" si="3"/>
        <v>360</v>
      </c>
      <c r="L69" s="887"/>
    </row>
    <row r="70" spans="1:17" s="884" customFormat="1" ht="24" customHeight="1">
      <c r="A70" s="831"/>
      <c r="B70" s="720" t="s">
        <v>1004</v>
      </c>
      <c r="C70" s="792"/>
      <c r="D70" s="792"/>
      <c r="E70" s="793">
        <v>3</v>
      </c>
      <c r="F70" s="722" t="s">
        <v>240</v>
      </c>
      <c r="G70" s="795">
        <v>100</v>
      </c>
      <c r="H70" s="796">
        <f t="shared" si="2"/>
        <v>300</v>
      </c>
      <c r="I70" s="797"/>
      <c r="J70" s="796"/>
      <c r="K70" s="799">
        <f t="shared" si="3"/>
        <v>300</v>
      </c>
      <c r="L70" s="887"/>
    </row>
    <row r="71" spans="1:17" s="884" customFormat="1" ht="24" customHeight="1">
      <c r="A71" s="831"/>
      <c r="B71" s="720" t="s">
        <v>1065</v>
      </c>
      <c r="C71" s="792"/>
      <c r="D71" s="792"/>
      <c r="E71" s="793">
        <v>5</v>
      </c>
      <c r="F71" s="722" t="s">
        <v>240</v>
      </c>
      <c r="G71" s="795">
        <v>15435</v>
      </c>
      <c r="H71" s="796">
        <f t="shared" si="2"/>
        <v>77175</v>
      </c>
      <c r="I71" s="797"/>
      <c r="J71" s="796"/>
      <c r="K71" s="799">
        <f t="shared" si="3"/>
        <v>77175</v>
      </c>
      <c r="L71" s="887"/>
    </row>
    <row r="72" spans="1:17" s="884" customFormat="1" ht="24" customHeight="1">
      <c r="A72" s="831" t="s">
        <v>3092</v>
      </c>
      <c r="B72" s="720" t="s">
        <v>1066</v>
      </c>
      <c r="C72" s="792"/>
      <c r="D72" s="792"/>
      <c r="E72" s="793">
        <v>1</v>
      </c>
      <c r="F72" s="722" t="s">
        <v>948</v>
      </c>
      <c r="G72" s="795">
        <v>43400</v>
      </c>
      <c r="H72" s="796">
        <f t="shared" si="2"/>
        <v>43400</v>
      </c>
      <c r="I72" s="797">
        <f>G72*0.3</f>
        <v>13020</v>
      </c>
      <c r="J72" s="796">
        <f>ROUND(E72*I72,)</f>
        <v>13020</v>
      </c>
      <c r="K72" s="799">
        <f t="shared" si="3"/>
        <v>56420</v>
      </c>
      <c r="L72" s="887"/>
    </row>
    <row r="73" spans="1:17" s="714" customFormat="1" ht="24" customHeight="1">
      <c r="A73" s="831"/>
      <c r="B73" s="720" t="s">
        <v>957</v>
      </c>
      <c r="C73" s="792"/>
      <c r="D73" s="792"/>
      <c r="E73" s="793"/>
      <c r="F73" s="794"/>
      <c r="G73" s="795"/>
      <c r="H73" s="796"/>
      <c r="I73" s="797"/>
      <c r="J73" s="864"/>
      <c r="K73" s="906"/>
      <c r="L73" s="964"/>
      <c r="M73" s="729"/>
      <c r="N73" s="729"/>
      <c r="O73" s="729"/>
      <c r="P73" s="729"/>
      <c r="Q73" s="729"/>
    </row>
    <row r="74" spans="1:17" s="714" customFormat="1" ht="24" customHeight="1">
      <c r="A74" s="719"/>
      <c r="B74" s="720" t="s">
        <v>1428</v>
      </c>
      <c r="C74" s="717"/>
      <c r="D74" s="718"/>
      <c r="E74" s="721"/>
      <c r="F74" s="722"/>
      <c r="G74" s="710"/>
      <c r="H74" s="711"/>
      <c r="I74" s="712"/>
      <c r="J74" s="957"/>
      <c r="K74" s="958"/>
      <c r="L74" s="954"/>
    </row>
    <row r="75" spans="1:17" s="714" customFormat="1" ht="24" customHeight="1">
      <c r="A75" s="719"/>
      <c r="B75" s="720" t="s">
        <v>1428</v>
      </c>
      <c r="C75" s="717"/>
      <c r="D75" s="718"/>
      <c r="E75" s="721"/>
      <c r="F75" s="722"/>
      <c r="G75" s="710"/>
      <c r="H75" s="711"/>
      <c r="I75" s="712"/>
      <c r="J75" s="957"/>
      <c r="K75" s="958"/>
      <c r="L75" s="954"/>
    </row>
    <row r="76" spans="1:17" s="714" customFormat="1" ht="24" customHeight="1">
      <c r="A76" s="719"/>
      <c r="B76" s="955"/>
      <c r="C76" s="717"/>
      <c r="D76" s="718"/>
      <c r="E76" s="721"/>
      <c r="F76" s="722"/>
      <c r="G76" s="710"/>
      <c r="H76" s="711"/>
      <c r="I76" s="956"/>
      <c r="J76" s="957"/>
      <c r="K76" s="958"/>
      <c r="L76" s="954"/>
    </row>
    <row r="77" spans="1:17" s="714" customFormat="1" ht="24" customHeight="1">
      <c r="A77" s="775"/>
      <c r="B77" s="2475" t="str">
        <f>"รวมราคารายการที่ "&amp;A35</f>
        <v>รวมราคารายการที่ 3.1</v>
      </c>
      <c r="C77" s="2476"/>
      <c r="D77" s="2477"/>
      <c r="E77" s="776"/>
      <c r="F77" s="777"/>
      <c r="G77" s="959"/>
      <c r="H77" s="960">
        <f>SUM(H35:H76)</f>
        <v>296685</v>
      </c>
      <c r="I77" s="959"/>
      <c r="J77" s="960">
        <f>SUM(J35:J76)</f>
        <v>26040</v>
      </c>
      <c r="K77" s="960">
        <f>SUM(K35:K76)</f>
        <v>322725</v>
      </c>
      <c r="L77" s="777"/>
      <c r="M77" s="729"/>
      <c r="N77" s="729"/>
      <c r="O77" s="729"/>
      <c r="P77" s="729"/>
      <c r="Q77" s="729"/>
    </row>
    <row r="78" spans="1:17" s="714" customFormat="1" ht="24" customHeight="1">
      <c r="A78" s="815">
        <v>3.2</v>
      </c>
      <c r="B78" s="816" t="s">
        <v>1103</v>
      </c>
      <c r="C78" s="859"/>
      <c r="D78" s="859"/>
      <c r="E78" s="851"/>
      <c r="F78" s="852"/>
      <c r="G78" s="853"/>
      <c r="H78" s="854"/>
      <c r="I78" s="855"/>
      <c r="J78" s="854"/>
      <c r="K78" s="855"/>
      <c r="L78" s="826"/>
    </row>
    <row r="79" spans="1:17" s="884" customFormat="1" ht="24" customHeight="1">
      <c r="A79" s="878" t="s">
        <v>960</v>
      </c>
      <c r="B79" s="894" t="s">
        <v>1104</v>
      </c>
      <c r="C79" s="895"/>
      <c r="D79" s="895"/>
      <c r="E79" s="896"/>
      <c r="F79" s="897"/>
      <c r="G79" s="858"/>
      <c r="H79" s="864"/>
      <c r="I79" s="865"/>
      <c r="J79" s="864"/>
      <c r="K79" s="865"/>
      <c r="L79" s="883"/>
    </row>
    <row r="80" spans="1:17" s="884" customFormat="1" ht="24" customHeight="1">
      <c r="A80" s="831" t="s">
        <v>3093</v>
      </c>
      <c r="B80" s="800" t="s">
        <v>1053</v>
      </c>
      <c r="C80" s="801"/>
      <c r="D80" s="801"/>
      <c r="E80" s="802"/>
      <c r="F80" s="867"/>
      <c r="G80" s="858"/>
      <c r="H80" s="864"/>
      <c r="I80" s="865"/>
      <c r="J80" s="864"/>
      <c r="K80" s="865"/>
      <c r="L80" s="883"/>
    </row>
    <row r="81" spans="1:12" s="884" customFormat="1" ht="24" customHeight="1">
      <c r="A81" s="831"/>
      <c r="B81" s="720" t="s">
        <v>1055</v>
      </c>
      <c r="C81" s="792"/>
      <c r="D81" s="792"/>
      <c r="E81" s="793"/>
      <c r="F81" s="722" t="s">
        <v>240</v>
      </c>
      <c r="G81" s="795">
        <v>2400</v>
      </c>
      <c r="H81" s="796">
        <f t="shared" ref="H81:H101" si="4">ROUND(G81*E81,)</f>
        <v>0</v>
      </c>
      <c r="I81" s="797"/>
      <c r="J81" s="796"/>
      <c r="K81" s="799">
        <f t="shared" ref="K81:K124" si="5">H81+J81</f>
        <v>0</v>
      </c>
      <c r="L81" s="883"/>
    </row>
    <row r="82" spans="1:12" s="884" customFormat="1" ht="24" customHeight="1">
      <c r="A82" s="831"/>
      <c r="B82" s="720" t="s">
        <v>1056</v>
      </c>
      <c r="C82" s="792"/>
      <c r="D82" s="792"/>
      <c r="E82" s="793"/>
      <c r="F82" s="722" t="s">
        <v>240</v>
      </c>
      <c r="G82" s="795">
        <v>2400</v>
      </c>
      <c r="H82" s="796">
        <f t="shared" si="4"/>
        <v>0</v>
      </c>
      <c r="I82" s="797"/>
      <c r="J82" s="796"/>
      <c r="K82" s="799">
        <f t="shared" si="5"/>
        <v>0</v>
      </c>
      <c r="L82" s="883"/>
    </row>
    <row r="83" spans="1:12" s="884" customFormat="1" ht="24" customHeight="1">
      <c r="A83" s="831"/>
      <c r="B83" s="720" t="s">
        <v>1057</v>
      </c>
      <c r="C83" s="792"/>
      <c r="D83" s="792"/>
      <c r="E83" s="793">
        <v>4</v>
      </c>
      <c r="F83" s="722" t="s">
        <v>240</v>
      </c>
      <c r="G83" s="795">
        <v>2400</v>
      </c>
      <c r="H83" s="796">
        <f t="shared" si="4"/>
        <v>9600</v>
      </c>
      <c r="I83" s="797"/>
      <c r="J83" s="796"/>
      <c r="K83" s="799">
        <f t="shared" si="5"/>
        <v>9600</v>
      </c>
      <c r="L83" s="883"/>
    </row>
    <row r="84" spans="1:12" s="884" customFormat="1" ht="24" customHeight="1">
      <c r="A84" s="831"/>
      <c r="B84" s="720" t="s">
        <v>1058</v>
      </c>
      <c r="C84" s="792"/>
      <c r="D84" s="792"/>
      <c r="E84" s="793"/>
      <c r="F84" s="722" t="s">
        <v>240</v>
      </c>
      <c r="G84" s="795">
        <v>2400</v>
      </c>
      <c r="H84" s="796">
        <f t="shared" si="4"/>
        <v>0</v>
      </c>
      <c r="I84" s="797"/>
      <c r="J84" s="796"/>
      <c r="K84" s="799">
        <f t="shared" si="5"/>
        <v>0</v>
      </c>
      <c r="L84" s="883"/>
    </row>
    <row r="85" spans="1:12" s="884" customFormat="1" ht="24" customHeight="1">
      <c r="A85" s="831"/>
      <c r="B85" s="720" t="s">
        <v>1059</v>
      </c>
      <c r="C85" s="792"/>
      <c r="D85" s="792"/>
      <c r="E85" s="793"/>
      <c r="F85" s="722" t="s">
        <v>240</v>
      </c>
      <c r="G85" s="795">
        <v>2600</v>
      </c>
      <c r="H85" s="796">
        <f t="shared" si="4"/>
        <v>0</v>
      </c>
      <c r="I85" s="797"/>
      <c r="J85" s="796"/>
      <c r="K85" s="799">
        <f t="shared" si="5"/>
        <v>0</v>
      </c>
      <c r="L85" s="883"/>
    </row>
    <row r="86" spans="1:12" s="884" customFormat="1" ht="24" customHeight="1">
      <c r="A86" s="831"/>
      <c r="B86" s="720" t="s">
        <v>1060</v>
      </c>
      <c r="C86" s="792"/>
      <c r="D86" s="792"/>
      <c r="E86" s="793"/>
      <c r="F86" s="722" t="s">
        <v>240</v>
      </c>
      <c r="G86" s="795">
        <v>3000</v>
      </c>
      <c r="H86" s="796">
        <f t="shared" si="4"/>
        <v>0</v>
      </c>
      <c r="I86" s="797"/>
      <c r="J86" s="796"/>
      <c r="K86" s="799">
        <f t="shared" si="5"/>
        <v>0</v>
      </c>
      <c r="L86" s="883"/>
    </row>
    <row r="87" spans="1:12" s="884" customFormat="1" ht="24" customHeight="1">
      <c r="A87" s="831"/>
      <c r="B87" s="720" t="s">
        <v>1088</v>
      </c>
      <c r="C87" s="801"/>
      <c r="D87" s="801"/>
      <c r="E87" s="802">
        <v>1</v>
      </c>
      <c r="F87" s="803" t="s">
        <v>240</v>
      </c>
      <c r="G87" s="795">
        <v>5000</v>
      </c>
      <c r="H87" s="864">
        <f t="shared" si="4"/>
        <v>5000</v>
      </c>
      <c r="I87" s="865"/>
      <c r="J87" s="864"/>
      <c r="K87" s="799">
        <f t="shared" si="5"/>
        <v>5000</v>
      </c>
      <c r="L87" s="883"/>
    </row>
    <row r="88" spans="1:12" s="884" customFormat="1" ht="24" customHeight="1">
      <c r="A88" s="831"/>
      <c r="B88" s="720" t="s">
        <v>1105</v>
      </c>
      <c r="C88" s="801"/>
      <c r="D88" s="801"/>
      <c r="E88" s="802"/>
      <c r="F88" s="803" t="s">
        <v>240</v>
      </c>
      <c r="G88" s="795">
        <v>5700</v>
      </c>
      <c r="H88" s="864">
        <f t="shared" si="4"/>
        <v>0</v>
      </c>
      <c r="I88" s="865"/>
      <c r="J88" s="864"/>
      <c r="K88" s="799">
        <f t="shared" si="5"/>
        <v>0</v>
      </c>
      <c r="L88" s="883"/>
    </row>
    <row r="89" spans="1:12" s="884" customFormat="1" ht="24" customHeight="1">
      <c r="A89" s="831"/>
      <c r="B89" s="720" t="s">
        <v>1086</v>
      </c>
      <c r="C89" s="801"/>
      <c r="D89" s="801"/>
      <c r="E89" s="802"/>
      <c r="F89" s="803" t="s">
        <v>240</v>
      </c>
      <c r="G89" s="795">
        <v>5700</v>
      </c>
      <c r="H89" s="864">
        <f t="shared" si="4"/>
        <v>0</v>
      </c>
      <c r="I89" s="865"/>
      <c r="J89" s="864"/>
      <c r="K89" s="799">
        <f t="shared" si="5"/>
        <v>0</v>
      </c>
      <c r="L89" s="883"/>
    </row>
    <row r="90" spans="1:12" s="884" customFormat="1" ht="24" customHeight="1">
      <c r="A90" s="831"/>
      <c r="B90" s="720" t="s">
        <v>1061</v>
      </c>
      <c r="C90" s="801"/>
      <c r="D90" s="801"/>
      <c r="E90" s="802"/>
      <c r="F90" s="803" t="s">
        <v>240</v>
      </c>
      <c r="G90" s="795">
        <v>8600</v>
      </c>
      <c r="H90" s="864">
        <f t="shared" si="4"/>
        <v>0</v>
      </c>
      <c r="I90" s="865"/>
      <c r="J90" s="864"/>
      <c r="K90" s="799">
        <f t="shared" si="5"/>
        <v>0</v>
      </c>
      <c r="L90" s="883"/>
    </row>
    <row r="91" spans="1:12" s="884" customFormat="1" ht="24" customHeight="1">
      <c r="A91" s="2396"/>
      <c r="B91" s="720" t="s">
        <v>1062</v>
      </c>
      <c r="C91" s="801"/>
      <c r="D91" s="801"/>
      <c r="E91" s="802"/>
      <c r="F91" s="803" t="s">
        <v>240</v>
      </c>
      <c r="G91" s="795">
        <v>8600</v>
      </c>
      <c r="H91" s="864">
        <f t="shared" si="4"/>
        <v>0</v>
      </c>
      <c r="I91" s="865"/>
      <c r="J91" s="864"/>
      <c r="K91" s="799">
        <f t="shared" si="5"/>
        <v>0</v>
      </c>
      <c r="L91" s="883"/>
    </row>
    <row r="92" spans="1:12" s="884" customFormat="1" ht="24" customHeight="1">
      <c r="A92" s="831"/>
      <c r="B92" s="720" t="s">
        <v>1063</v>
      </c>
      <c r="C92" s="801"/>
      <c r="D92" s="801"/>
      <c r="E92" s="802"/>
      <c r="F92" s="803" t="s">
        <v>240</v>
      </c>
      <c r="G92" s="795">
        <v>11500</v>
      </c>
      <c r="H92" s="864">
        <f t="shared" si="4"/>
        <v>0</v>
      </c>
      <c r="I92" s="865"/>
      <c r="J92" s="864"/>
      <c r="K92" s="799">
        <f t="shared" si="5"/>
        <v>0</v>
      </c>
      <c r="L92" s="883"/>
    </row>
    <row r="93" spans="1:12" s="884" customFormat="1" ht="24" customHeight="1">
      <c r="A93" s="831"/>
      <c r="B93" s="720" t="s">
        <v>1106</v>
      </c>
      <c r="C93" s="801"/>
      <c r="D93" s="801"/>
      <c r="E93" s="802"/>
      <c r="F93" s="803" t="s">
        <v>240</v>
      </c>
      <c r="G93" s="795">
        <v>20200</v>
      </c>
      <c r="H93" s="864">
        <f t="shared" si="4"/>
        <v>0</v>
      </c>
      <c r="I93" s="865"/>
      <c r="J93" s="864"/>
      <c r="K93" s="799">
        <f t="shared" si="5"/>
        <v>0</v>
      </c>
      <c r="L93" s="883"/>
    </row>
    <row r="94" spans="1:12" s="884" customFormat="1" ht="24" customHeight="1">
      <c r="A94" s="831"/>
      <c r="B94" s="720" t="s">
        <v>1107</v>
      </c>
      <c r="C94" s="801"/>
      <c r="D94" s="801"/>
      <c r="E94" s="802"/>
      <c r="F94" s="803" t="s">
        <v>240</v>
      </c>
      <c r="G94" s="795">
        <v>20200</v>
      </c>
      <c r="H94" s="864">
        <f t="shared" si="4"/>
        <v>0</v>
      </c>
      <c r="I94" s="865"/>
      <c r="J94" s="864"/>
      <c r="K94" s="799">
        <f t="shared" si="5"/>
        <v>0</v>
      </c>
      <c r="L94" s="883"/>
    </row>
    <row r="95" spans="1:12" s="884" customFormat="1" ht="24" customHeight="1">
      <c r="A95" s="831"/>
      <c r="B95" s="720" t="s">
        <v>1108</v>
      </c>
      <c r="C95" s="801"/>
      <c r="D95" s="801"/>
      <c r="E95" s="802"/>
      <c r="F95" s="803" t="s">
        <v>240</v>
      </c>
      <c r="G95" s="795">
        <v>20200</v>
      </c>
      <c r="H95" s="864">
        <f t="shared" si="4"/>
        <v>0</v>
      </c>
      <c r="I95" s="865"/>
      <c r="J95" s="864"/>
      <c r="K95" s="799">
        <f t="shared" si="5"/>
        <v>0</v>
      </c>
      <c r="L95" s="883"/>
    </row>
    <row r="96" spans="1:12" s="884" customFormat="1" ht="24" customHeight="1">
      <c r="A96" s="831" t="s">
        <v>3094</v>
      </c>
      <c r="B96" s="800" t="s">
        <v>1001</v>
      </c>
      <c r="C96" s="801"/>
      <c r="D96" s="801"/>
      <c r="E96" s="802"/>
      <c r="F96" s="867"/>
      <c r="G96" s="858"/>
      <c r="H96" s="864">
        <f t="shared" si="4"/>
        <v>0</v>
      </c>
      <c r="I96" s="865"/>
      <c r="J96" s="864"/>
      <c r="K96" s="799">
        <f t="shared" si="5"/>
        <v>0</v>
      </c>
      <c r="L96" s="883"/>
    </row>
    <row r="97" spans="1:12" s="884" customFormat="1" ht="24" customHeight="1">
      <c r="A97" s="878"/>
      <c r="B97" s="800" t="s">
        <v>1064</v>
      </c>
      <c r="C97" s="801"/>
      <c r="D97" s="801"/>
      <c r="E97" s="802">
        <v>3</v>
      </c>
      <c r="F97" s="803" t="s">
        <v>240</v>
      </c>
      <c r="G97" s="858">
        <v>600</v>
      </c>
      <c r="H97" s="864">
        <f t="shared" si="4"/>
        <v>1800</v>
      </c>
      <c r="I97" s="865"/>
      <c r="J97" s="864"/>
      <c r="K97" s="799">
        <f t="shared" si="5"/>
        <v>1800</v>
      </c>
      <c r="L97" s="887"/>
    </row>
    <row r="98" spans="1:12" s="884" customFormat="1" ht="24" customHeight="1">
      <c r="A98" s="831"/>
      <c r="B98" s="800" t="s">
        <v>1003</v>
      </c>
      <c r="C98" s="801"/>
      <c r="D98" s="801"/>
      <c r="E98" s="802">
        <v>3</v>
      </c>
      <c r="F98" s="803" t="s">
        <v>240</v>
      </c>
      <c r="G98" s="858">
        <v>120</v>
      </c>
      <c r="H98" s="864">
        <f t="shared" si="4"/>
        <v>360</v>
      </c>
      <c r="I98" s="865"/>
      <c r="J98" s="864"/>
      <c r="K98" s="799">
        <f t="shared" si="5"/>
        <v>360</v>
      </c>
      <c r="L98" s="887"/>
    </row>
    <row r="99" spans="1:12" s="884" customFormat="1" ht="24" customHeight="1">
      <c r="A99" s="831"/>
      <c r="B99" s="800" t="s">
        <v>1004</v>
      </c>
      <c r="C99" s="801"/>
      <c r="D99" s="801"/>
      <c r="E99" s="802">
        <v>3</v>
      </c>
      <c r="F99" s="803" t="s">
        <v>240</v>
      </c>
      <c r="G99" s="858">
        <v>100</v>
      </c>
      <c r="H99" s="864">
        <f t="shared" si="4"/>
        <v>300</v>
      </c>
      <c r="I99" s="865"/>
      <c r="J99" s="864"/>
      <c r="K99" s="799">
        <f t="shared" si="5"/>
        <v>300</v>
      </c>
      <c r="L99" s="883"/>
    </row>
    <row r="100" spans="1:12" s="884" customFormat="1" ht="24" customHeight="1">
      <c r="A100" s="831"/>
      <c r="B100" s="800" t="s">
        <v>1065</v>
      </c>
      <c r="C100" s="801"/>
      <c r="D100" s="801"/>
      <c r="E100" s="802">
        <v>5</v>
      </c>
      <c r="F100" s="803" t="s">
        <v>240</v>
      </c>
      <c r="G100" s="858">
        <v>15435</v>
      </c>
      <c r="H100" s="864">
        <f t="shared" si="4"/>
        <v>77175</v>
      </c>
      <c r="I100" s="865"/>
      <c r="J100" s="864"/>
      <c r="K100" s="799">
        <f t="shared" si="5"/>
        <v>77175</v>
      </c>
      <c r="L100" s="883"/>
    </row>
    <row r="101" spans="1:12" s="884" customFormat="1" ht="24" customHeight="1">
      <c r="A101" s="831" t="s">
        <v>3095</v>
      </c>
      <c r="B101" s="800" t="s">
        <v>1066</v>
      </c>
      <c r="C101" s="801"/>
      <c r="D101" s="801"/>
      <c r="E101" s="802">
        <v>1</v>
      </c>
      <c r="F101" s="803" t="s">
        <v>948</v>
      </c>
      <c r="G101" s="795">
        <v>33400</v>
      </c>
      <c r="H101" s="864">
        <f t="shared" si="4"/>
        <v>33400</v>
      </c>
      <c r="I101" s="865">
        <f>G101*0.3</f>
        <v>10020</v>
      </c>
      <c r="J101" s="864">
        <f>ROUND(E101*I101,)</f>
        <v>10020</v>
      </c>
      <c r="K101" s="799">
        <f t="shared" si="5"/>
        <v>43420</v>
      </c>
      <c r="L101" s="883"/>
    </row>
    <row r="102" spans="1:12" s="884" customFormat="1" ht="24" customHeight="1">
      <c r="A102" s="878" t="s">
        <v>962</v>
      </c>
      <c r="B102" s="894" t="s">
        <v>1125</v>
      </c>
      <c r="C102" s="895"/>
      <c r="D102" s="895"/>
      <c r="E102" s="896"/>
      <c r="F102" s="897"/>
      <c r="G102" s="858"/>
      <c r="H102" s="864"/>
      <c r="I102" s="865"/>
      <c r="J102" s="864"/>
      <c r="K102" s="799">
        <f t="shared" si="5"/>
        <v>0</v>
      </c>
      <c r="L102" s="887"/>
    </row>
    <row r="103" spans="1:12" s="884" customFormat="1" ht="24" customHeight="1">
      <c r="A103" s="831" t="s">
        <v>3096</v>
      </c>
      <c r="B103" s="800" t="s">
        <v>1053</v>
      </c>
      <c r="C103" s="801"/>
      <c r="D103" s="801"/>
      <c r="E103" s="802"/>
      <c r="F103" s="867"/>
      <c r="G103" s="858"/>
      <c r="H103" s="864"/>
      <c r="I103" s="865"/>
      <c r="J103" s="864"/>
      <c r="K103" s="799">
        <f t="shared" si="5"/>
        <v>0</v>
      </c>
      <c r="L103" s="887"/>
    </row>
    <row r="104" spans="1:12" s="884" customFormat="1" ht="24" customHeight="1">
      <c r="A104" s="831"/>
      <c r="B104" s="720" t="s">
        <v>1055</v>
      </c>
      <c r="C104" s="792"/>
      <c r="D104" s="792"/>
      <c r="E104" s="793"/>
      <c r="F104" s="722" t="s">
        <v>240</v>
      </c>
      <c r="G104" s="795">
        <v>2400</v>
      </c>
      <c r="H104" s="796">
        <f t="shared" ref="H104:H124" si="6">ROUND(G104*E104,)</f>
        <v>0</v>
      </c>
      <c r="I104" s="797"/>
      <c r="J104" s="796"/>
      <c r="K104" s="799">
        <f t="shared" si="5"/>
        <v>0</v>
      </c>
      <c r="L104" s="883"/>
    </row>
    <row r="105" spans="1:12" s="884" customFormat="1" ht="24" customHeight="1">
      <c r="A105" s="831"/>
      <c r="B105" s="720" t="s">
        <v>1056</v>
      </c>
      <c r="C105" s="792"/>
      <c r="D105" s="792"/>
      <c r="E105" s="793">
        <v>1</v>
      </c>
      <c r="F105" s="722" t="s">
        <v>240</v>
      </c>
      <c r="G105" s="795">
        <v>2400</v>
      </c>
      <c r="H105" s="796">
        <f t="shared" si="6"/>
        <v>2400</v>
      </c>
      <c r="I105" s="797"/>
      <c r="J105" s="796"/>
      <c r="K105" s="799">
        <f t="shared" si="5"/>
        <v>2400</v>
      </c>
      <c r="L105" s="883"/>
    </row>
    <row r="106" spans="1:12" s="884" customFormat="1" ht="24" customHeight="1">
      <c r="A106" s="831"/>
      <c r="B106" s="720" t="s">
        <v>1057</v>
      </c>
      <c r="C106" s="792"/>
      <c r="D106" s="792"/>
      <c r="E106" s="793">
        <v>4</v>
      </c>
      <c r="F106" s="722" t="s">
        <v>240</v>
      </c>
      <c r="G106" s="795">
        <v>2400</v>
      </c>
      <c r="H106" s="796">
        <f t="shared" si="6"/>
        <v>9600</v>
      </c>
      <c r="I106" s="797"/>
      <c r="J106" s="796"/>
      <c r="K106" s="799">
        <f t="shared" si="5"/>
        <v>9600</v>
      </c>
      <c r="L106" s="883"/>
    </row>
    <row r="107" spans="1:12" s="884" customFormat="1" ht="24" customHeight="1">
      <c r="A107" s="831"/>
      <c r="B107" s="720" t="s">
        <v>1058</v>
      </c>
      <c r="C107" s="792"/>
      <c r="D107" s="792"/>
      <c r="E107" s="793"/>
      <c r="F107" s="722" t="s">
        <v>240</v>
      </c>
      <c r="G107" s="795">
        <v>2400</v>
      </c>
      <c r="H107" s="796">
        <f t="shared" si="6"/>
        <v>0</v>
      </c>
      <c r="I107" s="797"/>
      <c r="J107" s="796"/>
      <c r="K107" s="799">
        <f t="shared" si="5"/>
        <v>0</v>
      </c>
      <c r="L107" s="883"/>
    </row>
    <row r="108" spans="1:12" s="884" customFormat="1" ht="24" customHeight="1">
      <c r="A108" s="831"/>
      <c r="B108" s="720" t="s">
        <v>1059</v>
      </c>
      <c r="C108" s="792"/>
      <c r="D108" s="792"/>
      <c r="E108" s="793"/>
      <c r="F108" s="722" t="s">
        <v>240</v>
      </c>
      <c r="G108" s="795">
        <v>2600</v>
      </c>
      <c r="H108" s="796">
        <f t="shared" si="6"/>
        <v>0</v>
      </c>
      <c r="I108" s="797"/>
      <c r="J108" s="796"/>
      <c r="K108" s="799">
        <f t="shared" si="5"/>
        <v>0</v>
      </c>
      <c r="L108" s="883"/>
    </row>
    <row r="109" spans="1:12" s="884" customFormat="1" ht="24" customHeight="1">
      <c r="A109" s="831"/>
      <c r="B109" s="720" t="s">
        <v>1060</v>
      </c>
      <c r="C109" s="792"/>
      <c r="D109" s="792"/>
      <c r="E109" s="793"/>
      <c r="F109" s="722" t="s">
        <v>240</v>
      </c>
      <c r="G109" s="795">
        <v>3000</v>
      </c>
      <c r="H109" s="796">
        <f t="shared" si="6"/>
        <v>0</v>
      </c>
      <c r="I109" s="797"/>
      <c r="J109" s="796"/>
      <c r="K109" s="799">
        <f t="shared" si="5"/>
        <v>0</v>
      </c>
      <c r="L109" s="883"/>
    </row>
    <row r="110" spans="1:12" s="884" customFormat="1" ht="24" customHeight="1">
      <c r="A110" s="831"/>
      <c r="B110" s="720" t="s">
        <v>1088</v>
      </c>
      <c r="C110" s="801"/>
      <c r="D110" s="801"/>
      <c r="E110" s="802">
        <v>1</v>
      </c>
      <c r="F110" s="803" t="s">
        <v>240</v>
      </c>
      <c r="G110" s="858">
        <v>2400</v>
      </c>
      <c r="H110" s="864">
        <f t="shared" si="6"/>
        <v>2400</v>
      </c>
      <c r="I110" s="865"/>
      <c r="J110" s="864"/>
      <c r="K110" s="799">
        <f t="shared" si="5"/>
        <v>2400</v>
      </c>
      <c r="L110" s="887"/>
    </row>
    <row r="111" spans="1:12" s="884" customFormat="1" ht="24" customHeight="1">
      <c r="A111" s="831"/>
      <c r="B111" s="720" t="s">
        <v>1105</v>
      </c>
      <c r="C111" s="801"/>
      <c r="D111" s="801"/>
      <c r="E111" s="802"/>
      <c r="F111" s="803" t="s">
        <v>240</v>
      </c>
      <c r="G111" s="858">
        <v>2400</v>
      </c>
      <c r="H111" s="864">
        <f t="shared" si="6"/>
        <v>0</v>
      </c>
      <c r="I111" s="865"/>
      <c r="J111" s="864"/>
      <c r="K111" s="799">
        <f t="shared" si="5"/>
        <v>0</v>
      </c>
      <c r="L111" s="887"/>
    </row>
    <row r="112" spans="1:12" s="884" customFormat="1" ht="24" customHeight="1">
      <c r="A112" s="831"/>
      <c r="B112" s="720" t="s">
        <v>1086</v>
      </c>
      <c r="C112" s="801"/>
      <c r="D112" s="801"/>
      <c r="E112" s="802"/>
      <c r="F112" s="803" t="s">
        <v>240</v>
      </c>
      <c r="G112" s="858">
        <v>3000</v>
      </c>
      <c r="H112" s="864">
        <f t="shared" si="6"/>
        <v>0</v>
      </c>
      <c r="I112" s="865"/>
      <c r="J112" s="864"/>
      <c r="K112" s="799">
        <f t="shared" si="5"/>
        <v>0</v>
      </c>
      <c r="L112" s="887"/>
    </row>
    <row r="113" spans="1:17" s="884" customFormat="1" ht="24" customHeight="1">
      <c r="A113" s="831"/>
      <c r="B113" s="720" t="s">
        <v>1061</v>
      </c>
      <c r="C113" s="801"/>
      <c r="D113" s="801"/>
      <c r="E113" s="802"/>
      <c r="F113" s="803" t="s">
        <v>240</v>
      </c>
      <c r="G113" s="858">
        <v>5700</v>
      </c>
      <c r="H113" s="864">
        <f t="shared" si="6"/>
        <v>0</v>
      </c>
      <c r="I113" s="865"/>
      <c r="J113" s="864"/>
      <c r="K113" s="799">
        <f t="shared" si="5"/>
        <v>0</v>
      </c>
      <c r="L113" s="887"/>
    </row>
    <row r="114" spans="1:17" s="884" customFormat="1" ht="24" customHeight="1">
      <c r="A114" s="2396"/>
      <c r="B114" s="720" t="s">
        <v>1062</v>
      </c>
      <c r="C114" s="801"/>
      <c r="D114" s="801"/>
      <c r="E114" s="802"/>
      <c r="F114" s="803" t="s">
        <v>240</v>
      </c>
      <c r="G114" s="858">
        <v>5700</v>
      </c>
      <c r="H114" s="864">
        <f t="shared" si="6"/>
        <v>0</v>
      </c>
      <c r="I114" s="865"/>
      <c r="J114" s="864"/>
      <c r="K114" s="799">
        <f t="shared" si="5"/>
        <v>0</v>
      </c>
      <c r="L114" s="887"/>
    </row>
    <row r="115" spans="1:17" s="884" customFormat="1" ht="24" customHeight="1">
      <c r="A115" s="831"/>
      <c r="B115" s="720" t="s">
        <v>1063</v>
      </c>
      <c r="C115" s="801"/>
      <c r="D115" s="801"/>
      <c r="E115" s="802"/>
      <c r="F115" s="803" t="s">
        <v>240</v>
      </c>
      <c r="G115" s="858">
        <v>5700</v>
      </c>
      <c r="H115" s="864">
        <f t="shared" si="6"/>
        <v>0</v>
      </c>
      <c r="I115" s="865"/>
      <c r="J115" s="864"/>
      <c r="K115" s="799">
        <f t="shared" si="5"/>
        <v>0</v>
      </c>
      <c r="L115" s="887"/>
    </row>
    <row r="116" spans="1:17" s="884" customFormat="1" ht="24" customHeight="1">
      <c r="A116" s="831"/>
      <c r="B116" s="720" t="s">
        <v>1106</v>
      </c>
      <c r="C116" s="801"/>
      <c r="D116" s="801"/>
      <c r="E116" s="802"/>
      <c r="F116" s="803" t="s">
        <v>240</v>
      </c>
      <c r="G116" s="858">
        <v>5700</v>
      </c>
      <c r="H116" s="864">
        <f t="shared" si="6"/>
        <v>0</v>
      </c>
      <c r="I116" s="865"/>
      <c r="J116" s="864"/>
      <c r="K116" s="799">
        <f t="shared" si="5"/>
        <v>0</v>
      </c>
      <c r="L116" s="887"/>
    </row>
    <row r="117" spans="1:17" s="884" customFormat="1" ht="24" customHeight="1">
      <c r="A117" s="831"/>
      <c r="B117" s="720" t="s">
        <v>1107</v>
      </c>
      <c r="C117" s="801"/>
      <c r="D117" s="801"/>
      <c r="E117" s="802"/>
      <c r="F117" s="803" t="s">
        <v>240</v>
      </c>
      <c r="G117" s="858">
        <v>5700</v>
      </c>
      <c r="H117" s="864">
        <f t="shared" si="6"/>
        <v>0</v>
      </c>
      <c r="I117" s="865"/>
      <c r="J117" s="864"/>
      <c r="K117" s="799">
        <f t="shared" si="5"/>
        <v>0</v>
      </c>
      <c r="L117" s="887"/>
    </row>
    <row r="118" spans="1:17" s="884" customFormat="1" ht="24" customHeight="1">
      <c r="A118" s="831"/>
      <c r="B118" s="720" t="s">
        <v>1108</v>
      </c>
      <c r="C118" s="801"/>
      <c r="D118" s="801"/>
      <c r="E118" s="802"/>
      <c r="F118" s="803" t="s">
        <v>240</v>
      </c>
      <c r="G118" s="858">
        <v>5700</v>
      </c>
      <c r="H118" s="864">
        <f t="shared" si="6"/>
        <v>0</v>
      </c>
      <c r="I118" s="865"/>
      <c r="J118" s="864"/>
      <c r="K118" s="799">
        <f t="shared" si="5"/>
        <v>0</v>
      </c>
      <c r="L118" s="887"/>
    </row>
    <row r="119" spans="1:17" s="884" customFormat="1" ht="24" customHeight="1">
      <c r="A119" s="831" t="s">
        <v>3097</v>
      </c>
      <c r="B119" s="800" t="s">
        <v>1001</v>
      </c>
      <c r="C119" s="801"/>
      <c r="D119" s="801"/>
      <c r="E119" s="802"/>
      <c r="F119" s="867"/>
      <c r="G119" s="858"/>
      <c r="H119" s="864">
        <f t="shared" si="6"/>
        <v>0</v>
      </c>
      <c r="I119" s="865"/>
      <c r="J119" s="864"/>
      <c r="K119" s="799">
        <f t="shared" si="5"/>
        <v>0</v>
      </c>
      <c r="L119" s="887"/>
    </row>
    <row r="120" spans="1:17" s="884" customFormat="1" ht="24" customHeight="1">
      <c r="A120" s="831"/>
      <c r="B120" s="800" t="s">
        <v>1064</v>
      </c>
      <c r="C120" s="801"/>
      <c r="D120" s="801"/>
      <c r="E120" s="802">
        <v>3</v>
      </c>
      <c r="F120" s="803" t="s">
        <v>240</v>
      </c>
      <c r="G120" s="858">
        <v>600</v>
      </c>
      <c r="H120" s="864">
        <f t="shared" si="6"/>
        <v>1800</v>
      </c>
      <c r="I120" s="865"/>
      <c r="J120" s="864"/>
      <c r="K120" s="799">
        <f t="shared" si="5"/>
        <v>1800</v>
      </c>
      <c r="L120" s="887"/>
    </row>
    <row r="121" spans="1:17" s="884" customFormat="1" ht="24" customHeight="1">
      <c r="A121" s="831"/>
      <c r="B121" s="800" t="s">
        <v>1003</v>
      </c>
      <c r="C121" s="801"/>
      <c r="D121" s="801"/>
      <c r="E121" s="802">
        <v>3</v>
      </c>
      <c r="F121" s="803" t="s">
        <v>240</v>
      </c>
      <c r="G121" s="858">
        <v>120</v>
      </c>
      <c r="H121" s="864">
        <f t="shared" si="6"/>
        <v>360</v>
      </c>
      <c r="I121" s="865"/>
      <c r="J121" s="864"/>
      <c r="K121" s="799">
        <f t="shared" si="5"/>
        <v>360</v>
      </c>
      <c r="L121" s="887"/>
    </row>
    <row r="122" spans="1:17" s="884" customFormat="1" ht="24" customHeight="1">
      <c r="A122" s="831"/>
      <c r="B122" s="800" t="s">
        <v>1004</v>
      </c>
      <c r="C122" s="801"/>
      <c r="D122" s="801"/>
      <c r="E122" s="802">
        <v>3</v>
      </c>
      <c r="F122" s="803" t="s">
        <v>240</v>
      </c>
      <c r="G122" s="858">
        <v>100</v>
      </c>
      <c r="H122" s="864">
        <f t="shared" si="6"/>
        <v>300</v>
      </c>
      <c r="I122" s="865"/>
      <c r="J122" s="864"/>
      <c r="K122" s="799">
        <f t="shared" si="5"/>
        <v>300</v>
      </c>
      <c r="L122" s="887"/>
    </row>
    <row r="123" spans="1:17" s="884" customFormat="1" ht="24" customHeight="1">
      <c r="A123" s="2396"/>
      <c r="B123" s="800" t="s">
        <v>1065</v>
      </c>
      <c r="C123" s="801"/>
      <c r="D123" s="801"/>
      <c r="E123" s="802">
        <v>5</v>
      </c>
      <c r="F123" s="803" t="s">
        <v>240</v>
      </c>
      <c r="G123" s="858">
        <v>15435</v>
      </c>
      <c r="H123" s="864">
        <f t="shared" si="6"/>
        <v>77175</v>
      </c>
      <c r="I123" s="865"/>
      <c r="J123" s="864"/>
      <c r="K123" s="799">
        <f t="shared" si="5"/>
        <v>77175</v>
      </c>
      <c r="L123" s="887"/>
    </row>
    <row r="124" spans="1:17" s="714" customFormat="1" ht="24" customHeight="1">
      <c r="A124" s="831" t="s">
        <v>3098</v>
      </c>
      <c r="B124" s="800" t="s">
        <v>1066</v>
      </c>
      <c r="C124" s="801"/>
      <c r="D124" s="801"/>
      <c r="E124" s="802">
        <v>1</v>
      </c>
      <c r="F124" s="803" t="s">
        <v>948</v>
      </c>
      <c r="G124" s="795">
        <v>33400</v>
      </c>
      <c r="H124" s="864">
        <f t="shared" si="6"/>
        <v>33400</v>
      </c>
      <c r="I124" s="865">
        <f>G124*0.3</f>
        <v>10020</v>
      </c>
      <c r="J124" s="864">
        <f>ROUND(E124*I124,)</f>
        <v>10020</v>
      </c>
      <c r="K124" s="799">
        <f t="shared" si="5"/>
        <v>43420</v>
      </c>
      <c r="L124" s="887"/>
      <c r="M124" s="729"/>
      <c r="N124" s="729"/>
      <c r="O124" s="729"/>
      <c r="P124" s="729"/>
      <c r="Q124" s="729"/>
    </row>
    <row r="125" spans="1:17" s="714" customFormat="1" ht="24" customHeight="1">
      <c r="A125" s="831"/>
      <c r="B125" s="720" t="s">
        <v>957</v>
      </c>
      <c r="C125" s="792"/>
      <c r="D125" s="792"/>
      <c r="E125" s="793"/>
      <c r="F125" s="794"/>
      <c r="G125" s="795"/>
      <c r="H125" s="796"/>
      <c r="I125" s="797"/>
      <c r="J125" s="864"/>
      <c r="K125" s="906"/>
      <c r="L125" s="964"/>
      <c r="M125" s="729"/>
      <c r="N125" s="729"/>
      <c r="O125" s="729"/>
      <c r="P125" s="729"/>
      <c r="Q125" s="729"/>
    </row>
    <row r="126" spans="1:17" s="714" customFormat="1" ht="24" customHeight="1">
      <c r="A126" s="719"/>
      <c r="B126" s="720" t="s">
        <v>1428</v>
      </c>
      <c r="C126" s="717"/>
      <c r="D126" s="718"/>
      <c r="E126" s="721"/>
      <c r="F126" s="722"/>
      <c r="G126" s="710"/>
      <c r="H126" s="711"/>
      <c r="I126" s="712"/>
      <c r="J126" s="957"/>
      <c r="K126" s="958"/>
      <c r="L126" s="954"/>
    </row>
    <row r="127" spans="1:17" s="714" customFormat="1" ht="24" customHeight="1">
      <c r="A127" s="719"/>
      <c r="B127" s="720" t="s">
        <v>1428</v>
      </c>
      <c r="C127" s="717"/>
      <c r="D127" s="718"/>
      <c r="E127" s="721"/>
      <c r="F127" s="722"/>
      <c r="G127" s="710"/>
      <c r="H127" s="711"/>
      <c r="I127" s="712"/>
      <c r="J127" s="957"/>
      <c r="K127" s="958"/>
      <c r="L127" s="954"/>
    </row>
    <row r="128" spans="1:17" s="714" customFormat="1" ht="24" customHeight="1">
      <c r="A128" s="719"/>
      <c r="B128" s="955"/>
      <c r="C128" s="717"/>
      <c r="D128" s="718"/>
      <c r="E128" s="721"/>
      <c r="F128" s="722"/>
      <c r="G128" s="710"/>
      <c r="H128" s="711"/>
      <c r="I128" s="712"/>
      <c r="J128" s="957"/>
      <c r="K128" s="958"/>
      <c r="L128" s="954"/>
    </row>
    <row r="129" spans="1:17" s="714" customFormat="1" ht="24" customHeight="1">
      <c r="A129" s="719"/>
      <c r="B129" s="955"/>
      <c r="C129" s="717"/>
      <c r="D129" s="718"/>
      <c r="E129" s="721"/>
      <c r="F129" s="722"/>
      <c r="G129" s="710"/>
      <c r="H129" s="711"/>
      <c r="I129" s="956"/>
      <c r="J129" s="957"/>
      <c r="K129" s="958"/>
      <c r="L129" s="954"/>
    </row>
    <row r="130" spans="1:17" s="714" customFormat="1" ht="24" customHeight="1">
      <c r="A130" s="775"/>
      <c r="B130" s="2475" t="str">
        <f>"รวมราคารายการที่ "&amp;A78</f>
        <v>รวมราคารายการที่ 3.2</v>
      </c>
      <c r="C130" s="2476"/>
      <c r="D130" s="2477"/>
      <c r="E130" s="776"/>
      <c r="F130" s="777"/>
      <c r="G130" s="959"/>
      <c r="H130" s="960">
        <f>SUM(H78:H129)</f>
        <v>255070</v>
      </c>
      <c r="I130" s="959"/>
      <c r="J130" s="960">
        <f>SUM(J78:J129)</f>
        <v>20040</v>
      </c>
      <c r="K130" s="960">
        <f>SUM(K78:K129)</f>
        <v>275110</v>
      </c>
      <c r="L130" s="777"/>
      <c r="M130" s="729"/>
      <c r="N130" s="729"/>
      <c r="O130" s="729"/>
      <c r="P130" s="729"/>
      <c r="Q130" s="729"/>
    </row>
    <row r="131" spans="1:17" s="714" customFormat="1" ht="24" customHeight="1">
      <c r="A131" s="961" t="s">
        <v>1279</v>
      </c>
      <c r="B131" s="782" t="s">
        <v>1267</v>
      </c>
      <c r="C131" s="784"/>
      <c r="D131" s="784"/>
      <c r="E131" s="785"/>
      <c r="F131" s="786"/>
      <c r="G131" s="787"/>
      <c r="H131" s="788"/>
      <c r="I131" s="789"/>
      <c r="J131" s="788"/>
      <c r="K131" s="789"/>
      <c r="L131" s="962"/>
      <c r="M131" s="729"/>
      <c r="N131" s="729"/>
      <c r="O131" s="729"/>
      <c r="P131" s="729"/>
      <c r="Q131" s="729"/>
    </row>
    <row r="132" spans="1:17" s="714" customFormat="1" ht="24" customHeight="1">
      <c r="A132" s="856" t="s">
        <v>965</v>
      </c>
      <c r="B132" s="963" t="s">
        <v>1389</v>
      </c>
      <c r="C132" s="792"/>
      <c r="D132" s="792"/>
      <c r="E132" s="793"/>
      <c r="F132" s="794"/>
      <c r="G132" s="795"/>
      <c r="H132" s="796"/>
      <c r="I132" s="797"/>
      <c r="J132" s="796"/>
      <c r="K132" s="797"/>
      <c r="L132" s="964"/>
      <c r="M132" s="729"/>
      <c r="N132" s="729"/>
      <c r="O132" s="729"/>
      <c r="P132" s="729"/>
      <c r="Q132" s="729"/>
    </row>
    <row r="133" spans="1:17" s="714" customFormat="1" ht="24" customHeight="1">
      <c r="A133" s="1025"/>
      <c r="B133" s="800" t="s">
        <v>1390</v>
      </c>
      <c r="C133" s="792"/>
      <c r="D133" s="792"/>
      <c r="E133" s="793">
        <v>1</v>
      </c>
      <c r="F133" s="803" t="s">
        <v>240</v>
      </c>
      <c r="G133" s="858">
        <v>7600</v>
      </c>
      <c r="H133" s="864">
        <f t="shared" ref="H133:H142" si="7">ROUND(E133*G133,)</f>
        <v>7600</v>
      </c>
      <c r="I133" s="797">
        <v>1500</v>
      </c>
      <c r="J133" s="864">
        <f>ROUND(E133*I133,)</f>
        <v>1500</v>
      </c>
      <c r="K133" s="865">
        <f t="shared" ref="K133:K205" si="8">H133+J133</f>
        <v>9100</v>
      </c>
      <c r="L133" s="964"/>
      <c r="M133" s="729"/>
      <c r="N133" s="729"/>
      <c r="O133" s="729"/>
      <c r="P133" s="729"/>
      <c r="Q133" s="729"/>
    </row>
    <row r="134" spans="1:17" s="714" customFormat="1" ht="24" customHeight="1">
      <c r="A134" s="1025"/>
      <c r="B134" s="800" t="s">
        <v>1271</v>
      </c>
      <c r="C134" s="801"/>
      <c r="D134" s="801"/>
      <c r="E134" s="802">
        <v>17</v>
      </c>
      <c r="F134" s="803" t="s">
        <v>240</v>
      </c>
      <c r="G134" s="858">
        <v>138</v>
      </c>
      <c r="H134" s="864">
        <f t="shared" si="7"/>
        <v>2346</v>
      </c>
      <c r="I134" s="865"/>
      <c r="J134" s="864"/>
      <c r="K134" s="865">
        <f t="shared" si="8"/>
        <v>2346</v>
      </c>
      <c r="L134" s="964"/>
      <c r="M134" s="729"/>
      <c r="N134" s="729"/>
      <c r="O134" s="729"/>
      <c r="P134" s="729"/>
      <c r="Q134" s="729"/>
    </row>
    <row r="135" spans="1:17" s="714" customFormat="1" ht="24" customHeight="1">
      <c r="A135" s="868"/>
      <c r="B135" s="800" t="s">
        <v>1391</v>
      </c>
      <c r="C135" s="801"/>
      <c r="D135" s="801"/>
      <c r="E135" s="802">
        <v>1</v>
      </c>
      <c r="F135" s="803" t="s">
        <v>240</v>
      </c>
      <c r="G135" s="858">
        <v>138</v>
      </c>
      <c r="H135" s="864">
        <f t="shared" si="7"/>
        <v>138</v>
      </c>
      <c r="I135" s="865"/>
      <c r="J135" s="864"/>
      <c r="K135" s="865">
        <f t="shared" si="8"/>
        <v>138</v>
      </c>
      <c r="L135" s="964"/>
      <c r="M135" s="729"/>
      <c r="N135" s="729"/>
      <c r="O135" s="729"/>
      <c r="P135" s="729"/>
      <c r="Q135" s="729"/>
    </row>
    <row r="136" spans="1:17" s="714" customFormat="1" ht="24" customHeight="1">
      <c r="A136" s="861"/>
      <c r="B136" s="800" t="s">
        <v>1392</v>
      </c>
      <c r="C136" s="801"/>
      <c r="D136" s="801"/>
      <c r="E136" s="802">
        <v>3</v>
      </c>
      <c r="F136" s="803" t="s">
        <v>240</v>
      </c>
      <c r="G136" s="858">
        <v>680</v>
      </c>
      <c r="H136" s="864">
        <f t="shared" si="7"/>
        <v>2040</v>
      </c>
      <c r="I136" s="865"/>
      <c r="J136" s="864"/>
      <c r="K136" s="865">
        <f t="shared" si="8"/>
        <v>2040</v>
      </c>
      <c r="L136" s="964"/>
      <c r="M136" s="729"/>
      <c r="N136" s="729"/>
      <c r="O136" s="729"/>
      <c r="P136" s="729"/>
    </row>
    <row r="137" spans="1:17" s="714" customFormat="1" ht="24" customHeight="1">
      <c r="A137" s="861"/>
      <c r="B137" s="800" t="s">
        <v>1273</v>
      </c>
      <c r="C137" s="801"/>
      <c r="D137" s="801"/>
      <c r="E137" s="802">
        <v>9</v>
      </c>
      <c r="F137" s="803" t="s">
        <v>240</v>
      </c>
      <c r="G137" s="858">
        <v>1288</v>
      </c>
      <c r="H137" s="864">
        <f t="shared" si="7"/>
        <v>11592</v>
      </c>
      <c r="I137" s="865"/>
      <c r="J137" s="864"/>
      <c r="K137" s="865">
        <f t="shared" si="8"/>
        <v>11592</v>
      </c>
      <c r="L137" s="964"/>
      <c r="M137" s="729"/>
      <c r="N137" s="729"/>
      <c r="O137" s="729"/>
      <c r="P137" s="729"/>
    </row>
    <row r="138" spans="1:17" s="884" customFormat="1" ht="24" customHeight="1">
      <c r="A138" s="1026"/>
      <c r="B138" s="800" t="s">
        <v>1393</v>
      </c>
      <c r="C138" s="792"/>
      <c r="D138" s="792"/>
      <c r="E138" s="793">
        <v>1</v>
      </c>
      <c r="F138" s="803" t="s">
        <v>240</v>
      </c>
      <c r="G138" s="858">
        <v>7600</v>
      </c>
      <c r="H138" s="864">
        <f t="shared" si="7"/>
        <v>7600</v>
      </c>
      <c r="I138" s="797">
        <v>1500</v>
      </c>
      <c r="J138" s="864">
        <f>ROUND(E138*I138,)</f>
        <v>1500</v>
      </c>
      <c r="K138" s="865">
        <f t="shared" si="8"/>
        <v>9100</v>
      </c>
      <c r="L138" s="887"/>
      <c r="M138" s="1027"/>
      <c r="N138" s="1027"/>
      <c r="O138" s="1027"/>
      <c r="P138" s="1027"/>
      <c r="Q138" s="1027"/>
    </row>
    <row r="139" spans="1:17" s="884" customFormat="1" ht="24" customHeight="1">
      <c r="A139" s="1026"/>
      <c r="B139" s="800" t="s">
        <v>1271</v>
      </c>
      <c r="C139" s="801"/>
      <c r="D139" s="801"/>
      <c r="E139" s="802">
        <v>19</v>
      </c>
      <c r="F139" s="803" t="s">
        <v>240</v>
      </c>
      <c r="G139" s="858">
        <v>138</v>
      </c>
      <c r="H139" s="864">
        <f t="shared" si="7"/>
        <v>2622</v>
      </c>
      <c r="I139" s="865"/>
      <c r="J139" s="864"/>
      <c r="K139" s="865">
        <f t="shared" si="8"/>
        <v>2622</v>
      </c>
      <c r="L139" s="887"/>
      <c r="M139" s="1027"/>
      <c r="N139" s="1027"/>
      <c r="O139" s="1027"/>
      <c r="P139" s="1027"/>
      <c r="Q139" s="1027"/>
    </row>
    <row r="140" spans="1:17" s="714" customFormat="1" ht="24" customHeight="1">
      <c r="A140" s="868"/>
      <c r="B140" s="800" t="s">
        <v>1391</v>
      </c>
      <c r="C140" s="801"/>
      <c r="D140" s="801"/>
      <c r="E140" s="802">
        <v>1</v>
      </c>
      <c r="F140" s="803" t="s">
        <v>240</v>
      </c>
      <c r="G140" s="858">
        <v>138</v>
      </c>
      <c r="H140" s="864">
        <f t="shared" si="7"/>
        <v>138</v>
      </c>
      <c r="I140" s="865"/>
      <c r="J140" s="864"/>
      <c r="K140" s="865">
        <f t="shared" si="8"/>
        <v>138</v>
      </c>
      <c r="L140" s="964"/>
      <c r="M140" s="729"/>
      <c r="N140" s="729"/>
      <c r="O140" s="729"/>
      <c r="P140" s="729"/>
      <c r="Q140" s="729"/>
    </row>
    <row r="141" spans="1:17" s="714" customFormat="1" ht="24" customHeight="1">
      <c r="A141" s="861"/>
      <c r="B141" s="800" t="s">
        <v>1392</v>
      </c>
      <c r="C141" s="801"/>
      <c r="D141" s="801"/>
      <c r="E141" s="802">
        <v>4</v>
      </c>
      <c r="F141" s="803" t="s">
        <v>240</v>
      </c>
      <c r="G141" s="858">
        <v>680</v>
      </c>
      <c r="H141" s="864">
        <f t="shared" si="7"/>
        <v>2720</v>
      </c>
      <c r="I141" s="865"/>
      <c r="J141" s="864"/>
      <c r="K141" s="865">
        <f t="shared" si="8"/>
        <v>2720</v>
      </c>
      <c r="L141" s="964"/>
      <c r="M141" s="729"/>
      <c r="N141" s="729"/>
      <c r="O141" s="729"/>
      <c r="P141" s="729"/>
    </row>
    <row r="142" spans="1:17" s="714" customFormat="1" ht="24" customHeight="1">
      <c r="A142" s="861"/>
      <c r="B142" s="800" t="s">
        <v>1273</v>
      </c>
      <c r="C142" s="801"/>
      <c r="D142" s="801"/>
      <c r="E142" s="802">
        <v>7</v>
      </c>
      <c r="F142" s="803" t="s">
        <v>240</v>
      </c>
      <c r="G142" s="858">
        <v>1288</v>
      </c>
      <c r="H142" s="864">
        <f t="shared" si="7"/>
        <v>9016</v>
      </c>
      <c r="I142" s="865"/>
      <c r="J142" s="864"/>
      <c r="K142" s="865">
        <f t="shared" si="8"/>
        <v>9016</v>
      </c>
      <c r="L142" s="964"/>
      <c r="M142" s="729"/>
      <c r="N142" s="729"/>
      <c r="O142" s="729"/>
      <c r="P142" s="729"/>
    </row>
    <row r="143" spans="1:17" s="714" customFormat="1" ht="24" customHeight="1">
      <c r="A143" s="2349" t="s">
        <v>969</v>
      </c>
      <c r="B143" s="963" t="s">
        <v>1268</v>
      </c>
      <c r="C143" s="801"/>
      <c r="D143" s="801"/>
      <c r="E143" s="802"/>
      <c r="F143" s="867"/>
      <c r="G143" s="858"/>
      <c r="H143" s="864"/>
      <c r="I143" s="865"/>
      <c r="J143" s="864"/>
      <c r="K143" s="865">
        <f t="shared" si="8"/>
        <v>0</v>
      </c>
      <c r="L143" s="964"/>
      <c r="M143" s="729"/>
      <c r="N143" s="729"/>
      <c r="O143" s="729"/>
      <c r="P143" s="729"/>
      <c r="Q143" s="729"/>
    </row>
    <row r="144" spans="1:17" s="714" customFormat="1" ht="24" customHeight="1">
      <c r="A144" s="1025"/>
      <c r="B144" s="800" t="s">
        <v>1395</v>
      </c>
      <c r="C144" s="792"/>
      <c r="D144" s="792"/>
      <c r="E144" s="793">
        <v>1</v>
      </c>
      <c r="F144" s="803" t="s">
        <v>240</v>
      </c>
      <c r="G144" s="795">
        <v>5800</v>
      </c>
      <c r="H144" s="864">
        <f>ROUND(E144*G144,)</f>
        <v>5800</v>
      </c>
      <c r="I144" s="797">
        <v>1500</v>
      </c>
      <c r="J144" s="864">
        <f>ROUND(E144*I144,)</f>
        <v>1500</v>
      </c>
      <c r="K144" s="865">
        <f t="shared" si="8"/>
        <v>7300</v>
      </c>
      <c r="L144" s="964"/>
      <c r="M144" s="729"/>
      <c r="N144" s="729"/>
      <c r="O144" s="729"/>
      <c r="P144" s="729"/>
      <c r="Q144" s="729"/>
    </row>
    <row r="145" spans="1:17" s="714" customFormat="1" ht="24" customHeight="1">
      <c r="A145" s="868"/>
      <c r="B145" s="800" t="s">
        <v>1396</v>
      </c>
      <c r="C145" s="801"/>
      <c r="D145" s="801"/>
      <c r="E145" s="802">
        <v>1</v>
      </c>
      <c r="F145" s="803" t="s">
        <v>240</v>
      </c>
      <c r="G145" s="858">
        <v>2400</v>
      </c>
      <c r="H145" s="864">
        <f t="shared" ref="H145" si="9">ROUND(E145*G145,)</f>
        <v>2400</v>
      </c>
      <c r="I145" s="865"/>
      <c r="J145" s="864"/>
      <c r="K145" s="865">
        <f t="shared" si="8"/>
        <v>2400</v>
      </c>
      <c r="L145" s="964"/>
      <c r="M145" s="729"/>
      <c r="N145" s="729"/>
      <c r="O145" s="729"/>
      <c r="P145" s="729"/>
      <c r="Q145" s="729"/>
    </row>
    <row r="146" spans="1:17" s="714" customFormat="1" ht="24" customHeight="1">
      <c r="A146" s="1025"/>
      <c r="B146" s="800" t="s">
        <v>1271</v>
      </c>
      <c r="C146" s="801"/>
      <c r="D146" s="801"/>
      <c r="E146" s="802">
        <v>9</v>
      </c>
      <c r="F146" s="803" t="s">
        <v>240</v>
      </c>
      <c r="G146" s="858">
        <v>138</v>
      </c>
      <c r="H146" s="864">
        <f>ROUND(E146*G146,)</f>
        <v>1242</v>
      </c>
      <c r="I146" s="865"/>
      <c r="J146" s="864"/>
      <c r="K146" s="865">
        <f t="shared" si="8"/>
        <v>1242</v>
      </c>
      <c r="L146" s="964"/>
      <c r="M146" s="729"/>
      <c r="N146" s="729"/>
      <c r="O146" s="729"/>
      <c r="P146" s="729"/>
      <c r="Q146" s="729"/>
    </row>
    <row r="147" spans="1:17" s="714" customFormat="1" ht="24" customHeight="1">
      <c r="A147" s="861"/>
      <c r="B147" s="800" t="s">
        <v>1397</v>
      </c>
      <c r="C147" s="801"/>
      <c r="D147" s="801"/>
      <c r="E147" s="802">
        <v>1</v>
      </c>
      <c r="F147" s="803" t="s">
        <v>240</v>
      </c>
      <c r="G147" s="858">
        <v>680</v>
      </c>
      <c r="H147" s="864">
        <f>ROUND(E147*G147,)</f>
        <v>680</v>
      </c>
      <c r="I147" s="865"/>
      <c r="J147" s="864"/>
      <c r="K147" s="865">
        <f t="shared" si="8"/>
        <v>680</v>
      </c>
      <c r="L147" s="964"/>
      <c r="M147" s="729"/>
      <c r="N147" s="729"/>
      <c r="O147" s="729"/>
      <c r="P147" s="729"/>
    </row>
    <row r="148" spans="1:17" s="714" customFormat="1" ht="24" customHeight="1">
      <c r="A148" s="1025"/>
      <c r="B148" s="800" t="s">
        <v>1398</v>
      </c>
      <c r="C148" s="792"/>
      <c r="D148" s="792"/>
      <c r="E148" s="793">
        <v>1</v>
      </c>
      <c r="F148" s="803" t="s">
        <v>240</v>
      </c>
      <c r="G148" s="795">
        <v>5800</v>
      </c>
      <c r="H148" s="864">
        <f>ROUND(E148*G148,)</f>
        <v>5800</v>
      </c>
      <c r="I148" s="797">
        <v>1500</v>
      </c>
      <c r="J148" s="864">
        <f>ROUND(E148*I148,)</f>
        <v>1500</v>
      </c>
      <c r="K148" s="865">
        <f t="shared" si="8"/>
        <v>7300</v>
      </c>
      <c r="L148" s="964"/>
      <c r="M148" s="729"/>
      <c r="N148" s="729"/>
      <c r="O148" s="729"/>
      <c r="P148" s="729"/>
      <c r="Q148" s="729"/>
    </row>
    <row r="149" spans="1:17" s="714" customFormat="1" ht="24" customHeight="1">
      <c r="A149" s="868"/>
      <c r="B149" s="800" t="s">
        <v>1396</v>
      </c>
      <c r="C149" s="801"/>
      <c r="D149" s="801"/>
      <c r="E149" s="802">
        <v>1</v>
      </c>
      <c r="F149" s="803" t="s">
        <v>240</v>
      </c>
      <c r="G149" s="858">
        <v>2400</v>
      </c>
      <c r="H149" s="864">
        <f t="shared" ref="H149" si="10">ROUND(E149*G149,)</f>
        <v>2400</v>
      </c>
      <c r="I149" s="865"/>
      <c r="J149" s="864"/>
      <c r="K149" s="865">
        <f t="shared" si="8"/>
        <v>2400</v>
      </c>
      <c r="L149" s="964"/>
      <c r="M149" s="729"/>
      <c r="N149" s="729"/>
      <c r="O149" s="729"/>
      <c r="P149" s="729"/>
      <c r="Q149" s="729"/>
    </row>
    <row r="150" spans="1:17" s="714" customFormat="1" ht="24" customHeight="1">
      <c r="A150" s="1025"/>
      <c r="B150" s="800" t="s">
        <v>1271</v>
      </c>
      <c r="C150" s="801"/>
      <c r="D150" s="801"/>
      <c r="E150" s="802">
        <v>9</v>
      </c>
      <c r="F150" s="803" t="s">
        <v>240</v>
      </c>
      <c r="G150" s="858">
        <v>138</v>
      </c>
      <c r="H150" s="864">
        <f>ROUND(E150*G150,)</f>
        <v>1242</v>
      </c>
      <c r="I150" s="865"/>
      <c r="J150" s="864"/>
      <c r="K150" s="865">
        <f t="shared" si="8"/>
        <v>1242</v>
      </c>
      <c r="L150" s="964"/>
      <c r="M150" s="729"/>
      <c r="N150" s="729"/>
      <c r="O150" s="729"/>
      <c r="P150" s="729"/>
      <c r="Q150" s="729"/>
    </row>
    <row r="151" spans="1:17" s="714" customFormat="1" ht="24" customHeight="1">
      <c r="A151" s="861"/>
      <c r="B151" s="800" t="s">
        <v>1397</v>
      </c>
      <c r="C151" s="801"/>
      <c r="D151" s="801"/>
      <c r="E151" s="802">
        <v>1</v>
      </c>
      <c r="F151" s="803" t="s">
        <v>240</v>
      </c>
      <c r="G151" s="858">
        <v>680</v>
      </c>
      <c r="H151" s="864">
        <f>ROUND(E151*G151,)</f>
        <v>680</v>
      </c>
      <c r="I151" s="865"/>
      <c r="J151" s="864"/>
      <c r="K151" s="865">
        <f t="shared" si="8"/>
        <v>680</v>
      </c>
      <c r="L151" s="964"/>
      <c r="M151" s="729"/>
      <c r="N151" s="729"/>
      <c r="O151" s="729"/>
      <c r="P151" s="729"/>
    </row>
    <row r="152" spans="1:17" s="714" customFormat="1" ht="24" customHeight="1">
      <c r="A152" s="1025"/>
      <c r="B152" s="800" t="s">
        <v>1399</v>
      </c>
      <c r="C152" s="792"/>
      <c r="D152" s="792"/>
      <c r="E152" s="793">
        <v>1</v>
      </c>
      <c r="F152" s="803" t="s">
        <v>240</v>
      </c>
      <c r="G152" s="795">
        <v>5800</v>
      </c>
      <c r="H152" s="864">
        <f>ROUND(E152*G152,)</f>
        <v>5800</v>
      </c>
      <c r="I152" s="797">
        <v>1500</v>
      </c>
      <c r="J152" s="864">
        <f>ROUND(E152*I152,)</f>
        <v>1500</v>
      </c>
      <c r="K152" s="865">
        <f t="shared" si="8"/>
        <v>7300</v>
      </c>
      <c r="L152" s="964"/>
      <c r="M152" s="729"/>
      <c r="N152" s="729"/>
      <c r="O152" s="729"/>
      <c r="P152" s="729"/>
      <c r="Q152" s="729"/>
    </row>
    <row r="153" spans="1:17" s="714" customFormat="1" ht="24" customHeight="1">
      <c r="A153" s="868"/>
      <c r="B153" s="800" t="s">
        <v>1396</v>
      </c>
      <c r="C153" s="801"/>
      <c r="D153" s="801"/>
      <c r="E153" s="802">
        <v>1</v>
      </c>
      <c r="F153" s="803" t="s">
        <v>240</v>
      </c>
      <c r="G153" s="858">
        <v>2400</v>
      </c>
      <c r="H153" s="864">
        <f t="shared" ref="H153" si="11">ROUND(E153*G153,)</f>
        <v>2400</v>
      </c>
      <c r="I153" s="865"/>
      <c r="J153" s="864"/>
      <c r="K153" s="865">
        <f t="shared" si="8"/>
        <v>2400</v>
      </c>
      <c r="L153" s="964"/>
      <c r="M153" s="729"/>
      <c r="N153" s="729"/>
      <c r="O153" s="729"/>
      <c r="P153" s="729"/>
      <c r="Q153" s="729"/>
    </row>
    <row r="154" spans="1:17" s="714" customFormat="1" ht="24" customHeight="1">
      <c r="A154" s="1025"/>
      <c r="B154" s="800" t="s">
        <v>1271</v>
      </c>
      <c r="C154" s="801"/>
      <c r="D154" s="801"/>
      <c r="E154" s="802">
        <v>9</v>
      </c>
      <c r="F154" s="803" t="s">
        <v>240</v>
      </c>
      <c r="G154" s="858">
        <v>138</v>
      </c>
      <c r="H154" s="864">
        <f>ROUND(E154*G154,)</f>
        <v>1242</v>
      </c>
      <c r="I154" s="865"/>
      <c r="J154" s="864"/>
      <c r="K154" s="865">
        <f t="shared" si="8"/>
        <v>1242</v>
      </c>
      <c r="L154" s="964"/>
      <c r="M154" s="729"/>
      <c r="N154" s="729"/>
      <c r="O154" s="729"/>
      <c r="P154" s="729"/>
      <c r="Q154" s="729"/>
    </row>
    <row r="155" spans="1:17" s="714" customFormat="1" ht="24" customHeight="1">
      <c r="A155" s="861"/>
      <c r="B155" s="800" t="s">
        <v>1397</v>
      </c>
      <c r="C155" s="801"/>
      <c r="D155" s="801"/>
      <c r="E155" s="802">
        <v>1</v>
      </c>
      <c r="F155" s="803" t="s">
        <v>240</v>
      </c>
      <c r="G155" s="858">
        <v>680</v>
      </c>
      <c r="H155" s="864">
        <f>ROUND(E155*G155,)</f>
        <v>680</v>
      </c>
      <c r="I155" s="865"/>
      <c r="J155" s="864"/>
      <c r="K155" s="865">
        <f t="shared" si="8"/>
        <v>680</v>
      </c>
      <c r="L155" s="964"/>
      <c r="M155" s="729"/>
      <c r="N155" s="729"/>
      <c r="O155" s="729"/>
      <c r="P155" s="729"/>
    </row>
    <row r="156" spans="1:17" s="714" customFormat="1" ht="24" customHeight="1">
      <c r="A156" s="1025"/>
      <c r="B156" s="800" t="s">
        <v>1400</v>
      </c>
      <c r="C156" s="792"/>
      <c r="D156" s="792"/>
      <c r="E156" s="793">
        <v>1</v>
      </c>
      <c r="F156" s="803" t="s">
        <v>240</v>
      </c>
      <c r="G156" s="795">
        <v>5800</v>
      </c>
      <c r="H156" s="864">
        <f>ROUND(E156*G156,)</f>
        <v>5800</v>
      </c>
      <c r="I156" s="797">
        <v>1500</v>
      </c>
      <c r="J156" s="864">
        <f>ROUND(E156*I156,)</f>
        <v>1500</v>
      </c>
      <c r="K156" s="865">
        <f t="shared" si="8"/>
        <v>7300</v>
      </c>
      <c r="L156" s="964"/>
      <c r="M156" s="729"/>
      <c r="N156" s="729"/>
      <c r="O156" s="729"/>
      <c r="P156" s="729"/>
      <c r="Q156" s="729"/>
    </row>
    <row r="157" spans="1:17" s="714" customFormat="1" ht="24" customHeight="1">
      <c r="A157" s="868"/>
      <c r="B157" s="800" t="s">
        <v>1396</v>
      </c>
      <c r="C157" s="801"/>
      <c r="D157" s="801"/>
      <c r="E157" s="802">
        <v>1</v>
      </c>
      <c r="F157" s="803" t="s">
        <v>240</v>
      </c>
      <c r="G157" s="858">
        <v>2400</v>
      </c>
      <c r="H157" s="864">
        <f t="shared" ref="H157" si="12">ROUND(E157*G157,)</f>
        <v>2400</v>
      </c>
      <c r="I157" s="865"/>
      <c r="J157" s="864"/>
      <c r="K157" s="865">
        <f t="shared" si="8"/>
        <v>2400</v>
      </c>
      <c r="L157" s="964"/>
      <c r="M157" s="729"/>
      <c r="N157" s="729"/>
      <c r="O157" s="729"/>
      <c r="P157" s="729"/>
      <c r="Q157" s="729"/>
    </row>
    <row r="158" spans="1:17" s="714" customFormat="1" ht="24" customHeight="1">
      <c r="A158" s="1025"/>
      <c r="B158" s="800" t="s">
        <v>1271</v>
      </c>
      <c r="C158" s="801"/>
      <c r="D158" s="801"/>
      <c r="E158" s="802">
        <v>9</v>
      </c>
      <c r="F158" s="803" t="s">
        <v>240</v>
      </c>
      <c r="G158" s="858">
        <v>138</v>
      </c>
      <c r="H158" s="864">
        <f>ROUND(E158*G158,)</f>
        <v>1242</v>
      </c>
      <c r="I158" s="865"/>
      <c r="J158" s="864"/>
      <c r="K158" s="865">
        <f t="shared" si="8"/>
        <v>1242</v>
      </c>
      <c r="L158" s="964"/>
      <c r="M158" s="729"/>
      <c r="N158" s="729"/>
      <c r="O158" s="729"/>
      <c r="P158" s="729"/>
      <c r="Q158" s="729"/>
    </row>
    <row r="159" spans="1:17" s="714" customFormat="1" ht="24" customHeight="1">
      <c r="A159" s="861"/>
      <c r="B159" s="800" t="s">
        <v>1397</v>
      </c>
      <c r="C159" s="801"/>
      <c r="D159" s="801"/>
      <c r="E159" s="802">
        <v>1</v>
      </c>
      <c r="F159" s="803" t="s">
        <v>240</v>
      </c>
      <c r="G159" s="858">
        <v>680</v>
      </c>
      <c r="H159" s="864">
        <f>ROUND(E159*G159,)</f>
        <v>680</v>
      </c>
      <c r="I159" s="865"/>
      <c r="J159" s="864"/>
      <c r="K159" s="865">
        <f t="shared" si="8"/>
        <v>680</v>
      </c>
      <c r="L159" s="964"/>
      <c r="M159" s="729"/>
      <c r="N159" s="729"/>
      <c r="O159" s="729"/>
      <c r="P159" s="729"/>
    </row>
    <row r="160" spans="1:17" s="884" customFormat="1" ht="24" customHeight="1">
      <c r="A160" s="1026"/>
      <c r="B160" s="800" t="s">
        <v>1401</v>
      </c>
      <c r="C160" s="792"/>
      <c r="D160" s="792"/>
      <c r="E160" s="793">
        <v>1</v>
      </c>
      <c r="F160" s="803" t="s">
        <v>240</v>
      </c>
      <c r="G160" s="795">
        <v>5800</v>
      </c>
      <c r="H160" s="864">
        <f>ROUND(E160*G160,)</f>
        <v>5800</v>
      </c>
      <c r="I160" s="797">
        <v>1500</v>
      </c>
      <c r="J160" s="864">
        <f>ROUND(E160*I160,)</f>
        <v>1500</v>
      </c>
      <c r="K160" s="865">
        <f t="shared" si="8"/>
        <v>7300</v>
      </c>
      <c r="L160" s="887"/>
      <c r="M160" s="1027"/>
      <c r="N160" s="1027"/>
      <c r="O160" s="1027"/>
      <c r="P160" s="1027"/>
      <c r="Q160" s="1027"/>
    </row>
    <row r="161" spans="1:17" s="714" customFormat="1" ht="24" customHeight="1">
      <c r="A161" s="868"/>
      <c r="B161" s="800" t="s">
        <v>1396</v>
      </c>
      <c r="C161" s="801"/>
      <c r="D161" s="801"/>
      <c r="E161" s="802">
        <v>1</v>
      </c>
      <c r="F161" s="803" t="s">
        <v>240</v>
      </c>
      <c r="G161" s="858">
        <v>2400</v>
      </c>
      <c r="H161" s="864">
        <f t="shared" ref="H161:H186" si="13">ROUND(E161*G161,)</f>
        <v>2400</v>
      </c>
      <c r="I161" s="865"/>
      <c r="J161" s="864"/>
      <c r="K161" s="865">
        <f t="shared" si="8"/>
        <v>2400</v>
      </c>
      <c r="L161" s="964"/>
      <c r="M161" s="729"/>
      <c r="N161" s="729"/>
      <c r="O161" s="729"/>
      <c r="P161" s="729"/>
      <c r="Q161" s="729"/>
    </row>
    <row r="162" spans="1:17" s="884" customFormat="1" ht="24" customHeight="1">
      <c r="A162" s="1026"/>
      <c r="B162" s="800" t="s">
        <v>1271</v>
      </c>
      <c r="C162" s="801"/>
      <c r="D162" s="801"/>
      <c r="E162" s="802">
        <v>9</v>
      </c>
      <c r="F162" s="803" t="s">
        <v>240</v>
      </c>
      <c r="G162" s="858">
        <v>138</v>
      </c>
      <c r="H162" s="864">
        <f t="shared" si="13"/>
        <v>1242</v>
      </c>
      <c r="I162" s="865"/>
      <c r="J162" s="864"/>
      <c r="K162" s="865">
        <f t="shared" si="8"/>
        <v>1242</v>
      </c>
      <c r="L162" s="887"/>
      <c r="M162" s="1027"/>
      <c r="N162" s="1027"/>
      <c r="O162" s="1027"/>
      <c r="P162" s="1027"/>
      <c r="Q162" s="1027"/>
    </row>
    <row r="163" spans="1:17" s="884" customFormat="1" ht="24" customHeight="1">
      <c r="A163" s="1028"/>
      <c r="B163" s="800" t="s">
        <v>1397</v>
      </c>
      <c r="C163" s="801"/>
      <c r="D163" s="801"/>
      <c r="E163" s="802">
        <v>1</v>
      </c>
      <c r="F163" s="803" t="s">
        <v>240</v>
      </c>
      <c r="G163" s="858">
        <v>680</v>
      </c>
      <c r="H163" s="864">
        <f t="shared" si="13"/>
        <v>680</v>
      </c>
      <c r="I163" s="865"/>
      <c r="J163" s="864"/>
      <c r="K163" s="865">
        <f t="shared" si="8"/>
        <v>680</v>
      </c>
      <c r="L163" s="887"/>
      <c r="M163" s="1027"/>
      <c r="N163" s="1027"/>
      <c r="O163" s="1027"/>
      <c r="P163" s="1027"/>
    </row>
    <row r="164" spans="1:17" s="884" customFormat="1" ht="24" customHeight="1">
      <c r="A164" s="1026"/>
      <c r="B164" s="800" t="s">
        <v>1402</v>
      </c>
      <c r="C164" s="792"/>
      <c r="D164" s="792"/>
      <c r="E164" s="793">
        <v>1</v>
      </c>
      <c r="F164" s="803" t="s">
        <v>240</v>
      </c>
      <c r="G164" s="795">
        <v>5800</v>
      </c>
      <c r="H164" s="864">
        <f>ROUND(E164*G164,)</f>
        <v>5800</v>
      </c>
      <c r="I164" s="797">
        <v>1500</v>
      </c>
      <c r="J164" s="864">
        <f>ROUND(E164*I164,)</f>
        <v>1500</v>
      </c>
      <c r="K164" s="865">
        <f t="shared" si="8"/>
        <v>7300</v>
      </c>
      <c r="L164" s="887"/>
      <c r="M164" s="1027"/>
      <c r="N164" s="1027"/>
      <c r="O164" s="1027"/>
      <c r="P164" s="1027"/>
      <c r="Q164" s="1027"/>
    </row>
    <row r="165" spans="1:17" s="714" customFormat="1" ht="24" customHeight="1">
      <c r="A165" s="868"/>
      <c r="B165" s="800" t="s">
        <v>1396</v>
      </c>
      <c r="C165" s="801"/>
      <c r="D165" s="801"/>
      <c r="E165" s="802">
        <v>1</v>
      </c>
      <c r="F165" s="803" t="s">
        <v>240</v>
      </c>
      <c r="G165" s="858">
        <v>2400</v>
      </c>
      <c r="H165" s="864">
        <f t="shared" ref="H165" si="14">ROUND(E165*G165,)</f>
        <v>2400</v>
      </c>
      <c r="I165" s="865"/>
      <c r="J165" s="864"/>
      <c r="K165" s="865">
        <f t="shared" si="8"/>
        <v>2400</v>
      </c>
      <c r="L165" s="964"/>
      <c r="M165" s="729"/>
      <c r="N165" s="729"/>
      <c r="O165" s="729"/>
      <c r="P165" s="729"/>
      <c r="Q165" s="729"/>
    </row>
    <row r="166" spans="1:17" s="884" customFormat="1" ht="24" customHeight="1">
      <c r="A166" s="1026"/>
      <c r="B166" s="800" t="s">
        <v>1271</v>
      </c>
      <c r="C166" s="801"/>
      <c r="D166" s="801"/>
      <c r="E166" s="802">
        <v>9</v>
      </c>
      <c r="F166" s="803" t="s">
        <v>240</v>
      </c>
      <c r="G166" s="858">
        <v>138</v>
      </c>
      <c r="H166" s="864">
        <f t="shared" si="13"/>
        <v>1242</v>
      </c>
      <c r="I166" s="865"/>
      <c r="J166" s="864"/>
      <c r="K166" s="865">
        <f t="shared" si="8"/>
        <v>1242</v>
      </c>
      <c r="L166" s="887"/>
      <c r="M166" s="1027"/>
      <c r="N166" s="1027"/>
      <c r="O166" s="1027"/>
      <c r="P166" s="1027"/>
      <c r="Q166" s="1027"/>
    </row>
    <row r="167" spans="1:17" s="884" customFormat="1" ht="24" customHeight="1">
      <c r="A167" s="1028"/>
      <c r="B167" s="800" t="s">
        <v>1397</v>
      </c>
      <c r="C167" s="801"/>
      <c r="D167" s="801"/>
      <c r="E167" s="802">
        <v>1</v>
      </c>
      <c r="F167" s="803" t="s">
        <v>240</v>
      </c>
      <c r="G167" s="858">
        <v>680</v>
      </c>
      <c r="H167" s="864">
        <f t="shared" si="13"/>
        <v>680</v>
      </c>
      <c r="I167" s="865"/>
      <c r="J167" s="864"/>
      <c r="K167" s="865">
        <f t="shared" si="8"/>
        <v>680</v>
      </c>
      <c r="L167" s="887"/>
      <c r="M167" s="1027"/>
      <c r="N167" s="1027"/>
      <c r="O167" s="1027"/>
      <c r="P167" s="1027"/>
    </row>
    <row r="168" spans="1:17" s="884" customFormat="1" ht="24" customHeight="1">
      <c r="A168" s="1026"/>
      <c r="B168" s="800" t="s">
        <v>1403</v>
      </c>
      <c r="C168" s="792"/>
      <c r="D168" s="792"/>
      <c r="E168" s="793">
        <v>1</v>
      </c>
      <c r="F168" s="803" t="s">
        <v>240</v>
      </c>
      <c r="G168" s="795">
        <v>5800</v>
      </c>
      <c r="H168" s="864">
        <f>ROUND(E168*G168,)</f>
        <v>5800</v>
      </c>
      <c r="I168" s="797">
        <v>1500</v>
      </c>
      <c r="J168" s="864">
        <f>ROUND(E168*I168,)</f>
        <v>1500</v>
      </c>
      <c r="K168" s="865">
        <f t="shared" si="8"/>
        <v>7300</v>
      </c>
      <c r="L168" s="887"/>
      <c r="M168" s="1027"/>
      <c r="N168" s="1027"/>
      <c r="O168" s="1027"/>
      <c r="P168" s="1027"/>
      <c r="Q168" s="1027"/>
    </row>
    <row r="169" spans="1:17" s="714" customFormat="1" ht="24" customHeight="1">
      <c r="A169" s="868"/>
      <c r="B169" s="800" t="s">
        <v>1396</v>
      </c>
      <c r="C169" s="801"/>
      <c r="D169" s="801"/>
      <c r="E169" s="802">
        <v>1</v>
      </c>
      <c r="F169" s="803" t="s">
        <v>240</v>
      </c>
      <c r="G169" s="858">
        <v>2400</v>
      </c>
      <c r="H169" s="864">
        <f t="shared" ref="H169" si="15">ROUND(E169*G169,)</f>
        <v>2400</v>
      </c>
      <c r="I169" s="865"/>
      <c r="J169" s="864"/>
      <c r="K169" s="865">
        <f t="shared" si="8"/>
        <v>2400</v>
      </c>
      <c r="L169" s="964"/>
      <c r="M169" s="729"/>
      <c r="N169" s="729"/>
      <c r="O169" s="729"/>
      <c r="P169" s="729"/>
      <c r="Q169" s="729"/>
    </row>
    <row r="170" spans="1:17" s="884" customFormat="1" ht="24" customHeight="1">
      <c r="A170" s="1026"/>
      <c r="B170" s="800" t="s">
        <v>1271</v>
      </c>
      <c r="C170" s="801"/>
      <c r="D170" s="801"/>
      <c r="E170" s="802">
        <v>9</v>
      </c>
      <c r="F170" s="803" t="s">
        <v>240</v>
      </c>
      <c r="G170" s="858">
        <v>138</v>
      </c>
      <c r="H170" s="864">
        <f t="shared" si="13"/>
        <v>1242</v>
      </c>
      <c r="I170" s="865"/>
      <c r="J170" s="864"/>
      <c r="K170" s="865">
        <f t="shared" si="8"/>
        <v>1242</v>
      </c>
      <c r="L170" s="887"/>
      <c r="M170" s="1027"/>
      <c r="N170" s="1027"/>
      <c r="O170" s="1027"/>
      <c r="P170" s="1027"/>
      <c r="Q170" s="1027"/>
    </row>
    <row r="171" spans="1:17" s="884" customFormat="1" ht="24" customHeight="1">
      <c r="A171" s="1028"/>
      <c r="B171" s="800" t="s">
        <v>1397</v>
      </c>
      <c r="C171" s="801"/>
      <c r="D171" s="801"/>
      <c r="E171" s="802">
        <v>1</v>
      </c>
      <c r="F171" s="803" t="s">
        <v>240</v>
      </c>
      <c r="G171" s="858">
        <v>680</v>
      </c>
      <c r="H171" s="864">
        <f t="shared" si="13"/>
        <v>680</v>
      </c>
      <c r="I171" s="865"/>
      <c r="J171" s="864"/>
      <c r="K171" s="865">
        <f t="shared" si="8"/>
        <v>680</v>
      </c>
      <c r="L171" s="887"/>
      <c r="M171" s="1027"/>
      <c r="N171" s="1027"/>
      <c r="O171" s="1027"/>
      <c r="P171" s="1027"/>
    </row>
    <row r="172" spans="1:17" s="714" customFormat="1" ht="24" customHeight="1">
      <c r="A172" s="868"/>
      <c r="B172" s="800" t="s">
        <v>1404</v>
      </c>
      <c r="C172" s="801"/>
      <c r="D172" s="801"/>
      <c r="E172" s="802">
        <v>1</v>
      </c>
      <c r="F172" s="803" t="s">
        <v>240</v>
      </c>
      <c r="G172" s="858">
        <v>6800</v>
      </c>
      <c r="H172" s="864">
        <f t="shared" si="13"/>
        <v>6800</v>
      </c>
      <c r="I172" s="865">
        <v>1500</v>
      </c>
      <c r="J172" s="864">
        <f t="shared" ref="J172" si="16">ROUND(E172*I172,)</f>
        <v>1500</v>
      </c>
      <c r="K172" s="865">
        <f t="shared" si="8"/>
        <v>8300</v>
      </c>
      <c r="L172" s="964"/>
      <c r="M172" s="729"/>
      <c r="N172" s="729"/>
      <c r="O172" s="729"/>
      <c r="P172" s="729"/>
      <c r="Q172" s="729"/>
    </row>
    <row r="173" spans="1:17" s="714" customFormat="1" ht="24" customHeight="1">
      <c r="A173" s="868"/>
      <c r="B173" s="800" t="s">
        <v>1270</v>
      </c>
      <c r="C173" s="801"/>
      <c r="D173" s="801"/>
      <c r="E173" s="802">
        <v>1</v>
      </c>
      <c r="F173" s="803" t="s">
        <v>240</v>
      </c>
      <c r="G173" s="858">
        <v>3000</v>
      </c>
      <c r="H173" s="864">
        <f t="shared" si="13"/>
        <v>3000</v>
      </c>
      <c r="I173" s="865"/>
      <c r="J173" s="864"/>
      <c r="K173" s="865">
        <f t="shared" si="8"/>
        <v>3000</v>
      </c>
      <c r="L173" s="964"/>
      <c r="M173" s="729"/>
      <c r="N173" s="729"/>
      <c r="O173" s="729"/>
      <c r="P173" s="729"/>
      <c r="Q173" s="729"/>
    </row>
    <row r="174" spans="1:17" s="714" customFormat="1" ht="24" customHeight="1">
      <c r="A174" s="868"/>
      <c r="B174" s="800" t="s">
        <v>1271</v>
      </c>
      <c r="C174" s="801"/>
      <c r="D174" s="801"/>
      <c r="E174" s="802">
        <v>15</v>
      </c>
      <c r="F174" s="803" t="s">
        <v>240</v>
      </c>
      <c r="G174" s="858">
        <v>138</v>
      </c>
      <c r="H174" s="864">
        <f t="shared" si="13"/>
        <v>2070</v>
      </c>
      <c r="I174" s="865"/>
      <c r="J174" s="864"/>
      <c r="K174" s="865">
        <f t="shared" si="8"/>
        <v>2070</v>
      </c>
      <c r="L174" s="964"/>
      <c r="M174" s="729"/>
      <c r="N174" s="729"/>
      <c r="O174" s="729"/>
      <c r="P174" s="729"/>
      <c r="Q174" s="729"/>
    </row>
    <row r="175" spans="1:17" s="714" customFormat="1" ht="24" customHeight="1">
      <c r="A175" s="868"/>
      <c r="B175" s="800" t="s">
        <v>1391</v>
      </c>
      <c r="C175" s="801"/>
      <c r="D175" s="801"/>
      <c r="E175" s="802">
        <v>1</v>
      </c>
      <c r="F175" s="803" t="s">
        <v>240</v>
      </c>
      <c r="G175" s="858">
        <v>138</v>
      </c>
      <c r="H175" s="864">
        <f t="shared" si="13"/>
        <v>138</v>
      </c>
      <c r="I175" s="865"/>
      <c r="J175" s="864"/>
      <c r="K175" s="865">
        <f t="shared" si="8"/>
        <v>138</v>
      </c>
      <c r="L175" s="964"/>
      <c r="M175" s="729"/>
      <c r="N175" s="729"/>
      <c r="O175" s="729"/>
      <c r="P175" s="729"/>
      <c r="Q175" s="729"/>
    </row>
    <row r="176" spans="1:17" s="714" customFormat="1" ht="24" customHeight="1">
      <c r="A176" s="861"/>
      <c r="B176" s="800" t="s">
        <v>1273</v>
      </c>
      <c r="C176" s="801"/>
      <c r="D176" s="801"/>
      <c r="E176" s="802">
        <v>5</v>
      </c>
      <c r="F176" s="803" t="s">
        <v>240</v>
      </c>
      <c r="G176" s="858">
        <v>1288</v>
      </c>
      <c r="H176" s="864">
        <f t="shared" si="13"/>
        <v>6440</v>
      </c>
      <c r="I176" s="865"/>
      <c r="J176" s="864"/>
      <c r="K176" s="865">
        <f t="shared" si="8"/>
        <v>6440</v>
      </c>
      <c r="L176" s="964"/>
      <c r="M176" s="729"/>
      <c r="N176" s="729"/>
      <c r="O176" s="729"/>
      <c r="P176" s="729"/>
    </row>
    <row r="177" spans="1:18" s="714" customFormat="1" ht="24" customHeight="1">
      <c r="A177" s="868"/>
      <c r="B177" s="800" t="s">
        <v>1405</v>
      </c>
      <c r="C177" s="801"/>
      <c r="D177" s="801"/>
      <c r="E177" s="802">
        <v>1</v>
      </c>
      <c r="F177" s="803" t="s">
        <v>240</v>
      </c>
      <c r="G177" s="858">
        <v>6800</v>
      </c>
      <c r="H177" s="864">
        <f t="shared" si="13"/>
        <v>6800</v>
      </c>
      <c r="I177" s="865">
        <v>1500</v>
      </c>
      <c r="J177" s="864">
        <f t="shared" ref="J177" si="17">ROUND(E177*I177,)</f>
        <v>1500</v>
      </c>
      <c r="K177" s="865">
        <f t="shared" si="8"/>
        <v>8300</v>
      </c>
      <c r="L177" s="964"/>
      <c r="M177" s="729"/>
      <c r="N177" s="729"/>
      <c r="O177" s="729"/>
      <c r="P177" s="729"/>
      <c r="Q177" s="729"/>
    </row>
    <row r="178" spans="1:18" s="714" customFormat="1" ht="24" customHeight="1">
      <c r="A178" s="868"/>
      <c r="B178" s="800" t="s">
        <v>1270</v>
      </c>
      <c r="C178" s="801"/>
      <c r="D178" s="801"/>
      <c r="E178" s="802">
        <v>1</v>
      </c>
      <c r="F178" s="803" t="s">
        <v>240</v>
      </c>
      <c r="G178" s="858">
        <v>3000</v>
      </c>
      <c r="H178" s="864">
        <f t="shared" si="13"/>
        <v>3000</v>
      </c>
      <c r="I178" s="865"/>
      <c r="J178" s="864"/>
      <c r="K178" s="865">
        <f t="shared" si="8"/>
        <v>3000</v>
      </c>
      <c r="L178" s="964"/>
      <c r="M178" s="729"/>
      <c r="N178" s="729"/>
      <c r="O178" s="729"/>
      <c r="P178" s="729"/>
      <c r="Q178" s="729"/>
    </row>
    <row r="179" spans="1:18" s="714" customFormat="1" ht="24" customHeight="1">
      <c r="A179" s="868"/>
      <c r="B179" s="800" t="s">
        <v>1271</v>
      </c>
      <c r="C179" s="801"/>
      <c r="D179" s="801"/>
      <c r="E179" s="802">
        <v>12</v>
      </c>
      <c r="F179" s="803" t="s">
        <v>240</v>
      </c>
      <c r="G179" s="858">
        <v>138</v>
      </c>
      <c r="H179" s="864">
        <f t="shared" si="13"/>
        <v>1656</v>
      </c>
      <c r="I179" s="865"/>
      <c r="J179" s="864"/>
      <c r="K179" s="865">
        <f t="shared" si="8"/>
        <v>1656</v>
      </c>
      <c r="L179" s="964"/>
      <c r="M179" s="729"/>
      <c r="N179" s="729"/>
      <c r="O179" s="729"/>
      <c r="P179" s="729"/>
      <c r="Q179" s="729"/>
    </row>
    <row r="180" spans="1:18" s="714" customFormat="1" ht="24" customHeight="1">
      <c r="A180" s="868"/>
      <c r="B180" s="800" t="s">
        <v>1391</v>
      </c>
      <c r="C180" s="801"/>
      <c r="D180" s="801"/>
      <c r="E180" s="802">
        <v>1</v>
      </c>
      <c r="F180" s="803" t="s">
        <v>240</v>
      </c>
      <c r="G180" s="858">
        <v>138</v>
      </c>
      <c r="H180" s="864">
        <f t="shared" si="13"/>
        <v>138</v>
      </c>
      <c r="I180" s="865"/>
      <c r="J180" s="864"/>
      <c r="K180" s="865">
        <f t="shared" si="8"/>
        <v>138</v>
      </c>
      <c r="L180" s="964"/>
      <c r="M180" s="729"/>
      <c r="N180" s="729"/>
      <c r="O180" s="729"/>
      <c r="P180" s="729"/>
      <c r="Q180" s="729"/>
    </row>
    <row r="181" spans="1:18" s="714" customFormat="1" ht="24" customHeight="1">
      <c r="A181" s="861"/>
      <c r="B181" s="800" t="s">
        <v>1273</v>
      </c>
      <c r="C181" s="801"/>
      <c r="D181" s="801"/>
      <c r="E181" s="802">
        <v>5</v>
      </c>
      <c r="F181" s="803" t="s">
        <v>240</v>
      </c>
      <c r="G181" s="858">
        <v>1288</v>
      </c>
      <c r="H181" s="864">
        <f t="shared" si="13"/>
        <v>6440</v>
      </c>
      <c r="I181" s="865"/>
      <c r="J181" s="864"/>
      <c r="K181" s="865">
        <f t="shared" si="8"/>
        <v>6440</v>
      </c>
      <c r="L181" s="964"/>
      <c r="M181" s="729"/>
      <c r="N181" s="729"/>
      <c r="O181" s="729"/>
      <c r="P181" s="729"/>
    </row>
    <row r="182" spans="1:18" s="714" customFormat="1" ht="24" customHeight="1">
      <c r="A182" s="868"/>
      <c r="B182" s="800" t="s">
        <v>1406</v>
      </c>
      <c r="C182" s="801"/>
      <c r="D182" s="801"/>
      <c r="E182" s="802">
        <v>1</v>
      </c>
      <c r="F182" s="803" t="s">
        <v>240</v>
      </c>
      <c r="G182" s="858">
        <v>6800</v>
      </c>
      <c r="H182" s="864">
        <f t="shared" si="13"/>
        <v>6800</v>
      </c>
      <c r="I182" s="865">
        <v>1500</v>
      </c>
      <c r="J182" s="864">
        <f t="shared" ref="J182" si="18">ROUND(E182*I182,)</f>
        <v>1500</v>
      </c>
      <c r="K182" s="865">
        <f t="shared" si="8"/>
        <v>8300</v>
      </c>
      <c r="L182" s="964"/>
      <c r="M182" s="729"/>
      <c r="N182" s="729"/>
      <c r="O182" s="729"/>
      <c r="P182" s="729"/>
      <c r="Q182" s="729"/>
    </row>
    <row r="183" spans="1:18" s="714" customFormat="1" ht="24" customHeight="1">
      <c r="A183" s="868"/>
      <c r="B183" s="800" t="s">
        <v>1270</v>
      </c>
      <c r="C183" s="801"/>
      <c r="D183" s="801"/>
      <c r="E183" s="802">
        <v>1</v>
      </c>
      <c r="F183" s="803" t="s">
        <v>240</v>
      </c>
      <c r="G183" s="858">
        <v>3000</v>
      </c>
      <c r="H183" s="864">
        <f t="shared" si="13"/>
        <v>3000</v>
      </c>
      <c r="I183" s="865"/>
      <c r="J183" s="864"/>
      <c r="K183" s="865">
        <f t="shared" si="8"/>
        <v>3000</v>
      </c>
      <c r="L183" s="964"/>
      <c r="M183" s="729"/>
      <c r="N183" s="729"/>
      <c r="O183" s="729"/>
      <c r="P183" s="729"/>
      <c r="Q183" s="729"/>
    </row>
    <row r="184" spans="1:18" s="714" customFormat="1" ht="24" customHeight="1">
      <c r="A184" s="868"/>
      <c r="B184" s="800" t="s">
        <v>1271</v>
      </c>
      <c r="C184" s="801"/>
      <c r="D184" s="801"/>
      <c r="E184" s="802">
        <v>21</v>
      </c>
      <c r="F184" s="803" t="s">
        <v>240</v>
      </c>
      <c r="G184" s="858">
        <v>138</v>
      </c>
      <c r="H184" s="864">
        <f t="shared" si="13"/>
        <v>2898</v>
      </c>
      <c r="I184" s="865"/>
      <c r="J184" s="864"/>
      <c r="K184" s="865">
        <f t="shared" si="8"/>
        <v>2898</v>
      </c>
      <c r="L184" s="964"/>
      <c r="M184" s="729"/>
      <c r="N184" s="729"/>
      <c r="O184" s="729"/>
      <c r="P184" s="729"/>
      <c r="Q184" s="729"/>
    </row>
    <row r="185" spans="1:18" s="714" customFormat="1" ht="24" customHeight="1">
      <c r="A185" s="868"/>
      <c r="B185" s="800" t="s">
        <v>1391</v>
      </c>
      <c r="C185" s="801"/>
      <c r="D185" s="801"/>
      <c r="E185" s="802"/>
      <c r="F185" s="803" t="s">
        <v>240</v>
      </c>
      <c r="G185" s="858">
        <v>138</v>
      </c>
      <c r="H185" s="864">
        <f t="shared" si="13"/>
        <v>0</v>
      </c>
      <c r="I185" s="865"/>
      <c r="J185" s="864"/>
      <c r="K185" s="865">
        <f t="shared" si="8"/>
        <v>0</v>
      </c>
      <c r="L185" s="964"/>
      <c r="M185" s="729"/>
      <c r="N185" s="729"/>
      <c r="O185" s="729"/>
      <c r="P185" s="729"/>
      <c r="Q185" s="729"/>
    </row>
    <row r="186" spans="1:18" s="714" customFormat="1" ht="24" customHeight="1">
      <c r="A186" s="861"/>
      <c r="B186" s="800" t="s">
        <v>1273</v>
      </c>
      <c r="C186" s="801"/>
      <c r="D186" s="801"/>
      <c r="E186" s="802"/>
      <c r="F186" s="803" t="s">
        <v>240</v>
      </c>
      <c r="G186" s="858">
        <v>1288</v>
      </c>
      <c r="H186" s="864">
        <f t="shared" si="13"/>
        <v>0</v>
      </c>
      <c r="I186" s="865"/>
      <c r="J186" s="864"/>
      <c r="K186" s="906">
        <f t="shared" si="8"/>
        <v>0</v>
      </c>
      <c r="L186" s="964"/>
      <c r="M186" s="729"/>
      <c r="N186" s="729"/>
      <c r="O186" s="729"/>
      <c r="P186" s="729"/>
    </row>
    <row r="187" spans="1:18" s="714" customFormat="1" ht="24" customHeight="1">
      <c r="A187" s="861"/>
      <c r="B187" s="800" t="s">
        <v>2963</v>
      </c>
      <c r="C187" s="801"/>
      <c r="D187" s="801"/>
      <c r="E187" s="802">
        <v>1</v>
      </c>
      <c r="F187" s="803" t="s">
        <v>240</v>
      </c>
      <c r="G187" s="858">
        <v>7000</v>
      </c>
      <c r="H187" s="864">
        <f>ROUND(E187*G187,)</f>
        <v>7000</v>
      </c>
      <c r="I187" s="865">
        <v>1500</v>
      </c>
      <c r="J187" s="864">
        <f>ROUND(E187*I187,)</f>
        <v>1500</v>
      </c>
      <c r="K187" s="865">
        <f>H187+J187</f>
        <v>8500</v>
      </c>
      <c r="L187" s="964"/>
      <c r="M187" s="729"/>
      <c r="N187" s="729"/>
      <c r="O187" s="729"/>
      <c r="P187" s="729"/>
      <c r="Q187" s="729"/>
    </row>
    <row r="188" spans="1:18" s="714" customFormat="1" ht="24" customHeight="1">
      <c r="A188" s="861"/>
      <c r="B188" s="800" t="s">
        <v>2964</v>
      </c>
      <c r="C188" s="801"/>
      <c r="D188" s="801"/>
      <c r="E188" s="802">
        <v>1</v>
      </c>
      <c r="F188" s="803" t="s">
        <v>240</v>
      </c>
      <c r="G188" s="858">
        <v>2400</v>
      </c>
      <c r="H188" s="864">
        <f t="shared" ref="H188:H196" si="19">ROUND(E188*G188,)</f>
        <v>2400</v>
      </c>
      <c r="I188" s="865"/>
      <c r="J188" s="864">
        <f t="shared" ref="J188:J197" si="20">ROUND(E188*I188,)</f>
        <v>0</v>
      </c>
      <c r="K188" s="865">
        <f t="shared" ref="K188:K196" si="21">H188+J188</f>
        <v>2400</v>
      </c>
      <c r="L188" s="964"/>
      <c r="M188" s="729"/>
      <c r="N188" s="729"/>
      <c r="O188" s="729"/>
      <c r="P188" s="729"/>
      <c r="Q188" s="729"/>
      <c r="R188" s="729"/>
    </row>
    <row r="189" spans="1:18" s="714" customFormat="1" ht="24" customHeight="1">
      <c r="A189" s="861"/>
      <c r="B189" s="800" t="s">
        <v>1271</v>
      </c>
      <c r="C189" s="801"/>
      <c r="D189" s="801"/>
      <c r="E189" s="802">
        <v>36</v>
      </c>
      <c r="F189" s="803" t="s">
        <v>240</v>
      </c>
      <c r="G189" s="858">
        <v>138</v>
      </c>
      <c r="H189" s="864">
        <f t="shared" si="19"/>
        <v>4968</v>
      </c>
      <c r="I189" s="865"/>
      <c r="J189" s="864">
        <f t="shared" si="20"/>
        <v>0</v>
      </c>
      <c r="K189" s="865">
        <f t="shared" si="21"/>
        <v>4968</v>
      </c>
      <c r="L189" s="964"/>
      <c r="M189" s="729"/>
      <c r="N189" s="729"/>
      <c r="O189" s="729"/>
      <c r="P189" s="729"/>
    </row>
    <row r="190" spans="1:18" s="714" customFormat="1" ht="24" customHeight="1">
      <c r="A190" s="861"/>
      <c r="B190" s="800" t="s">
        <v>1391</v>
      </c>
      <c r="C190" s="801"/>
      <c r="D190" s="801"/>
      <c r="E190" s="802"/>
      <c r="F190" s="803" t="s">
        <v>240</v>
      </c>
      <c r="G190" s="858">
        <v>138</v>
      </c>
      <c r="H190" s="864">
        <f t="shared" si="19"/>
        <v>0</v>
      </c>
      <c r="I190" s="865"/>
      <c r="J190" s="864">
        <f t="shared" si="20"/>
        <v>0</v>
      </c>
      <c r="K190" s="865">
        <f t="shared" si="21"/>
        <v>0</v>
      </c>
      <c r="L190" s="964"/>
      <c r="M190" s="729"/>
      <c r="N190" s="729"/>
      <c r="O190" s="729"/>
      <c r="P190" s="729"/>
    </row>
    <row r="191" spans="1:18" s="714" customFormat="1" ht="24" customHeight="1">
      <c r="A191" s="861"/>
      <c r="B191" s="800" t="s">
        <v>2965</v>
      </c>
      <c r="C191" s="801"/>
      <c r="D191" s="801"/>
      <c r="E191" s="802"/>
      <c r="F191" s="803" t="s">
        <v>240</v>
      </c>
      <c r="G191" s="858">
        <v>138</v>
      </c>
      <c r="H191" s="864">
        <f t="shared" si="19"/>
        <v>0</v>
      </c>
      <c r="I191" s="865"/>
      <c r="J191" s="864">
        <f t="shared" si="20"/>
        <v>0</v>
      </c>
      <c r="K191" s="865">
        <f t="shared" si="21"/>
        <v>0</v>
      </c>
      <c r="L191" s="964"/>
      <c r="M191" s="729"/>
      <c r="N191" s="729"/>
      <c r="O191" s="729"/>
      <c r="P191" s="729"/>
    </row>
    <row r="192" spans="1:18" s="714" customFormat="1" ht="24" customHeight="1">
      <c r="A192" s="861"/>
      <c r="B192" s="800" t="s">
        <v>1397</v>
      </c>
      <c r="C192" s="801"/>
      <c r="D192" s="801"/>
      <c r="E192" s="802"/>
      <c r="F192" s="803" t="s">
        <v>240</v>
      </c>
      <c r="G192" s="858">
        <v>880</v>
      </c>
      <c r="H192" s="864">
        <f t="shared" si="19"/>
        <v>0</v>
      </c>
      <c r="I192" s="865"/>
      <c r="J192" s="864">
        <f t="shared" si="20"/>
        <v>0</v>
      </c>
      <c r="K192" s="865">
        <f t="shared" si="21"/>
        <v>0</v>
      </c>
      <c r="L192" s="964"/>
      <c r="M192" s="729"/>
      <c r="N192" s="729"/>
      <c r="O192" s="729"/>
      <c r="P192" s="729"/>
    </row>
    <row r="193" spans="1:17" s="714" customFormat="1" ht="24" customHeight="1">
      <c r="A193" s="861"/>
      <c r="B193" s="800" t="s">
        <v>1272</v>
      </c>
      <c r="C193" s="801"/>
      <c r="D193" s="801"/>
      <c r="E193" s="802"/>
      <c r="F193" s="803" t="s">
        <v>240</v>
      </c>
      <c r="G193" s="858">
        <v>880</v>
      </c>
      <c r="H193" s="864">
        <f t="shared" si="19"/>
        <v>0</v>
      </c>
      <c r="I193" s="865"/>
      <c r="J193" s="864">
        <f t="shared" si="20"/>
        <v>0</v>
      </c>
      <c r="K193" s="865">
        <f t="shared" si="21"/>
        <v>0</v>
      </c>
      <c r="L193" s="964"/>
      <c r="M193" s="729"/>
      <c r="N193" s="729"/>
      <c r="O193" s="729"/>
      <c r="P193" s="729"/>
    </row>
    <row r="194" spans="1:17" s="714" customFormat="1" ht="24" customHeight="1">
      <c r="A194" s="861"/>
      <c r="B194" s="800" t="s">
        <v>1392</v>
      </c>
      <c r="C194" s="801"/>
      <c r="D194" s="801"/>
      <c r="E194" s="802"/>
      <c r="F194" s="803" t="s">
        <v>240</v>
      </c>
      <c r="G194" s="858">
        <v>2400</v>
      </c>
      <c r="H194" s="864">
        <f t="shared" si="19"/>
        <v>0</v>
      </c>
      <c r="I194" s="865"/>
      <c r="J194" s="864">
        <f t="shared" si="20"/>
        <v>0</v>
      </c>
      <c r="K194" s="865">
        <f t="shared" si="21"/>
        <v>0</v>
      </c>
      <c r="L194" s="964"/>
      <c r="M194" s="729"/>
      <c r="N194" s="729"/>
      <c r="O194" s="729"/>
      <c r="P194" s="729"/>
    </row>
    <row r="195" spans="1:17" s="714" customFormat="1" ht="24" customHeight="1">
      <c r="A195" s="861"/>
      <c r="B195" s="800" t="s">
        <v>1273</v>
      </c>
      <c r="C195" s="801"/>
      <c r="D195" s="801"/>
      <c r="E195" s="802"/>
      <c r="F195" s="803" t="s">
        <v>240</v>
      </c>
      <c r="G195" s="858">
        <v>1288</v>
      </c>
      <c r="H195" s="864">
        <f t="shared" si="19"/>
        <v>0</v>
      </c>
      <c r="I195" s="865"/>
      <c r="J195" s="864">
        <f t="shared" si="20"/>
        <v>0</v>
      </c>
      <c r="K195" s="865">
        <f t="shared" si="21"/>
        <v>0</v>
      </c>
      <c r="L195" s="888"/>
      <c r="M195" s="729"/>
      <c r="N195" s="729"/>
      <c r="O195" s="729"/>
      <c r="P195" s="729"/>
      <c r="Q195" s="729"/>
    </row>
    <row r="196" spans="1:17" s="714" customFormat="1" ht="24" customHeight="1">
      <c r="A196" s="861"/>
      <c r="B196" s="800" t="s">
        <v>2966</v>
      </c>
      <c r="C196" s="801"/>
      <c r="D196" s="801"/>
      <c r="E196" s="802"/>
      <c r="F196" s="803" t="s">
        <v>240</v>
      </c>
      <c r="G196" s="858">
        <v>1288</v>
      </c>
      <c r="H196" s="864">
        <f t="shared" si="19"/>
        <v>0</v>
      </c>
      <c r="I196" s="865"/>
      <c r="J196" s="864">
        <f t="shared" si="20"/>
        <v>0</v>
      </c>
      <c r="K196" s="865">
        <f t="shared" si="21"/>
        <v>0</v>
      </c>
      <c r="L196" s="888"/>
      <c r="M196" s="729"/>
      <c r="N196" s="729"/>
      <c r="O196" s="729"/>
      <c r="P196" s="729"/>
      <c r="Q196" s="729"/>
    </row>
    <row r="197" spans="1:17" s="714" customFormat="1" ht="24" customHeight="1">
      <c r="A197" s="868"/>
      <c r="B197" s="800" t="s">
        <v>1407</v>
      </c>
      <c r="C197" s="801"/>
      <c r="D197" s="801"/>
      <c r="E197" s="802">
        <v>1</v>
      </c>
      <c r="F197" s="803" t="s">
        <v>240</v>
      </c>
      <c r="G197" s="858">
        <v>4800</v>
      </c>
      <c r="H197" s="796">
        <v>4800</v>
      </c>
      <c r="I197" s="797">
        <v>1500</v>
      </c>
      <c r="J197" s="864">
        <f t="shared" si="20"/>
        <v>1500</v>
      </c>
      <c r="K197" s="906">
        <f t="shared" si="8"/>
        <v>6300</v>
      </c>
      <c r="L197" s="964"/>
      <c r="M197" s="729"/>
      <c r="N197" s="729"/>
      <c r="O197" s="729"/>
      <c r="P197" s="729"/>
      <c r="Q197" s="729"/>
    </row>
    <row r="198" spans="1:17" s="714" customFormat="1" ht="24" customHeight="1">
      <c r="A198" s="868"/>
      <c r="B198" s="800" t="s">
        <v>1408</v>
      </c>
      <c r="C198" s="801"/>
      <c r="D198" s="801"/>
      <c r="E198" s="802">
        <v>1</v>
      </c>
      <c r="F198" s="803" t="s">
        <v>240</v>
      </c>
      <c r="G198" s="858">
        <v>2400</v>
      </c>
      <c r="H198" s="864">
        <f t="shared" ref="H198:H205" si="22">ROUND(E198*G198,)</f>
        <v>2400</v>
      </c>
      <c r="I198" s="865"/>
      <c r="J198" s="864"/>
      <c r="K198" s="865">
        <f t="shared" si="8"/>
        <v>2400</v>
      </c>
      <c r="L198" s="964"/>
      <c r="M198" s="729"/>
      <c r="N198" s="729"/>
      <c r="O198" s="729"/>
      <c r="P198" s="729"/>
      <c r="Q198" s="729"/>
    </row>
    <row r="199" spans="1:17" s="714" customFormat="1" ht="24" customHeight="1">
      <c r="A199" s="868"/>
      <c r="B199" s="800" t="s">
        <v>1271</v>
      </c>
      <c r="C199" s="801"/>
      <c r="D199" s="801"/>
      <c r="E199" s="802">
        <v>12</v>
      </c>
      <c r="F199" s="803" t="s">
        <v>240</v>
      </c>
      <c r="G199" s="858">
        <v>138</v>
      </c>
      <c r="H199" s="864">
        <f t="shared" si="22"/>
        <v>1656</v>
      </c>
      <c r="I199" s="865"/>
      <c r="J199" s="864"/>
      <c r="K199" s="906">
        <f t="shared" si="8"/>
        <v>1656</v>
      </c>
      <c r="L199" s="964"/>
      <c r="M199" s="729"/>
      <c r="N199" s="729"/>
      <c r="O199" s="729"/>
      <c r="P199" s="729"/>
      <c r="Q199" s="729"/>
    </row>
    <row r="200" spans="1:17" s="714" customFormat="1" ht="24" customHeight="1">
      <c r="A200" s="868"/>
      <c r="B200" s="800"/>
      <c r="C200" s="801"/>
      <c r="D200" s="801"/>
      <c r="E200" s="802"/>
      <c r="F200" s="803"/>
      <c r="G200" s="858"/>
      <c r="H200" s="864"/>
      <c r="I200" s="865"/>
      <c r="J200" s="864"/>
      <c r="K200" s="906"/>
      <c r="L200" s="964"/>
      <c r="M200" s="729"/>
      <c r="N200" s="729"/>
      <c r="O200" s="729"/>
      <c r="P200" s="729"/>
      <c r="Q200" s="729"/>
    </row>
    <row r="201" spans="1:17" s="714" customFormat="1" ht="24" customHeight="1">
      <c r="A201" s="868"/>
      <c r="B201" s="800"/>
      <c r="C201" s="801"/>
      <c r="D201" s="801"/>
      <c r="E201" s="802"/>
      <c r="F201" s="803"/>
      <c r="G201" s="858"/>
      <c r="H201" s="864"/>
      <c r="I201" s="865"/>
      <c r="J201" s="864"/>
      <c r="K201" s="906"/>
      <c r="L201" s="964"/>
      <c r="M201" s="729"/>
      <c r="N201" s="729"/>
      <c r="O201" s="729"/>
      <c r="P201" s="729"/>
      <c r="Q201" s="729"/>
    </row>
    <row r="202" spans="1:17" s="714" customFormat="1" ht="24" customHeight="1">
      <c r="A202" s="868"/>
      <c r="B202" s="800"/>
      <c r="C202" s="801"/>
      <c r="D202" s="801"/>
      <c r="E202" s="802"/>
      <c r="F202" s="803"/>
      <c r="G202" s="858"/>
      <c r="H202" s="864"/>
      <c r="I202" s="865"/>
      <c r="J202" s="864"/>
      <c r="K202" s="906"/>
      <c r="L202" s="964"/>
      <c r="M202" s="729"/>
      <c r="N202" s="729"/>
      <c r="O202" s="729"/>
      <c r="P202" s="729"/>
      <c r="Q202" s="729"/>
    </row>
    <row r="203" spans="1:17" s="714" customFormat="1" ht="24" customHeight="1">
      <c r="A203" s="868"/>
      <c r="B203" s="800" t="s">
        <v>1409</v>
      </c>
      <c r="C203" s="801"/>
      <c r="D203" s="801"/>
      <c r="E203" s="802">
        <v>1</v>
      </c>
      <c r="F203" s="803" t="s">
        <v>240</v>
      </c>
      <c r="G203" s="858">
        <v>4800</v>
      </c>
      <c r="H203" s="796">
        <v>4800</v>
      </c>
      <c r="I203" s="797">
        <v>1500</v>
      </c>
      <c r="J203" s="864">
        <f t="shared" ref="J203" si="23">ROUND(E203*I203,)</f>
        <v>1500</v>
      </c>
      <c r="K203" s="906">
        <f t="shared" si="8"/>
        <v>6300</v>
      </c>
      <c r="L203" s="964"/>
      <c r="M203" s="729"/>
      <c r="N203" s="729"/>
      <c r="O203" s="729"/>
      <c r="P203" s="729"/>
      <c r="Q203" s="729"/>
    </row>
    <row r="204" spans="1:17" s="714" customFormat="1" ht="24" customHeight="1">
      <c r="A204" s="868"/>
      <c r="B204" s="800" t="s">
        <v>1408</v>
      </c>
      <c r="C204" s="801"/>
      <c r="D204" s="801"/>
      <c r="E204" s="802">
        <v>1</v>
      </c>
      <c r="F204" s="803" t="s">
        <v>240</v>
      </c>
      <c r="G204" s="858">
        <v>2400</v>
      </c>
      <c r="H204" s="864">
        <f t="shared" si="22"/>
        <v>2400</v>
      </c>
      <c r="I204" s="865"/>
      <c r="J204" s="864"/>
      <c r="K204" s="865">
        <f t="shared" si="8"/>
        <v>2400</v>
      </c>
      <c r="L204" s="964"/>
      <c r="M204" s="729"/>
      <c r="N204" s="729"/>
      <c r="O204" s="729"/>
      <c r="P204" s="729"/>
      <c r="Q204" s="729"/>
    </row>
    <row r="205" spans="1:17" s="714" customFormat="1" ht="24" customHeight="1">
      <c r="A205" s="868"/>
      <c r="B205" s="800" t="s">
        <v>1271</v>
      </c>
      <c r="C205" s="801"/>
      <c r="D205" s="801"/>
      <c r="E205" s="802">
        <v>12</v>
      </c>
      <c r="F205" s="803" t="s">
        <v>240</v>
      </c>
      <c r="G205" s="858">
        <v>138</v>
      </c>
      <c r="H205" s="864">
        <f t="shared" si="22"/>
        <v>1656</v>
      </c>
      <c r="I205" s="865"/>
      <c r="J205" s="864"/>
      <c r="K205" s="906">
        <f t="shared" si="8"/>
        <v>1656</v>
      </c>
      <c r="L205" s="964"/>
      <c r="M205" s="729"/>
      <c r="N205" s="729"/>
      <c r="O205" s="729"/>
      <c r="P205" s="729"/>
      <c r="Q205" s="729"/>
    </row>
    <row r="206" spans="1:17" s="714" customFormat="1" ht="24" customHeight="1">
      <c r="A206" s="831"/>
      <c r="B206" s="720" t="s">
        <v>957</v>
      </c>
      <c r="C206" s="792"/>
      <c r="D206" s="792"/>
      <c r="E206" s="793"/>
      <c r="F206" s="794"/>
      <c r="G206" s="795"/>
      <c r="H206" s="796"/>
      <c r="I206" s="797"/>
      <c r="J206" s="864"/>
      <c r="K206" s="906"/>
      <c r="L206" s="964"/>
      <c r="M206" s="729"/>
      <c r="N206" s="729"/>
      <c r="O206" s="729"/>
      <c r="P206" s="729"/>
      <c r="Q206" s="729"/>
    </row>
    <row r="207" spans="1:17" s="714" customFormat="1" ht="24" customHeight="1">
      <c r="A207" s="921"/>
      <c r="B207" s="705"/>
      <c r="C207" s="809"/>
      <c r="D207" s="809"/>
      <c r="E207" s="869"/>
      <c r="F207" s="870"/>
      <c r="G207" s="877"/>
      <c r="H207" s="796"/>
      <c r="I207" s="797"/>
      <c r="J207" s="864"/>
      <c r="K207" s="906"/>
      <c r="L207" s="964"/>
      <c r="M207" s="729"/>
      <c r="N207" s="729"/>
      <c r="O207" s="729"/>
      <c r="P207" s="729"/>
      <c r="Q207" s="729"/>
    </row>
    <row r="208" spans="1:17" s="714" customFormat="1" ht="24" customHeight="1">
      <c r="A208" s="775"/>
      <c r="B208" s="2475" t="str">
        <f>"รวมราคารายการที่ "&amp;A131</f>
        <v>รวมราคารายการที่ 3.3</v>
      </c>
      <c r="C208" s="2476"/>
      <c r="D208" s="2477"/>
      <c r="E208" s="776"/>
      <c r="F208" s="777"/>
      <c r="G208" s="959"/>
      <c r="H208" s="960">
        <f>SUM(H131:H206)</f>
        <v>197926</v>
      </c>
      <c r="I208" s="959"/>
      <c r="J208" s="960">
        <f t="shared" ref="J208:K208" si="24">SUM(J131:J206)</f>
        <v>22500</v>
      </c>
      <c r="K208" s="960">
        <f t="shared" si="24"/>
        <v>220426</v>
      </c>
      <c r="L208" s="777"/>
      <c r="M208" s="729"/>
      <c r="N208" s="729"/>
      <c r="O208" s="729"/>
      <c r="P208" s="729"/>
      <c r="Q208" s="729"/>
    </row>
    <row r="209" spans="1:18" s="714" customFormat="1" ht="24" customHeight="1">
      <c r="A209" s="1029">
        <v>3.6</v>
      </c>
      <c r="B209" s="816" t="s">
        <v>1159</v>
      </c>
      <c r="C209" s="770"/>
      <c r="D209" s="770"/>
      <c r="E209" s="930"/>
      <c r="F209" s="931"/>
      <c r="G209" s="932"/>
      <c r="H209" s="854">
        <f t="shared" ref="H209:H222" si="25">ROUND(E209*G209,)</f>
        <v>0</v>
      </c>
      <c r="I209" s="934"/>
      <c r="J209" s="854">
        <f t="shared" ref="J209:J222" si="26">ROUND(E209*I209,)</f>
        <v>0</v>
      </c>
      <c r="K209" s="935"/>
      <c r="L209" s="935"/>
      <c r="M209" s="729"/>
      <c r="N209" s="729"/>
      <c r="O209" s="729"/>
      <c r="P209" s="729"/>
      <c r="Q209" s="729"/>
    </row>
    <row r="210" spans="1:18" s="714" customFormat="1" ht="24" customHeight="1">
      <c r="A210" s="831" t="s">
        <v>1032</v>
      </c>
      <c r="B210" s="720" t="s">
        <v>1410</v>
      </c>
      <c r="C210" s="717"/>
      <c r="D210" s="717"/>
      <c r="E210" s="917"/>
      <c r="F210" s="916"/>
      <c r="G210" s="806"/>
      <c r="H210" s="796">
        <f t="shared" si="25"/>
        <v>0</v>
      </c>
      <c r="I210" s="807"/>
      <c r="J210" s="796">
        <f t="shared" si="26"/>
        <v>0</v>
      </c>
      <c r="K210" s="919"/>
      <c r="L210" s="919"/>
      <c r="M210" s="729"/>
      <c r="N210" s="729"/>
      <c r="O210" s="729"/>
      <c r="P210" s="729"/>
      <c r="Q210" s="729"/>
    </row>
    <row r="211" spans="1:18" s="714" customFormat="1" ht="24" customHeight="1">
      <c r="A211" s="831"/>
      <c r="B211" s="720" t="s">
        <v>1277</v>
      </c>
      <c r="C211" s="717"/>
      <c r="D211" s="717"/>
      <c r="E211" s="805">
        <v>18100</v>
      </c>
      <c r="F211" s="794" t="s">
        <v>438</v>
      </c>
      <c r="G211" s="806">
        <v>9</v>
      </c>
      <c r="H211" s="796">
        <f t="shared" si="25"/>
        <v>162900</v>
      </c>
      <c r="I211" s="807">
        <v>7</v>
      </c>
      <c r="J211" s="796">
        <f t="shared" si="26"/>
        <v>126700</v>
      </c>
      <c r="K211" s="966">
        <f t="shared" ref="K211:K222" si="27">H211+J211</f>
        <v>289600</v>
      </c>
      <c r="L211" s="1718" t="s">
        <v>2974</v>
      </c>
      <c r="M211" s="729"/>
      <c r="O211" s="715"/>
      <c r="P211" s="729"/>
      <c r="Q211" s="729"/>
    </row>
    <row r="212" spans="1:18" s="714" customFormat="1" ht="24" customHeight="1">
      <c r="A212" s="831"/>
      <c r="B212" s="720" t="s">
        <v>1166</v>
      </c>
      <c r="C212" s="717"/>
      <c r="D212" s="717"/>
      <c r="E212" s="805">
        <v>19700</v>
      </c>
      <c r="F212" s="794" t="s">
        <v>438</v>
      </c>
      <c r="G212" s="806">
        <v>14</v>
      </c>
      <c r="H212" s="796">
        <f t="shared" si="25"/>
        <v>275800</v>
      </c>
      <c r="I212" s="807">
        <v>10</v>
      </c>
      <c r="J212" s="796">
        <f t="shared" si="26"/>
        <v>197000</v>
      </c>
      <c r="K212" s="1030">
        <f t="shared" si="27"/>
        <v>472800</v>
      </c>
      <c r="L212" s="1718" t="s">
        <v>2974</v>
      </c>
      <c r="M212" s="729"/>
      <c r="O212" s="715"/>
      <c r="P212" s="729"/>
      <c r="Q212" s="729"/>
    </row>
    <row r="213" spans="1:18" s="714" customFormat="1" ht="24" customHeight="1">
      <c r="A213" s="831"/>
      <c r="B213" s="720" t="s">
        <v>1167</v>
      </c>
      <c r="C213" s="792"/>
      <c r="D213" s="792"/>
      <c r="E213" s="805">
        <v>0</v>
      </c>
      <c r="F213" s="794" t="s">
        <v>438</v>
      </c>
      <c r="G213" s="806">
        <v>23</v>
      </c>
      <c r="H213" s="796">
        <f t="shared" si="25"/>
        <v>0</v>
      </c>
      <c r="I213" s="797">
        <v>12</v>
      </c>
      <c r="J213" s="796">
        <f t="shared" si="26"/>
        <v>0</v>
      </c>
      <c r="K213" s="799">
        <f t="shared" si="27"/>
        <v>0</v>
      </c>
      <c r="L213" s="1716" t="s">
        <v>2974</v>
      </c>
    </row>
    <row r="214" spans="1:18" s="714" customFormat="1" ht="24" customHeight="1">
      <c r="A214" s="831"/>
      <c r="B214" s="720" t="s">
        <v>1168</v>
      </c>
      <c r="C214" s="792"/>
      <c r="D214" s="792"/>
      <c r="E214" s="805">
        <v>4300</v>
      </c>
      <c r="F214" s="794" t="s">
        <v>438</v>
      </c>
      <c r="G214" s="806">
        <v>39</v>
      </c>
      <c r="H214" s="796">
        <f t="shared" si="25"/>
        <v>167700</v>
      </c>
      <c r="I214" s="797">
        <v>16</v>
      </c>
      <c r="J214" s="796">
        <f t="shared" si="26"/>
        <v>68800</v>
      </c>
      <c r="K214" s="799">
        <f t="shared" si="27"/>
        <v>236500</v>
      </c>
      <c r="L214" s="1716" t="s">
        <v>2974</v>
      </c>
      <c r="O214" s="715"/>
    </row>
    <row r="215" spans="1:18" s="714" customFormat="1" ht="24" customHeight="1">
      <c r="A215" s="831" t="s">
        <v>1598</v>
      </c>
      <c r="B215" s="705" t="s">
        <v>1411</v>
      </c>
      <c r="C215" s="717"/>
      <c r="D215" s="717"/>
      <c r="E215" s="805"/>
      <c r="F215" s="794"/>
      <c r="G215" s="806"/>
      <c r="H215" s="796"/>
      <c r="I215" s="807"/>
      <c r="J215" s="796"/>
      <c r="K215" s="1030">
        <f t="shared" si="27"/>
        <v>0</v>
      </c>
      <c r="L215" s="919"/>
      <c r="M215" s="729"/>
      <c r="N215" s="729"/>
      <c r="O215" s="729"/>
      <c r="P215" s="729"/>
      <c r="Q215" s="729"/>
    </row>
    <row r="216" spans="1:18" s="1037" customFormat="1" ht="24" customHeight="1">
      <c r="A216" s="1031"/>
      <c r="B216" s="705" t="s">
        <v>1412</v>
      </c>
      <c r="C216" s="1032"/>
      <c r="D216" s="1032"/>
      <c r="E216" s="805">
        <v>1300</v>
      </c>
      <c r="F216" s="794" t="s">
        <v>438</v>
      </c>
      <c r="G216" s="1033">
        <v>21</v>
      </c>
      <c r="H216" s="796">
        <f t="shared" ref="H216:H218" si="28">ROUND(E216*G216,)</f>
        <v>27300</v>
      </c>
      <c r="I216" s="1034">
        <v>12</v>
      </c>
      <c r="J216" s="796">
        <f t="shared" ref="J216:J218" si="29">ROUND(E216*I216,)</f>
        <v>15600</v>
      </c>
      <c r="K216" s="1030">
        <f t="shared" si="27"/>
        <v>42900</v>
      </c>
      <c r="L216" s="1035"/>
      <c r="M216" s="1036"/>
      <c r="N216" s="1036"/>
      <c r="O216" s="1036"/>
      <c r="P216" s="1036"/>
      <c r="Q216" s="1036"/>
      <c r="R216" s="1036"/>
    </row>
    <row r="217" spans="1:18" s="1037" customFormat="1" ht="24" customHeight="1">
      <c r="A217" s="1031"/>
      <c r="B217" s="720" t="s">
        <v>1413</v>
      </c>
      <c r="C217" s="1032"/>
      <c r="D217" s="1032"/>
      <c r="E217" s="805"/>
      <c r="F217" s="794" t="s">
        <v>438</v>
      </c>
      <c r="G217" s="1033">
        <v>28</v>
      </c>
      <c r="H217" s="796">
        <f t="shared" si="28"/>
        <v>0</v>
      </c>
      <c r="I217" s="1034">
        <v>15</v>
      </c>
      <c r="J217" s="796">
        <f t="shared" si="29"/>
        <v>0</v>
      </c>
      <c r="K217" s="966">
        <f t="shared" si="27"/>
        <v>0</v>
      </c>
      <c r="L217" s="1035"/>
      <c r="M217" s="1036"/>
      <c r="N217" s="1036"/>
      <c r="O217" s="1036"/>
      <c r="P217" s="1036"/>
      <c r="Q217" s="1036"/>
      <c r="R217" s="1036"/>
    </row>
    <row r="218" spans="1:18" s="1037" customFormat="1" ht="24" customHeight="1">
      <c r="A218" s="1031"/>
      <c r="B218" s="720" t="s">
        <v>1414</v>
      </c>
      <c r="C218" s="1032"/>
      <c r="D218" s="1032"/>
      <c r="E218" s="805">
        <v>2600</v>
      </c>
      <c r="F218" s="794" t="s">
        <v>438</v>
      </c>
      <c r="G218" s="1033">
        <v>42</v>
      </c>
      <c r="H218" s="796">
        <f t="shared" si="28"/>
        <v>109200</v>
      </c>
      <c r="I218" s="1034">
        <v>20</v>
      </c>
      <c r="J218" s="796">
        <f t="shared" si="29"/>
        <v>52000</v>
      </c>
      <c r="K218" s="966">
        <f t="shared" si="27"/>
        <v>161200</v>
      </c>
      <c r="L218" s="1035"/>
      <c r="M218" s="1036"/>
      <c r="N218" s="1036"/>
      <c r="O218" s="1036"/>
      <c r="P218" s="1036"/>
      <c r="Q218" s="1036"/>
      <c r="R218" s="1036"/>
    </row>
    <row r="219" spans="1:18" s="714" customFormat="1" ht="24" customHeight="1">
      <c r="A219" s="831" t="s">
        <v>1601</v>
      </c>
      <c r="B219" s="720" t="s">
        <v>1276</v>
      </c>
      <c r="C219" s="717"/>
      <c r="D219" s="717"/>
      <c r="E219" s="917"/>
      <c r="F219" s="916"/>
      <c r="G219" s="806"/>
      <c r="H219" s="796">
        <f t="shared" si="25"/>
        <v>0</v>
      </c>
      <c r="I219" s="807"/>
      <c r="J219" s="796">
        <f t="shared" si="26"/>
        <v>0</v>
      </c>
      <c r="K219" s="966">
        <f t="shared" si="27"/>
        <v>0</v>
      </c>
      <c r="L219" s="919"/>
      <c r="M219" s="729"/>
      <c r="N219" s="729"/>
      <c r="O219" s="729"/>
      <c r="P219" s="729"/>
      <c r="Q219" s="729"/>
    </row>
    <row r="220" spans="1:18" s="714" customFormat="1" ht="24" customHeight="1">
      <c r="A220" s="831"/>
      <c r="B220" s="720" t="s">
        <v>1277</v>
      </c>
      <c r="C220" s="717"/>
      <c r="D220" s="717"/>
      <c r="E220" s="805"/>
      <c r="F220" s="794" t="s">
        <v>438</v>
      </c>
      <c r="G220" s="806">
        <v>41</v>
      </c>
      <c r="H220" s="796">
        <f t="shared" si="25"/>
        <v>0</v>
      </c>
      <c r="I220" s="807">
        <v>12</v>
      </c>
      <c r="J220" s="796">
        <f t="shared" si="26"/>
        <v>0</v>
      </c>
      <c r="K220" s="966">
        <f t="shared" si="27"/>
        <v>0</v>
      </c>
      <c r="L220" s="919"/>
      <c r="M220" s="729"/>
      <c r="N220" s="729"/>
      <c r="O220" s="729"/>
      <c r="P220" s="729"/>
      <c r="Q220" s="729"/>
    </row>
    <row r="221" spans="1:18" s="714" customFormat="1" ht="24" customHeight="1">
      <c r="A221" s="831"/>
      <c r="B221" s="720" t="s">
        <v>1166</v>
      </c>
      <c r="C221" s="792"/>
      <c r="D221" s="792"/>
      <c r="E221" s="805">
        <v>3300</v>
      </c>
      <c r="F221" s="794" t="s">
        <v>438</v>
      </c>
      <c r="G221" s="806">
        <v>50</v>
      </c>
      <c r="H221" s="796">
        <f t="shared" si="25"/>
        <v>165000</v>
      </c>
      <c r="I221" s="797">
        <v>14</v>
      </c>
      <c r="J221" s="796">
        <f t="shared" si="26"/>
        <v>46200</v>
      </c>
      <c r="K221" s="799">
        <f t="shared" si="27"/>
        <v>211200</v>
      </c>
      <c r="L221" s="805"/>
    </row>
    <row r="222" spans="1:18" s="714" customFormat="1" ht="24" customHeight="1">
      <c r="A222" s="856"/>
      <c r="B222" s="720" t="s">
        <v>1278</v>
      </c>
      <c r="C222" s="717"/>
      <c r="D222" s="717"/>
      <c r="E222" s="805">
        <v>1</v>
      </c>
      <c r="F222" s="794" t="s">
        <v>948</v>
      </c>
      <c r="G222" s="806">
        <f>ROUND(SUM(H211:H221)*0.05,)</f>
        <v>45395</v>
      </c>
      <c r="H222" s="796">
        <f t="shared" si="25"/>
        <v>45395</v>
      </c>
      <c r="I222" s="807">
        <f>ROUND(G222*0.3,)</f>
        <v>13619</v>
      </c>
      <c r="J222" s="796">
        <f t="shared" si="26"/>
        <v>13619</v>
      </c>
      <c r="K222" s="1030">
        <f t="shared" si="27"/>
        <v>59014</v>
      </c>
      <c r="L222" s="919"/>
      <c r="M222" s="729"/>
      <c r="N222" s="729"/>
      <c r="O222" s="729"/>
      <c r="P222" s="729"/>
      <c r="Q222" s="729"/>
    </row>
    <row r="223" spans="1:18" s="714" customFormat="1" ht="24" customHeight="1">
      <c r="A223" s="921"/>
      <c r="B223" s="705" t="s">
        <v>957</v>
      </c>
      <c r="C223" s="761"/>
      <c r="D223" s="761"/>
      <c r="E223" s="923"/>
      <c r="F223" s="924"/>
      <c r="G223" s="925"/>
      <c r="H223" s="926"/>
      <c r="I223" s="927"/>
      <c r="J223" s="928"/>
      <c r="K223" s="928"/>
      <c r="L223" s="928"/>
      <c r="M223" s="729"/>
      <c r="N223" s="729"/>
      <c r="O223" s="729"/>
      <c r="P223" s="729"/>
      <c r="Q223" s="729"/>
    </row>
    <row r="224" spans="1:18" s="714" customFormat="1" ht="24" customHeight="1">
      <c r="A224" s="921"/>
      <c r="B224" s="705"/>
      <c r="C224" s="761"/>
      <c r="D224" s="761"/>
      <c r="E224" s="923"/>
      <c r="F224" s="924"/>
      <c r="G224" s="925"/>
      <c r="H224" s="926"/>
      <c r="I224" s="927"/>
      <c r="J224" s="928"/>
      <c r="K224" s="928"/>
      <c r="L224" s="928"/>
      <c r="M224" s="729"/>
      <c r="N224" s="729"/>
      <c r="O224" s="729"/>
      <c r="P224" s="729"/>
      <c r="Q224" s="729"/>
    </row>
    <row r="225" spans="1:18" s="714" customFormat="1" ht="24" customHeight="1">
      <c r="A225" s="831"/>
      <c r="B225" s="720" t="s">
        <v>958</v>
      </c>
      <c r="C225" s="717"/>
      <c r="D225" s="717"/>
      <c r="E225" s="917"/>
      <c r="F225" s="916"/>
      <c r="G225" s="806"/>
      <c r="H225" s="918"/>
      <c r="I225" s="807"/>
      <c r="J225" s="919"/>
      <c r="K225" s="919"/>
      <c r="L225" s="919"/>
      <c r="M225" s="729"/>
      <c r="N225" s="729"/>
      <c r="O225" s="729"/>
      <c r="P225" s="729"/>
      <c r="Q225" s="729"/>
    </row>
    <row r="226" spans="1:18" s="714" customFormat="1" ht="24" customHeight="1">
      <c r="A226" s="775"/>
      <c r="B226" s="2475" t="str">
        <f>"รวมราคารายการที่ "&amp;A209</f>
        <v>รวมราคารายการที่ 3.6</v>
      </c>
      <c r="C226" s="2476"/>
      <c r="D226" s="2477"/>
      <c r="E226" s="776"/>
      <c r="F226" s="777"/>
      <c r="G226" s="959"/>
      <c r="H226" s="960">
        <f>SUM(H209:H225)</f>
        <v>953295</v>
      </c>
      <c r="I226" s="959"/>
      <c r="J226" s="960">
        <f t="shared" ref="J226" si="30">SUM(J209:J225)</f>
        <v>519919</v>
      </c>
      <c r="K226" s="960">
        <f>SUM(K209:K225)</f>
        <v>1473214</v>
      </c>
      <c r="L226" s="777"/>
      <c r="M226" s="729"/>
      <c r="N226" s="1131"/>
      <c r="O226" s="729"/>
      <c r="P226" s="729"/>
      <c r="Q226" s="729"/>
    </row>
    <row r="227" spans="1:18" s="714" customFormat="1" ht="24" customHeight="1">
      <c r="A227" s="911" t="s">
        <v>1290</v>
      </c>
      <c r="B227" s="816" t="s">
        <v>1181</v>
      </c>
      <c r="C227" s="770"/>
      <c r="D227" s="770"/>
      <c r="E227" s="930"/>
      <c r="F227" s="931"/>
      <c r="G227" s="932"/>
      <c r="H227" s="933"/>
      <c r="I227" s="934"/>
      <c r="J227" s="935"/>
      <c r="K227" s="935"/>
      <c r="L227" s="935"/>
      <c r="M227" s="729"/>
      <c r="N227" s="729"/>
      <c r="O227" s="729"/>
      <c r="P227" s="729"/>
      <c r="Q227" s="729"/>
    </row>
    <row r="228" spans="1:18" s="714" customFormat="1" ht="24" customHeight="1">
      <c r="A228" s="831" t="s">
        <v>991</v>
      </c>
      <c r="B228" s="720" t="s">
        <v>1280</v>
      </c>
      <c r="C228" s="717"/>
      <c r="D228" s="717"/>
      <c r="E228" s="917"/>
      <c r="F228" s="916"/>
      <c r="G228" s="806"/>
      <c r="H228" s="796">
        <f t="shared" ref="H228:H244" si="31">ROUND(E228*G228,)</f>
        <v>0</v>
      </c>
      <c r="I228" s="807"/>
      <c r="J228" s="796">
        <f t="shared" ref="J228:J244" si="32">ROUND(E228*I228,)</f>
        <v>0</v>
      </c>
      <c r="K228" s="919"/>
      <c r="L228" s="919"/>
      <c r="M228" s="729"/>
      <c r="N228" s="729"/>
      <c r="O228" s="729"/>
      <c r="P228" s="729"/>
      <c r="Q228" s="729"/>
    </row>
    <row r="229" spans="1:18" s="714" customFormat="1" ht="24" customHeight="1">
      <c r="A229" s="831"/>
      <c r="B229" s="720" t="s">
        <v>1201</v>
      </c>
      <c r="C229" s="717"/>
      <c r="D229" s="717"/>
      <c r="E229" s="917">
        <v>11650</v>
      </c>
      <c r="F229" s="794" t="s">
        <v>438</v>
      </c>
      <c r="G229" s="806">
        <v>27</v>
      </c>
      <c r="H229" s="796">
        <f t="shared" si="31"/>
        <v>314550</v>
      </c>
      <c r="I229" s="807">
        <v>22</v>
      </c>
      <c r="J229" s="796">
        <f t="shared" si="32"/>
        <v>256300</v>
      </c>
      <c r="K229" s="1030">
        <f t="shared" ref="K229:K244" si="33">H229+J229</f>
        <v>570850</v>
      </c>
      <c r="L229" s="1718" t="s">
        <v>2974</v>
      </c>
      <c r="M229" s="729"/>
      <c r="O229" s="715"/>
      <c r="P229" s="729"/>
      <c r="Q229" s="729"/>
    </row>
    <row r="230" spans="1:18" s="714" customFormat="1" ht="24" customHeight="1">
      <c r="A230" s="831"/>
      <c r="B230" s="705" t="s">
        <v>1184</v>
      </c>
      <c r="C230" s="717"/>
      <c r="D230" s="717"/>
      <c r="E230" s="942">
        <v>250</v>
      </c>
      <c r="F230" s="794" t="s">
        <v>438</v>
      </c>
      <c r="G230" s="806">
        <v>38</v>
      </c>
      <c r="H230" s="796">
        <f t="shared" si="31"/>
        <v>9500</v>
      </c>
      <c r="I230" s="807">
        <v>26</v>
      </c>
      <c r="J230" s="796">
        <f t="shared" si="32"/>
        <v>6500</v>
      </c>
      <c r="K230" s="914">
        <f>H230+J230</f>
        <v>16000</v>
      </c>
      <c r="L230" s="1718" t="s">
        <v>2974</v>
      </c>
      <c r="M230" s="729"/>
      <c r="N230" s="729"/>
      <c r="O230" s="715"/>
      <c r="P230" s="729"/>
      <c r="Q230" s="729"/>
    </row>
    <row r="231" spans="1:18" s="714" customFormat="1" ht="24" customHeight="1">
      <c r="A231" s="831"/>
      <c r="B231" s="705" t="s">
        <v>1185</v>
      </c>
      <c r="C231" s="717"/>
      <c r="D231" s="717"/>
      <c r="E231" s="942">
        <v>1050</v>
      </c>
      <c r="F231" s="794" t="s">
        <v>438</v>
      </c>
      <c r="G231" s="806">
        <v>55</v>
      </c>
      <c r="H231" s="796">
        <f t="shared" si="31"/>
        <v>57750</v>
      </c>
      <c r="I231" s="807">
        <v>28</v>
      </c>
      <c r="J231" s="796">
        <f t="shared" si="32"/>
        <v>29400</v>
      </c>
      <c r="K231" s="914">
        <f>H231+J231</f>
        <v>87150</v>
      </c>
      <c r="L231" s="1718" t="s">
        <v>2974</v>
      </c>
      <c r="M231" s="729"/>
      <c r="N231" s="729"/>
      <c r="O231" s="715"/>
      <c r="P231" s="729"/>
      <c r="Q231" s="729"/>
    </row>
    <row r="232" spans="1:18" s="714" customFormat="1" ht="24" customHeight="1">
      <c r="A232" s="831"/>
      <c r="B232" s="720" t="s">
        <v>952</v>
      </c>
      <c r="C232" s="717"/>
      <c r="D232" s="717"/>
      <c r="E232" s="917">
        <v>1</v>
      </c>
      <c r="F232" s="916" t="s">
        <v>948</v>
      </c>
      <c r="G232" s="806">
        <f>SUM(H229:H231)*15%</f>
        <v>57270</v>
      </c>
      <c r="H232" s="796">
        <f t="shared" si="31"/>
        <v>57270</v>
      </c>
      <c r="I232" s="807">
        <f>G232*0.3</f>
        <v>17181</v>
      </c>
      <c r="J232" s="796">
        <f t="shared" si="32"/>
        <v>17181</v>
      </c>
      <c r="K232" s="1030">
        <f t="shared" si="33"/>
        <v>74451</v>
      </c>
      <c r="L232" s="919"/>
      <c r="M232" s="729"/>
      <c r="N232" s="729"/>
      <c r="O232" s="729"/>
      <c r="P232" s="729"/>
      <c r="Q232" s="729"/>
    </row>
    <row r="233" spans="1:18" s="714" customFormat="1" ht="24" customHeight="1">
      <c r="A233" s="831" t="s">
        <v>1020</v>
      </c>
      <c r="B233" s="720" t="s">
        <v>950</v>
      </c>
      <c r="C233" s="717"/>
      <c r="D233" s="717"/>
      <c r="E233" s="917"/>
      <c r="F233" s="916"/>
      <c r="G233" s="806"/>
      <c r="H233" s="796">
        <f t="shared" si="31"/>
        <v>0</v>
      </c>
      <c r="I233" s="807"/>
      <c r="J233" s="796">
        <f t="shared" si="32"/>
        <v>0</v>
      </c>
      <c r="K233" s="1030">
        <f t="shared" si="33"/>
        <v>0</v>
      </c>
      <c r="L233" s="919"/>
      <c r="M233" s="729"/>
      <c r="N233" s="729"/>
      <c r="O233" s="729"/>
      <c r="P233" s="729"/>
      <c r="Q233" s="729"/>
    </row>
    <row r="234" spans="1:18" s="714" customFormat="1" ht="24" customHeight="1">
      <c r="A234" s="831"/>
      <c r="B234" s="720" t="s">
        <v>1201</v>
      </c>
      <c r="C234" s="717"/>
      <c r="D234" s="717"/>
      <c r="E234" s="917"/>
      <c r="F234" s="794" t="s">
        <v>438</v>
      </c>
      <c r="G234" s="806">
        <v>56</v>
      </c>
      <c r="H234" s="796">
        <f t="shared" si="31"/>
        <v>0</v>
      </c>
      <c r="I234" s="807">
        <v>26</v>
      </c>
      <c r="J234" s="796">
        <f t="shared" si="32"/>
        <v>0</v>
      </c>
      <c r="K234" s="1030">
        <f t="shared" si="33"/>
        <v>0</v>
      </c>
      <c r="L234" s="1718" t="s">
        <v>2974</v>
      </c>
      <c r="M234" s="729"/>
      <c r="P234" s="729"/>
      <c r="Q234" s="729"/>
    </row>
    <row r="235" spans="1:18" s="714" customFormat="1" ht="24" customHeight="1">
      <c r="A235" s="831"/>
      <c r="B235" s="720" t="s">
        <v>1185</v>
      </c>
      <c r="C235" s="717"/>
      <c r="D235" s="717"/>
      <c r="E235" s="917">
        <v>1550</v>
      </c>
      <c r="F235" s="794" t="s">
        <v>438</v>
      </c>
      <c r="G235" s="806">
        <v>101</v>
      </c>
      <c r="H235" s="796">
        <f t="shared" si="31"/>
        <v>156550</v>
      </c>
      <c r="I235" s="807">
        <v>32</v>
      </c>
      <c r="J235" s="796">
        <f t="shared" si="32"/>
        <v>49600</v>
      </c>
      <c r="K235" s="1030">
        <f t="shared" si="33"/>
        <v>206150</v>
      </c>
      <c r="L235" s="1718" t="s">
        <v>2974</v>
      </c>
      <c r="M235" s="729"/>
      <c r="N235" s="729"/>
      <c r="P235" s="729"/>
      <c r="Q235" s="729"/>
    </row>
    <row r="236" spans="1:18" s="714" customFormat="1" ht="24" customHeight="1">
      <c r="A236" s="831"/>
      <c r="B236" s="720" t="s">
        <v>952</v>
      </c>
      <c r="C236" s="717"/>
      <c r="D236" s="717"/>
      <c r="E236" s="917">
        <v>1</v>
      </c>
      <c r="F236" s="916" t="s">
        <v>948</v>
      </c>
      <c r="G236" s="806">
        <f>SUM(H234:H235)*15%</f>
        <v>23482.5</v>
      </c>
      <c r="H236" s="796">
        <f t="shared" si="31"/>
        <v>23483</v>
      </c>
      <c r="I236" s="807">
        <f>G236*0.3</f>
        <v>7044.75</v>
      </c>
      <c r="J236" s="796">
        <f t="shared" si="32"/>
        <v>7045</v>
      </c>
      <c r="K236" s="1030">
        <f t="shared" si="33"/>
        <v>30528</v>
      </c>
      <c r="L236" s="919"/>
      <c r="M236" s="729"/>
      <c r="N236" s="729"/>
      <c r="O236" s="729"/>
      <c r="P236" s="729"/>
      <c r="Q236" s="729"/>
    </row>
    <row r="237" spans="1:18" s="1037" customFormat="1" ht="24" customHeight="1">
      <c r="A237" s="1031" t="s">
        <v>1578</v>
      </c>
      <c r="B237" s="705" t="s">
        <v>1416</v>
      </c>
      <c r="C237" s="1032"/>
      <c r="D237" s="1032"/>
      <c r="E237" s="917"/>
      <c r="F237" s="916"/>
      <c r="G237" s="1033"/>
      <c r="H237" s="796">
        <f t="shared" si="31"/>
        <v>0</v>
      </c>
      <c r="I237" s="1034"/>
      <c r="J237" s="796">
        <f t="shared" si="32"/>
        <v>0</v>
      </c>
      <c r="K237" s="1030">
        <f t="shared" si="33"/>
        <v>0</v>
      </c>
      <c r="L237" s="1035"/>
      <c r="M237" s="1036"/>
      <c r="N237" s="1036"/>
      <c r="O237" s="1036"/>
      <c r="P237" s="1036"/>
      <c r="Q237" s="1036"/>
      <c r="R237" s="1036"/>
    </row>
    <row r="238" spans="1:18" s="1037" customFormat="1" ht="24" customHeight="1">
      <c r="A238" s="1031"/>
      <c r="B238" s="705" t="s">
        <v>1187</v>
      </c>
      <c r="C238" s="1032"/>
      <c r="D238" s="1032"/>
      <c r="E238" s="805">
        <v>1100</v>
      </c>
      <c r="F238" s="794" t="s">
        <v>438</v>
      </c>
      <c r="G238" s="1033">
        <v>34</v>
      </c>
      <c r="H238" s="796">
        <f t="shared" si="31"/>
        <v>37400</v>
      </c>
      <c r="I238" s="1034">
        <v>20</v>
      </c>
      <c r="J238" s="796">
        <f t="shared" si="32"/>
        <v>22000</v>
      </c>
      <c r="K238" s="1030">
        <f t="shared" si="33"/>
        <v>59400</v>
      </c>
      <c r="L238" s="1035"/>
      <c r="M238" s="1036"/>
      <c r="N238" s="1036"/>
      <c r="O238" s="1036"/>
      <c r="P238" s="1036"/>
      <c r="Q238" s="1036"/>
      <c r="R238" s="1036"/>
    </row>
    <row r="239" spans="1:18" s="1037" customFormat="1" ht="24" customHeight="1">
      <c r="A239" s="1031"/>
      <c r="B239" s="705" t="s">
        <v>1188</v>
      </c>
      <c r="C239" s="1032"/>
      <c r="D239" s="1032"/>
      <c r="E239" s="917"/>
      <c r="F239" s="794" t="s">
        <v>438</v>
      </c>
      <c r="G239" s="1033">
        <v>53</v>
      </c>
      <c r="H239" s="796">
        <f t="shared" si="31"/>
        <v>0</v>
      </c>
      <c r="I239" s="1034">
        <v>22</v>
      </c>
      <c r="J239" s="796">
        <f t="shared" si="32"/>
        <v>0</v>
      </c>
      <c r="K239" s="1030">
        <f t="shared" si="33"/>
        <v>0</v>
      </c>
      <c r="L239" s="1035"/>
      <c r="M239" s="1036"/>
      <c r="N239" s="1036"/>
      <c r="O239" s="1036"/>
      <c r="P239" s="1036"/>
      <c r="Q239" s="1036"/>
      <c r="R239" s="1036"/>
    </row>
    <row r="240" spans="1:18" s="1037" customFormat="1" ht="24" customHeight="1">
      <c r="A240" s="1031"/>
      <c r="B240" s="705" t="s">
        <v>1417</v>
      </c>
      <c r="C240" s="1032"/>
      <c r="D240" s="1032"/>
      <c r="E240" s="917"/>
      <c r="F240" s="794" t="s">
        <v>438</v>
      </c>
      <c r="G240" s="1033">
        <v>83</v>
      </c>
      <c r="H240" s="796">
        <f t="shared" si="31"/>
        <v>0</v>
      </c>
      <c r="I240" s="1034">
        <v>25</v>
      </c>
      <c r="J240" s="796">
        <f t="shared" si="32"/>
        <v>0</v>
      </c>
      <c r="K240" s="1030">
        <f t="shared" si="33"/>
        <v>0</v>
      </c>
      <c r="L240" s="1035"/>
      <c r="M240" s="1036"/>
      <c r="N240" s="1036"/>
      <c r="O240" s="1036"/>
      <c r="P240" s="1036"/>
      <c r="Q240" s="1036"/>
      <c r="R240" s="1036"/>
    </row>
    <row r="241" spans="1:17" s="714" customFormat="1" ht="24" customHeight="1">
      <c r="A241" s="831"/>
      <c r="B241" s="720" t="s">
        <v>952</v>
      </c>
      <c r="C241" s="717"/>
      <c r="D241" s="717"/>
      <c r="E241" s="917">
        <v>1</v>
      </c>
      <c r="F241" s="916" t="s">
        <v>948</v>
      </c>
      <c r="G241" s="806">
        <f>SUM(H238:H240)*15%</f>
        <v>5610</v>
      </c>
      <c r="H241" s="796">
        <f t="shared" si="31"/>
        <v>5610</v>
      </c>
      <c r="I241" s="807">
        <f>G241*0.3</f>
        <v>1683</v>
      </c>
      <c r="J241" s="796">
        <f t="shared" si="32"/>
        <v>1683</v>
      </c>
      <c r="K241" s="1030">
        <f t="shared" si="33"/>
        <v>7293</v>
      </c>
      <c r="L241" s="919"/>
      <c r="M241" s="729"/>
      <c r="N241" s="729"/>
      <c r="O241" s="729"/>
      <c r="P241" s="729"/>
      <c r="Q241" s="729"/>
    </row>
    <row r="242" spans="1:17" s="714" customFormat="1" ht="24" customHeight="1">
      <c r="A242" s="831"/>
      <c r="B242" s="720"/>
      <c r="C242" s="717"/>
      <c r="D242" s="717"/>
      <c r="E242" s="917"/>
      <c r="F242" s="916"/>
      <c r="G242" s="806"/>
      <c r="H242" s="796"/>
      <c r="I242" s="807"/>
      <c r="J242" s="796"/>
      <c r="K242" s="1030"/>
      <c r="L242" s="919"/>
      <c r="M242" s="729"/>
      <c r="N242" s="729"/>
      <c r="O242" s="729"/>
      <c r="P242" s="729"/>
      <c r="Q242" s="729"/>
    </row>
    <row r="243" spans="1:17" s="714" customFormat="1" ht="24" customHeight="1">
      <c r="A243" s="831" t="s">
        <v>1579</v>
      </c>
      <c r="B243" s="720" t="s">
        <v>1281</v>
      </c>
      <c r="C243" s="717"/>
      <c r="D243" s="717"/>
      <c r="E243" s="917"/>
      <c r="F243" s="916"/>
      <c r="G243" s="806"/>
      <c r="H243" s="796">
        <f t="shared" si="31"/>
        <v>0</v>
      </c>
      <c r="I243" s="807"/>
      <c r="J243" s="796">
        <f t="shared" si="32"/>
        <v>0</v>
      </c>
      <c r="K243" s="1030">
        <f t="shared" si="33"/>
        <v>0</v>
      </c>
      <c r="L243" s="919"/>
      <c r="M243" s="729"/>
      <c r="N243" s="729"/>
      <c r="O243" s="729"/>
      <c r="P243" s="729"/>
      <c r="Q243" s="729"/>
    </row>
    <row r="244" spans="1:17" s="714" customFormat="1" ht="24" customHeight="1">
      <c r="A244" s="831"/>
      <c r="B244" s="720" t="s">
        <v>1201</v>
      </c>
      <c r="C244" s="717"/>
      <c r="D244" s="717"/>
      <c r="E244" s="917">
        <v>2100</v>
      </c>
      <c r="F244" s="794" t="s">
        <v>438</v>
      </c>
      <c r="G244" s="806">
        <v>14</v>
      </c>
      <c r="H244" s="796">
        <f t="shared" si="31"/>
        <v>29400</v>
      </c>
      <c r="I244" s="807">
        <v>11</v>
      </c>
      <c r="J244" s="796">
        <f t="shared" si="32"/>
        <v>23100</v>
      </c>
      <c r="K244" s="1030">
        <f t="shared" si="33"/>
        <v>52500</v>
      </c>
      <c r="L244" s="919"/>
      <c r="M244" s="729"/>
      <c r="N244" s="729"/>
      <c r="O244" s="729"/>
      <c r="P244" s="729"/>
      <c r="Q244" s="729"/>
    </row>
    <row r="245" spans="1:17" s="714" customFormat="1" ht="24" customHeight="1">
      <c r="A245" s="831"/>
      <c r="B245" s="720" t="s">
        <v>957</v>
      </c>
      <c r="C245" s="717"/>
      <c r="D245" s="717"/>
      <c r="E245" s="917"/>
      <c r="F245" s="916"/>
      <c r="G245" s="806"/>
      <c r="H245" s="918"/>
      <c r="I245" s="807"/>
      <c r="J245" s="919"/>
      <c r="K245" s="919"/>
      <c r="L245" s="919"/>
      <c r="M245" s="729"/>
      <c r="N245" s="729"/>
      <c r="O245" s="729"/>
      <c r="P245" s="729"/>
      <c r="Q245" s="729"/>
    </row>
    <row r="246" spans="1:17" s="714" customFormat="1" ht="24" customHeight="1">
      <c r="A246" s="831"/>
      <c r="B246" s="720"/>
      <c r="C246" s="717"/>
      <c r="D246" s="717"/>
      <c r="E246" s="917"/>
      <c r="F246" s="916"/>
      <c r="G246" s="806"/>
      <c r="H246" s="918"/>
      <c r="I246" s="807"/>
      <c r="J246" s="919"/>
      <c r="K246" s="919"/>
      <c r="L246" s="919"/>
      <c r="M246" s="729"/>
      <c r="N246" s="729"/>
      <c r="O246" s="729"/>
      <c r="P246" s="729"/>
      <c r="Q246" s="729"/>
    </row>
    <row r="247" spans="1:17" s="714" customFormat="1" ht="24" customHeight="1">
      <c r="A247" s="831"/>
      <c r="B247" s="720"/>
      <c r="C247" s="717"/>
      <c r="D247" s="717"/>
      <c r="E247" s="917"/>
      <c r="F247" s="916"/>
      <c r="G247" s="806"/>
      <c r="H247" s="918"/>
      <c r="I247" s="807"/>
      <c r="J247" s="919"/>
      <c r="K247" s="919"/>
      <c r="L247" s="919"/>
      <c r="M247" s="729"/>
      <c r="N247" s="729"/>
      <c r="O247" s="729"/>
      <c r="P247" s="729"/>
      <c r="Q247" s="729"/>
    </row>
    <row r="248" spans="1:17" s="714" customFormat="1" ht="24" customHeight="1">
      <c r="A248" s="831"/>
      <c r="B248" s="720"/>
      <c r="C248" s="717"/>
      <c r="D248" s="717"/>
      <c r="E248" s="917"/>
      <c r="F248" s="916"/>
      <c r="G248" s="806"/>
      <c r="H248" s="918"/>
      <c r="I248" s="807"/>
      <c r="J248" s="919"/>
      <c r="K248" s="919"/>
      <c r="L248" s="919"/>
      <c r="M248" s="729"/>
      <c r="N248" s="729"/>
      <c r="O248" s="729"/>
      <c r="P248" s="729"/>
      <c r="Q248" s="729"/>
    </row>
    <row r="249" spans="1:17" s="714" customFormat="1" ht="24" customHeight="1">
      <c r="A249" s="831"/>
      <c r="B249" s="720" t="s">
        <v>958</v>
      </c>
      <c r="C249" s="717"/>
      <c r="D249" s="717"/>
      <c r="E249" s="917"/>
      <c r="F249" s="916"/>
      <c r="G249" s="806"/>
      <c r="H249" s="918"/>
      <c r="I249" s="807"/>
      <c r="J249" s="919"/>
      <c r="K249" s="919"/>
      <c r="L249" s="919"/>
      <c r="M249" s="729"/>
      <c r="N249" s="729"/>
      <c r="O249" s="729"/>
      <c r="P249" s="729"/>
      <c r="Q249" s="729"/>
    </row>
    <row r="250" spans="1:17" s="714" customFormat="1" ht="24" customHeight="1">
      <c r="A250" s="775"/>
      <c r="B250" s="2475" t="str">
        <f>"รวมราคารายการที่ "&amp;A227</f>
        <v>รวมราคารายการที่ 3.5</v>
      </c>
      <c r="C250" s="2476"/>
      <c r="D250" s="2477"/>
      <c r="E250" s="776"/>
      <c r="F250" s="777"/>
      <c r="G250" s="959"/>
      <c r="H250" s="960">
        <f>SUM(H227:H249)</f>
        <v>691513</v>
      </c>
      <c r="I250" s="959"/>
      <c r="J250" s="960">
        <f>SUM(J227:J249)</f>
        <v>412809</v>
      </c>
      <c r="K250" s="960">
        <f>SUM(K227:K249)</f>
        <v>1104322</v>
      </c>
      <c r="L250" s="777"/>
      <c r="M250" s="729"/>
      <c r="N250" s="1131"/>
      <c r="O250" s="729"/>
      <c r="P250" s="729"/>
      <c r="Q250" s="729"/>
    </row>
    <row r="251" spans="1:17" s="714" customFormat="1" ht="24" customHeight="1">
      <c r="A251" s="911" t="s">
        <v>1293</v>
      </c>
      <c r="B251" s="816" t="s">
        <v>1283</v>
      </c>
      <c r="C251" s="770"/>
      <c r="D251" s="770"/>
      <c r="E251" s="930"/>
      <c r="F251" s="931"/>
      <c r="G251" s="932"/>
      <c r="H251" s="933"/>
      <c r="I251" s="934"/>
      <c r="J251" s="935"/>
      <c r="K251" s="935"/>
      <c r="L251" s="935"/>
      <c r="M251" s="729"/>
      <c r="N251" s="729"/>
      <c r="O251" s="729"/>
      <c r="P251" s="729"/>
      <c r="Q251" s="729"/>
    </row>
    <row r="252" spans="1:17" s="714" customFormat="1" ht="24" customHeight="1">
      <c r="A252" s="831" t="s">
        <v>1032</v>
      </c>
      <c r="B252" s="720" t="s">
        <v>1283</v>
      </c>
      <c r="C252" s="717"/>
      <c r="D252" s="717"/>
      <c r="E252" s="917"/>
      <c r="F252" s="916"/>
      <c r="G252" s="806"/>
      <c r="H252" s="918"/>
      <c r="I252" s="807"/>
      <c r="J252" s="919"/>
      <c r="K252" s="919"/>
      <c r="L252" s="919"/>
      <c r="M252" s="729"/>
      <c r="N252" s="729"/>
      <c r="O252" s="729"/>
      <c r="P252" s="729"/>
      <c r="Q252" s="729"/>
    </row>
    <row r="253" spans="1:17" s="714" customFormat="1" ht="24" customHeight="1">
      <c r="A253" s="831"/>
      <c r="B253" s="720" t="s">
        <v>1284</v>
      </c>
      <c r="C253" s="717"/>
      <c r="D253" s="717"/>
      <c r="E253" s="917">
        <v>39</v>
      </c>
      <c r="F253" s="722" t="s">
        <v>240</v>
      </c>
      <c r="G253" s="806">
        <v>90</v>
      </c>
      <c r="H253" s="796">
        <f t="shared" ref="H253:H261" si="34">ROUND(E253*G253,)</f>
        <v>3510</v>
      </c>
      <c r="I253" s="807">
        <v>80</v>
      </c>
      <c r="J253" s="796">
        <f t="shared" ref="J253:J261" si="35">ROUND(E253*I253,)</f>
        <v>3120</v>
      </c>
      <c r="K253" s="1030">
        <f t="shared" ref="K253:K261" si="36">H253+J253</f>
        <v>6630</v>
      </c>
      <c r="L253" s="919"/>
      <c r="M253" s="729"/>
      <c r="N253" s="729"/>
      <c r="O253" s="729"/>
      <c r="P253" s="729"/>
      <c r="Q253" s="729"/>
    </row>
    <row r="254" spans="1:17" s="714" customFormat="1" ht="24" customHeight="1">
      <c r="A254" s="831"/>
      <c r="B254" s="705" t="s">
        <v>1418</v>
      </c>
      <c r="C254" s="717"/>
      <c r="D254" s="717"/>
      <c r="E254" s="967"/>
      <c r="F254" s="709" t="s">
        <v>240</v>
      </c>
      <c r="G254" s="806">
        <v>130</v>
      </c>
      <c r="H254" s="796">
        <f t="shared" si="34"/>
        <v>0</v>
      </c>
      <c r="I254" s="807">
        <v>90</v>
      </c>
      <c r="J254" s="796">
        <f t="shared" si="35"/>
        <v>0</v>
      </c>
      <c r="K254" s="1030">
        <f t="shared" si="36"/>
        <v>0</v>
      </c>
      <c r="L254" s="919"/>
    </row>
    <row r="255" spans="1:17" s="714" customFormat="1" ht="24" customHeight="1">
      <c r="A255" s="831"/>
      <c r="B255" s="720" t="s">
        <v>1285</v>
      </c>
      <c r="C255" s="717"/>
      <c r="D255" s="717"/>
      <c r="E255" s="917"/>
      <c r="F255" s="722" t="s">
        <v>240</v>
      </c>
      <c r="G255" s="806">
        <v>162</v>
      </c>
      <c r="H255" s="796">
        <f t="shared" si="34"/>
        <v>0</v>
      </c>
      <c r="I255" s="807">
        <v>90</v>
      </c>
      <c r="J255" s="796">
        <f t="shared" si="35"/>
        <v>0</v>
      </c>
      <c r="K255" s="1030">
        <f t="shared" si="36"/>
        <v>0</v>
      </c>
      <c r="L255" s="919"/>
      <c r="M255" s="729"/>
      <c r="N255" s="729"/>
      <c r="O255" s="729"/>
      <c r="P255" s="729"/>
      <c r="Q255" s="729"/>
    </row>
    <row r="256" spans="1:17" s="714" customFormat="1" ht="24" customHeight="1">
      <c r="A256" s="831"/>
      <c r="B256" s="720" t="s">
        <v>1286</v>
      </c>
      <c r="C256" s="717"/>
      <c r="D256" s="717"/>
      <c r="E256" s="917">
        <v>78</v>
      </c>
      <c r="F256" s="722" t="s">
        <v>240</v>
      </c>
      <c r="G256" s="806">
        <v>197</v>
      </c>
      <c r="H256" s="796">
        <f t="shared" si="34"/>
        <v>15366</v>
      </c>
      <c r="I256" s="807">
        <v>90</v>
      </c>
      <c r="J256" s="796">
        <f t="shared" si="35"/>
        <v>7020</v>
      </c>
      <c r="K256" s="1030">
        <f t="shared" si="36"/>
        <v>22386</v>
      </c>
      <c r="L256" s="919"/>
      <c r="M256" s="729"/>
      <c r="N256" s="729"/>
      <c r="O256" s="729"/>
      <c r="P256" s="729"/>
      <c r="Q256" s="729"/>
    </row>
    <row r="257" spans="1:19" s="714" customFormat="1" ht="24" customHeight="1">
      <c r="A257" s="831"/>
      <c r="B257" s="705" t="s">
        <v>1287</v>
      </c>
      <c r="C257" s="717"/>
      <c r="D257" s="717"/>
      <c r="E257" s="967"/>
      <c r="F257" s="709" t="s">
        <v>240</v>
      </c>
      <c r="G257" s="806">
        <v>1500</v>
      </c>
      <c r="H257" s="796">
        <f t="shared" si="34"/>
        <v>0</v>
      </c>
      <c r="I257" s="807">
        <v>265</v>
      </c>
      <c r="J257" s="796">
        <f t="shared" si="35"/>
        <v>0</v>
      </c>
      <c r="K257" s="1030">
        <f t="shared" si="36"/>
        <v>0</v>
      </c>
      <c r="L257" s="919"/>
    </row>
    <row r="258" spans="1:19" s="714" customFormat="1" ht="24" customHeight="1">
      <c r="A258" s="831"/>
      <c r="B258" s="720" t="s">
        <v>1288</v>
      </c>
      <c r="C258" s="717"/>
      <c r="D258" s="717"/>
      <c r="E258" s="917"/>
      <c r="F258" s="722" t="s">
        <v>240</v>
      </c>
      <c r="G258" s="806">
        <v>320</v>
      </c>
      <c r="H258" s="796">
        <f t="shared" si="34"/>
        <v>0</v>
      </c>
      <c r="I258" s="807">
        <v>200</v>
      </c>
      <c r="J258" s="796">
        <f t="shared" si="35"/>
        <v>0</v>
      </c>
      <c r="K258" s="1030">
        <f t="shared" si="36"/>
        <v>0</v>
      </c>
      <c r="L258" s="919"/>
      <c r="M258" s="729"/>
      <c r="N258" s="729"/>
      <c r="O258" s="729"/>
      <c r="P258" s="729"/>
      <c r="Q258" s="729"/>
    </row>
    <row r="259" spans="1:19" s="714" customFormat="1" ht="24" customHeight="1">
      <c r="A259" s="831" t="s">
        <v>1598</v>
      </c>
      <c r="B259" s="720" t="s">
        <v>1289</v>
      </c>
      <c r="C259" s="717"/>
      <c r="D259" s="717"/>
      <c r="E259" s="917">
        <f>49+4</f>
        <v>53</v>
      </c>
      <c r="F259" s="722" t="s">
        <v>240</v>
      </c>
      <c r="G259" s="806">
        <v>130</v>
      </c>
      <c r="H259" s="796">
        <f t="shared" si="34"/>
        <v>6890</v>
      </c>
      <c r="I259" s="807">
        <v>90</v>
      </c>
      <c r="J259" s="796">
        <f t="shared" si="35"/>
        <v>4770</v>
      </c>
      <c r="K259" s="1030">
        <f t="shared" si="36"/>
        <v>11660</v>
      </c>
      <c r="L259" s="919"/>
      <c r="M259" s="729"/>
      <c r="N259" s="729"/>
      <c r="O259" s="729"/>
      <c r="P259" s="729"/>
      <c r="Q259" s="729"/>
    </row>
    <row r="260" spans="1:19" s="714" customFormat="1" ht="24" customHeight="1">
      <c r="A260" s="831" t="s">
        <v>1601</v>
      </c>
      <c r="B260" s="720" t="s">
        <v>1419</v>
      </c>
      <c r="C260" s="717"/>
      <c r="D260" s="717"/>
      <c r="E260" s="917"/>
      <c r="F260" s="722" t="s">
        <v>240</v>
      </c>
      <c r="G260" s="806">
        <v>150</v>
      </c>
      <c r="H260" s="796">
        <f t="shared" si="34"/>
        <v>0</v>
      </c>
      <c r="I260" s="807">
        <v>90</v>
      </c>
      <c r="J260" s="796">
        <f t="shared" si="35"/>
        <v>0</v>
      </c>
      <c r="K260" s="1030">
        <f t="shared" si="36"/>
        <v>0</v>
      </c>
      <c r="L260" s="919"/>
      <c r="M260" s="729"/>
      <c r="N260" s="729"/>
      <c r="O260" s="729"/>
      <c r="P260" s="729"/>
      <c r="Q260" s="729"/>
      <c r="R260" s="729"/>
      <c r="S260" s="729"/>
    </row>
    <row r="261" spans="1:19" s="714" customFormat="1" ht="24" customHeight="1">
      <c r="A261" s="831"/>
      <c r="B261" s="720" t="s">
        <v>1420</v>
      </c>
      <c r="C261" s="717"/>
      <c r="D261" s="717"/>
      <c r="E261" s="917">
        <v>2</v>
      </c>
      <c r="F261" s="722" t="s">
        <v>240</v>
      </c>
      <c r="G261" s="806">
        <v>4000</v>
      </c>
      <c r="H261" s="796">
        <f t="shared" si="34"/>
        <v>8000</v>
      </c>
      <c r="I261" s="807">
        <v>500</v>
      </c>
      <c r="J261" s="914">
        <f t="shared" si="35"/>
        <v>1000</v>
      </c>
      <c r="K261" s="1030">
        <f t="shared" si="36"/>
        <v>9000</v>
      </c>
      <c r="L261" s="919"/>
      <c r="M261" s="729"/>
      <c r="N261" s="729"/>
      <c r="O261" s="729"/>
      <c r="P261" s="729"/>
      <c r="Q261" s="729"/>
      <c r="R261" s="729"/>
      <c r="S261" s="729"/>
    </row>
    <row r="262" spans="1:19" s="714" customFormat="1" ht="24" customHeight="1">
      <c r="A262" s="831"/>
      <c r="B262" s="720" t="s">
        <v>957</v>
      </c>
      <c r="C262" s="717"/>
      <c r="D262" s="717"/>
      <c r="E262" s="917"/>
      <c r="F262" s="916"/>
      <c r="G262" s="806"/>
      <c r="H262" s="918"/>
      <c r="I262" s="807"/>
      <c r="J262" s="919"/>
      <c r="K262" s="919"/>
      <c r="L262" s="919"/>
      <c r="M262" s="729"/>
      <c r="N262" s="729"/>
      <c r="O262" s="729"/>
      <c r="P262" s="729"/>
      <c r="Q262" s="729"/>
    </row>
    <row r="263" spans="1:19" s="714" customFormat="1" ht="24" customHeight="1">
      <c r="A263" s="831"/>
      <c r="B263" s="720" t="s">
        <v>958</v>
      </c>
      <c r="C263" s="717"/>
      <c r="D263" s="717"/>
      <c r="E263" s="917"/>
      <c r="F263" s="916"/>
      <c r="G263" s="806"/>
      <c r="H263" s="918"/>
      <c r="I263" s="807"/>
      <c r="J263" s="919"/>
      <c r="K263" s="919"/>
      <c r="L263" s="919"/>
      <c r="M263" s="729"/>
      <c r="N263" s="729"/>
      <c r="O263" s="729"/>
      <c r="P263" s="729"/>
      <c r="Q263" s="729"/>
    </row>
    <row r="264" spans="1:19" s="714" customFormat="1" ht="24" customHeight="1">
      <c r="A264" s="775"/>
      <c r="B264" s="2475" t="str">
        <f>"รวมราคารายการที่ "&amp;A251</f>
        <v>รวมราคารายการที่ 3.6</v>
      </c>
      <c r="C264" s="2476"/>
      <c r="D264" s="2477"/>
      <c r="E264" s="776"/>
      <c r="F264" s="777"/>
      <c r="G264" s="959"/>
      <c r="H264" s="960">
        <f>SUM(H251:H263)</f>
        <v>33766</v>
      </c>
      <c r="I264" s="959"/>
      <c r="J264" s="960">
        <f>SUM(J251:J263)</f>
        <v>15910</v>
      </c>
      <c r="K264" s="960">
        <f>SUM(K251:K263)</f>
        <v>49676</v>
      </c>
      <c r="L264" s="777"/>
      <c r="M264" s="729"/>
      <c r="N264" s="729"/>
      <c r="O264" s="729"/>
      <c r="P264" s="729"/>
      <c r="Q264" s="729"/>
    </row>
    <row r="265" spans="1:19" s="714" customFormat="1" ht="24" customHeight="1">
      <c r="A265" s="969" t="s">
        <v>1317</v>
      </c>
      <c r="B265" s="970" t="s">
        <v>1197</v>
      </c>
      <c r="C265" s="770"/>
      <c r="D265" s="770"/>
      <c r="E265" s="930"/>
      <c r="F265" s="709"/>
      <c r="G265" s="932"/>
      <c r="H265" s="854"/>
      <c r="I265" s="934"/>
      <c r="J265" s="854"/>
      <c r="K265" s="912"/>
      <c r="L265" s="935"/>
      <c r="M265" s="729"/>
      <c r="N265" s="729"/>
      <c r="O265" s="729"/>
      <c r="P265" s="729"/>
      <c r="Q265" s="729"/>
    </row>
    <row r="266" spans="1:19" s="714" customFormat="1" ht="24" customHeight="1">
      <c r="A266" s="791" t="s">
        <v>1051</v>
      </c>
      <c r="B266" s="971" t="s">
        <v>1291</v>
      </c>
      <c r="C266" s="717"/>
      <c r="D266" s="717"/>
      <c r="E266" s="917"/>
      <c r="F266" s="722"/>
      <c r="G266" s="806"/>
      <c r="H266" s="796"/>
      <c r="I266" s="807"/>
      <c r="J266" s="796"/>
      <c r="K266" s="914"/>
      <c r="L266" s="919"/>
      <c r="M266" s="729"/>
      <c r="N266" s="729"/>
      <c r="O266" s="729"/>
      <c r="P266" s="729"/>
      <c r="Q266" s="729"/>
    </row>
    <row r="267" spans="1:19" s="714" customFormat="1" ht="24" customHeight="1">
      <c r="A267" s="1038"/>
      <c r="B267" s="972" t="s">
        <v>1421</v>
      </c>
      <c r="C267" s="717"/>
      <c r="D267" s="717"/>
      <c r="E267" s="917">
        <v>1</v>
      </c>
      <c r="F267" s="722" t="s">
        <v>240</v>
      </c>
      <c r="G267" s="806">
        <f>72000+20280+5500</f>
        <v>97780</v>
      </c>
      <c r="H267" s="796">
        <f t="shared" ref="H267:H268" si="37">ROUND(E267*G267,)</f>
        <v>97780</v>
      </c>
      <c r="I267" s="807">
        <f t="shared" ref="I267:I268" si="38">G267*0.05</f>
        <v>4889</v>
      </c>
      <c r="J267" s="796">
        <f t="shared" ref="J267:J268" si="39">ROUND(E267*I267,)</f>
        <v>4889</v>
      </c>
      <c r="K267" s="1030">
        <f t="shared" ref="K267:K269" si="40">H267+J267</f>
        <v>102669</v>
      </c>
      <c r="L267" s="919"/>
      <c r="M267" s="729"/>
      <c r="N267" s="729"/>
      <c r="O267" s="729"/>
      <c r="P267" s="729"/>
      <c r="Q267" s="729"/>
    </row>
    <row r="268" spans="1:19" s="714" customFormat="1" ht="24" customHeight="1">
      <c r="A268" s="1038"/>
      <c r="B268" s="972" t="s">
        <v>1422</v>
      </c>
      <c r="C268" s="717"/>
      <c r="D268" s="717"/>
      <c r="E268" s="917">
        <v>1</v>
      </c>
      <c r="F268" s="722" t="s">
        <v>240</v>
      </c>
      <c r="G268" s="806">
        <f>72000+20280+5500</f>
        <v>97780</v>
      </c>
      <c r="H268" s="796">
        <f t="shared" si="37"/>
        <v>97780</v>
      </c>
      <c r="I268" s="807">
        <f t="shared" si="38"/>
        <v>4889</v>
      </c>
      <c r="J268" s="796">
        <f t="shared" si="39"/>
        <v>4889</v>
      </c>
      <c r="K268" s="1030">
        <f t="shared" si="40"/>
        <v>102669</v>
      </c>
      <c r="L268" s="919"/>
      <c r="M268" s="729"/>
      <c r="N268" s="729"/>
      <c r="O268" s="729"/>
      <c r="P268" s="729"/>
      <c r="Q268" s="729"/>
    </row>
    <row r="269" spans="1:19" s="714" customFormat="1" ht="24" customHeight="1">
      <c r="A269" s="704"/>
      <c r="B269" s="972" t="s">
        <v>957</v>
      </c>
      <c r="C269" s="717"/>
      <c r="D269" s="717"/>
      <c r="E269" s="917"/>
      <c r="F269" s="916"/>
      <c r="G269" s="806"/>
      <c r="H269" s="918"/>
      <c r="I269" s="807"/>
      <c r="J269" s="919"/>
      <c r="K269" s="1030">
        <f t="shared" si="40"/>
        <v>0</v>
      </c>
      <c r="L269" s="919"/>
      <c r="M269" s="729"/>
      <c r="N269" s="729"/>
      <c r="O269" s="729"/>
      <c r="P269" s="729"/>
      <c r="Q269" s="729"/>
    </row>
    <row r="270" spans="1:19" s="714" customFormat="1" ht="24" customHeight="1">
      <c r="A270" s="704"/>
      <c r="B270" s="972" t="s">
        <v>958</v>
      </c>
      <c r="C270" s="717"/>
      <c r="D270" s="717"/>
      <c r="E270" s="917"/>
      <c r="F270" s="916"/>
      <c r="G270" s="806"/>
      <c r="H270" s="918"/>
      <c r="I270" s="807"/>
      <c r="J270" s="919"/>
      <c r="K270" s="919"/>
      <c r="L270" s="919"/>
      <c r="M270" s="729"/>
      <c r="N270" s="729"/>
      <c r="O270" s="729"/>
      <c r="P270" s="729"/>
      <c r="Q270" s="729"/>
    </row>
    <row r="271" spans="1:19" s="714" customFormat="1" ht="24" customHeight="1">
      <c r="A271" s="775"/>
      <c r="B271" s="2475" t="str">
        <f>"รวมราคารายการที่ "&amp;A265</f>
        <v>รวมราคารายการที่ 3.7</v>
      </c>
      <c r="C271" s="2476"/>
      <c r="D271" s="2477"/>
      <c r="E271" s="776"/>
      <c r="F271" s="777"/>
      <c r="G271" s="959"/>
      <c r="H271" s="960">
        <f>SUM(H265:H270)</f>
        <v>195560</v>
      </c>
      <c r="I271" s="959"/>
      <c r="J271" s="960">
        <f>SUM(J265:J270)</f>
        <v>9778</v>
      </c>
      <c r="K271" s="960">
        <f>SUM(K265:K270)</f>
        <v>205338</v>
      </c>
      <c r="L271" s="777"/>
      <c r="M271" s="729"/>
      <c r="N271" s="729"/>
      <c r="O271" s="729"/>
      <c r="P271" s="729"/>
      <c r="Q271" s="729"/>
    </row>
    <row r="272" spans="1:19" s="714" customFormat="1" ht="24" customHeight="1">
      <c r="A272" s="911" t="s">
        <v>1339</v>
      </c>
      <c r="B272" s="816" t="s">
        <v>1294</v>
      </c>
      <c r="C272" s="770"/>
      <c r="D272" s="770"/>
      <c r="E272" s="930"/>
      <c r="F272" s="709"/>
      <c r="G272" s="932"/>
      <c r="H272" s="854"/>
      <c r="I272" s="934"/>
      <c r="J272" s="854"/>
      <c r="K272" s="912"/>
      <c r="L272" s="935"/>
      <c r="M272" s="729"/>
      <c r="N272" s="729"/>
      <c r="O272" s="729"/>
      <c r="P272" s="729"/>
      <c r="Q272" s="729"/>
    </row>
    <row r="273" spans="1:16" s="714" customFormat="1" ht="24" customHeight="1">
      <c r="A273" s="861"/>
      <c r="B273" s="800" t="s">
        <v>1295</v>
      </c>
      <c r="C273" s="717"/>
      <c r="D273" s="717"/>
      <c r="E273" s="942">
        <v>27</v>
      </c>
      <c r="F273" s="803" t="s">
        <v>240</v>
      </c>
      <c r="G273" s="752">
        <v>420</v>
      </c>
      <c r="H273" s="864">
        <f t="shared" ref="H273:H295" si="41">ROUND(E273*G273,)</f>
        <v>11340</v>
      </c>
      <c r="I273" s="949">
        <v>115</v>
      </c>
      <c r="J273" s="864">
        <f t="shared" ref="J273:J295" si="42">ROUND(E273*I273,)</f>
        <v>3105</v>
      </c>
      <c r="K273" s="966">
        <f t="shared" ref="K273:K295" si="43">H273+J273</f>
        <v>14445</v>
      </c>
      <c r="L273" s="973"/>
      <c r="M273" s="729"/>
      <c r="N273" s="729"/>
      <c r="O273" s="729"/>
      <c r="P273" s="729"/>
    </row>
    <row r="274" spans="1:16" s="714" customFormat="1" ht="24" customHeight="1">
      <c r="A274" s="861"/>
      <c r="B274" s="800" t="s">
        <v>1296</v>
      </c>
      <c r="C274" s="717"/>
      <c r="D274" s="717"/>
      <c r="E274" s="942">
        <v>12</v>
      </c>
      <c r="F274" s="803" t="s">
        <v>240</v>
      </c>
      <c r="G274" s="752">
        <v>500</v>
      </c>
      <c r="H274" s="864">
        <f t="shared" si="41"/>
        <v>6000</v>
      </c>
      <c r="I274" s="949">
        <v>115</v>
      </c>
      <c r="J274" s="864">
        <f t="shared" si="42"/>
        <v>1380</v>
      </c>
      <c r="K274" s="966">
        <f t="shared" si="43"/>
        <v>7380</v>
      </c>
      <c r="L274" s="973"/>
      <c r="M274" s="729"/>
      <c r="N274" s="729"/>
      <c r="O274" s="729"/>
      <c r="P274" s="729"/>
    </row>
    <row r="275" spans="1:16" s="714" customFormat="1" ht="24" customHeight="1">
      <c r="A275" s="861"/>
      <c r="B275" s="800" t="s">
        <v>1297</v>
      </c>
      <c r="C275" s="717"/>
      <c r="D275" s="717"/>
      <c r="E275" s="942">
        <v>22</v>
      </c>
      <c r="F275" s="803" t="s">
        <v>240</v>
      </c>
      <c r="G275" s="752">
        <v>550</v>
      </c>
      <c r="H275" s="864">
        <f t="shared" si="41"/>
        <v>12100</v>
      </c>
      <c r="I275" s="949">
        <v>115</v>
      </c>
      <c r="J275" s="864">
        <f t="shared" si="42"/>
        <v>2530</v>
      </c>
      <c r="K275" s="966">
        <f t="shared" si="43"/>
        <v>14630</v>
      </c>
      <c r="L275" s="973"/>
      <c r="M275" s="729"/>
      <c r="N275" s="729"/>
      <c r="O275" s="729"/>
      <c r="P275" s="729"/>
    </row>
    <row r="276" spans="1:16" s="714" customFormat="1" ht="24" customHeight="1">
      <c r="A276" s="861"/>
      <c r="B276" s="800" t="s">
        <v>1298</v>
      </c>
      <c r="C276" s="717"/>
      <c r="D276" s="717"/>
      <c r="E276" s="942"/>
      <c r="F276" s="803" t="s">
        <v>240</v>
      </c>
      <c r="G276" s="752">
        <v>750</v>
      </c>
      <c r="H276" s="864">
        <f t="shared" si="41"/>
        <v>0</v>
      </c>
      <c r="I276" s="949">
        <v>135</v>
      </c>
      <c r="J276" s="864">
        <f t="shared" si="42"/>
        <v>0</v>
      </c>
      <c r="K276" s="966">
        <f t="shared" si="43"/>
        <v>0</v>
      </c>
      <c r="L276" s="973"/>
      <c r="M276" s="729"/>
      <c r="N276" s="729"/>
      <c r="O276" s="729"/>
      <c r="P276" s="729"/>
    </row>
    <row r="277" spans="1:16" s="714" customFormat="1" ht="24" customHeight="1">
      <c r="A277" s="861"/>
      <c r="B277" s="800" t="s">
        <v>1299</v>
      </c>
      <c r="C277" s="717"/>
      <c r="D277" s="717"/>
      <c r="E277" s="942"/>
      <c r="F277" s="803" t="s">
        <v>240</v>
      </c>
      <c r="G277" s="806">
        <v>2090</v>
      </c>
      <c r="H277" s="796">
        <f t="shared" si="41"/>
        <v>0</v>
      </c>
      <c r="I277" s="807">
        <v>135</v>
      </c>
      <c r="J277" s="864">
        <f t="shared" si="42"/>
        <v>0</v>
      </c>
      <c r="K277" s="966">
        <f t="shared" si="43"/>
        <v>0</v>
      </c>
      <c r="L277" s="973"/>
      <c r="M277" s="729"/>
      <c r="N277" s="729"/>
      <c r="O277" s="729"/>
      <c r="P277" s="729"/>
    </row>
    <row r="278" spans="1:16" s="714" customFormat="1" ht="24" customHeight="1">
      <c r="A278" s="861"/>
      <c r="B278" s="800" t="s">
        <v>2967</v>
      </c>
      <c r="C278" s="717"/>
      <c r="D278" s="717"/>
      <c r="E278" s="942">
        <v>5</v>
      </c>
      <c r="F278" s="803" t="s">
        <v>240</v>
      </c>
      <c r="G278" s="752">
        <v>2090</v>
      </c>
      <c r="H278" s="864">
        <f t="shared" si="41"/>
        <v>10450</v>
      </c>
      <c r="I278" s="949">
        <v>135</v>
      </c>
      <c r="J278" s="864">
        <f t="shared" si="42"/>
        <v>675</v>
      </c>
      <c r="K278" s="867">
        <f t="shared" si="43"/>
        <v>11125</v>
      </c>
      <c r="L278" s="973"/>
      <c r="M278" s="729"/>
      <c r="N278" s="729"/>
      <c r="O278" s="729"/>
      <c r="P278" s="729"/>
    </row>
    <row r="279" spans="1:16" s="714" customFormat="1" ht="24" customHeight="1">
      <c r="A279" s="861"/>
      <c r="B279" s="800" t="s">
        <v>1300</v>
      </c>
      <c r="C279" s="717"/>
      <c r="D279" s="717"/>
      <c r="E279" s="942"/>
      <c r="F279" s="803" t="s">
        <v>240</v>
      </c>
      <c r="G279" s="806">
        <v>650</v>
      </c>
      <c r="H279" s="796">
        <f t="shared" si="41"/>
        <v>0</v>
      </c>
      <c r="I279" s="807">
        <v>20</v>
      </c>
      <c r="J279" s="864">
        <f t="shared" si="42"/>
        <v>0</v>
      </c>
      <c r="K279" s="966">
        <f t="shared" si="43"/>
        <v>0</v>
      </c>
      <c r="L279" s="973"/>
      <c r="M279" s="729"/>
      <c r="N279" s="729"/>
      <c r="O279" s="729"/>
      <c r="P279" s="729"/>
    </row>
    <row r="280" spans="1:16" s="714" customFormat="1" ht="24" customHeight="1">
      <c r="A280" s="861"/>
      <c r="B280" s="800" t="s">
        <v>1301</v>
      </c>
      <c r="C280" s="717"/>
      <c r="D280" s="717"/>
      <c r="E280" s="942"/>
      <c r="F280" s="803" t="s">
        <v>240</v>
      </c>
      <c r="G280" s="806">
        <v>1200</v>
      </c>
      <c r="H280" s="796">
        <f t="shared" si="41"/>
        <v>0</v>
      </c>
      <c r="I280" s="807">
        <v>135</v>
      </c>
      <c r="J280" s="864">
        <f t="shared" si="42"/>
        <v>0</v>
      </c>
      <c r="K280" s="966">
        <f t="shared" si="43"/>
        <v>0</v>
      </c>
      <c r="L280" s="973"/>
      <c r="M280" s="729"/>
      <c r="N280" s="729"/>
      <c r="O280" s="729"/>
      <c r="P280" s="729"/>
    </row>
    <row r="281" spans="1:16" s="714" customFormat="1" ht="24" customHeight="1">
      <c r="A281" s="861"/>
      <c r="B281" s="800" t="s">
        <v>1302</v>
      </c>
      <c r="C281" s="717"/>
      <c r="D281" s="717"/>
      <c r="E281" s="942"/>
      <c r="F281" s="803" t="s">
        <v>240</v>
      </c>
      <c r="G281" s="806">
        <v>1200</v>
      </c>
      <c r="H281" s="796">
        <f t="shared" si="41"/>
        <v>0</v>
      </c>
      <c r="I281" s="807">
        <v>135</v>
      </c>
      <c r="J281" s="864">
        <f t="shared" si="42"/>
        <v>0</v>
      </c>
      <c r="K281" s="966">
        <f t="shared" si="43"/>
        <v>0</v>
      </c>
      <c r="L281" s="973"/>
      <c r="M281" s="729"/>
      <c r="N281" s="729"/>
      <c r="O281" s="729"/>
      <c r="P281" s="729"/>
    </row>
    <row r="282" spans="1:16" s="714" customFormat="1" ht="24" customHeight="1">
      <c r="A282" s="861"/>
      <c r="B282" s="756" t="s">
        <v>1303</v>
      </c>
      <c r="C282" s="717"/>
      <c r="D282" s="717"/>
      <c r="E282" s="942"/>
      <c r="F282" s="759" t="s">
        <v>240</v>
      </c>
      <c r="G282" s="806">
        <v>1200</v>
      </c>
      <c r="H282" s="796">
        <f t="shared" si="41"/>
        <v>0</v>
      </c>
      <c r="I282" s="807">
        <v>135</v>
      </c>
      <c r="J282" s="864">
        <f t="shared" si="42"/>
        <v>0</v>
      </c>
      <c r="K282" s="1030">
        <f t="shared" si="43"/>
        <v>0</v>
      </c>
      <c r="L282" s="973"/>
      <c r="M282" s="729"/>
      <c r="N282" s="729"/>
      <c r="O282" s="729"/>
      <c r="P282" s="729"/>
    </row>
    <row r="283" spans="1:16" s="714" customFormat="1" ht="24" customHeight="1">
      <c r="A283" s="861"/>
      <c r="B283" s="756" t="s">
        <v>1304</v>
      </c>
      <c r="C283" s="717"/>
      <c r="D283" s="717"/>
      <c r="E283" s="942"/>
      <c r="F283" s="759" t="s">
        <v>240</v>
      </c>
      <c r="G283" s="806">
        <v>1200</v>
      </c>
      <c r="H283" s="796">
        <f t="shared" si="41"/>
        <v>0</v>
      </c>
      <c r="I283" s="807">
        <v>135</v>
      </c>
      <c r="J283" s="864">
        <f t="shared" si="42"/>
        <v>0</v>
      </c>
      <c r="K283" s="1030">
        <f t="shared" si="43"/>
        <v>0</v>
      </c>
      <c r="L283" s="973"/>
      <c r="M283" s="729"/>
      <c r="N283" s="729"/>
      <c r="O283" s="729"/>
      <c r="P283" s="729"/>
    </row>
    <row r="284" spans="1:16" s="714" customFormat="1" ht="24" customHeight="1">
      <c r="A284" s="861"/>
      <c r="B284" s="756" t="s">
        <v>1305</v>
      </c>
      <c r="C284" s="717"/>
      <c r="D284" s="717"/>
      <c r="E284" s="942">
        <v>703</v>
      </c>
      <c r="F284" s="759" t="s">
        <v>240</v>
      </c>
      <c r="G284" s="806">
        <v>1200</v>
      </c>
      <c r="H284" s="796">
        <f t="shared" si="41"/>
        <v>843600</v>
      </c>
      <c r="I284" s="807">
        <v>135</v>
      </c>
      <c r="J284" s="864">
        <f t="shared" si="42"/>
        <v>94905</v>
      </c>
      <c r="K284" s="1030">
        <f t="shared" si="43"/>
        <v>938505</v>
      </c>
      <c r="L284" s="973"/>
      <c r="M284" s="729"/>
      <c r="N284" s="729"/>
      <c r="O284" s="729"/>
      <c r="P284" s="729"/>
    </row>
    <row r="285" spans="1:16" s="714" customFormat="1" ht="24" customHeight="1">
      <c r="A285" s="861"/>
      <c r="B285" s="756" t="s">
        <v>1306</v>
      </c>
      <c r="C285" s="717"/>
      <c r="D285" s="717"/>
      <c r="E285" s="942"/>
      <c r="F285" s="759" t="s">
        <v>240</v>
      </c>
      <c r="G285" s="806">
        <v>1860</v>
      </c>
      <c r="H285" s="796">
        <f t="shared" si="41"/>
        <v>0</v>
      </c>
      <c r="I285" s="807">
        <v>135</v>
      </c>
      <c r="J285" s="796">
        <f t="shared" si="42"/>
        <v>0</v>
      </c>
      <c r="K285" s="1030">
        <f t="shared" si="43"/>
        <v>0</v>
      </c>
      <c r="L285" s="973"/>
      <c r="M285" s="729"/>
      <c r="N285" s="729"/>
      <c r="O285" s="729"/>
      <c r="P285" s="729"/>
    </row>
    <row r="286" spans="1:16" s="714" customFormat="1" ht="24" customHeight="1">
      <c r="A286" s="861"/>
      <c r="B286" s="756" t="s">
        <v>1307</v>
      </c>
      <c r="C286" s="717"/>
      <c r="D286" s="717"/>
      <c r="E286" s="942"/>
      <c r="F286" s="759" t="s">
        <v>240</v>
      </c>
      <c r="G286" s="806">
        <v>1860</v>
      </c>
      <c r="H286" s="796">
        <f t="shared" si="41"/>
        <v>0</v>
      </c>
      <c r="I286" s="807">
        <v>135</v>
      </c>
      <c r="J286" s="796">
        <f t="shared" si="42"/>
        <v>0</v>
      </c>
      <c r="K286" s="1030">
        <f t="shared" si="43"/>
        <v>0</v>
      </c>
      <c r="L286" s="973"/>
      <c r="M286" s="729"/>
      <c r="N286" s="729"/>
      <c r="O286" s="729"/>
      <c r="P286" s="729"/>
    </row>
    <row r="287" spans="1:16" s="714" customFormat="1" ht="24" customHeight="1">
      <c r="A287" s="861"/>
      <c r="B287" s="756" t="s">
        <v>1308</v>
      </c>
      <c r="C287" s="717"/>
      <c r="D287" s="717"/>
      <c r="E287" s="942"/>
      <c r="F287" s="759" t="s">
        <v>240</v>
      </c>
      <c r="G287" s="806">
        <v>1250</v>
      </c>
      <c r="H287" s="796">
        <f t="shared" si="41"/>
        <v>0</v>
      </c>
      <c r="I287" s="807">
        <v>135</v>
      </c>
      <c r="J287" s="864">
        <f t="shared" si="42"/>
        <v>0</v>
      </c>
      <c r="K287" s="1030">
        <f t="shared" si="43"/>
        <v>0</v>
      </c>
      <c r="L287" s="973"/>
      <c r="M287" s="729"/>
      <c r="N287" s="729"/>
      <c r="O287" s="729"/>
      <c r="P287" s="729"/>
    </row>
    <row r="288" spans="1:16" s="714" customFormat="1" ht="24" customHeight="1">
      <c r="A288" s="861"/>
      <c r="B288" s="756" t="s">
        <v>1309</v>
      </c>
      <c r="C288" s="717"/>
      <c r="D288" s="717"/>
      <c r="E288" s="942"/>
      <c r="F288" s="759" t="s">
        <v>240</v>
      </c>
      <c r="G288" s="806">
        <v>1860</v>
      </c>
      <c r="H288" s="796">
        <f t="shared" si="41"/>
        <v>0</v>
      </c>
      <c r="I288" s="807">
        <v>135</v>
      </c>
      <c r="J288" s="796">
        <f t="shared" si="42"/>
        <v>0</v>
      </c>
      <c r="K288" s="1030">
        <f t="shared" si="43"/>
        <v>0</v>
      </c>
      <c r="L288" s="973"/>
      <c r="M288" s="729"/>
      <c r="N288" s="729"/>
      <c r="O288" s="729"/>
      <c r="P288" s="729"/>
    </row>
    <row r="289" spans="1:17" s="714" customFormat="1" ht="24" customHeight="1">
      <c r="A289" s="861"/>
      <c r="B289" s="756" t="s">
        <v>1310</v>
      </c>
      <c r="C289" s="717"/>
      <c r="D289" s="717"/>
      <c r="E289" s="942"/>
      <c r="F289" s="759" t="s">
        <v>240</v>
      </c>
      <c r="G289" s="806">
        <v>1200</v>
      </c>
      <c r="H289" s="796">
        <f t="shared" si="41"/>
        <v>0</v>
      </c>
      <c r="I289" s="807">
        <v>135</v>
      </c>
      <c r="J289" s="864">
        <f t="shared" si="42"/>
        <v>0</v>
      </c>
      <c r="K289" s="1030">
        <f t="shared" si="43"/>
        <v>0</v>
      </c>
      <c r="L289" s="973"/>
      <c r="M289" s="729"/>
      <c r="N289" s="729"/>
      <c r="O289" s="729"/>
      <c r="P289" s="729"/>
    </row>
    <row r="290" spans="1:17" s="714" customFormat="1" ht="24" customHeight="1">
      <c r="A290" s="861"/>
      <c r="B290" s="756" t="s">
        <v>1311</v>
      </c>
      <c r="C290" s="717"/>
      <c r="D290" s="717"/>
      <c r="E290" s="942">
        <v>114</v>
      </c>
      <c r="F290" s="759" t="s">
        <v>240</v>
      </c>
      <c r="G290" s="806">
        <v>1200</v>
      </c>
      <c r="H290" s="796">
        <f t="shared" si="41"/>
        <v>136800</v>
      </c>
      <c r="I290" s="807">
        <v>135</v>
      </c>
      <c r="J290" s="864">
        <f t="shared" si="42"/>
        <v>15390</v>
      </c>
      <c r="K290" s="1030">
        <f t="shared" si="43"/>
        <v>152190</v>
      </c>
      <c r="L290" s="973"/>
      <c r="M290" s="729"/>
      <c r="N290" s="729"/>
      <c r="O290" s="729"/>
      <c r="P290" s="729"/>
    </row>
    <row r="291" spans="1:17" s="714" customFormat="1" ht="24" customHeight="1">
      <c r="A291" s="861"/>
      <c r="B291" s="756" t="s">
        <v>1312</v>
      </c>
      <c r="C291" s="757"/>
      <c r="D291" s="757"/>
      <c r="E291" s="942">
        <v>28</v>
      </c>
      <c r="F291" s="759" t="s">
        <v>240</v>
      </c>
      <c r="G291" s="752">
        <v>1830</v>
      </c>
      <c r="H291" s="864">
        <f t="shared" si="41"/>
        <v>51240</v>
      </c>
      <c r="I291" s="949">
        <v>500</v>
      </c>
      <c r="J291" s="864">
        <f t="shared" si="42"/>
        <v>14000</v>
      </c>
      <c r="K291" s="1030">
        <f t="shared" si="43"/>
        <v>65240</v>
      </c>
      <c r="L291" s="973"/>
      <c r="M291" s="729"/>
      <c r="N291" s="729"/>
      <c r="O291" s="729"/>
      <c r="P291" s="729"/>
    </row>
    <row r="292" spans="1:17" s="714" customFormat="1" ht="24" customHeight="1">
      <c r="A292" s="861"/>
      <c r="B292" s="756" t="s">
        <v>1313</v>
      </c>
      <c r="C292" s="974"/>
      <c r="D292" s="974"/>
      <c r="E292" s="942">
        <v>7</v>
      </c>
      <c r="F292" s="759" t="s">
        <v>240</v>
      </c>
      <c r="G292" s="766">
        <v>1620</v>
      </c>
      <c r="H292" s="864">
        <f t="shared" si="41"/>
        <v>11340</v>
      </c>
      <c r="I292" s="975">
        <v>500</v>
      </c>
      <c r="J292" s="864">
        <f t="shared" si="42"/>
        <v>3500</v>
      </c>
      <c r="K292" s="1030">
        <f t="shared" si="43"/>
        <v>14840</v>
      </c>
      <c r="L292" s="973"/>
      <c r="M292" s="729"/>
      <c r="N292" s="729"/>
      <c r="O292" s="729"/>
      <c r="P292" s="729"/>
    </row>
    <row r="293" spans="1:17" s="714" customFormat="1" ht="24" customHeight="1">
      <c r="A293" s="861"/>
      <c r="B293" s="756" t="s">
        <v>1314</v>
      </c>
      <c r="C293" s="717"/>
      <c r="D293" s="717"/>
      <c r="E293" s="942">
        <v>48</v>
      </c>
      <c r="F293" s="759" t="s">
        <v>240</v>
      </c>
      <c r="G293" s="806">
        <v>920</v>
      </c>
      <c r="H293" s="796">
        <f t="shared" si="41"/>
        <v>44160</v>
      </c>
      <c r="I293" s="807">
        <v>250</v>
      </c>
      <c r="J293" s="796">
        <f t="shared" si="42"/>
        <v>12000</v>
      </c>
      <c r="K293" s="1030">
        <f t="shared" si="43"/>
        <v>56160</v>
      </c>
      <c r="L293" s="973"/>
      <c r="M293" s="729"/>
      <c r="N293" s="729"/>
      <c r="O293" s="729"/>
      <c r="P293" s="729"/>
    </row>
    <row r="294" spans="1:17" s="714" customFormat="1" ht="24" customHeight="1">
      <c r="A294" s="861"/>
      <c r="B294" s="756" t="s">
        <v>1315</v>
      </c>
      <c r="C294" s="717"/>
      <c r="D294" s="717"/>
      <c r="E294" s="942">
        <v>2</v>
      </c>
      <c r="F294" s="759" t="s">
        <v>240</v>
      </c>
      <c r="G294" s="806">
        <v>2180</v>
      </c>
      <c r="H294" s="796">
        <f t="shared" si="41"/>
        <v>4360</v>
      </c>
      <c r="I294" s="807">
        <v>500</v>
      </c>
      <c r="J294" s="864">
        <f t="shared" si="42"/>
        <v>1000</v>
      </c>
      <c r="K294" s="1030">
        <f t="shared" si="43"/>
        <v>5360</v>
      </c>
      <c r="L294" s="973"/>
      <c r="M294" s="729"/>
      <c r="N294" s="729"/>
      <c r="O294" s="729"/>
      <c r="P294" s="729"/>
    </row>
    <row r="295" spans="1:17" s="714" customFormat="1" ht="24" customHeight="1">
      <c r="A295" s="861"/>
      <c r="B295" s="756" t="s">
        <v>1316</v>
      </c>
      <c r="C295" s="717"/>
      <c r="D295" s="717"/>
      <c r="E295" s="942">
        <v>1</v>
      </c>
      <c r="F295" s="759" t="s">
        <v>948</v>
      </c>
      <c r="G295" s="806">
        <f>SUM(H272:H293)*5%</f>
        <v>56351.5</v>
      </c>
      <c r="H295" s="796">
        <f t="shared" si="41"/>
        <v>56352</v>
      </c>
      <c r="I295" s="807">
        <f>ROUND(G295*0.3,)</f>
        <v>16905</v>
      </c>
      <c r="J295" s="864">
        <f t="shared" si="42"/>
        <v>16905</v>
      </c>
      <c r="K295" s="1030">
        <f t="shared" si="43"/>
        <v>73257</v>
      </c>
      <c r="L295" s="973"/>
      <c r="M295" s="729"/>
      <c r="N295" s="729"/>
      <c r="O295" s="729"/>
      <c r="P295" s="729"/>
    </row>
    <row r="296" spans="1:17" s="714" customFormat="1" ht="24" customHeight="1">
      <c r="A296" s="861"/>
      <c r="B296" s="756"/>
      <c r="C296" s="757"/>
      <c r="D296" s="757"/>
      <c r="E296" s="942"/>
      <c r="F296" s="759"/>
      <c r="G296" s="752"/>
      <c r="H296" s="864"/>
      <c r="I296" s="949"/>
      <c r="J296" s="864"/>
      <c r="K296" s="1030"/>
      <c r="L296" s="973"/>
      <c r="M296" s="729"/>
      <c r="N296" s="729"/>
      <c r="O296" s="729"/>
      <c r="P296" s="729"/>
    </row>
    <row r="297" spans="1:17" s="714" customFormat="1" ht="24" customHeight="1">
      <c r="A297" s="861"/>
      <c r="B297" s="756"/>
      <c r="C297" s="974"/>
      <c r="D297" s="974"/>
      <c r="E297" s="942"/>
      <c r="F297" s="759"/>
      <c r="G297" s="766"/>
      <c r="H297" s="864"/>
      <c r="I297" s="975"/>
      <c r="J297" s="864"/>
      <c r="K297" s="1030"/>
      <c r="L297" s="973"/>
      <c r="M297" s="729"/>
      <c r="N297" s="729"/>
      <c r="O297" s="729"/>
      <c r="P297" s="729"/>
    </row>
    <row r="298" spans="1:17" s="714" customFormat="1" ht="24" customHeight="1">
      <c r="A298" s="775"/>
      <c r="B298" s="2475" t="str">
        <f>"รวมราคารายการที่ "&amp;A272</f>
        <v>รวมราคารายการที่ 3.8</v>
      </c>
      <c r="C298" s="2476"/>
      <c r="D298" s="2477"/>
      <c r="E298" s="776"/>
      <c r="F298" s="777"/>
      <c r="G298" s="959"/>
      <c r="H298" s="960">
        <f>SUM(H272:H295)</f>
        <v>1187742</v>
      </c>
      <c r="I298" s="959"/>
      <c r="J298" s="960">
        <f t="shared" ref="J298:K298" si="44">SUM(J272:J295)</f>
        <v>165390</v>
      </c>
      <c r="K298" s="960">
        <f t="shared" si="44"/>
        <v>1353132</v>
      </c>
      <c r="L298" s="777"/>
      <c r="M298" s="729"/>
      <c r="N298" s="729"/>
      <c r="O298" s="729"/>
      <c r="P298" s="729"/>
      <c r="Q298" s="729"/>
    </row>
    <row r="299" spans="1:17" s="714" customFormat="1" ht="24" customHeight="1">
      <c r="A299" s="911">
        <v>3.9</v>
      </c>
      <c r="B299" s="816" t="s">
        <v>1225</v>
      </c>
      <c r="C299" s="770"/>
      <c r="D299" s="770"/>
      <c r="E299" s="930"/>
      <c r="F299" s="931"/>
      <c r="G299" s="932"/>
      <c r="H299" s="933"/>
      <c r="I299" s="934"/>
      <c r="J299" s="935"/>
      <c r="K299" s="935"/>
      <c r="L299" s="935"/>
      <c r="M299" s="729"/>
      <c r="N299" s="729"/>
      <c r="O299" s="729"/>
      <c r="P299" s="729"/>
      <c r="Q299" s="729"/>
    </row>
    <row r="300" spans="1:17" s="714" customFormat="1" ht="24" customHeight="1">
      <c r="A300" s="856" t="s">
        <v>1136</v>
      </c>
      <c r="B300" s="720" t="s">
        <v>1318</v>
      </c>
      <c r="C300" s="717"/>
      <c r="D300" s="717"/>
      <c r="E300" s="917">
        <v>2</v>
      </c>
      <c r="F300" s="722" t="s">
        <v>240</v>
      </c>
      <c r="G300" s="806">
        <f>30000+13500</f>
        <v>43500</v>
      </c>
      <c r="H300" s="796">
        <f t="shared" ref="H300:H332" si="45">ROUND(E300*G300,)</f>
        <v>87000</v>
      </c>
      <c r="I300" s="807">
        <f>G300*0.1</f>
        <v>4350</v>
      </c>
      <c r="J300" s="796">
        <f t="shared" ref="J300:J332" si="46">ROUND(E300*I300,)</f>
        <v>8700</v>
      </c>
      <c r="K300" s="1030">
        <f t="shared" ref="K300:K332" si="47">H300+J300</f>
        <v>95700</v>
      </c>
      <c r="L300" s="919"/>
      <c r="M300" s="729"/>
      <c r="N300" s="729">
        <v>95700</v>
      </c>
      <c r="O300" s="1131"/>
      <c r="P300" s="729"/>
      <c r="Q300" s="729"/>
    </row>
    <row r="301" spans="1:17" s="714" customFormat="1" ht="24" customHeight="1">
      <c r="A301" s="856" t="s">
        <v>1144</v>
      </c>
      <c r="B301" s="720" t="s">
        <v>1319</v>
      </c>
      <c r="C301" s="717"/>
      <c r="D301" s="717"/>
      <c r="E301" s="917">
        <v>6</v>
      </c>
      <c r="F301" s="722" t="s">
        <v>240</v>
      </c>
      <c r="G301" s="806">
        <v>1850</v>
      </c>
      <c r="H301" s="796">
        <f t="shared" si="45"/>
        <v>11100</v>
      </c>
      <c r="I301" s="807">
        <v>250</v>
      </c>
      <c r="J301" s="796">
        <f t="shared" si="46"/>
        <v>1500</v>
      </c>
      <c r="K301" s="1030">
        <f t="shared" si="47"/>
        <v>12600</v>
      </c>
      <c r="L301" s="919"/>
      <c r="M301" s="729"/>
      <c r="N301" s="729">
        <v>12600</v>
      </c>
      <c r="O301" s="729"/>
      <c r="P301" s="729"/>
      <c r="Q301" s="729"/>
    </row>
    <row r="302" spans="1:17" s="714" customFormat="1" ht="24" customHeight="1">
      <c r="A302" s="856" t="s">
        <v>1146</v>
      </c>
      <c r="B302" s="720" t="s">
        <v>1320</v>
      </c>
      <c r="C302" s="717"/>
      <c r="D302" s="717"/>
      <c r="E302" s="917">
        <v>6</v>
      </c>
      <c r="F302" s="722" t="s">
        <v>240</v>
      </c>
      <c r="G302" s="806">
        <v>1850</v>
      </c>
      <c r="H302" s="796">
        <f t="shared" si="45"/>
        <v>11100</v>
      </c>
      <c r="I302" s="807">
        <v>250</v>
      </c>
      <c r="J302" s="796">
        <f t="shared" si="46"/>
        <v>1500</v>
      </c>
      <c r="K302" s="1030">
        <f t="shared" si="47"/>
        <v>12600</v>
      </c>
      <c r="L302" s="919"/>
      <c r="M302" s="729"/>
      <c r="N302" s="729">
        <v>12600</v>
      </c>
      <c r="O302" s="729"/>
      <c r="P302" s="729"/>
      <c r="Q302" s="729"/>
    </row>
    <row r="303" spans="1:17" s="714" customFormat="1" ht="24" customHeight="1">
      <c r="A303" s="856" t="s">
        <v>1156</v>
      </c>
      <c r="B303" s="720" t="s">
        <v>1321</v>
      </c>
      <c r="C303" s="717"/>
      <c r="D303" s="717"/>
      <c r="E303" s="917">
        <v>6</v>
      </c>
      <c r="F303" s="722" t="s">
        <v>240</v>
      </c>
      <c r="G303" s="806">
        <v>1850</v>
      </c>
      <c r="H303" s="796">
        <f t="shared" si="45"/>
        <v>11100</v>
      </c>
      <c r="I303" s="807">
        <v>250</v>
      </c>
      <c r="J303" s="796">
        <f t="shared" si="46"/>
        <v>1500</v>
      </c>
      <c r="K303" s="1030">
        <f t="shared" si="47"/>
        <v>12600</v>
      </c>
      <c r="L303" s="919"/>
      <c r="M303" s="729"/>
      <c r="N303" s="729">
        <v>12600</v>
      </c>
      <c r="O303" s="729"/>
      <c r="P303" s="729"/>
      <c r="Q303" s="729"/>
    </row>
    <row r="304" spans="1:17" s="714" customFormat="1" ht="24" customHeight="1">
      <c r="A304" s="856" t="s">
        <v>1429</v>
      </c>
      <c r="B304" s="720" t="s">
        <v>1322</v>
      </c>
      <c r="C304" s="717"/>
      <c r="D304" s="717"/>
      <c r="E304" s="917">
        <v>6</v>
      </c>
      <c r="F304" s="722" t="s">
        <v>240</v>
      </c>
      <c r="G304" s="806">
        <v>1850</v>
      </c>
      <c r="H304" s="796">
        <f t="shared" si="45"/>
        <v>11100</v>
      </c>
      <c r="I304" s="807">
        <v>250</v>
      </c>
      <c r="J304" s="796">
        <f t="shared" si="46"/>
        <v>1500</v>
      </c>
      <c r="K304" s="1030">
        <f t="shared" si="47"/>
        <v>12600</v>
      </c>
      <c r="L304" s="919"/>
      <c r="M304" s="729"/>
      <c r="N304" s="729">
        <v>12600</v>
      </c>
      <c r="O304" s="729"/>
      <c r="P304" s="729"/>
      <c r="Q304" s="729"/>
    </row>
    <row r="305" spans="1:17" s="714" customFormat="1" ht="24" customHeight="1">
      <c r="A305" s="856" t="s">
        <v>1486</v>
      </c>
      <c r="B305" s="720" t="s">
        <v>1323</v>
      </c>
      <c r="C305" s="717"/>
      <c r="D305" s="717"/>
      <c r="E305" s="917">
        <v>0</v>
      </c>
      <c r="F305" s="722" t="s">
        <v>240</v>
      </c>
      <c r="G305" s="806">
        <v>1850</v>
      </c>
      <c r="H305" s="796">
        <f t="shared" si="45"/>
        <v>0</v>
      </c>
      <c r="I305" s="807">
        <v>250</v>
      </c>
      <c r="J305" s="796">
        <f t="shared" si="46"/>
        <v>0</v>
      </c>
      <c r="K305" s="1030">
        <f t="shared" si="47"/>
        <v>0</v>
      </c>
      <c r="L305" s="919"/>
      <c r="M305" s="729"/>
      <c r="N305" s="729">
        <v>0</v>
      </c>
      <c r="O305" s="729"/>
      <c r="P305" s="729"/>
      <c r="Q305" s="729"/>
    </row>
    <row r="306" spans="1:17" s="714" customFormat="1" ht="24" customHeight="1">
      <c r="A306" s="856" t="s">
        <v>1432</v>
      </c>
      <c r="B306" s="720" t="s">
        <v>1324</v>
      </c>
      <c r="C306" s="717"/>
      <c r="D306" s="717"/>
      <c r="E306" s="917">
        <v>2</v>
      </c>
      <c r="F306" s="722" t="s">
        <v>240</v>
      </c>
      <c r="G306" s="806">
        <v>2750</v>
      </c>
      <c r="H306" s="796">
        <f t="shared" si="45"/>
        <v>5500</v>
      </c>
      <c r="I306" s="807">
        <v>250</v>
      </c>
      <c r="J306" s="796">
        <f t="shared" si="46"/>
        <v>500</v>
      </c>
      <c r="K306" s="1030">
        <f t="shared" si="47"/>
        <v>6000</v>
      </c>
      <c r="L306" s="919"/>
      <c r="M306" s="729"/>
      <c r="N306" s="729">
        <v>6000</v>
      </c>
      <c r="O306" s="729"/>
      <c r="P306" s="729"/>
      <c r="Q306" s="729"/>
    </row>
    <row r="307" spans="1:17" s="714" customFormat="1" ht="24" customHeight="1">
      <c r="A307" s="856" t="s">
        <v>1433</v>
      </c>
      <c r="B307" s="720" t="s">
        <v>1325</v>
      </c>
      <c r="C307" s="717"/>
      <c r="D307" s="717"/>
      <c r="E307" s="917">
        <v>2</v>
      </c>
      <c r="F307" s="722" t="s">
        <v>240</v>
      </c>
      <c r="G307" s="806">
        <v>2750</v>
      </c>
      <c r="H307" s="796">
        <f t="shared" si="45"/>
        <v>5500</v>
      </c>
      <c r="I307" s="807">
        <v>250</v>
      </c>
      <c r="J307" s="796">
        <f t="shared" si="46"/>
        <v>500</v>
      </c>
      <c r="K307" s="1030">
        <f t="shared" si="47"/>
        <v>6000</v>
      </c>
      <c r="L307" s="919"/>
      <c r="M307" s="729"/>
      <c r="N307" s="729">
        <v>6000</v>
      </c>
      <c r="O307" s="729"/>
      <c r="P307" s="729"/>
      <c r="Q307" s="729"/>
    </row>
    <row r="308" spans="1:17" s="714" customFormat="1" ht="24" customHeight="1">
      <c r="A308" s="856" t="s">
        <v>3070</v>
      </c>
      <c r="B308" s="720" t="s">
        <v>1326</v>
      </c>
      <c r="C308" s="717"/>
      <c r="D308" s="717"/>
      <c r="E308" s="917">
        <v>2</v>
      </c>
      <c r="F308" s="722" t="s">
        <v>240</v>
      </c>
      <c r="G308" s="806">
        <v>2750</v>
      </c>
      <c r="H308" s="796">
        <f t="shared" si="45"/>
        <v>5500</v>
      </c>
      <c r="I308" s="807">
        <v>250</v>
      </c>
      <c r="J308" s="796">
        <f t="shared" si="46"/>
        <v>500</v>
      </c>
      <c r="K308" s="1030">
        <f t="shared" si="47"/>
        <v>6000</v>
      </c>
      <c r="L308" s="919"/>
      <c r="M308" s="729"/>
      <c r="N308" s="729">
        <v>6000</v>
      </c>
      <c r="O308" s="729"/>
      <c r="P308" s="729"/>
      <c r="Q308" s="729"/>
    </row>
    <row r="309" spans="1:17" s="714" customFormat="1" ht="24" customHeight="1">
      <c r="A309" s="856" t="s">
        <v>3071</v>
      </c>
      <c r="B309" s="720" t="s">
        <v>1327</v>
      </c>
      <c r="C309" s="717"/>
      <c r="D309" s="717"/>
      <c r="E309" s="917">
        <v>2</v>
      </c>
      <c r="F309" s="722" t="s">
        <v>240</v>
      </c>
      <c r="G309" s="806">
        <v>2750</v>
      </c>
      <c r="H309" s="796">
        <f t="shared" si="45"/>
        <v>5500</v>
      </c>
      <c r="I309" s="807">
        <v>250</v>
      </c>
      <c r="J309" s="796">
        <f t="shared" si="46"/>
        <v>500</v>
      </c>
      <c r="K309" s="1030">
        <f t="shared" si="47"/>
        <v>6000</v>
      </c>
      <c r="L309" s="919"/>
      <c r="M309" s="729"/>
      <c r="N309" s="729">
        <v>6000</v>
      </c>
      <c r="O309" s="729"/>
      <c r="P309" s="729"/>
      <c r="Q309" s="729"/>
    </row>
    <row r="310" spans="1:17" s="714" customFormat="1" ht="24" customHeight="1">
      <c r="A310" s="856" t="s">
        <v>3072</v>
      </c>
      <c r="B310" s="720" t="s">
        <v>1328</v>
      </c>
      <c r="C310" s="717"/>
      <c r="D310" s="717"/>
      <c r="E310" s="917">
        <v>2</v>
      </c>
      <c r="F310" s="722" t="s">
        <v>240</v>
      </c>
      <c r="G310" s="806">
        <v>2750</v>
      </c>
      <c r="H310" s="796">
        <f t="shared" si="45"/>
        <v>5500</v>
      </c>
      <c r="I310" s="807">
        <v>250</v>
      </c>
      <c r="J310" s="796">
        <f t="shared" si="46"/>
        <v>500</v>
      </c>
      <c r="K310" s="1030">
        <f t="shared" si="47"/>
        <v>6000</v>
      </c>
      <c r="L310" s="919"/>
      <c r="M310" s="729"/>
      <c r="N310" s="729">
        <v>6000</v>
      </c>
      <c r="O310" s="729"/>
      <c r="P310" s="729"/>
      <c r="Q310" s="729"/>
    </row>
    <row r="311" spans="1:17" s="714" customFormat="1" ht="24" customHeight="1">
      <c r="A311" s="856" t="s">
        <v>3073</v>
      </c>
      <c r="B311" s="720" t="s">
        <v>1329</v>
      </c>
      <c r="C311" s="717"/>
      <c r="D311" s="717"/>
      <c r="E311" s="917">
        <v>14</v>
      </c>
      <c r="F311" s="722" t="s">
        <v>240</v>
      </c>
      <c r="G311" s="806">
        <v>2750</v>
      </c>
      <c r="H311" s="796">
        <f t="shared" si="45"/>
        <v>38500</v>
      </c>
      <c r="I311" s="807">
        <v>250</v>
      </c>
      <c r="J311" s="796">
        <f t="shared" si="46"/>
        <v>3500</v>
      </c>
      <c r="K311" s="1030">
        <f t="shared" si="47"/>
        <v>42000</v>
      </c>
      <c r="L311" s="919"/>
      <c r="M311" s="729"/>
      <c r="N311" s="729">
        <v>39000</v>
      </c>
      <c r="O311" s="729"/>
      <c r="P311" s="729"/>
      <c r="Q311" s="729"/>
    </row>
    <row r="312" spans="1:17" s="714" customFormat="1" ht="24" customHeight="1">
      <c r="A312" s="856" t="s">
        <v>3074</v>
      </c>
      <c r="B312" s="720" t="s">
        <v>1330</v>
      </c>
      <c r="C312" s="717"/>
      <c r="D312" s="717"/>
      <c r="E312" s="917">
        <v>4</v>
      </c>
      <c r="F312" s="722" t="s">
        <v>240</v>
      </c>
      <c r="G312" s="806">
        <v>2250</v>
      </c>
      <c r="H312" s="796">
        <f t="shared" si="45"/>
        <v>9000</v>
      </c>
      <c r="I312" s="807">
        <v>250</v>
      </c>
      <c r="J312" s="796">
        <f t="shared" si="46"/>
        <v>1000</v>
      </c>
      <c r="K312" s="1030">
        <f t="shared" si="47"/>
        <v>10000</v>
      </c>
      <c r="L312" s="919"/>
      <c r="M312" s="729"/>
      <c r="N312" s="729">
        <v>10000</v>
      </c>
      <c r="O312" s="729"/>
      <c r="P312" s="729"/>
      <c r="Q312" s="729"/>
    </row>
    <row r="313" spans="1:17" s="714" customFormat="1" ht="24" customHeight="1">
      <c r="A313" s="856" t="s">
        <v>3075</v>
      </c>
      <c r="B313" s="720" t="s">
        <v>1331</v>
      </c>
      <c r="C313" s="717"/>
      <c r="D313" s="717"/>
      <c r="E313" s="917">
        <v>114</v>
      </c>
      <c r="F313" s="722" t="s">
        <v>240</v>
      </c>
      <c r="G313" s="806">
        <f>3300+300</f>
        <v>3600</v>
      </c>
      <c r="H313" s="796">
        <f t="shared" si="45"/>
        <v>410400</v>
      </c>
      <c r="I313" s="807">
        <v>200</v>
      </c>
      <c r="J313" s="796">
        <f t="shared" si="46"/>
        <v>22800</v>
      </c>
      <c r="K313" s="1030">
        <f t="shared" si="47"/>
        <v>433200</v>
      </c>
      <c r="L313" s="919"/>
      <c r="M313" s="729"/>
      <c r="N313" s="729">
        <v>494000</v>
      </c>
      <c r="O313" s="729"/>
      <c r="P313" s="729"/>
      <c r="Q313" s="729"/>
    </row>
    <row r="314" spans="1:17" s="714" customFormat="1" ht="24" customHeight="1">
      <c r="A314" s="856" t="s">
        <v>3076</v>
      </c>
      <c r="B314" s="720" t="s">
        <v>1332</v>
      </c>
      <c r="C314" s="717"/>
      <c r="D314" s="717"/>
      <c r="E314" s="917">
        <v>6</v>
      </c>
      <c r="F314" s="722" t="s">
        <v>240</v>
      </c>
      <c r="G314" s="806">
        <v>5000</v>
      </c>
      <c r="H314" s="796">
        <f t="shared" si="45"/>
        <v>30000</v>
      </c>
      <c r="I314" s="807">
        <v>500</v>
      </c>
      <c r="J314" s="796">
        <f t="shared" si="46"/>
        <v>3000</v>
      </c>
      <c r="K314" s="1030">
        <f t="shared" si="47"/>
        <v>33000</v>
      </c>
      <c r="L314" s="919"/>
      <c r="M314" s="729"/>
      <c r="N314" s="729">
        <v>33000</v>
      </c>
      <c r="O314" s="729"/>
      <c r="P314" s="729"/>
      <c r="Q314" s="729"/>
    </row>
    <row r="315" spans="1:17" s="714" customFormat="1" ht="24" customHeight="1">
      <c r="A315" s="856" t="s">
        <v>3077</v>
      </c>
      <c r="B315" s="720" t="s">
        <v>1333</v>
      </c>
      <c r="C315" s="717"/>
      <c r="D315" s="717"/>
      <c r="E315" s="917">
        <v>8</v>
      </c>
      <c r="F315" s="722" t="s">
        <v>240</v>
      </c>
      <c r="G315" s="806">
        <v>350</v>
      </c>
      <c r="H315" s="796">
        <f t="shared" si="45"/>
        <v>2800</v>
      </c>
      <c r="I315" s="807">
        <v>200</v>
      </c>
      <c r="J315" s="796">
        <f t="shared" si="46"/>
        <v>1600</v>
      </c>
      <c r="K315" s="1030">
        <f t="shared" si="47"/>
        <v>4400</v>
      </c>
      <c r="L315" s="919"/>
      <c r="M315" s="729"/>
      <c r="N315" s="729">
        <v>4400</v>
      </c>
      <c r="O315" s="729"/>
      <c r="P315" s="729"/>
      <c r="Q315" s="729"/>
    </row>
    <row r="316" spans="1:17" s="714" customFormat="1" ht="24" customHeight="1">
      <c r="A316" s="856" t="s">
        <v>3078</v>
      </c>
      <c r="B316" s="720" t="s">
        <v>1334</v>
      </c>
      <c r="C316" s="717"/>
      <c r="D316" s="717"/>
      <c r="E316" s="917">
        <v>6</v>
      </c>
      <c r="F316" s="722" t="s">
        <v>240</v>
      </c>
      <c r="G316" s="806">
        <v>2200</v>
      </c>
      <c r="H316" s="796">
        <f t="shared" si="45"/>
        <v>13200</v>
      </c>
      <c r="I316" s="807">
        <v>200</v>
      </c>
      <c r="J316" s="796">
        <f t="shared" si="46"/>
        <v>1200</v>
      </c>
      <c r="K316" s="1030">
        <f t="shared" si="47"/>
        <v>14400</v>
      </c>
      <c r="L316" s="919"/>
      <c r="M316" s="729"/>
      <c r="N316" s="729">
        <v>14400</v>
      </c>
      <c r="O316" s="729"/>
      <c r="P316" s="729"/>
      <c r="Q316" s="729"/>
    </row>
    <row r="317" spans="1:17" s="714" customFormat="1" ht="24" customHeight="1">
      <c r="A317" s="856" t="s">
        <v>3079</v>
      </c>
      <c r="B317" s="720" t="s">
        <v>1335</v>
      </c>
      <c r="C317" s="717"/>
      <c r="D317" s="717"/>
      <c r="E317" s="917">
        <v>17</v>
      </c>
      <c r="F317" s="722" t="s">
        <v>240</v>
      </c>
      <c r="G317" s="806">
        <v>4200</v>
      </c>
      <c r="H317" s="796">
        <f t="shared" si="45"/>
        <v>71400</v>
      </c>
      <c r="I317" s="807">
        <v>200</v>
      </c>
      <c r="J317" s="796">
        <f t="shared" si="46"/>
        <v>3400</v>
      </c>
      <c r="K317" s="1030">
        <f t="shared" si="47"/>
        <v>74800</v>
      </c>
      <c r="L317" s="919"/>
      <c r="M317" s="729"/>
      <c r="N317" s="729">
        <v>74800</v>
      </c>
      <c r="O317" s="729"/>
      <c r="P317" s="729"/>
      <c r="Q317" s="729"/>
    </row>
    <row r="318" spans="1:17" s="714" customFormat="1" ht="24" customHeight="1">
      <c r="A318" s="856" t="s">
        <v>3080</v>
      </c>
      <c r="B318" s="720" t="s">
        <v>1336</v>
      </c>
      <c r="C318" s="717"/>
      <c r="D318" s="717"/>
      <c r="E318" s="917">
        <v>2</v>
      </c>
      <c r="F318" s="722" t="s">
        <v>240</v>
      </c>
      <c r="G318" s="806">
        <v>5000</v>
      </c>
      <c r="H318" s="796">
        <f t="shared" si="45"/>
        <v>10000</v>
      </c>
      <c r="I318" s="807">
        <v>500</v>
      </c>
      <c r="J318" s="796">
        <f t="shared" si="46"/>
        <v>1000</v>
      </c>
      <c r="K318" s="1030">
        <f t="shared" si="47"/>
        <v>11000</v>
      </c>
      <c r="L318" s="919"/>
      <c r="M318" s="729"/>
      <c r="N318" s="729">
        <v>11000</v>
      </c>
      <c r="O318" s="729"/>
      <c r="P318" s="729"/>
      <c r="Q318" s="729"/>
    </row>
    <row r="319" spans="1:17" s="714" customFormat="1" ht="24" customHeight="1">
      <c r="A319" s="856" t="s">
        <v>3081</v>
      </c>
      <c r="B319" s="720" t="s">
        <v>1159</v>
      </c>
      <c r="C319" s="717"/>
      <c r="D319" s="717"/>
      <c r="E319" s="917">
        <v>0</v>
      </c>
      <c r="F319" s="916"/>
      <c r="G319" s="806"/>
      <c r="H319" s="796">
        <f t="shared" si="45"/>
        <v>0</v>
      </c>
      <c r="I319" s="807"/>
      <c r="J319" s="796">
        <f t="shared" si="46"/>
        <v>0</v>
      </c>
      <c r="K319" s="1030">
        <f t="shared" si="47"/>
        <v>0</v>
      </c>
      <c r="L319" s="919"/>
      <c r="M319" s="729"/>
      <c r="N319" s="729">
        <v>0</v>
      </c>
      <c r="O319" s="729"/>
      <c r="P319" s="729"/>
      <c r="Q319" s="729"/>
    </row>
    <row r="320" spans="1:17" s="714" customFormat="1" ht="24" customHeight="1">
      <c r="A320" s="831"/>
      <c r="B320" s="720" t="s">
        <v>1337</v>
      </c>
      <c r="C320" s="717"/>
      <c r="D320" s="717"/>
      <c r="E320" s="917">
        <v>2378</v>
      </c>
      <c r="F320" s="794" t="s">
        <v>438</v>
      </c>
      <c r="G320" s="806">
        <v>82</v>
      </c>
      <c r="H320" s="796">
        <f t="shared" si="45"/>
        <v>194996</v>
      </c>
      <c r="I320" s="807">
        <v>12</v>
      </c>
      <c r="J320" s="796">
        <f t="shared" si="46"/>
        <v>28536</v>
      </c>
      <c r="K320" s="966">
        <f t="shared" si="47"/>
        <v>223532</v>
      </c>
      <c r="L320" s="919"/>
      <c r="M320" s="729"/>
      <c r="N320" s="729">
        <v>54520</v>
      </c>
      <c r="O320" s="729"/>
      <c r="P320" s="729"/>
      <c r="Q320" s="729"/>
    </row>
    <row r="321" spans="1:17" s="714" customFormat="1" ht="24" customHeight="1">
      <c r="A321" s="831"/>
      <c r="B321" s="720" t="s">
        <v>2920</v>
      </c>
      <c r="C321" s="717"/>
      <c r="D321" s="717"/>
      <c r="E321" s="917">
        <v>888</v>
      </c>
      <c r="F321" s="794" t="s">
        <v>438</v>
      </c>
      <c r="G321" s="806">
        <v>6</v>
      </c>
      <c r="H321" s="796">
        <f t="shared" si="45"/>
        <v>5328</v>
      </c>
      <c r="I321" s="807">
        <v>6</v>
      </c>
      <c r="J321" s="796">
        <f t="shared" si="46"/>
        <v>5328</v>
      </c>
      <c r="K321" s="966">
        <f t="shared" si="47"/>
        <v>10656</v>
      </c>
      <c r="L321" s="919"/>
      <c r="M321" s="729"/>
      <c r="N321" s="729">
        <v>5520</v>
      </c>
      <c r="O321" s="729"/>
      <c r="P321" s="729"/>
      <c r="Q321" s="729"/>
    </row>
    <row r="322" spans="1:17" s="714" customFormat="1" ht="24" customHeight="1">
      <c r="A322" s="831"/>
      <c r="B322" s="720" t="s">
        <v>2921</v>
      </c>
      <c r="C322" s="717"/>
      <c r="D322" s="717"/>
      <c r="E322" s="917">
        <v>513</v>
      </c>
      <c r="F322" s="794" t="s">
        <v>438</v>
      </c>
      <c r="G322" s="806">
        <v>18</v>
      </c>
      <c r="H322" s="796">
        <f t="shared" si="45"/>
        <v>9234</v>
      </c>
      <c r="I322" s="807">
        <v>8</v>
      </c>
      <c r="J322" s="796">
        <f t="shared" si="46"/>
        <v>4104</v>
      </c>
      <c r="K322" s="966">
        <f t="shared" si="47"/>
        <v>13338</v>
      </c>
      <c r="L322" s="919"/>
      <c r="M322" s="729"/>
      <c r="N322" s="729">
        <v>11596</v>
      </c>
      <c r="O322" s="729"/>
      <c r="P322" s="729"/>
      <c r="Q322" s="729"/>
    </row>
    <row r="323" spans="1:17" s="714" customFormat="1" ht="24" customHeight="1">
      <c r="A323" s="831"/>
      <c r="B323" s="720" t="s">
        <v>1338</v>
      </c>
      <c r="C323" s="717"/>
      <c r="D323" s="717"/>
      <c r="E323" s="917">
        <v>1</v>
      </c>
      <c r="F323" s="916" t="s">
        <v>948</v>
      </c>
      <c r="G323" s="806">
        <f>ROUND(SUM(H320:H322)*5%,)</f>
        <v>10478</v>
      </c>
      <c r="H323" s="796">
        <f t="shared" si="45"/>
        <v>10478</v>
      </c>
      <c r="I323" s="949">
        <f>ROUND(G323*0.3,)</f>
        <v>3143</v>
      </c>
      <c r="J323" s="796">
        <f t="shared" si="46"/>
        <v>3143</v>
      </c>
      <c r="K323" s="966">
        <f t="shared" si="47"/>
        <v>13621</v>
      </c>
      <c r="L323" s="919"/>
      <c r="M323" s="729"/>
      <c r="N323" s="729">
        <v>3792</v>
      </c>
      <c r="O323" s="729"/>
      <c r="P323" s="729"/>
      <c r="Q323" s="729"/>
    </row>
    <row r="324" spans="1:17" s="714" customFormat="1" ht="24" customHeight="1">
      <c r="A324" s="856" t="s">
        <v>3082</v>
      </c>
      <c r="B324" s="720" t="s">
        <v>1357</v>
      </c>
      <c r="C324" s="717"/>
      <c r="D324" s="717"/>
      <c r="E324" s="942"/>
      <c r="F324" s="916"/>
      <c r="G324" s="806"/>
      <c r="H324" s="796"/>
      <c r="I324" s="807"/>
      <c r="J324" s="796"/>
      <c r="K324" s="914"/>
      <c r="L324" s="919"/>
      <c r="M324" s="729"/>
      <c r="N324" s="729"/>
      <c r="O324" s="729"/>
      <c r="P324" s="729"/>
    </row>
    <row r="325" spans="1:17" s="714" customFormat="1" ht="24" customHeight="1">
      <c r="A325" s="831"/>
      <c r="B325" s="720" t="s">
        <v>1201</v>
      </c>
      <c r="C325" s="717"/>
      <c r="D325" s="717"/>
      <c r="E325" s="917">
        <v>444</v>
      </c>
      <c r="F325" s="794" t="s">
        <v>438</v>
      </c>
      <c r="G325" s="806">
        <v>27</v>
      </c>
      <c r="H325" s="796">
        <f t="shared" ref="H325:H326" si="48">ROUND(E325*G325,)</f>
        <v>11988</v>
      </c>
      <c r="I325" s="807">
        <v>22</v>
      </c>
      <c r="J325" s="796">
        <f t="shared" ref="J325:J326" si="49">ROUND(E325*I325,)</f>
        <v>9768</v>
      </c>
      <c r="K325" s="1030">
        <f t="shared" ref="K325:K326" si="50">H325+J325</f>
        <v>21756</v>
      </c>
      <c r="L325" s="1718" t="s">
        <v>2974</v>
      </c>
      <c r="M325" s="729"/>
      <c r="N325" s="714">
        <v>11270</v>
      </c>
      <c r="P325" s="729"/>
    </row>
    <row r="326" spans="1:17" s="714" customFormat="1" ht="24" customHeight="1">
      <c r="A326" s="831"/>
      <c r="B326" s="720" t="s">
        <v>1237</v>
      </c>
      <c r="C326" s="717"/>
      <c r="D326" s="717"/>
      <c r="E326" s="917">
        <v>1</v>
      </c>
      <c r="F326" s="916" t="s">
        <v>948</v>
      </c>
      <c r="G326" s="806">
        <f>ROUND(SUM(H325:H325)*15%,)</f>
        <v>1798</v>
      </c>
      <c r="H326" s="796">
        <f t="shared" si="48"/>
        <v>1798</v>
      </c>
      <c r="I326" s="807">
        <f>ROUND(G326*0.3,)</f>
        <v>539</v>
      </c>
      <c r="J326" s="796">
        <f t="shared" si="49"/>
        <v>539</v>
      </c>
      <c r="K326" s="914">
        <f t="shared" si="50"/>
        <v>2337</v>
      </c>
      <c r="L326" s="919"/>
      <c r="M326" s="729"/>
      <c r="N326" s="729">
        <v>1212</v>
      </c>
      <c r="O326" s="729"/>
      <c r="P326" s="729"/>
    </row>
    <row r="327" spans="1:17" s="714" customFormat="1" ht="24" customHeight="1">
      <c r="A327" s="831"/>
      <c r="B327" s="720"/>
      <c r="C327" s="717"/>
      <c r="D327" s="717"/>
      <c r="E327" s="917"/>
      <c r="F327" s="916"/>
      <c r="G327" s="806"/>
      <c r="H327" s="796"/>
      <c r="I327" s="807"/>
      <c r="J327" s="796"/>
      <c r="K327" s="914"/>
      <c r="L327" s="919"/>
      <c r="M327" s="729"/>
      <c r="N327" s="729">
        <v>0</v>
      </c>
      <c r="O327" s="729"/>
      <c r="P327" s="729"/>
    </row>
    <row r="328" spans="1:17" s="714" customFormat="1" ht="24" customHeight="1">
      <c r="A328" s="856" t="s">
        <v>3083</v>
      </c>
      <c r="B328" s="720" t="s">
        <v>950</v>
      </c>
      <c r="C328" s="717"/>
      <c r="D328" s="717"/>
      <c r="E328" s="917"/>
      <c r="F328" s="916"/>
      <c r="G328" s="806"/>
      <c r="H328" s="796">
        <f t="shared" si="45"/>
        <v>0</v>
      </c>
      <c r="I328" s="807"/>
      <c r="J328" s="796">
        <f t="shared" si="46"/>
        <v>0</v>
      </c>
      <c r="K328" s="966">
        <f t="shared" si="47"/>
        <v>0</v>
      </c>
      <c r="L328" s="919"/>
      <c r="M328" s="729"/>
      <c r="O328" s="729"/>
      <c r="P328" s="729"/>
      <c r="Q328" s="729"/>
    </row>
    <row r="329" spans="1:17" s="714" customFormat="1" ht="24" customHeight="1">
      <c r="A329" s="831"/>
      <c r="B329" s="720" t="s">
        <v>1184</v>
      </c>
      <c r="C329" s="717"/>
      <c r="D329" s="717"/>
      <c r="E329" s="917">
        <v>2891</v>
      </c>
      <c r="F329" s="794" t="s">
        <v>438</v>
      </c>
      <c r="G329" s="806">
        <v>75</v>
      </c>
      <c r="H329" s="796">
        <f t="shared" si="45"/>
        <v>216825</v>
      </c>
      <c r="I329" s="807">
        <v>29</v>
      </c>
      <c r="J329" s="796">
        <f t="shared" si="46"/>
        <v>83839</v>
      </c>
      <c r="K329" s="966">
        <f t="shared" si="47"/>
        <v>300664</v>
      </c>
      <c r="L329" s="1718" t="s">
        <v>2974</v>
      </c>
      <c r="M329" s="729"/>
      <c r="N329" s="729">
        <v>105678</v>
      </c>
      <c r="P329" s="729"/>
      <c r="Q329" s="729"/>
    </row>
    <row r="330" spans="1:17" s="714" customFormat="1" ht="24" customHeight="1">
      <c r="A330" s="831"/>
      <c r="B330" s="720" t="s">
        <v>952</v>
      </c>
      <c r="C330" s="717"/>
      <c r="D330" s="717"/>
      <c r="E330" s="917">
        <v>1</v>
      </c>
      <c r="F330" s="916" t="s">
        <v>948</v>
      </c>
      <c r="G330" s="806">
        <f>ROUND(SUM(H329:H329)*15%,)</f>
        <v>32524</v>
      </c>
      <c r="H330" s="796">
        <f t="shared" si="45"/>
        <v>32524</v>
      </c>
      <c r="I330" s="949">
        <f>ROUND(G330*0.3,)</f>
        <v>9757</v>
      </c>
      <c r="J330" s="796">
        <f t="shared" si="46"/>
        <v>9757</v>
      </c>
      <c r="K330" s="1030">
        <f t="shared" si="47"/>
        <v>42281</v>
      </c>
      <c r="L330" s="919"/>
      <c r="M330" s="729"/>
      <c r="N330" s="729">
        <v>15006</v>
      </c>
      <c r="O330" s="729"/>
      <c r="P330" s="729"/>
      <c r="Q330" s="729"/>
    </row>
    <row r="331" spans="1:17" s="714" customFormat="1" ht="24" customHeight="1">
      <c r="A331" s="856" t="s">
        <v>3084</v>
      </c>
      <c r="B331" s="720" t="s">
        <v>1281</v>
      </c>
      <c r="C331" s="717"/>
      <c r="D331" s="717"/>
      <c r="E331" s="917"/>
      <c r="F331" s="916"/>
      <c r="G331" s="806"/>
      <c r="H331" s="796">
        <f t="shared" si="45"/>
        <v>0</v>
      </c>
      <c r="I331" s="807"/>
      <c r="J331" s="796">
        <f t="shared" si="46"/>
        <v>0</v>
      </c>
      <c r="K331" s="1030">
        <f t="shared" si="47"/>
        <v>0</v>
      </c>
      <c r="L331" s="919"/>
      <c r="M331" s="729"/>
      <c r="N331" s="729">
        <v>0</v>
      </c>
      <c r="O331" s="729"/>
      <c r="P331" s="729"/>
      <c r="Q331" s="729"/>
    </row>
    <row r="332" spans="1:17" s="714" customFormat="1" ht="24" customHeight="1">
      <c r="A332" s="831"/>
      <c r="B332" s="720" t="s">
        <v>1201</v>
      </c>
      <c r="C332" s="717"/>
      <c r="D332" s="717"/>
      <c r="E332" s="917">
        <f>E313</f>
        <v>114</v>
      </c>
      <c r="F332" s="794" t="s">
        <v>438</v>
      </c>
      <c r="G332" s="806">
        <v>14</v>
      </c>
      <c r="H332" s="796">
        <f t="shared" si="45"/>
        <v>1596</v>
      </c>
      <c r="I332" s="807">
        <v>11</v>
      </c>
      <c r="J332" s="796">
        <f t="shared" si="46"/>
        <v>1254</v>
      </c>
      <c r="K332" s="1030">
        <f t="shared" si="47"/>
        <v>2850</v>
      </c>
      <c r="L332" s="919"/>
      <c r="M332" s="729"/>
      <c r="N332" s="729">
        <v>3250</v>
      </c>
      <c r="O332" s="729"/>
      <c r="P332" s="729"/>
      <c r="Q332" s="729"/>
    </row>
    <row r="333" spans="1:17" s="714" customFormat="1" ht="24" customHeight="1">
      <c r="A333" s="831"/>
      <c r="B333" s="720" t="s">
        <v>957</v>
      </c>
      <c r="C333" s="717"/>
      <c r="D333" s="717"/>
      <c r="E333" s="917"/>
      <c r="F333" s="916"/>
      <c r="G333" s="806"/>
      <c r="H333" s="918"/>
      <c r="I333" s="807"/>
      <c r="J333" s="919"/>
      <c r="K333" s="919"/>
      <c r="L333" s="919"/>
      <c r="M333" s="729"/>
      <c r="N333" s="729"/>
      <c r="O333" s="729"/>
      <c r="P333" s="729"/>
      <c r="Q333" s="729"/>
    </row>
    <row r="334" spans="1:17" s="714" customFormat="1" ht="24" customHeight="1">
      <c r="A334" s="775"/>
      <c r="B334" s="2475" t="str">
        <f>"รวมราคารายการที่ "&amp;A299</f>
        <v>รวมราคารายการที่ 3.9</v>
      </c>
      <c r="C334" s="2476"/>
      <c r="D334" s="2477"/>
      <c r="E334" s="776"/>
      <c r="F334" s="777"/>
      <c r="G334" s="959"/>
      <c r="H334" s="960">
        <f>SUM(H299:H333)</f>
        <v>1228967</v>
      </c>
      <c r="I334" s="959"/>
      <c r="J334" s="960">
        <f>SUM(J299:J333)</f>
        <v>200968</v>
      </c>
      <c r="K334" s="960">
        <f>SUM(K299:K333)</f>
        <v>1429935</v>
      </c>
      <c r="L334" s="777"/>
      <c r="M334" s="729"/>
      <c r="N334" s="729"/>
      <c r="O334" s="729"/>
      <c r="P334" s="729"/>
      <c r="Q334" s="729"/>
    </row>
    <row r="335" spans="1:17" s="714" customFormat="1" ht="24" customHeight="1">
      <c r="A335" s="911" t="s">
        <v>1158</v>
      </c>
      <c r="B335" s="816" t="s">
        <v>1241</v>
      </c>
      <c r="C335" s="770"/>
      <c r="D335" s="770"/>
      <c r="E335" s="930"/>
      <c r="F335" s="939"/>
      <c r="G335" s="932"/>
      <c r="H335" s="933"/>
      <c r="I335" s="934"/>
      <c r="J335" s="935"/>
      <c r="K335" s="935"/>
      <c r="L335" s="935"/>
      <c r="M335" s="729"/>
      <c r="N335" s="729"/>
      <c r="O335" s="729"/>
      <c r="P335" s="729"/>
      <c r="Q335" s="729"/>
    </row>
    <row r="336" spans="1:17" s="714" customFormat="1" ht="24" customHeight="1">
      <c r="A336" s="831" t="s">
        <v>1160</v>
      </c>
      <c r="B336" s="720" t="s">
        <v>1423</v>
      </c>
      <c r="C336" s="717"/>
      <c r="D336" s="717"/>
      <c r="E336" s="917">
        <v>6</v>
      </c>
      <c r="F336" s="722" t="s">
        <v>240</v>
      </c>
      <c r="G336" s="806">
        <v>200</v>
      </c>
      <c r="H336" s="796">
        <f t="shared" ref="H336" si="51">ROUND(E336*G336,)</f>
        <v>1200</v>
      </c>
      <c r="I336" s="807">
        <v>90</v>
      </c>
      <c r="J336" s="796">
        <f t="shared" ref="J336" si="52">ROUND(E336*I336,)</f>
        <v>540</v>
      </c>
      <c r="K336" s="1030">
        <f t="shared" ref="K336:K349" si="53">H336+J336</f>
        <v>1740</v>
      </c>
      <c r="L336" s="919"/>
      <c r="M336" s="729"/>
      <c r="N336" s="729"/>
      <c r="O336" s="729"/>
      <c r="P336" s="729"/>
      <c r="Q336" s="729"/>
    </row>
    <row r="337" spans="1:17" s="714" customFormat="1" ht="24" customHeight="1">
      <c r="A337" s="831" t="s">
        <v>1362</v>
      </c>
      <c r="B337" s="720" t="s">
        <v>1424</v>
      </c>
      <c r="C337" s="717"/>
      <c r="D337" s="717"/>
      <c r="E337" s="917"/>
      <c r="F337" s="940"/>
      <c r="G337" s="806"/>
      <c r="H337" s="796"/>
      <c r="I337" s="807"/>
      <c r="J337" s="796"/>
      <c r="K337" s="1030">
        <f t="shared" si="53"/>
        <v>0</v>
      </c>
      <c r="L337" s="919"/>
      <c r="M337" s="729"/>
      <c r="N337" s="729"/>
      <c r="O337" s="729"/>
      <c r="P337" s="729"/>
      <c r="Q337" s="729"/>
    </row>
    <row r="338" spans="1:17" s="714" customFormat="1" ht="24" customHeight="1">
      <c r="A338" s="831"/>
      <c r="B338" s="720" t="s">
        <v>1244</v>
      </c>
      <c r="C338" s="717"/>
      <c r="D338" s="717"/>
      <c r="E338" s="917">
        <v>2</v>
      </c>
      <c r="F338" s="940" t="s">
        <v>240</v>
      </c>
      <c r="G338" s="806">
        <v>27500</v>
      </c>
      <c r="H338" s="796">
        <f t="shared" ref="H338:H342" si="54">ROUND(E338*G338,)</f>
        <v>55000</v>
      </c>
      <c r="I338" s="807">
        <f>CEILING(G338*0.3,100)</f>
        <v>8300</v>
      </c>
      <c r="J338" s="796">
        <f t="shared" ref="J338:J340" si="55">ROUND(E338*I338,)</f>
        <v>16600</v>
      </c>
      <c r="K338" s="1030">
        <f t="shared" si="53"/>
        <v>71600</v>
      </c>
      <c r="L338" s="919"/>
      <c r="M338" s="729"/>
      <c r="N338" s="729"/>
      <c r="O338" s="729"/>
      <c r="P338" s="729"/>
      <c r="Q338" s="729"/>
    </row>
    <row r="339" spans="1:17" s="714" customFormat="1" ht="24" customHeight="1">
      <c r="A339" s="831"/>
      <c r="B339" s="720" t="s">
        <v>1245</v>
      </c>
      <c r="C339" s="717"/>
      <c r="D339" s="717"/>
      <c r="E339" s="917">
        <v>2</v>
      </c>
      <c r="F339" s="940" t="s">
        <v>240</v>
      </c>
      <c r="G339" s="806">
        <v>3000</v>
      </c>
      <c r="H339" s="796">
        <f t="shared" si="54"/>
        <v>6000</v>
      </c>
      <c r="I339" s="807"/>
      <c r="J339" s="796">
        <f t="shared" si="55"/>
        <v>0</v>
      </c>
      <c r="K339" s="1030">
        <f t="shared" si="53"/>
        <v>6000</v>
      </c>
      <c r="L339" s="919"/>
      <c r="M339" s="729"/>
      <c r="N339" s="729"/>
      <c r="O339" s="729"/>
      <c r="P339" s="729"/>
      <c r="Q339" s="729"/>
    </row>
    <row r="340" spans="1:17" s="714" customFormat="1" ht="24" customHeight="1">
      <c r="A340" s="831"/>
      <c r="B340" s="720" t="s">
        <v>1425</v>
      </c>
      <c r="C340" s="717"/>
      <c r="D340" s="717"/>
      <c r="E340" s="917">
        <v>2</v>
      </c>
      <c r="F340" s="940" t="s">
        <v>240</v>
      </c>
      <c r="G340" s="806">
        <v>5700</v>
      </c>
      <c r="H340" s="796">
        <f t="shared" si="54"/>
        <v>11400</v>
      </c>
      <c r="I340" s="807"/>
      <c r="J340" s="796">
        <f t="shared" si="55"/>
        <v>0</v>
      </c>
      <c r="K340" s="1030">
        <f t="shared" si="53"/>
        <v>11400</v>
      </c>
      <c r="L340" s="919"/>
      <c r="M340" s="729"/>
      <c r="N340" s="729"/>
      <c r="O340" s="729"/>
      <c r="P340" s="729"/>
      <c r="Q340" s="729"/>
    </row>
    <row r="341" spans="1:17" s="714" customFormat="1" ht="24" customHeight="1">
      <c r="A341" s="831"/>
      <c r="B341" s="720" t="s">
        <v>1246</v>
      </c>
      <c r="C341" s="717"/>
      <c r="D341" s="717"/>
      <c r="E341" s="917">
        <f>E338*24</f>
        <v>48</v>
      </c>
      <c r="F341" s="940" t="s">
        <v>240</v>
      </c>
      <c r="G341" s="806">
        <v>255</v>
      </c>
      <c r="H341" s="796">
        <f t="shared" si="54"/>
        <v>12240</v>
      </c>
      <c r="I341" s="807"/>
      <c r="J341" s="796"/>
      <c r="K341" s="1030">
        <f t="shared" si="53"/>
        <v>12240</v>
      </c>
      <c r="L341" s="919"/>
      <c r="M341" s="729"/>
      <c r="N341" s="729"/>
      <c r="O341" s="729"/>
      <c r="P341" s="729"/>
      <c r="Q341" s="729"/>
    </row>
    <row r="342" spans="1:17" s="714" customFormat="1" ht="24" customHeight="1">
      <c r="A342" s="831"/>
      <c r="B342" s="720" t="s">
        <v>1426</v>
      </c>
      <c r="C342" s="717"/>
      <c r="D342" s="717"/>
      <c r="E342" s="917">
        <f>E339*24</f>
        <v>48</v>
      </c>
      <c r="F342" s="940" t="s">
        <v>240</v>
      </c>
      <c r="G342" s="806">
        <v>190</v>
      </c>
      <c r="H342" s="796">
        <f t="shared" si="54"/>
        <v>9120</v>
      </c>
      <c r="I342" s="807"/>
      <c r="J342" s="796"/>
      <c r="K342" s="1030">
        <f t="shared" si="53"/>
        <v>9120</v>
      </c>
      <c r="L342" s="919"/>
      <c r="M342" s="729"/>
      <c r="N342" s="729"/>
      <c r="O342" s="729"/>
      <c r="P342" s="729"/>
      <c r="Q342" s="729"/>
    </row>
    <row r="343" spans="1:17" s="714" customFormat="1" ht="24" customHeight="1">
      <c r="A343" s="831" t="s">
        <v>1366</v>
      </c>
      <c r="B343" s="720" t="s">
        <v>1248</v>
      </c>
      <c r="C343" s="717"/>
      <c r="D343" s="717"/>
      <c r="E343" s="917"/>
      <c r="F343" s="941"/>
      <c r="G343" s="806"/>
      <c r="H343" s="796"/>
      <c r="I343" s="807"/>
      <c r="J343" s="796"/>
      <c r="K343" s="1030">
        <f t="shared" si="53"/>
        <v>0</v>
      </c>
      <c r="L343" s="919"/>
      <c r="M343" s="729"/>
      <c r="N343" s="729"/>
      <c r="O343" s="729"/>
      <c r="P343" s="729"/>
      <c r="Q343" s="729"/>
    </row>
    <row r="344" spans="1:17" s="714" customFormat="1" ht="24" customHeight="1">
      <c r="A344" s="831" t="s">
        <v>3099</v>
      </c>
      <c r="B344" s="720" t="s">
        <v>1378</v>
      </c>
      <c r="C344" s="717"/>
      <c r="D344" s="717"/>
      <c r="E344" s="917"/>
      <c r="F344" s="941"/>
      <c r="G344" s="806"/>
      <c r="H344" s="796"/>
      <c r="I344" s="807"/>
      <c r="J344" s="796"/>
      <c r="K344" s="1030">
        <f t="shared" si="53"/>
        <v>0</v>
      </c>
      <c r="L344" s="919"/>
      <c r="M344" s="729"/>
      <c r="N344" s="729"/>
      <c r="O344" s="729"/>
      <c r="P344" s="729"/>
      <c r="Q344" s="729"/>
    </row>
    <row r="345" spans="1:17" s="714" customFormat="1" ht="24" customHeight="1">
      <c r="A345" s="831"/>
      <c r="B345" s="720" t="s">
        <v>1427</v>
      </c>
      <c r="C345" s="717"/>
      <c r="D345" s="717"/>
      <c r="E345" s="917">
        <v>180</v>
      </c>
      <c r="F345" s="794" t="s">
        <v>438</v>
      </c>
      <c r="G345" s="806">
        <v>24</v>
      </c>
      <c r="H345" s="796">
        <f t="shared" ref="H345" si="56">ROUND(G345*E345,)</f>
        <v>4320</v>
      </c>
      <c r="I345" s="807">
        <v>5</v>
      </c>
      <c r="J345" s="796">
        <f t="shared" ref="J345:J346" si="57">ROUND(E345*I345,)</f>
        <v>900</v>
      </c>
      <c r="K345" s="1030">
        <f t="shared" si="53"/>
        <v>5220</v>
      </c>
      <c r="L345" s="919"/>
      <c r="M345" s="729"/>
      <c r="N345" s="729"/>
      <c r="O345" s="729"/>
      <c r="P345" s="729"/>
      <c r="Q345" s="729"/>
    </row>
    <row r="346" spans="1:17" s="714" customFormat="1" ht="24" customHeight="1">
      <c r="A346" s="831"/>
      <c r="B346" s="720" t="s">
        <v>1338</v>
      </c>
      <c r="C346" s="717"/>
      <c r="D346" s="717"/>
      <c r="E346" s="917">
        <v>1</v>
      </c>
      <c r="F346" s="916" t="s">
        <v>948</v>
      </c>
      <c r="G346" s="806">
        <f>SUM(H345)*5%</f>
        <v>216</v>
      </c>
      <c r="H346" s="796">
        <f t="shared" ref="H346" si="58">ROUND(E346*G346,)</f>
        <v>216</v>
      </c>
      <c r="I346" s="807">
        <f>G346*0.3</f>
        <v>64.8</v>
      </c>
      <c r="J346" s="796">
        <f t="shared" si="57"/>
        <v>65</v>
      </c>
      <c r="K346" s="1030">
        <f t="shared" si="53"/>
        <v>281</v>
      </c>
      <c r="L346" s="919"/>
      <c r="M346" s="729"/>
      <c r="N346" s="729"/>
      <c r="O346" s="729"/>
      <c r="P346" s="729"/>
      <c r="Q346" s="729"/>
    </row>
    <row r="347" spans="1:17" s="714" customFormat="1" ht="24" customHeight="1">
      <c r="A347" s="831" t="s">
        <v>3024</v>
      </c>
      <c r="B347" s="720" t="s">
        <v>1357</v>
      </c>
      <c r="C347" s="717"/>
      <c r="D347" s="717"/>
      <c r="E347" s="917"/>
      <c r="F347" s="941"/>
      <c r="G347" s="806"/>
      <c r="H347" s="918"/>
      <c r="I347" s="807"/>
      <c r="J347" s="919"/>
      <c r="K347" s="1030">
        <f t="shared" si="53"/>
        <v>0</v>
      </c>
      <c r="L347" s="919"/>
      <c r="M347" s="729"/>
      <c r="N347" s="729"/>
      <c r="O347" s="729"/>
      <c r="P347" s="729"/>
      <c r="Q347" s="729"/>
    </row>
    <row r="348" spans="1:17" s="714" customFormat="1" ht="24" customHeight="1">
      <c r="A348" s="831"/>
      <c r="B348" s="720" t="s">
        <v>1201</v>
      </c>
      <c r="C348" s="717"/>
      <c r="D348" s="717"/>
      <c r="E348" s="917">
        <f>E345-E351</f>
        <v>162</v>
      </c>
      <c r="F348" s="794" t="s">
        <v>438</v>
      </c>
      <c r="G348" s="806">
        <v>27</v>
      </c>
      <c r="H348" s="796">
        <f t="shared" ref="H348:H349" si="59">ROUND(G348*E348,)</f>
        <v>4374</v>
      </c>
      <c r="I348" s="807">
        <v>22</v>
      </c>
      <c r="J348" s="796">
        <f t="shared" ref="J348:J349" si="60">ROUND(E348*I348,)</f>
        <v>3564</v>
      </c>
      <c r="K348" s="914">
        <f t="shared" si="53"/>
        <v>7938</v>
      </c>
      <c r="L348" s="1718" t="s">
        <v>2974</v>
      </c>
      <c r="M348" s="729"/>
      <c r="P348" s="729"/>
      <c r="Q348" s="729"/>
    </row>
    <row r="349" spans="1:17" s="714" customFormat="1" ht="24" customHeight="1">
      <c r="A349" s="831"/>
      <c r="B349" s="720" t="s">
        <v>1237</v>
      </c>
      <c r="C349" s="717"/>
      <c r="D349" s="717"/>
      <c r="E349" s="917">
        <v>1</v>
      </c>
      <c r="F349" s="941" t="s">
        <v>948</v>
      </c>
      <c r="G349" s="806">
        <f>SUM(H348:H348)*15%</f>
        <v>656.1</v>
      </c>
      <c r="H349" s="796">
        <f t="shared" si="59"/>
        <v>656</v>
      </c>
      <c r="I349" s="807">
        <f>G349*0.3</f>
        <v>196.83</v>
      </c>
      <c r="J349" s="796">
        <f t="shared" si="60"/>
        <v>197</v>
      </c>
      <c r="K349" s="914">
        <f t="shared" si="53"/>
        <v>853</v>
      </c>
      <c r="L349" s="919"/>
      <c r="M349" s="729"/>
      <c r="N349" s="729"/>
      <c r="O349" s="729"/>
      <c r="P349" s="729"/>
      <c r="Q349" s="729"/>
    </row>
    <row r="350" spans="1:17" s="714" customFormat="1" ht="24" customHeight="1">
      <c r="A350" s="831" t="s">
        <v>1369</v>
      </c>
      <c r="B350" s="720" t="s">
        <v>950</v>
      </c>
      <c r="C350" s="717"/>
      <c r="D350" s="717"/>
      <c r="E350" s="917"/>
      <c r="F350" s="941"/>
      <c r="G350" s="806"/>
      <c r="H350" s="918"/>
      <c r="I350" s="807"/>
      <c r="J350" s="919"/>
      <c r="K350" s="919"/>
      <c r="L350" s="919"/>
      <c r="M350" s="729"/>
      <c r="N350" s="729"/>
      <c r="O350" s="729"/>
      <c r="P350" s="729"/>
      <c r="Q350" s="729"/>
    </row>
    <row r="351" spans="1:17" s="714" customFormat="1" ht="24" customHeight="1">
      <c r="A351" s="831"/>
      <c r="B351" s="720" t="s">
        <v>1201</v>
      </c>
      <c r="C351" s="717"/>
      <c r="D351" s="717"/>
      <c r="E351" s="917">
        <f>E336*3</f>
        <v>18</v>
      </c>
      <c r="F351" s="794" t="s">
        <v>438</v>
      </c>
      <c r="G351" s="806">
        <v>56</v>
      </c>
      <c r="H351" s="796">
        <f t="shared" ref="H351:H352" si="61">ROUND(G351*E351,)</f>
        <v>1008</v>
      </c>
      <c r="I351" s="807">
        <v>26</v>
      </c>
      <c r="J351" s="796">
        <f t="shared" ref="J351:J352" si="62">ROUND(E351*I351,)</f>
        <v>468</v>
      </c>
      <c r="K351" s="914">
        <f t="shared" ref="K351:K352" si="63">H351+J351</f>
        <v>1476</v>
      </c>
      <c r="L351" s="1718" t="s">
        <v>2974</v>
      </c>
      <c r="M351" s="729"/>
      <c r="P351" s="729"/>
      <c r="Q351" s="729"/>
    </row>
    <row r="352" spans="1:17" s="714" customFormat="1" ht="24" customHeight="1">
      <c r="A352" s="831"/>
      <c r="B352" s="720" t="s">
        <v>1237</v>
      </c>
      <c r="C352" s="717"/>
      <c r="D352" s="717"/>
      <c r="E352" s="917">
        <v>1</v>
      </c>
      <c r="F352" s="794" t="s">
        <v>948</v>
      </c>
      <c r="G352" s="806">
        <f>SUM(H351:H351)*15%</f>
        <v>151.19999999999999</v>
      </c>
      <c r="H352" s="796">
        <f t="shared" si="61"/>
        <v>151</v>
      </c>
      <c r="I352" s="807">
        <f>G352*0.3</f>
        <v>45.359999999999992</v>
      </c>
      <c r="J352" s="796">
        <f t="shared" si="62"/>
        <v>45</v>
      </c>
      <c r="K352" s="914">
        <f t="shared" si="63"/>
        <v>196</v>
      </c>
      <c r="L352" s="1718"/>
      <c r="M352" s="729"/>
      <c r="N352" s="729"/>
      <c r="O352" s="729"/>
      <c r="P352" s="729"/>
      <c r="Q352" s="729"/>
    </row>
    <row r="353" spans="1:17" s="714" customFormat="1" ht="24" customHeight="1">
      <c r="A353" s="831"/>
      <c r="B353" s="720" t="s">
        <v>957</v>
      </c>
      <c r="C353" s="717"/>
      <c r="D353" s="717"/>
      <c r="E353" s="917"/>
      <c r="F353" s="941"/>
      <c r="G353" s="806"/>
      <c r="H353" s="796"/>
      <c r="I353" s="807"/>
      <c r="J353" s="796"/>
      <c r="K353" s="914"/>
      <c r="L353" s="919"/>
      <c r="M353" s="729"/>
      <c r="N353" s="729"/>
      <c r="O353" s="729"/>
      <c r="P353" s="729"/>
      <c r="Q353" s="729"/>
    </row>
    <row r="354" spans="1:17" s="714" customFormat="1" ht="24" customHeight="1">
      <c r="A354" s="775"/>
      <c r="B354" s="2475" t="str">
        <f>"รวมราคารายการที่ "&amp;A335</f>
        <v>รวมราคารายการที่ 3.10</v>
      </c>
      <c r="C354" s="2476"/>
      <c r="D354" s="2477"/>
      <c r="E354" s="776"/>
      <c r="F354" s="777"/>
      <c r="G354" s="959"/>
      <c r="H354" s="960">
        <f>SUM(H335:H353)</f>
        <v>105685</v>
      </c>
      <c r="I354" s="959"/>
      <c r="J354" s="960">
        <f t="shared" ref="J354:K354" si="64">SUM(J335:J353)</f>
        <v>22379</v>
      </c>
      <c r="K354" s="960">
        <f t="shared" si="64"/>
        <v>128064</v>
      </c>
      <c r="L354" s="777">
        <v>145362</v>
      </c>
      <c r="M354" s="729"/>
      <c r="N354" s="729"/>
      <c r="O354" s="729"/>
      <c r="P354" s="729"/>
      <c r="Q354" s="729"/>
    </row>
    <row r="355" spans="1:17" s="714" customFormat="1" ht="24" customHeight="1">
      <c r="A355" s="911" t="s">
        <v>1180</v>
      </c>
      <c r="B355" s="816" t="s">
        <v>1257</v>
      </c>
      <c r="C355" s="770"/>
      <c r="D355" s="770"/>
      <c r="E355" s="930"/>
      <c r="F355" s="939"/>
      <c r="G355" s="932"/>
      <c r="H355" s="933"/>
      <c r="I355" s="934"/>
      <c r="J355" s="935"/>
      <c r="K355" s="935"/>
      <c r="L355" s="935"/>
      <c r="M355" s="729"/>
      <c r="N355" s="729"/>
      <c r="O355" s="729"/>
      <c r="P355" s="729"/>
      <c r="Q355" s="729"/>
    </row>
    <row r="356" spans="1:17" s="714" customFormat="1" ht="24" customHeight="1">
      <c r="A356" s="856" t="s">
        <v>1082</v>
      </c>
      <c r="B356" s="800" t="s">
        <v>1341</v>
      </c>
      <c r="C356" s="757"/>
      <c r="D356" s="757"/>
      <c r="E356" s="942">
        <v>64</v>
      </c>
      <c r="F356" s="803" t="s">
        <v>240</v>
      </c>
      <c r="G356" s="752">
        <v>900</v>
      </c>
      <c r="H356" s="796">
        <f t="shared" ref="H356:H368" si="65">ROUND(G356*E356,)</f>
        <v>57600</v>
      </c>
      <c r="I356" s="807">
        <v>140</v>
      </c>
      <c r="J356" s="796">
        <f t="shared" ref="J356:J368" si="66">ROUND(E356*I356,)</f>
        <v>8960</v>
      </c>
      <c r="K356" s="1030">
        <f t="shared" ref="K356:K369" si="67">H356+J356</f>
        <v>66560</v>
      </c>
      <c r="L356" s="919"/>
      <c r="M356" s="729"/>
      <c r="N356" s="729"/>
      <c r="O356" s="729"/>
      <c r="P356" s="729"/>
      <c r="Q356" s="729"/>
    </row>
    <row r="357" spans="1:17" s="714" customFormat="1" ht="24" customHeight="1">
      <c r="A357" s="976" t="s">
        <v>1377</v>
      </c>
      <c r="B357" s="800" t="s">
        <v>1342</v>
      </c>
      <c r="C357" s="757"/>
      <c r="D357" s="757"/>
      <c r="E357" s="942"/>
      <c r="F357" s="803" t="s">
        <v>240</v>
      </c>
      <c r="G357" s="752">
        <v>5700</v>
      </c>
      <c r="H357" s="796">
        <f t="shared" si="65"/>
        <v>0</v>
      </c>
      <c r="I357" s="807">
        <v>140</v>
      </c>
      <c r="J357" s="796">
        <f t="shared" si="66"/>
        <v>0</v>
      </c>
      <c r="K357" s="1030">
        <f t="shared" si="67"/>
        <v>0</v>
      </c>
      <c r="L357" s="919"/>
      <c r="M357" s="729"/>
      <c r="N357" s="729"/>
      <c r="O357" s="729"/>
      <c r="P357" s="729"/>
      <c r="Q357" s="729"/>
    </row>
    <row r="358" spans="1:17" s="714" customFormat="1" ht="24" customHeight="1">
      <c r="A358" s="976" t="s">
        <v>1380</v>
      </c>
      <c r="B358" s="800" t="s">
        <v>1343</v>
      </c>
      <c r="C358" s="757"/>
      <c r="D358" s="757"/>
      <c r="E358" s="942">
        <v>2</v>
      </c>
      <c r="F358" s="803" t="s">
        <v>240</v>
      </c>
      <c r="G358" s="752">
        <v>3800</v>
      </c>
      <c r="H358" s="796">
        <f t="shared" si="65"/>
        <v>7600</v>
      </c>
      <c r="I358" s="807">
        <v>200</v>
      </c>
      <c r="J358" s="796">
        <f t="shared" si="66"/>
        <v>400</v>
      </c>
      <c r="K358" s="1030">
        <f t="shared" si="67"/>
        <v>8000</v>
      </c>
      <c r="L358" s="919"/>
      <c r="M358" s="729"/>
      <c r="P358" s="729"/>
      <c r="Q358" s="729"/>
    </row>
    <row r="359" spans="1:17" s="714" customFormat="1" ht="24" customHeight="1">
      <c r="A359" s="976" t="s">
        <v>1210</v>
      </c>
      <c r="B359" s="800" t="s">
        <v>1344</v>
      </c>
      <c r="C359" s="757"/>
      <c r="D359" s="757"/>
      <c r="E359" s="942">
        <v>2</v>
      </c>
      <c r="F359" s="803" t="s">
        <v>240</v>
      </c>
      <c r="G359" s="752">
        <v>5000</v>
      </c>
      <c r="H359" s="796">
        <f t="shared" si="65"/>
        <v>10000</v>
      </c>
      <c r="I359" s="807">
        <f>G359*0.1</f>
        <v>500</v>
      </c>
      <c r="J359" s="796">
        <f t="shared" si="66"/>
        <v>1000</v>
      </c>
      <c r="K359" s="1030">
        <f t="shared" si="67"/>
        <v>11000</v>
      </c>
      <c r="L359" s="919"/>
      <c r="M359" s="729"/>
      <c r="N359" s="729"/>
      <c r="O359" s="729"/>
      <c r="P359" s="729"/>
      <c r="Q359" s="729"/>
    </row>
    <row r="360" spans="1:17" s="714" customFormat="1" ht="24" customHeight="1">
      <c r="A360" s="976" t="s">
        <v>1212</v>
      </c>
      <c r="B360" s="800" t="s">
        <v>1159</v>
      </c>
      <c r="C360" s="757"/>
      <c r="D360" s="757"/>
      <c r="E360" s="942"/>
      <c r="F360" s="948"/>
      <c r="G360" s="752"/>
      <c r="H360" s="796">
        <f t="shared" si="65"/>
        <v>0</v>
      </c>
      <c r="I360" s="807"/>
      <c r="J360" s="796">
        <f t="shared" si="66"/>
        <v>0</v>
      </c>
      <c r="K360" s="1030">
        <f t="shared" si="67"/>
        <v>0</v>
      </c>
      <c r="L360" s="919"/>
      <c r="M360" s="729"/>
      <c r="N360" s="729"/>
      <c r="O360" s="729"/>
      <c r="P360" s="729"/>
      <c r="Q360" s="729"/>
    </row>
    <row r="361" spans="1:17" s="714" customFormat="1" ht="24" customHeight="1">
      <c r="A361" s="861"/>
      <c r="B361" s="800" t="s">
        <v>1430</v>
      </c>
      <c r="C361" s="757"/>
      <c r="D361" s="757"/>
      <c r="E361" s="942">
        <f>E356*30</f>
        <v>1920</v>
      </c>
      <c r="F361" s="867" t="s">
        <v>438</v>
      </c>
      <c r="G361" s="752">
        <v>32</v>
      </c>
      <c r="H361" s="796">
        <f t="shared" si="65"/>
        <v>61440</v>
      </c>
      <c r="I361" s="807">
        <v>11</v>
      </c>
      <c r="J361" s="796">
        <f t="shared" si="66"/>
        <v>21120</v>
      </c>
      <c r="K361" s="1030">
        <f t="shared" si="67"/>
        <v>82560</v>
      </c>
      <c r="L361" s="1718" t="s">
        <v>2974</v>
      </c>
      <c r="M361" s="729"/>
      <c r="P361" s="729"/>
      <c r="Q361" s="729"/>
    </row>
    <row r="362" spans="1:17" s="714" customFormat="1" ht="24" customHeight="1">
      <c r="A362" s="861"/>
      <c r="B362" s="800" t="s">
        <v>1431</v>
      </c>
      <c r="C362" s="757"/>
      <c r="D362" s="757"/>
      <c r="E362" s="942">
        <v>166</v>
      </c>
      <c r="F362" s="867" t="s">
        <v>438</v>
      </c>
      <c r="G362" s="752">
        <v>40</v>
      </c>
      <c r="H362" s="796">
        <f t="shared" si="65"/>
        <v>6640</v>
      </c>
      <c r="I362" s="807">
        <v>12</v>
      </c>
      <c r="J362" s="796">
        <f t="shared" si="66"/>
        <v>1992</v>
      </c>
      <c r="K362" s="1030">
        <f t="shared" si="67"/>
        <v>8632</v>
      </c>
      <c r="L362" s="1718" t="s">
        <v>2974</v>
      </c>
      <c r="M362" s="729"/>
      <c r="P362" s="729"/>
      <c r="Q362" s="729"/>
    </row>
    <row r="363" spans="1:17" s="714" customFormat="1" ht="24" customHeight="1">
      <c r="A363" s="831"/>
      <c r="B363" s="720" t="s">
        <v>1338</v>
      </c>
      <c r="C363" s="717"/>
      <c r="D363" s="717"/>
      <c r="E363" s="917">
        <v>1</v>
      </c>
      <c r="F363" s="916" t="s">
        <v>948</v>
      </c>
      <c r="G363" s="806">
        <f>SUM(H361:H362)*5%</f>
        <v>3404</v>
      </c>
      <c r="H363" s="796">
        <f t="shared" ref="H363" si="68">ROUND(E363*G363,)</f>
        <v>3404</v>
      </c>
      <c r="I363" s="949">
        <f>ROUND(G363*0.3,)</f>
        <v>1021</v>
      </c>
      <c r="J363" s="796">
        <f t="shared" si="66"/>
        <v>1021</v>
      </c>
      <c r="K363" s="1030">
        <f t="shared" si="67"/>
        <v>4425</v>
      </c>
      <c r="L363" s="919"/>
      <c r="M363" s="729"/>
      <c r="N363" s="729"/>
      <c r="O363" s="729"/>
      <c r="P363" s="729"/>
      <c r="Q363" s="729"/>
    </row>
    <row r="364" spans="1:17" s="714" customFormat="1" ht="24" customHeight="1">
      <c r="A364" s="831" t="s">
        <v>1216</v>
      </c>
      <c r="B364" s="720" t="s">
        <v>1357</v>
      </c>
      <c r="C364" s="717"/>
      <c r="D364" s="717"/>
      <c r="E364" s="917"/>
      <c r="F364" s="916"/>
      <c r="G364" s="806"/>
      <c r="H364" s="796">
        <f t="shared" si="65"/>
        <v>0</v>
      </c>
      <c r="I364" s="807"/>
      <c r="J364" s="796">
        <f t="shared" si="66"/>
        <v>0</v>
      </c>
      <c r="K364" s="1030">
        <f t="shared" si="67"/>
        <v>0</v>
      </c>
      <c r="L364" s="919"/>
      <c r="M364" s="729"/>
      <c r="N364" s="729"/>
      <c r="O364" s="729"/>
      <c r="P364" s="729"/>
      <c r="Q364" s="729"/>
    </row>
    <row r="365" spans="1:17" s="714" customFormat="1" ht="24" customHeight="1">
      <c r="A365" s="831"/>
      <c r="B365" s="720" t="s">
        <v>1201</v>
      </c>
      <c r="C365" s="717"/>
      <c r="D365" s="717"/>
      <c r="E365" s="917">
        <f>SUM(E361:E362)</f>
        <v>2086</v>
      </c>
      <c r="F365" s="794" t="s">
        <v>438</v>
      </c>
      <c r="G365" s="806">
        <v>27</v>
      </c>
      <c r="H365" s="796">
        <f t="shared" si="65"/>
        <v>56322</v>
      </c>
      <c r="I365" s="807">
        <v>22</v>
      </c>
      <c r="J365" s="796">
        <f t="shared" si="66"/>
        <v>45892</v>
      </c>
      <c r="K365" s="1030">
        <f t="shared" si="67"/>
        <v>102214</v>
      </c>
      <c r="L365" s="1718" t="s">
        <v>2974</v>
      </c>
      <c r="M365" s="729"/>
      <c r="P365" s="729"/>
      <c r="Q365" s="729"/>
    </row>
    <row r="366" spans="1:17" s="714" customFormat="1" ht="24" customHeight="1">
      <c r="A366" s="831"/>
      <c r="B366" s="720" t="s">
        <v>1237</v>
      </c>
      <c r="C366" s="717"/>
      <c r="D366" s="717"/>
      <c r="E366" s="917"/>
      <c r="F366" s="941" t="s">
        <v>948</v>
      </c>
      <c r="G366" s="806">
        <f>ROUND(SUM(H365:H365)*15%,)</f>
        <v>8448</v>
      </c>
      <c r="H366" s="796">
        <f t="shared" si="65"/>
        <v>0</v>
      </c>
      <c r="I366" s="949">
        <f>ROUND(G366*0.3,)</f>
        <v>2534</v>
      </c>
      <c r="J366" s="796">
        <f t="shared" si="66"/>
        <v>0</v>
      </c>
      <c r="K366" s="1030">
        <f t="shared" si="67"/>
        <v>0</v>
      </c>
      <c r="L366" s="919"/>
      <c r="M366" s="729"/>
      <c r="N366" s="729"/>
      <c r="O366" s="729"/>
      <c r="P366" s="729"/>
      <c r="Q366" s="729"/>
    </row>
    <row r="367" spans="1:17" s="714" customFormat="1" ht="24" customHeight="1">
      <c r="A367" s="831" t="s">
        <v>1218</v>
      </c>
      <c r="B367" s="720" t="s">
        <v>1281</v>
      </c>
      <c r="C367" s="717"/>
      <c r="D367" s="717"/>
      <c r="E367" s="917"/>
      <c r="F367" s="916"/>
      <c r="G367" s="806"/>
      <c r="H367" s="796">
        <f t="shared" si="65"/>
        <v>0</v>
      </c>
      <c r="I367" s="807"/>
      <c r="J367" s="796">
        <f t="shared" si="66"/>
        <v>0</v>
      </c>
      <c r="K367" s="1030">
        <f t="shared" si="67"/>
        <v>0</v>
      </c>
      <c r="L367" s="919"/>
      <c r="M367" s="729"/>
      <c r="N367" s="729"/>
      <c r="O367" s="729"/>
      <c r="P367" s="729"/>
      <c r="Q367" s="729"/>
    </row>
    <row r="368" spans="1:17" s="714" customFormat="1" ht="24" customHeight="1">
      <c r="A368" s="831"/>
      <c r="B368" s="720" t="s">
        <v>1201</v>
      </c>
      <c r="C368" s="717"/>
      <c r="D368" s="717"/>
      <c r="E368" s="917">
        <f>E356</f>
        <v>64</v>
      </c>
      <c r="F368" s="794" t="s">
        <v>438</v>
      </c>
      <c r="G368" s="806">
        <v>14</v>
      </c>
      <c r="H368" s="796">
        <f t="shared" si="65"/>
        <v>896</v>
      </c>
      <c r="I368" s="807">
        <v>11</v>
      </c>
      <c r="J368" s="796">
        <f t="shared" si="66"/>
        <v>704</v>
      </c>
      <c r="K368" s="1030">
        <f t="shared" si="67"/>
        <v>1600</v>
      </c>
      <c r="L368" s="919"/>
      <c r="M368" s="729"/>
      <c r="N368" s="729"/>
      <c r="O368" s="729"/>
      <c r="P368" s="729"/>
      <c r="Q368" s="729"/>
    </row>
    <row r="369" spans="1:21" s="714" customFormat="1" ht="24" customHeight="1">
      <c r="A369" s="831"/>
      <c r="B369" s="720" t="s">
        <v>957</v>
      </c>
      <c r="C369" s="717"/>
      <c r="D369" s="717"/>
      <c r="E369" s="917"/>
      <c r="F369" s="916"/>
      <c r="G369" s="806"/>
      <c r="H369" s="918"/>
      <c r="I369" s="807"/>
      <c r="J369" s="919"/>
      <c r="K369" s="1030">
        <f t="shared" si="67"/>
        <v>0</v>
      </c>
      <c r="L369" s="919"/>
      <c r="M369" s="729"/>
      <c r="N369" s="729"/>
      <c r="O369" s="729"/>
      <c r="P369" s="729"/>
      <c r="Q369" s="729"/>
    </row>
    <row r="370" spans="1:21" s="714" customFormat="1" ht="24" customHeight="1">
      <c r="A370" s="775"/>
      <c r="B370" s="2475" t="str">
        <f>"รวมราคารายการที่ "&amp;A355</f>
        <v>รวมราคารายการที่ 3.11</v>
      </c>
      <c r="C370" s="2476"/>
      <c r="D370" s="2477"/>
      <c r="E370" s="776"/>
      <c r="F370" s="777"/>
      <c r="G370" s="959"/>
      <c r="H370" s="960">
        <f>SUM(H355:H369)</f>
        <v>203902</v>
      </c>
      <c r="I370" s="959"/>
      <c r="J370" s="960">
        <f t="shared" ref="J370:K370" si="69">SUM(J355:J369)</f>
        <v>81089</v>
      </c>
      <c r="K370" s="960">
        <f t="shared" si="69"/>
        <v>284991</v>
      </c>
      <c r="L370" s="777"/>
      <c r="M370" s="729"/>
      <c r="N370" s="729"/>
      <c r="O370" s="729"/>
      <c r="P370" s="729"/>
      <c r="Q370" s="729"/>
    </row>
    <row r="371" spans="1:21" s="714" customFormat="1" ht="24" customHeight="1">
      <c r="A371" s="911" t="s">
        <v>1196</v>
      </c>
      <c r="B371" s="816" t="s">
        <v>1347</v>
      </c>
      <c r="C371" s="770"/>
      <c r="D371" s="770"/>
      <c r="E371" s="930"/>
      <c r="F371" s="939"/>
      <c r="G371" s="932"/>
      <c r="H371" s="933"/>
      <c r="I371" s="934"/>
      <c r="J371" s="935"/>
      <c r="K371" s="935"/>
      <c r="L371" s="935"/>
      <c r="M371" s="729"/>
      <c r="N371" s="729"/>
      <c r="O371" s="729"/>
      <c r="P371" s="729"/>
      <c r="Q371" s="729"/>
    </row>
    <row r="372" spans="1:21" s="714" customFormat="1" ht="24" customHeight="1">
      <c r="A372" s="992" t="s">
        <v>1198</v>
      </c>
      <c r="B372" s="720" t="s">
        <v>3026</v>
      </c>
      <c r="C372" s="706"/>
      <c r="D372" s="990"/>
      <c r="E372" s="721"/>
      <c r="F372" s="722"/>
      <c r="G372" s="1402"/>
      <c r="H372" s="914"/>
      <c r="I372" s="807"/>
      <c r="J372" s="796"/>
      <c r="K372" s="797"/>
      <c r="L372" s="830"/>
      <c r="M372" s="729"/>
      <c r="N372" s="729"/>
      <c r="O372" s="729"/>
      <c r="P372" s="729"/>
      <c r="Q372" s="729"/>
      <c r="R372" s="729"/>
      <c r="S372" s="729"/>
      <c r="T372" s="729"/>
      <c r="U372" s="729"/>
    </row>
    <row r="373" spans="1:21" s="714" customFormat="1" ht="24" customHeight="1">
      <c r="A373" s="992"/>
      <c r="B373" s="720" t="s">
        <v>3022</v>
      </c>
      <c r="C373" s="706"/>
      <c r="D373" s="990"/>
      <c r="E373" s="721">
        <v>2</v>
      </c>
      <c r="F373" s="722" t="s">
        <v>240</v>
      </c>
      <c r="G373" s="994">
        <v>28700</v>
      </c>
      <c r="H373" s="864">
        <f>ROUND(E373*G373,)</f>
        <v>57400</v>
      </c>
      <c r="I373" s="865">
        <f>G373*0.01</f>
        <v>287</v>
      </c>
      <c r="J373" s="864">
        <f>ROUND(I373*E373,)</f>
        <v>574</v>
      </c>
      <c r="K373" s="865">
        <f>H373+J373</f>
        <v>57974</v>
      </c>
      <c r="L373" s="830"/>
      <c r="M373" s="729"/>
      <c r="N373" s="729"/>
      <c r="O373" s="729"/>
      <c r="P373" s="729"/>
      <c r="Q373" s="729"/>
      <c r="R373" s="729"/>
      <c r="S373" s="729"/>
      <c r="T373" s="729"/>
      <c r="U373" s="729"/>
    </row>
    <row r="374" spans="1:21" s="714" customFormat="1" ht="24" customHeight="1">
      <c r="A374" s="992"/>
      <c r="B374" s="720" t="s">
        <v>1616</v>
      </c>
      <c r="C374" s="706"/>
      <c r="D374" s="990"/>
      <c r="E374" s="721">
        <v>2</v>
      </c>
      <c r="F374" s="722" t="s">
        <v>240</v>
      </c>
      <c r="G374" s="994">
        <v>25000</v>
      </c>
      <c r="H374" s="864">
        <f>ROUND(E374*G374,)</f>
        <v>50000</v>
      </c>
      <c r="I374" s="865">
        <f>ROUND(G374*0.01,)</f>
        <v>250</v>
      </c>
      <c r="J374" s="864">
        <f>ROUND(I374*E374,)</f>
        <v>500</v>
      </c>
      <c r="K374" s="865">
        <f>H374+J374</f>
        <v>50500</v>
      </c>
      <c r="L374" s="830"/>
      <c r="M374" s="729"/>
      <c r="N374" s="729"/>
      <c r="O374" s="729"/>
      <c r="P374" s="729"/>
      <c r="Q374" s="729"/>
      <c r="R374" s="729"/>
      <c r="S374" s="729"/>
      <c r="T374" s="729"/>
      <c r="U374" s="729"/>
    </row>
    <row r="375" spans="1:21" s="714" customFormat="1" ht="24" customHeight="1">
      <c r="A375" s="993"/>
      <c r="B375" s="720" t="s">
        <v>1375</v>
      </c>
      <c r="C375" s="706"/>
      <c r="D375" s="990"/>
      <c r="E375" s="721">
        <v>48</v>
      </c>
      <c r="F375" s="722" t="s">
        <v>240</v>
      </c>
      <c r="G375" s="994">
        <v>400</v>
      </c>
      <c r="H375" s="864">
        <f>ROUND(E375*G375,)</f>
        <v>19200</v>
      </c>
      <c r="I375" s="865">
        <f>ROUND(G375*0.01,)</f>
        <v>4</v>
      </c>
      <c r="J375" s="864">
        <f>ROUND(I375*E375,)</f>
        <v>192</v>
      </c>
      <c r="K375" s="865">
        <f>H375+J375</f>
        <v>19392</v>
      </c>
      <c r="L375" s="830"/>
      <c r="M375" s="729"/>
      <c r="N375" s="729"/>
      <c r="O375" s="729"/>
      <c r="P375" s="729"/>
      <c r="Q375" s="729"/>
      <c r="R375" s="729"/>
      <c r="S375" s="729"/>
      <c r="T375" s="729"/>
      <c r="U375" s="729"/>
    </row>
    <row r="376" spans="1:21" s="714" customFormat="1" ht="24" customHeight="1">
      <c r="A376" s="993"/>
      <c r="B376" s="720" t="s">
        <v>3023</v>
      </c>
      <c r="C376" s="706"/>
      <c r="D376" s="990"/>
      <c r="E376" s="721"/>
      <c r="F376" s="722" t="s">
        <v>240</v>
      </c>
      <c r="G376" s="994"/>
      <c r="H376" s="914"/>
      <c r="I376" s="797"/>
      <c r="J376" s="796"/>
      <c r="K376" s="797"/>
      <c r="L376" s="830"/>
      <c r="M376" s="729"/>
      <c r="N376" s="729"/>
      <c r="O376" s="729"/>
      <c r="P376" s="729"/>
      <c r="Q376" s="729"/>
      <c r="R376" s="729"/>
      <c r="S376" s="729"/>
      <c r="T376" s="729"/>
      <c r="U376" s="729"/>
    </row>
    <row r="377" spans="1:21" s="714" customFormat="1" ht="24" customHeight="1">
      <c r="A377" s="1138"/>
      <c r="B377" s="720" t="s">
        <v>1618</v>
      </c>
      <c r="C377" s="706"/>
      <c r="D377" s="990"/>
      <c r="E377" s="721"/>
      <c r="F377" s="722" t="s">
        <v>240</v>
      </c>
      <c r="G377" s="994"/>
      <c r="H377" s="914"/>
      <c r="I377" s="797"/>
      <c r="J377" s="796"/>
      <c r="K377" s="797"/>
      <c r="L377" s="988"/>
      <c r="M377" s="729"/>
      <c r="N377" s="729"/>
      <c r="O377" s="729"/>
      <c r="P377" s="729"/>
      <c r="Q377" s="729"/>
      <c r="R377" s="729"/>
      <c r="S377" s="729"/>
      <c r="T377" s="729"/>
      <c r="U377" s="729"/>
    </row>
    <row r="378" spans="1:21" s="714" customFormat="1" ht="24" customHeight="1">
      <c r="A378" s="856" t="s">
        <v>1200</v>
      </c>
      <c r="B378" s="720" t="s">
        <v>1348</v>
      </c>
      <c r="C378" s="717"/>
      <c r="D378" s="717"/>
      <c r="E378" s="917"/>
      <c r="F378" s="941"/>
      <c r="G378" s="806"/>
      <c r="H378" s="918"/>
      <c r="I378" s="807"/>
      <c r="J378" s="919"/>
      <c r="K378" s="919"/>
      <c r="L378" s="919"/>
      <c r="M378" s="729"/>
      <c r="N378" s="729"/>
      <c r="O378" s="729"/>
      <c r="P378" s="729"/>
      <c r="Q378" s="729"/>
    </row>
    <row r="379" spans="1:21" s="714" customFormat="1" ht="24" customHeight="1">
      <c r="A379" s="831"/>
      <c r="B379" s="720" t="s">
        <v>1349</v>
      </c>
      <c r="C379" s="717"/>
      <c r="D379" s="717"/>
      <c r="E379" s="917">
        <v>2</v>
      </c>
      <c r="F379" s="722" t="s">
        <v>240</v>
      </c>
      <c r="G379" s="806">
        <f>(28000+6600+14500)*0.95</f>
        <v>46645</v>
      </c>
      <c r="H379" s="918">
        <f t="shared" ref="H379:H384" si="70">ROUND(E379*G379,)</f>
        <v>93290</v>
      </c>
      <c r="I379" s="807">
        <v>5000</v>
      </c>
      <c r="J379" s="919">
        <f>ROUND(E379*I379,)</f>
        <v>10000</v>
      </c>
      <c r="K379" s="1030">
        <f t="shared" ref="K379:K390" si="71">H379+J379</f>
        <v>103290</v>
      </c>
      <c r="L379" s="919"/>
      <c r="M379" s="729"/>
      <c r="N379" s="729"/>
      <c r="O379" s="729"/>
      <c r="P379" s="729"/>
      <c r="Q379" s="729"/>
    </row>
    <row r="380" spans="1:21" s="714" customFormat="1" ht="24" customHeight="1">
      <c r="A380" s="831"/>
      <c r="B380" s="720" t="s">
        <v>1350</v>
      </c>
      <c r="C380" s="717"/>
      <c r="D380" s="717"/>
      <c r="E380" s="917">
        <v>2</v>
      </c>
      <c r="F380" s="722" t="s">
        <v>240</v>
      </c>
      <c r="G380" s="806">
        <f>22500*0.95</f>
        <v>21375</v>
      </c>
      <c r="H380" s="918">
        <f t="shared" si="70"/>
        <v>42750</v>
      </c>
      <c r="I380" s="807" t="s">
        <v>1351</v>
      </c>
      <c r="J380" s="919"/>
      <c r="K380" s="1030">
        <f t="shared" si="71"/>
        <v>42750</v>
      </c>
      <c r="L380" s="919"/>
      <c r="M380" s="729"/>
      <c r="N380" s="729"/>
      <c r="O380" s="729"/>
      <c r="P380" s="729"/>
      <c r="Q380" s="729"/>
    </row>
    <row r="381" spans="1:21" s="714" customFormat="1" ht="24" customHeight="1">
      <c r="A381" s="831"/>
      <c r="B381" s="720" t="s">
        <v>1352</v>
      </c>
      <c r="C381" s="717"/>
      <c r="D381" s="717"/>
      <c r="E381" s="917">
        <v>4</v>
      </c>
      <c r="F381" s="722" t="s">
        <v>240</v>
      </c>
      <c r="G381" s="806">
        <f>9500*0.95</f>
        <v>9025</v>
      </c>
      <c r="H381" s="918">
        <f t="shared" si="70"/>
        <v>36100</v>
      </c>
      <c r="I381" s="807" t="s">
        <v>1351</v>
      </c>
      <c r="J381" s="919"/>
      <c r="K381" s="1030">
        <f t="shared" si="71"/>
        <v>36100</v>
      </c>
      <c r="L381" s="919"/>
      <c r="M381" s="729"/>
      <c r="N381" s="729"/>
      <c r="O381" s="729"/>
      <c r="P381" s="729"/>
      <c r="Q381" s="729"/>
    </row>
    <row r="382" spans="1:21" s="714" customFormat="1" ht="24" customHeight="1">
      <c r="A382" s="831"/>
      <c r="B382" s="720" t="s">
        <v>1353</v>
      </c>
      <c r="C382" s="717"/>
      <c r="D382" s="717"/>
      <c r="E382" s="917">
        <v>2</v>
      </c>
      <c r="F382" s="722" t="s">
        <v>240</v>
      </c>
      <c r="G382" s="806">
        <f>2100*0.95</f>
        <v>1995</v>
      </c>
      <c r="H382" s="918">
        <f t="shared" si="70"/>
        <v>3990</v>
      </c>
      <c r="I382" s="807" t="s">
        <v>1351</v>
      </c>
      <c r="J382" s="919"/>
      <c r="K382" s="1030">
        <f t="shared" si="71"/>
        <v>3990</v>
      </c>
      <c r="L382" s="919"/>
      <c r="M382" s="729"/>
      <c r="N382" s="729"/>
      <c r="O382" s="729"/>
      <c r="P382" s="729"/>
      <c r="Q382" s="729"/>
    </row>
    <row r="383" spans="1:21" s="714" customFormat="1" ht="24" customHeight="1">
      <c r="A383" s="831"/>
      <c r="B383" s="720" t="s">
        <v>1354</v>
      </c>
      <c r="C383" s="717"/>
      <c r="D383" s="717"/>
      <c r="E383" s="917">
        <v>2</v>
      </c>
      <c r="F383" s="722" t="s">
        <v>240</v>
      </c>
      <c r="G383" s="806">
        <f>ROUND(450*0.95,)</f>
        <v>428</v>
      </c>
      <c r="H383" s="918">
        <f t="shared" si="70"/>
        <v>856</v>
      </c>
      <c r="I383" s="807" t="s">
        <v>1351</v>
      </c>
      <c r="J383" s="919"/>
      <c r="K383" s="1030">
        <f t="shared" si="71"/>
        <v>856</v>
      </c>
      <c r="L383" s="919"/>
      <c r="M383" s="729"/>
      <c r="N383" s="729"/>
      <c r="O383" s="729"/>
      <c r="P383" s="729"/>
      <c r="Q383" s="729"/>
    </row>
    <row r="384" spans="1:21" s="714" customFormat="1" ht="24" customHeight="1">
      <c r="A384" s="831"/>
      <c r="B384" s="720" t="s">
        <v>1355</v>
      </c>
      <c r="C384" s="717"/>
      <c r="D384" s="717"/>
      <c r="E384" s="917">
        <v>2</v>
      </c>
      <c r="F384" s="722" t="s">
        <v>240</v>
      </c>
      <c r="G384" s="806">
        <f>ROUND(850*0.95,)</f>
        <v>808</v>
      </c>
      <c r="H384" s="918">
        <f t="shared" si="70"/>
        <v>1616</v>
      </c>
      <c r="I384" s="807" t="s">
        <v>1351</v>
      </c>
      <c r="J384" s="919"/>
      <c r="K384" s="1030">
        <f t="shared" si="71"/>
        <v>1616</v>
      </c>
      <c r="L384" s="919"/>
      <c r="M384" s="729"/>
      <c r="N384" s="729"/>
      <c r="O384" s="729"/>
      <c r="P384" s="729"/>
      <c r="Q384" s="729"/>
    </row>
    <row r="385" spans="1:21" s="714" customFormat="1" ht="24" customHeight="1">
      <c r="A385" s="856" t="s">
        <v>1440</v>
      </c>
      <c r="B385" s="720" t="s">
        <v>1159</v>
      </c>
      <c r="C385" s="717"/>
      <c r="D385" s="717"/>
      <c r="E385" s="917"/>
      <c r="F385" s="916"/>
      <c r="G385" s="806"/>
      <c r="H385" s="918"/>
      <c r="I385" s="807"/>
      <c r="J385" s="919"/>
      <c r="K385" s="1030">
        <f t="shared" si="71"/>
        <v>0</v>
      </c>
      <c r="L385" s="919"/>
      <c r="M385" s="729"/>
      <c r="N385" s="729"/>
      <c r="O385" s="729"/>
      <c r="P385" s="729"/>
      <c r="Q385" s="729"/>
    </row>
    <row r="386" spans="1:21" s="714" customFormat="1" ht="24" customHeight="1">
      <c r="A386" s="831"/>
      <c r="B386" s="720" t="s">
        <v>1356</v>
      </c>
      <c r="C386" s="717"/>
      <c r="D386" s="717"/>
      <c r="E386" s="917">
        <f>E379*30</f>
        <v>60</v>
      </c>
      <c r="F386" s="794" t="s">
        <v>438</v>
      </c>
      <c r="G386" s="806">
        <v>37</v>
      </c>
      <c r="H386" s="918">
        <f>ROUND(E386*G386,)</f>
        <v>2220</v>
      </c>
      <c r="I386" s="807">
        <v>5</v>
      </c>
      <c r="J386" s="919">
        <f>ROUND(E386*I386,)</f>
        <v>300</v>
      </c>
      <c r="K386" s="1030">
        <f t="shared" si="71"/>
        <v>2520</v>
      </c>
      <c r="L386" s="919"/>
      <c r="M386" s="729"/>
      <c r="N386" s="729"/>
      <c r="O386" s="729"/>
      <c r="P386" s="729"/>
      <c r="Q386" s="729"/>
    </row>
    <row r="387" spans="1:21" s="714" customFormat="1" ht="24" customHeight="1">
      <c r="A387" s="831"/>
      <c r="B387" s="720" t="s">
        <v>1338</v>
      </c>
      <c r="C387" s="717"/>
      <c r="D387" s="717"/>
      <c r="E387" s="917">
        <v>1</v>
      </c>
      <c r="F387" s="916" t="s">
        <v>948</v>
      </c>
      <c r="G387" s="806">
        <f>SUM(H386)*5%</f>
        <v>111</v>
      </c>
      <c r="H387" s="796">
        <f t="shared" ref="H387" si="72">ROUND(E387*G387,)</f>
        <v>111</v>
      </c>
      <c r="I387" s="949">
        <f>ROUND(G387*0.3,)</f>
        <v>33</v>
      </c>
      <c r="J387" s="796">
        <f t="shared" ref="J387" si="73">ROUND(E387*I387,)</f>
        <v>33</v>
      </c>
      <c r="K387" s="1030">
        <f t="shared" si="71"/>
        <v>144</v>
      </c>
      <c r="L387" s="919"/>
      <c r="M387" s="729"/>
      <c r="N387" s="729"/>
      <c r="O387" s="729"/>
      <c r="P387" s="729"/>
      <c r="Q387" s="729"/>
    </row>
    <row r="388" spans="1:21" s="714" customFormat="1" ht="24" customHeight="1">
      <c r="A388" s="856" t="s">
        <v>2984</v>
      </c>
      <c r="B388" s="720" t="s">
        <v>1357</v>
      </c>
      <c r="C388" s="717"/>
      <c r="D388" s="717"/>
      <c r="E388" s="917"/>
      <c r="F388" s="916"/>
      <c r="G388" s="806"/>
      <c r="H388" s="918"/>
      <c r="I388" s="807"/>
      <c r="J388" s="919"/>
      <c r="K388" s="1030">
        <f t="shared" si="71"/>
        <v>0</v>
      </c>
      <c r="L388" s="919"/>
      <c r="M388" s="729"/>
      <c r="N388" s="729"/>
      <c r="O388" s="729"/>
      <c r="P388" s="729"/>
      <c r="Q388" s="729"/>
    </row>
    <row r="389" spans="1:21" s="714" customFormat="1" ht="24" customHeight="1">
      <c r="A389" s="831"/>
      <c r="B389" s="720" t="s">
        <v>1201</v>
      </c>
      <c r="C389" s="717"/>
      <c r="D389" s="717"/>
      <c r="E389" s="917">
        <f>E386</f>
        <v>60</v>
      </c>
      <c r="F389" s="794" t="s">
        <v>438</v>
      </c>
      <c r="G389" s="806">
        <v>27</v>
      </c>
      <c r="H389" s="796">
        <f t="shared" ref="H389:H390" si="74">ROUND(G389*E389,)</f>
        <v>1620</v>
      </c>
      <c r="I389" s="807">
        <v>22</v>
      </c>
      <c r="J389" s="796">
        <f>ROUND(E389*I389,)</f>
        <v>1320</v>
      </c>
      <c r="K389" s="1030">
        <f t="shared" si="71"/>
        <v>2940</v>
      </c>
      <c r="L389" s="1718" t="s">
        <v>2974</v>
      </c>
      <c r="M389" s="729"/>
      <c r="P389" s="729"/>
      <c r="Q389" s="729"/>
    </row>
    <row r="390" spans="1:21" s="714" customFormat="1" ht="24" customHeight="1">
      <c r="A390" s="831"/>
      <c r="B390" s="720" t="s">
        <v>1237</v>
      </c>
      <c r="C390" s="717"/>
      <c r="D390" s="717"/>
      <c r="E390" s="917">
        <v>1</v>
      </c>
      <c r="F390" s="916" t="s">
        <v>948</v>
      </c>
      <c r="G390" s="806">
        <f>H389*15%</f>
        <v>243</v>
      </c>
      <c r="H390" s="796">
        <f t="shared" si="74"/>
        <v>243</v>
      </c>
      <c r="I390" s="807">
        <f>G390*0.3</f>
        <v>72.899999999999991</v>
      </c>
      <c r="J390" s="796">
        <f t="shared" ref="J390" si="75">ROUND(E390*I390,)</f>
        <v>73</v>
      </c>
      <c r="K390" s="1030">
        <f t="shared" si="71"/>
        <v>316</v>
      </c>
      <c r="L390" s="919"/>
      <c r="M390" s="729"/>
      <c r="N390" s="729"/>
      <c r="O390" s="729"/>
      <c r="P390" s="729"/>
      <c r="Q390" s="729"/>
    </row>
    <row r="391" spans="1:21" s="714" customFormat="1" ht="24" customHeight="1">
      <c r="A391" s="831"/>
      <c r="B391" s="720" t="s">
        <v>957</v>
      </c>
      <c r="C391" s="717"/>
      <c r="D391" s="717"/>
      <c r="E391" s="917"/>
      <c r="F391" s="916"/>
      <c r="G391" s="806"/>
      <c r="H391" s="796"/>
      <c r="I391" s="807"/>
      <c r="J391" s="796"/>
      <c r="K391" s="1030"/>
      <c r="L391" s="919"/>
      <c r="M391" s="729"/>
      <c r="N391" s="729"/>
      <c r="O391" s="729"/>
      <c r="P391" s="729"/>
      <c r="Q391" s="729"/>
    </row>
    <row r="392" spans="1:21" s="714" customFormat="1" ht="24" customHeight="1">
      <c r="A392" s="831"/>
      <c r="B392" s="720"/>
      <c r="C392" s="717"/>
      <c r="D392" s="717"/>
      <c r="E392" s="917"/>
      <c r="F392" s="916"/>
      <c r="G392" s="806"/>
      <c r="H392" s="796"/>
      <c r="I392" s="807"/>
      <c r="J392" s="914"/>
      <c r="K392" s="1030"/>
      <c r="L392" s="919"/>
      <c r="M392" s="729"/>
      <c r="N392" s="729"/>
      <c r="O392" s="729"/>
      <c r="P392" s="729"/>
      <c r="Q392" s="729"/>
    </row>
    <row r="393" spans="1:21" s="714" customFormat="1" ht="24" customHeight="1">
      <c r="A393" s="856"/>
      <c r="B393" s="720" t="s">
        <v>1428</v>
      </c>
      <c r="C393" s="717"/>
      <c r="D393" s="717"/>
      <c r="E393" s="917"/>
      <c r="F393" s="916"/>
      <c r="G393" s="806"/>
      <c r="H393" s="918"/>
      <c r="I393" s="807"/>
      <c r="J393" s="919"/>
      <c r="K393" s="1030"/>
      <c r="L393" s="919"/>
      <c r="M393" s="729"/>
      <c r="N393" s="729"/>
      <c r="O393" s="729"/>
      <c r="P393" s="729"/>
      <c r="Q393" s="729"/>
      <c r="R393" s="729"/>
      <c r="S393" s="729"/>
      <c r="T393" s="729"/>
      <c r="U393" s="729"/>
    </row>
    <row r="394" spans="1:21" s="714" customFormat="1" ht="24" customHeight="1">
      <c r="A394" s="775"/>
      <c r="B394" s="2475" t="str">
        <f>"รวมราคารายการที่ "&amp;A371</f>
        <v>รวมราคารายการที่ 3.12</v>
      </c>
      <c r="C394" s="2476"/>
      <c r="D394" s="2477"/>
      <c r="E394" s="776"/>
      <c r="F394" s="777"/>
      <c r="G394" s="959"/>
      <c r="H394" s="960">
        <f>SUM(H371:H393)</f>
        <v>309396</v>
      </c>
      <c r="I394" s="959"/>
      <c r="J394" s="960">
        <f t="shared" ref="J394:K394" si="76">SUM(J371:J393)</f>
        <v>12992</v>
      </c>
      <c r="K394" s="960">
        <f t="shared" si="76"/>
        <v>322388</v>
      </c>
      <c r="L394" s="777"/>
      <c r="M394" s="729"/>
      <c r="N394" s="729"/>
      <c r="O394" s="729"/>
      <c r="P394" s="729"/>
      <c r="Q394" s="729"/>
    </row>
    <row r="395" spans="1:21" s="714" customFormat="1" ht="21.3">
      <c r="A395" s="899" t="s">
        <v>1202</v>
      </c>
      <c r="B395" s="900" t="s">
        <v>1358</v>
      </c>
      <c r="C395" s="943"/>
      <c r="D395" s="943"/>
      <c r="E395" s="944"/>
      <c r="F395" s="978"/>
      <c r="G395" s="774"/>
      <c r="H395" s="773"/>
      <c r="I395" s="946"/>
      <c r="J395" s="947"/>
      <c r="K395" s="947"/>
      <c r="L395" s="947"/>
    </row>
    <row r="396" spans="1:21" s="714" customFormat="1" ht="24" customHeight="1">
      <c r="A396" s="992" t="s">
        <v>1204</v>
      </c>
      <c r="B396" s="720" t="s">
        <v>3026</v>
      </c>
      <c r="C396" s="706"/>
      <c r="D396" s="990"/>
      <c r="E396" s="721"/>
      <c r="F396" s="722"/>
      <c r="G396" s="1402"/>
      <c r="H396" s="914"/>
      <c r="I396" s="807"/>
      <c r="J396" s="796"/>
      <c r="K396" s="797"/>
      <c r="L396" s="830"/>
      <c r="M396" s="729"/>
      <c r="N396" s="729"/>
      <c r="O396" s="729"/>
      <c r="P396" s="729"/>
      <c r="Q396" s="729"/>
      <c r="R396" s="729"/>
      <c r="S396" s="729"/>
      <c r="T396" s="729"/>
      <c r="U396" s="729"/>
    </row>
    <row r="397" spans="1:21" s="714" customFormat="1" ht="24" customHeight="1">
      <c r="A397" s="992"/>
      <c r="B397" s="720" t="s">
        <v>3022</v>
      </c>
      <c r="C397" s="706"/>
      <c r="D397" s="990"/>
      <c r="E397" s="721">
        <v>2</v>
      </c>
      <c r="F397" s="722" t="s">
        <v>240</v>
      </c>
      <c r="G397" s="994">
        <v>28700</v>
      </c>
      <c r="H397" s="864">
        <f>ROUND(E397*G397,)</f>
        <v>57400</v>
      </c>
      <c r="I397" s="865">
        <f>G397*0.01</f>
        <v>287</v>
      </c>
      <c r="J397" s="864">
        <f>ROUND(I397*E397,)</f>
        <v>574</v>
      </c>
      <c r="K397" s="865">
        <f>H397+J397</f>
        <v>57974</v>
      </c>
      <c r="L397" s="830"/>
      <c r="M397" s="729"/>
      <c r="N397" s="729"/>
      <c r="O397" s="729"/>
      <c r="P397" s="729"/>
      <c r="Q397" s="729"/>
      <c r="R397" s="729"/>
      <c r="S397" s="729"/>
      <c r="T397" s="729"/>
      <c r="U397" s="729"/>
    </row>
    <row r="398" spans="1:21" s="714" customFormat="1" ht="24" customHeight="1">
      <c r="A398" s="992"/>
      <c r="B398" s="720" t="s">
        <v>1616</v>
      </c>
      <c r="C398" s="706"/>
      <c r="D398" s="990"/>
      <c r="E398" s="721">
        <v>2</v>
      </c>
      <c r="F398" s="722" t="s">
        <v>240</v>
      </c>
      <c r="G398" s="994">
        <v>25000</v>
      </c>
      <c r="H398" s="864">
        <f>ROUND(E398*G398,)</f>
        <v>50000</v>
      </c>
      <c r="I398" s="865">
        <f>ROUND(G398*0.01,)</f>
        <v>250</v>
      </c>
      <c r="J398" s="864">
        <f>ROUND(I398*E398,)</f>
        <v>500</v>
      </c>
      <c r="K398" s="865">
        <f>H398+J398</f>
        <v>50500</v>
      </c>
      <c r="L398" s="830"/>
      <c r="M398" s="729"/>
      <c r="N398" s="729"/>
      <c r="O398" s="729"/>
      <c r="P398" s="729"/>
      <c r="Q398" s="729"/>
      <c r="R398" s="729"/>
      <c r="S398" s="729"/>
      <c r="T398" s="729"/>
      <c r="U398" s="729"/>
    </row>
    <row r="399" spans="1:21" s="714" customFormat="1" ht="24" customHeight="1">
      <c r="A399" s="993"/>
      <c r="B399" s="720" t="s">
        <v>1375</v>
      </c>
      <c r="C399" s="706"/>
      <c r="D399" s="990"/>
      <c r="E399" s="721">
        <v>48</v>
      </c>
      <c r="F399" s="722" t="s">
        <v>240</v>
      </c>
      <c r="G399" s="994">
        <v>400</v>
      </c>
      <c r="H399" s="864">
        <f>ROUND(E399*G399,)</f>
        <v>19200</v>
      </c>
      <c r="I399" s="865">
        <f>ROUND(G399*0.01,)</f>
        <v>4</v>
      </c>
      <c r="J399" s="864">
        <f>ROUND(I399*E399,)</f>
        <v>192</v>
      </c>
      <c r="K399" s="865">
        <f>H399+J399</f>
        <v>19392</v>
      </c>
      <c r="L399" s="830"/>
      <c r="M399" s="729"/>
      <c r="N399" s="729"/>
      <c r="O399" s="729"/>
      <c r="P399" s="729"/>
      <c r="Q399" s="729"/>
      <c r="R399" s="729"/>
      <c r="S399" s="729"/>
      <c r="T399" s="729"/>
      <c r="U399" s="729"/>
    </row>
    <row r="400" spans="1:21" s="714" customFormat="1" ht="24" customHeight="1">
      <c r="A400" s="993"/>
      <c r="B400" s="720" t="s">
        <v>3023</v>
      </c>
      <c r="C400" s="706"/>
      <c r="D400" s="990"/>
      <c r="E400" s="721"/>
      <c r="F400" s="722" t="s">
        <v>240</v>
      </c>
      <c r="G400" s="994"/>
      <c r="H400" s="914"/>
      <c r="I400" s="797"/>
      <c r="J400" s="796"/>
      <c r="K400" s="797"/>
      <c r="L400" s="830"/>
      <c r="M400" s="729"/>
      <c r="N400" s="729"/>
      <c r="O400" s="729"/>
      <c r="P400" s="729"/>
      <c r="Q400" s="729"/>
      <c r="R400" s="729"/>
      <c r="S400" s="729"/>
      <c r="T400" s="729"/>
      <c r="U400" s="729"/>
    </row>
    <row r="401" spans="1:21" s="714" customFormat="1" ht="24" customHeight="1">
      <c r="A401" s="1138"/>
      <c r="B401" s="720" t="s">
        <v>1618</v>
      </c>
      <c r="C401" s="706"/>
      <c r="D401" s="990"/>
      <c r="E401" s="721"/>
      <c r="F401" s="722" t="s">
        <v>240</v>
      </c>
      <c r="G401" s="994"/>
      <c r="H401" s="914"/>
      <c r="I401" s="797"/>
      <c r="J401" s="796"/>
      <c r="K401" s="797"/>
      <c r="L401" s="988"/>
      <c r="M401" s="729"/>
      <c r="N401" s="729"/>
      <c r="O401" s="729"/>
      <c r="P401" s="729"/>
      <c r="Q401" s="729"/>
      <c r="R401" s="729"/>
      <c r="S401" s="729"/>
      <c r="T401" s="729"/>
      <c r="U401" s="729"/>
    </row>
    <row r="402" spans="1:21" s="714" customFormat="1" ht="21.3">
      <c r="A402" s="976" t="s">
        <v>1206</v>
      </c>
      <c r="B402" s="800" t="s">
        <v>1359</v>
      </c>
      <c r="C402" s="757"/>
      <c r="D402" s="757"/>
      <c r="E402" s="979"/>
      <c r="F402" s="980"/>
      <c r="G402" s="981"/>
      <c r="H402" s="982"/>
      <c r="I402" s="983"/>
      <c r="J402" s="982"/>
      <c r="K402" s="984"/>
      <c r="L402" s="973"/>
    </row>
    <row r="403" spans="1:21" s="714" customFormat="1" ht="21.3">
      <c r="A403" s="861"/>
      <c r="B403" s="800" t="s">
        <v>1434</v>
      </c>
      <c r="C403" s="757"/>
      <c r="D403" s="757"/>
      <c r="E403" s="942">
        <v>1</v>
      </c>
      <c r="F403" s="803" t="s">
        <v>240</v>
      </c>
      <c r="G403" s="752">
        <f>40590+10000+33400</f>
        <v>83990</v>
      </c>
      <c r="H403" s="751">
        <f t="shared" ref="H403:H404" si="77">ROUND(E403*G403,)</f>
        <v>83990</v>
      </c>
      <c r="I403" s="949">
        <f>G403*0.1</f>
        <v>8399</v>
      </c>
      <c r="J403" s="973">
        <f>ROUND(E403*I403,)</f>
        <v>8399</v>
      </c>
      <c r="K403" s="966">
        <f t="shared" ref="K403:K414" si="78">H403+J403</f>
        <v>92389</v>
      </c>
      <c r="L403" s="973"/>
    </row>
    <row r="404" spans="1:21" s="714" customFormat="1" ht="21.3">
      <c r="A404" s="861"/>
      <c r="B404" s="800" t="s">
        <v>1435</v>
      </c>
      <c r="C404" s="757"/>
      <c r="D404" s="757"/>
      <c r="E404" s="942">
        <v>1</v>
      </c>
      <c r="F404" s="803" t="s">
        <v>240</v>
      </c>
      <c r="G404" s="752">
        <v>228010</v>
      </c>
      <c r="H404" s="751">
        <f t="shared" si="77"/>
        <v>228010</v>
      </c>
      <c r="I404" s="949">
        <f t="shared" ref="I404" si="79">G404*0.1</f>
        <v>22801</v>
      </c>
      <c r="J404" s="973">
        <f t="shared" ref="J404" si="80">ROUND(E404*I404,)</f>
        <v>22801</v>
      </c>
      <c r="K404" s="966">
        <f t="shared" si="78"/>
        <v>250811</v>
      </c>
      <c r="L404" s="973"/>
    </row>
    <row r="405" spans="1:21" s="714" customFormat="1" ht="21.3">
      <c r="A405" s="976" t="s">
        <v>1208</v>
      </c>
      <c r="B405" s="800" t="s">
        <v>1363</v>
      </c>
      <c r="C405" s="757"/>
      <c r="D405" s="757"/>
      <c r="E405" s="979"/>
      <c r="F405" s="980"/>
      <c r="G405" s="981"/>
      <c r="H405" s="982"/>
      <c r="I405" s="983"/>
      <c r="J405" s="982"/>
      <c r="K405" s="966">
        <f t="shared" si="78"/>
        <v>0</v>
      </c>
      <c r="L405" s="973"/>
    </row>
    <row r="406" spans="1:21" s="714" customFormat="1" ht="21.3">
      <c r="A406" s="861"/>
      <c r="B406" s="800" t="s">
        <v>1436</v>
      </c>
      <c r="C406" s="757"/>
      <c r="D406" s="757"/>
      <c r="E406" s="942">
        <v>5</v>
      </c>
      <c r="F406" s="803" t="s">
        <v>240</v>
      </c>
      <c r="G406" s="752">
        <v>3500</v>
      </c>
      <c r="H406" s="751">
        <f t="shared" ref="H406:H407" si="81">ROUND(E406*G406,)</f>
        <v>17500</v>
      </c>
      <c r="I406" s="949">
        <f t="shared" ref="I406:I407" si="82">G406*0.1</f>
        <v>350</v>
      </c>
      <c r="J406" s="973">
        <f t="shared" ref="J406:J407" si="83">ROUND(E406*I406,)</f>
        <v>1750</v>
      </c>
      <c r="K406" s="966">
        <f t="shared" si="78"/>
        <v>19250</v>
      </c>
      <c r="L406" s="973"/>
    </row>
    <row r="407" spans="1:21" s="714" customFormat="1" ht="21.3">
      <c r="A407" s="861"/>
      <c r="B407" s="800" t="s">
        <v>1437</v>
      </c>
      <c r="C407" s="757"/>
      <c r="D407" s="757"/>
      <c r="E407" s="942">
        <v>5</v>
      </c>
      <c r="F407" s="803" t="s">
        <v>240</v>
      </c>
      <c r="G407" s="752">
        <v>3500</v>
      </c>
      <c r="H407" s="751">
        <f t="shared" si="81"/>
        <v>17500</v>
      </c>
      <c r="I407" s="949">
        <f t="shared" si="82"/>
        <v>350</v>
      </c>
      <c r="J407" s="973">
        <f t="shared" si="83"/>
        <v>1750</v>
      </c>
      <c r="K407" s="966">
        <f t="shared" si="78"/>
        <v>19250</v>
      </c>
      <c r="L407" s="973"/>
    </row>
    <row r="408" spans="1:21">
      <c r="A408" s="976" t="s">
        <v>3057</v>
      </c>
      <c r="B408" s="800" t="s">
        <v>1159</v>
      </c>
      <c r="C408" s="757"/>
      <c r="D408" s="757"/>
      <c r="E408" s="942"/>
      <c r="F408" s="948"/>
      <c r="G408" s="752"/>
      <c r="H408" s="751"/>
      <c r="I408" s="949"/>
      <c r="J408" s="973"/>
      <c r="K408" s="966">
        <f t="shared" si="78"/>
        <v>0</v>
      </c>
      <c r="L408" s="973"/>
    </row>
    <row r="409" spans="1:21">
      <c r="A409" s="861"/>
      <c r="B409" s="800" t="s">
        <v>1367</v>
      </c>
      <c r="C409" s="757"/>
      <c r="D409" s="757"/>
      <c r="E409" s="942">
        <v>440</v>
      </c>
      <c r="F409" s="867" t="s">
        <v>438</v>
      </c>
      <c r="G409" s="752">
        <v>103</v>
      </c>
      <c r="H409" s="751">
        <f>ROUND(E409*G409,)</f>
        <v>45320</v>
      </c>
      <c r="I409" s="949">
        <v>21</v>
      </c>
      <c r="J409" s="973">
        <f>ROUND(E409*I409,)</f>
        <v>9240</v>
      </c>
      <c r="K409" s="966">
        <f t="shared" si="78"/>
        <v>54560</v>
      </c>
      <c r="L409" s="973"/>
    </row>
    <row r="410" spans="1:21">
      <c r="A410" s="861"/>
      <c r="B410" s="800" t="s">
        <v>1368</v>
      </c>
      <c r="C410" s="757"/>
      <c r="D410" s="757"/>
      <c r="E410" s="942">
        <v>20</v>
      </c>
      <c r="F410" s="867" t="s">
        <v>438</v>
      </c>
      <c r="G410" s="752">
        <v>139</v>
      </c>
      <c r="H410" s="751">
        <f>ROUND(E410*G410,)</f>
        <v>2780</v>
      </c>
      <c r="I410" s="949">
        <v>21</v>
      </c>
      <c r="J410" s="973">
        <f>ROUND(E410*I410,)</f>
        <v>420</v>
      </c>
      <c r="K410" s="966">
        <f t="shared" si="78"/>
        <v>3200</v>
      </c>
      <c r="L410" s="973"/>
    </row>
    <row r="411" spans="1:21">
      <c r="A411" s="861"/>
      <c r="B411" s="800" t="s">
        <v>1338</v>
      </c>
      <c r="C411" s="757"/>
      <c r="D411" s="757"/>
      <c r="E411" s="942">
        <v>1</v>
      </c>
      <c r="F411" s="803" t="s">
        <v>948</v>
      </c>
      <c r="G411" s="752">
        <f>SUM(H409:H410)*5%</f>
        <v>2405</v>
      </c>
      <c r="H411" s="751">
        <f>ROUND(E411*G411,)</f>
        <v>2405</v>
      </c>
      <c r="I411" s="949">
        <f>ROUND(G411*0.3,)</f>
        <v>722</v>
      </c>
      <c r="J411" s="973">
        <f>ROUND(E411*I411,)</f>
        <v>722</v>
      </c>
      <c r="K411" s="966">
        <f t="shared" si="78"/>
        <v>3127</v>
      </c>
      <c r="L411" s="973"/>
    </row>
    <row r="412" spans="1:21">
      <c r="A412" s="861" t="s">
        <v>3058</v>
      </c>
      <c r="B412" s="800" t="s">
        <v>1252</v>
      </c>
      <c r="C412" s="757"/>
      <c r="D412" s="757"/>
      <c r="E412" s="942"/>
      <c r="F412" s="803"/>
      <c r="G412" s="752"/>
      <c r="H412" s="751"/>
      <c r="I412" s="949"/>
      <c r="J412" s="973"/>
      <c r="K412" s="966">
        <f t="shared" si="78"/>
        <v>0</v>
      </c>
      <c r="L412" s="973"/>
    </row>
    <row r="413" spans="1:21">
      <c r="A413" s="976"/>
      <c r="B413" s="800" t="s">
        <v>1193</v>
      </c>
      <c r="C413" s="757"/>
      <c r="D413" s="757"/>
      <c r="E413" s="942">
        <v>262</v>
      </c>
      <c r="F413" s="948" t="s">
        <v>438</v>
      </c>
      <c r="G413" s="752">
        <v>316</v>
      </c>
      <c r="H413" s="751">
        <f>ROUND(E413*G413,)</f>
        <v>82792</v>
      </c>
      <c r="I413" s="949">
        <v>50</v>
      </c>
      <c r="J413" s="973">
        <f>ROUND(E413*I413,)</f>
        <v>13100</v>
      </c>
      <c r="K413" s="966">
        <f t="shared" si="78"/>
        <v>95892</v>
      </c>
      <c r="L413" s="973"/>
    </row>
    <row r="414" spans="1:21">
      <c r="A414" s="861"/>
      <c r="B414" s="800" t="s">
        <v>1237</v>
      </c>
      <c r="C414" s="757"/>
      <c r="D414" s="757"/>
      <c r="E414" s="942">
        <v>1</v>
      </c>
      <c r="F414" s="867" t="s">
        <v>948</v>
      </c>
      <c r="G414" s="752">
        <f>ROUND(SUM(H413)*15%,)</f>
        <v>12419</v>
      </c>
      <c r="H414" s="751">
        <f>ROUND(G414*E414,)</f>
        <v>12419</v>
      </c>
      <c r="I414" s="949">
        <f>ROUND(G414*0.3,)</f>
        <v>3726</v>
      </c>
      <c r="J414" s="973">
        <f>ROUND(E414*I414,)</f>
        <v>3726</v>
      </c>
      <c r="K414" s="966">
        <f t="shared" si="78"/>
        <v>16145</v>
      </c>
      <c r="L414" s="973"/>
    </row>
    <row r="415" spans="1:21">
      <c r="A415" s="861"/>
      <c r="B415" s="800" t="s">
        <v>957</v>
      </c>
      <c r="C415" s="757"/>
      <c r="D415" s="757"/>
      <c r="E415" s="942"/>
      <c r="F415" s="867"/>
      <c r="G415" s="752"/>
      <c r="H415" s="751"/>
      <c r="I415" s="949"/>
      <c r="J415" s="973"/>
      <c r="K415" s="966"/>
      <c r="L415" s="973"/>
    </row>
    <row r="416" spans="1:21">
      <c r="A416" s="861"/>
      <c r="B416" s="800"/>
      <c r="C416" s="757"/>
      <c r="D416" s="757"/>
      <c r="E416" s="942"/>
      <c r="F416" s="803"/>
      <c r="G416" s="752"/>
      <c r="H416" s="751"/>
      <c r="I416" s="949"/>
      <c r="J416" s="973"/>
      <c r="K416" s="966"/>
      <c r="L416" s="973"/>
    </row>
    <row r="417" spans="1:21">
      <c r="A417" s="861"/>
      <c r="B417" s="800"/>
      <c r="C417" s="757"/>
      <c r="D417" s="757"/>
      <c r="E417" s="942"/>
      <c r="F417" s="803"/>
      <c r="G417" s="752"/>
      <c r="H417" s="751"/>
      <c r="I417" s="949"/>
      <c r="J417" s="973"/>
      <c r="K417" s="966"/>
      <c r="L417" s="973"/>
    </row>
    <row r="418" spans="1:21">
      <c r="A418" s="775"/>
      <c r="B418" s="2475" t="str">
        <f>"รวมราคารายการที่ "&amp;A395</f>
        <v>รวมราคารายการที่ 3.13</v>
      </c>
      <c r="C418" s="2476"/>
      <c r="D418" s="2477"/>
      <c r="E418" s="776"/>
      <c r="F418" s="777"/>
      <c r="G418" s="959"/>
      <c r="H418" s="960">
        <f>SUM(H395:H417)</f>
        <v>619316</v>
      </c>
      <c r="I418" s="959"/>
      <c r="J418" s="960">
        <f>SUM(J395:J417)</f>
        <v>63174</v>
      </c>
      <c r="K418" s="960">
        <f>SUM(K395:K417)</f>
        <v>682490</v>
      </c>
      <c r="L418" s="777"/>
    </row>
    <row r="419" spans="1:21" s="714" customFormat="1" ht="24" customHeight="1">
      <c r="A419" s="986" t="s">
        <v>1224</v>
      </c>
      <c r="B419" s="816" t="s">
        <v>1370</v>
      </c>
      <c r="C419" s="987"/>
      <c r="D419" s="707"/>
      <c r="E419" s="708"/>
      <c r="F419" s="709"/>
      <c r="G419" s="853"/>
      <c r="H419" s="854"/>
      <c r="I419" s="855"/>
      <c r="J419" s="854"/>
      <c r="K419" s="855"/>
      <c r="L419" s="988"/>
      <c r="M419" s="729"/>
      <c r="N419" s="729"/>
      <c r="O419" s="729"/>
      <c r="P419" s="729"/>
      <c r="Q419" s="729"/>
      <c r="R419" s="729"/>
      <c r="S419" s="729"/>
      <c r="T419" s="729"/>
      <c r="U419" s="729"/>
    </row>
    <row r="420" spans="1:21" s="714" customFormat="1" ht="24" customHeight="1">
      <c r="A420" s="989" t="s">
        <v>1226</v>
      </c>
      <c r="B420" s="720" t="s">
        <v>1438</v>
      </c>
      <c r="C420" s="706"/>
      <c r="D420" s="990"/>
      <c r="E420" s="991">
        <v>2</v>
      </c>
      <c r="F420" s="803" t="s">
        <v>240</v>
      </c>
      <c r="G420" s="858">
        <v>3200</v>
      </c>
      <c r="H420" s="864">
        <f>ROUND(E420*G420,)</f>
        <v>6400</v>
      </c>
      <c r="I420" s="865">
        <v>150</v>
      </c>
      <c r="J420" s="864">
        <f>ROUND(I420*E420,)</f>
        <v>300</v>
      </c>
      <c r="K420" s="1030">
        <f t="shared" ref="K420:K426" si="84">H420+J420</f>
        <v>6700</v>
      </c>
      <c r="L420" s="830"/>
      <c r="M420" s="729"/>
      <c r="N420" s="729"/>
      <c r="O420" s="729"/>
      <c r="P420" s="729"/>
      <c r="Q420" s="729"/>
      <c r="R420" s="729"/>
      <c r="S420" s="729"/>
      <c r="T420" s="729"/>
      <c r="U420" s="729"/>
    </row>
    <row r="421" spans="1:21" s="714" customFormat="1" ht="24" customHeight="1">
      <c r="A421" s="992" t="s">
        <v>1228</v>
      </c>
      <c r="B421" s="720" t="s">
        <v>1439</v>
      </c>
      <c r="C421" s="706"/>
      <c r="D421" s="990"/>
      <c r="E421" s="991">
        <v>2</v>
      </c>
      <c r="F421" s="803" t="s">
        <v>240</v>
      </c>
      <c r="G421" s="858">
        <v>2640</v>
      </c>
      <c r="H421" s="864">
        <f>ROUND(E421*G421,)</f>
        <v>5280</v>
      </c>
      <c r="I421" s="865">
        <v>150</v>
      </c>
      <c r="J421" s="864">
        <f>ROUND(I421*E421,)</f>
        <v>300</v>
      </c>
      <c r="K421" s="1030">
        <f t="shared" si="84"/>
        <v>5580</v>
      </c>
      <c r="L421" s="830"/>
      <c r="M421" s="729"/>
      <c r="N421" s="729"/>
      <c r="O421" s="729"/>
      <c r="P421" s="729"/>
      <c r="Q421" s="729"/>
      <c r="R421" s="729"/>
      <c r="S421" s="729"/>
      <c r="T421" s="729"/>
      <c r="U421" s="729"/>
    </row>
    <row r="422" spans="1:21" s="714" customFormat="1" ht="24" customHeight="1">
      <c r="A422" s="992" t="s">
        <v>1230</v>
      </c>
      <c r="B422" s="720" t="s">
        <v>1441</v>
      </c>
      <c r="C422" s="706"/>
      <c r="D422" s="990"/>
      <c r="E422" s="721"/>
      <c r="F422" s="722"/>
      <c r="G422" s="795"/>
      <c r="H422" s="796"/>
      <c r="I422" s="797"/>
      <c r="J422" s="796"/>
      <c r="K422" s="1030">
        <f t="shared" si="84"/>
        <v>0</v>
      </c>
      <c r="L422" s="830"/>
      <c r="M422" s="729"/>
      <c r="N422" s="729"/>
      <c r="O422" s="729"/>
      <c r="P422" s="729"/>
      <c r="Q422" s="729"/>
      <c r="R422" s="729"/>
      <c r="S422" s="729"/>
      <c r="T422" s="729"/>
      <c r="U422" s="729"/>
    </row>
    <row r="423" spans="1:21" s="714" customFormat="1" ht="24" customHeight="1">
      <c r="A423" s="995"/>
      <c r="B423" s="800" t="s">
        <v>1442</v>
      </c>
      <c r="C423" s="706"/>
      <c r="D423" s="990"/>
      <c r="E423" s="721">
        <v>650</v>
      </c>
      <c r="F423" s="722" t="s">
        <v>438</v>
      </c>
      <c r="G423" s="858">
        <v>10</v>
      </c>
      <c r="H423" s="796">
        <f>ROUND(E423*G423,)</f>
        <v>6500</v>
      </c>
      <c r="I423" s="797">
        <v>5</v>
      </c>
      <c r="J423" s="796">
        <f>ROUND(I423*E423,)</f>
        <v>3250</v>
      </c>
      <c r="K423" s="1030">
        <f t="shared" si="84"/>
        <v>9750</v>
      </c>
      <c r="L423" s="830"/>
      <c r="M423" s="729"/>
      <c r="N423" s="729"/>
      <c r="O423" s="729"/>
      <c r="P423" s="729"/>
      <c r="Q423" s="729"/>
      <c r="R423" s="729"/>
      <c r="S423" s="729"/>
      <c r="T423" s="729"/>
      <c r="U423" s="729"/>
    </row>
    <row r="424" spans="1:21" s="714" customFormat="1" ht="24" customHeight="1">
      <c r="A424" s="992" t="s">
        <v>1234</v>
      </c>
      <c r="B424" s="720" t="s">
        <v>950</v>
      </c>
      <c r="C424" s="706"/>
      <c r="D424" s="990"/>
      <c r="E424" s="721"/>
      <c r="F424" s="722"/>
      <c r="G424" s="795"/>
      <c r="H424" s="796"/>
      <c r="I424" s="797"/>
      <c r="J424" s="796"/>
      <c r="K424" s="1030">
        <f t="shared" si="84"/>
        <v>0</v>
      </c>
      <c r="L424" s="830"/>
      <c r="M424" s="729"/>
      <c r="N424" s="729"/>
      <c r="O424" s="729"/>
      <c r="P424" s="729"/>
      <c r="Q424" s="729"/>
      <c r="R424" s="729"/>
      <c r="S424" s="729"/>
      <c r="T424" s="729"/>
      <c r="U424" s="729"/>
    </row>
    <row r="425" spans="1:21" s="714" customFormat="1" ht="24" customHeight="1">
      <c r="A425" s="996"/>
      <c r="B425" s="720" t="s">
        <v>1201</v>
      </c>
      <c r="C425" s="706"/>
      <c r="D425" s="990"/>
      <c r="E425" s="917">
        <f>E423</f>
        <v>650</v>
      </c>
      <c r="F425" s="794" t="s">
        <v>438</v>
      </c>
      <c r="G425" s="806">
        <v>56</v>
      </c>
      <c r="H425" s="796">
        <f>ROUND(E425*G425,)</f>
        <v>36400</v>
      </c>
      <c r="I425" s="807">
        <v>26</v>
      </c>
      <c r="J425" s="796">
        <f t="shared" ref="J425" si="85">ROUND(E425*I425,)</f>
        <v>16900</v>
      </c>
      <c r="K425" s="1030">
        <f t="shared" si="84"/>
        <v>53300</v>
      </c>
      <c r="L425" s="1718" t="s">
        <v>2974</v>
      </c>
      <c r="M425" s="729"/>
      <c r="P425" s="729"/>
      <c r="Q425" s="729"/>
      <c r="R425" s="729"/>
      <c r="S425" s="729"/>
      <c r="T425" s="729"/>
      <c r="U425" s="729"/>
    </row>
    <row r="426" spans="1:21" s="714" customFormat="1" ht="24" customHeight="1">
      <c r="A426" s="996"/>
      <c r="B426" s="720" t="s">
        <v>1237</v>
      </c>
      <c r="C426" s="706"/>
      <c r="D426" s="990"/>
      <c r="E426" s="721">
        <v>1</v>
      </c>
      <c r="F426" s="722" t="s">
        <v>948</v>
      </c>
      <c r="G426" s="795">
        <f>SUM(H424:H425)*15%</f>
        <v>5460</v>
      </c>
      <c r="H426" s="796">
        <f>ROUND(E426*G426,)</f>
        <v>5460</v>
      </c>
      <c r="I426" s="797">
        <f>G426*0.3</f>
        <v>1638</v>
      </c>
      <c r="J426" s="796">
        <f>ROUND(I426*E426,)</f>
        <v>1638</v>
      </c>
      <c r="K426" s="1030">
        <f t="shared" si="84"/>
        <v>7098</v>
      </c>
      <c r="L426" s="830"/>
      <c r="M426" s="729"/>
      <c r="N426" s="729"/>
      <c r="O426" s="729"/>
      <c r="P426" s="729"/>
      <c r="Q426" s="729"/>
      <c r="R426" s="729"/>
      <c r="S426" s="729"/>
      <c r="T426" s="729"/>
      <c r="U426" s="729"/>
    </row>
    <row r="427" spans="1:21" s="714" customFormat="1" ht="24" customHeight="1">
      <c r="A427" s="995"/>
      <c r="B427" s="720" t="s">
        <v>957</v>
      </c>
      <c r="C427" s="706"/>
      <c r="D427" s="990"/>
      <c r="E427" s="721"/>
      <c r="F427" s="722"/>
      <c r="G427" s="795"/>
      <c r="H427" s="796"/>
      <c r="I427" s="1039"/>
      <c r="J427" s="796"/>
      <c r="K427" s="797"/>
      <c r="L427" s="830"/>
      <c r="M427" s="729"/>
      <c r="N427" s="729"/>
      <c r="O427" s="729"/>
      <c r="P427" s="729"/>
      <c r="Q427" s="729"/>
      <c r="R427" s="729"/>
      <c r="S427" s="729"/>
      <c r="T427" s="729"/>
      <c r="U427" s="729"/>
    </row>
    <row r="428" spans="1:21" s="714" customFormat="1" ht="24" customHeight="1">
      <c r="A428" s="995"/>
      <c r="B428" s="720"/>
      <c r="C428" s="706"/>
      <c r="D428" s="990"/>
      <c r="E428" s="721"/>
      <c r="F428" s="722"/>
      <c r="G428" s="795"/>
      <c r="H428" s="796"/>
      <c r="I428" s="1039"/>
      <c r="J428" s="796"/>
      <c r="K428" s="797"/>
      <c r="L428" s="830"/>
      <c r="M428" s="729"/>
      <c r="N428" s="729"/>
      <c r="O428" s="729"/>
      <c r="P428" s="729"/>
      <c r="Q428" s="729"/>
      <c r="R428" s="729"/>
      <c r="S428" s="729"/>
      <c r="T428" s="729"/>
      <c r="U428" s="729"/>
    </row>
    <row r="429" spans="1:21" s="714" customFormat="1" ht="24" customHeight="1">
      <c r="A429" s="995"/>
      <c r="B429" s="720"/>
      <c r="C429" s="706"/>
      <c r="D429" s="990"/>
      <c r="E429" s="721"/>
      <c r="F429" s="722"/>
      <c r="G429" s="795"/>
      <c r="H429" s="796"/>
      <c r="I429" s="1039"/>
      <c r="J429" s="796"/>
      <c r="K429" s="797"/>
      <c r="L429" s="830"/>
      <c r="M429" s="729"/>
      <c r="N429" s="729"/>
      <c r="O429" s="729"/>
      <c r="P429" s="729"/>
      <c r="Q429" s="729"/>
      <c r="R429" s="729"/>
      <c r="S429" s="729"/>
      <c r="T429" s="729"/>
      <c r="U429" s="729"/>
    </row>
    <row r="430" spans="1:21" s="714" customFormat="1" ht="24" customHeight="1">
      <c r="A430" s="995"/>
      <c r="B430" s="720"/>
      <c r="C430" s="706"/>
      <c r="D430" s="990"/>
      <c r="E430" s="721"/>
      <c r="F430" s="722"/>
      <c r="G430" s="795"/>
      <c r="H430" s="796"/>
      <c r="I430" s="1039"/>
      <c r="J430" s="796"/>
      <c r="K430" s="797"/>
      <c r="L430" s="830"/>
      <c r="M430" s="729"/>
      <c r="N430" s="729"/>
      <c r="O430" s="729"/>
      <c r="P430" s="729"/>
      <c r="Q430" s="729"/>
      <c r="R430" s="729"/>
      <c r="S430" s="729"/>
      <c r="T430" s="729"/>
      <c r="U430" s="729"/>
    </row>
    <row r="431" spans="1:21" s="714" customFormat="1" ht="24" customHeight="1">
      <c r="A431" s="995"/>
      <c r="B431" s="720"/>
      <c r="C431" s="706"/>
      <c r="D431" s="990"/>
      <c r="E431" s="721"/>
      <c r="F431" s="722"/>
      <c r="G431" s="795"/>
      <c r="H431" s="796"/>
      <c r="I431" s="1039"/>
      <c r="J431" s="796"/>
      <c r="K431" s="797"/>
      <c r="L431" s="830"/>
      <c r="M431" s="729"/>
      <c r="N431" s="729"/>
      <c r="O431" s="729"/>
      <c r="P431" s="729"/>
      <c r="Q431" s="729"/>
      <c r="R431" s="729"/>
      <c r="S431" s="729"/>
      <c r="T431" s="729"/>
      <c r="U431" s="729"/>
    </row>
    <row r="432" spans="1:21" s="714" customFormat="1" ht="24" customHeight="1">
      <c r="A432" s="995"/>
      <c r="B432" s="720"/>
      <c r="C432" s="706"/>
      <c r="D432" s="990"/>
      <c r="E432" s="721"/>
      <c r="F432" s="722"/>
      <c r="G432" s="795"/>
      <c r="H432" s="796"/>
      <c r="I432" s="1039"/>
      <c r="J432" s="796"/>
      <c r="K432" s="797"/>
      <c r="L432" s="830"/>
      <c r="M432" s="729"/>
      <c r="N432" s="729"/>
      <c r="O432" s="729"/>
      <c r="P432" s="729"/>
      <c r="Q432" s="729"/>
      <c r="R432" s="729"/>
      <c r="S432" s="729"/>
      <c r="T432" s="729"/>
      <c r="U432" s="729"/>
    </row>
    <row r="433" spans="1:21" s="714" customFormat="1" ht="24" customHeight="1">
      <c r="A433" s="995"/>
      <c r="B433" s="720"/>
      <c r="C433" s="706"/>
      <c r="D433" s="990"/>
      <c r="E433" s="721"/>
      <c r="F433" s="722"/>
      <c r="G433" s="795"/>
      <c r="H433" s="796"/>
      <c r="I433" s="1039"/>
      <c r="J433" s="796"/>
      <c r="K433" s="797"/>
      <c r="L433" s="830"/>
      <c r="M433" s="729"/>
      <c r="N433" s="729"/>
      <c r="O433" s="729"/>
      <c r="P433" s="729"/>
      <c r="Q433" s="729"/>
      <c r="R433" s="729"/>
      <c r="S433" s="729"/>
      <c r="T433" s="729"/>
      <c r="U433" s="729"/>
    </row>
    <row r="434" spans="1:21" s="714" customFormat="1" ht="24" customHeight="1">
      <c r="A434" s="995"/>
      <c r="B434" s="720"/>
      <c r="C434" s="706"/>
      <c r="D434" s="990"/>
      <c r="E434" s="721"/>
      <c r="F434" s="722"/>
      <c r="G434" s="795"/>
      <c r="H434" s="796"/>
      <c r="I434" s="1039"/>
      <c r="J434" s="796"/>
      <c r="K434" s="797"/>
      <c r="L434" s="830"/>
      <c r="M434" s="729"/>
      <c r="N434" s="729"/>
      <c r="O434" s="729"/>
      <c r="P434" s="729"/>
      <c r="Q434" s="729"/>
      <c r="R434" s="729"/>
      <c r="S434" s="729"/>
      <c r="T434" s="729"/>
      <c r="U434" s="729"/>
    </row>
    <row r="435" spans="1:21" s="714" customFormat="1" ht="24" customHeight="1">
      <c r="A435" s="995"/>
      <c r="B435" s="720"/>
      <c r="C435" s="706"/>
      <c r="D435" s="990"/>
      <c r="E435" s="721"/>
      <c r="F435" s="722"/>
      <c r="G435" s="795"/>
      <c r="H435" s="796"/>
      <c r="I435" s="1039"/>
      <c r="J435" s="796"/>
      <c r="K435" s="797"/>
      <c r="L435" s="830"/>
      <c r="M435" s="729"/>
      <c r="N435" s="729"/>
      <c r="O435" s="729"/>
      <c r="P435" s="729"/>
      <c r="Q435" s="729"/>
      <c r="R435" s="729"/>
      <c r="S435" s="729"/>
      <c r="T435" s="729"/>
      <c r="U435" s="729"/>
    </row>
    <row r="436" spans="1:21" s="714" customFormat="1" ht="24" customHeight="1">
      <c r="A436" s="995"/>
      <c r="B436" s="720"/>
      <c r="C436" s="706"/>
      <c r="D436" s="990"/>
      <c r="E436" s="721"/>
      <c r="F436" s="722"/>
      <c r="G436" s="795"/>
      <c r="H436" s="796"/>
      <c r="I436" s="1039"/>
      <c r="J436" s="796"/>
      <c r="K436" s="797"/>
      <c r="L436" s="830"/>
      <c r="M436" s="729"/>
      <c r="N436" s="729"/>
      <c r="O436" s="729"/>
      <c r="P436" s="729"/>
      <c r="Q436" s="729"/>
      <c r="R436" s="729"/>
      <c r="S436" s="729"/>
      <c r="T436" s="729"/>
      <c r="U436" s="729"/>
    </row>
    <row r="437" spans="1:21" s="714" customFormat="1" ht="24" customHeight="1">
      <c r="A437" s="995"/>
      <c r="B437" s="720"/>
      <c r="C437" s="706"/>
      <c r="D437" s="990"/>
      <c r="E437" s="721"/>
      <c r="F437" s="722"/>
      <c r="G437" s="795"/>
      <c r="H437" s="796"/>
      <c r="I437" s="1039"/>
      <c r="J437" s="796"/>
      <c r="K437" s="797"/>
      <c r="L437" s="830"/>
      <c r="M437" s="729"/>
      <c r="N437" s="729"/>
      <c r="O437" s="729"/>
      <c r="P437" s="729"/>
      <c r="Q437" s="729"/>
      <c r="R437" s="729"/>
      <c r="S437" s="729"/>
      <c r="T437" s="729"/>
      <c r="U437" s="729"/>
    </row>
    <row r="438" spans="1:21" s="714" customFormat="1" ht="24" customHeight="1">
      <c r="A438" s="995"/>
      <c r="B438" s="720"/>
      <c r="C438" s="706"/>
      <c r="D438" s="990"/>
      <c r="E438" s="721"/>
      <c r="F438" s="722"/>
      <c r="G438" s="795"/>
      <c r="H438" s="796"/>
      <c r="I438" s="1039"/>
      <c r="J438" s="796"/>
      <c r="K438" s="797"/>
      <c r="L438" s="830"/>
      <c r="M438" s="729"/>
      <c r="N438" s="729"/>
      <c r="O438" s="729"/>
      <c r="P438" s="729"/>
      <c r="Q438" s="729"/>
      <c r="R438" s="729"/>
      <c r="S438" s="729"/>
      <c r="T438" s="729"/>
      <c r="U438" s="729"/>
    </row>
    <row r="439" spans="1:21" s="714" customFormat="1" ht="24" customHeight="1">
      <c r="A439" s="995"/>
      <c r="B439" s="720"/>
      <c r="C439" s="706"/>
      <c r="D439" s="990"/>
      <c r="E439" s="721"/>
      <c r="F439" s="722"/>
      <c r="G439" s="795"/>
      <c r="H439" s="796"/>
      <c r="I439" s="1039"/>
      <c r="J439" s="796"/>
      <c r="K439" s="797"/>
      <c r="L439" s="830"/>
      <c r="M439" s="729"/>
      <c r="N439" s="729"/>
      <c r="O439" s="729"/>
      <c r="P439" s="729"/>
      <c r="Q439" s="729"/>
      <c r="R439" s="729"/>
      <c r="S439" s="729"/>
      <c r="T439" s="729"/>
      <c r="U439" s="729"/>
    </row>
    <row r="440" spans="1:21" s="714" customFormat="1" ht="24" customHeight="1">
      <c r="A440" s="995"/>
      <c r="B440" s="720"/>
      <c r="C440" s="706"/>
      <c r="D440" s="990"/>
      <c r="E440" s="721"/>
      <c r="F440" s="722"/>
      <c r="G440" s="795"/>
      <c r="H440" s="796"/>
      <c r="I440" s="1039"/>
      <c r="J440" s="796"/>
      <c r="K440" s="797"/>
      <c r="L440" s="830"/>
      <c r="M440" s="729"/>
      <c r="N440" s="729"/>
      <c r="O440" s="729"/>
      <c r="P440" s="729"/>
      <c r="Q440" s="729"/>
      <c r="R440" s="729"/>
      <c r="S440" s="729"/>
      <c r="T440" s="729"/>
      <c r="U440" s="729"/>
    </row>
    <row r="441" spans="1:21" s="714" customFormat="1" ht="24" customHeight="1">
      <c r="A441" s="995"/>
      <c r="B441" s="800" t="s">
        <v>1428</v>
      </c>
      <c r="C441" s="706"/>
      <c r="D441" s="990"/>
      <c r="E441" s="721"/>
      <c r="F441" s="722"/>
      <c r="G441" s="795"/>
      <c r="H441" s="796"/>
      <c r="I441" s="1039"/>
      <c r="J441" s="796"/>
      <c r="K441" s="797"/>
      <c r="L441" s="830"/>
      <c r="M441" s="729"/>
      <c r="N441" s="729"/>
      <c r="O441" s="729"/>
      <c r="P441" s="729"/>
      <c r="Q441" s="729"/>
      <c r="R441" s="729"/>
      <c r="S441" s="729"/>
      <c r="T441" s="729"/>
      <c r="U441" s="729"/>
    </row>
    <row r="442" spans="1:21" s="714" customFormat="1" ht="24" customHeight="1">
      <c r="A442" s="777"/>
      <c r="B442" s="2475" t="str">
        <f>"รวมราคารายการที่ "&amp;A419</f>
        <v>รวมราคารายการที่ 3.14</v>
      </c>
      <c r="C442" s="2476"/>
      <c r="D442" s="2477"/>
      <c r="E442" s="997"/>
      <c r="F442" s="777"/>
      <c r="G442" s="959"/>
      <c r="H442" s="960">
        <f>SUM(H419:H441)</f>
        <v>60040</v>
      </c>
      <c r="I442" s="959"/>
      <c r="J442" s="960">
        <f t="shared" ref="J442:K442" si="86">SUM(J419:J441)</f>
        <v>22388</v>
      </c>
      <c r="K442" s="960">
        <f t="shared" si="86"/>
        <v>82428</v>
      </c>
      <c r="L442" s="777"/>
      <c r="M442" s="729"/>
      <c r="N442" s="729"/>
      <c r="O442" s="729"/>
      <c r="P442" s="729"/>
      <c r="Q442" s="729"/>
      <c r="R442" s="729"/>
      <c r="S442" s="729"/>
      <c r="T442" s="729"/>
      <c r="U442" s="729"/>
    </row>
    <row r="443" spans="1:21" s="714" customFormat="1" ht="21.3">
      <c r="A443" s="950"/>
      <c r="E443" s="951"/>
    </row>
    <row r="444" spans="1:21" s="714" customFormat="1" ht="21.3">
      <c r="A444" s="950"/>
      <c r="E444" s="951"/>
    </row>
    <row r="445" spans="1:21" s="714" customFormat="1" ht="21.3">
      <c r="A445" s="950"/>
      <c r="E445" s="951"/>
    </row>
    <row r="446" spans="1:21" s="714" customFormat="1" ht="21.3">
      <c r="A446" s="950"/>
      <c r="E446" s="951"/>
    </row>
    <row r="447" spans="1:21">
      <c r="A447" s="950"/>
      <c r="B447" s="714"/>
      <c r="C447" s="714"/>
      <c r="D447" s="714"/>
      <c r="E447" s="951"/>
      <c r="F447" s="714"/>
      <c r="G447" s="714"/>
      <c r="H447" s="714"/>
      <c r="I447" s="714"/>
      <c r="J447" s="714"/>
      <c r="K447" s="714"/>
      <c r="L447" s="714"/>
    </row>
    <row r="448" spans="1:21">
      <c r="A448" s="950"/>
      <c r="B448" s="714"/>
      <c r="C448" s="714"/>
      <c r="D448" s="714"/>
      <c r="E448" s="951"/>
      <c r="F448" s="714"/>
      <c r="G448" s="714"/>
      <c r="H448" s="714"/>
      <c r="I448" s="714"/>
      <c r="J448" s="714"/>
      <c r="K448" s="714"/>
      <c r="L448" s="714"/>
    </row>
    <row r="449" spans="1:12">
      <c r="A449" s="950"/>
      <c r="B449" s="714"/>
      <c r="C449" s="714"/>
      <c r="D449" s="714"/>
      <c r="E449" s="951"/>
      <c r="F449" s="714"/>
      <c r="G449" s="714"/>
      <c r="H449" s="714"/>
      <c r="I449" s="714"/>
      <c r="J449" s="714"/>
      <c r="K449" s="714"/>
      <c r="L449" s="714"/>
    </row>
    <row r="450" spans="1:12">
      <c r="A450" s="950"/>
      <c r="B450" s="714"/>
      <c r="C450" s="714"/>
      <c r="D450" s="714"/>
      <c r="E450" s="951"/>
      <c r="F450" s="714"/>
      <c r="G450" s="714"/>
      <c r="H450" s="714"/>
      <c r="I450" s="714"/>
      <c r="J450" s="714"/>
      <c r="K450" s="714"/>
      <c r="L450" s="714"/>
    </row>
    <row r="451" spans="1:12">
      <c r="A451" s="950"/>
      <c r="B451" s="714"/>
      <c r="C451" s="714"/>
      <c r="D451" s="714"/>
      <c r="E451" s="951"/>
      <c r="F451" s="714"/>
      <c r="G451" s="714"/>
      <c r="H451" s="714"/>
      <c r="I451" s="714"/>
      <c r="J451" s="714"/>
      <c r="K451" s="714"/>
      <c r="L451" s="714"/>
    </row>
  </sheetData>
  <mergeCells count="23">
    <mergeCell ref="B394:D394"/>
    <mergeCell ref="B418:D418"/>
    <mergeCell ref="B442:D442"/>
    <mergeCell ref="B264:D264"/>
    <mergeCell ref="B271:D271"/>
    <mergeCell ref="B298:D298"/>
    <mergeCell ref="B334:D334"/>
    <mergeCell ref="B354:D354"/>
    <mergeCell ref="B370:D370"/>
    <mergeCell ref="B250:D250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77:D77"/>
    <mergeCell ref="B130:D130"/>
    <mergeCell ref="B208:D208"/>
    <mergeCell ref="B226:D226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1-อาคารสนับนุน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0FC0D-22A8-4A21-BD6C-4AAA196E95FC}">
  <sheetPr>
    <tabColor rgb="FF92D050"/>
  </sheetPr>
  <dimension ref="A1:U370"/>
  <sheetViews>
    <sheetView tabSelected="1" view="pageBreakPreview" topLeftCell="A348" zoomScale="70" zoomScaleNormal="10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29296875" style="1" customWidth="1"/>
    <col min="13" max="13" width="7.703125" style="1" customWidth="1"/>
    <col min="14" max="14" width="14.1171875" style="1" customWidth="1"/>
    <col min="15" max="15" width="12.703125" style="1" customWidth="1"/>
    <col min="16" max="96" width="7.703125" style="1" customWidth="1"/>
    <col min="97" max="16384" width="9" style="1"/>
  </cols>
  <sheetData>
    <row r="1" spans="1:16" ht="35.200000000000003" customHeight="1">
      <c r="A1" s="681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6" ht="25.15" customHeight="1">
      <c r="A2" s="683" t="s">
        <v>2</v>
      </c>
      <c r="B2" s="33"/>
      <c r="C2" s="34"/>
      <c r="D2" s="11" t="s">
        <v>938</v>
      </c>
      <c r="E2" s="34"/>
      <c r="F2" s="12"/>
      <c r="G2" s="12"/>
      <c r="H2" s="12"/>
      <c r="I2" s="12"/>
      <c r="J2" s="13"/>
      <c r="K2" s="12"/>
      <c r="L2" s="14"/>
    </row>
    <row r="3" spans="1:16" ht="25.15" customHeight="1">
      <c r="A3" s="685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6" ht="25.15" customHeight="1">
      <c r="A4" s="687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6" ht="25.15" customHeight="1">
      <c r="A5" s="685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6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6" ht="26.2" customHeight="1">
      <c r="A7" s="6" t="s">
        <v>26</v>
      </c>
      <c r="B7" s="20"/>
      <c r="C7" s="20"/>
      <c r="D7" s="21"/>
      <c r="E7" s="20"/>
      <c r="F7" s="689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6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</row>
    <row r="9" spans="1:16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362" t="s">
        <v>14</v>
      </c>
      <c r="L9" s="2480" t="s">
        <v>15</v>
      </c>
    </row>
    <row r="10" spans="1:16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364" t="s">
        <v>17</v>
      </c>
      <c r="I10" s="28" t="s">
        <v>16</v>
      </c>
      <c r="J10" s="2364" t="s">
        <v>17</v>
      </c>
      <c r="K10" s="2363" t="s">
        <v>18</v>
      </c>
      <c r="L10" s="2481"/>
    </row>
    <row r="11" spans="1:16" ht="24" customHeight="1">
      <c r="A11" s="690" t="s">
        <v>25</v>
      </c>
      <c r="B11" s="691" t="s">
        <v>1444</v>
      </c>
      <c r="C11" s="692"/>
      <c r="D11" s="693"/>
      <c r="E11" s="694"/>
      <c r="F11" s="695"/>
      <c r="G11" s="696"/>
      <c r="H11" s="697"/>
      <c r="I11" s="698"/>
      <c r="J11" s="697"/>
      <c r="K11" s="699"/>
      <c r="L11" s="953"/>
    </row>
    <row r="12" spans="1:16" s="714" customFormat="1" ht="24" customHeight="1">
      <c r="A12" s="719">
        <f>A35</f>
        <v>3.1</v>
      </c>
      <c r="B12" s="754" t="str">
        <f>B35</f>
        <v>Distribution Board</v>
      </c>
      <c r="C12" s="717"/>
      <c r="D12" s="718"/>
      <c r="E12" s="708">
        <v>1</v>
      </c>
      <c r="F12" s="709" t="s">
        <v>19</v>
      </c>
      <c r="G12" s="710"/>
      <c r="H12" s="711">
        <f>H75</f>
        <v>294285</v>
      </c>
      <c r="I12" s="712"/>
      <c r="J12" s="711">
        <f>J75</f>
        <v>26040</v>
      </c>
      <c r="K12" s="711">
        <f>K75</f>
        <v>320325</v>
      </c>
      <c r="L12" s="2350"/>
      <c r="N12" s="715"/>
    </row>
    <row r="13" spans="1:16" s="714" customFormat="1" ht="24" customHeight="1">
      <c r="A13" s="719">
        <f>A76</f>
        <v>3.2</v>
      </c>
      <c r="B13" s="754" t="str">
        <f>B76</f>
        <v>Essential Distribution Board</v>
      </c>
      <c r="C13" s="717"/>
      <c r="D13" s="718"/>
      <c r="E13" s="708">
        <v>1</v>
      </c>
      <c r="F13" s="709" t="s">
        <v>19</v>
      </c>
      <c r="G13" s="710"/>
      <c r="H13" s="711">
        <f>H82</f>
        <v>0</v>
      </c>
      <c r="I13" s="712"/>
      <c r="J13" s="711">
        <f>J82</f>
        <v>0</v>
      </c>
      <c r="K13" s="711">
        <f>K82</f>
        <v>0</v>
      </c>
      <c r="L13" s="2350"/>
      <c r="N13" s="715"/>
    </row>
    <row r="14" spans="1:16" s="714" customFormat="1" ht="24" customHeight="1">
      <c r="A14" s="719" t="str">
        <f>A83</f>
        <v>3.3</v>
      </c>
      <c r="B14" s="705" t="str">
        <f>B83</f>
        <v>แผงสวิทช์ย่อยและเซอร์กิต เบรคเกอร์ (Panelboard &amp; CB)</v>
      </c>
      <c r="C14" s="717"/>
      <c r="D14" s="718"/>
      <c r="E14" s="708">
        <v>1</v>
      </c>
      <c r="F14" s="709" t="s">
        <v>19</v>
      </c>
      <c r="G14" s="710"/>
      <c r="H14" s="711">
        <f>H140</f>
        <v>118676</v>
      </c>
      <c r="I14" s="712"/>
      <c r="J14" s="711">
        <f>J140</f>
        <v>13000</v>
      </c>
      <c r="K14" s="711">
        <f>K140</f>
        <v>131676</v>
      </c>
      <c r="L14" s="2350"/>
      <c r="N14" s="715"/>
    </row>
    <row r="15" spans="1:16" s="714" customFormat="1" ht="24" customHeight="1">
      <c r="A15" s="719">
        <f>A141</f>
        <v>3.4</v>
      </c>
      <c r="B15" s="705" t="str">
        <f>B141</f>
        <v>สายไฟฟ้า (Cable &amp; Wire)</v>
      </c>
      <c r="C15" s="717"/>
      <c r="D15" s="718"/>
      <c r="E15" s="708">
        <v>1</v>
      </c>
      <c r="F15" s="709" t="s">
        <v>19</v>
      </c>
      <c r="G15" s="710"/>
      <c r="H15" s="711">
        <f>H154</f>
        <v>707700</v>
      </c>
      <c r="I15" s="712"/>
      <c r="J15" s="711">
        <f>J154</f>
        <v>446110</v>
      </c>
      <c r="K15" s="711">
        <f>K154</f>
        <v>1153810</v>
      </c>
      <c r="L15" s="2350"/>
      <c r="N15" s="715"/>
      <c r="P15" s="715"/>
    </row>
    <row r="16" spans="1:16" s="714" customFormat="1" ht="24" customHeight="1">
      <c r="A16" s="719" t="str">
        <f>A155</f>
        <v>3.5</v>
      </c>
      <c r="B16" s="705" t="str">
        <f>B155</f>
        <v>รางเดินสายไฟฟ้า (Raceway)</v>
      </c>
      <c r="C16" s="717"/>
      <c r="D16" s="718"/>
      <c r="E16" s="708">
        <v>1</v>
      </c>
      <c r="F16" s="709" t="s">
        <v>19</v>
      </c>
      <c r="G16" s="710"/>
      <c r="H16" s="711">
        <f>H169</f>
        <v>496634</v>
      </c>
      <c r="I16" s="712"/>
      <c r="J16" s="711">
        <f>J169</f>
        <v>350257</v>
      </c>
      <c r="K16" s="711">
        <f>K169</f>
        <v>846891</v>
      </c>
      <c r="L16" s="2350"/>
      <c r="N16" s="715"/>
      <c r="P16" s="715"/>
    </row>
    <row r="17" spans="1:14" s="714" customFormat="1" ht="24" customHeight="1">
      <c r="A17" s="719" t="str">
        <f>A170</f>
        <v>3.6</v>
      </c>
      <c r="B17" s="705" t="str">
        <f>B170</f>
        <v>สวิทช์และเต้ารับ (Switch &amp; Outlet)</v>
      </c>
      <c r="C17" s="717"/>
      <c r="D17" s="718"/>
      <c r="E17" s="708">
        <v>1</v>
      </c>
      <c r="F17" s="709" t="s">
        <v>19</v>
      </c>
      <c r="G17" s="710"/>
      <c r="H17" s="711">
        <f>H184</f>
        <v>61325</v>
      </c>
      <c r="I17" s="712"/>
      <c r="J17" s="711">
        <f>J184</f>
        <v>17920</v>
      </c>
      <c r="K17" s="711">
        <f>K184</f>
        <v>79245</v>
      </c>
      <c r="L17" s="2350"/>
      <c r="N17" s="715"/>
    </row>
    <row r="18" spans="1:14" s="714" customFormat="1" ht="24" customHeight="1">
      <c r="A18" s="704" t="str">
        <f>A185</f>
        <v>3.7</v>
      </c>
      <c r="B18" s="705" t="str">
        <f>B185</f>
        <v>ระบบควบคุมแสงสว่าง (Lighting Control System)</v>
      </c>
      <c r="C18" s="717"/>
      <c r="D18" s="718"/>
      <c r="E18" s="708">
        <v>1</v>
      </c>
      <c r="F18" s="709" t="s">
        <v>19</v>
      </c>
      <c r="G18" s="710"/>
      <c r="H18" s="711">
        <f>H193</f>
        <v>195560</v>
      </c>
      <c r="I18" s="712"/>
      <c r="J18" s="711">
        <f>J193</f>
        <v>9778</v>
      </c>
      <c r="K18" s="711">
        <f>K193</f>
        <v>205338</v>
      </c>
      <c r="L18" s="2350"/>
      <c r="N18" s="715"/>
    </row>
    <row r="19" spans="1:14" s="714" customFormat="1" ht="24" customHeight="1">
      <c r="A19" s="719" t="str">
        <f>A194</f>
        <v>3.8</v>
      </c>
      <c r="B19" s="705" t="str">
        <f>B194</f>
        <v>โคมไฟฟ้า (Luminaire)</v>
      </c>
      <c r="C19" s="717"/>
      <c r="D19" s="718"/>
      <c r="E19" s="708">
        <v>1</v>
      </c>
      <c r="F19" s="709" t="s">
        <v>19</v>
      </c>
      <c r="G19" s="710"/>
      <c r="H19" s="711">
        <f>H226</f>
        <v>1309258</v>
      </c>
      <c r="I19" s="712"/>
      <c r="J19" s="711">
        <f>J226</f>
        <v>179456</v>
      </c>
      <c r="K19" s="711">
        <f>K226</f>
        <v>1488714</v>
      </c>
      <c r="L19" s="2350"/>
      <c r="N19" s="715"/>
    </row>
    <row r="20" spans="1:14" s="714" customFormat="1" ht="24" customHeight="1">
      <c r="A20" s="719">
        <f>A227</f>
        <v>3.9</v>
      </c>
      <c r="B20" s="720" t="str">
        <f>B227</f>
        <v>ระบบสัญญาณแจ้งเหตุเพลิงไหม้ (Fire Alarm System)</v>
      </c>
      <c r="C20" s="717"/>
      <c r="D20" s="718"/>
      <c r="E20" s="708">
        <v>1</v>
      </c>
      <c r="F20" s="722" t="s">
        <v>19</v>
      </c>
      <c r="G20" s="723"/>
      <c r="H20" s="711">
        <f>H261</f>
        <v>1114669</v>
      </c>
      <c r="I20" s="712"/>
      <c r="J20" s="711">
        <f>J261</f>
        <v>162468</v>
      </c>
      <c r="K20" s="711">
        <f>K261</f>
        <v>1277137</v>
      </c>
      <c r="L20" s="2350"/>
      <c r="N20" s="715"/>
    </row>
    <row r="21" spans="1:14" s="714" customFormat="1" ht="24" customHeight="1">
      <c r="A21" s="719" t="str">
        <f>A262</f>
        <v>3.10</v>
      </c>
      <c r="B21" s="720" t="str">
        <f>B262</f>
        <v>ระบบสายสื่อสารข้อมูล (Data Cabling System)</v>
      </c>
      <c r="C21" s="717"/>
      <c r="D21" s="718"/>
      <c r="E21" s="708">
        <v>1</v>
      </c>
      <c r="F21" s="722" t="s">
        <v>19</v>
      </c>
      <c r="G21" s="710"/>
      <c r="H21" s="711">
        <f>H282</f>
        <v>93760</v>
      </c>
      <c r="I21" s="712"/>
      <c r="J21" s="711">
        <f>J282</f>
        <v>16600</v>
      </c>
      <c r="K21" s="711">
        <f>K282</f>
        <v>110360</v>
      </c>
      <c r="L21" s="2350"/>
      <c r="N21" s="715"/>
    </row>
    <row r="22" spans="1:14" s="714" customFormat="1" ht="24" customHeight="1">
      <c r="A22" s="768" t="str">
        <f>A283</f>
        <v>3.11</v>
      </c>
      <c r="B22" s="769" t="str">
        <f>B283</f>
        <v>ระบบเสียงและประกาศเรียก (Public Address System)</v>
      </c>
      <c r="C22" s="770"/>
      <c r="D22" s="771"/>
      <c r="E22" s="708">
        <v>1</v>
      </c>
      <c r="F22" s="709" t="s">
        <v>19</v>
      </c>
      <c r="G22" s="1000"/>
      <c r="H22" s="1001">
        <f>H298</f>
        <v>311488</v>
      </c>
      <c r="I22" s="712"/>
      <c r="J22" s="1001">
        <f>J298</f>
        <v>128500</v>
      </c>
      <c r="K22" s="1001">
        <f>K298</f>
        <v>439988</v>
      </c>
      <c r="L22" s="2350"/>
      <c r="N22" s="715"/>
    </row>
    <row r="23" spans="1:14" s="714" customFormat="1" ht="24" customHeight="1">
      <c r="A23" s="719" t="str">
        <f>A299</f>
        <v>3.12</v>
      </c>
      <c r="B23" s="754" t="str">
        <f>B299</f>
        <v>ระบบควบคุมประตูอัตโนมัติ (Access Control System)</v>
      </c>
      <c r="C23" s="717"/>
      <c r="D23" s="718"/>
      <c r="E23" s="708">
        <v>1</v>
      </c>
      <c r="F23" s="709" t="s">
        <v>19</v>
      </c>
      <c r="G23" s="710"/>
      <c r="H23" s="711">
        <f>H322</f>
        <v>309394</v>
      </c>
      <c r="I23" s="712"/>
      <c r="J23" s="711">
        <f>J322</f>
        <v>12992</v>
      </c>
      <c r="K23" s="711">
        <f>K322</f>
        <v>322386</v>
      </c>
      <c r="L23" s="2350"/>
      <c r="N23" s="715"/>
    </row>
    <row r="24" spans="1:14" s="714" customFormat="1" ht="24" customHeight="1">
      <c r="A24" s="719" t="str">
        <f>A323</f>
        <v>3.13</v>
      </c>
      <c r="B24" s="754" t="str">
        <f>B323</f>
        <v>ระบบบริหารจัดการอาคาร (Building Management System : BMS)</v>
      </c>
      <c r="C24" s="717"/>
      <c r="D24" s="718"/>
      <c r="E24" s="708">
        <v>1</v>
      </c>
      <c r="F24" s="709" t="s">
        <v>19</v>
      </c>
      <c r="G24" s="710"/>
      <c r="H24" s="711">
        <f>H346</f>
        <v>619316</v>
      </c>
      <c r="I24" s="712"/>
      <c r="J24" s="711">
        <f>J346</f>
        <v>63174</v>
      </c>
      <c r="K24" s="711">
        <f>K346</f>
        <v>682490</v>
      </c>
      <c r="L24" s="2350"/>
      <c r="N24" s="715"/>
    </row>
    <row r="25" spans="1:14" s="714" customFormat="1" ht="24" customHeight="1">
      <c r="A25" s="719" t="str">
        <f>A347</f>
        <v>3.14</v>
      </c>
      <c r="B25" s="754" t="str">
        <f>B347</f>
        <v>ระบบแจ้งเหตุฉุกเฉิน (Panic Alarm System)</v>
      </c>
      <c r="C25" s="717"/>
      <c r="D25" s="718"/>
      <c r="E25" s="708">
        <v>1</v>
      </c>
      <c r="F25" s="709" t="s">
        <v>19</v>
      </c>
      <c r="G25" s="710"/>
      <c r="H25" s="711">
        <f>H370</f>
        <v>60040</v>
      </c>
      <c r="I25" s="712"/>
      <c r="J25" s="711">
        <f>J370</f>
        <v>22388</v>
      </c>
      <c r="K25" s="711">
        <f>K370</f>
        <v>82428</v>
      </c>
      <c r="L25" s="2350"/>
      <c r="N25" s="715"/>
    </row>
    <row r="26" spans="1:14" s="714" customFormat="1" ht="24" customHeight="1">
      <c r="A26" s="719"/>
      <c r="B26" s="955"/>
      <c r="C26" s="717"/>
      <c r="D26" s="718"/>
      <c r="E26" s="721"/>
      <c r="F26" s="722"/>
      <c r="G26" s="710"/>
      <c r="H26" s="711"/>
      <c r="I26" s="712"/>
      <c r="J26" s="957"/>
      <c r="K26" s="958"/>
      <c r="L26" s="954"/>
    </row>
    <row r="27" spans="1:14" s="714" customFormat="1" ht="24" customHeight="1">
      <c r="A27" s="719"/>
      <c r="B27" s="955"/>
      <c r="C27" s="717"/>
      <c r="D27" s="718"/>
      <c r="E27" s="721"/>
      <c r="F27" s="722"/>
      <c r="G27" s="710"/>
      <c r="H27" s="711"/>
      <c r="I27" s="712"/>
      <c r="J27" s="957"/>
      <c r="K27" s="958"/>
      <c r="L27" s="954"/>
    </row>
    <row r="28" spans="1:14" s="714" customFormat="1" ht="24" customHeight="1">
      <c r="A28" s="719"/>
      <c r="B28" s="955"/>
      <c r="C28" s="717"/>
      <c r="D28" s="718"/>
      <c r="E28" s="721"/>
      <c r="F28" s="722"/>
      <c r="G28" s="710"/>
      <c r="H28" s="711"/>
      <c r="I28" s="712"/>
      <c r="J28" s="957"/>
      <c r="K28" s="958"/>
      <c r="L28" s="954"/>
    </row>
    <row r="29" spans="1:14" s="714" customFormat="1" ht="24" customHeight="1">
      <c r="A29" s="719"/>
      <c r="B29" s="955"/>
      <c r="C29" s="717"/>
      <c r="D29" s="718"/>
      <c r="E29" s="721"/>
      <c r="F29" s="722"/>
      <c r="G29" s="710"/>
      <c r="H29" s="711"/>
      <c r="I29" s="956"/>
      <c r="J29" s="957"/>
      <c r="K29" s="958"/>
      <c r="L29" s="954"/>
    </row>
    <row r="30" spans="1:14" s="714" customFormat="1" ht="24" customHeight="1">
      <c r="A30" s="719"/>
      <c r="B30" s="955"/>
      <c r="C30" s="717"/>
      <c r="D30" s="718"/>
      <c r="E30" s="721"/>
      <c r="F30" s="722"/>
      <c r="G30" s="710"/>
      <c r="H30" s="711"/>
      <c r="I30" s="956"/>
      <c r="J30" s="957"/>
      <c r="K30" s="958"/>
      <c r="L30" s="954"/>
    </row>
    <row r="31" spans="1:14" s="714" customFormat="1" ht="24" customHeight="1">
      <c r="A31" s="719"/>
      <c r="B31" s="955"/>
      <c r="C31" s="717"/>
      <c r="D31" s="718"/>
      <c r="E31" s="721"/>
      <c r="F31" s="722"/>
      <c r="G31" s="710"/>
      <c r="H31" s="711"/>
      <c r="I31" s="956"/>
      <c r="J31" s="957"/>
      <c r="K31" s="958"/>
      <c r="L31" s="954"/>
    </row>
    <row r="32" spans="1:14" s="714" customFormat="1" ht="24" customHeight="1">
      <c r="A32" s="719"/>
      <c r="B32" s="955"/>
      <c r="C32" s="717"/>
      <c r="D32" s="718"/>
      <c r="E32" s="721"/>
      <c r="F32" s="722"/>
      <c r="G32" s="710"/>
      <c r="H32" s="711"/>
      <c r="I32" s="956"/>
      <c r="J32" s="957"/>
      <c r="K32" s="958"/>
      <c r="L32" s="954"/>
    </row>
    <row r="33" spans="1:18" s="714" customFormat="1" ht="24" customHeight="1">
      <c r="A33" s="719"/>
      <c r="B33" s="955"/>
      <c r="C33" s="717"/>
      <c r="D33" s="718"/>
      <c r="E33" s="721"/>
      <c r="F33" s="722"/>
      <c r="G33" s="710"/>
      <c r="H33" s="711"/>
      <c r="I33" s="956"/>
      <c r="J33" s="957"/>
      <c r="K33" s="958"/>
      <c r="L33" s="954"/>
    </row>
    <row r="34" spans="1:18" s="714" customFormat="1" ht="24" customHeight="1">
      <c r="A34" s="775"/>
      <c r="B34" s="2475" t="str">
        <f>"รวมราคา"&amp;B11</f>
        <v>รวมราคางานระบบไฟฟ้าและสื่อสาร ชั้น 2</v>
      </c>
      <c r="C34" s="2476"/>
      <c r="D34" s="2477"/>
      <c r="E34" s="776"/>
      <c r="F34" s="777"/>
      <c r="G34" s="959"/>
      <c r="H34" s="960">
        <f>SUM(H11:H33)</f>
        <v>5692105</v>
      </c>
      <c r="I34" s="959"/>
      <c r="J34" s="960">
        <f>SUM(J11:J33)</f>
        <v>1448683</v>
      </c>
      <c r="K34" s="960">
        <f>SUM(K11:K33)</f>
        <v>7140788</v>
      </c>
      <c r="L34" s="777"/>
      <c r="M34" s="729"/>
      <c r="N34" s="729"/>
      <c r="O34" s="729"/>
      <c r="P34" s="729"/>
      <c r="Q34" s="729"/>
      <c r="R34" s="729"/>
    </row>
    <row r="35" spans="1:18" s="714" customFormat="1" ht="24" customHeight="1">
      <c r="A35" s="815">
        <v>3.1</v>
      </c>
      <c r="B35" s="816" t="s">
        <v>1050</v>
      </c>
      <c r="C35" s="859"/>
      <c r="D35" s="859"/>
      <c r="E35" s="851"/>
      <c r="F35" s="852"/>
      <c r="G35" s="853"/>
      <c r="H35" s="854"/>
      <c r="I35" s="855"/>
      <c r="J35" s="854"/>
      <c r="K35" s="855"/>
      <c r="L35" s="826"/>
    </row>
    <row r="36" spans="1:18" s="884" customFormat="1" ht="24" customHeight="1">
      <c r="A36" s="878" t="s">
        <v>941</v>
      </c>
      <c r="B36" s="879" t="s">
        <v>1068</v>
      </c>
      <c r="C36" s="880"/>
      <c r="D36" s="880"/>
      <c r="E36" s="881"/>
      <c r="F36" s="794"/>
      <c r="G36" s="795"/>
      <c r="H36" s="796"/>
      <c r="I36" s="797"/>
      <c r="J36" s="796"/>
      <c r="K36" s="797"/>
      <c r="L36" s="883"/>
    </row>
    <row r="37" spans="1:18" s="884" customFormat="1" ht="24" customHeight="1">
      <c r="A37" s="831" t="s">
        <v>943</v>
      </c>
      <c r="B37" s="720" t="s">
        <v>1053</v>
      </c>
      <c r="C37" s="792"/>
      <c r="D37" s="792"/>
      <c r="E37" s="793"/>
      <c r="F37" s="794"/>
      <c r="G37" s="795"/>
      <c r="H37" s="796"/>
      <c r="I37" s="797"/>
      <c r="J37" s="796"/>
      <c r="K37" s="797"/>
      <c r="L37" s="883"/>
    </row>
    <row r="38" spans="1:18" s="884" customFormat="1" ht="24" customHeight="1">
      <c r="A38" s="831"/>
      <c r="B38" s="720" t="s">
        <v>1054</v>
      </c>
      <c r="C38" s="792"/>
      <c r="D38" s="792"/>
      <c r="E38" s="793"/>
      <c r="F38" s="722" t="s">
        <v>240</v>
      </c>
      <c r="G38" s="795">
        <v>2400</v>
      </c>
      <c r="H38" s="796">
        <f t="shared" ref="H38:H53" si="0">ROUND(G38*E38,)</f>
        <v>0</v>
      </c>
      <c r="I38" s="797"/>
      <c r="J38" s="796"/>
      <c r="K38" s="799">
        <f t="shared" ref="K38:K53" si="1">H38+J38</f>
        <v>0</v>
      </c>
      <c r="L38" s="883"/>
    </row>
    <row r="39" spans="1:18" s="884" customFormat="1" ht="24" customHeight="1">
      <c r="A39" s="831"/>
      <c r="B39" s="720" t="s">
        <v>1055</v>
      </c>
      <c r="C39" s="792"/>
      <c r="D39" s="792"/>
      <c r="E39" s="793">
        <v>1</v>
      </c>
      <c r="F39" s="722" t="s">
        <v>240</v>
      </c>
      <c r="G39" s="795">
        <v>2400</v>
      </c>
      <c r="H39" s="796">
        <f t="shared" si="0"/>
        <v>2400</v>
      </c>
      <c r="I39" s="797"/>
      <c r="J39" s="796"/>
      <c r="K39" s="799">
        <f t="shared" si="1"/>
        <v>2400</v>
      </c>
      <c r="L39" s="883"/>
    </row>
    <row r="40" spans="1:18" s="884" customFormat="1" ht="24" customHeight="1">
      <c r="A40" s="831"/>
      <c r="B40" s="720" t="s">
        <v>1056</v>
      </c>
      <c r="C40" s="792"/>
      <c r="D40" s="792"/>
      <c r="E40" s="793">
        <v>3</v>
      </c>
      <c r="F40" s="722" t="s">
        <v>240</v>
      </c>
      <c r="G40" s="795">
        <v>2400</v>
      </c>
      <c r="H40" s="796">
        <f t="shared" si="0"/>
        <v>7200</v>
      </c>
      <c r="I40" s="797"/>
      <c r="J40" s="796"/>
      <c r="K40" s="799">
        <f t="shared" si="1"/>
        <v>7200</v>
      </c>
      <c r="L40" s="883"/>
    </row>
    <row r="41" spans="1:18" s="884" customFormat="1" ht="24" customHeight="1">
      <c r="A41" s="831"/>
      <c r="B41" s="720" t="s">
        <v>1057</v>
      </c>
      <c r="C41" s="792"/>
      <c r="D41" s="792"/>
      <c r="E41" s="793">
        <v>1</v>
      </c>
      <c r="F41" s="722" t="s">
        <v>240</v>
      </c>
      <c r="G41" s="795">
        <v>2400</v>
      </c>
      <c r="H41" s="796">
        <f t="shared" si="0"/>
        <v>2400</v>
      </c>
      <c r="I41" s="797"/>
      <c r="J41" s="796"/>
      <c r="K41" s="799">
        <f t="shared" si="1"/>
        <v>2400</v>
      </c>
      <c r="L41" s="883"/>
    </row>
    <row r="42" spans="1:18" s="884" customFormat="1" ht="24" customHeight="1">
      <c r="A42" s="831"/>
      <c r="B42" s="720" t="s">
        <v>1058</v>
      </c>
      <c r="C42" s="792"/>
      <c r="D42" s="792"/>
      <c r="E42" s="793">
        <v>1</v>
      </c>
      <c r="F42" s="722" t="s">
        <v>240</v>
      </c>
      <c r="G42" s="795">
        <v>2400</v>
      </c>
      <c r="H42" s="796">
        <f t="shared" si="0"/>
        <v>2400</v>
      </c>
      <c r="I42" s="797"/>
      <c r="J42" s="796"/>
      <c r="K42" s="799">
        <f t="shared" si="1"/>
        <v>2400</v>
      </c>
      <c r="L42" s="883"/>
    </row>
    <row r="43" spans="1:18" s="884" customFormat="1" ht="24" customHeight="1">
      <c r="A43" s="831"/>
      <c r="B43" s="720" t="s">
        <v>1059</v>
      </c>
      <c r="C43" s="792"/>
      <c r="D43" s="792"/>
      <c r="E43" s="793">
        <v>1</v>
      </c>
      <c r="F43" s="722" t="s">
        <v>240</v>
      </c>
      <c r="G43" s="795">
        <v>2600</v>
      </c>
      <c r="H43" s="796">
        <f t="shared" si="0"/>
        <v>2600</v>
      </c>
      <c r="I43" s="797"/>
      <c r="J43" s="796"/>
      <c r="K43" s="799">
        <f t="shared" si="1"/>
        <v>2600</v>
      </c>
      <c r="L43" s="883"/>
    </row>
    <row r="44" spans="1:18" s="884" customFormat="1" ht="24" customHeight="1">
      <c r="A44" s="831"/>
      <c r="B44" s="720" t="s">
        <v>1060</v>
      </c>
      <c r="C44" s="792"/>
      <c r="D44" s="792"/>
      <c r="E44" s="793"/>
      <c r="F44" s="722" t="s">
        <v>240</v>
      </c>
      <c r="G44" s="795">
        <v>3000</v>
      </c>
      <c r="H44" s="796">
        <f t="shared" si="0"/>
        <v>0</v>
      </c>
      <c r="I44" s="797"/>
      <c r="J44" s="796"/>
      <c r="K44" s="799">
        <f t="shared" si="1"/>
        <v>0</v>
      </c>
      <c r="L44" s="883"/>
    </row>
    <row r="45" spans="1:18" s="884" customFormat="1" ht="24" customHeight="1">
      <c r="A45" s="831"/>
      <c r="B45" s="720" t="s">
        <v>1061</v>
      </c>
      <c r="C45" s="792"/>
      <c r="D45" s="792"/>
      <c r="E45" s="793"/>
      <c r="F45" s="722" t="s">
        <v>240</v>
      </c>
      <c r="G45" s="795">
        <v>8600</v>
      </c>
      <c r="H45" s="796">
        <f t="shared" si="0"/>
        <v>0</v>
      </c>
      <c r="I45" s="797"/>
      <c r="J45" s="796"/>
      <c r="K45" s="799">
        <f t="shared" si="1"/>
        <v>0</v>
      </c>
      <c r="L45" s="883"/>
    </row>
    <row r="46" spans="1:18" s="884" customFormat="1" ht="24" customHeight="1">
      <c r="A46" s="831"/>
      <c r="B46" s="720" t="s">
        <v>1062</v>
      </c>
      <c r="C46" s="792"/>
      <c r="D46" s="792"/>
      <c r="E46" s="793"/>
      <c r="F46" s="722" t="s">
        <v>240</v>
      </c>
      <c r="G46" s="795">
        <v>8600</v>
      </c>
      <c r="H46" s="796">
        <f t="shared" si="0"/>
        <v>0</v>
      </c>
      <c r="I46" s="797"/>
      <c r="J46" s="796"/>
      <c r="K46" s="799">
        <f t="shared" si="1"/>
        <v>0</v>
      </c>
      <c r="L46" s="883"/>
    </row>
    <row r="47" spans="1:18" s="884" customFormat="1" ht="24" customHeight="1">
      <c r="A47" s="831"/>
      <c r="B47" s="720" t="s">
        <v>1063</v>
      </c>
      <c r="C47" s="792"/>
      <c r="D47" s="792"/>
      <c r="E47" s="793"/>
      <c r="F47" s="722" t="s">
        <v>240</v>
      </c>
      <c r="G47" s="795">
        <v>8600</v>
      </c>
      <c r="H47" s="796">
        <f t="shared" si="0"/>
        <v>0</v>
      </c>
      <c r="I47" s="797"/>
      <c r="J47" s="796"/>
      <c r="K47" s="799">
        <f t="shared" si="1"/>
        <v>0</v>
      </c>
      <c r="L47" s="883"/>
    </row>
    <row r="48" spans="1:18" s="884" customFormat="1" ht="24" customHeight="1">
      <c r="A48" s="831" t="s">
        <v>3088</v>
      </c>
      <c r="B48" s="720" t="s">
        <v>1001</v>
      </c>
      <c r="C48" s="792"/>
      <c r="D48" s="792"/>
      <c r="E48" s="793"/>
      <c r="F48" s="794"/>
      <c r="G48" s="795"/>
      <c r="H48" s="796">
        <f t="shared" si="0"/>
        <v>0</v>
      </c>
      <c r="I48" s="797"/>
      <c r="J48" s="796"/>
      <c r="K48" s="799">
        <f t="shared" si="1"/>
        <v>0</v>
      </c>
      <c r="L48" s="883"/>
    </row>
    <row r="49" spans="1:12" s="884" customFormat="1" ht="24" customHeight="1">
      <c r="A49" s="831"/>
      <c r="B49" s="720" t="s">
        <v>1064</v>
      </c>
      <c r="C49" s="792"/>
      <c r="D49" s="792"/>
      <c r="E49" s="793">
        <v>3</v>
      </c>
      <c r="F49" s="722" t="s">
        <v>240</v>
      </c>
      <c r="G49" s="795">
        <v>600</v>
      </c>
      <c r="H49" s="796">
        <f t="shared" si="0"/>
        <v>1800</v>
      </c>
      <c r="I49" s="797"/>
      <c r="J49" s="796"/>
      <c r="K49" s="799">
        <f t="shared" si="1"/>
        <v>1800</v>
      </c>
      <c r="L49" s="883"/>
    </row>
    <row r="50" spans="1:12" s="884" customFormat="1" ht="24" customHeight="1">
      <c r="A50" s="831"/>
      <c r="B50" s="720" t="s">
        <v>1003</v>
      </c>
      <c r="C50" s="792"/>
      <c r="D50" s="792"/>
      <c r="E50" s="793">
        <v>3</v>
      </c>
      <c r="F50" s="722" t="s">
        <v>240</v>
      </c>
      <c r="G50" s="795">
        <v>120</v>
      </c>
      <c r="H50" s="796">
        <f t="shared" si="0"/>
        <v>360</v>
      </c>
      <c r="I50" s="797"/>
      <c r="J50" s="796"/>
      <c r="K50" s="799">
        <f t="shared" si="1"/>
        <v>360</v>
      </c>
      <c r="L50" s="883"/>
    </row>
    <row r="51" spans="1:12" s="884" customFormat="1" ht="24" customHeight="1">
      <c r="A51" s="831"/>
      <c r="B51" s="720" t="s">
        <v>1004</v>
      </c>
      <c r="C51" s="792"/>
      <c r="D51" s="792"/>
      <c r="E51" s="793">
        <v>3</v>
      </c>
      <c r="F51" s="722" t="s">
        <v>240</v>
      </c>
      <c r="G51" s="795">
        <v>100</v>
      </c>
      <c r="H51" s="796">
        <f t="shared" si="0"/>
        <v>300</v>
      </c>
      <c r="I51" s="797"/>
      <c r="J51" s="796"/>
      <c r="K51" s="799">
        <f t="shared" si="1"/>
        <v>300</v>
      </c>
      <c r="L51" s="883"/>
    </row>
    <row r="52" spans="1:12" s="884" customFormat="1" ht="24" customHeight="1">
      <c r="A52" s="831"/>
      <c r="B52" s="720" t="s">
        <v>1065</v>
      </c>
      <c r="C52" s="792"/>
      <c r="D52" s="792"/>
      <c r="E52" s="793">
        <v>6</v>
      </c>
      <c r="F52" s="722" t="s">
        <v>240</v>
      </c>
      <c r="G52" s="795">
        <v>15435</v>
      </c>
      <c r="H52" s="796">
        <f t="shared" si="0"/>
        <v>92610</v>
      </c>
      <c r="I52" s="797"/>
      <c r="J52" s="796"/>
      <c r="K52" s="799">
        <f t="shared" si="1"/>
        <v>92610</v>
      </c>
      <c r="L52" s="883"/>
    </row>
    <row r="53" spans="1:12" s="884" customFormat="1" ht="24" customHeight="1">
      <c r="A53" s="831" t="s">
        <v>3089</v>
      </c>
      <c r="B53" s="720" t="s">
        <v>1066</v>
      </c>
      <c r="C53" s="792"/>
      <c r="D53" s="792"/>
      <c r="E53" s="793">
        <v>1</v>
      </c>
      <c r="F53" s="722" t="s">
        <v>948</v>
      </c>
      <c r="G53" s="795">
        <v>43400</v>
      </c>
      <c r="H53" s="796">
        <f t="shared" si="0"/>
        <v>43400</v>
      </c>
      <c r="I53" s="797">
        <f>G53*0.3</f>
        <v>13020</v>
      </c>
      <c r="J53" s="796">
        <f>ROUND(E53*I53,)</f>
        <v>13020</v>
      </c>
      <c r="K53" s="799">
        <f t="shared" si="1"/>
        <v>56420</v>
      </c>
      <c r="L53" s="883"/>
    </row>
    <row r="54" spans="1:12" s="884" customFormat="1" ht="24" customHeight="1">
      <c r="A54" s="878" t="s">
        <v>1394</v>
      </c>
      <c r="B54" s="879" t="s">
        <v>1090</v>
      </c>
      <c r="C54" s="880"/>
      <c r="D54" s="880"/>
      <c r="E54" s="881"/>
      <c r="F54" s="794"/>
      <c r="G54" s="795"/>
      <c r="H54" s="796"/>
      <c r="I54" s="797"/>
      <c r="J54" s="796"/>
      <c r="K54" s="797"/>
      <c r="L54" s="887"/>
    </row>
    <row r="55" spans="1:12" s="884" customFormat="1" ht="24" customHeight="1">
      <c r="A55" s="831" t="s">
        <v>3090</v>
      </c>
      <c r="B55" s="720" t="s">
        <v>1053</v>
      </c>
      <c r="C55" s="792"/>
      <c r="D55" s="792"/>
      <c r="E55" s="793"/>
      <c r="F55" s="794"/>
      <c r="G55" s="795"/>
      <c r="H55" s="796"/>
      <c r="I55" s="797"/>
      <c r="J55" s="796"/>
      <c r="K55" s="797"/>
      <c r="L55" s="887"/>
    </row>
    <row r="56" spans="1:12" s="884" customFormat="1" ht="24" customHeight="1">
      <c r="A56" s="831"/>
      <c r="B56" s="720" t="s">
        <v>1054</v>
      </c>
      <c r="C56" s="792"/>
      <c r="D56" s="792"/>
      <c r="E56" s="793"/>
      <c r="F56" s="722" t="s">
        <v>240</v>
      </c>
      <c r="G56" s="795">
        <v>2400</v>
      </c>
      <c r="H56" s="796">
        <f t="shared" ref="H56:H71" si="2">ROUND(G56*E56,)</f>
        <v>0</v>
      </c>
      <c r="I56" s="797"/>
      <c r="J56" s="796"/>
      <c r="K56" s="799">
        <f t="shared" ref="K56:K71" si="3">H56+J56</f>
        <v>0</v>
      </c>
      <c r="L56" s="883"/>
    </row>
    <row r="57" spans="1:12" s="884" customFormat="1" ht="24" customHeight="1">
      <c r="A57" s="831"/>
      <c r="B57" s="720" t="s">
        <v>1055</v>
      </c>
      <c r="C57" s="792"/>
      <c r="D57" s="792"/>
      <c r="E57" s="793"/>
      <c r="F57" s="722" t="s">
        <v>240</v>
      </c>
      <c r="G57" s="795">
        <v>2400</v>
      </c>
      <c r="H57" s="796">
        <f t="shared" si="2"/>
        <v>0</v>
      </c>
      <c r="I57" s="797"/>
      <c r="J57" s="796"/>
      <c r="K57" s="799">
        <f t="shared" si="3"/>
        <v>0</v>
      </c>
      <c r="L57" s="883"/>
    </row>
    <row r="58" spans="1:12" s="884" customFormat="1" ht="24" customHeight="1">
      <c r="A58" s="831"/>
      <c r="B58" s="720" t="s">
        <v>1056</v>
      </c>
      <c r="C58" s="792"/>
      <c r="D58" s="792"/>
      <c r="E58" s="793">
        <v>4</v>
      </c>
      <c r="F58" s="722" t="s">
        <v>240</v>
      </c>
      <c r="G58" s="795">
        <v>2400</v>
      </c>
      <c r="H58" s="796">
        <f t="shared" si="2"/>
        <v>9600</v>
      </c>
      <c r="I58" s="797"/>
      <c r="J58" s="796"/>
      <c r="K58" s="799">
        <f t="shared" si="3"/>
        <v>9600</v>
      </c>
      <c r="L58" s="883"/>
    </row>
    <row r="59" spans="1:12" s="884" customFormat="1" ht="24" customHeight="1">
      <c r="A59" s="831"/>
      <c r="B59" s="720" t="s">
        <v>1057</v>
      </c>
      <c r="C59" s="792"/>
      <c r="D59" s="792"/>
      <c r="E59" s="793"/>
      <c r="F59" s="722" t="s">
        <v>240</v>
      </c>
      <c r="G59" s="795">
        <v>2400</v>
      </c>
      <c r="H59" s="796">
        <f t="shared" si="2"/>
        <v>0</v>
      </c>
      <c r="I59" s="797"/>
      <c r="J59" s="796"/>
      <c r="K59" s="799">
        <f t="shared" si="3"/>
        <v>0</v>
      </c>
      <c r="L59" s="883"/>
    </row>
    <row r="60" spans="1:12" s="884" customFormat="1" ht="24" customHeight="1">
      <c r="A60" s="831"/>
      <c r="B60" s="720" t="s">
        <v>1058</v>
      </c>
      <c r="C60" s="792"/>
      <c r="D60" s="792"/>
      <c r="E60" s="793"/>
      <c r="F60" s="722" t="s">
        <v>240</v>
      </c>
      <c r="G60" s="795">
        <v>2400</v>
      </c>
      <c r="H60" s="796">
        <f t="shared" si="2"/>
        <v>0</v>
      </c>
      <c r="I60" s="797"/>
      <c r="J60" s="796"/>
      <c r="K60" s="799">
        <f t="shared" si="3"/>
        <v>0</v>
      </c>
      <c r="L60" s="883"/>
    </row>
    <row r="61" spans="1:12" s="884" customFormat="1" ht="24" customHeight="1">
      <c r="A61" s="831"/>
      <c r="B61" s="720" t="s">
        <v>1059</v>
      </c>
      <c r="C61" s="792"/>
      <c r="D61" s="792"/>
      <c r="E61" s="793"/>
      <c r="F61" s="722" t="s">
        <v>240</v>
      </c>
      <c r="G61" s="795">
        <v>2600</v>
      </c>
      <c r="H61" s="796">
        <f t="shared" si="2"/>
        <v>0</v>
      </c>
      <c r="I61" s="797"/>
      <c r="J61" s="796"/>
      <c r="K61" s="799">
        <f t="shared" si="3"/>
        <v>0</v>
      </c>
      <c r="L61" s="883"/>
    </row>
    <row r="62" spans="1:12" s="884" customFormat="1" ht="24" customHeight="1">
      <c r="A62" s="831"/>
      <c r="B62" s="720" t="s">
        <v>1060</v>
      </c>
      <c r="C62" s="792"/>
      <c r="D62" s="792"/>
      <c r="E62" s="793">
        <v>2</v>
      </c>
      <c r="F62" s="722" t="s">
        <v>240</v>
      </c>
      <c r="G62" s="795">
        <v>3000</v>
      </c>
      <c r="H62" s="796">
        <f t="shared" si="2"/>
        <v>6000</v>
      </c>
      <c r="I62" s="797"/>
      <c r="J62" s="796"/>
      <c r="K62" s="799">
        <f t="shared" si="3"/>
        <v>6000</v>
      </c>
      <c r="L62" s="883"/>
    </row>
    <row r="63" spans="1:12" s="884" customFormat="1" ht="24" customHeight="1">
      <c r="A63" s="831"/>
      <c r="B63" s="720" t="s">
        <v>1061</v>
      </c>
      <c r="C63" s="792"/>
      <c r="D63" s="792"/>
      <c r="E63" s="793"/>
      <c r="F63" s="722" t="s">
        <v>240</v>
      </c>
      <c r="G63" s="795">
        <v>8600</v>
      </c>
      <c r="H63" s="796">
        <f t="shared" si="2"/>
        <v>0</v>
      </c>
      <c r="I63" s="797"/>
      <c r="J63" s="796"/>
      <c r="K63" s="799">
        <f t="shared" si="3"/>
        <v>0</v>
      </c>
      <c r="L63" s="883"/>
    </row>
    <row r="64" spans="1:12" s="884" customFormat="1" ht="24" customHeight="1">
      <c r="A64" s="831"/>
      <c r="B64" s="720" t="s">
        <v>1062</v>
      </c>
      <c r="C64" s="792"/>
      <c r="D64" s="792"/>
      <c r="E64" s="793"/>
      <c r="F64" s="722" t="s">
        <v>240</v>
      </c>
      <c r="G64" s="795">
        <v>8600</v>
      </c>
      <c r="H64" s="796">
        <f t="shared" si="2"/>
        <v>0</v>
      </c>
      <c r="I64" s="797"/>
      <c r="J64" s="796"/>
      <c r="K64" s="799">
        <f t="shared" si="3"/>
        <v>0</v>
      </c>
      <c r="L64" s="883"/>
    </row>
    <row r="65" spans="1:17" s="884" customFormat="1" ht="24" customHeight="1">
      <c r="A65" s="831"/>
      <c r="B65" s="720" t="s">
        <v>1063</v>
      </c>
      <c r="C65" s="792"/>
      <c r="D65" s="792"/>
      <c r="E65" s="793"/>
      <c r="F65" s="722" t="s">
        <v>240</v>
      </c>
      <c r="G65" s="795">
        <v>8600</v>
      </c>
      <c r="H65" s="796">
        <f t="shared" si="2"/>
        <v>0</v>
      </c>
      <c r="I65" s="797"/>
      <c r="J65" s="796"/>
      <c r="K65" s="799">
        <f t="shared" si="3"/>
        <v>0</v>
      </c>
      <c r="L65" s="883"/>
    </row>
    <row r="66" spans="1:17" s="884" customFormat="1" ht="24" customHeight="1">
      <c r="A66" s="831" t="s">
        <v>3091</v>
      </c>
      <c r="B66" s="720" t="s">
        <v>1001</v>
      </c>
      <c r="C66" s="792"/>
      <c r="D66" s="792"/>
      <c r="E66" s="793"/>
      <c r="F66" s="794"/>
      <c r="G66" s="795"/>
      <c r="H66" s="796">
        <f t="shared" si="2"/>
        <v>0</v>
      </c>
      <c r="I66" s="797"/>
      <c r="J66" s="796"/>
      <c r="K66" s="799">
        <f t="shared" si="3"/>
        <v>0</v>
      </c>
      <c r="L66" s="883"/>
    </row>
    <row r="67" spans="1:17" s="884" customFormat="1" ht="24" customHeight="1">
      <c r="A67" s="831"/>
      <c r="B67" s="720" t="s">
        <v>1064</v>
      </c>
      <c r="C67" s="792"/>
      <c r="D67" s="792"/>
      <c r="E67" s="793">
        <v>3</v>
      </c>
      <c r="F67" s="722" t="s">
        <v>240</v>
      </c>
      <c r="G67" s="795">
        <v>660</v>
      </c>
      <c r="H67" s="796">
        <f t="shared" si="2"/>
        <v>1980</v>
      </c>
      <c r="I67" s="797"/>
      <c r="J67" s="796"/>
      <c r="K67" s="799">
        <f t="shared" si="3"/>
        <v>1980</v>
      </c>
      <c r="L67" s="887"/>
    </row>
    <row r="68" spans="1:17" s="884" customFormat="1" ht="24" customHeight="1">
      <c r="A68" s="831"/>
      <c r="B68" s="720" t="s">
        <v>1003</v>
      </c>
      <c r="C68" s="792"/>
      <c r="D68" s="792"/>
      <c r="E68" s="793">
        <v>3</v>
      </c>
      <c r="F68" s="722" t="s">
        <v>240</v>
      </c>
      <c r="G68" s="795">
        <v>120</v>
      </c>
      <c r="H68" s="796">
        <f t="shared" si="2"/>
        <v>360</v>
      </c>
      <c r="I68" s="797"/>
      <c r="J68" s="796"/>
      <c r="K68" s="799">
        <f t="shared" si="3"/>
        <v>360</v>
      </c>
      <c r="L68" s="887"/>
    </row>
    <row r="69" spans="1:17" s="884" customFormat="1" ht="24" customHeight="1">
      <c r="A69" s="831"/>
      <c r="B69" s="720" t="s">
        <v>1004</v>
      </c>
      <c r="C69" s="792"/>
      <c r="D69" s="792"/>
      <c r="E69" s="793">
        <v>3</v>
      </c>
      <c r="F69" s="722" t="s">
        <v>240</v>
      </c>
      <c r="G69" s="795">
        <v>100</v>
      </c>
      <c r="H69" s="796">
        <f t="shared" si="2"/>
        <v>300</v>
      </c>
      <c r="I69" s="797"/>
      <c r="J69" s="796"/>
      <c r="K69" s="799">
        <f t="shared" si="3"/>
        <v>300</v>
      </c>
      <c r="L69" s="887"/>
    </row>
    <row r="70" spans="1:17" s="884" customFormat="1" ht="24" customHeight="1">
      <c r="A70" s="831"/>
      <c r="B70" s="720" t="s">
        <v>1065</v>
      </c>
      <c r="C70" s="792"/>
      <c r="D70" s="792"/>
      <c r="E70" s="793">
        <v>5</v>
      </c>
      <c r="F70" s="722" t="s">
        <v>240</v>
      </c>
      <c r="G70" s="795">
        <v>15435</v>
      </c>
      <c r="H70" s="796">
        <f t="shared" si="2"/>
        <v>77175</v>
      </c>
      <c r="I70" s="797"/>
      <c r="J70" s="796"/>
      <c r="K70" s="799">
        <f t="shared" si="3"/>
        <v>77175</v>
      </c>
      <c r="L70" s="887"/>
    </row>
    <row r="71" spans="1:17" s="884" customFormat="1" ht="24" customHeight="1">
      <c r="A71" s="831" t="s">
        <v>3092</v>
      </c>
      <c r="B71" s="720" t="s">
        <v>1066</v>
      </c>
      <c r="C71" s="792"/>
      <c r="D71" s="792"/>
      <c r="E71" s="793">
        <v>1</v>
      </c>
      <c r="F71" s="722" t="s">
        <v>948</v>
      </c>
      <c r="G71" s="795">
        <v>43400</v>
      </c>
      <c r="H71" s="796">
        <f t="shared" si="2"/>
        <v>43400</v>
      </c>
      <c r="I71" s="797">
        <f>G71*0.3</f>
        <v>13020</v>
      </c>
      <c r="J71" s="796">
        <f>ROUND(E71*I71,)</f>
        <v>13020</v>
      </c>
      <c r="K71" s="799">
        <f t="shared" si="3"/>
        <v>56420</v>
      </c>
      <c r="L71" s="887"/>
    </row>
    <row r="72" spans="1:17" s="714" customFormat="1" ht="24" customHeight="1">
      <c r="A72" s="831"/>
      <c r="B72" s="720" t="s">
        <v>957</v>
      </c>
      <c r="C72" s="792"/>
      <c r="D72" s="792"/>
      <c r="E72" s="793"/>
      <c r="F72" s="794"/>
      <c r="G72" s="795"/>
      <c r="H72" s="796"/>
      <c r="I72" s="797"/>
      <c r="J72" s="864"/>
      <c r="K72" s="906"/>
      <c r="L72" s="964"/>
      <c r="M72" s="729"/>
      <c r="N72" s="729"/>
      <c r="O72" s="729"/>
      <c r="P72" s="729"/>
      <c r="Q72" s="729"/>
    </row>
    <row r="73" spans="1:17" s="714" customFormat="1" ht="24" customHeight="1">
      <c r="A73" s="719"/>
      <c r="B73" s="720" t="s">
        <v>1428</v>
      </c>
      <c r="C73" s="717"/>
      <c r="D73" s="718"/>
      <c r="E73" s="721"/>
      <c r="F73" s="722"/>
      <c r="G73" s="710"/>
      <c r="H73" s="711"/>
      <c r="I73" s="712"/>
      <c r="J73" s="957"/>
      <c r="K73" s="958"/>
      <c r="L73" s="954"/>
    </row>
    <row r="74" spans="1:17" s="714" customFormat="1" ht="24" customHeight="1">
      <c r="A74" s="719"/>
      <c r="B74" s="720" t="s">
        <v>1428</v>
      </c>
      <c r="C74" s="717"/>
      <c r="D74" s="718"/>
      <c r="E74" s="721"/>
      <c r="F74" s="722"/>
      <c r="G74" s="710"/>
      <c r="H74" s="711"/>
      <c r="I74" s="712"/>
      <c r="J74" s="957"/>
      <c r="K74" s="958"/>
      <c r="L74" s="954"/>
    </row>
    <row r="75" spans="1:17" s="714" customFormat="1" ht="24" customHeight="1">
      <c r="A75" s="775"/>
      <c r="B75" s="2475" t="str">
        <f>"รวมราคารายการที่ "&amp;A35</f>
        <v>รวมราคารายการที่ 3.1</v>
      </c>
      <c r="C75" s="2476"/>
      <c r="D75" s="2477"/>
      <c r="E75" s="776"/>
      <c r="F75" s="777"/>
      <c r="G75" s="959"/>
      <c r="H75" s="960">
        <f>SUM(H35:H74)</f>
        <v>294285</v>
      </c>
      <c r="I75" s="959"/>
      <c r="J75" s="960">
        <f>SUM(J35:J74)</f>
        <v>26040</v>
      </c>
      <c r="K75" s="960">
        <f>SUM(K35:K74)</f>
        <v>320325</v>
      </c>
      <c r="L75" s="777"/>
      <c r="M75" s="729"/>
      <c r="N75" s="729"/>
      <c r="O75" s="729"/>
      <c r="P75" s="729"/>
      <c r="Q75" s="729"/>
    </row>
    <row r="76" spans="1:17" s="714" customFormat="1" ht="24" customHeight="1">
      <c r="A76" s="815">
        <v>3.2</v>
      </c>
      <c r="B76" s="816" t="s">
        <v>1103</v>
      </c>
      <c r="C76" s="859"/>
      <c r="D76" s="859"/>
      <c r="E76" s="851"/>
      <c r="F76" s="852"/>
      <c r="G76" s="853"/>
      <c r="H76" s="854"/>
      <c r="I76" s="855"/>
      <c r="J76" s="854"/>
      <c r="K76" s="855"/>
      <c r="L76" s="826"/>
    </row>
    <row r="77" spans="1:17" s="884" customFormat="1" ht="24" customHeight="1">
      <c r="A77" s="878"/>
      <c r="B77" s="720" t="s">
        <v>1428</v>
      </c>
      <c r="C77" s="895"/>
      <c r="D77" s="895"/>
      <c r="E77" s="896"/>
      <c r="F77" s="722" t="s">
        <v>240</v>
      </c>
      <c r="G77" s="858"/>
      <c r="H77" s="796">
        <f t="shared" ref="H77:H79" si="4">ROUND(G77*E77,)</f>
        <v>0</v>
      </c>
      <c r="I77" s="865"/>
      <c r="J77" s="796">
        <f t="shared" ref="J77:J79" si="5">ROUND(E77*I77,)</f>
        <v>0</v>
      </c>
      <c r="K77" s="799">
        <f t="shared" ref="K77:K79" si="6">H77+J77</f>
        <v>0</v>
      </c>
      <c r="L77" s="883"/>
    </row>
    <row r="78" spans="1:17" s="884" customFormat="1" ht="24" customHeight="1">
      <c r="A78" s="831"/>
      <c r="B78" s="720" t="s">
        <v>1428</v>
      </c>
      <c r="C78" s="801"/>
      <c r="D78" s="801"/>
      <c r="E78" s="802"/>
      <c r="F78" s="722" t="s">
        <v>240</v>
      </c>
      <c r="G78" s="858"/>
      <c r="H78" s="796">
        <f t="shared" si="4"/>
        <v>0</v>
      </c>
      <c r="I78" s="865"/>
      <c r="J78" s="796">
        <f t="shared" si="5"/>
        <v>0</v>
      </c>
      <c r="K78" s="799">
        <f t="shared" si="6"/>
        <v>0</v>
      </c>
      <c r="L78" s="883"/>
    </row>
    <row r="79" spans="1:17" s="884" customFormat="1" ht="24" customHeight="1">
      <c r="A79" s="831"/>
      <c r="B79" s="720" t="s">
        <v>1428</v>
      </c>
      <c r="C79" s="792"/>
      <c r="D79" s="792"/>
      <c r="E79" s="793"/>
      <c r="F79" s="722" t="s">
        <v>240</v>
      </c>
      <c r="G79" s="795"/>
      <c r="H79" s="796">
        <f t="shared" si="4"/>
        <v>0</v>
      </c>
      <c r="I79" s="797"/>
      <c r="J79" s="796">
        <f t="shared" si="5"/>
        <v>0</v>
      </c>
      <c r="K79" s="799">
        <f t="shared" si="6"/>
        <v>0</v>
      </c>
      <c r="L79" s="883"/>
    </row>
    <row r="80" spans="1:17" s="714" customFormat="1" ht="24" customHeight="1">
      <c r="A80" s="831"/>
      <c r="B80" s="720" t="s">
        <v>957</v>
      </c>
      <c r="C80" s="792"/>
      <c r="D80" s="792"/>
      <c r="E80" s="793"/>
      <c r="F80" s="794"/>
      <c r="G80" s="795"/>
      <c r="H80" s="796"/>
      <c r="I80" s="797"/>
      <c r="J80" s="864"/>
      <c r="K80" s="906"/>
      <c r="L80" s="964"/>
      <c r="M80" s="729"/>
      <c r="N80" s="729"/>
      <c r="O80" s="729"/>
      <c r="P80" s="729"/>
      <c r="Q80" s="729"/>
    </row>
    <row r="81" spans="1:18" s="714" customFormat="1" ht="24" customHeight="1">
      <c r="A81" s="719"/>
      <c r="B81" s="720" t="s">
        <v>1428</v>
      </c>
      <c r="C81" s="717"/>
      <c r="D81" s="718"/>
      <c r="E81" s="721"/>
      <c r="F81" s="722"/>
      <c r="G81" s="710"/>
      <c r="H81" s="711"/>
      <c r="I81" s="712"/>
      <c r="J81" s="957"/>
      <c r="K81" s="958"/>
      <c r="L81" s="954"/>
    </row>
    <row r="82" spans="1:18" s="714" customFormat="1" ht="24" customHeight="1">
      <c r="A82" s="775"/>
      <c r="B82" s="2475" t="str">
        <f>"รวมราคารายการที่ "&amp;A76</f>
        <v>รวมราคารายการที่ 3.2</v>
      </c>
      <c r="C82" s="2476"/>
      <c r="D82" s="2477"/>
      <c r="E82" s="776"/>
      <c r="F82" s="777"/>
      <c r="G82" s="959"/>
      <c r="H82" s="960">
        <f>SUM(H76:H81)</f>
        <v>0</v>
      </c>
      <c r="I82" s="959"/>
      <c r="J82" s="960">
        <f>SUM(J76:J81)</f>
        <v>0</v>
      </c>
      <c r="K82" s="960">
        <f>SUM(K76:K81)</f>
        <v>0</v>
      </c>
      <c r="L82" s="777"/>
      <c r="M82" s="729"/>
      <c r="N82" s="729"/>
      <c r="O82" s="729"/>
      <c r="P82" s="729"/>
      <c r="Q82" s="729"/>
    </row>
    <row r="83" spans="1:18" s="714" customFormat="1" ht="24" customHeight="1">
      <c r="A83" s="961" t="s">
        <v>1279</v>
      </c>
      <c r="B83" s="782" t="s">
        <v>1267</v>
      </c>
      <c r="C83" s="784"/>
      <c r="D83" s="784"/>
      <c r="E83" s="785"/>
      <c r="F83" s="786"/>
      <c r="G83" s="787"/>
      <c r="H83" s="788"/>
      <c r="I83" s="789"/>
      <c r="J83" s="788"/>
      <c r="K83" s="789"/>
      <c r="L83" s="962"/>
      <c r="M83" s="729"/>
      <c r="N83" s="729"/>
      <c r="O83" s="729"/>
      <c r="P83" s="729"/>
      <c r="Q83" s="729"/>
      <c r="R83" s="729"/>
    </row>
    <row r="84" spans="1:18" s="714" customFormat="1" ht="24" customHeight="1">
      <c r="A84" s="911" t="s">
        <v>965</v>
      </c>
      <c r="B84" s="1043" t="s">
        <v>1389</v>
      </c>
      <c r="C84" s="859"/>
      <c r="D84" s="859"/>
      <c r="E84" s="851"/>
      <c r="F84" s="852"/>
      <c r="G84" s="853"/>
      <c r="H84" s="854"/>
      <c r="I84" s="855"/>
      <c r="J84" s="854"/>
      <c r="K84" s="855"/>
      <c r="L84" s="1044"/>
      <c r="M84" s="729"/>
      <c r="N84" s="729"/>
      <c r="O84" s="729"/>
      <c r="P84" s="729"/>
      <c r="Q84" s="729"/>
    </row>
    <row r="85" spans="1:18" s="714" customFormat="1" ht="24" customHeight="1">
      <c r="A85" s="911"/>
      <c r="B85" s="800" t="s">
        <v>1445</v>
      </c>
      <c r="C85" s="859"/>
      <c r="D85" s="859"/>
      <c r="E85" s="851">
        <v>1</v>
      </c>
      <c r="F85" s="803" t="s">
        <v>240</v>
      </c>
      <c r="G85" s="858">
        <v>5800</v>
      </c>
      <c r="H85" s="796">
        <v>5800</v>
      </c>
      <c r="I85" s="797">
        <v>1500</v>
      </c>
      <c r="J85" s="796">
        <v>1500</v>
      </c>
      <c r="K85" s="906">
        <f t="shared" ref="K85:K135" si="7">H85+J85</f>
        <v>7300</v>
      </c>
      <c r="L85" s="1044"/>
      <c r="M85" s="729"/>
      <c r="N85" s="729"/>
      <c r="O85" s="729"/>
      <c r="P85" s="729"/>
      <c r="Q85" s="729"/>
    </row>
    <row r="86" spans="1:18" s="714" customFormat="1" ht="24" customHeight="1">
      <c r="A86" s="911"/>
      <c r="B86" s="800" t="s">
        <v>1271</v>
      </c>
      <c r="C86" s="801"/>
      <c r="D86" s="801"/>
      <c r="E86" s="802">
        <v>14</v>
      </c>
      <c r="F86" s="803" t="s">
        <v>240</v>
      </c>
      <c r="G86" s="858">
        <v>138</v>
      </c>
      <c r="H86" s="864">
        <f t="shared" ref="H86:H92" si="8">ROUND(E86*G86,)</f>
        <v>1932</v>
      </c>
      <c r="I86" s="865"/>
      <c r="J86" s="864"/>
      <c r="K86" s="906">
        <f t="shared" si="7"/>
        <v>1932</v>
      </c>
      <c r="L86" s="964"/>
      <c r="M86" s="729"/>
      <c r="N86" s="729"/>
      <c r="O86" s="729"/>
      <c r="P86" s="729"/>
      <c r="Q86" s="729"/>
    </row>
    <row r="87" spans="1:18" s="714" customFormat="1" ht="24" customHeight="1">
      <c r="A87" s="868"/>
      <c r="B87" s="800" t="s">
        <v>1391</v>
      </c>
      <c r="C87" s="801"/>
      <c r="D87" s="801"/>
      <c r="E87" s="802">
        <v>1</v>
      </c>
      <c r="F87" s="803" t="s">
        <v>240</v>
      </c>
      <c r="G87" s="858">
        <v>138</v>
      </c>
      <c r="H87" s="864">
        <f t="shared" si="8"/>
        <v>138</v>
      </c>
      <c r="I87" s="865"/>
      <c r="J87" s="864"/>
      <c r="K87" s="906">
        <f t="shared" si="7"/>
        <v>138</v>
      </c>
      <c r="L87" s="964"/>
      <c r="M87" s="729"/>
      <c r="N87" s="729"/>
      <c r="O87" s="729"/>
      <c r="P87" s="729"/>
      <c r="Q87" s="729"/>
    </row>
    <row r="88" spans="1:18" s="884" customFormat="1" ht="24" customHeight="1">
      <c r="A88" s="1028"/>
      <c r="B88" s="800" t="s">
        <v>1392</v>
      </c>
      <c r="C88" s="801"/>
      <c r="D88" s="801"/>
      <c r="E88" s="802">
        <v>2</v>
      </c>
      <c r="F88" s="803" t="s">
        <v>240</v>
      </c>
      <c r="G88" s="858">
        <v>680</v>
      </c>
      <c r="H88" s="864">
        <f t="shared" si="8"/>
        <v>1360</v>
      </c>
      <c r="I88" s="865"/>
      <c r="J88" s="864"/>
      <c r="K88" s="906">
        <f t="shared" si="7"/>
        <v>1360</v>
      </c>
      <c r="L88" s="887"/>
      <c r="M88" s="1027"/>
      <c r="N88" s="1027"/>
      <c r="O88" s="1027"/>
      <c r="P88" s="1027"/>
    </row>
    <row r="89" spans="1:18" s="884" customFormat="1" ht="24" customHeight="1">
      <c r="A89" s="1045"/>
      <c r="B89" s="800" t="s">
        <v>1446</v>
      </c>
      <c r="C89" s="859"/>
      <c r="D89" s="859"/>
      <c r="E89" s="851">
        <v>1</v>
      </c>
      <c r="F89" s="803" t="s">
        <v>240</v>
      </c>
      <c r="G89" s="858">
        <v>7000</v>
      </c>
      <c r="H89" s="864">
        <f t="shared" si="8"/>
        <v>7000</v>
      </c>
      <c r="I89" s="855">
        <v>1500</v>
      </c>
      <c r="J89" s="864">
        <f>ROUND(E89*I89,)</f>
        <v>1500</v>
      </c>
      <c r="K89" s="906">
        <f t="shared" si="7"/>
        <v>8500</v>
      </c>
      <c r="L89" s="1046"/>
      <c r="M89" s="1027"/>
      <c r="N89" s="1027"/>
      <c r="O89" s="1027"/>
      <c r="P89" s="1027"/>
      <c r="Q89" s="1027"/>
    </row>
    <row r="90" spans="1:18" s="884" customFormat="1" ht="24" customHeight="1">
      <c r="A90" s="1045"/>
      <c r="B90" s="800" t="s">
        <v>1271</v>
      </c>
      <c r="C90" s="801"/>
      <c r="D90" s="801"/>
      <c r="E90" s="802">
        <v>17</v>
      </c>
      <c r="F90" s="803" t="s">
        <v>240</v>
      </c>
      <c r="G90" s="858">
        <v>138</v>
      </c>
      <c r="H90" s="864">
        <f t="shared" si="8"/>
        <v>2346</v>
      </c>
      <c r="I90" s="865"/>
      <c r="J90" s="864"/>
      <c r="K90" s="906">
        <f t="shared" si="7"/>
        <v>2346</v>
      </c>
      <c r="L90" s="887"/>
      <c r="M90" s="1027"/>
      <c r="N90" s="1027"/>
      <c r="O90" s="1027"/>
      <c r="P90" s="1027"/>
      <c r="Q90" s="1027"/>
    </row>
    <row r="91" spans="1:18" s="714" customFormat="1" ht="24" customHeight="1">
      <c r="A91" s="868"/>
      <c r="B91" s="800" t="s">
        <v>1391</v>
      </c>
      <c r="C91" s="801"/>
      <c r="D91" s="801"/>
      <c r="E91" s="802">
        <v>1</v>
      </c>
      <c r="F91" s="803" t="s">
        <v>240</v>
      </c>
      <c r="G91" s="858">
        <v>138</v>
      </c>
      <c r="H91" s="864">
        <f t="shared" si="8"/>
        <v>138</v>
      </c>
      <c r="I91" s="865"/>
      <c r="J91" s="864"/>
      <c r="K91" s="906">
        <f t="shared" si="7"/>
        <v>138</v>
      </c>
      <c r="L91" s="964"/>
      <c r="M91" s="729"/>
      <c r="N91" s="729"/>
      <c r="O91" s="729"/>
      <c r="P91" s="729"/>
      <c r="Q91" s="729"/>
    </row>
    <row r="92" spans="1:18" s="884" customFormat="1" ht="24" customHeight="1">
      <c r="A92" s="1028"/>
      <c r="B92" s="800" t="s">
        <v>1392</v>
      </c>
      <c r="C92" s="801"/>
      <c r="D92" s="801"/>
      <c r="E92" s="802">
        <v>3</v>
      </c>
      <c r="F92" s="803" t="s">
        <v>240</v>
      </c>
      <c r="G92" s="858">
        <v>680</v>
      </c>
      <c r="H92" s="864">
        <f t="shared" si="8"/>
        <v>2040</v>
      </c>
      <c r="I92" s="865"/>
      <c r="J92" s="864"/>
      <c r="K92" s="906">
        <f t="shared" si="7"/>
        <v>2040</v>
      </c>
      <c r="L92" s="887"/>
      <c r="M92" s="1027"/>
      <c r="N92" s="1027"/>
      <c r="O92" s="1027"/>
      <c r="P92" s="1027"/>
    </row>
    <row r="93" spans="1:18" s="714" customFormat="1" ht="24" customHeight="1">
      <c r="A93" s="868" t="s">
        <v>969</v>
      </c>
      <c r="B93" s="1047" t="s">
        <v>1447</v>
      </c>
      <c r="C93" s="1048"/>
      <c r="D93" s="1048"/>
      <c r="E93" s="1049"/>
      <c r="F93" s="1050"/>
      <c r="G93" s="858"/>
      <c r="H93" s="864"/>
      <c r="I93" s="865"/>
      <c r="J93" s="864"/>
      <c r="K93" s="906">
        <f t="shared" si="7"/>
        <v>0</v>
      </c>
      <c r="L93" s="964"/>
      <c r="M93" s="729"/>
      <c r="N93" s="729"/>
      <c r="O93" s="729"/>
      <c r="P93" s="729"/>
      <c r="Q93" s="729"/>
      <c r="R93" s="729"/>
    </row>
    <row r="94" spans="1:18" s="714" customFormat="1" ht="24" customHeight="1">
      <c r="A94" s="911"/>
      <c r="B94" s="800" t="s">
        <v>1448</v>
      </c>
      <c r="C94" s="859"/>
      <c r="D94" s="859"/>
      <c r="E94" s="851">
        <v>1</v>
      </c>
      <c r="F94" s="803" t="s">
        <v>240</v>
      </c>
      <c r="G94" s="853">
        <v>5500</v>
      </c>
      <c r="H94" s="864">
        <f>ROUND(E94*G94,)</f>
        <v>5500</v>
      </c>
      <c r="I94" s="855">
        <v>1000</v>
      </c>
      <c r="J94" s="864">
        <f>ROUND(E94*I94,)</f>
        <v>1000</v>
      </c>
      <c r="K94" s="906">
        <f t="shared" si="7"/>
        <v>6500</v>
      </c>
      <c r="L94" s="1044"/>
      <c r="M94" s="729"/>
      <c r="N94" s="729"/>
      <c r="O94" s="729"/>
      <c r="P94" s="729"/>
      <c r="Q94" s="729"/>
    </row>
    <row r="95" spans="1:18" s="714" customFormat="1" ht="24" customHeight="1">
      <c r="A95" s="868"/>
      <c r="B95" s="800" t="s">
        <v>1396</v>
      </c>
      <c r="C95" s="801"/>
      <c r="D95" s="801"/>
      <c r="E95" s="802">
        <v>1</v>
      </c>
      <c r="F95" s="803" t="s">
        <v>240</v>
      </c>
      <c r="G95" s="858">
        <v>2400</v>
      </c>
      <c r="H95" s="864">
        <f t="shared" ref="H95" si="9">ROUND(E95*G95,)</f>
        <v>2400</v>
      </c>
      <c r="I95" s="865"/>
      <c r="J95" s="864"/>
      <c r="K95" s="906">
        <f t="shared" si="7"/>
        <v>2400</v>
      </c>
      <c r="L95" s="964"/>
      <c r="M95" s="729"/>
      <c r="N95" s="729"/>
      <c r="O95" s="729"/>
      <c r="P95" s="729"/>
      <c r="Q95" s="729"/>
    </row>
    <row r="96" spans="1:18" s="714" customFormat="1" ht="24" customHeight="1">
      <c r="A96" s="911"/>
      <c r="B96" s="800" t="s">
        <v>1271</v>
      </c>
      <c r="C96" s="801"/>
      <c r="D96" s="801"/>
      <c r="E96" s="802">
        <v>9</v>
      </c>
      <c r="F96" s="803" t="s">
        <v>240</v>
      </c>
      <c r="G96" s="858">
        <v>138</v>
      </c>
      <c r="H96" s="864">
        <f>ROUND(E96*G96,)</f>
        <v>1242</v>
      </c>
      <c r="I96" s="865"/>
      <c r="J96" s="864"/>
      <c r="K96" s="906">
        <f t="shared" si="7"/>
        <v>1242</v>
      </c>
      <c r="L96" s="964"/>
      <c r="M96" s="729"/>
      <c r="N96" s="729"/>
      <c r="O96" s="729"/>
      <c r="P96" s="729"/>
      <c r="Q96" s="729"/>
    </row>
    <row r="97" spans="1:17" s="714" customFormat="1" ht="24" customHeight="1">
      <c r="A97" s="861"/>
      <c r="B97" s="800" t="s">
        <v>1397</v>
      </c>
      <c r="C97" s="801"/>
      <c r="D97" s="801"/>
      <c r="E97" s="802">
        <v>1</v>
      </c>
      <c r="F97" s="803" t="s">
        <v>240</v>
      </c>
      <c r="G97" s="858">
        <v>680</v>
      </c>
      <c r="H97" s="864">
        <f>ROUND(E97*G97,)</f>
        <v>680</v>
      </c>
      <c r="I97" s="865"/>
      <c r="J97" s="864"/>
      <c r="K97" s="906">
        <f t="shared" si="7"/>
        <v>680</v>
      </c>
      <c r="L97" s="964"/>
      <c r="M97" s="729"/>
      <c r="N97" s="729"/>
      <c r="O97" s="729"/>
      <c r="P97" s="729"/>
    </row>
    <row r="98" spans="1:17" s="714" customFormat="1" ht="24" customHeight="1">
      <c r="A98" s="911"/>
      <c r="B98" s="800" t="s">
        <v>1449</v>
      </c>
      <c r="C98" s="859"/>
      <c r="D98" s="859"/>
      <c r="E98" s="851">
        <v>1</v>
      </c>
      <c r="F98" s="803" t="s">
        <v>240</v>
      </c>
      <c r="G98" s="853">
        <v>5500</v>
      </c>
      <c r="H98" s="864">
        <f>ROUND(E98*G98,)</f>
        <v>5500</v>
      </c>
      <c r="I98" s="855">
        <v>1000</v>
      </c>
      <c r="J98" s="864">
        <f>ROUND(E98*I98,)</f>
        <v>1000</v>
      </c>
      <c r="K98" s="906">
        <f t="shared" si="7"/>
        <v>6500</v>
      </c>
      <c r="L98" s="1044"/>
      <c r="M98" s="729"/>
      <c r="N98" s="729"/>
      <c r="O98" s="729"/>
      <c r="P98" s="729"/>
      <c r="Q98" s="729"/>
    </row>
    <row r="99" spans="1:17" s="714" customFormat="1" ht="24" customHeight="1">
      <c r="A99" s="868"/>
      <c r="B99" s="800" t="s">
        <v>1396</v>
      </c>
      <c r="C99" s="801"/>
      <c r="D99" s="801"/>
      <c r="E99" s="802">
        <v>1</v>
      </c>
      <c r="F99" s="803" t="s">
        <v>240</v>
      </c>
      <c r="G99" s="858">
        <v>2400</v>
      </c>
      <c r="H99" s="864">
        <f t="shared" ref="H99" si="10">ROUND(E99*G99,)</f>
        <v>2400</v>
      </c>
      <c r="I99" s="865"/>
      <c r="J99" s="864"/>
      <c r="K99" s="906">
        <f t="shared" si="7"/>
        <v>2400</v>
      </c>
      <c r="L99" s="964"/>
      <c r="M99" s="729"/>
      <c r="N99" s="729"/>
      <c r="O99" s="729"/>
      <c r="P99" s="729"/>
      <c r="Q99" s="729"/>
    </row>
    <row r="100" spans="1:17" s="714" customFormat="1" ht="24" customHeight="1">
      <c r="A100" s="911"/>
      <c r="B100" s="800" t="s">
        <v>1271</v>
      </c>
      <c r="C100" s="801"/>
      <c r="D100" s="801"/>
      <c r="E100" s="802">
        <v>9</v>
      </c>
      <c r="F100" s="803" t="s">
        <v>240</v>
      </c>
      <c r="G100" s="858">
        <v>138</v>
      </c>
      <c r="H100" s="864">
        <f>ROUND(E100*G100,)</f>
        <v>1242</v>
      </c>
      <c r="I100" s="865"/>
      <c r="J100" s="864"/>
      <c r="K100" s="906">
        <f t="shared" si="7"/>
        <v>1242</v>
      </c>
      <c r="L100" s="964"/>
      <c r="M100" s="729"/>
      <c r="N100" s="729"/>
      <c r="O100" s="729"/>
      <c r="P100" s="729"/>
      <c r="Q100" s="729"/>
    </row>
    <row r="101" spans="1:17" s="714" customFormat="1" ht="24" customHeight="1">
      <c r="A101" s="861"/>
      <c r="B101" s="800" t="s">
        <v>1397</v>
      </c>
      <c r="C101" s="801"/>
      <c r="D101" s="801"/>
      <c r="E101" s="802">
        <v>1</v>
      </c>
      <c r="F101" s="803" t="s">
        <v>240</v>
      </c>
      <c r="G101" s="858">
        <v>680</v>
      </c>
      <c r="H101" s="864">
        <f>ROUND(E101*G101,)</f>
        <v>680</v>
      </c>
      <c r="I101" s="865"/>
      <c r="J101" s="864"/>
      <c r="K101" s="906">
        <f t="shared" si="7"/>
        <v>680</v>
      </c>
      <c r="L101" s="964"/>
      <c r="M101" s="729"/>
      <c r="N101" s="729"/>
      <c r="O101" s="729"/>
      <c r="P101" s="729"/>
    </row>
    <row r="102" spans="1:17" s="714" customFormat="1" ht="24" customHeight="1">
      <c r="A102" s="911"/>
      <c r="B102" s="800" t="s">
        <v>1450</v>
      </c>
      <c r="C102" s="859"/>
      <c r="D102" s="859"/>
      <c r="E102" s="851">
        <v>1</v>
      </c>
      <c r="F102" s="803" t="s">
        <v>240</v>
      </c>
      <c r="G102" s="853">
        <v>5500</v>
      </c>
      <c r="H102" s="864">
        <f>ROUND(E102*G102,)</f>
        <v>5500</v>
      </c>
      <c r="I102" s="855">
        <v>1000</v>
      </c>
      <c r="J102" s="864">
        <f>ROUND(E102*I102,)</f>
        <v>1000</v>
      </c>
      <c r="K102" s="906">
        <f t="shared" si="7"/>
        <v>6500</v>
      </c>
      <c r="L102" s="1044"/>
      <c r="M102" s="729"/>
      <c r="N102" s="729"/>
      <c r="O102" s="729"/>
      <c r="P102" s="729"/>
      <c r="Q102" s="729"/>
    </row>
    <row r="103" spans="1:17" s="714" customFormat="1" ht="24" customHeight="1">
      <c r="A103" s="868"/>
      <c r="B103" s="800" t="s">
        <v>1396</v>
      </c>
      <c r="C103" s="801"/>
      <c r="D103" s="801"/>
      <c r="E103" s="802">
        <v>1</v>
      </c>
      <c r="F103" s="803" t="s">
        <v>240</v>
      </c>
      <c r="G103" s="858">
        <v>2400</v>
      </c>
      <c r="H103" s="864">
        <f t="shared" ref="H103" si="11">ROUND(E103*G103,)</f>
        <v>2400</v>
      </c>
      <c r="I103" s="865"/>
      <c r="J103" s="864"/>
      <c r="K103" s="865">
        <f t="shared" si="7"/>
        <v>2400</v>
      </c>
      <c r="L103" s="964"/>
      <c r="M103" s="729"/>
      <c r="N103" s="729"/>
      <c r="O103" s="729"/>
      <c r="P103" s="729"/>
      <c r="Q103" s="729"/>
    </row>
    <row r="104" spans="1:17" s="714" customFormat="1" ht="24" customHeight="1">
      <c r="A104" s="1025"/>
      <c r="B104" s="800" t="s">
        <v>1271</v>
      </c>
      <c r="C104" s="801"/>
      <c r="D104" s="801"/>
      <c r="E104" s="802">
        <v>9</v>
      </c>
      <c r="F104" s="803" t="s">
        <v>240</v>
      </c>
      <c r="G104" s="858">
        <v>138</v>
      </c>
      <c r="H104" s="864">
        <f>ROUND(E104*G104,)</f>
        <v>1242</v>
      </c>
      <c r="I104" s="865"/>
      <c r="J104" s="864"/>
      <c r="K104" s="865">
        <f t="shared" si="7"/>
        <v>1242</v>
      </c>
      <c r="L104" s="964"/>
      <c r="M104" s="729"/>
      <c r="N104" s="729"/>
      <c r="O104" s="729"/>
      <c r="P104" s="729"/>
      <c r="Q104" s="729"/>
    </row>
    <row r="105" spans="1:17" s="714" customFormat="1" ht="24" customHeight="1">
      <c r="A105" s="861"/>
      <c r="B105" s="800" t="s">
        <v>1397</v>
      </c>
      <c r="C105" s="801"/>
      <c r="D105" s="801"/>
      <c r="E105" s="802">
        <v>1</v>
      </c>
      <c r="F105" s="803" t="s">
        <v>240</v>
      </c>
      <c r="G105" s="858">
        <v>680</v>
      </c>
      <c r="H105" s="864">
        <f>ROUND(E105*G105,)</f>
        <v>680</v>
      </c>
      <c r="I105" s="865"/>
      <c r="J105" s="864"/>
      <c r="K105" s="865">
        <f t="shared" si="7"/>
        <v>680</v>
      </c>
      <c r="L105" s="964"/>
      <c r="M105" s="729"/>
      <c r="N105" s="729"/>
      <c r="O105" s="729"/>
      <c r="P105" s="729"/>
    </row>
    <row r="106" spans="1:17" s="714" customFormat="1" ht="24" customHeight="1">
      <c r="A106" s="861"/>
      <c r="B106" s="800"/>
      <c r="C106" s="801"/>
      <c r="D106" s="801"/>
      <c r="E106" s="802"/>
      <c r="F106" s="803"/>
      <c r="G106" s="858"/>
      <c r="H106" s="864"/>
      <c r="I106" s="865"/>
      <c r="J106" s="864"/>
      <c r="K106" s="865"/>
      <c r="L106" s="964"/>
      <c r="M106" s="729"/>
      <c r="N106" s="729"/>
      <c r="O106" s="729"/>
      <c r="P106" s="729"/>
    </row>
    <row r="107" spans="1:17" s="714" customFormat="1" ht="24" customHeight="1">
      <c r="A107" s="1025"/>
      <c r="B107" s="800" t="s">
        <v>1451</v>
      </c>
      <c r="C107" s="792"/>
      <c r="D107" s="792"/>
      <c r="E107" s="793">
        <v>1</v>
      </c>
      <c r="F107" s="803" t="s">
        <v>240</v>
      </c>
      <c r="G107" s="795">
        <v>5500</v>
      </c>
      <c r="H107" s="864">
        <f>ROUND(E107*G107,)</f>
        <v>5500</v>
      </c>
      <c r="I107" s="797">
        <v>1000</v>
      </c>
      <c r="J107" s="864">
        <f>ROUND(E107*I107,)</f>
        <v>1000</v>
      </c>
      <c r="K107" s="865">
        <f t="shared" si="7"/>
        <v>6500</v>
      </c>
      <c r="L107" s="964"/>
      <c r="M107" s="729"/>
      <c r="N107" s="729"/>
      <c r="O107" s="729"/>
      <c r="P107" s="729"/>
      <c r="Q107" s="729"/>
    </row>
    <row r="108" spans="1:17" s="714" customFormat="1" ht="24" customHeight="1">
      <c r="A108" s="868"/>
      <c r="B108" s="800" t="s">
        <v>1396</v>
      </c>
      <c r="C108" s="801"/>
      <c r="D108" s="801"/>
      <c r="E108" s="802">
        <v>1</v>
      </c>
      <c r="F108" s="803" t="s">
        <v>240</v>
      </c>
      <c r="G108" s="858">
        <v>2400</v>
      </c>
      <c r="H108" s="864">
        <f t="shared" ref="H108" si="12">ROUND(E108*G108,)</f>
        <v>2400</v>
      </c>
      <c r="I108" s="865"/>
      <c r="J108" s="864"/>
      <c r="K108" s="865">
        <f t="shared" si="7"/>
        <v>2400</v>
      </c>
      <c r="L108" s="964"/>
      <c r="M108" s="729"/>
      <c r="N108" s="729"/>
      <c r="O108" s="729"/>
      <c r="P108" s="729"/>
      <c r="Q108" s="729"/>
    </row>
    <row r="109" spans="1:17" s="714" customFormat="1" ht="24" customHeight="1">
      <c r="A109" s="1025"/>
      <c r="B109" s="800" t="s">
        <v>1271</v>
      </c>
      <c r="C109" s="801"/>
      <c r="D109" s="801"/>
      <c r="E109" s="802">
        <v>9</v>
      </c>
      <c r="F109" s="803" t="s">
        <v>240</v>
      </c>
      <c r="G109" s="858">
        <v>138</v>
      </c>
      <c r="H109" s="864">
        <f>ROUND(E109*G109,)</f>
        <v>1242</v>
      </c>
      <c r="I109" s="865"/>
      <c r="J109" s="864"/>
      <c r="K109" s="865">
        <f t="shared" si="7"/>
        <v>1242</v>
      </c>
      <c r="L109" s="964"/>
      <c r="M109" s="729"/>
      <c r="N109" s="729"/>
      <c r="O109" s="729"/>
      <c r="P109" s="729"/>
      <c r="Q109" s="729"/>
    </row>
    <row r="110" spans="1:17" s="714" customFormat="1" ht="24" customHeight="1">
      <c r="A110" s="861"/>
      <c r="B110" s="800" t="s">
        <v>1397</v>
      </c>
      <c r="C110" s="801"/>
      <c r="D110" s="801"/>
      <c r="E110" s="802">
        <v>1</v>
      </c>
      <c r="F110" s="803" t="s">
        <v>240</v>
      </c>
      <c r="G110" s="858">
        <v>680</v>
      </c>
      <c r="H110" s="864">
        <f>ROUND(E110*G110,)</f>
        <v>680</v>
      </c>
      <c r="I110" s="865"/>
      <c r="J110" s="864"/>
      <c r="K110" s="865">
        <f t="shared" si="7"/>
        <v>680</v>
      </c>
      <c r="L110" s="964"/>
      <c r="M110" s="729"/>
      <c r="N110" s="729"/>
      <c r="O110" s="729"/>
      <c r="P110" s="729"/>
    </row>
    <row r="111" spans="1:17" s="884" customFormat="1" ht="24" customHeight="1">
      <c r="A111" s="1026"/>
      <c r="B111" s="800" t="s">
        <v>1452</v>
      </c>
      <c r="C111" s="792"/>
      <c r="D111" s="792"/>
      <c r="E111" s="793">
        <v>1</v>
      </c>
      <c r="F111" s="803" t="s">
        <v>240</v>
      </c>
      <c r="G111" s="795">
        <v>5500</v>
      </c>
      <c r="H111" s="864">
        <f>ROUND(E111*G111,)</f>
        <v>5500</v>
      </c>
      <c r="I111" s="797">
        <v>1000</v>
      </c>
      <c r="J111" s="864">
        <f>ROUND(E111*I111,)</f>
        <v>1000</v>
      </c>
      <c r="K111" s="865">
        <f t="shared" si="7"/>
        <v>6500</v>
      </c>
      <c r="L111" s="887"/>
      <c r="M111" s="1027"/>
      <c r="N111" s="1027"/>
      <c r="O111" s="1027"/>
      <c r="P111" s="1027"/>
      <c r="Q111" s="1027"/>
    </row>
    <row r="112" spans="1:17" s="714" customFormat="1" ht="24" customHeight="1">
      <c r="A112" s="868"/>
      <c r="B112" s="800" t="s">
        <v>1396</v>
      </c>
      <c r="C112" s="801"/>
      <c r="D112" s="801"/>
      <c r="E112" s="802">
        <v>1</v>
      </c>
      <c r="F112" s="803" t="s">
        <v>240</v>
      </c>
      <c r="G112" s="858">
        <v>2400</v>
      </c>
      <c r="H112" s="864">
        <f t="shared" ref="H112" si="13">ROUND(E112*G112,)</f>
        <v>2400</v>
      </c>
      <c r="I112" s="865"/>
      <c r="J112" s="864"/>
      <c r="K112" s="865">
        <f t="shared" si="7"/>
        <v>2400</v>
      </c>
      <c r="L112" s="964"/>
      <c r="M112" s="729"/>
      <c r="N112" s="729"/>
      <c r="O112" s="729"/>
      <c r="P112" s="729"/>
      <c r="Q112" s="729"/>
    </row>
    <row r="113" spans="1:17" s="884" customFormat="1" ht="24" customHeight="1">
      <c r="A113" s="1026"/>
      <c r="B113" s="800" t="s">
        <v>1271</v>
      </c>
      <c r="C113" s="801"/>
      <c r="D113" s="801"/>
      <c r="E113" s="802">
        <v>9</v>
      </c>
      <c r="F113" s="803" t="s">
        <v>240</v>
      </c>
      <c r="G113" s="858">
        <v>138</v>
      </c>
      <c r="H113" s="864">
        <f>ROUND(E113*G113,)</f>
        <v>1242</v>
      </c>
      <c r="I113" s="865"/>
      <c r="J113" s="864"/>
      <c r="K113" s="865">
        <f t="shared" si="7"/>
        <v>1242</v>
      </c>
      <c r="L113" s="887"/>
      <c r="M113" s="1027"/>
      <c r="N113" s="1027"/>
      <c r="O113" s="1027"/>
      <c r="P113" s="1027"/>
      <c r="Q113" s="1027"/>
    </row>
    <row r="114" spans="1:17" s="884" customFormat="1" ht="24" customHeight="1">
      <c r="A114" s="1028"/>
      <c r="B114" s="800" t="s">
        <v>1397</v>
      </c>
      <c r="C114" s="801"/>
      <c r="D114" s="801"/>
      <c r="E114" s="802">
        <v>1</v>
      </c>
      <c r="F114" s="803" t="s">
        <v>240</v>
      </c>
      <c r="G114" s="858">
        <v>680</v>
      </c>
      <c r="H114" s="864">
        <f>ROUND(E114*G114,)</f>
        <v>680</v>
      </c>
      <c r="I114" s="865"/>
      <c r="J114" s="864"/>
      <c r="K114" s="865">
        <f t="shared" si="7"/>
        <v>680</v>
      </c>
      <c r="L114" s="887"/>
      <c r="M114" s="1027"/>
      <c r="N114" s="1027"/>
      <c r="O114" s="1027"/>
      <c r="P114" s="1027"/>
    </row>
    <row r="115" spans="1:17" s="884" customFormat="1" ht="24" customHeight="1">
      <c r="A115" s="1026"/>
      <c r="B115" s="800" t="s">
        <v>1453</v>
      </c>
      <c r="C115" s="792"/>
      <c r="D115" s="792"/>
      <c r="E115" s="793">
        <v>1</v>
      </c>
      <c r="F115" s="803" t="s">
        <v>240</v>
      </c>
      <c r="G115" s="795">
        <v>5500</v>
      </c>
      <c r="H115" s="864">
        <f>ROUND(E115*G115,)</f>
        <v>5500</v>
      </c>
      <c r="I115" s="797">
        <v>1000</v>
      </c>
      <c r="J115" s="864">
        <f>ROUND(E115*I115,)</f>
        <v>1000</v>
      </c>
      <c r="K115" s="865">
        <f t="shared" si="7"/>
        <v>6500</v>
      </c>
      <c r="L115" s="887"/>
      <c r="M115" s="1027"/>
      <c r="N115" s="1027"/>
      <c r="O115" s="1027"/>
      <c r="P115" s="1027"/>
      <c r="Q115" s="1027"/>
    </row>
    <row r="116" spans="1:17" s="714" customFormat="1" ht="24" customHeight="1">
      <c r="A116" s="868"/>
      <c r="B116" s="800" t="s">
        <v>1396</v>
      </c>
      <c r="C116" s="801"/>
      <c r="D116" s="801"/>
      <c r="E116" s="802">
        <v>1</v>
      </c>
      <c r="F116" s="803" t="s">
        <v>240</v>
      </c>
      <c r="G116" s="858">
        <v>2400</v>
      </c>
      <c r="H116" s="864">
        <f t="shared" ref="H116" si="14">ROUND(E116*G116,)</f>
        <v>2400</v>
      </c>
      <c r="I116" s="865"/>
      <c r="J116" s="864"/>
      <c r="K116" s="865">
        <f t="shared" si="7"/>
        <v>2400</v>
      </c>
      <c r="L116" s="964"/>
      <c r="M116" s="729"/>
      <c r="N116" s="729"/>
      <c r="O116" s="729"/>
      <c r="P116" s="729"/>
      <c r="Q116" s="729"/>
    </row>
    <row r="117" spans="1:17" s="884" customFormat="1" ht="24" customHeight="1">
      <c r="A117" s="1026"/>
      <c r="B117" s="800" t="s">
        <v>1271</v>
      </c>
      <c r="C117" s="801"/>
      <c r="D117" s="801"/>
      <c r="E117" s="802">
        <v>9</v>
      </c>
      <c r="F117" s="803" t="s">
        <v>240</v>
      </c>
      <c r="G117" s="858">
        <v>138</v>
      </c>
      <c r="H117" s="864">
        <f>ROUND(E117*G117,)</f>
        <v>1242</v>
      </c>
      <c r="I117" s="865"/>
      <c r="J117" s="864"/>
      <c r="K117" s="865">
        <f t="shared" si="7"/>
        <v>1242</v>
      </c>
      <c r="L117" s="887"/>
      <c r="M117" s="1027"/>
      <c r="N117" s="1027"/>
      <c r="O117" s="1027"/>
      <c r="P117" s="1027"/>
      <c r="Q117" s="1027"/>
    </row>
    <row r="118" spans="1:17" s="884" customFormat="1" ht="24" customHeight="1">
      <c r="A118" s="1028"/>
      <c r="B118" s="800" t="s">
        <v>1397</v>
      </c>
      <c r="C118" s="801"/>
      <c r="D118" s="801"/>
      <c r="E118" s="802">
        <v>1</v>
      </c>
      <c r="F118" s="803" t="s">
        <v>240</v>
      </c>
      <c r="G118" s="858">
        <v>680</v>
      </c>
      <c r="H118" s="864">
        <f>ROUND(E118*G118,)</f>
        <v>680</v>
      </c>
      <c r="I118" s="865"/>
      <c r="J118" s="864"/>
      <c r="K118" s="865">
        <f t="shared" si="7"/>
        <v>680</v>
      </c>
      <c r="L118" s="887"/>
      <c r="M118" s="1027"/>
      <c r="N118" s="1027"/>
      <c r="O118" s="1027"/>
      <c r="P118" s="1027"/>
    </row>
    <row r="119" spans="1:17" s="884" customFormat="1" ht="24" customHeight="1">
      <c r="A119" s="1026"/>
      <c r="B119" s="800" t="s">
        <v>1454</v>
      </c>
      <c r="C119" s="792"/>
      <c r="D119" s="792"/>
      <c r="E119" s="793">
        <v>1</v>
      </c>
      <c r="F119" s="803" t="s">
        <v>240</v>
      </c>
      <c r="G119" s="795">
        <v>5500</v>
      </c>
      <c r="H119" s="864">
        <f>ROUND(E119*G119,)</f>
        <v>5500</v>
      </c>
      <c r="I119" s="797">
        <v>1000</v>
      </c>
      <c r="J119" s="864">
        <f>ROUND(E119*I119,)</f>
        <v>1000</v>
      </c>
      <c r="K119" s="865">
        <f t="shared" si="7"/>
        <v>6500</v>
      </c>
      <c r="L119" s="887"/>
      <c r="M119" s="1027"/>
      <c r="N119" s="1027"/>
      <c r="O119" s="1027"/>
      <c r="P119" s="1027"/>
      <c r="Q119" s="1027"/>
    </row>
    <row r="120" spans="1:17" s="714" customFormat="1" ht="24" customHeight="1">
      <c r="A120" s="868"/>
      <c r="B120" s="800" t="s">
        <v>1396</v>
      </c>
      <c r="C120" s="801"/>
      <c r="D120" s="801"/>
      <c r="E120" s="802">
        <v>1</v>
      </c>
      <c r="F120" s="803" t="s">
        <v>240</v>
      </c>
      <c r="G120" s="858">
        <v>2400</v>
      </c>
      <c r="H120" s="864">
        <f t="shared" ref="H120" si="15">ROUND(E120*G120,)</f>
        <v>2400</v>
      </c>
      <c r="I120" s="865"/>
      <c r="J120" s="864"/>
      <c r="K120" s="865">
        <f t="shared" si="7"/>
        <v>2400</v>
      </c>
      <c r="L120" s="964"/>
      <c r="M120" s="729"/>
      <c r="N120" s="729"/>
      <c r="O120" s="729"/>
      <c r="P120" s="729"/>
      <c r="Q120" s="729"/>
    </row>
    <row r="121" spans="1:17" s="884" customFormat="1" ht="24" customHeight="1">
      <c r="A121" s="1026"/>
      <c r="B121" s="800" t="s">
        <v>1271</v>
      </c>
      <c r="C121" s="801"/>
      <c r="D121" s="801"/>
      <c r="E121" s="802">
        <v>9</v>
      </c>
      <c r="F121" s="803" t="s">
        <v>240</v>
      </c>
      <c r="G121" s="858">
        <v>138</v>
      </c>
      <c r="H121" s="864">
        <f>ROUND(E121*G121,)</f>
        <v>1242</v>
      </c>
      <c r="I121" s="865"/>
      <c r="J121" s="864"/>
      <c r="K121" s="865">
        <f t="shared" si="7"/>
        <v>1242</v>
      </c>
      <c r="L121" s="887"/>
      <c r="M121" s="1027"/>
      <c r="N121" s="1027"/>
      <c r="O121" s="1027"/>
      <c r="P121" s="1027"/>
      <c r="Q121" s="1027"/>
    </row>
    <row r="122" spans="1:17" s="884" customFormat="1" ht="24" customHeight="1">
      <c r="A122" s="1028"/>
      <c r="B122" s="800" t="s">
        <v>1397</v>
      </c>
      <c r="C122" s="801"/>
      <c r="D122" s="801"/>
      <c r="E122" s="802">
        <v>1</v>
      </c>
      <c r="F122" s="803" t="s">
        <v>240</v>
      </c>
      <c r="G122" s="858">
        <v>680</v>
      </c>
      <c r="H122" s="864">
        <f>ROUND(E122*G122,)</f>
        <v>680</v>
      </c>
      <c r="I122" s="865"/>
      <c r="J122" s="864"/>
      <c r="K122" s="865">
        <f t="shared" si="7"/>
        <v>680</v>
      </c>
      <c r="L122" s="887"/>
      <c r="M122" s="1027"/>
      <c r="N122" s="1027"/>
      <c r="O122" s="1027"/>
      <c r="P122" s="1027"/>
    </row>
    <row r="123" spans="1:17" s="714" customFormat="1" ht="24" customHeight="1">
      <c r="A123" s="868"/>
      <c r="B123" s="800" t="s">
        <v>1455</v>
      </c>
      <c r="C123" s="801"/>
      <c r="D123" s="801"/>
      <c r="E123" s="802">
        <v>1</v>
      </c>
      <c r="F123" s="803" t="s">
        <v>240</v>
      </c>
      <c r="G123" s="858">
        <v>6800</v>
      </c>
      <c r="H123" s="864">
        <f t="shared" ref="H123:H135" si="16">ROUND(E123*G123,)</f>
        <v>6800</v>
      </c>
      <c r="I123" s="865">
        <v>1500</v>
      </c>
      <c r="J123" s="864">
        <f t="shared" ref="J123" si="17">ROUND(E123*I123,)</f>
        <v>1500</v>
      </c>
      <c r="K123" s="865">
        <f t="shared" si="7"/>
        <v>8300</v>
      </c>
      <c r="L123" s="964"/>
      <c r="M123" s="729"/>
      <c r="N123" s="729"/>
      <c r="O123" s="729"/>
      <c r="P123" s="729"/>
      <c r="Q123" s="729"/>
    </row>
    <row r="124" spans="1:17" s="714" customFormat="1" ht="24" customHeight="1">
      <c r="A124" s="868"/>
      <c r="B124" s="800" t="s">
        <v>1270</v>
      </c>
      <c r="C124" s="801"/>
      <c r="D124" s="801"/>
      <c r="E124" s="802">
        <v>1</v>
      </c>
      <c r="F124" s="803" t="s">
        <v>240</v>
      </c>
      <c r="G124" s="858">
        <v>3000</v>
      </c>
      <c r="H124" s="864">
        <f t="shared" si="16"/>
        <v>3000</v>
      </c>
      <c r="I124" s="865"/>
      <c r="J124" s="864"/>
      <c r="K124" s="865">
        <f t="shared" si="7"/>
        <v>3000</v>
      </c>
      <c r="L124" s="964"/>
      <c r="M124" s="729"/>
      <c r="N124" s="729"/>
      <c r="O124" s="729"/>
      <c r="P124" s="729"/>
      <c r="Q124" s="729"/>
    </row>
    <row r="125" spans="1:17" s="714" customFormat="1" ht="24" customHeight="1">
      <c r="A125" s="868"/>
      <c r="B125" s="800" t="s">
        <v>1271</v>
      </c>
      <c r="C125" s="801"/>
      <c r="D125" s="801"/>
      <c r="E125" s="802">
        <v>15</v>
      </c>
      <c r="F125" s="803" t="s">
        <v>240</v>
      </c>
      <c r="G125" s="858">
        <v>138</v>
      </c>
      <c r="H125" s="864">
        <f t="shared" si="16"/>
        <v>2070</v>
      </c>
      <c r="I125" s="865"/>
      <c r="J125" s="864"/>
      <c r="K125" s="865">
        <f t="shared" si="7"/>
        <v>2070</v>
      </c>
      <c r="L125" s="964"/>
      <c r="M125" s="729"/>
      <c r="N125" s="729"/>
      <c r="O125" s="729"/>
      <c r="P125" s="729"/>
      <c r="Q125" s="729"/>
    </row>
    <row r="126" spans="1:17" s="714" customFormat="1" ht="24" customHeight="1">
      <c r="A126" s="868"/>
      <c r="B126" s="800" t="s">
        <v>1391</v>
      </c>
      <c r="C126" s="801"/>
      <c r="D126" s="801"/>
      <c r="E126" s="802">
        <v>1</v>
      </c>
      <c r="F126" s="803" t="s">
        <v>240</v>
      </c>
      <c r="G126" s="858">
        <v>138</v>
      </c>
      <c r="H126" s="864">
        <f t="shared" si="16"/>
        <v>138</v>
      </c>
      <c r="I126" s="865"/>
      <c r="J126" s="864"/>
      <c r="K126" s="865">
        <f t="shared" si="7"/>
        <v>138</v>
      </c>
      <c r="L126" s="964"/>
      <c r="M126" s="729"/>
      <c r="N126" s="729"/>
      <c r="O126" s="729"/>
      <c r="P126" s="729"/>
      <c r="Q126" s="729"/>
    </row>
    <row r="127" spans="1:17" s="714" customFormat="1" ht="24" customHeight="1">
      <c r="A127" s="861"/>
      <c r="B127" s="800" t="s">
        <v>1273</v>
      </c>
      <c r="C127" s="801"/>
      <c r="D127" s="801"/>
      <c r="E127" s="802">
        <v>2</v>
      </c>
      <c r="F127" s="803" t="s">
        <v>240</v>
      </c>
      <c r="G127" s="858">
        <v>1288</v>
      </c>
      <c r="H127" s="864">
        <f t="shared" si="16"/>
        <v>2576</v>
      </c>
      <c r="I127" s="865"/>
      <c r="J127" s="864"/>
      <c r="K127" s="865">
        <f t="shared" si="7"/>
        <v>2576</v>
      </c>
      <c r="L127" s="964"/>
      <c r="M127" s="729"/>
      <c r="N127" s="729"/>
      <c r="O127" s="729"/>
      <c r="P127" s="729"/>
    </row>
    <row r="128" spans="1:17" s="714" customFormat="1" ht="24" customHeight="1">
      <c r="A128" s="861"/>
      <c r="B128" s="800"/>
      <c r="C128" s="801"/>
      <c r="D128" s="801"/>
      <c r="E128" s="802"/>
      <c r="F128" s="803"/>
      <c r="G128" s="858"/>
      <c r="H128" s="864"/>
      <c r="I128" s="865"/>
      <c r="J128" s="864"/>
      <c r="K128" s="865"/>
      <c r="L128" s="964"/>
      <c r="M128" s="729"/>
      <c r="N128" s="729"/>
      <c r="O128" s="729"/>
      <c r="P128" s="729"/>
    </row>
    <row r="129" spans="1:18" s="714" customFormat="1" ht="24" customHeight="1">
      <c r="A129" s="861"/>
      <c r="B129" s="800"/>
      <c r="C129" s="801"/>
      <c r="D129" s="801"/>
      <c r="E129" s="802"/>
      <c r="F129" s="803"/>
      <c r="G129" s="858"/>
      <c r="H129" s="864"/>
      <c r="I129" s="865"/>
      <c r="J129" s="864"/>
      <c r="K129" s="865"/>
      <c r="L129" s="964"/>
      <c r="M129" s="729"/>
      <c r="N129" s="729"/>
      <c r="O129" s="729"/>
      <c r="P129" s="729"/>
    </row>
    <row r="130" spans="1:18" s="714" customFormat="1" ht="24" customHeight="1">
      <c r="A130" s="861"/>
      <c r="B130" s="800"/>
      <c r="C130" s="801"/>
      <c r="D130" s="801"/>
      <c r="E130" s="802"/>
      <c r="F130" s="803"/>
      <c r="G130" s="858"/>
      <c r="H130" s="864"/>
      <c r="I130" s="865"/>
      <c r="J130" s="864"/>
      <c r="K130" s="865"/>
      <c r="L130" s="964"/>
      <c r="M130" s="729"/>
      <c r="N130" s="729"/>
      <c r="O130" s="729"/>
      <c r="P130" s="729"/>
    </row>
    <row r="131" spans="1:18" s="714" customFormat="1" ht="24" customHeight="1">
      <c r="A131" s="868"/>
      <c r="B131" s="800" t="s">
        <v>1456</v>
      </c>
      <c r="C131" s="801"/>
      <c r="D131" s="801"/>
      <c r="E131" s="802">
        <v>1</v>
      </c>
      <c r="F131" s="803" t="s">
        <v>240</v>
      </c>
      <c r="G131" s="858">
        <v>6800</v>
      </c>
      <c r="H131" s="864">
        <f t="shared" si="16"/>
        <v>6800</v>
      </c>
      <c r="I131" s="865">
        <v>1500</v>
      </c>
      <c r="J131" s="864">
        <f t="shared" ref="J131" si="18">ROUND(E131*I131,)</f>
        <v>1500</v>
      </c>
      <c r="K131" s="865">
        <f t="shared" si="7"/>
        <v>8300</v>
      </c>
      <c r="L131" s="964"/>
      <c r="M131" s="729"/>
      <c r="N131" s="729"/>
      <c r="O131" s="729"/>
      <c r="P131" s="729"/>
      <c r="Q131" s="729"/>
    </row>
    <row r="132" spans="1:18" s="714" customFormat="1" ht="24" customHeight="1">
      <c r="A132" s="868"/>
      <c r="B132" s="800" t="s">
        <v>1270</v>
      </c>
      <c r="C132" s="801"/>
      <c r="D132" s="801"/>
      <c r="E132" s="802">
        <v>1</v>
      </c>
      <c r="F132" s="803" t="s">
        <v>240</v>
      </c>
      <c r="G132" s="858">
        <v>3000</v>
      </c>
      <c r="H132" s="864">
        <f t="shared" si="16"/>
        <v>3000</v>
      </c>
      <c r="I132" s="865"/>
      <c r="J132" s="864"/>
      <c r="K132" s="865">
        <f t="shared" si="7"/>
        <v>3000</v>
      </c>
      <c r="L132" s="964"/>
      <c r="M132" s="729"/>
      <c r="N132" s="729"/>
      <c r="O132" s="729"/>
      <c r="P132" s="729"/>
      <c r="Q132" s="729"/>
    </row>
    <row r="133" spans="1:18" s="714" customFormat="1" ht="24" customHeight="1">
      <c r="A133" s="868"/>
      <c r="B133" s="800" t="s">
        <v>1271</v>
      </c>
      <c r="C133" s="801"/>
      <c r="D133" s="801"/>
      <c r="E133" s="802">
        <v>15</v>
      </c>
      <c r="F133" s="803" t="s">
        <v>240</v>
      </c>
      <c r="G133" s="858">
        <v>138</v>
      </c>
      <c r="H133" s="864">
        <f t="shared" si="16"/>
        <v>2070</v>
      </c>
      <c r="I133" s="865"/>
      <c r="J133" s="864"/>
      <c r="K133" s="865">
        <f t="shared" si="7"/>
        <v>2070</v>
      </c>
      <c r="L133" s="964"/>
      <c r="M133" s="729"/>
      <c r="N133" s="729"/>
      <c r="O133" s="729"/>
      <c r="P133" s="729"/>
      <c r="Q133" s="729"/>
    </row>
    <row r="134" spans="1:18" s="714" customFormat="1" ht="24" customHeight="1">
      <c r="A134" s="868"/>
      <c r="B134" s="800" t="s">
        <v>1391</v>
      </c>
      <c r="C134" s="801"/>
      <c r="D134" s="801"/>
      <c r="E134" s="802">
        <v>1</v>
      </c>
      <c r="F134" s="803" t="s">
        <v>240</v>
      </c>
      <c r="G134" s="858">
        <v>138</v>
      </c>
      <c r="H134" s="864">
        <f t="shared" si="16"/>
        <v>138</v>
      </c>
      <c r="I134" s="865"/>
      <c r="J134" s="864"/>
      <c r="K134" s="865">
        <f t="shared" si="7"/>
        <v>138</v>
      </c>
      <c r="L134" s="964"/>
      <c r="M134" s="729"/>
      <c r="N134" s="729"/>
      <c r="O134" s="729"/>
      <c r="P134" s="729"/>
      <c r="Q134" s="729"/>
    </row>
    <row r="135" spans="1:18" s="714" customFormat="1" ht="24" customHeight="1">
      <c r="A135" s="861"/>
      <c r="B135" s="800" t="s">
        <v>1273</v>
      </c>
      <c r="C135" s="801"/>
      <c r="D135" s="801"/>
      <c r="E135" s="802">
        <v>2</v>
      </c>
      <c r="F135" s="803" t="s">
        <v>240</v>
      </c>
      <c r="G135" s="858">
        <v>1288</v>
      </c>
      <c r="H135" s="864">
        <f t="shared" si="16"/>
        <v>2576</v>
      </c>
      <c r="I135" s="865"/>
      <c r="J135" s="864"/>
      <c r="K135" s="865">
        <f t="shared" si="7"/>
        <v>2576</v>
      </c>
      <c r="L135" s="964"/>
      <c r="M135" s="729"/>
      <c r="N135" s="729"/>
      <c r="O135" s="729"/>
      <c r="P135" s="729"/>
    </row>
    <row r="136" spans="1:18" s="714" customFormat="1" ht="24" customHeight="1">
      <c r="A136" s="1051"/>
      <c r="B136" s="1052" t="s">
        <v>957</v>
      </c>
      <c r="C136" s="1053"/>
      <c r="D136" s="1053"/>
      <c r="E136" s="1054"/>
      <c r="F136" s="1055"/>
      <c r="G136" s="1056"/>
      <c r="H136" s="1057"/>
      <c r="I136" s="1058"/>
      <c r="J136" s="1057"/>
      <c r="K136" s="1058"/>
      <c r="L136" s="1059"/>
      <c r="M136" s="729"/>
      <c r="N136" s="729"/>
      <c r="O136" s="729"/>
      <c r="P136" s="729"/>
      <c r="Q136" s="729"/>
      <c r="R136" s="729"/>
    </row>
    <row r="137" spans="1:18" s="714" customFormat="1" ht="24" customHeight="1">
      <c r="A137" s="1051"/>
      <c r="B137" s="800" t="s">
        <v>958</v>
      </c>
      <c r="C137" s="1053"/>
      <c r="D137" s="1053"/>
      <c r="E137" s="1054"/>
      <c r="F137" s="1055"/>
      <c r="G137" s="1056"/>
      <c r="H137" s="1057"/>
      <c r="I137" s="1058"/>
      <c r="J137" s="1057"/>
      <c r="K137" s="1058"/>
      <c r="L137" s="1059"/>
      <c r="M137" s="729"/>
      <c r="N137" s="729"/>
      <c r="O137" s="729"/>
      <c r="P137" s="729"/>
      <c r="Q137" s="729"/>
      <c r="R137" s="729"/>
    </row>
    <row r="138" spans="1:18" s="714" customFormat="1" ht="24" customHeight="1">
      <c r="A138" s="1051"/>
      <c r="B138" s="800" t="s">
        <v>958</v>
      </c>
      <c r="C138" s="1053"/>
      <c r="D138" s="1053"/>
      <c r="E138" s="1054"/>
      <c r="F138" s="1055"/>
      <c r="G138" s="1056"/>
      <c r="H138" s="1057"/>
      <c r="I138" s="1058"/>
      <c r="J138" s="1057"/>
      <c r="K138" s="1058"/>
      <c r="L138" s="1059"/>
      <c r="M138" s="729"/>
      <c r="N138" s="729"/>
      <c r="O138" s="729"/>
      <c r="P138" s="729"/>
      <c r="Q138" s="729"/>
      <c r="R138" s="729"/>
    </row>
    <row r="139" spans="1:18" s="714" customFormat="1" ht="24" customHeight="1">
      <c r="A139" s="1060"/>
      <c r="B139" s="1061"/>
      <c r="C139" s="1062"/>
      <c r="D139" s="1062"/>
      <c r="E139" s="1063"/>
      <c r="F139" s="1064"/>
      <c r="G139" s="1065"/>
      <c r="H139" s="1066"/>
      <c r="I139" s="1067"/>
      <c r="J139" s="1066"/>
      <c r="K139" s="1067"/>
      <c r="L139" s="1068"/>
      <c r="M139" s="729"/>
      <c r="N139" s="729"/>
      <c r="O139" s="729"/>
      <c r="P139" s="729"/>
      <c r="Q139" s="729"/>
      <c r="R139" s="729"/>
    </row>
    <row r="140" spans="1:18" s="714" customFormat="1" ht="24" customHeight="1">
      <c r="A140" s="775"/>
      <c r="B140" s="2475" t="str">
        <f>"รวมราคารายการที่ "&amp;A83</f>
        <v>รวมราคารายการที่ 3.3</v>
      </c>
      <c r="C140" s="2476"/>
      <c r="D140" s="2477"/>
      <c r="E140" s="776"/>
      <c r="F140" s="777"/>
      <c r="G140" s="959"/>
      <c r="H140" s="960">
        <f>SUM(H83:H139)</f>
        <v>118676</v>
      </c>
      <c r="I140" s="959"/>
      <c r="J140" s="960">
        <f t="shared" ref="J140:K140" si="19">SUM(J83:J139)</f>
        <v>13000</v>
      </c>
      <c r="K140" s="960">
        <f t="shared" si="19"/>
        <v>131676</v>
      </c>
      <c r="L140" s="777"/>
      <c r="M140" s="729"/>
      <c r="N140" s="729"/>
      <c r="O140" s="729"/>
      <c r="P140" s="729"/>
      <c r="Q140" s="729"/>
      <c r="R140" s="729"/>
    </row>
    <row r="141" spans="1:18" s="714" customFormat="1" ht="24" customHeight="1">
      <c r="A141" s="1029">
        <v>3.4</v>
      </c>
      <c r="B141" s="816" t="s">
        <v>1159</v>
      </c>
      <c r="C141" s="770"/>
      <c r="D141" s="770"/>
      <c r="E141" s="930"/>
      <c r="F141" s="931"/>
      <c r="G141" s="932"/>
      <c r="H141" s="854">
        <f t="shared" ref="H141:H150" si="20">ROUND(E141*G141,)</f>
        <v>0</v>
      </c>
      <c r="I141" s="934"/>
      <c r="J141" s="854">
        <f t="shared" ref="J141:J150" si="21">ROUND(E141*I141,)</f>
        <v>0</v>
      </c>
      <c r="K141" s="935"/>
      <c r="L141" s="935"/>
      <c r="M141" s="729"/>
      <c r="N141" s="729"/>
      <c r="O141" s="729"/>
      <c r="P141" s="729"/>
      <c r="Q141" s="729"/>
      <c r="R141" s="729"/>
    </row>
    <row r="142" spans="1:18" s="714" customFormat="1" ht="24" customHeight="1">
      <c r="A142" s="831" t="s">
        <v>971</v>
      </c>
      <c r="B142" s="720" t="s">
        <v>1410</v>
      </c>
      <c r="C142" s="717"/>
      <c r="D142" s="717"/>
      <c r="E142" s="917"/>
      <c r="F142" s="941"/>
      <c r="G142" s="806"/>
      <c r="H142" s="796"/>
      <c r="I142" s="807"/>
      <c r="J142" s="796"/>
      <c r="K142" s="968"/>
      <c r="L142" s="919"/>
      <c r="M142" s="729"/>
      <c r="N142" s="729"/>
      <c r="O142" s="729"/>
      <c r="P142" s="729"/>
      <c r="Q142" s="729"/>
      <c r="R142" s="729"/>
    </row>
    <row r="143" spans="1:18" s="714" customFormat="1" ht="24" customHeight="1">
      <c r="A143" s="831"/>
      <c r="B143" s="720" t="s">
        <v>1277</v>
      </c>
      <c r="C143" s="717"/>
      <c r="D143" s="717"/>
      <c r="E143" s="805">
        <v>20100</v>
      </c>
      <c r="F143" s="794" t="s">
        <v>438</v>
      </c>
      <c r="G143" s="806">
        <v>9</v>
      </c>
      <c r="H143" s="796">
        <f t="shared" ref="H143:H146" si="22">ROUND(E143*G143,)</f>
        <v>180900</v>
      </c>
      <c r="I143" s="807">
        <v>7</v>
      </c>
      <c r="J143" s="796">
        <f t="shared" ref="J143:J146" si="23">ROUND(E143*I143,)</f>
        <v>140700</v>
      </c>
      <c r="K143" s="966">
        <f t="shared" ref="K143:K150" si="24">H143+J143</f>
        <v>321600</v>
      </c>
      <c r="L143" s="1718" t="s">
        <v>2974</v>
      </c>
      <c r="M143" s="729"/>
      <c r="O143" s="729"/>
      <c r="P143" s="729"/>
      <c r="Q143" s="729"/>
    </row>
    <row r="144" spans="1:18" s="714" customFormat="1" ht="24" customHeight="1">
      <c r="A144" s="831"/>
      <c r="B144" s="720" t="s">
        <v>1166</v>
      </c>
      <c r="C144" s="717"/>
      <c r="D144" s="717"/>
      <c r="E144" s="805">
        <v>21850</v>
      </c>
      <c r="F144" s="794" t="s">
        <v>438</v>
      </c>
      <c r="G144" s="806">
        <v>14</v>
      </c>
      <c r="H144" s="796">
        <f t="shared" si="22"/>
        <v>305900</v>
      </c>
      <c r="I144" s="807">
        <v>10</v>
      </c>
      <c r="J144" s="796">
        <f t="shared" si="23"/>
        <v>218500</v>
      </c>
      <c r="K144" s="1030">
        <f t="shared" si="24"/>
        <v>524400</v>
      </c>
      <c r="L144" s="1718" t="s">
        <v>2974</v>
      </c>
      <c r="M144" s="729"/>
      <c r="O144" s="729"/>
      <c r="P144" s="729"/>
      <c r="Q144" s="729"/>
    </row>
    <row r="145" spans="1:18" s="714" customFormat="1" ht="24" customHeight="1">
      <c r="A145" s="831"/>
      <c r="B145" s="720" t="s">
        <v>1167</v>
      </c>
      <c r="C145" s="792"/>
      <c r="D145" s="792"/>
      <c r="E145" s="805"/>
      <c r="F145" s="794" t="s">
        <v>438</v>
      </c>
      <c r="G145" s="806">
        <v>23</v>
      </c>
      <c r="H145" s="796">
        <f t="shared" si="22"/>
        <v>0</v>
      </c>
      <c r="I145" s="797">
        <v>12</v>
      </c>
      <c r="J145" s="796">
        <f t="shared" si="23"/>
        <v>0</v>
      </c>
      <c r="K145" s="799">
        <f t="shared" si="24"/>
        <v>0</v>
      </c>
      <c r="L145" s="1716" t="s">
        <v>2974</v>
      </c>
      <c r="O145" s="729"/>
      <c r="P145" s="729"/>
      <c r="Q145" s="729"/>
    </row>
    <row r="146" spans="1:18" s="714" customFormat="1" ht="24" customHeight="1">
      <c r="A146" s="831"/>
      <c r="B146" s="720" t="s">
        <v>1168</v>
      </c>
      <c r="C146" s="792"/>
      <c r="D146" s="792"/>
      <c r="E146" s="805">
        <v>4800</v>
      </c>
      <c r="F146" s="794" t="s">
        <v>438</v>
      </c>
      <c r="G146" s="806">
        <v>39</v>
      </c>
      <c r="H146" s="796">
        <f t="shared" si="22"/>
        <v>187200</v>
      </c>
      <c r="I146" s="797">
        <v>16</v>
      </c>
      <c r="J146" s="796">
        <f t="shared" si="23"/>
        <v>76800</v>
      </c>
      <c r="K146" s="799">
        <f t="shared" si="24"/>
        <v>264000</v>
      </c>
      <c r="L146" s="1716" t="s">
        <v>2974</v>
      </c>
      <c r="O146" s="729"/>
      <c r="P146" s="729"/>
      <c r="Q146" s="729"/>
    </row>
    <row r="147" spans="1:18" s="714" customFormat="1" ht="24" customHeight="1">
      <c r="A147" s="831" t="s">
        <v>975</v>
      </c>
      <c r="B147" s="720" t="s">
        <v>1276</v>
      </c>
      <c r="C147" s="717"/>
      <c r="D147" s="717"/>
      <c r="E147" s="917"/>
      <c r="F147" s="916"/>
      <c r="G147" s="806"/>
      <c r="H147" s="796">
        <f t="shared" si="20"/>
        <v>0</v>
      </c>
      <c r="I147" s="807"/>
      <c r="J147" s="796">
        <f t="shared" si="21"/>
        <v>0</v>
      </c>
      <c r="K147" s="1030">
        <f t="shared" si="24"/>
        <v>0</v>
      </c>
      <c r="L147" s="919"/>
      <c r="M147" s="729"/>
      <c r="N147" s="729"/>
      <c r="O147" s="729"/>
      <c r="P147" s="729"/>
      <c r="Q147" s="729"/>
      <c r="R147" s="729"/>
    </row>
    <row r="148" spans="1:18" s="714" customFormat="1" ht="24" customHeight="1">
      <c r="A148" s="831"/>
      <c r="B148" s="720" t="s">
        <v>1277</v>
      </c>
      <c r="C148" s="717"/>
      <c r="D148" s="717"/>
      <c r="E148" s="805"/>
      <c r="F148" s="794" t="s">
        <v>438</v>
      </c>
      <c r="G148" s="806">
        <v>41</v>
      </c>
      <c r="H148" s="796">
        <f t="shared" si="20"/>
        <v>0</v>
      </c>
      <c r="I148" s="807">
        <v>12</v>
      </c>
      <c r="J148" s="796">
        <f t="shared" si="21"/>
        <v>0</v>
      </c>
      <c r="K148" s="1030">
        <f t="shared" si="24"/>
        <v>0</v>
      </c>
      <c r="L148" s="919"/>
      <c r="M148" s="729"/>
      <c r="N148" s="729"/>
      <c r="O148" s="729"/>
      <c r="P148" s="729"/>
      <c r="Q148" s="729"/>
      <c r="R148" s="729"/>
    </row>
    <row r="149" spans="1:18" s="714" customFormat="1" ht="24" customHeight="1">
      <c r="A149" s="831"/>
      <c r="B149" s="720" t="s">
        <v>1166</v>
      </c>
      <c r="C149" s="717"/>
      <c r="D149" s="717"/>
      <c r="E149" s="1069"/>
      <c r="F149" s="794" t="s">
        <v>438</v>
      </c>
      <c r="G149" s="806">
        <v>53</v>
      </c>
      <c r="H149" s="796">
        <f t="shared" si="20"/>
        <v>0</v>
      </c>
      <c r="I149" s="807">
        <v>14</v>
      </c>
      <c r="J149" s="796">
        <f t="shared" si="21"/>
        <v>0</v>
      </c>
      <c r="K149" s="1030">
        <f t="shared" si="24"/>
        <v>0</v>
      </c>
      <c r="L149" s="919"/>
      <c r="M149" s="729"/>
      <c r="N149" s="729"/>
      <c r="O149" s="729"/>
      <c r="P149" s="729"/>
      <c r="Q149" s="729"/>
      <c r="R149" s="729"/>
    </row>
    <row r="150" spans="1:18" s="714" customFormat="1" ht="24" customHeight="1">
      <c r="A150" s="856"/>
      <c r="B150" s="720" t="s">
        <v>1278</v>
      </c>
      <c r="C150" s="717"/>
      <c r="D150" s="717"/>
      <c r="E150" s="805">
        <v>1</v>
      </c>
      <c r="F150" s="794" t="s">
        <v>948</v>
      </c>
      <c r="G150" s="806">
        <f>ROUND(SUM(H143:H149)*0.05,)</f>
        <v>33700</v>
      </c>
      <c r="H150" s="796">
        <f t="shared" si="20"/>
        <v>33700</v>
      </c>
      <c r="I150" s="807">
        <f>ROUND(G150*0.3,)</f>
        <v>10110</v>
      </c>
      <c r="J150" s="796">
        <f t="shared" si="21"/>
        <v>10110</v>
      </c>
      <c r="K150" s="1030">
        <f t="shared" si="24"/>
        <v>43810</v>
      </c>
      <c r="L150" s="919"/>
      <c r="M150" s="729"/>
      <c r="N150" s="729"/>
      <c r="O150" s="729"/>
      <c r="P150" s="729"/>
      <c r="Q150" s="729"/>
      <c r="R150" s="729"/>
    </row>
    <row r="151" spans="1:18" s="714" customFormat="1" ht="24" customHeight="1">
      <c r="A151" s="831"/>
      <c r="B151" s="720" t="s">
        <v>957</v>
      </c>
      <c r="C151" s="717"/>
      <c r="D151" s="717"/>
      <c r="E151" s="917"/>
      <c r="F151" s="916"/>
      <c r="G151" s="806"/>
      <c r="H151" s="918"/>
      <c r="I151" s="807"/>
      <c r="J151" s="919"/>
      <c r="K151" s="968"/>
      <c r="L151" s="919"/>
      <c r="M151" s="729"/>
      <c r="N151" s="729"/>
      <c r="O151" s="729"/>
      <c r="P151" s="729"/>
      <c r="Q151" s="729"/>
      <c r="R151" s="729"/>
    </row>
    <row r="152" spans="1:18" s="714" customFormat="1" ht="24" customHeight="1">
      <c r="A152" s="831"/>
      <c r="B152" s="720" t="s">
        <v>958</v>
      </c>
      <c r="C152" s="717"/>
      <c r="D152" s="717"/>
      <c r="E152" s="917"/>
      <c r="F152" s="916"/>
      <c r="G152" s="806"/>
      <c r="H152" s="918"/>
      <c r="I152" s="807"/>
      <c r="J152" s="919"/>
      <c r="K152" s="919"/>
      <c r="L152" s="919"/>
      <c r="M152" s="729"/>
      <c r="N152" s="729"/>
      <c r="O152" s="729"/>
      <c r="P152" s="729"/>
      <c r="Q152" s="729"/>
      <c r="R152" s="729"/>
    </row>
    <row r="153" spans="1:18" s="714" customFormat="1" ht="24" customHeight="1">
      <c r="A153" s="921"/>
      <c r="B153" s="705" t="s">
        <v>958</v>
      </c>
      <c r="C153" s="761"/>
      <c r="D153" s="761"/>
      <c r="E153" s="923"/>
      <c r="F153" s="924"/>
      <c r="G153" s="925"/>
      <c r="H153" s="926"/>
      <c r="I153" s="927"/>
      <c r="J153" s="928"/>
      <c r="K153" s="928"/>
      <c r="L153" s="928"/>
      <c r="M153" s="729"/>
      <c r="N153" s="729"/>
      <c r="O153" s="729"/>
      <c r="P153" s="729"/>
      <c r="Q153" s="729"/>
      <c r="R153" s="729"/>
    </row>
    <row r="154" spans="1:18" s="714" customFormat="1" ht="24" customHeight="1">
      <c r="A154" s="775"/>
      <c r="B154" s="2475" t="str">
        <f>"รวมราคารายการที่ "&amp;A141</f>
        <v>รวมราคารายการที่ 3.4</v>
      </c>
      <c r="C154" s="2476"/>
      <c r="D154" s="2477"/>
      <c r="E154" s="776"/>
      <c r="F154" s="777"/>
      <c r="G154" s="959"/>
      <c r="H154" s="960">
        <f>SUM(H141:H153)</f>
        <v>707700</v>
      </c>
      <c r="I154" s="959"/>
      <c r="J154" s="960">
        <f>SUM(J141:J153)</f>
        <v>446110</v>
      </c>
      <c r="K154" s="960">
        <f>SUM(K141:K153)</f>
        <v>1153810</v>
      </c>
      <c r="L154" s="777"/>
      <c r="M154" s="729"/>
      <c r="N154" s="729"/>
      <c r="O154" s="729"/>
      <c r="P154" s="729"/>
      <c r="Q154" s="729"/>
      <c r="R154" s="729"/>
    </row>
    <row r="155" spans="1:18" s="714" customFormat="1" ht="24" customHeight="1">
      <c r="A155" s="911" t="s">
        <v>1290</v>
      </c>
      <c r="B155" s="816" t="s">
        <v>1181</v>
      </c>
      <c r="C155" s="770"/>
      <c r="D155" s="770"/>
      <c r="E155" s="930"/>
      <c r="F155" s="931"/>
      <c r="G155" s="932"/>
      <c r="H155" s="933"/>
      <c r="I155" s="934"/>
      <c r="J155" s="935"/>
      <c r="K155" s="935"/>
      <c r="L155" s="935"/>
      <c r="M155" s="729"/>
      <c r="N155" s="729"/>
      <c r="O155" s="729"/>
      <c r="P155" s="729"/>
      <c r="Q155" s="729"/>
      <c r="R155" s="729"/>
    </row>
    <row r="156" spans="1:18" s="714" customFormat="1" ht="24" customHeight="1">
      <c r="A156" s="831" t="s">
        <v>993</v>
      </c>
      <c r="B156" s="720" t="s">
        <v>1280</v>
      </c>
      <c r="C156" s="717"/>
      <c r="D156" s="717"/>
      <c r="E156" s="917"/>
      <c r="F156" s="916"/>
      <c r="G156" s="806"/>
      <c r="H156" s="796">
        <f t="shared" ref="H156:H166" si="25">ROUND(E156*G156,)</f>
        <v>0</v>
      </c>
      <c r="I156" s="807"/>
      <c r="J156" s="796">
        <f t="shared" ref="J156:J166" si="26">ROUND(E156*I156,)</f>
        <v>0</v>
      </c>
      <c r="K156" s="919"/>
      <c r="L156" s="919"/>
      <c r="M156" s="729"/>
      <c r="N156" s="729"/>
      <c r="O156" s="729"/>
      <c r="P156" s="729"/>
      <c r="Q156" s="729"/>
      <c r="R156" s="729"/>
    </row>
    <row r="157" spans="1:18" s="714" customFormat="1" ht="24" customHeight="1">
      <c r="A157" s="831"/>
      <c r="B157" s="720" t="s">
        <v>1201</v>
      </c>
      <c r="C157" s="717"/>
      <c r="D157" s="717"/>
      <c r="E157" s="917">
        <v>12950</v>
      </c>
      <c r="F157" s="794" t="s">
        <v>438</v>
      </c>
      <c r="G157" s="806">
        <v>27</v>
      </c>
      <c r="H157" s="796">
        <f>ROUND(E157*G157,)</f>
        <v>349650</v>
      </c>
      <c r="I157" s="807">
        <v>22</v>
      </c>
      <c r="J157" s="796">
        <f t="shared" si="26"/>
        <v>284900</v>
      </c>
      <c r="K157" s="966">
        <f t="shared" ref="K157:K166" si="27">H157+J157</f>
        <v>634550</v>
      </c>
      <c r="L157" s="1718" t="s">
        <v>2974</v>
      </c>
      <c r="M157" s="729"/>
      <c r="O157" s="729"/>
      <c r="P157" s="729"/>
      <c r="Q157" s="729"/>
      <c r="R157" s="729"/>
    </row>
    <row r="158" spans="1:18" s="714" customFormat="1" ht="24" customHeight="1">
      <c r="A158" s="831"/>
      <c r="B158" s="705" t="s">
        <v>1184</v>
      </c>
      <c r="C158" s="717"/>
      <c r="D158" s="717"/>
      <c r="E158" s="942">
        <v>240</v>
      </c>
      <c r="F158" s="794" t="s">
        <v>438</v>
      </c>
      <c r="G158" s="806">
        <v>38</v>
      </c>
      <c r="H158" s="796">
        <f t="shared" ref="H158:H159" si="28">ROUND(E158*G158,)</f>
        <v>9120</v>
      </c>
      <c r="I158" s="807">
        <v>26</v>
      </c>
      <c r="J158" s="796">
        <f t="shared" si="26"/>
        <v>6240</v>
      </c>
      <c r="K158" s="914">
        <f>H158+J158</f>
        <v>15360</v>
      </c>
      <c r="L158" s="1718" t="s">
        <v>2974</v>
      </c>
      <c r="M158" s="729"/>
      <c r="N158" s="729"/>
      <c r="O158" s="729"/>
      <c r="P158" s="729"/>
      <c r="Q158" s="729"/>
    </row>
    <row r="159" spans="1:18" s="714" customFormat="1" ht="24" customHeight="1">
      <c r="A159" s="831"/>
      <c r="B159" s="705" t="s">
        <v>1185</v>
      </c>
      <c r="C159" s="717"/>
      <c r="D159" s="717"/>
      <c r="E159" s="942">
        <v>1200</v>
      </c>
      <c r="F159" s="794" t="s">
        <v>438</v>
      </c>
      <c r="G159" s="806">
        <v>55</v>
      </c>
      <c r="H159" s="796">
        <f t="shared" si="28"/>
        <v>66000</v>
      </c>
      <c r="I159" s="807">
        <v>28</v>
      </c>
      <c r="J159" s="796">
        <f t="shared" si="26"/>
        <v>33600</v>
      </c>
      <c r="K159" s="914">
        <f>H159+J159</f>
        <v>99600</v>
      </c>
      <c r="L159" s="1718" t="s">
        <v>2974</v>
      </c>
      <c r="M159" s="729"/>
      <c r="N159" s="729"/>
      <c r="O159" s="729"/>
      <c r="P159" s="729"/>
      <c r="Q159" s="729"/>
    </row>
    <row r="160" spans="1:18" s="714" customFormat="1" ht="24" customHeight="1">
      <c r="A160" s="831"/>
      <c r="B160" s="720" t="s">
        <v>952</v>
      </c>
      <c r="C160" s="717"/>
      <c r="D160" s="717"/>
      <c r="E160" s="917">
        <v>1</v>
      </c>
      <c r="F160" s="916" t="s">
        <v>948</v>
      </c>
      <c r="G160" s="806">
        <f>ROUND(SUM(H157:H159)*15%,0)</f>
        <v>63716</v>
      </c>
      <c r="H160" s="796">
        <f t="shared" si="25"/>
        <v>63716</v>
      </c>
      <c r="I160" s="807">
        <f>ROUND(G160*0.3,0)</f>
        <v>19115</v>
      </c>
      <c r="J160" s="796">
        <f t="shared" si="26"/>
        <v>19115</v>
      </c>
      <c r="K160" s="966">
        <f t="shared" si="27"/>
        <v>82831</v>
      </c>
      <c r="L160" s="919"/>
      <c r="M160" s="729"/>
      <c r="N160" s="729"/>
      <c r="O160" s="729"/>
      <c r="P160" s="729"/>
      <c r="Q160" s="729"/>
      <c r="R160" s="729"/>
    </row>
    <row r="161" spans="1:18" s="714" customFormat="1" ht="24" customHeight="1">
      <c r="A161" s="831" t="s">
        <v>1000</v>
      </c>
      <c r="B161" s="720" t="s">
        <v>950</v>
      </c>
      <c r="C161" s="717"/>
      <c r="D161" s="717"/>
      <c r="E161" s="917"/>
      <c r="F161" s="916"/>
      <c r="G161" s="806"/>
      <c r="H161" s="796">
        <f t="shared" si="25"/>
        <v>0</v>
      </c>
      <c r="I161" s="807"/>
      <c r="J161" s="796">
        <f t="shared" si="26"/>
        <v>0</v>
      </c>
      <c r="K161" s="966">
        <f t="shared" si="27"/>
        <v>0</v>
      </c>
      <c r="L161" s="919"/>
      <c r="M161" s="729"/>
      <c r="N161" s="729"/>
      <c r="O161" s="729"/>
      <c r="P161" s="729"/>
      <c r="Q161" s="729"/>
      <c r="R161" s="729"/>
    </row>
    <row r="162" spans="1:18" s="714" customFormat="1" ht="24" customHeight="1">
      <c r="A162" s="831"/>
      <c r="B162" s="720" t="s">
        <v>1201</v>
      </c>
      <c r="C162" s="717"/>
      <c r="D162" s="717"/>
      <c r="E162" s="917"/>
      <c r="F162" s="794" t="s">
        <v>438</v>
      </c>
      <c r="G162" s="806">
        <v>56</v>
      </c>
      <c r="H162" s="796">
        <f t="shared" si="25"/>
        <v>0</v>
      </c>
      <c r="I162" s="807">
        <v>26</v>
      </c>
      <c r="J162" s="796">
        <f t="shared" si="26"/>
        <v>0</v>
      </c>
      <c r="K162" s="966">
        <f t="shared" si="27"/>
        <v>0</v>
      </c>
      <c r="L162" s="1718" t="s">
        <v>2974</v>
      </c>
      <c r="M162" s="729"/>
      <c r="O162" s="729"/>
      <c r="P162" s="729"/>
      <c r="Q162" s="729"/>
      <c r="R162" s="729"/>
    </row>
    <row r="163" spans="1:18" s="714" customFormat="1" ht="24" customHeight="1">
      <c r="A163" s="831"/>
      <c r="B163" s="720" t="s">
        <v>1185</v>
      </c>
      <c r="C163" s="717"/>
      <c r="D163" s="717"/>
      <c r="E163" s="917"/>
      <c r="F163" s="794" t="s">
        <v>438</v>
      </c>
      <c r="G163" s="806">
        <v>101</v>
      </c>
      <c r="H163" s="796">
        <f t="shared" si="25"/>
        <v>0</v>
      </c>
      <c r="I163" s="807">
        <v>32</v>
      </c>
      <c r="J163" s="796">
        <f t="shared" si="26"/>
        <v>0</v>
      </c>
      <c r="K163" s="966">
        <f t="shared" si="27"/>
        <v>0</v>
      </c>
      <c r="L163" s="1718" t="s">
        <v>2974</v>
      </c>
      <c r="M163" s="729"/>
      <c r="N163" s="729"/>
      <c r="O163" s="729"/>
      <c r="P163" s="729"/>
      <c r="Q163" s="729"/>
      <c r="R163" s="729"/>
    </row>
    <row r="164" spans="1:18" s="714" customFormat="1" ht="24" customHeight="1">
      <c r="A164" s="831"/>
      <c r="B164" s="720" t="s">
        <v>952</v>
      </c>
      <c r="C164" s="717"/>
      <c r="D164" s="717"/>
      <c r="E164" s="917">
        <v>1</v>
      </c>
      <c r="F164" s="916" t="s">
        <v>948</v>
      </c>
      <c r="G164" s="806">
        <f>ROUND(SUM(H162:H163)*15%,)</f>
        <v>0</v>
      </c>
      <c r="H164" s="796">
        <f t="shared" si="25"/>
        <v>0</v>
      </c>
      <c r="I164" s="949">
        <f>ROUND(G164*0.3,)</f>
        <v>0</v>
      </c>
      <c r="J164" s="796">
        <f t="shared" si="26"/>
        <v>0</v>
      </c>
      <c r="K164" s="966">
        <f t="shared" si="27"/>
        <v>0</v>
      </c>
      <c r="L164" s="919"/>
      <c r="M164" s="729"/>
      <c r="N164" s="729"/>
      <c r="O164" s="729"/>
      <c r="P164" s="729"/>
      <c r="Q164" s="729"/>
      <c r="R164" s="729"/>
    </row>
    <row r="165" spans="1:18" s="714" customFormat="1" ht="24" customHeight="1">
      <c r="A165" s="831" t="s">
        <v>1006</v>
      </c>
      <c r="B165" s="720" t="s">
        <v>1281</v>
      </c>
      <c r="C165" s="717"/>
      <c r="D165" s="717"/>
      <c r="E165" s="917"/>
      <c r="F165" s="916"/>
      <c r="G165" s="806"/>
      <c r="H165" s="796">
        <f t="shared" si="25"/>
        <v>0</v>
      </c>
      <c r="I165" s="807"/>
      <c r="J165" s="796">
        <f t="shared" si="26"/>
        <v>0</v>
      </c>
      <c r="K165" s="966">
        <f t="shared" si="27"/>
        <v>0</v>
      </c>
      <c r="L165" s="919"/>
      <c r="M165" s="729"/>
      <c r="N165" s="729"/>
      <c r="O165" s="729"/>
      <c r="P165" s="729"/>
      <c r="Q165" s="729"/>
      <c r="R165" s="729"/>
    </row>
    <row r="166" spans="1:18" s="714" customFormat="1" ht="24" customHeight="1">
      <c r="A166" s="831"/>
      <c r="B166" s="720" t="s">
        <v>1201</v>
      </c>
      <c r="C166" s="717"/>
      <c r="D166" s="717"/>
      <c r="E166" s="917">
        <v>582</v>
      </c>
      <c r="F166" s="794" t="s">
        <v>438</v>
      </c>
      <c r="G166" s="806">
        <v>14</v>
      </c>
      <c r="H166" s="796">
        <f t="shared" si="25"/>
        <v>8148</v>
      </c>
      <c r="I166" s="807">
        <v>11</v>
      </c>
      <c r="J166" s="796">
        <f t="shared" si="26"/>
        <v>6402</v>
      </c>
      <c r="K166" s="1030">
        <f t="shared" si="27"/>
        <v>14550</v>
      </c>
      <c r="L166" s="919"/>
      <c r="M166" s="729"/>
      <c r="N166" s="729"/>
      <c r="O166" s="729"/>
      <c r="P166" s="729"/>
      <c r="Q166" s="729"/>
      <c r="R166" s="729"/>
    </row>
    <row r="167" spans="1:18" s="714" customFormat="1" ht="24" customHeight="1">
      <c r="A167" s="921"/>
      <c r="B167" s="705" t="s">
        <v>957</v>
      </c>
      <c r="C167" s="761"/>
      <c r="D167" s="761"/>
      <c r="E167" s="923"/>
      <c r="F167" s="924"/>
      <c r="G167" s="925"/>
      <c r="H167" s="926"/>
      <c r="I167" s="927"/>
      <c r="J167" s="928"/>
      <c r="K167" s="928"/>
      <c r="L167" s="928"/>
      <c r="M167" s="729"/>
      <c r="N167" s="729"/>
      <c r="O167" s="729"/>
      <c r="P167" s="729"/>
      <c r="Q167" s="729"/>
      <c r="R167" s="729"/>
    </row>
    <row r="168" spans="1:18" s="714" customFormat="1" ht="24" customHeight="1">
      <c r="A168" s="831"/>
      <c r="B168" s="720" t="s">
        <v>958</v>
      </c>
      <c r="C168" s="717"/>
      <c r="D168" s="717"/>
      <c r="E168" s="917"/>
      <c r="F168" s="916"/>
      <c r="G168" s="806"/>
      <c r="H168" s="918"/>
      <c r="I168" s="807"/>
      <c r="J168" s="919"/>
      <c r="K168" s="919"/>
      <c r="L168" s="919"/>
      <c r="M168" s="729"/>
      <c r="N168" s="729"/>
      <c r="O168" s="729"/>
      <c r="P168" s="729"/>
      <c r="Q168" s="729"/>
      <c r="R168" s="729"/>
    </row>
    <row r="169" spans="1:18" s="714" customFormat="1" ht="24" customHeight="1">
      <c r="A169" s="775"/>
      <c r="B169" s="2475" t="str">
        <f>"รวมราคารายการที่ "&amp;A155</f>
        <v>รวมราคารายการที่ 3.5</v>
      </c>
      <c r="C169" s="2476"/>
      <c r="D169" s="2477"/>
      <c r="E169" s="776"/>
      <c r="F169" s="777"/>
      <c r="G169" s="959"/>
      <c r="H169" s="960">
        <f>SUM(H156:H167)</f>
        <v>496634</v>
      </c>
      <c r="I169" s="959"/>
      <c r="J169" s="960">
        <f t="shared" ref="J169" si="29">SUM(J156:J167)</f>
        <v>350257</v>
      </c>
      <c r="K169" s="960">
        <f>SUM(K156:K167)</f>
        <v>846891</v>
      </c>
      <c r="L169" s="777"/>
      <c r="M169" s="729"/>
      <c r="N169" s="729"/>
      <c r="O169" s="729"/>
      <c r="P169" s="729"/>
      <c r="Q169" s="729"/>
      <c r="R169" s="729"/>
    </row>
    <row r="170" spans="1:18" s="714" customFormat="1" ht="24" customHeight="1">
      <c r="A170" s="911" t="s">
        <v>1293</v>
      </c>
      <c r="B170" s="816" t="s">
        <v>1283</v>
      </c>
      <c r="C170" s="770"/>
      <c r="D170" s="770"/>
      <c r="E170" s="930"/>
      <c r="F170" s="931"/>
      <c r="G170" s="932"/>
      <c r="H170" s="933"/>
      <c r="I170" s="934"/>
      <c r="J170" s="935"/>
      <c r="K170" s="935"/>
      <c r="L170" s="935"/>
      <c r="M170" s="729"/>
      <c r="N170" s="729"/>
      <c r="O170" s="729"/>
      <c r="P170" s="729"/>
      <c r="Q170" s="729"/>
      <c r="R170" s="729"/>
    </row>
    <row r="171" spans="1:18" s="714" customFormat="1" ht="24" customHeight="1">
      <c r="A171" s="831" t="s">
        <v>1032</v>
      </c>
      <c r="B171" s="720" t="s">
        <v>1283</v>
      </c>
      <c r="C171" s="717"/>
      <c r="D171" s="717"/>
      <c r="E171" s="917"/>
      <c r="F171" s="916"/>
      <c r="G171" s="806"/>
      <c r="H171" s="918"/>
      <c r="I171" s="807"/>
      <c r="J171" s="919"/>
      <c r="K171" s="919"/>
      <c r="L171" s="919"/>
      <c r="M171" s="729"/>
      <c r="N171" s="729"/>
      <c r="O171" s="729"/>
      <c r="P171" s="729"/>
      <c r="Q171" s="729"/>
      <c r="R171" s="729"/>
    </row>
    <row r="172" spans="1:18" s="714" customFormat="1" ht="24" customHeight="1">
      <c r="A172" s="831"/>
      <c r="B172" s="720" t="s">
        <v>1284</v>
      </c>
      <c r="C172" s="717"/>
      <c r="D172" s="717"/>
      <c r="E172" s="917">
        <v>40</v>
      </c>
      <c r="F172" s="722" t="s">
        <v>240</v>
      </c>
      <c r="G172" s="806">
        <v>90</v>
      </c>
      <c r="H172" s="796">
        <f t="shared" ref="H172:H181" si="30">ROUND(E172*G172,)</f>
        <v>3600</v>
      </c>
      <c r="I172" s="807">
        <v>80</v>
      </c>
      <c r="J172" s="796">
        <f t="shared" ref="J172:J181" si="31">ROUND(E172*I172,)</f>
        <v>3200</v>
      </c>
      <c r="K172" s="1030">
        <f t="shared" ref="K172:K181" si="32">H172+J172</f>
        <v>6800</v>
      </c>
      <c r="L172" s="919"/>
      <c r="M172" s="729"/>
      <c r="N172" s="729"/>
      <c r="O172" s="729"/>
      <c r="P172" s="729"/>
      <c r="Q172" s="729"/>
      <c r="R172" s="729"/>
    </row>
    <row r="173" spans="1:18" s="714" customFormat="1" ht="24" customHeight="1">
      <c r="A173" s="831"/>
      <c r="B173" s="705" t="s">
        <v>1418</v>
      </c>
      <c r="C173" s="717"/>
      <c r="D173" s="717"/>
      <c r="E173" s="967"/>
      <c r="F173" s="709" t="s">
        <v>240</v>
      </c>
      <c r="G173" s="806">
        <v>130</v>
      </c>
      <c r="H173" s="796">
        <f t="shared" si="30"/>
        <v>0</v>
      </c>
      <c r="I173" s="807">
        <v>90</v>
      </c>
      <c r="J173" s="796">
        <f t="shared" si="31"/>
        <v>0</v>
      </c>
      <c r="K173" s="1030">
        <f t="shared" si="32"/>
        <v>0</v>
      </c>
      <c r="L173" s="919"/>
    </row>
    <row r="174" spans="1:18" s="714" customFormat="1" ht="24" customHeight="1">
      <c r="A174" s="831"/>
      <c r="B174" s="720" t="s">
        <v>1285</v>
      </c>
      <c r="C174" s="717"/>
      <c r="D174" s="717"/>
      <c r="E174" s="917"/>
      <c r="F174" s="722" t="s">
        <v>240</v>
      </c>
      <c r="G174" s="806">
        <v>162</v>
      </c>
      <c r="H174" s="796">
        <f t="shared" si="30"/>
        <v>0</v>
      </c>
      <c r="I174" s="807">
        <v>90</v>
      </c>
      <c r="J174" s="796">
        <f t="shared" si="31"/>
        <v>0</v>
      </c>
      <c r="K174" s="1030">
        <f t="shared" si="32"/>
        <v>0</v>
      </c>
      <c r="L174" s="919"/>
      <c r="M174" s="729"/>
      <c r="N174" s="729"/>
      <c r="O174" s="729"/>
      <c r="P174" s="729"/>
      <c r="Q174" s="729"/>
      <c r="R174" s="729"/>
    </row>
    <row r="175" spans="1:18" s="714" customFormat="1" ht="24" customHeight="1">
      <c r="A175" s="831"/>
      <c r="B175" s="720" t="s">
        <v>1286</v>
      </c>
      <c r="C175" s="717"/>
      <c r="D175" s="717"/>
      <c r="E175" s="917">
        <v>55</v>
      </c>
      <c r="F175" s="722" t="s">
        <v>240</v>
      </c>
      <c r="G175" s="806">
        <v>197</v>
      </c>
      <c r="H175" s="796">
        <f t="shared" si="30"/>
        <v>10835</v>
      </c>
      <c r="I175" s="807">
        <v>90</v>
      </c>
      <c r="J175" s="796">
        <f t="shared" si="31"/>
        <v>4950</v>
      </c>
      <c r="K175" s="1030">
        <f t="shared" si="32"/>
        <v>15785</v>
      </c>
      <c r="L175" s="919"/>
      <c r="M175" s="729"/>
      <c r="N175" s="729"/>
      <c r="O175" s="729"/>
      <c r="P175" s="729"/>
      <c r="Q175" s="729"/>
      <c r="R175" s="729"/>
    </row>
    <row r="176" spans="1:18" s="714" customFormat="1" ht="24" customHeight="1">
      <c r="A176" s="831"/>
      <c r="B176" s="705" t="s">
        <v>1287</v>
      </c>
      <c r="C176" s="717"/>
      <c r="D176" s="717"/>
      <c r="E176" s="967"/>
      <c r="F176" s="709" t="s">
        <v>240</v>
      </c>
      <c r="G176" s="806">
        <v>1500</v>
      </c>
      <c r="H176" s="796">
        <f t="shared" si="30"/>
        <v>0</v>
      </c>
      <c r="I176" s="807">
        <v>265</v>
      </c>
      <c r="J176" s="796">
        <f t="shared" si="31"/>
        <v>0</v>
      </c>
      <c r="K176" s="1030">
        <f t="shared" si="32"/>
        <v>0</v>
      </c>
      <c r="L176" s="919"/>
    </row>
    <row r="177" spans="1:19" s="714" customFormat="1" ht="24" customHeight="1">
      <c r="A177" s="831"/>
      <c r="B177" s="720" t="s">
        <v>1288</v>
      </c>
      <c r="C177" s="717"/>
      <c r="D177" s="717"/>
      <c r="E177" s="917"/>
      <c r="F177" s="722" t="s">
        <v>240</v>
      </c>
      <c r="G177" s="806">
        <v>320</v>
      </c>
      <c r="H177" s="796">
        <f t="shared" si="30"/>
        <v>0</v>
      </c>
      <c r="I177" s="807">
        <v>200</v>
      </c>
      <c r="J177" s="796">
        <f t="shared" si="31"/>
        <v>0</v>
      </c>
      <c r="K177" s="1030">
        <f t="shared" si="32"/>
        <v>0</v>
      </c>
      <c r="L177" s="919"/>
      <c r="M177" s="729"/>
      <c r="N177" s="729"/>
      <c r="O177" s="729"/>
      <c r="P177" s="729"/>
      <c r="Q177" s="729"/>
    </row>
    <row r="178" spans="1:19" s="714" customFormat="1" ht="24" customHeight="1">
      <c r="A178" s="831" t="s">
        <v>1598</v>
      </c>
      <c r="B178" s="720" t="s">
        <v>1289</v>
      </c>
      <c r="C178" s="717"/>
      <c r="D178" s="717"/>
      <c r="E178" s="917">
        <v>53</v>
      </c>
      <c r="F178" s="722" t="s">
        <v>240</v>
      </c>
      <c r="G178" s="806">
        <v>130</v>
      </c>
      <c r="H178" s="796">
        <f t="shared" si="30"/>
        <v>6890</v>
      </c>
      <c r="I178" s="807">
        <v>90</v>
      </c>
      <c r="J178" s="796">
        <f t="shared" si="31"/>
        <v>4770</v>
      </c>
      <c r="K178" s="1030">
        <f t="shared" si="32"/>
        <v>11660</v>
      </c>
      <c r="L178" s="919"/>
      <c r="M178" s="729"/>
      <c r="N178" s="729"/>
      <c r="O178" s="729"/>
      <c r="P178" s="729"/>
      <c r="Q178" s="729"/>
      <c r="R178" s="729"/>
    </row>
    <row r="179" spans="1:19" s="714" customFormat="1" ht="24" customHeight="1">
      <c r="A179" s="831" t="s">
        <v>1601</v>
      </c>
      <c r="B179" s="720" t="s">
        <v>1419</v>
      </c>
      <c r="C179" s="717"/>
      <c r="D179" s="717"/>
      <c r="E179" s="917"/>
      <c r="F179" s="722" t="s">
        <v>240</v>
      </c>
      <c r="G179" s="806">
        <v>150</v>
      </c>
      <c r="H179" s="796">
        <f t="shared" si="30"/>
        <v>0</v>
      </c>
      <c r="I179" s="807">
        <v>90</v>
      </c>
      <c r="J179" s="796">
        <f t="shared" si="31"/>
        <v>0</v>
      </c>
      <c r="K179" s="1030">
        <f t="shared" si="32"/>
        <v>0</v>
      </c>
      <c r="L179" s="919"/>
      <c r="M179" s="729"/>
      <c r="N179" s="729"/>
      <c r="O179" s="729"/>
      <c r="P179" s="729"/>
      <c r="Q179" s="729"/>
      <c r="R179" s="729"/>
      <c r="S179" s="729"/>
    </row>
    <row r="180" spans="1:19" s="714" customFormat="1" ht="24" customHeight="1">
      <c r="A180" s="831"/>
      <c r="B180" s="720" t="s">
        <v>1420</v>
      </c>
      <c r="C180" s="717"/>
      <c r="D180" s="717"/>
      <c r="E180" s="917">
        <v>2</v>
      </c>
      <c r="F180" s="722" t="s">
        <v>240</v>
      </c>
      <c r="G180" s="806">
        <v>4000</v>
      </c>
      <c r="H180" s="796">
        <f t="shared" si="30"/>
        <v>8000</v>
      </c>
      <c r="I180" s="807">
        <v>500</v>
      </c>
      <c r="J180" s="914">
        <f t="shared" si="31"/>
        <v>1000</v>
      </c>
      <c r="K180" s="1030">
        <f t="shared" si="32"/>
        <v>9000</v>
      </c>
      <c r="L180" s="919"/>
      <c r="M180" s="729"/>
      <c r="N180" s="729"/>
      <c r="O180" s="729"/>
      <c r="P180" s="729"/>
      <c r="Q180" s="729"/>
      <c r="R180" s="729"/>
      <c r="S180" s="729"/>
    </row>
    <row r="181" spans="1:19" s="714" customFormat="1" ht="24" customHeight="1">
      <c r="A181" s="831"/>
      <c r="B181" s="720" t="s">
        <v>1457</v>
      </c>
      <c r="C181" s="717"/>
      <c r="D181" s="717"/>
      <c r="E181" s="917">
        <v>4</v>
      </c>
      <c r="F181" s="722" t="s">
        <v>240</v>
      </c>
      <c r="G181" s="806">
        <v>8000</v>
      </c>
      <c r="H181" s="796">
        <f t="shared" si="30"/>
        <v>32000</v>
      </c>
      <c r="I181" s="807">
        <v>1000</v>
      </c>
      <c r="J181" s="914">
        <f t="shared" si="31"/>
        <v>4000</v>
      </c>
      <c r="K181" s="1030">
        <f t="shared" si="32"/>
        <v>36000</v>
      </c>
      <c r="L181" s="919"/>
      <c r="M181" s="729"/>
      <c r="N181" s="729"/>
      <c r="O181" s="729"/>
      <c r="P181" s="729"/>
      <c r="Q181" s="729"/>
      <c r="R181" s="729"/>
      <c r="S181" s="729"/>
    </row>
    <row r="182" spans="1:19" s="714" customFormat="1" ht="24" customHeight="1">
      <c r="A182" s="831"/>
      <c r="B182" s="720" t="s">
        <v>957</v>
      </c>
      <c r="C182" s="717"/>
      <c r="D182" s="717"/>
      <c r="E182" s="917"/>
      <c r="F182" s="916"/>
      <c r="G182" s="806"/>
      <c r="H182" s="918"/>
      <c r="I182" s="807"/>
      <c r="J182" s="919"/>
      <c r="K182" s="919"/>
      <c r="L182" s="919"/>
      <c r="M182" s="729"/>
      <c r="N182" s="729"/>
      <c r="O182" s="729"/>
      <c r="P182" s="729"/>
      <c r="Q182" s="729"/>
      <c r="R182" s="729"/>
    </row>
    <row r="183" spans="1:19" s="714" customFormat="1" ht="24" customHeight="1">
      <c r="A183" s="831"/>
      <c r="B183" s="720" t="s">
        <v>958</v>
      </c>
      <c r="C183" s="717"/>
      <c r="D183" s="717"/>
      <c r="E183" s="917"/>
      <c r="F183" s="916"/>
      <c r="G183" s="806"/>
      <c r="H183" s="918"/>
      <c r="I183" s="807"/>
      <c r="J183" s="919"/>
      <c r="K183" s="919"/>
      <c r="L183" s="919"/>
      <c r="M183" s="729"/>
      <c r="N183" s="729"/>
      <c r="O183" s="729"/>
      <c r="P183" s="729"/>
      <c r="Q183" s="729"/>
      <c r="R183" s="729"/>
    </row>
    <row r="184" spans="1:19" s="714" customFormat="1" ht="24" customHeight="1">
      <c r="A184" s="775"/>
      <c r="B184" s="2475" t="str">
        <f>"รวมราคารายการที่ "&amp;A170</f>
        <v>รวมราคารายการที่ 3.6</v>
      </c>
      <c r="C184" s="2476"/>
      <c r="D184" s="2477"/>
      <c r="E184" s="776"/>
      <c r="F184" s="777"/>
      <c r="G184" s="959"/>
      <c r="H184" s="960">
        <f>SUM(H171:H183)</f>
        <v>61325</v>
      </c>
      <c r="I184" s="959"/>
      <c r="J184" s="960">
        <f t="shared" ref="J184:K184" si="33">SUM(J171:J183)</f>
        <v>17920</v>
      </c>
      <c r="K184" s="960">
        <f t="shared" si="33"/>
        <v>79245</v>
      </c>
      <c r="L184" s="777"/>
      <c r="M184" s="729"/>
      <c r="N184" s="729"/>
      <c r="O184" s="729"/>
      <c r="P184" s="729"/>
      <c r="Q184" s="729"/>
      <c r="R184" s="729"/>
    </row>
    <row r="185" spans="1:19" s="714" customFormat="1" ht="24" customHeight="1">
      <c r="A185" s="969" t="s">
        <v>1317</v>
      </c>
      <c r="B185" s="1015" t="s">
        <v>1197</v>
      </c>
      <c r="C185" s="770"/>
      <c r="D185" s="770"/>
      <c r="E185" s="930"/>
      <c r="F185" s="709"/>
      <c r="G185" s="932"/>
      <c r="H185" s="854"/>
      <c r="I185" s="934"/>
      <c r="J185" s="854"/>
      <c r="K185" s="912"/>
      <c r="L185" s="935"/>
      <c r="M185" s="729"/>
      <c r="N185" s="729"/>
      <c r="O185" s="729"/>
      <c r="P185" s="729"/>
      <c r="Q185" s="729"/>
      <c r="R185" s="729"/>
    </row>
    <row r="186" spans="1:19" s="714" customFormat="1" ht="24" customHeight="1">
      <c r="A186" s="791" t="s">
        <v>1051</v>
      </c>
      <c r="B186" s="972" t="s">
        <v>1291</v>
      </c>
      <c r="C186" s="717"/>
      <c r="D186" s="717"/>
      <c r="E186" s="917"/>
      <c r="F186" s="722"/>
      <c r="G186" s="806"/>
      <c r="H186" s="796"/>
      <c r="I186" s="807"/>
      <c r="J186" s="796"/>
      <c r="K186" s="914"/>
      <c r="L186" s="919"/>
      <c r="M186" s="729"/>
      <c r="N186" s="729"/>
      <c r="O186" s="729"/>
      <c r="P186" s="729"/>
      <c r="Q186" s="729"/>
      <c r="R186" s="729"/>
    </row>
    <row r="187" spans="1:19" s="714" customFormat="1" ht="24" customHeight="1">
      <c r="A187" s="1038"/>
      <c r="B187" s="972" t="s">
        <v>1458</v>
      </c>
      <c r="C187" s="717"/>
      <c r="D187" s="717"/>
      <c r="E187" s="917">
        <v>1</v>
      </c>
      <c r="F187" s="722" t="s">
        <v>240</v>
      </c>
      <c r="G187" s="806">
        <f>72000+20280+5500</f>
        <v>97780</v>
      </c>
      <c r="H187" s="796">
        <f t="shared" ref="H187:H188" si="34">ROUND(E187*G187,)</f>
        <v>97780</v>
      </c>
      <c r="I187" s="807">
        <f t="shared" ref="I187:I188" si="35">G187*0.05</f>
        <v>4889</v>
      </c>
      <c r="J187" s="796">
        <f t="shared" ref="J187:J188" si="36">ROUND(E187*I187,)</f>
        <v>4889</v>
      </c>
      <c r="K187" s="1030">
        <f t="shared" ref="K187:K188" si="37">H187+J187</f>
        <v>102669</v>
      </c>
      <c r="L187" s="919"/>
      <c r="M187" s="729"/>
      <c r="N187" s="729"/>
      <c r="O187" s="729"/>
      <c r="P187" s="729"/>
      <c r="Q187" s="729"/>
      <c r="R187" s="729"/>
    </row>
    <row r="188" spans="1:19" s="714" customFormat="1" ht="24" customHeight="1">
      <c r="A188" s="1038"/>
      <c r="B188" s="972" t="s">
        <v>1459</v>
      </c>
      <c r="C188" s="717"/>
      <c r="D188" s="717"/>
      <c r="E188" s="917">
        <v>1</v>
      </c>
      <c r="F188" s="722" t="s">
        <v>240</v>
      </c>
      <c r="G188" s="806">
        <f>72000+20280+5500</f>
        <v>97780</v>
      </c>
      <c r="H188" s="796">
        <f t="shared" si="34"/>
        <v>97780</v>
      </c>
      <c r="I188" s="807">
        <f t="shared" si="35"/>
        <v>4889</v>
      </c>
      <c r="J188" s="796">
        <f t="shared" si="36"/>
        <v>4889</v>
      </c>
      <c r="K188" s="1030">
        <f t="shared" si="37"/>
        <v>102669</v>
      </c>
      <c r="L188" s="919"/>
      <c r="M188" s="729"/>
      <c r="N188" s="729"/>
      <c r="O188" s="729"/>
      <c r="P188" s="729"/>
      <c r="Q188" s="729"/>
      <c r="R188" s="729"/>
    </row>
    <row r="189" spans="1:19" s="714" customFormat="1" ht="24" customHeight="1">
      <c r="A189" s="704"/>
      <c r="B189" s="972" t="s">
        <v>957</v>
      </c>
      <c r="C189" s="717"/>
      <c r="D189" s="717"/>
      <c r="E189" s="917"/>
      <c r="F189" s="916"/>
      <c r="G189" s="806"/>
      <c r="H189" s="918"/>
      <c r="I189" s="807"/>
      <c r="J189" s="919"/>
      <c r="K189" s="919"/>
      <c r="L189" s="919"/>
      <c r="M189" s="729"/>
      <c r="N189" s="729"/>
      <c r="O189" s="729"/>
      <c r="P189" s="729"/>
      <c r="Q189" s="729"/>
      <c r="R189" s="729"/>
    </row>
    <row r="190" spans="1:19" s="714" customFormat="1" ht="24" customHeight="1">
      <c r="A190" s="704"/>
      <c r="B190" s="972" t="s">
        <v>958</v>
      </c>
      <c r="C190" s="717"/>
      <c r="D190" s="717"/>
      <c r="E190" s="917"/>
      <c r="F190" s="916"/>
      <c r="G190" s="806"/>
      <c r="H190" s="918"/>
      <c r="I190" s="807"/>
      <c r="J190" s="919"/>
      <c r="K190" s="919"/>
      <c r="L190" s="919"/>
      <c r="M190" s="729"/>
      <c r="N190" s="729"/>
      <c r="O190" s="729"/>
      <c r="P190" s="729"/>
      <c r="Q190" s="729"/>
      <c r="R190" s="729"/>
    </row>
    <row r="191" spans="1:19" s="714" customFormat="1" ht="24" customHeight="1">
      <c r="A191" s="921"/>
      <c r="B191" s="705" t="s">
        <v>958</v>
      </c>
      <c r="C191" s="761"/>
      <c r="D191" s="761"/>
      <c r="E191" s="923"/>
      <c r="F191" s="924"/>
      <c r="G191" s="925"/>
      <c r="H191" s="926"/>
      <c r="I191" s="927"/>
      <c r="J191" s="928"/>
      <c r="K191" s="928"/>
      <c r="L191" s="928"/>
      <c r="M191" s="729"/>
      <c r="N191" s="729"/>
      <c r="O191" s="729"/>
      <c r="P191" s="729"/>
      <c r="Q191" s="729"/>
      <c r="R191" s="729"/>
    </row>
    <row r="192" spans="1:19" s="714" customFormat="1" ht="24" customHeight="1">
      <c r="A192" s="1060"/>
      <c r="B192" s="1061"/>
      <c r="C192" s="1062"/>
      <c r="D192" s="1062"/>
      <c r="E192" s="1063"/>
      <c r="F192" s="1064"/>
      <c r="G192" s="1065"/>
      <c r="H192" s="1066"/>
      <c r="I192" s="1067"/>
      <c r="J192" s="1066"/>
      <c r="K192" s="1067"/>
      <c r="L192" s="1068"/>
      <c r="M192" s="729"/>
      <c r="N192" s="729"/>
      <c r="O192" s="729"/>
      <c r="P192" s="729"/>
      <c r="Q192" s="729"/>
      <c r="R192" s="729"/>
    </row>
    <row r="193" spans="1:18" s="714" customFormat="1" ht="24" customHeight="1">
      <c r="A193" s="775"/>
      <c r="B193" s="2475" t="str">
        <f>"รวมราคารายการที่ "&amp;A185</f>
        <v>รวมราคารายการที่ 3.7</v>
      </c>
      <c r="C193" s="2476"/>
      <c r="D193" s="2477"/>
      <c r="E193" s="776"/>
      <c r="F193" s="777"/>
      <c r="G193" s="959"/>
      <c r="H193" s="960">
        <f>SUM(H185:H190)</f>
        <v>195560</v>
      </c>
      <c r="I193" s="959"/>
      <c r="J193" s="960">
        <f t="shared" ref="J193:K193" si="38">SUM(J185:J190)</f>
        <v>9778</v>
      </c>
      <c r="K193" s="960">
        <f t="shared" si="38"/>
        <v>205338</v>
      </c>
      <c r="L193" s="777"/>
      <c r="M193" s="729"/>
      <c r="N193" s="729"/>
      <c r="O193" s="729"/>
      <c r="P193" s="729"/>
      <c r="Q193" s="729"/>
      <c r="R193" s="729"/>
    </row>
    <row r="194" spans="1:18" s="714" customFormat="1" ht="24" customHeight="1">
      <c r="A194" s="911" t="s">
        <v>1339</v>
      </c>
      <c r="B194" s="816" t="s">
        <v>1294</v>
      </c>
      <c r="C194" s="770"/>
      <c r="D194" s="770"/>
      <c r="E194" s="930"/>
      <c r="F194" s="709"/>
      <c r="G194" s="932"/>
      <c r="H194" s="864"/>
      <c r="I194" s="934"/>
      <c r="J194" s="864"/>
      <c r="K194" s="867"/>
      <c r="L194" s="935"/>
      <c r="M194" s="729"/>
      <c r="N194" s="729"/>
      <c r="O194" s="729"/>
      <c r="P194" s="729"/>
      <c r="Q194" s="729"/>
      <c r="R194" s="729"/>
    </row>
    <row r="195" spans="1:18" s="714" customFormat="1" ht="24" customHeight="1">
      <c r="A195" s="861"/>
      <c r="B195" s="756" t="s">
        <v>1295</v>
      </c>
      <c r="C195" s="717"/>
      <c r="D195" s="717"/>
      <c r="E195" s="942">
        <v>25</v>
      </c>
      <c r="F195" s="759" t="s">
        <v>240</v>
      </c>
      <c r="G195" s="752">
        <v>420</v>
      </c>
      <c r="H195" s="864">
        <f t="shared" ref="H195:H216" si="39">ROUND(E195*G195,)</f>
        <v>10500</v>
      </c>
      <c r="I195" s="949">
        <v>115</v>
      </c>
      <c r="J195" s="864">
        <f t="shared" ref="J195:J216" si="40">ROUND(E195*I195,)</f>
        <v>2875</v>
      </c>
      <c r="K195" s="1030">
        <f t="shared" ref="K195:K217" si="41">H195+J195</f>
        <v>13375</v>
      </c>
      <c r="L195" s="973"/>
      <c r="M195" s="729"/>
      <c r="N195" s="729"/>
      <c r="O195" s="729"/>
      <c r="P195" s="729"/>
    </row>
    <row r="196" spans="1:18" s="714" customFormat="1" ht="24" customHeight="1">
      <c r="A196" s="861"/>
      <c r="B196" s="756" t="s">
        <v>1296</v>
      </c>
      <c r="C196" s="717"/>
      <c r="D196" s="717"/>
      <c r="E196" s="942">
        <v>12</v>
      </c>
      <c r="F196" s="759" t="s">
        <v>240</v>
      </c>
      <c r="G196" s="752">
        <v>500</v>
      </c>
      <c r="H196" s="864">
        <f t="shared" si="39"/>
        <v>6000</v>
      </c>
      <c r="I196" s="949">
        <v>115</v>
      </c>
      <c r="J196" s="864">
        <f t="shared" si="40"/>
        <v>1380</v>
      </c>
      <c r="K196" s="1030">
        <f t="shared" si="41"/>
        <v>7380</v>
      </c>
      <c r="L196" s="973"/>
      <c r="M196" s="729"/>
      <c r="N196" s="729"/>
      <c r="O196" s="729"/>
      <c r="P196" s="729"/>
    </row>
    <row r="197" spans="1:18" s="714" customFormat="1" ht="24" customHeight="1">
      <c r="A197" s="861"/>
      <c r="B197" s="756" t="s">
        <v>1297</v>
      </c>
      <c r="C197" s="717"/>
      <c r="D197" s="717"/>
      <c r="E197" s="942">
        <v>22</v>
      </c>
      <c r="F197" s="759" t="s">
        <v>240</v>
      </c>
      <c r="G197" s="752">
        <v>550</v>
      </c>
      <c r="H197" s="864">
        <f t="shared" si="39"/>
        <v>12100</v>
      </c>
      <c r="I197" s="949">
        <v>115</v>
      </c>
      <c r="J197" s="864">
        <f t="shared" si="40"/>
        <v>2530</v>
      </c>
      <c r="K197" s="1030">
        <f t="shared" si="41"/>
        <v>14630</v>
      </c>
      <c r="L197" s="973"/>
      <c r="M197" s="729"/>
      <c r="N197" s="729"/>
      <c r="O197" s="729"/>
      <c r="P197" s="729"/>
    </row>
    <row r="198" spans="1:18" s="714" customFormat="1" ht="24" customHeight="1">
      <c r="A198" s="861"/>
      <c r="B198" s="756" t="s">
        <v>1298</v>
      </c>
      <c r="C198" s="717"/>
      <c r="D198" s="717"/>
      <c r="E198" s="942"/>
      <c r="F198" s="759" t="s">
        <v>240</v>
      </c>
      <c r="G198" s="752">
        <v>750</v>
      </c>
      <c r="H198" s="864">
        <f t="shared" si="39"/>
        <v>0</v>
      </c>
      <c r="I198" s="949">
        <v>135</v>
      </c>
      <c r="J198" s="864">
        <f t="shared" si="40"/>
        <v>0</v>
      </c>
      <c r="K198" s="1030">
        <f t="shared" si="41"/>
        <v>0</v>
      </c>
      <c r="L198" s="973"/>
      <c r="M198" s="729"/>
      <c r="N198" s="729"/>
      <c r="O198" s="729"/>
      <c r="P198" s="729"/>
    </row>
    <row r="199" spans="1:18" s="714" customFormat="1" ht="24" customHeight="1">
      <c r="A199" s="861"/>
      <c r="B199" s="756" t="s">
        <v>1299</v>
      </c>
      <c r="C199" s="717"/>
      <c r="D199" s="717"/>
      <c r="E199" s="942"/>
      <c r="F199" s="759" t="s">
        <v>240</v>
      </c>
      <c r="G199" s="806">
        <v>2090</v>
      </c>
      <c r="H199" s="796">
        <f t="shared" si="39"/>
        <v>0</v>
      </c>
      <c r="I199" s="807">
        <v>135</v>
      </c>
      <c r="J199" s="864">
        <f t="shared" si="40"/>
        <v>0</v>
      </c>
      <c r="K199" s="1030">
        <f t="shared" si="41"/>
        <v>0</v>
      </c>
      <c r="L199" s="973"/>
      <c r="M199" s="729"/>
      <c r="N199" s="729"/>
      <c r="O199" s="729"/>
      <c r="P199" s="729"/>
    </row>
    <row r="200" spans="1:18" s="714" customFormat="1" ht="24" customHeight="1">
      <c r="A200" s="861"/>
      <c r="B200" s="800" t="s">
        <v>1300</v>
      </c>
      <c r="C200" s="717"/>
      <c r="D200" s="717"/>
      <c r="E200" s="942"/>
      <c r="F200" s="803" t="s">
        <v>240</v>
      </c>
      <c r="G200" s="806">
        <v>650</v>
      </c>
      <c r="H200" s="796">
        <f t="shared" si="39"/>
        <v>0</v>
      </c>
      <c r="I200" s="807">
        <v>20</v>
      </c>
      <c r="J200" s="864">
        <f t="shared" si="40"/>
        <v>0</v>
      </c>
      <c r="K200" s="966">
        <f t="shared" si="41"/>
        <v>0</v>
      </c>
      <c r="L200" s="973"/>
      <c r="M200" s="729"/>
      <c r="N200" s="729"/>
      <c r="O200" s="729"/>
      <c r="P200" s="729"/>
    </row>
    <row r="201" spans="1:18" s="714" customFormat="1" ht="24" customHeight="1">
      <c r="A201" s="861"/>
      <c r="B201" s="800" t="s">
        <v>1301</v>
      </c>
      <c r="C201" s="717"/>
      <c r="D201" s="717"/>
      <c r="E201" s="942"/>
      <c r="F201" s="803" t="s">
        <v>240</v>
      </c>
      <c r="G201" s="806">
        <v>1200</v>
      </c>
      <c r="H201" s="796">
        <f t="shared" si="39"/>
        <v>0</v>
      </c>
      <c r="I201" s="807">
        <v>135</v>
      </c>
      <c r="J201" s="864">
        <f t="shared" si="40"/>
        <v>0</v>
      </c>
      <c r="K201" s="966">
        <f t="shared" si="41"/>
        <v>0</v>
      </c>
      <c r="L201" s="973"/>
      <c r="M201" s="729"/>
      <c r="N201" s="729"/>
      <c r="O201" s="729"/>
      <c r="P201" s="729"/>
    </row>
    <row r="202" spans="1:18" s="714" customFormat="1" ht="24" customHeight="1">
      <c r="A202" s="861"/>
      <c r="B202" s="800" t="s">
        <v>1302</v>
      </c>
      <c r="C202" s="717"/>
      <c r="D202" s="717"/>
      <c r="E202" s="942"/>
      <c r="F202" s="803" t="s">
        <v>240</v>
      </c>
      <c r="G202" s="806">
        <v>1200</v>
      </c>
      <c r="H202" s="796">
        <f t="shared" si="39"/>
        <v>0</v>
      </c>
      <c r="I202" s="807">
        <v>135</v>
      </c>
      <c r="J202" s="864">
        <f t="shared" si="40"/>
        <v>0</v>
      </c>
      <c r="K202" s="966">
        <f t="shared" si="41"/>
        <v>0</v>
      </c>
      <c r="L202" s="973"/>
      <c r="M202" s="729"/>
      <c r="N202" s="729"/>
      <c r="O202" s="729"/>
      <c r="P202" s="729"/>
    </row>
    <row r="203" spans="1:18" s="714" customFormat="1" ht="24" customHeight="1">
      <c r="A203" s="861"/>
      <c r="B203" s="800" t="s">
        <v>1303</v>
      </c>
      <c r="C203" s="717"/>
      <c r="D203" s="717"/>
      <c r="E203" s="942"/>
      <c r="F203" s="803" t="s">
        <v>240</v>
      </c>
      <c r="G203" s="806">
        <v>1200</v>
      </c>
      <c r="H203" s="796">
        <f t="shared" si="39"/>
        <v>0</v>
      </c>
      <c r="I203" s="807">
        <v>135</v>
      </c>
      <c r="J203" s="864">
        <f t="shared" si="40"/>
        <v>0</v>
      </c>
      <c r="K203" s="966">
        <f t="shared" si="41"/>
        <v>0</v>
      </c>
      <c r="L203" s="973"/>
      <c r="M203" s="729"/>
      <c r="N203" s="729"/>
      <c r="O203" s="729"/>
      <c r="P203" s="729"/>
    </row>
    <row r="204" spans="1:18" s="714" customFormat="1" ht="24" customHeight="1">
      <c r="A204" s="861"/>
      <c r="B204" s="800" t="s">
        <v>1304</v>
      </c>
      <c r="C204" s="717"/>
      <c r="D204" s="717"/>
      <c r="E204" s="942"/>
      <c r="F204" s="803" t="s">
        <v>240</v>
      </c>
      <c r="G204" s="806">
        <v>1200</v>
      </c>
      <c r="H204" s="796">
        <f t="shared" si="39"/>
        <v>0</v>
      </c>
      <c r="I204" s="807">
        <v>135</v>
      </c>
      <c r="J204" s="864">
        <f t="shared" si="40"/>
        <v>0</v>
      </c>
      <c r="K204" s="966">
        <f t="shared" si="41"/>
        <v>0</v>
      </c>
      <c r="L204" s="973"/>
      <c r="M204" s="729"/>
      <c r="N204" s="729"/>
      <c r="O204" s="729"/>
      <c r="P204" s="729"/>
    </row>
    <row r="205" spans="1:18" s="714" customFormat="1" ht="24" customHeight="1">
      <c r="A205" s="861"/>
      <c r="B205" s="800" t="s">
        <v>1305</v>
      </c>
      <c r="C205" s="717"/>
      <c r="D205" s="717"/>
      <c r="E205" s="942">
        <v>794</v>
      </c>
      <c r="F205" s="803" t="s">
        <v>240</v>
      </c>
      <c r="G205" s="806">
        <v>1200</v>
      </c>
      <c r="H205" s="796">
        <f t="shared" si="39"/>
        <v>952800</v>
      </c>
      <c r="I205" s="807">
        <v>135</v>
      </c>
      <c r="J205" s="864">
        <f t="shared" si="40"/>
        <v>107190</v>
      </c>
      <c r="K205" s="966">
        <f t="shared" si="41"/>
        <v>1059990</v>
      </c>
      <c r="L205" s="973"/>
      <c r="M205" s="729"/>
      <c r="N205" s="729"/>
      <c r="O205" s="729"/>
      <c r="P205" s="729"/>
    </row>
    <row r="206" spans="1:18" s="714" customFormat="1" ht="24" customHeight="1">
      <c r="A206" s="861"/>
      <c r="B206" s="800" t="s">
        <v>1306</v>
      </c>
      <c r="C206" s="717"/>
      <c r="D206" s="717"/>
      <c r="E206" s="942"/>
      <c r="F206" s="803" t="s">
        <v>240</v>
      </c>
      <c r="G206" s="806">
        <v>1860</v>
      </c>
      <c r="H206" s="796">
        <f t="shared" si="39"/>
        <v>0</v>
      </c>
      <c r="I206" s="807">
        <v>135</v>
      </c>
      <c r="J206" s="796">
        <f t="shared" si="40"/>
        <v>0</v>
      </c>
      <c r="K206" s="966">
        <f t="shared" si="41"/>
        <v>0</v>
      </c>
      <c r="L206" s="973"/>
      <c r="M206" s="729"/>
      <c r="N206" s="729"/>
      <c r="O206" s="729"/>
      <c r="P206" s="729"/>
    </row>
    <row r="207" spans="1:18" s="714" customFormat="1" ht="24" customHeight="1">
      <c r="A207" s="861"/>
      <c r="B207" s="800" t="s">
        <v>1307</v>
      </c>
      <c r="C207" s="717"/>
      <c r="D207" s="717"/>
      <c r="E207" s="942"/>
      <c r="F207" s="803" t="s">
        <v>240</v>
      </c>
      <c r="G207" s="806">
        <v>1860</v>
      </c>
      <c r="H207" s="796">
        <f t="shared" si="39"/>
        <v>0</v>
      </c>
      <c r="I207" s="807">
        <v>135</v>
      </c>
      <c r="J207" s="796">
        <f t="shared" si="40"/>
        <v>0</v>
      </c>
      <c r="K207" s="966">
        <f t="shared" si="41"/>
        <v>0</v>
      </c>
      <c r="L207" s="973"/>
      <c r="M207" s="729"/>
      <c r="N207" s="729"/>
      <c r="O207" s="729"/>
      <c r="P207" s="729"/>
    </row>
    <row r="208" spans="1:18" s="714" customFormat="1" ht="24" customHeight="1">
      <c r="A208" s="861"/>
      <c r="B208" s="800" t="s">
        <v>1308</v>
      </c>
      <c r="C208" s="717"/>
      <c r="D208" s="717"/>
      <c r="E208" s="942"/>
      <c r="F208" s="803" t="s">
        <v>240</v>
      </c>
      <c r="G208" s="806">
        <v>1250</v>
      </c>
      <c r="H208" s="796">
        <f t="shared" si="39"/>
        <v>0</v>
      </c>
      <c r="I208" s="807">
        <v>135</v>
      </c>
      <c r="J208" s="864">
        <f t="shared" si="40"/>
        <v>0</v>
      </c>
      <c r="K208" s="966">
        <f t="shared" si="41"/>
        <v>0</v>
      </c>
      <c r="L208" s="973"/>
      <c r="M208" s="729"/>
      <c r="N208" s="729"/>
      <c r="O208" s="729"/>
      <c r="P208" s="729"/>
    </row>
    <row r="209" spans="1:18" s="714" customFormat="1" ht="24" customHeight="1">
      <c r="A209" s="861"/>
      <c r="B209" s="800" t="s">
        <v>1309</v>
      </c>
      <c r="C209" s="717"/>
      <c r="D209" s="717"/>
      <c r="E209" s="942"/>
      <c r="F209" s="803" t="s">
        <v>240</v>
      </c>
      <c r="G209" s="806">
        <v>1860</v>
      </c>
      <c r="H209" s="796">
        <f t="shared" si="39"/>
        <v>0</v>
      </c>
      <c r="I209" s="807">
        <v>135</v>
      </c>
      <c r="J209" s="796">
        <f t="shared" si="40"/>
        <v>0</v>
      </c>
      <c r="K209" s="966">
        <f t="shared" si="41"/>
        <v>0</v>
      </c>
      <c r="L209" s="973"/>
      <c r="M209" s="729"/>
      <c r="N209" s="729"/>
      <c r="O209" s="729"/>
      <c r="P209" s="729"/>
    </row>
    <row r="210" spans="1:18" s="714" customFormat="1" ht="24" customHeight="1">
      <c r="A210" s="861"/>
      <c r="B210" s="800" t="s">
        <v>1310</v>
      </c>
      <c r="C210" s="717"/>
      <c r="D210" s="717"/>
      <c r="E210" s="942"/>
      <c r="F210" s="803" t="s">
        <v>240</v>
      </c>
      <c r="G210" s="806">
        <v>1200</v>
      </c>
      <c r="H210" s="796">
        <f t="shared" si="39"/>
        <v>0</v>
      </c>
      <c r="I210" s="807">
        <v>135</v>
      </c>
      <c r="J210" s="864">
        <f t="shared" si="40"/>
        <v>0</v>
      </c>
      <c r="K210" s="966">
        <f t="shared" si="41"/>
        <v>0</v>
      </c>
      <c r="L210" s="973"/>
      <c r="M210" s="729"/>
      <c r="N210" s="729"/>
      <c r="O210" s="729"/>
      <c r="P210" s="729"/>
    </row>
    <row r="211" spans="1:18" s="714" customFormat="1" ht="24" customHeight="1">
      <c r="A211" s="861"/>
      <c r="B211" s="800" t="s">
        <v>1311</v>
      </c>
      <c r="C211" s="717"/>
      <c r="D211" s="717"/>
      <c r="E211" s="942">
        <v>134</v>
      </c>
      <c r="F211" s="803" t="s">
        <v>240</v>
      </c>
      <c r="G211" s="806">
        <v>1200</v>
      </c>
      <c r="H211" s="796">
        <f t="shared" si="39"/>
        <v>160800</v>
      </c>
      <c r="I211" s="807">
        <v>135</v>
      </c>
      <c r="J211" s="864">
        <f t="shared" si="40"/>
        <v>18090</v>
      </c>
      <c r="K211" s="966">
        <f t="shared" si="41"/>
        <v>178890</v>
      </c>
      <c r="L211" s="973"/>
      <c r="M211" s="729"/>
      <c r="N211" s="729"/>
      <c r="O211" s="729"/>
      <c r="P211" s="729"/>
    </row>
    <row r="212" spans="1:18" s="714" customFormat="1" ht="24" customHeight="1">
      <c r="A212" s="861"/>
      <c r="B212" s="800" t="s">
        <v>1312</v>
      </c>
      <c r="C212" s="757"/>
      <c r="D212" s="757"/>
      <c r="E212" s="942">
        <v>24</v>
      </c>
      <c r="F212" s="803" t="s">
        <v>240</v>
      </c>
      <c r="G212" s="752">
        <v>1830</v>
      </c>
      <c r="H212" s="864">
        <f t="shared" si="39"/>
        <v>43920</v>
      </c>
      <c r="I212" s="949">
        <v>500</v>
      </c>
      <c r="J212" s="864">
        <f t="shared" si="40"/>
        <v>12000</v>
      </c>
      <c r="K212" s="966">
        <f t="shared" si="41"/>
        <v>55920</v>
      </c>
      <c r="L212" s="973"/>
      <c r="M212" s="729"/>
      <c r="N212" s="729"/>
      <c r="O212" s="729"/>
      <c r="P212" s="729"/>
    </row>
    <row r="213" spans="1:18" s="714" customFormat="1" ht="24" customHeight="1">
      <c r="A213" s="861"/>
      <c r="B213" s="800" t="s">
        <v>1313</v>
      </c>
      <c r="C213" s="757"/>
      <c r="D213" s="757"/>
      <c r="E213" s="942">
        <v>6</v>
      </c>
      <c r="F213" s="803" t="s">
        <v>240</v>
      </c>
      <c r="G213" s="752">
        <v>1620</v>
      </c>
      <c r="H213" s="864">
        <f t="shared" si="39"/>
        <v>9720</v>
      </c>
      <c r="I213" s="949">
        <v>500</v>
      </c>
      <c r="J213" s="864">
        <f t="shared" si="40"/>
        <v>3000</v>
      </c>
      <c r="K213" s="966">
        <f t="shared" si="41"/>
        <v>12720</v>
      </c>
      <c r="L213" s="973"/>
      <c r="M213" s="729"/>
      <c r="N213" s="729"/>
      <c r="O213" s="729"/>
      <c r="P213" s="729"/>
    </row>
    <row r="214" spans="1:18" s="714" customFormat="1" ht="24" customHeight="1">
      <c r="A214" s="861"/>
      <c r="B214" s="756" t="s">
        <v>1314</v>
      </c>
      <c r="C214" s="757"/>
      <c r="D214" s="757"/>
      <c r="E214" s="942">
        <v>51</v>
      </c>
      <c r="F214" s="759" t="s">
        <v>240</v>
      </c>
      <c r="G214" s="752">
        <v>920</v>
      </c>
      <c r="H214" s="864">
        <f t="shared" si="39"/>
        <v>46920</v>
      </c>
      <c r="I214" s="949">
        <v>250</v>
      </c>
      <c r="J214" s="864">
        <f t="shared" si="40"/>
        <v>12750</v>
      </c>
      <c r="K214" s="966">
        <f t="shared" si="41"/>
        <v>59670</v>
      </c>
      <c r="L214" s="973"/>
      <c r="M214" s="729"/>
      <c r="N214" s="729"/>
      <c r="O214" s="729"/>
      <c r="P214" s="729"/>
    </row>
    <row r="215" spans="1:18" s="714" customFormat="1" ht="24" customHeight="1">
      <c r="A215" s="861"/>
      <c r="B215" s="756" t="s">
        <v>1315</v>
      </c>
      <c r="C215" s="757"/>
      <c r="D215" s="757"/>
      <c r="E215" s="942">
        <v>2</v>
      </c>
      <c r="F215" s="759" t="s">
        <v>240</v>
      </c>
      <c r="G215" s="752">
        <v>2180</v>
      </c>
      <c r="H215" s="864">
        <f t="shared" si="39"/>
        <v>4360</v>
      </c>
      <c r="I215" s="807">
        <v>500</v>
      </c>
      <c r="J215" s="864">
        <f t="shared" si="40"/>
        <v>1000</v>
      </c>
      <c r="K215" s="1030">
        <f t="shared" si="41"/>
        <v>5360</v>
      </c>
      <c r="L215" s="973"/>
      <c r="M215" s="729"/>
      <c r="N215" s="729"/>
      <c r="O215" s="729"/>
      <c r="P215" s="729"/>
    </row>
    <row r="216" spans="1:18" s="714" customFormat="1" ht="24" customHeight="1">
      <c r="A216" s="861"/>
      <c r="B216" s="705" t="s">
        <v>1316</v>
      </c>
      <c r="C216" s="717"/>
      <c r="D216" s="717"/>
      <c r="E216" s="942">
        <v>1</v>
      </c>
      <c r="F216" s="759" t="s">
        <v>948</v>
      </c>
      <c r="G216" s="752">
        <f>SUM(H194:H214)*5%</f>
        <v>62138</v>
      </c>
      <c r="H216" s="864">
        <f t="shared" si="39"/>
        <v>62138</v>
      </c>
      <c r="I216" s="949">
        <f>ROUND(G216*0.3,)</f>
        <v>18641</v>
      </c>
      <c r="J216" s="864">
        <f t="shared" si="40"/>
        <v>18641</v>
      </c>
      <c r="K216" s="1030">
        <f t="shared" si="41"/>
        <v>80779</v>
      </c>
      <c r="L216" s="973"/>
      <c r="M216" s="729"/>
      <c r="N216" s="729"/>
      <c r="O216" s="729"/>
      <c r="P216" s="729"/>
    </row>
    <row r="217" spans="1:18" s="714" customFormat="1" ht="24" customHeight="1">
      <c r="A217" s="831"/>
      <c r="B217" s="720" t="s">
        <v>957</v>
      </c>
      <c r="C217" s="717"/>
      <c r="D217" s="717"/>
      <c r="E217" s="917"/>
      <c r="F217" s="722"/>
      <c r="G217" s="806"/>
      <c r="H217" s="918"/>
      <c r="I217" s="949"/>
      <c r="J217" s="919"/>
      <c r="K217" s="1030">
        <f t="shared" si="41"/>
        <v>0</v>
      </c>
      <c r="L217" s="919"/>
      <c r="M217" s="729"/>
      <c r="N217" s="729"/>
      <c r="O217" s="729"/>
      <c r="P217" s="729"/>
      <c r="Q217" s="729"/>
      <c r="R217" s="729"/>
    </row>
    <row r="218" spans="1:18" s="714" customFormat="1" ht="24" customHeight="1">
      <c r="A218" s="831"/>
      <c r="B218" s="720" t="s">
        <v>1239</v>
      </c>
      <c r="C218" s="717"/>
      <c r="D218" s="717"/>
      <c r="E218" s="917"/>
      <c r="F218" s="722"/>
      <c r="G218" s="806"/>
      <c r="H218" s="918"/>
      <c r="I218" s="949"/>
      <c r="J218" s="919"/>
      <c r="K218" s="968"/>
      <c r="L218" s="919"/>
      <c r="M218" s="729"/>
      <c r="N218" s="729"/>
      <c r="O218" s="729"/>
      <c r="P218" s="729"/>
      <c r="Q218" s="729"/>
      <c r="R218" s="729"/>
    </row>
    <row r="219" spans="1:18" s="714" customFormat="1" ht="24" customHeight="1">
      <c r="A219" s="921"/>
      <c r="B219" s="705" t="s">
        <v>1239</v>
      </c>
      <c r="C219" s="761"/>
      <c r="D219" s="761"/>
      <c r="E219" s="923"/>
      <c r="F219" s="924"/>
      <c r="G219" s="925"/>
      <c r="H219" s="926"/>
      <c r="I219" s="807"/>
      <c r="J219" s="928"/>
      <c r="K219" s="1072"/>
      <c r="L219" s="928"/>
      <c r="M219" s="729"/>
      <c r="N219" s="729"/>
      <c r="O219" s="729"/>
      <c r="P219" s="729"/>
      <c r="Q219" s="729"/>
      <c r="R219" s="729"/>
    </row>
    <row r="220" spans="1:18" s="714" customFormat="1" ht="24" customHeight="1">
      <c r="A220" s="921"/>
      <c r="B220" s="705"/>
      <c r="C220" s="761"/>
      <c r="D220" s="761"/>
      <c r="E220" s="923"/>
      <c r="F220" s="1079"/>
      <c r="G220" s="925"/>
      <c r="H220" s="926"/>
      <c r="I220" s="949"/>
      <c r="J220" s="928"/>
      <c r="K220" s="1072"/>
      <c r="L220" s="928"/>
      <c r="M220" s="729"/>
      <c r="N220" s="729"/>
      <c r="O220" s="729"/>
      <c r="P220" s="729"/>
      <c r="Q220" s="729"/>
      <c r="R220" s="729"/>
    </row>
    <row r="221" spans="1:18" s="714" customFormat="1" ht="24" customHeight="1">
      <c r="A221" s="921"/>
      <c r="B221" s="705"/>
      <c r="C221" s="761"/>
      <c r="D221" s="761"/>
      <c r="E221" s="923"/>
      <c r="F221" s="1079"/>
      <c r="G221" s="925"/>
      <c r="H221" s="926"/>
      <c r="I221" s="949"/>
      <c r="J221" s="928"/>
      <c r="K221" s="1072"/>
      <c r="L221" s="928"/>
      <c r="M221" s="729"/>
      <c r="N221" s="729"/>
      <c r="O221" s="729"/>
      <c r="P221" s="729"/>
      <c r="Q221" s="729"/>
      <c r="R221" s="729"/>
    </row>
    <row r="222" spans="1:18" s="714" customFormat="1" ht="24" customHeight="1">
      <c r="A222" s="921"/>
      <c r="B222" s="705"/>
      <c r="C222" s="761"/>
      <c r="D222" s="761"/>
      <c r="E222" s="923"/>
      <c r="F222" s="1079"/>
      <c r="G222" s="925"/>
      <c r="H222" s="926"/>
      <c r="I222" s="949"/>
      <c r="J222" s="928"/>
      <c r="K222" s="1072"/>
      <c r="L222" s="928"/>
      <c r="M222" s="729"/>
      <c r="N222" s="729"/>
      <c r="O222" s="729"/>
      <c r="P222" s="729"/>
      <c r="Q222" s="729"/>
      <c r="R222" s="729"/>
    </row>
    <row r="223" spans="1:18" s="714" customFormat="1" ht="24" customHeight="1">
      <c r="A223" s="921"/>
      <c r="B223" s="705"/>
      <c r="C223" s="761"/>
      <c r="D223" s="761"/>
      <c r="E223" s="923"/>
      <c r="F223" s="1079"/>
      <c r="G223" s="925"/>
      <c r="H223" s="926"/>
      <c r="I223" s="807"/>
      <c r="J223" s="928"/>
      <c r="K223" s="1072"/>
      <c r="L223" s="928"/>
      <c r="M223" s="729"/>
      <c r="N223" s="729"/>
      <c r="O223" s="729"/>
      <c r="P223" s="729"/>
      <c r="Q223" s="729"/>
      <c r="R223" s="729"/>
    </row>
    <row r="224" spans="1:18" s="714" customFormat="1" ht="24" customHeight="1">
      <c r="A224" s="921"/>
      <c r="B224" s="705"/>
      <c r="C224" s="761"/>
      <c r="D224" s="761"/>
      <c r="E224" s="923"/>
      <c r="F224" s="1079"/>
      <c r="G224" s="925"/>
      <c r="H224" s="926"/>
      <c r="I224" s="949"/>
      <c r="J224" s="928"/>
      <c r="K224" s="1072"/>
      <c r="L224" s="928"/>
      <c r="M224" s="729"/>
      <c r="N224" s="729"/>
      <c r="O224" s="729"/>
      <c r="P224" s="729"/>
      <c r="Q224" s="729"/>
      <c r="R224" s="729"/>
    </row>
    <row r="225" spans="1:18" s="714" customFormat="1" ht="24" customHeight="1">
      <c r="A225" s="1060"/>
      <c r="B225" s="1061"/>
      <c r="C225" s="1062"/>
      <c r="D225" s="1062"/>
      <c r="E225" s="1063"/>
      <c r="F225" s="1064"/>
      <c r="G225" s="1065"/>
      <c r="H225" s="1066"/>
      <c r="I225" s="949"/>
      <c r="J225" s="1066"/>
      <c r="K225" s="2629"/>
      <c r="L225" s="2628"/>
      <c r="M225" s="729"/>
      <c r="N225" s="729"/>
      <c r="O225" s="729"/>
      <c r="P225" s="729"/>
      <c r="Q225" s="729"/>
      <c r="R225" s="729"/>
    </row>
    <row r="226" spans="1:18" s="714" customFormat="1" ht="24" customHeight="1">
      <c r="A226" s="775"/>
      <c r="B226" s="2475" t="str">
        <f>"รวมราคารายการที่ "&amp;A194</f>
        <v>รวมราคารายการที่ 3.8</v>
      </c>
      <c r="C226" s="2476"/>
      <c r="D226" s="2477"/>
      <c r="E226" s="776"/>
      <c r="F226" s="777"/>
      <c r="G226" s="959"/>
      <c r="H226" s="960">
        <f>SUM(H194:H219)</f>
        <v>1309258</v>
      </c>
      <c r="I226" s="959"/>
      <c r="J226" s="960">
        <f t="shared" ref="J226:K226" si="42">SUM(J194:J219)</f>
        <v>179456</v>
      </c>
      <c r="K226" s="960">
        <f t="shared" si="42"/>
        <v>1488714</v>
      </c>
      <c r="L226" s="777"/>
      <c r="M226" s="729"/>
      <c r="N226" s="729"/>
      <c r="O226" s="729"/>
      <c r="P226" s="729"/>
      <c r="Q226" s="729"/>
      <c r="R226" s="729"/>
    </row>
    <row r="227" spans="1:18" s="714" customFormat="1" ht="24" customHeight="1">
      <c r="A227" s="911">
        <v>3.9</v>
      </c>
      <c r="B227" s="816" t="s">
        <v>1225</v>
      </c>
      <c r="C227" s="770"/>
      <c r="D227" s="770"/>
      <c r="E227" s="930"/>
      <c r="F227" s="931"/>
      <c r="G227" s="932"/>
      <c r="H227" s="933"/>
      <c r="I227" s="934"/>
      <c r="J227" s="935"/>
      <c r="K227" s="935"/>
      <c r="L227" s="935"/>
      <c r="M227" s="729"/>
      <c r="N227" s="729"/>
      <c r="O227" s="729"/>
      <c r="P227" s="729"/>
      <c r="Q227" s="729"/>
      <c r="R227" s="729"/>
    </row>
    <row r="228" spans="1:18" s="714" customFormat="1" ht="24" customHeight="1">
      <c r="A228" s="856" t="s">
        <v>1136</v>
      </c>
      <c r="B228" s="720" t="s">
        <v>1318</v>
      </c>
      <c r="C228" s="717"/>
      <c r="D228" s="717"/>
      <c r="E228" s="917">
        <v>2</v>
      </c>
      <c r="F228" s="722" t="s">
        <v>240</v>
      </c>
      <c r="G228" s="806">
        <f>30000+13500</f>
        <v>43500</v>
      </c>
      <c r="H228" s="796">
        <f t="shared" ref="H228:H259" si="43">ROUND(E228*G228,)</f>
        <v>87000</v>
      </c>
      <c r="I228" s="807">
        <f>G228*0.1</f>
        <v>4350</v>
      </c>
      <c r="J228" s="796">
        <f t="shared" ref="J228:J259" si="44">ROUND(E228*I228,)</f>
        <v>8700</v>
      </c>
      <c r="K228" s="1030">
        <f t="shared" ref="K228:K259" si="45">H228+J228</f>
        <v>95700</v>
      </c>
      <c r="L228" s="919"/>
      <c r="M228" s="729"/>
      <c r="N228" s="729"/>
      <c r="O228" s="729"/>
      <c r="P228" s="729"/>
      <c r="Q228" s="729"/>
      <c r="R228" s="729"/>
    </row>
    <row r="229" spans="1:18" s="714" customFormat="1" ht="24" customHeight="1">
      <c r="A229" s="856" t="s">
        <v>1144</v>
      </c>
      <c r="B229" s="720" t="s">
        <v>1319</v>
      </c>
      <c r="C229" s="717"/>
      <c r="D229" s="717"/>
      <c r="E229" s="917">
        <v>6</v>
      </c>
      <c r="F229" s="722" t="s">
        <v>240</v>
      </c>
      <c r="G229" s="806">
        <v>1850</v>
      </c>
      <c r="H229" s="796">
        <f t="shared" si="43"/>
        <v>11100</v>
      </c>
      <c r="I229" s="807">
        <v>250</v>
      </c>
      <c r="J229" s="796">
        <f t="shared" si="44"/>
        <v>1500</v>
      </c>
      <c r="K229" s="1030">
        <f t="shared" si="45"/>
        <v>12600</v>
      </c>
      <c r="L229" s="919"/>
      <c r="M229" s="729"/>
      <c r="N229" s="729"/>
      <c r="O229" s="729"/>
      <c r="P229" s="729"/>
      <c r="Q229" s="729"/>
      <c r="R229" s="729"/>
    </row>
    <row r="230" spans="1:18" s="714" customFormat="1" ht="24" customHeight="1">
      <c r="A230" s="856" t="s">
        <v>1146</v>
      </c>
      <c r="B230" s="720" t="s">
        <v>1320</v>
      </c>
      <c r="C230" s="717"/>
      <c r="D230" s="717"/>
      <c r="E230" s="917">
        <v>6</v>
      </c>
      <c r="F230" s="722" t="s">
        <v>240</v>
      </c>
      <c r="G230" s="806">
        <v>1850</v>
      </c>
      <c r="H230" s="796">
        <f t="shared" si="43"/>
        <v>11100</v>
      </c>
      <c r="I230" s="807">
        <v>250</v>
      </c>
      <c r="J230" s="796">
        <f t="shared" si="44"/>
        <v>1500</v>
      </c>
      <c r="K230" s="1030">
        <f t="shared" si="45"/>
        <v>12600</v>
      </c>
      <c r="L230" s="919"/>
      <c r="M230" s="729"/>
      <c r="N230" s="729"/>
      <c r="O230" s="729"/>
      <c r="P230" s="729"/>
      <c r="Q230" s="729"/>
      <c r="R230" s="729"/>
    </row>
    <row r="231" spans="1:18" s="714" customFormat="1" ht="24" customHeight="1">
      <c r="A231" s="856" t="s">
        <v>1156</v>
      </c>
      <c r="B231" s="720" t="s">
        <v>1321</v>
      </c>
      <c r="C231" s="717"/>
      <c r="D231" s="717"/>
      <c r="E231" s="917">
        <v>6</v>
      </c>
      <c r="F231" s="722" t="s">
        <v>240</v>
      </c>
      <c r="G231" s="806">
        <v>1850</v>
      </c>
      <c r="H231" s="796">
        <f t="shared" si="43"/>
        <v>11100</v>
      </c>
      <c r="I231" s="807">
        <v>250</v>
      </c>
      <c r="J231" s="796">
        <f t="shared" si="44"/>
        <v>1500</v>
      </c>
      <c r="K231" s="1030">
        <f t="shared" si="45"/>
        <v>12600</v>
      </c>
      <c r="L231" s="919"/>
      <c r="M231" s="729"/>
      <c r="N231" s="729"/>
      <c r="O231" s="729"/>
      <c r="P231" s="729"/>
      <c r="Q231" s="729"/>
      <c r="R231" s="729"/>
    </row>
    <row r="232" spans="1:18" s="714" customFormat="1" ht="24" customHeight="1">
      <c r="A232" s="856" t="s">
        <v>1429</v>
      </c>
      <c r="B232" s="720" t="s">
        <v>1322</v>
      </c>
      <c r="C232" s="717"/>
      <c r="D232" s="717"/>
      <c r="E232" s="917">
        <v>6</v>
      </c>
      <c r="F232" s="722" t="s">
        <v>240</v>
      </c>
      <c r="G232" s="806">
        <v>1850</v>
      </c>
      <c r="H232" s="796">
        <f t="shared" si="43"/>
        <v>11100</v>
      </c>
      <c r="I232" s="807">
        <v>250</v>
      </c>
      <c r="J232" s="796">
        <f t="shared" si="44"/>
        <v>1500</v>
      </c>
      <c r="K232" s="1030">
        <f t="shared" si="45"/>
        <v>12600</v>
      </c>
      <c r="L232" s="919"/>
      <c r="M232" s="729"/>
      <c r="N232" s="729"/>
      <c r="O232" s="729"/>
      <c r="P232" s="729"/>
      <c r="Q232" s="729"/>
      <c r="R232" s="729"/>
    </row>
    <row r="233" spans="1:18" s="714" customFormat="1" ht="24" customHeight="1">
      <c r="A233" s="856" t="s">
        <v>1486</v>
      </c>
      <c r="B233" s="720" t="s">
        <v>1323</v>
      </c>
      <c r="C233" s="717"/>
      <c r="D233" s="717"/>
      <c r="E233" s="917"/>
      <c r="F233" s="722" t="s">
        <v>240</v>
      </c>
      <c r="G233" s="806">
        <v>1850</v>
      </c>
      <c r="H233" s="796">
        <f t="shared" si="43"/>
        <v>0</v>
      </c>
      <c r="I233" s="807">
        <v>250</v>
      </c>
      <c r="J233" s="796">
        <f t="shared" si="44"/>
        <v>0</v>
      </c>
      <c r="K233" s="1030">
        <f t="shared" si="45"/>
        <v>0</v>
      </c>
      <c r="L233" s="919"/>
      <c r="M233" s="729"/>
      <c r="N233" s="729"/>
      <c r="O233" s="729"/>
      <c r="P233" s="729"/>
      <c r="Q233" s="729"/>
      <c r="R233" s="729"/>
    </row>
    <row r="234" spans="1:18" s="714" customFormat="1" ht="24" customHeight="1">
      <c r="A234" s="856" t="s">
        <v>1432</v>
      </c>
      <c r="B234" s="720" t="s">
        <v>1324</v>
      </c>
      <c r="C234" s="717"/>
      <c r="D234" s="717"/>
      <c r="E234" s="917">
        <v>2</v>
      </c>
      <c r="F234" s="722" t="s">
        <v>240</v>
      </c>
      <c r="G234" s="806">
        <v>2750</v>
      </c>
      <c r="H234" s="796">
        <f t="shared" si="43"/>
        <v>5500</v>
      </c>
      <c r="I234" s="807">
        <v>250</v>
      </c>
      <c r="J234" s="796">
        <f t="shared" si="44"/>
        <v>500</v>
      </c>
      <c r="K234" s="1030">
        <f t="shared" si="45"/>
        <v>6000</v>
      </c>
      <c r="L234" s="919"/>
      <c r="M234" s="729"/>
      <c r="N234" s="729"/>
      <c r="O234" s="729"/>
      <c r="P234" s="729"/>
      <c r="Q234" s="729"/>
      <c r="R234" s="729"/>
    </row>
    <row r="235" spans="1:18" s="714" customFormat="1" ht="24" customHeight="1">
      <c r="A235" s="856" t="s">
        <v>1433</v>
      </c>
      <c r="B235" s="720" t="s">
        <v>1325</v>
      </c>
      <c r="C235" s="717"/>
      <c r="D235" s="717"/>
      <c r="E235" s="917">
        <v>2</v>
      </c>
      <c r="F235" s="722" t="s">
        <v>240</v>
      </c>
      <c r="G235" s="806">
        <v>2750</v>
      </c>
      <c r="H235" s="796">
        <f t="shared" si="43"/>
        <v>5500</v>
      </c>
      <c r="I235" s="807">
        <v>250</v>
      </c>
      <c r="J235" s="796">
        <f t="shared" si="44"/>
        <v>500</v>
      </c>
      <c r="K235" s="966">
        <f t="shared" si="45"/>
        <v>6000</v>
      </c>
      <c r="L235" s="919"/>
      <c r="M235" s="729"/>
      <c r="N235" s="729"/>
      <c r="O235" s="729"/>
      <c r="P235" s="729"/>
      <c r="Q235" s="729"/>
      <c r="R235" s="729"/>
    </row>
    <row r="236" spans="1:18" s="714" customFormat="1" ht="24" customHeight="1">
      <c r="A236" s="856" t="s">
        <v>3070</v>
      </c>
      <c r="B236" s="720" t="s">
        <v>1326</v>
      </c>
      <c r="C236" s="717"/>
      <c r="D236" s="717"/>
      <c r="E236" s="917">
        <v>2</v>
      </c>
      <c r="F236" s="722" t="s">
        <v>240</v>
      </c>
      <c r="G236" s="806">
        <v>2750</v>
      </c>
      <c r="H236" s="796">
        <f t="shared" si="43"/>
        <v>5500</v>
      </c>
      <c r="I236" s="807">
        <v>250</v>
      </c>
      <c r="J236" s="796">
        <f t="shared" si="44"/>
        <v>500</v>
      </c>
      <c r="K236" s="966">
        <f t="shared" si="45"/>
        <v>6000</v>
      </c>
      <c r="L236" s="919"/>
      <c r="M236" s="729"/>
      <c r="N236" s="729"/>
      <c r="O236" s="729"/>
      <c r="P236" s="729"/>
      <c r="Q236" s="729"/>
      <c r="R236" s="729"/>
    </row>
    <row r="237" spans="1:18" s="714" customFormat="1" ht="24" customHeight="1">
      <c r="A237" s="856" t="s">
        <v>3071</v>
      </c>
      <c r="B237" s="720" t="s">
        <v>1327</v>
      </c>
      <c r="C237" s="717"/>
      <c r="D237" s="717"/>
      <c r="E237" s="917">
        <v>2</v>
      </c>
      <c r="F237" s="722" t="s">
        <v>240</v>
      </c>
      <c r="G237" s="806">
        <v>2750</v>
      </c>
      <c r="H237" s="796">
        <f t="shared" si="43"/>
        <v>5500</v>
      </c>
      <c r="I237" s="807">
        <v>250</v>
      </c>
      <c r="J237" s="796">
        <f t="shared" si="44"/>
        <v>500</v>
      </c>
      <c r="K237" s="966">
        <f t="shared" si="45"/>
        <v>6000</v>
      </c>
      <c r="L237" s="919"/>
      <c r="M237" s="729"/>
      <c r="N237" s="729"/>
      <c r="O237" s="729"/>
      <c r="P237" s="729"/>
      <c r="Q237" s="729"/>
      <c r="R237" s="729"/>
    </row>
    <row r="238" spans="1:18" s="714" customFormat="1" ht="24" customHeight="1">
      <c r="A238" s="856" t="s">
        <v>3072</v>
      </c>
      <c r="B238" s="720" t="s">
        <v>1328</v>
      </c>
      <c r="C238" s="717"/>
      <c r="D238" s="717"/>
      <c r="E238" s="917">
        <v>2</v>
      </c>
      <c r="F238" s="722" t="s">
        <v>240</v>
      </c>
      <c r="G238" s="806">
        <v>2750</v>
      </c>
      <c r="H238" s="796">
        <f t="shared" si="43"/>
        <v>5500</v>
      </c>
      <c r="I238" s="807">
        <v>250</v>
      </c>
      <c r="J238" s="796">
        <f t="shared" si="44"/>
        <v>500</v>
      </c>
      <c r="K238" s="966">
        <f t="shared" si="45"/>
        <v>6000</v>
      </c>
      <c r="L238" s="919"/>
      <c r="M238" s="729"/>
      <c r="N238" s="729"/>
      <c r="O238" s="729"/>
      <c r="P238" s="729"/>
      <c r="Q238" s="729"/>
      <c r="R238" s="729"/>
    </row>
    <row r="239" spans="1:18" s="714" customFormat="1" ht="24" customHeight="1">
      <c r="A239" s="856" t="s">
        <v>3073</v>
      </c>
      <c r="B239" s="720" t="s">
        <v>1329</v>
      </c>
      <c r="C239" s="717"/>
      <c r="D239" s="717"/>
      <c r="E239" s="917">
        <v>13</v>
      </c>
      <c r="F239" s="722" t="s">
        <v>240</v>
      </c>
      <c r="G239" s="806">
        <v>2750</v>
      </c>
      <c r="H239" s="796">
        <f t="shared" si="43"/>
        <v>35750</v>
      </c>
      <c r="I239" s="807">
        <v>250</v>
      </c>
      <c r="J239" s="796">
        <f t="shared" si="44"/>
        <v>3250</v>
      </c>
      <c r="K239" s="966">
        <f t="shared" si="45"/>
        <v>39000</v>
      </c>
      <c r="L239" s="919"/>
      <c r="M239" s="729"/>
      <c r="N239" s="729"/>
      <c r="O239" s="729"/>
      <c r="P239" s="729"/>
      <c r="Q239" s="729"/>
      <c r="R239" s="729"/>
    </row>
    <row r="240" spans="1:18" s="714" customFormat="1" ht="24" customHeight="1">
      <c r="A240" s="856" t="s">
        <v>3074</v>
      </c>
      <c r="B240" s="720" t="s">
        <v>1330</v>
      </c>
      <c r="C240" s="717"/>
      <c r="D240" s="717"/>
      <c r="E240" s="917">
        <v>4</v>
      </c>
      <c r="F240" s="722" t="s">
        <v>240</v>
      </c>
      <c r="G240" s="806">
        <v>2250</v>
      </c>
      <c r="H240" s="796">
        <f t="shared" si="43"/>
        <v>9000</v>
      </c>
      <c r="I240" s="807">
        <v>250</v>
      </c>
      <c r="J240" s="796">
        <f t="shared" si="44"/>
        <v>1000</v>
      </c>
      <c r="K240" s="966">
        <f t="shared" si="45"/>
        <v>10000</v>
      </c>
      <c r="L240" s="919"/>
      <c r="M240" s="729"/>
      <c r="N240" s="729"/>
      <c r="O240" s="729"/>
      <c r="P240" s="729"/>
      <c r="Q240" s="729"/>
      <c r="R240" s="729"/>
    </row>
    <row r="241" spans="1:18" s="714" customFormat="1" ht="24" customHeight="1">
      <c r="A241" s="856" t="s">
        <v>3075</v>
      </c>
      <c r="B241" s="720" t="s">
        <v>1331</v>
      </c>
      <c r="C241" s="717"/>
      <c r="D241" s="717"/>
      <c r="E241" s="917">
        <v>130</v>
      </c>
      <c r="F241" s="722" t="s">
        <v>240</v>
      </c>
      <c r="G241" s="806">
        <f>3300+300</f>
        <v>3600</v>
      </c>
      <c r="H241" s="796">
        <f t="shared" si="43"/>
        <v>468000</v>
      </c>
      <c r="I241" s="807">
        <v>200</v>
      </c>
      <c r="J241" s="796">
        <f t="shared" si="44"/>
        <v>26000</v>
      </c>
      <c r="K241" s="966">
        <f t="shared" si="45"/>
        <v>494000</v>
      </c>
      <c r="L241" s="919"/>
      <c r="M241" s="729"/>
      <c r="N241" s="729"/>
      <c r="O241" s="729"/>
      <c r="P241" s="729"/>
      <c r="Q241" s="729"/>
      <c r="R241" s="729"/>
    </row>
    <row r="242" spans="1:18" s="714" customFormat="1" ht="24" customHeight="1">
      <c r="A242" s="856" t="s">
        <v>3076</v>
      </c>
      <c r="B242" s="720" t="s">
        <v>1332</v>
      </c>
      <c r="C242" s="717"/>
      <c r="D242" s="717"/>
      <c r="E242" s="917">
        <v>6</v>
      </c>
      <c r="F242" s="722" t="s">
        <v>240</v>
      </c>
      <c r="G242" s="806">
        <v>5000</v>
      </c>
      <c r="H242" s="796">
        <f t="shared" si="43"/>
        <v>30000</v>
      </c>
      <c r="I242" s="807">
        <v>500</v>
      </c>
      <c r="J242" s="796">
        <f t="shared" si="44"/>
        <v>3000</v>
      </c>
      <c r="K242" s="966">
        <f t="shared" si="45"/>
        <v>33000</v>
      </c>
      <c r="L242" s="919"/>
      <c r="M242" s="729"/>
      <c r="N242" s="729"/>
      <c r="O242" s="729"/>
      <c r="P242" s="729"/>
      <c r="Q242" s="729"/>
      <c r="R242" s="729"/>
    </row>
    <row r="243" spans="1:18" s="714" customFormat="1" ht="24" customHeight="1">
      <c r="A243" s="856" t="s">
        <v>3077</v>
      </c>
      <c r="B243" s="720" t="s">
        <v>1333</v>
      </c>
      <c r="C243" s="717"/>
      <c r="D243" s="717"/>
      <c r="E243" s="917">
        <v>8</v>
      </c>
      <c r="F243" s="722" t="s">
        <v>240</v>
      </c>
      <c r="G243" s="806">
        <v>350</v>
      </c>
      <c r="H243" s="796">
        <f t="shared" si="43"/>
        <v>2800</v>
      </c>
      <c r="I243" s="807">
        <v>200</v>
      </c>
      <c r="J243" s="796">
        <f t="shared" si="44"/>
        <v>1600</v>
      </c>
      <c r="K243" s="966">
        <f t="shared" si="45"/>
        <v>4400</v>
      </c>
      <c r="L243" s="919"/>
      <c r="M243" s="729"/>
      <c r="N243" s="729"/>
      <c r="O243" s="729"/>
      <c r="P243" s="729"/>
      <c r="Q243" s="729"/>
      <c r="R243" s="729"/>
    </row>
    <row r="244" spans="1:18" s="714" customFormat="1" ht="24" customHeight="1">
      <c r="A244" s="856" t="s">
        <v>3078</v>
      </c>
      <c r="B244" s="720" t="s">
        <v>1334</v>
      </c>
      <c r="C244" s="717"/>
      <c r="D244" s="717"/>
      <c r="E244" s="917">
        <v>6</v>
      </c>
      <c r="F244" s="722" t="s">
        <v>240</v>
      </c>
      <c r="G244" s="806">
        <v>2200</v>
      </c>
      <c r="H244" s="796">
        <f t="shared" si="43"/>
        <v>13200</v>
      </c>
      <c r="I244" s="807">
        <v>200</v>
      </c>
      <c r="J244" s="796">
        <f t="shared" si="44"/>
        <v>1200</v>
      </c>
      <c r="K244" s="966">
        <f t="shared" si="45"/>
        <v>14400</v>
      </c>
      <c r="L244" s="919"/>
      <c r="M244" s="729"/>
      <c r="N244" s="729"/>
      <c r="O244" s="729"/>
      <c r="P244" s="729"/>
      <c r="Q244" s="729"/>
      <c r="R244" s="729"/>
    </row>
    <row r="245" spans="1:18" s="714" customFormat="1" ht="24" customHeight="1">
      <c r="A245" s="856" t="s">
        <v>3079</v>
      </c>
      <c r="B245" s="720" t="s">
        <v>1335</v>
      </c>
      <c r="C245" s="717"/>
      <c r="D245" s="717"/>
      <c r="E245" s="917">
        <v>17</v>
      </c>
      <c r="F245" s="722" t="s">
        <v>240</v>
      </c>
      <c r="G245" s="806">
        <v>4200</v>
      </c>
      <c r="H245" s="796">
        <f t="shared" si="43"/>
        <v>71400</v>
      </c>
      <c r="I245" s="807">
        <v>200</v>
      </c>
      <c r="J245" s="796">
        <f t="shared" si="44"/>
        <v>3400</v>
      </c>
      <c r="K245" s="966">
        <f t="shared" si="45"/>
        <v>74800</v>
      </c>
      <c r="L245" s="919"/>
      <c r="M245" s="729"/>
      <c r="N245" s="729"/>
      <c r="O245" s="729"/>
      <c r="P245" s="729"/>
      <c r="Q245" s="729"/>
      <c r="R245" s="729"/>
    </row>
    <row r="246" spans="1:18" s="714" customFormat="1" ht="24" customHeight="1">
      <c r="A246" s="856" t="s">
        <v>3080</v>
      </c>
      <c r="B246" s="720" t="s">
        <v>1336</v>
      </c>
      <c r="C246" s="717"/>
      <c r="D246" s="717"/>
      <c r="E246" s="917">
        <v>2</v>
      </c>
      <c r="F246" s="722" t="s">
        <v>240</v>
      </c>
      <c r="G246" s="806">
        <v>5000</v>
      </c>
      <c r="H246" s="796">
        <f t="shared" si="43"/>
        <v>10000</v>
      </c>
      <c r="I246" s="807">
        <v>500</v>
      </c>
      <c r="J246" s="796">
        <f t="shared" si="44"/>
        <v>1000</v>
      </c>
      <c r="K246" s="966">
        <f t="shared" si="45"/>
        <v>11000</v>
      </c>
      <c r="L246" s="919"/>
      <c r="M246" s="729"/>
      <c r="N246" s="729"/>
      <c r="O246" s="729"/>
      <c r="P246" s="729"/>
      <c r="Q246" s="729"/>
      <c r="R246" s="729"/>
    </row>
    <row r="247" spans="1:18" s="714" customFormat="1" ht="24" customHeight="1">
      <c r="A247" s="856" t="s">
        <v>3081</v>
      </c>
      <c r="B247" s="720" t="s">
        <v>1159</v>
      </c>
      <c r="C247" s="717"/>
      <c r="D247" s="717"/>
      <c r="E247" s="917"/>
      <c r="F247" s="916"/>
      <c r="G247" s="806"/>
      <c r="H247" s="796">
        <f t="shared" si="43"/>
        <v>0</v>
      </c>
      <c r="I247" s="807"/>
      <c r="J247" s="796">
        <f t="shared" si="44"/>
        <v>0</v>
      </c>
      <c r="K247" s="966">
        <f t="shared" si="45"/>
        <v>0</v>
      </c>
      <c r="L247" s="919"/>
      <c r="M247" s="729"/>
      <c r="N247" s="729"/>
      <c r="O247" s="729"/>
      <c r="P247" s="729"/>
      <c r="Q247" s="729"/>
      <c r="R247" s="729"/>
    </row>
    <row r="248" spans="1:18" s="714" customFormat="1" ht="24" customHeight="1">
      <c r="A248" s="831"/>
      <c r="B248" s="720" t="s">
        <v>1337</v>
      </c>
      <c r="C248" s="717"/>
      <c r="D248" s="717"/>
      <c r="E248" s="917">
        <v>1160</v>
      </c>
      <c r="F248" s="794" t="s">
        <v>438</v>
      </c>
      <c r="G248" s="806">
        <v>82</v>
      </c>
      <c r="H248" s="796">
        <f t="shared" si="43"/>
        <v>95120</v>
      </c>
      <c r="I248" s="807">
        <v>12</v>
      </c>
      <c r="J248" s="796">
        <f t="shared" si="44"/>
        <v>13920</v>
      </c>
      <c r="K248" s="966">
        <f t="shared" si="45"/>
        <v>109040</v>
      </c>
      <c r="L248" s="919"/>
      <c r="M248" s="729"/>
      <c r="N248" s="729"/>
      <c r="O248" s="729"/>
      <c r="P248" s="729"/>
      <c r="Q248" s="729"/>
      <c r="R248" s="729"/>
    </row>
    <row r="249" spans="1:18" s="714" customFormat="1" ht="24" customHeight="1">
      <c r="A249" s="831"/>
      <c r="B249" s="720" t="s">
        <v>2920</v>
      </c>
      <c r="C249" s="717"/>
      <c r="D249" s="717"/>
      <c r="E249" s="917">
        <v>920</v>
      </c>
      <c r="F249" s="794" t="s">
        <v>438</v>
      </c>
      <c r="G249" s="806">
        <v>6</v>
      </c>
      <c r="H249" s="796">
        <f t="shared" si="43"/>
        <v>5520</v>
      </c>
      <c r="I249" s="807">
        <v>6</v>
      </c>
      <c r="J249" s="796">
        <f t="shared" si="44"/>
        <v>5520</v>
      </c>
      <c r="K249" s="966">
        <f t="shared" si="45"/>
        <v>11040</v>
      </c>
      <c r="L249" s="919"/>
      <c r="M249" s="729"/>
      <c r="N249" s="729"/>
      <c r="O249" s="729"/>
      <c r="P249" s="729"/>
      <c r="Q249" s="729"/>
      <c r="R249" s="729"/>
    </row>
    <row r="250" spans="1:18" s="714" customFormat="1" ht="24" customHeight="1">
      <c r="A250" s="831"/>
      <c r="B250" s="720" t="s">
        <v>2921</v>
      </c>
      <c r="C250" s="717"/>
      <c r="D250" s="717"/>
      <c r="E250" s="917">
        <v>892</v>
      </c>
      <c r="F250" s="794" t="s">
        <v>438</v>
      </c>
      <c r="G250" s="806">
        <v>18</v>
      </c>
      <c r="H250" s="796">
        <f t="shared" si="43"/>
        <v>16056</v>
      </c>
      <c r="I250" s="807">
        <v>8</v>
      </c>
      <c r="J250" s="796">
        <f t="shared" si="44"/>
        <v>7136</v>
      </c>
      <c r="K250" s="966">
        <f t="shared" si="45"/>
        <v>23192</v>
      </c>
      <c r="L250" s="919"/>
      <c r="M250" s="729"/>
      <c r="N250" s="729"/>
      <c r="O250" s="729"/>
      <c r="P250" s="729"/>
      <c r="Q250" s="729"/>
      <c r="R250" s="729"/>
    </row>
    <row r="251" spans="1:18" s="714" customFormat="1" ht="24" customHeight="1">
      <c r="A251" s="831"/>
      <c r="B251" s="720" t="s">
        <v>1338</v>
      </c>
      <c r="C251" s="717"/>
      <c r="D251" s="717"/>
      <c r="E251" s="917">
        <v>1</v>
      </c>
      <c r="F251" s="916" t="s">
        <v>948</v>
      </c>
      <c r="G251" s="806">
        <f>ROUND(SUM(H248:H250)*5%,)</f>
        <v>5835</v>
      </c>
      <c r="H251" s="796">
        <f t="shared" si="43"/>
        <v>5835</v>
      </c>
      <c r="I251" s="949">
        <f>ROUND(G251*0.3,)</f>
        <v>1751</v>
      </c>
      <c r="J251" s="796">
        <f t="shared" si="44"/>
        <v>1751</v>
      </c>
      <c r="K251" s="966">
        <f t="shared" si="45"/>
        <v>7586</v>
      </c>
      <c r="L251" s="919"/>
      <c r="M251" s="729"/>
      <c r="N251" s="729"/>
      <c r="O251" s="729"/>
      <c r="P251" s="729"/>
      <c r="Q251" s="729"/>
      <c r="R251" s="729"/>
    </row>
    <row r="252" spans="1:18" s="714" customFormat="1" ht="24" customHeight="1">
      <c r="A252" s="856" t="s">
        <v>3082</v>
      </c>
      <c r="B252" s="720" t="s">
        <v>1357</v>
      </c>
      <c r="C252" s="717"/>
      <c r="D252" s="717"/>
      <c r="E252" s="942"/>
      <c r="F252" s="916"/>
      <c r="G252" s="806"/>
      <c r="H252" s="796"/>
      <c r="I252" s="807"/>
      <c r="J252" s="796"/>
      <c r="K252" s="914"/>
      <c r="L252" s="919"/>
      <c r="M252" s="729"/>
      <c r="N252" s="729"/>
      <c r="O252" s="729"/>
      <c r="P252" s="729"/>
    </row>
    <row r="253" spans="1:18" s="714" customFormat="1" ht="24" customHeight="1">
      <c r="A253" s="831"/>
      <c r="B253" s="720" t="s">
        <v>1201</v>
      </c>
      <c r="C253" s="717"/>
      <c r="D253" s="717"/>
      <c r="E253" s="917">
        <v>460</v>
      </c>
      <c r="F253" s="794" t="s">
        <v>438</v>
      </c>
      <c r="G253" s="806">
        <v>27</v>
      </c>
      <c r="H253" s="796">
        <f t="shared" ref="H253:H254" si="46">ROUND(E253*G253,)</f>
        <v>12420</v>
      </c>
      <c r="I253" s="807">
        <v>22</v>
      </c>
      <c r="J253" s="796">
        <f t="shared" ref="J253:J254" si="47">ROUND(E253*I253,)</f>
        <v>10120</v>
      </c>
      <c r="K253" s="1030">
        <f t="shared" ref="K253:K254" si="48">H253+J253</f>
        <v>22540</v>
      </c>
      <c r="L253" s="1718" t="s">
        <v>2974</v>
      </c>
      <c r="M253" s="729"/>
      <c r="P253" s="729"/>
    </row>
    <row r="254" spans="1:18" s="714" customFormat="1" ht="24" customHeight="1">
      <c r="A254" s="831"/>
      <c r="B254" s="720" t="s">
        <v>1237</v>
      </c>
      <c r="C254" s="717"/>
      <c r="D254" s="717"/>
      <c r="E254" s="917">
        <v>1</v>
      </c>
      <c r="F254" s="916" t="s">
        <v>948</v>
      </c>
      <c r="G254" s="806">
        <f>ROUND(SUM(H253)*15%,)</f>
        <v>1863</v>
      </c>
      <c r="H254" s="796">
        <f t="shared" si="46"/>
        <v>1863</v>
      </c>
      <c r="I254" s="807">
        <f>ROUND(G254*0.3,)</f>
        <v>559</v>
      </c>
      <c r="J254" s="796">
        <f t="shared" si="47"/>
        <v>559</v>
      </c>
      <c r="K254" s="914">
        <f t="shared" si="48"/>
        <v>2422</v>
      </c>
      <c r="L254" s="919"/>
      <c r="M254" s="729"/>
      <c r="N254" s="729"/>
      <c r="O254" s="729"/>
      <c r="P254" s="729"/>
    </row>
    <row r="255" spans="1:18" s="714" customFormat="1" ht="24" customHeight="1">
      <c r="A255" s="856" t="s">
        <v>3083</v>
      </c>
      <c r="B255" s="720" t="s">
        <v>950</v>
      </c>
      <c r="C255" s="717"/>
      <c r="D255" s="717"/>
      <c r="E255" s="917"/>
      <c r="F255" s="916"/>
      <c r="G255" s="806"/>
      <c r="H255" s="796">
        <f t="shared" si="43"/>
        <v>0</v>
      </c>
      <c r="I255" s="807"/>
      <c r="J255" s="796">
        <f t="shared" si="44"/>
        <v>0</v>
      </c>
      <c r="K255" s="966">
        <f t="shared" si="45"/>
        <v>0</v>
      </c>
      <c r="L255" s="1718"/>
      <c r="M255" s="729"/>
      <c r="P255" s="729"/>
      <c r="Q255" s="729"/>
      <c r="R255" s="729"/>
    </row>
    <row r="256" spans="1:18" s="714" customFormat="1" ht="24" customHeight="1">
      <c r="A256" s="831"/>
      <c r="B256" s="720" t="s">
        <v>1184</v>
      </c>
      <c r="C256" s="717"/>
      <c r="D256" s="717"/>
      <c r="E256" s="917">
        <v>2052</v>
      </c>
      <c r="F256" s="794" t="s">
        <v>438</v>
      </c>
      <c r="G256" s="806">
        <v>75</v>
      </c>
      <c r="H256" s="796">
        <f t="shared" si="43"/>
        <v>153900</v>
      </c>
      <c r="I256" s="807">
        <v>28</v>
      </c>
      <c r="J256" s="796">
        <f t="shared" si="44"/>
        <v>57456</v>
      </c>
      <c r="K256" s="966">
        <f t="shared" si="45"/>
        <v>211356</v>
      </c>
      <c r="L256" s="1718" t="s">
        <v>2974</v>
      </c>
      <c r="P256" s="729"/>
      <c r="Q256" s="729"/>
      <c r="R256" s="729"/>
    </row>
    <row r="257" spans="1:18" s="714" customFormat="1" ht="24" customHeight="1">
      <c r="A257" s="831"/>
      <c r="B257" s="720" t="s">
        <v>952</v>
      </c>
      <c r="C257" s="717"/>
      <c r="D257" s="717"/>
      <c r="E257" s="917">
        <v>1</v>
      </c>
      <c r="F257" s="916" t="s">
        <v>948</v>
      </c>
      <c r="G257" s="806">
        <f>ROUND(SUM(H256:H256)*15%,)</f>
        <v>23085</v>
      </c>
      <c r="H257" s="796">
        <f t="shared" si="43"/>
        <v>23085</v>
      </c>
      <c r="I257" s="949">
        <f>ROUND(G257*0.3,)</f>
        <v>6926</v>
      </c>
      <c r="J257" s="796">
        <f t="shared" si="44"/>
        <v>6926</v>
      </c>
      <c r="K257" s="966">
        <f t="shared" si="45"/>
        <v>30011</v>
      </c>
      <c r="L257" s="919"/>
      <c r="M257" s="729"/>
      <c r="N257" s="729"/>
      <c r="O257" s="729"/>
      <c r="P257" s="729"/>
      <c r="Q257" s="729"/>
      <c r="R257" s="729"/>
    </row>
    <row r="258" spans="1:18" s="714" customFormat="1" ht="24" customHeight="1">
      <c r="A258" s="856" t="s">
        <v>3084</v>
      </c>
      <c r="B258" s="720" t="s">
        <v>1281</v>
      </c>
      <c r="C258" s="717"/>
      <c r="D258" s="717"/>
      <c r="E258" s="917"/>
      <c r="F258" s="916"/>
      <c r="G258" s="806"/>
      <c r="H258" s="796">
        <f t="shared" si="43"/>
        <v>0</v>
      </c>
      <c r="I258" s="807"/>
      <c r="J258" s="796">
        <f t="shared" si="44"/>
        <v>0</v>
      </c>
      <c r="K258" s="966">
        <f t="shared" si="45"/>
        <v>0</v>
      </c>
      <c r="L258" s="919"/>
      <c r="M258" s="729"/>
      <c r="N258" s="729"/>
      <c r="O258" s="729"/>
      <c r="P258" s="729"/>
      <c r="Q258" s="729"/>
      <c r="R258" s="729"/>
    </row>
    <row r="259" spans="1:18" s="714" customFormat="1" ht="24" customHeight="1">
      <c r="A259" s="831"/>
      <c r="B259" s="720" t="s">
        <v>1201</v>
      </c>
      <c r="C259" s="717"/>
      <c r="D259" s="717"/>
      <c r="E259" s="917">
        <f>E241</f>
        <v>130</v>
      </c>
      <c r="F259" s="794" t="s">
        <v>438</v>
      </c>
      <c r="G259" s="806">
        <v>14</v>
      </c>
      <c r="H259" s="796">
        <f t="shared" si="43"/>
        <v>1820</v>
      </c>
      <c r="I259" s="807">
        <v>11</v>
      </c>
      <c r="J259" s="796">
        <f t="shared" si="44"/>
        <v>1430</v>
      </c>
      <c r="K259" s="966">
        <f t="shared" si="45"/>
        <v>3250</v>
      </c>
      <c r="L259" s="919"/>
      <c r="M259" s="729"/>
      <c r="N259" s="729"/>
      <c r="O259" s="729"/>
      <c r="P259" s="729"/>
      <c r="Q259" s="729"/>
      <c r="R259" s="729"/>
    </row>
    <row r="260" spans="1:18" s="714" customFormat="1" ht="24" customHeight="1">
      <c r="A260" s="831"/>
      <c r="B260" s="720" t="s">
        <v>957</v>
      </c>
      <c r="C260" s="717"/>
      <c r="D260" s="717"/>
      <c r="E260" s="917"/>
      <c r="F260" s="916"/>
      <c r="G260" s="806"/>
      <c r="H260" s="918"/>
      <c r="I260" s="807"/>
      <c r="J260" s="919"/>
      <c r="K260" s="919"/>
      <c r="L260" s="919"/>
      <c r="M260" s="729"/>
      <c r="N260" s="729"/>
      <c r="O260" s="729"/>
      <c r="P260" s="729"/>
      <c r="Q260" s="729"/>
      <c r="R260" s="729"/>
    </row>
    <row r="261" spans="1:18" s="714" customFormat="1" ht="24" customHeight="1">
      <c r="A261" s="775"/>
      <c r="B261" s="2475" t="str">
        <f>"รวมราคารายการที่ "&amp;A227</f>
        <v>รวมราคารายการที่ 3.9</v>
      </c>
      <c r="C261" s="2476"/>
      <c r="D261" s="2477"/>
      <c r="E261" s="776"/>
      <c r="F261" s="777"/>
      <c r="G261" s="959"/>
      <c r="H261" s="960">
        <f>SUM(H228:H260)</f>
        <v>1114669</v>
      </c>
      <c r="I261" s="959"/>
      <c r="J261" s="960">
        <f t="shared" ref="J261" si="49">SUM(J228:J260)</f>
        <v>162468</v>
      </c>
      <c r="K261" s="960">
        <f>SUM(K228:K260)</f>
        <v>1277137</v>
      </c>
      <c r="L261" s="777"/>
      <c r="M261" s="729"/>
      <c r="N261" s="729"/>
      <c r="O261" s="729"/>
      <c r="P261" s="729"/>
      <c r="Q261" s="729"/>
      <c r="R261" s="729"/>
    </row>
    <row r="262" spans="1:18" s="714" customFormat="1" ht="24" customHeight="1">
      <c r="A262" s="911" t="s">
        <v>1158</v>
      </c>
      <c r="B262" s="816" t="s">
        <v>1241</v>
      </c>
      <c r="C262" s="770"/>
      <c r="D262" s="770"/>
      <c r="E262" s="930"/>
      <c r="F262" s="939"/>
      <c r="G262" s="932"/>
      <c r="H262" s="933"/>
      <c r="I262" s="934"/>
      <c r="J262" s="935"/>
      <c r="K262" s="935"/>
      <c r="L262" s="935"/>
      <c r="M262" s="729"/>
      <c r="N262" s="729"/>
      <c r="O262" s="729"/>
      <c r="P262" s="729"/>
      <c r="Q262" s="729"/>
      <c r="R262" s="729"/>
    </row>
    <row r="263" spans="1:18" s="714" customFormat="1" ht="24" customHeight="1">
      <c r="A263" s="831" t="s">
        <v>1160</v>
      </c>
      <c r="B263" s="720" t="s">
        <v>1423</v>
      </c>
      <c r="C263" s="717"/>
      <c r="D263" s="717"/>
      <c r="E263" s="917"/>
      <c r="F263" s="940" t="s">
        <v>240</v>
      </c>
      <c r="G263" s="806">
        <v>200</v>
      </c>
      <c r="H263" s="796">
        <f t="shared" ref="H263" si="50">ROUND(E263*G263,)</f>
        <v>0</v>
      </c>
      <c r="I263" s="807">
        <v>90</v>
      </c>
      <c r="J263" s="796">
        <f t="shared" ref="J263" si="51">ROUND(E263*I263,)</f>
        <v>0</v>
      </c>
      <c r="K263" s="1030">
        <f t="shared" ref="K263:K278" si="52">H263+J263</f>
        <v>0</v>
      </c>
      <c r="L263" s="919"/>
      <c r="M263" s="729"/>
      <c r="N263" s="729"/>
      <c r="O263" s="729"/>
      <c r="P263" s="729"/>
      <c r="Q263" s="729"/>
      <c r="R263" s="729"/>
    </row>
    <row r="264" spans="1:18" s="714" customFormat="1" ht="24" customHeight="1">
      <c r="A264" s="831" t="s">
        <v>1362</v>
      </c>
      <c r="B264" s="720" t="s">
        <v>1460</v>
      </c>
      <c r="C264" s="717"/>
      <c r="D264" s="717"/>
      <c r="E264" s="917"/>
      <c r="F264" s="940"/>
      <c r="G264" s="806"/>
      <c r="H264" s="796"/>
      <c r="I264" s="807"/>
      <c r="J264" s="796"/>
      <c r="K264" s="1030">
        <f t="shared" si="52"/>
        <v>0</v>
      </c>
      <c r="L264" s="919"/>
      <c r="M264" s="729"/>
      <c r="N264" s="729"/>
      <c r="O264" s="729"/>
      <c r="P264" s="729"/>
      <c r="Q264" s="729"/>
      <c r="R264" s="729"/>
    </row>
    <row r="265" spans="1:18" s="714" customFormat="1" ht="24" customHeight="1">
      <c r="A265" s="831"/>
      <c r="B265" s="720" t="s">
        <v>1244</v>
      </c>
      <c r="C265" s="717"/>
      <c r="D265" s="717"/>
      <c r="E265" s="917">
        <v>2</v>
      </c>
      <c r="F265" s="940" t="s">
        <v>240</v>
      </c>
      <c r="G265" s="806">
        <v>27500</v>
      </c>
      <c r="H265" s="796">
        <f t="shared" ref="H265:H269" si="53">ROUND(E265*G265,)</f>
        <v>55000</v>
      </c>
      <c r="I265" s="807">
        <f>CEILING(G265*0.3,100)</f>
        <v>8300</v>
      </c>
      <c r="J265" s="796">
        <f t="shared" ref="J265:J267" si="54">ROUND(E265*I265,)</f>
        <v>16600</v>
      </c>
      <c r="K265" s="1030">
        <f t="shared" si="52"/>
        <v>71600</v>
      </c>
      <c r="L265" s="919"/>
      <c r="M265" s="729"/>
      <c r="N265" s="729"/>
      <c r="O265" s="729"/>
      <c r="P265" s="729"/>
      <c r="Q265" s="729"/>
      <c r="R265" s="729"/>
    </row>
    <row r="266" spans="1:18" s="714" customFormat="1" ht="24" customHeight="1">
      <c r="A266" s="831"/>
      <c r="B266" s="720" t="s">
        <v>1245</v>
      </c>
      <c r="C266" s="717"/>
      <c r="D266" s="717"/>
      <c r="E266" s="917">
        <v>2</v>
      </c>
      <c r="F266" s="940" t="s">
        <v>240</v>
      </c>
      <c r="G266" s="806">
        <v>3000</v>
      </c>
      <c r="H266" s="796">
        <f t="shared" si="53"/>
        <v>6000</v>
      </c>
      <c r="I266" s="807"/>
      <c r="J266" s="796">
        <f t="shared" si="54"/>
        <v>0</v>
      </c>
      <c r="K266" s="1030">
        <f t="shared" si="52"/>
        <v>6000</v>
      </c>
      <c r="L266" s="919"/>
      <c r="M266" s="729"/>
      <c r="N266" s="729"/>
      <c r="O266" s="729"/>
      <c r="P266" s="729"/>
      <c r="Q266" s="729"/>
      <c r="R266" s="729"/>
    </row>
    <row r="267" spans="1:18" s="714" customFormat="1" ht="24" customHeight="1">
      <c r="A267" s="831"/>
      <c r="B267" s="720" t="s">
        <v>1425</v>
      </c>
      <c r="C267" s="717"/>
      <c r="D267" s="717"/>
      <c r="E267" s="917">
        <v>2</v>
      </c>
      <c r="F267" s="940" t="s">
        <v>240</v>
      </c>
      <c r="G267" s="806">
        <v>5700</v>
      </c>
      <c r="H267" s="796">
        <f t="shared" si="53"/>
        <v>11400</v>
      </c>
      <c r="I267" s="807"/>
      <c r="J267" s="796">
        <f t="shared" si="54"/>
        <v>0</v>
      </c>
      <c r="K267" s="1030">
        <f t="shared" si="52"/>
        <v>11400</v>
      </c>
      <c r="L267" s="919"/>
      <c r="M267" s="729"/>
      <c r="N267" s="729"/>
      <c r="O267" s="729"/>
      <c r="P267" s="729"/>
      <c r="Q267" s="729"/>
      <c r="R267" s="729"/>
    </row>
    <row r="268" spans="1:18" s="714" customFormat="1" ht="24" customHeight="1">
      <c r="A268" s="831"/>
      <c r="B268" s="720" t="s">
        <v>1246</v>
      </c>
      <c r="C268" s="717"/>
      <c r="D268" s="717"/>
      <c r="E268" s="917">
        <f>E265*24</f>
        <v>48</v>
      </c>
      <c r="F268" s="940" t="s">
        <v>240</v>
      </c>
      <c r="G268" s="806">
        <v>255</v>
      </c>
      <c r="H268" s="796">
        <f t="shared" si="53"/>
        <v>12240</v>
      </c>
      <c r="I268" s="807"/>
      <c r="J268" s="796"/>
      <c r="K268" s="1030">
        <f t="shared" si="52"/>
        <v>12240</v>
      </c>
      <c r="L268" s="919"/>
      <c r="M268" s="729"/>
      <c r="N268" s="729"/>
      <c r="O268" s="729"/>
      <c r="P268" s="729"/>
      <c r="Q268" s="729"/>
      <c r="R268" s="729"/>
    </row>
    <row r="269" spans="1:18" s="714" customFormat="1" ht="24" customHeight="1">
      <c r="A269" s="831"/>
      <c r="B269" s="720" t="s">
        <v>1426</v>
      </c>
      <c r="C269" s="717"/>
      <c r="D269" s="717"/>
      <c r="E269" s="917">
        <f>E266*24</f>
        <v>48</v>
      </c>
      <c r="F269" s="940" t="s">
        <v>240</v>
      </c>
      <c r="G269" s="806">
        <v>190</v>
      </c>
      <c r="H269" s="796">
        <f t="shared" si="53"/>
        <v>9120</v>
      </c>
      <c r="I269" s="807"/>
      <c r="J269" s="796"/>
      <c r="K269" s="1030">
        <f t="shared" si="52"/>
        <v>9120</v>
      </c>
      <c r="L269" s="919"/>
      <c r="M269" s="729"/>
      <c r="N269" s="729"/>
      <c r="O269" s="729"/>
      <c r="P269" s="729"/>
      <c r="Q269" s="729"/>
      <c r="R269" s="729"/>
    </row>
    <row r="270" spans="1:18" s="714" customFormat="1" ht="24" customHeight="1">
      <c r="A270" s="831" t="s">
        <v>1366</v>
      </c>
      <c r="B270" s="720" t="s">
        <v>1378</v>
      </c>
      <c r="C270" s="717"/>
      <c r="D270" s="717"/>
      <c r="E270" s="917"/>
      <c r="F270" s="941"/>
      <c r="G270" s="806"/>
      <c r="H270" s="918"/>
      <c r="I270" s="807"/>
      <c r="J270" s="919"/>
      <c r="K270" s="1030">
        <f t="shared" si="52"/>
        <v>0</v>
      </c>
      <c r="L270" s="919"/>
      <c r="M270" s="729"/>
      <c r="N270" s="729"/>
      <c r="O270" s="729"/>
      <c r="P270" s="729"/>
      <c r="Q270" s="729"/>
      <c r="R270" s="729"/>
    </row>
    <row r="271" spans="1:18" s="714" customFormat="1" ht="24" customHeight="1">
      <c r="A271" s="831"/>
      <c r="B271" s="720" t="s">
        <v>1385</v>
      </c>
      <c r="C271" s="717"/>
      <c r="D271" s="717"/>
      <c r="E271" s="917">
        <f>E263*50</f>
        <v>0</v>
      </c>
      <c r="F271" s="794" t="s">
        <v>438</v>
      </c>
      <c r="G271" s="806">
        <v>24</v>
      </c>
      <c r="H271" s="796">
        <f t="shared" ref="H271" si="55">ROUND(G271*E271,)</f>
        <v>0</v>
      </c>
      <c r="I271" s="807">
        <v>5</v>
      </c>
      <c r="J271" s="796">
        <f t="shared" ref="J271:J272" si="56">ROUND(E271*I271,)</f>
        <v>0</v>
      </c>
      <c r="K271" s="1030">
        <f t="shared" si="52"/>
        <v>0</v>
      </c>
      <c r="L271" s="919"/>
      <c r="M271" s="729"/>
      <c r="N271" s="729"/>
      <c r="O271" s="729"/>
      <c r="P271" s="729"/>
      <c r="Q271" s="729"/>
      <c r="R271" s="729"/>
    </row>
    <row r="272" spans="1:18" s="714" customFormat="1" ht="24" customHeight="1">
      <c r="A272" s="831"/>
      <c r="B272" s="720" t="s">
        <v>1338</v>
      </c>
      <c r="C272" s="717"/>
      <c r="D272" s="717"/>
      <c r="E272" s="917">
        <v>1</v>
      </c>
      <c r="F272" s="916" t="s">
        <v>948</v>
      </c>
      <c r="G272" s="806">
        <f>SUM(H271)*5%</f>
        <v>0</v>
      </c>
      <c r="H272" s="796">
        <f t="shared" ref="H272" si="57">ROUND(E272*G272,)</f>
        <v>0</v>
      </c>
      <c r="I272" s="807">
        <f>G272*0.3</f>
        <v>0</v>
      </c>
      <c r="J272" s="796">
        <f t="shared" si="56"/>
        <v>0</v>
      </c>
      <c r="K272" s="1030">
        <f t="shared" si="52"/>
        <v>0</v>
      </c>
      <c r="L272" s="919"/>
      <c r="M272" s="729"/>
      <c r="N272" s="729"/>
      <c r="O272" s="729"/>
      <c r="P272" s="729"/>
      <c r="Q272" s="729"/>
      <c r="R272" s="729"/>
    </row>
    <row r="273" spans="1:18" s="714" customFormat="1" ht="24" customHeight="1">
      <c r="A273" s="831" t="s">
        <v>3024</v>
      </c>
      <c r="B273" s="720" t="s">
        <v>1357</v>
      </c>
      <c r="C273" s="717"/>
      <c r="D273" s="717"/>
      <c r="E273" s="917"/>
      <c r="F273" s="941"/>
      <c r="G273" s="806"/>
      <c r="H273" s="918"/>
      <c r="I273" s="807"/>
      <c r="J273" s="919"/>
      <c r="K273" s="1030">
        <f t="shared" si="52"/>
        <v>0</v>
      </c>
      <c r="L273" s="919"/>
      <c r="M273" s="729"/>
      <c r="N273" s="729"/>
      <c r="O273" s="729"/>
      <c r="P273" s="729"/>
      <c r="Q273" s="729"/>
      <c r="R273" s="729"/>
    </row>
    <row r="274" spans="1:18" s="714" customFormat="1" ht="24" customHeight="1">
      <c r="A274" s="831"/>
      <c r="B274" s="720" t="s">
        <v>1201</v>
      </c>
      <c r="C274" s="717"/>
      <c r="D274" s="717"/>
      <c r="E274" s="917">
        <f>E271-E277</f>
        <v>0</v>
      </c>
      <c r="F274" s="794" t="s">
        <v>438</v>
      </c>
      <c r="G274" s="806">
        <v>27</v>
      </c>
      <c r="H274" s="796">
        <f t="shared" ref="H274:H275" si="58">ROUND(G274*E274,)</f>
        <v>0</v>
      </c>
      <c r="I274" s="807">
        <v>22</v>
      </c>
      <c r="J274" s="796">
        <f t="shared" ref="J274:J275" si="59">ROUND(E274*I274,)</f>
        <v>0</v>
      </c>
      <c r="K274" s="1030">
        <f t="shared" si="52"/>
        <v>0</v>
      </c>
      <c r="L274" s="1718" t="s">
        <v>2974</v>
      </c>
      <c r="M274" s="729"/>
      <c r="P274" s="729"/>
      <c r="Q274" s="729"/>
      <c r="R274" s="729"/>
    </row>
    <row r="275" spans="1:18" s="714" customFormat="1" ht="24" customHeight="1">
      <c r="A275" s="831"/>
      <c r="B275" s="720" t="s">
        <v>1237</v>
      </c>
      <c r="C275" s="717"/>
      <c r="D275" s="717"/>
      <c r="E275" s="917"/>
      <c r="F275" s="941" t="s">
        <v>948</v>
      </c>
      <c r="G275" s="806">
        <f>SUM(H274:H274)*15%</f>
        <v>0</v>
      </c>
      <c r="H275" s="796">
        <f t="shared" si="58"/>
        <v>0</v>
      </c>
      <c r="I275" s="807">
        <f>G275*0.3</f>
        <v>0</v>
      </c>
      <c r="J275" s="796">
        <f t="shared" si="59"/>
        <v>0</v>
      </c>
      <c r="K275" s="1030">
        <f t="shared" si="52"/>
        <v>0</v>
      </c>
      <c r="L275" s="919"/>
      <c r="M275" s="729"/>
      <c r="N275" s="729"/>
      <c r="O275" s="729"/>
      <c r="P275" s="729"/>
      <c r="Q275" s="729"/>
      <c r="R275" s="729"/>
    </row>
    <row r="276" spans="1:18" s="714" customFormat="1" ht="24" customHeight="1">
      <c r="A276" s="831" t="s">
        <v>1369</v>
      </c>
      <c r="B276" s="720" t="s">
        <v>950</v>
      </c>
      <c r="C276" s="717"/>
      <c r="D276" s="717"/>
      <c r="E276" s="917"/>
      <c r="F276" s="941"/>
      <c r="G276" s="806"/>
      <c r="H276" s="918"/>
      <c r="I276" s="807"/>
      <c r="J276" s="919"/>
      <c r="K276" s="1030">
        <f t="shared" si="52"/>
        <v>0</v>
      </c>
      <c r="L276" s="919"/>
      <c r="M276" s="729"/>
      <c r="N276" s="729"/>
      <c r="O276" s="729"/>
      <c r="P276" s="729"/>
      <c r="Q276" s="729"/>
      <c r="R276" s="729"/>
    </row>
    <row r="277" spans="1:18" s="714" customFormat="1" ht="24" customHeight="1">
      <c r="A277" s="831"/>
      <c r="B277" s="720" t="s">
        <v>1201</v>
      </c>
      <c r="C277" s="717"/>
      <c r="D277" s="717"/>
      <c r="E277" s="917">
        <f>E263*3</f>
        <v>0</v>
      </c>
      <c r="F277" s="794" t="s">
        <v>438</v>
      </c>
      <c r="G277" s="806">
        <v>56</v>
      </c>
      <c r="H277" s="796">
        <f t="shared" ref="H277:H278" si="60">ROUND(G277*E277,)</f>
        <v>0</v>
      </c>
      <c r="I277" s="807">
        <v>26</v>
      </c>
      <c r="J277" s="796">
        <f t="shared" ref="J277:J278" si="61">ROUND(E277*I277,)</f>
        <v>0</v>
      </c>
      <c r="K277" s="1030">
        <f t="shared" si="52"/>
        <v>0</v>
      </c>
      <c r="L277" s="1718" t="s">
        <v>2974</v>
      </c>
      <c r="M277" s="729"/>
      <c r="P277" s="729"/>
      <c r="Q277" s="729"/>
      <c r="R277" s="729"/>
    </row>
    <row r="278" spans="1:18" s="714" customFormat="1" ht="24" customHeight="1">
      <c r="A278" s="831"/>
      <c r="B278" s="720" t="s">
        <v>1237</v>
      </c>
      <c r="C278" s="717"/>
      <c r="D278" s="717"/>
      <c r="E278" s="917">
        <v>1</v>
      </c>
      <c r="F278" s="941" t="s">
        <v>948</v>
      </c>
      <c r="G278" s="806">
        <f>SUM(H277:H277)*15%</f>
        <v>0</v>
      </c>
      <c r="H278" s="796">
        <f t="shared" si="60"/>
        <v>0</v>
      </c>
      <c r="I278" s="807">
        <f>G278*0.3</f>
        <v>0</v>
      </c>
      <c r="J278" s="796">
        <f t="shared" si="61"/>
        <v>0</v>
      </c>
      <c r="K278" s="1030">
        <f t="shared" si="52"/>
        <v>0</v>
      </c>
      <c r="L278" s="919"/>
      <c r="M278" s="729"/>
      <c r="N278" s="729"/>
      <c r="O278" s="729"/>
      <c r="P278" s="729"/>
      <c r="Q278" s="729"/>
      <c r="R278" s="729"/>
    </row>
    <row r="279" spans="1:18" s="714" customFormat="1" ht="24" customHeight="1">
      <c r="A279" s="831"/>
      <c r="B279" s="720" t="s">
        <v>957</v>
      </c>
      <c r="C279" s="717"/>
      <c r="D279" s="717"/>
      <c r="E279" s="917"/>
      <c r="F279" s="941"/>
      <c r="G279" s="806"/>
      <c r="H279" s="796"/>
      <c r="I279" s="807"/>
      <c r="J279" s="796"/>
      <c r="K279" s="1030"/>
      <c r="L279" s="919"/>
      <c r="M279" s="729"/>
      <c r="N279" s="729"/>
      <c r="O279" s="729"/>
      <c r="P279" s="729"/>
      <c r="Q279" s="729"/>
      <c r="R279" s="729"/>
    </row>
    <row r="280" spans="1:18" s="714" customFormat="1" ht="24" customHeight="1">
      <c r="A280" s="831"/>
      <c r="B280" s="720" t="s">
        <v>1239</v>
      </c>
      <c r="C280" s="717"/>
      <c r="D280" s="717"/>
      <c r="E280" s="917"/>
      <c r="F280" s="941"/>
      <c r="G280" s="806"/>
      <c r="H280" s="918"/>
      <c r="I280" s="807"/>
      <c r="J280" s="919"/>
      <c r="K280" s="1030"/>
      <c r="L280" s="919"/>
      <c r="M280" s="729"/>
      <c r="N280" s="729"/>
      <c r="O280" s="729"/>
      <c r="P280" s="729"/>
      <c r="Q280" s="729"/>
      <c r="R280" s="729"/>
    </row>
    <row r="281" spans="1:18" s="714" customFormat="1" ht="24" customHeight="1">
      <c r="A281" s="831"/>
      <c r="B281" s="720" t="s">
        <v>1239</v>
      </c>
      <c r="C281" s="717"/>
      <c r="D281" s="717"/>
      <c r="E281" s="917"/>
      <c r="F281" s="794"/>
      <c r="G281" s="806"/>
      <c r="H281" s="796"/>
      <c r="I281" s="807"/>
      <c r="J281" s="796"/>
      <c r="K281" s="1030"/>
      <c r="L281" s="919"/>
      <c r="M281" s="729"/>
      <c r="N281" s="729"/>
      <c r="O281" s="729"/>
      <c r="P281" s="729"/>
      <c r="Q281" s="729"/>
      <c r="R281" s="729"/>
    </row>
    <row r="282" spans="1:18" s="714" customFormat="1" ht="24" customHeight="1">
      <c r="A282" s="775"/>
      <c r="B282" s="2475" t="str">
        <f>"รวมราคารายการที่ "&amp;A262</f>
        <v>รวมราคารายการที่ 3.10</v>
      </c>
      <c r="C282" s="2476"/>
      <c r="D282" s="2477"/>
      <c r="E282" s="776"/>
      <c r="F282" s="777"/>
      <c r="G282" s="959"/>
      <c r="H282" s="960">
        <f>SUM(H263:H280)</f>
        <v>93760</v>
      </c>
      <c r="I282" s="959"/>
      <c r="J282" s="960">
        <f>SUM(J263:J280)</f>
        <v>16600</v>
      </c>
      <c r="K282" s="960">
        <f>SUM(K263:K280)</f>
        <v>110360</v>
      </c>
      <c r="L282" s="777"/>
      <c r="M282" s="729"/>
      <c r="N282" s="729"/>
      <c r="O282" s="729"/>
      <c r="P282" s="729"/>
      <c r="Q282" s="729"/>
      <c r="R282" s="729"/>
    </row>
    <row r="283" spans="1:18" s="714" customFormat="1" ht="24" customHeight="1">
      <c r="A283" s="911" t="s">
        <v>1180</v>
      </c>
      <c r="B283" s="816" t="s">
        <v>1257</v>
      </c>
      <c r="C283" s="770"/>
      <c r="D283" s="770"/>
      <c r="E283" s="930"/>
      <c r="F283" s="939"/>
      <c r="G283" s="932"/>
      <c r="H283" s="933"/>
      <c r="I283" s="934"/>
      <c r="J283" s="935"/>
      <c r="K283" s="935"/>
      <c r="L283" s="935"/>
      <c r="M283" s="729"/>
      <c r="N283" s="729"/>
      <c r="O283" s="729"/>
      <c r="P283" s="729"/>
      <c r="Q283" s="729"/>
      <c r="R283" s="729"/>
    </row>
    <row r="284" spans="1:18" s="714" customFormat="1" ht="24" customHeight="1">
      <c r="A284" s="856" t="s">
        <v>1082</v>
      </c>
      <c r="B284" s="720" t="s">
        <v>1341</v>
      </c>
      <c r="C284" s="717"/>
      <c r="D284" s="717"/>
      <c r="E284" s="917">
        <v>82</v>
      </c>
      <c r="F284" s="722" t="s">
        <v>240</v>
      </c>
      <c r="G284" s="806">
        <v>900</v>
      </c>
      <c r="H284" s="796">
        <f t="shared" ref="H284:H295" si="62">ROUND(G284*E284,)</f>
        <v>73800</v>
      </c>
      <c r="I284" s="807">
        <v>140</v>
      </c>
      <c r="J284" s="796">
        <f t="shared" ref="J284:J295" si="63">ROUND(E284*I284,)</f>
        <v>11480</v>
      </c>
      <c r="K284" s="1030">
        <f t="shared" ref="K284:K295" si="64">H284+J284</f>
        <v>85280</v>
      </c>
      <c r="L284" s="919"/>
      <c r="M284" s="729"/>
      <c r="N284" s="729"/>
      <c r="O284" s="729"/>
      <c r="P284" s="729"/>
      <c r="Q284" s="729"/>
      <c r="R284" s="729"/>
    </row>
    <row r="285" spans="1:18" s="714" customFormat="1" ht="24" customHeight="1">
      <c r="A285" s="856" t="s">
        <v>1377</v>
      </c>
      <c r="B285" s="720" t="s">
        <v>1343</v>
      </c>
      <c r="C285" s="717"/>
      <c r="D285" s="717"/>
      <c r="E285" s="917">
        <v>2</v>
      </c>
      <c r="F285" s="722" t="s">
        <v>240</v>
      </c>
      <c r="G285" s="806">
        <v>3800</v>
      </c>
      <c r="H285" s="796">
        <f t="shared" si="62"/>
        <v>7600</v>
      </c>
      <c r="I285" s="807">
        <v>200</v>
      </c>
      <c r="J285" s="796">
        <f t="shared" si="63"/>
        <v>400</v>
      </c>
      <c r="K285" s="1030">
        <f t="shared" si="64"/>
        <v>8000</v>
      </c>
      <c r="L285" s="919"/>
      <c r="M285" s="729"/>
      <c r="N285" s="729"/>
      <c r="O285" s="729"/>
      <c r="P285" s="729"/>
      <c r="Q285" s="729"/>
      <c r="R285" s="729"/>
    </row>
    <row r="286" spans="1:18" s="714" customFormat="1" ht="24" customHeight="1">
      <c r="A286" s="856" t="s">
        <v>1380</v>
      </c>
      <c r="B286" s="720" t="s">
        <v>1344</v>
      </c>
      <c r="C286" s="717"/>
      <c r="D286" s="717"/>
      <c r="E286" s="917">
        <v>2</v>
      </c>
      <c r="F286" s="722" t="s">
        <v>240</v>
      </c>
      <c r="G286" s="806">
        <v>5000</v>
      </c>
      <c r="H286" s="796">
        <f t="shared" si="62"/>
        <v>10000</v>
      </c>
      <c r="I286" s="807">
        <f>G286*0.1</f>
        <v>500</v>
      </c>
      <c r="J286" s="796">
        <f t="shared" si="63"/>
        <v>1000</v>
      </c>
      <c r="K286" s="1030">
        <f t="shared" si="64"/>
        <v>11000</v>
      </c>
      <c r="L286" s="919"/>
      <c r="M286" s="729"/>
      <c r="N286" s="729"/>
      <c r="O286" s="729"/>
      <c r="P286" s="729"/>
      <c r="Q286" s="729"/>
      <c r="R286" s="729"/>
    </row>
    <row r="287" spans="1:18" s="714" customFormat="1" ht="24" customHeight="1">
      <c r="A287" s="856" t="s">
        <v>1210</v>
      </c>
      <c r="B287" s="720" t="s">
        <v>1159</v>
      </c>
      <c r="C287" s="717"/>
      <c r="D287" s="717"/>
      <c r="E287" s="917"/>
      <c r="F287" s="916"/>
      <c r="G287" s="806"/>
      <c r="H287" s="796">
        <f t="shared" si="62"/>
        <v>0</v>
      </c>
      <c r="I287" s="807"/>
      <c r="J287" s="796">
        <f t="shared" si="63"/>
        <v>0</v>
      </c>
      <c r="K287" s="1030">
        <f t="shared" si="64"/>
        <v>0</v>
      </c>
      <c r="L287" s="919"/>
      <c r="M287" s="729"/>
      <c r="N287" s="729"/>
      <c r="O287" s="729"/>
      <c r="P287" s="729"/>
      <c r="Q287" s="729"/>
      <c r="R287" s="729"/>
    </row>
    <row r="288" spans="1:18" s="714" customFormat="1" ht="24" customHeight="1">
      <c r="A288" s="831"/>
      <c r="B288" s="720" t="s">
        <v>1430</v>
      </c>
      <c r="C288" s="717"/>
      <c r="D288" s="717"/>
      <c r="E288" s="917">
        <f>E284*30</f>
        <v>2460</v>
      </c>
      <c r="F288" s="794" t="s">
        <v>438</v>
      </c>
      <c r="G288" s="806">
        <v>32</v>
      </c>
      <c r="H288" s="796">
        <f t="shared" si="62"/>
        <v>78720</v>
      </c>
      <c r="I288" s="807">
        <v>11</v>
      </c>
      <c r="J288" s="796">
        <f t="shared" si="63"/>
        <v>27060</v>
      </c>
      <c r="K288" s="1030">
        <f t="shared" si="64"/>
        <v>105780</v>
      </c>
      <c r="L288" s="1718" t="s">
        <v>2974</v>
      </c>
      <c r="M288" s="729"/>
      <c r="P288" s="729"/>
      <c r="Q288" s="729"/>
      <c r="R288" s="729"/>
    </row>
    <row r="289" spans="1:21" s="714" customFormat="1" ht="24" customHeight="1">
      <c r="A289" s="831"/>
      <c r="B289" s="720" t="s">
        <v>1431</v>
      </c>
      <c r="C289" s="717"/>
      <c r="D289" s="717"/>
      <c r="E289" s="917">
        <f>E284*10</f>
        <v>820</v>
      </c>
      <c r="F289" s="794" t="s">
        <v>438</v>
      </c>
      <c r="G289" s="806">
        <v>40</v>
      </c>
      <c r="H289" s="796">
        <f t="shared" si="62"/>
        <v>32800</v>
      </c>
      <c r="I289" s="807">
        <v>12</v>
      </c>
      <c r="J289" s="796">
        <f t="shared" si="63"/>
        <v>9840</v>
      </c>
      <c r="K289" s="1030">
        <f t="shared" si="64"/>
        <v>42640</v>
      </c>
      <c r="L289" s="1718" t="s">
        <v>2974</v>
      </c>
      <c r="M289" s="729"/>
      <c r="P289" s="729"/>
      <c r="Q289" s="729"/>
      <c r="R289" s="729"/>
    </row>
    <row r="290" spans="1:21" s="714" customFormat="1" ht="24" customHeight="1">
      <c r="A290" s="831"/>
      <c r="B290" s="720" t="s">
        <v>1338</v>
      </c>
      <c r="C290" s="717"/>
      <c r="D290" s="717"/>
      <c r="E290" s="917">
        <v>1</v>
      </c>
      <c r="F290" s="916" t="s">
        <v>948</v>
      </c>
      <c r="G290" s="806">
        <f>SUM(H288:H289)*5%</f>
        <v>5576</v>
      </c>
      <c r="H290" s="796">
        <f t="shared" ref="H290" si="65">ROUND(E290*G290,)</f>
        <v>5576</v>
      </c>
      <c r="I290" s="949">
        <f>ROUND(G290*0.3,)</f>
        <v>1673</v>
      </c>
      <c r="J290" s="796">
        <f t="shared" si="63"/>
        <v>1673</v>
      </c>
      <c r="K290" s="1030">
        <f t="shared" si="64"/>
        <v>7249</v>
      </c>
      <c r="L290" s="919"/>
      <c r="M290" s="729"/>
      <c r="N290" s="729"/>
      <c r="O290" s="729"/>
      <c r="P290" s="729"/>
      <c r="Q290" s="729"/>
      <c r="R290" s="729"/>
    </row>
    <row r="291" spans="1:21" s="714" customFormat="1" ht="24" customHeight="1">
      <c r="A291" s="856" t="s">
        <v>1212</v>
      </c>
      <c r="B291" s="720" t="s">
        <v>1357</v>
      </c>
      <c r="C291" s="717"/>
      <c r="D291" s="717"/>
      <c r="E291" s="917"/>
      <c r="F291" s="916"/>
      <c r="G291" s="806"/>
      <c r="H291" s="796">
        <f t="shared" si="62"/>
        <v>0</v>
      </c>
      <c r="I291" s="807"/>
      <c r="J291" s="796">
        <f t="shared" si="63"/>
        <v>0</v>
      </c>
      <c r="K291" s="1030">
        <f t="shared" si="64"/>
        <v>0</v>
      </c>
      <c r="L291" s="919"/>
      <c r="M291" s="729"/>
      <c r="N291" s="729"/>
      <c r="O291" s="729"/>
      <c r="P291" s="729"/>
      <c r="Q291" s="729"/>
      <c r="R291" s="729"/>
    </row>
    <row r="292" spans="1:21" s="714" customFormat="1" ht="24" customHeight="1">
      <c r="A292" s="831"/>
      <c r="B292" s="720" t="s">
        <v>1201</v>
      </c>
      <c r="C292" s="717"/>
      <c r="D292" s="717"/>
      <c r="E292" s="917">
        <f>SUM(E288:E289)</f>
        <v>3280</v>
      </c>
      <c r="F292" s="794" t="s">
        <v>438</v>
      </c>
      <c r="G292" s="806">
        <v>27</v>
      </c>
      <c r="H292" s="796">
        <f t="shared" si="62"/>
        <v>88560</v>
      </c>
      <c r="I292" s="807">
        <v>22</v>
      </c>
      <c r="J292" s="796">
        <f t="shared" si="63"/>
        <v>72160</v>
      </c>
      <c r="K292" s="1030">
        <f t="shared" si="64"/>
        <v>160720</v>
      </c>
      <c r="L292" s="1718" t="s">
        <v>2974</v>
      </c>
      <c r="M292" s="729"/>
      <c r="P292" s="729"/>
      <c r="Q292" s="729"/>
      <c r="R292" s="729"/>
    </row>
    <row r="293" spans="1:21" s="714" customFormat="1" ht="24" customHeight="1">
      <c r="A293" s="831"/>
      <c r="B293" s="720" t="s">
        <v>1237</v>
      </c>
      <c r="C293" s="717"/>
      <c r="D293" s="717"/>
      <c r="E293" s="917">
        <v>1</v>
      </c>
      <c r="F293" s="941" t="s">
        <v>948</v>
      </c>
      <c r="G293" s="806">
        <f>SUM(H292:H292)*15%</f>
        <v>13284</v>
      </c>
      <c r="H293" s="796">
        <f t="shared" si="62"/>
        <v>13284</v>
      </c>
      <c r="I293" s="949">
        <f>ROUND(G293*0.3,)</f>
        <v>3985</v>
      </c>
      <c r="J293" s="796">
        <f t="shared" si="63"/>
        <v>3985</v>
      </c>
      <c r="K293" s="1030">
        <f t="shared" si="64"/>
        <v>17269</v>
      </c>
      <c r="L293" s="919"/>
      <c r="M293" s="729"/>
      <c r="N293" s="729"/>
      <c r="O293" s="729"/>
      <c r="P293" s="729"/>
      <c r="Q293" s="729"/>
      <c r="R293" s="729"/>
    </row>
    <row r="294" spans="1:21" s="714" customFormat="1" ht="24" customHeight="1">
      <c r="A294" s="831" t="s">
        <v>1216</v>
      </c>
      <c r="B294" s="720" t="s">
        <v>1281</v>
      </c>
      <c r="C294" s="717"/>
      <c r="D294" s="717"/>
      <c r="E294" s="917"/>
      <c r="F294" s="916"/>
      <c r="G294" s="806"/>
      <c r="H294" s="796">
        <f t="shared" si="62"/>
        <v>0</v>
      </c>
      <c r="I294" s="807"/>
      <c r="J294" s="796">
        <f t="shared" si="63"/>
        <v>0</v>
      </c>
      <c r="K294" s="1030">
        <f t="shared" si="64"/>
        <v>0</v>
      </c>
      <c r="L294" s="919"/>
      <c r="M294" s="729"/>
      <c r="N294" s="729"/>
      <c r="O294" s="729"/>
      <c r="P294" s="729"/>
      <c r="Q294" s="729"/>
      <c r="R294" s="729"/>
    </row>
    <row r="295" spans="1:21" s="714" customFormat="1" ht="24" customHeight="1">
      <c r="A295" s="831"/>
      <c r="B295" s="720" t="s">
        <v>1201</v>
      </c>
      <c r="C295" s="717"/>
      <c r="D295" s="717"/>
      <c r="E295" s="917">
        <f>E284</f>
        <v>82</v>
      </c>
      <c r="F295" s="794" t="s">
        <v>438</v>
      </c>
      <c r="G295" s="806">
        <v>14</v>
      </c>
      <c r="H295" s="796">
        <f t="shared" si="62"/>
        <v>1148</v>
      </c>
      <c r="I295" s="807">
        <v>11</v>
      </c>
      <c r="J295" s="796">
        <f t="shared" si="63"/>
        <v>902</v>
      </c>
      <c r="K295" s="1030">
        <f t="shared" si="64"/>
        <v>2050</v>
      </c>
      <c r="L295" s="919"/>
      <c r="M295" s="729"/>
      <c r="N295" s="729"/>
      <c r="O295" s="729"/>
      <c r="P295" s="729"/>
      <c r="Q295" s="729"/>
      <c r="R295" s="729"/>
    </row>
    <row r="296" spans="1:21" s="714" customFormat="1" ht="24" customHeight="1">
      <c r="A296" s="831"/>
      <c r="B296" s="720" t="s">
        <v>957</v>
      </c>
      <c r="C296" s="717"/>
      <c r="D296" s="717"/>
      <c r="E296" s="917"/>
      <c r="F296" s="916"/>
      <c r="G296" s="806"/>
      <c r="H296" s="918"/>
      <c r="I296" s="807"/>
      <c r="J296" s="919"/>
      <c r="K296" s="919"/>
      <c r="L296" s="919"/>
      <c r="M296" s="729"/>
      <c r="N296" s="729"/>
      <c r="O296" s="729"/>
      <c r="P296" s="729"/>
      <c r="Q296" s="729"/>
      <c r="R296" s="729"/>
    </row>
    <row r="297" spans="1:21" s="714" customFormat="1" ht="24" customHeight="1">
      <c r="A297" s="831"/>
      <c r="B297" s="720" t="s">
        <v>958</v>
      </c>
      <c r="C297" s="717"/>
      <c r="D297" s="717"/>
      <c r="E297" s="917"/>
      <c r="F297" s="916"/>
      <c r="G297" s="806"/>
      <c r="H297" s="918"/>
      <c r="I297" s="807"/>
      <c r="J297" s="919"/>
      <c r="K297" s="919"/>
      <c r="L297" s="919"/>
      <c r="M297" s="729"/>
      <c r="N297" s="729"/>
      <c r="O297" s="729"/>
      <c r="P297" s="729"/>
      <c r="Q297" s="729"/>
      <c r="R297" s="729"/>
    </row>
    <row r="298" spans="1:21" s="714" customFormat="1" ht="24" customHeight="1">
      <c r="A298" s="775"/>
      <c r="B298" s="2475" t="str">
        <f>"รวมราคารายการที่ "&amp;A283</f>
        <v>รวมราคารายการที่ 3.11</v>
      </c>
      <c r="C298" s="2476"/>
      <c r="D298" s="2477"/>
      <c r="E298" s="776"/>
      <c r="F298" s="777"/>
      <c r="G298" s="959"/>
      <c r="H298" s="960">
        <f>SUM(H284:H297)</f>
        <v>311488</v>
      </c>
      <c r="I298" s="959"/>
      <c r="J298" s="960">
        <f t="shared" ref="J298:K298" si="66">SUM(J284:J297)</f>
        <v>128500</v>
      </c>
      <c r="K298" s="960">
        <f t="shared" si="66"/>
        <v>439988</v>
      </c>
      <c r="L298" s="777"/>
      <c r="M298" s="729"/>
      <c r="N298" s="729"/>
      <c r="O298" s="729"/>
      <c r="P298" s="729"/>
      <c r="Q298" s="729"/>
      <c r="R298" s="729"/>
    </row>
    <row r="299" spans="1:21" s="714" customFormat="1" ht="24" customHeight="1">
      <c r="A299" s="911" t="s">
        <v>1196</v>
      </c>
      <c r="B299" s="816" t="s">
        <v>1347</v>
      </c>
      <c r="C299" s="770"/>
      <c r="D299" s="770"/>
      <c r="E299" s="930"/>
      <c r="F299" s="939"/>
      <c r="G299" s="932"/>
      <c r="H299" s="933"/>
      <c r="I299" s="934"/>
      <c r="J299" s="935"/>
      <c r="K299" s="935"/>
      <c r="L299" s="935"/>
      <c r="M299" s="729"/>
      <c r="N299" s="729"/>
      <c r="O299" s="729"/>
      <c r="P299" s="729"/>
      <c r="Q299" s="729"/>
    </row>
    <row r="300" spans="1:21" s="714" customFormat="1" ht="24" customHeight="1">
      <c r="A300" s="992" t="s">
        <v>1198</v>
      </c>
      <c r="B300" s="720" t="s">
        <v>3027</v>
      </c>
      <c r="C300" s="706"/>
      <c r="D300" s="990"/>
      <c r="E300" s="721"/>
      <c r="F300" s="722"/>
      <c r="G300" s="1402"/>
      <c r="H300" s="914"/>
      <c r="I300" s="807"/>
      <c r="J300" s="796"/>
      <c r="K300" s="797"/>
      <c r="L300" s="830"/>
      <c r="M300" s="729"/>
      <c r="N300" s="729"/>
      <c r="O300" s="729"/>
      <c r="P300" s="729"/>
      <c r="Q300" s="729"/>
      <c r="R300" s="729"/>
      <c r="S300" s="729"/>
      <c r="T300" s="729"/>
      <c r="U300" s="729"/>
    </row>
    <row r="301" spans="1:21" s="714" customFormat="1" ht="24" customHeight="1">
      <c r="A301" s="992"/>
      <c r="B301" s="720" t="s">
        <v>3022</v>
      </c>
      <c r="C301" s="706"/>
      <c r="D301" s="990"/>
      <c r="E301" s="721">
        <v>2</v>
      </c>
      <c r="F301" s="722" t="s">
        <v>240</v>
      </c>
      <c r="G301" s="994">
        <v>28700</v>
      </c>
      <c r="H301" s="864">
        <f>ROUND(E301*G301,)</f>
        <v>57400</v>
      </c>
      <c r="I301" s="865">
        <f>G301*0.01</f>
        <v>287</v>
      </c>
      <c r="J301" s="864">
        <f>ROUND(I301*E301,)</f>
        <v>574</v>
      </c>
      <c r="K301" s="865">
        <f>H301+J301</f>
        <v>57974</v>
      </c>
      <c r="L301" s="830"/>
      <c r="M301" s="729"/>
      <c r="N301" s="729"/>
      <c r="O301" s="729"/>
      <c r="P301" s="729"/>
      <c r="Q301" s="729"/>
      <c r="R301" s="729"/>
      <c r="S301" s="729"/>
      <c r="T301" s="729"/>
      <c r="U301" s="729"/>
    </row>
    <row r="302" spans="1:21" s="714" customFormat="1" ht="24" customHeight="1">
      <c r="A302" s="992"/>
      <c r="B302" s="720" t="s">
        <v>1616</v>
      </c>
      <c r="C302" s="706"/>
      <c r="D302" s="990"/>
      <c r="E302" s="721">
        <v>2</v>
      </c>
      <c r="F302" s="722" t="s">
        <v>240</v>
      </c>
      <c r="G302" s="994">
        <v>25000</v>
      </c>
      <c r="H302" s="864">
        <f>ROUND(E302*G302,)</f>
        <v>50000</v>
      </c>
      <c r="I302" s="865">
        <f>ROUND(G302*0.01,)</f>
        <v>250</v>
      </c>
      <c r="J302" s="864">
        <f>ROUND(I302*E302,)</f>
        <v>500</v>
      </c>
      <c r="K302" s="865">
        <f>H302+J302</f>
        <v>50500</v>
      </c>
      <c r="L302" s="830"/>
      <c r="M302" s="729"/>
      <c r="N302" s="729"/>
      <c r="O302" s="729"/>
      <c r="P302" s="729"/>
      <c r="Q302" s="729"/>
      <c r="R302" s="729"/>
      <c r="S302" s="729"/>
      <c r="T302" s="729"/>
      <c r="U302" s="729"/>
    </row>
    <row r="303" spans="1:21" s="714" customFormat="1" ht="24" customHeight="1">
      <c r="A303" s="993"/>
      <c r="B303" s="720" t="s">
        <v>1375</v>
      </c>
      <c r="C303" s="706"/>
      <c r="D303" s="990"/>
      <c r="E303" s="721">
        <v>48</v>
      </c>
      <c r="F303" s="722" t="s">
        <v>240</v>
      </c>
      <c r="G303" s="994">
        <v>400</v>
      </c>
      <c r="H303" s="864">
        <f>ROUND(E303*G303,)</f>
        <v>19200</v>
      </c>
      <c r="I303" s="865">
        <f>ROUND(G303*0.01,)</f>
        <v>4</v>
      </c>
      <c r="J303" s="864">
        <f>ROUND(I303*E303,)</f>
        <v>192</v>
      </c>
      <c r="K303" s="865">
        <f>H303+J303</f>
        <v>19392</v>
      </c>
      <c r="L303" s="830"/>
      <c r="M303" s="729"/>
      <c r="N303" s="729"/>
      <c r="O303" s="729"/>
      <c r="P303" s="729"/>
      <c r="Q303" s="729"/>
      <c r="R303" s="729"/>
      <c r="S303" s="729"/>
      <c r="T303" s="729"/>
      <c r="U303" s="729"/>
    </row>
    <row r="304" spans="1:21" s="714" customFormat="1" ht="24" customHeight="1">
      <c r="A304" s="993"/>
      <c r="B304" s="720" t="s">
        <v>3023</v>
      </c>
      <c r="C304" s="706"/>
      <c r="D304" s="990"/>
      <c r="E304" s="721"/>
      <c r="F304" s="722" t="s">
        <v>240</v>
      </c>
      <c r="G304" s="994"/>
      <c r="H304" s="914"/>
      <c r="I304" s="797"/>
      <c r="J304" s="796"/>
      <c r="K304" s="797"/>
      <c r="L304" s="830"/>
      <c r="M304" s="729"/>
      <c r="N304" s="729"/>
      <c r="O304" s="729"/>
      <c r="P304" s="729"/>
      <c r="Q304" s="729"/>
      <c r="R304" s="729"/>
      <c r="S304" s="729"/>
      <c r="T304" s="729"/>
      <c r="U304" s="729"/>
    </row>
    <row r="305" spans="1:21" s="714" customFormat="1" ht="24" customHeight="1">
      <c r="A305" s="1138"/>
      <c r="B305" s="720" t="s">
        <v>1618</v>
      </c>
      <c r="C305" s="706"/>
      <c r="D305" s="716"/>
      <c r="E305" s="1136"/>
      <c r="F305" s="722" t="s">
        <v>240</v>
      </c>
      <c r="G305" s="994"/>
      <c r="H305" s="914"/>
      <c r="I305" s="797"/>
      <c r="J305" s="796"/>
      <c r="K305" s="797"/>
      <c r="L305" s="988"/>
      <c r="M305" s="729"/>
      <c r="N305" s="729"/>
      <c r="O305" s="729"/>
      <c r="P305" s="729"/>
      <c r="Q305" s="729"/>
      <c r="R305" s="729"/>
      <c r="S305" s="729"/>
      <c r="T305" s="729"/>
      <c r="U305" s="729"/>
    </row>
    <row r="306" spans="1:21" s="714" customFormat="1" ht="24" customHeight="1">
      <c r="A306" s="1138"/>
      <c r="B306" s="720"/>
      <c r="C306" s="706"/>
      <c r="D306" s="716"/>
      <c r="E306" s="1136"/>
      <c r="F306" s="722"/>
      <c r="G306" s="994"/>
      <c r="H306" s="914"/>
      <c r="I306" s="797"/>
      <c r="J306" s="796"/>
      <c r="K306" s="797"/>
      <c r="L306" s="988"/>
      <c r="M306" s="729"/>
      <c r="N306" s="729"/>
      <c r="O306" s="729"/>
      <c r="P306" s="729"/>
      <c r="Q306" s="729"/>
      <c r="R306" s="729"/>
      <c r="S306" s="729"/>
      <c r="T306" s="729"/>
      <c r="U306" s="729"/>
    </row>
    <row r="307" spans="1:21" s="714" customFormat="1" ht="24" customHeight="1">
      <c r="A307" s="856" t="s">
        <v>1200</v>
      </c>
      <c r="B307" s="720" t="s">
        <v>1348</v>
      </c>
      <c r="C307" s="717"/>
      <c r="D307" s="717"/>
      <c r="E307" s="917"/>
      <c r="F307" s="941"/>
      <c r="G307" s="806"/>
      <c r="H307" s="918"/>
      <c r="I307" s="807"/>
      <c r="J307" s="919"/>
      <c r="K307" s="919"/>
      <c r="L307" s="919"/>
      <c r="M307" s="729"/>
      <c r="N307" s="729"/>
      <c r="O307" s="729"/>
      <c r="P307" s="729"/>
      <c r="Q307" s="729"/>
    </row>
    <row r="308" spans="1:21" s="714" customFormat="1" ht="24" customHeight="1">
      <c r="A308" s="831"/>
      <c r="B308" s="720" t="s">
        <v>1349</v>
      </c>
      <c r="C308" s="717"/>
      <c r="D308" s="717"/>
      <c r="E308" s="917">
        <v>2</v>
      </c>
      <c r="F308" s="722" t="s">
        <v>240</v>
      </c>
      <c r="G308" s="806">
        <f>(28000+6600+14500)*0.95</f>
        <v>46645</v>
      </c>
      <c r="H308" s="918">
        <f t="shared" ref="H308:H313" si="67">ROUND(E308*G308,)</f>
        <v>93290</v>
      </c>
      <c r="I308" s="807">
        <v>5000</v>
      </c>
      <c r="J308" s="919">
        <f>ROUND(E308*I308,)</f>
        <v>10000</v>
      </c>
      <c r="K308" s="966">
        <f t="shared" ref="K308:K319" si="68">H308+J308</f>
        <v>103290</v>
      </c>
      <c r="L308" s="919"/>
      <c r="M308" s="729"/>
      <c r="N308" s="729"/>
      <c r="O308" s="729"/>
      <c r="P308" s="729"/>
      <c r="Q308" s="729"/>
    </row>
    <row r="309" spans="1:21" s="714" customFormat="1" ht="24" customHeight="1">
      <c r="A309" s="831"/>
      <c r="B309" s="720" t="s">
        <v>1350</v>
      </c>
      <c r="C309" s="717"/>
      <c r="D309" s="717"/>
      <c r="E309" s="917">
        <v>2</v>
      </c>
      <c r="F309" s="722" t="s">
        <v>240</v>
      </c>
      <c r="G309" s="806">
        <f>22500*0.95</f>
        <v>21375</v>
      </c>
      <c r="H309" s="918">
        <f t="shared" si="67"/>
        <v>42750</v>
      </c>
      <c r="I309" s="807" t="s">
        <v>1351</v>
      </c>
      <c r="J309" s="919"/>
      <c r="K309" s="966">
        <f t="shared" si="68"/>
        <v>42750</v>
      </c>
      <c r="L309" s="919"/>
      <c r="M309" s="729"/>
      <c r="N309" s="729"/>
      <c r="O309" s="729"/>
      <c r="P309" s="729"/>
      <c r="Q309" s="729"/>
    </row>
    <row r="310" spans="1:21" s="714" customFormat="1" ht="24" customHeight="1">
      <c r="A310" s="831"/>
      <c r="B310" s="720" t="s">
        <v>1352</v>
      </c>
      <c r="C310" s="717"/>
      <c r="D310" s="717"/>
      <c r="E310" s="917">
        <v>4</v>
      </c>
      <c r="F310" s="722" t="s">
        <v>240</v>
      </c>
      <c r="G310" s="806">
        <f>9500*0.95</f>
        <v>9025</v>
      </c>
      <c r="H310" s="918">
        <f t="shared" si="67"/>
        <v>36100</v>
      </c>
      <c r="I310" s="807" t="s">
        <v>1351</v>
      </c>
      <c r="J310" s="919"/>
      <c r="K310" s="966">
        <f t="shared" si="68"/>
        <v>36100</v>
      </c>
      <c r="L310" s="919"/>
      <c r="M310" s="729"/>
      <c r="N310" s="729"/>
      <c r="O310" s="729"/>
      <c r="P310" s="729"/>
      <c r="Q310" s="729"/>
    </row>
    <row r="311" spans="1:21" s="714" customFormat="1" ht="24" customHeight="1">
      <c r="A311" s="831"/>
      <c r="B311" s="720" t="s">
        <v>1353</v>
      </c>
      <c r="C311" s="717"/>
      <c r="D311" s="717"/>
      <c r="E311" s="917">
        <v>2</v>
      </c>
      <c r="F311" s="722" t="s">
        <v>240</v>
      </c>
      <c r="G311" s="806">
        <f>2100*0.95</f>
        <v>1995</v>
      </c>
      <c r="H311" s="918">
        <f t="shared" si="67"/>
        <v>3990</v>
      </c>
      <c r="I311" s="807" t="s">
        <v>1351</v>
      </c>
      <c r="J311" s="919"/>
      <c r="K311" s="966">
        <f t="shared" si="68"/>
        <v>3990</v>
      </c>
      <c r="L311" s="919"/>
      <c r="M311" s="729"/>
      <c r="N311" s="729"/>
      <c r="O311" s="729"/>
      <c r="P311" s="729"/>
      <c r="Q311" s="729"/>
    </row>
    <row r="312" spans="1:21" s="714" customFormat="1" ht="24" customHeight="1">
      <c r="A312" s="831"/>
      <c r="B312" s="720" t="s">
        <v>1354</v>
      </c>
      <c r="C312" s="717"/>
      <c r="D312" s="717"/>
      <c r="E312" s="917">
        <v>2</v>
      </c>
      <c r="F312" s="722" t="s">
        <v>240</v>
      </c>
      <c r="G312" s="806">
        <f>450*0.95</f>
        <v>427.5</v>
      </c>
      <c r="H312" s="918">
        <f t="shared" si="67"/>
        <v>855</v>
      </c>
      <c r="I312" s="807" t="s">
        <v>1351</v>
      </c>
      <c r="J312" s="919"/>
      <c r="K312" s="966">
        <f t="shared" si="68"/>
        <v>855</v>
      </c>
      <c r="L312" s="919"/>
      <c r="M312" s="729"/>
      <c r="N312" s="729"/>
      <c r="O312" s="729"/>
      <c r="P312" s="729"/>
      <c r="Q312" s="729"/>
    </row>
    <row r="313" spans="1:21" s="714" customFormat="1" ht="24" customHeight="1">
      <c r="A313" s="831"/>
      <c r="B313" s="720" t="s">
        <v>1355</v>
      </c>
      <c r="C313" s="717"/>
      <c r="D313" s="717"/>
      <c r="E313" s="917">
        <v>2</v>
      </c>
      <c r="F313" s="722" t="s">
        <v>240</v>
      </c>
      <c r="G313" s="806">
        <f>850*0.95</f>
        <v>807.5</v>
      </c>
      <c r="H313" s="918">
        <f t="shared" si="67"/>
        <v>1615</v>
      </c>
      <c r="I313" s="807" t="s">
        <v>1351</v>
      </c>
      <c r="J313" s="919"/>
      <c r="K313" s="966">
        <f t="shared" si="68"/>
        <v>1615</v>
      </c>
      <c r="L313" s="919"/>
      <c r="M313" s="729"/>
      <c r="N313" s="729"/>
      <c r="O313" s="729"/>
      <c r="P313" s="729"/>
      <c r="Q313" s="729"/>
    </row>
    <row r="314" spans="1:21" s="714" customFormat="1" ht="24" customHeight="1">
      <c r="A314" s="856" t="s">
        <v>1440</v>
      </c>
      <c r="B314" s="720" t="s">
        <v>1159</v>
      </c>
      <c r="C314" s="717"/>
      <c r="D314" s="717"/>
      <c r="E314" s="917"/>
      <c r="F314" s="916"/>
      <c r="G314" s="806"/>
      <c r="H314" s="918"/>
      <c r="I314" s="807"/>
      <c r="J314" s="919"/>
      <c r="K314" s="966">
        <f t="shared" si="68"/>
        <v>0</v>
      </c>
      <c r="L314" s="919"/>
      <c r="M314" s="729"/>
      <c r="N314" s="729"/>
      <c r="O314" s="729"/>
      <c r="P314" s="729"/>
      <c r="Q314" s="729"/>
    </row>
    <row r="315" spans="1:21" s="714" customFormat="1" ht="24" customHeight="1">
      <c r="A315" s="831"/>
      <c r="B315" s="720" t="s">
        <v>1356</v>
      </c>
      <c r="C315" s="717"/>
      <c r="D315" s="717"/>
      <c r="E315" s="917">
        <f>E308*30</f>
        <v>60</v>
      </c>
      <c r="F315" s="794" t="s">
        <v>438</v>
      </c>
      <c r="G315" s="806">
        <v>37</v>
      </c>
      <c r="H315" s="918">
        <f>ROUND(E315*G315,)</f>
        <v>2220</v>
      </c>
      <c r="I315" s="807">
        <v>5</v>
      </c>
      <c r="J315" s="919">
        <f>ROUND(E315*I315,)</f>
        <v>300</v>
      </c>
      <c r="K315" s="966">
        <f t="shared" si="68"/>
        <v>2520</v>
      </c>
      <c r="L315" s="919"/>
      <c r="M315" s="729"/>
      <c r="N315" s="729"/>
      <c r="O315" s="729"/>
      <c r="P315" s="729"/>
      <c r="Q315" s="729"/>
    </row>
    <row r="316" spans="1:21" s="714" customFormat="1" ht="24" customHeight="1">
      <c r="A316" s="831"/>
      <c r="B316" s="720" t="s">
        <v>1338</v>
      </c>
      <c r="C316" s="717"/>
      <c r="D316" s="717"/>
      <c r="E316" s="917">
        <v>1</v>
      </c>
      <c r="F316" s="916" t="s">
        <v>948</v>
      </c>
      <c r="G316" s="806">
        <f>SUM(H315)*5%</f>
        <v>111</v>
      </c>
      <c r="H316" s="796">
        <f t="shared" ref="H316" si="69">ROUND(E316*G316,)</f>
        <v>111</v>
      </c>
      <c r="I316" s="949">
        <f>ROUND(G316*0.3,)</f>
        <v>33</v>
      </c>
      <c r="J316" s="796">
        <f t="shared" ref="J316" si="70">ROUND(E316*I316,)</f>
        <v>33</v>
      </c>
      <c r="K316" s="966">
        <f t="shared" si="68"/>
        <v>144</v>
      </c>
      <c r="L316" s="919"/>
      <c r="M316" s="729"/>
      <c r="N316" s="729"/>
      <c r="O316" s="729"/>
      <c r="P316" s="729"/>
      <c r="Q316" s="729"/>
    </row>
    <row r="317" spans="1:21" s="714" customFormat="1" ht="24" customHeight="1">
      <c r="A317" s="856" t="s">
        <v>2984</v>
      </c>
      <c r="B317" s="720" t="s">
        <v>1357</v>
      </c>
      <c r="C317" s="717"/>
      <c r="D317" s="717"/>
      <c r="E317" s="917"/>
      <c r="F317" s="916"/>
      <c r="G317" s="806"/>
      <c r="H317" s="918"/>
      <c r="I317" s="807"/>
      <c r="J317" s="919"/>
      <c r="K317" s="966">
        <f t="shared" si="68"/>
        <v>0</v>
      </c>
      <c r="L317" s="919"/>
      <c r="M317" s="729"/>
      <c r="N317" s="729"/>
      <c r="O317" s="729"/>
      <c r="P317" s="729"/>
      <c r="Q317" s="729"/>
    </row>
    <row r="318" spans="1:21" s="714" customFormat="1" ht="24" customHeight="1">
      <c r="A318" s="831"/>
      <c r="B318" s="720" t="s">
        <v>1201</v>
      </c>
      <c r="C318" s="717"/>
      <c r="D318" s="717"/>
      <c r="E318" s="917">
        <f>E315</f>
        <v>60</v>
      </c>
      <c r="F318" s="794" t="s">
        <v>438</v>
      </c>
      <c r="G318" s="806">
        <v>27</v>
      </c>
      <c r="H318" s="796">
        <f t="shared" ref="H318:H319" si="71">ROUND(G318*E318,)</f>
        <v>1620</v>
      </c>
      <c r="I318" s="807">
        <v>22</v>
      </c>
      <c r="J318" s="796">
        <f>ROUND(E318*I318,)</f>
        <v>1320</v>
      </c>
      <c r="K318" s="966">
        <f t="shared" si="68"/>
        <v>2940</v>
      </c>
      <c r="L318" s="1718" t="s">
        <v>2974</v>
      </c>
      <c r="M318" s="729"/>
      <c r="P318" s="729"/>
      <c r="Q318" s="729"/>
    </row>
    <row r="319" spans="1:21" s="714" customFormat="1" ht="24" customHeight="1">
      <c r="A319" s="831"/>
      <c r="B319" s="720" t="s">
        <v>1237</v>
      </c>
      <c r="C319" s="717"/>
      <c r="D319" s="717"/>
      <c r="E319" s="917">
        <v>1</v>
      </c>
      <c r="F319" s="916" t="s">
        <v>948</v>
      </c>
      <c r="G319" s="806">
        <f>H318*15%</f>
        <v>243</v>
      </c>
      <c r="H319" s="796">
        <f t="shared" si="71"/>
        <v>243</v>
      </c>
      <c r="I319" s="949">
        <f>ROUND(G319*0.3,)</f>
        <v>73</v>
      </c>
      <c r="J319" s="796">
        <f t="shared" ref="J319" si="72">ROUND(E319*I319,)</f>
        <v>73</v>
      </c>
      <c r="K319" s="966">
        <f t="shared" si="68"/>
        <v>316</v>
      </c>
      <c r="L319" s="919"/>
      <c r="M319" s="729"/>
      <c r="N319" s="729"/>
      <c r="O319" s="729"/>
      <c r="P319" s="729"/>
      <c r="Q319" s="729"/>
    </row>
    <row r="320" spans="1:21" s="714" customFormat="1" ht="24" customHeight="1">
      <c r="A320" s="831"/>
      <c r="B320" s="720" t="s">
        <v>957</v>
      </c>
      <c r="C320" s="717"/>
      <c r="D320" s="717"/>
      <c r="E320" s="917"/>
      <c r="F320" s="916"/>
      <c r="G320" s="806"/>
      <c r="H320" s="918"/>
      <c r="I320" s="807"/>
      <c r="J320" s="919"/>
      <c r="K320" s="919"/>
      <c r="L320" s="919"/>
      <c r="M320" s="729"/>
      <c r="N320" s="729"/>
      <c r="O320" s="729"/>
      <c r="P320" s="729"/>
      <c r="Q320" s="729"/>
    </row>
    <row r="321" spans="1:21" s="714" customFormat="1" ht="24" customHeight="1">
      <c r="A321" s="831"/>
      <c r="B321" s="720" t="s">
        <v>958</v>
      </c>
      <c r="C321" s="717"/>
      <c r="D321" s="717"/>
      <c r="E321" s="917"/>
      <c r="F321" s="916"/>
      <c r="G321" s="806"/>
      <c r="H321" s="918"/>
      <c r="I321" s="807"/>
      <c r="J321" s="919"/>
      <c r="K321" s="919"/>
      <c r="L321" s="919"/>
      <c r="M321" s="729"/>
      <c r="N321" s="729"/>
      <c r="O321" s="729"/>
      <c r="P321" s="729"/>
      <c r="Q321" s="729"/>
      <c r="R321" s="729"/>
    </row>
    <row r="322" spans="1:21" s="714" customFormat="1" ht="24" customHeight="1">
      <c r="A322" s="775"/>
      <c r="B322" s="2475" t="str">
        <f>"รวมราคารายการที่ "&amp;A299</f>
        <v>รวมราคารายการที่ 3.12</v>
      </c>
      <c r="C322" s="2476"/>
      <c r="D322" s="2477"/>
      <c r="E322" s="776"/>
      <c r="F322" s="777"/>
      <c r="G322" s="959"/>
      <c r="H322" s="960">
        <f>SUM(H299:H321)</f>
        <v>309394</v>
      </c>
      <c r="I322" s="959"/>
      <c r="J322" s="960">
        <f>SUM(J299:J321)</f>
        <v>12992</v>
      </c>
      <c r="K322" s="960">
        <f>SUM(K299:K321)</f>
        <v>322386</v>
      </c>
      <c r="L322" s="777"/>
      <c r="M322" s="729"/>
      <c r="N322" s="729"/>
      <c r="O322" s="729"/>
      <c r="P322" s="729"/>
      <c r="Q322" s="729"/>
    </row>
    <row r="323" spans="1:21" s="714" customFormat="1" ht="21.3">
      <c r="A323" s="899" t="s">
        <v>1202</v>
      </c>
      <c r="B323" s="900" t="s">
        <v>1358</v>
      </c>
      <c r="C323" s="943"/>
      <c r="D323" s="943"/>
      <c r="E323" s="944"/>
      <c r="F323" s="978"/>
      <c r="G323" s="774"/>
      <c r="H323" s="773"/>
      <c r="I323" s="946"/>
      <c r="J323" s="947"/>
      <c r="K323" s="947"/>
      <c r="L323" s="947"/>
    </row>
    <row r="324" spans="1:21" s="714" customFormat="1" ht="24" customHeight="1">
      <c r="A324" s="992" t="s">
        <v>1204</v>
      </c>
      <c r="B324" s="720" t="s">
        <v>3027</v>
      </c>
      <c r="C324" s="706"/>
      <c r="D324" s="990"/>
      <c r="E324" s="721"/>
      <c r="F324" s="722"/>
      <c r="G324" s="1402"/>
      <c r="H324" s="914"/>
      <c r="I324" s="807"/>
      <c r="J324" s="796"/>
      <c r="K324" s="797"/>
      <c r="L324" s="830"/>
      <c r="M324" s="729"/>
      <c r="N324" s="729"/>
      <c r="O324" s="729"/>
      <c r="P324" s="729"/>
      <c r="Q324" s="729"/>
      <c r="R324" s="729"/>
      <c r="S324" s="729"/>
      <c r="T324" s="729"/>
      <c r="U324" s="729"/>
    </row>
    <row r="325" spans="1:21" s="714" customFormat="1" ht="24" customHeight="1">
      <c r="A325" s="992"/>
      <c r="B325" s="720" t="s">
        <v>3022</v>
      </c>
      <c r="C325" s="706"/>
      <c r="D325" s="990"/>
      <c r="E325" s="721">
        <v>2</v>
      </c>
      <c r="F325" s="722" t="s">
        <v>240</v>
      </c>
      <c r="G325" s="994">
        <v>28700</v>
      </c>
      <c r="H325" s="864">
        <f>ROUND(E325*G325,)</f>
        <v>57400</v>
      </c>
      <c r="I325" s="865">
        <f>G325*0.01</f>
        <v>287</v>
      </c>
      <c r="J325" s="864">
        <f>ROUND(I325*E325,)</f>
        <v>574</v>
      </c>
      <c r="K325" s="865">
        <f>H325+J325</f>
        <v>57974</v>
      </c>
      <c r="L325" s="830"/>
      <c r="M325" s="729"/>
      <c r="N325" s="729"/>
      <c r="O325" s="729"/>
      <c r="P325" s="729"/>
      <c r="Q325" s="729"/>
      <c r="R325" s="729"/>
      <c r="S325" s="729"/>
      <c r="T325" s="729"/>
      <c r="U325" s="729"/>
    </row>
    <row r="326" spans="1:21" s="714" customFormat="1" ht="24" customHeight="1">
      <c r="A326" s="992"/>
      <c r="B326" s="720" t="s">
        <v>1616</v>
      </c>
      <c r="C326" s="706"/>
      <c r="D326" s="990"/>
      <c r="E326" s="721">
        <v>2</v>
      </c>
      <c r="F326" s="722" t="s">
        <v>240</v>
      </c>
      <c r="G326" s="994">
        <v>25000</v>
      </c>
      <c r="H326" s="864">
        <f>ROUND(E326*G326,)</f>
        <v>50000</v>
      </c>
      <c r="I326" s="865">
        <f>ROUND(G326*0.01,)</f>
        <v>250</v>
      </c>
      <c r="J326" s="864">
        <f>ROUND(I326*E326,)</f>
        <v>500</v>
      </c>
      <c r="K326" s="865">
        <f>H326+J326</f>
        <v>50500</v>
      </c>
      <c r="L326" s="830"/>
      <c r="M326" s="729"/>
      <c r="N326" s="729"/>
      <c r="O326" s="729"/>
      <c r="P326" s="729"/>
      <c r="Q326" s="729"/>
      <c r="R326" s="729"/>
      <c r="S326" s="729"/>
      <c r="T326" s="729"/>
      <c r="U326" s="729"/>
    </row>
    <row r="327" spans="1:21" s="714" customFormat="1" ht="24" customHeight="1">
      <c r="A327" s="993"/>
      <c r="B327" s="720" t="s">
        <v>1375</v>
      </c>
      <c r="C327" s="706"/>
      <c r="D327" s="990"/>
      <c r="E327" s="721">
        <v>48</v>
      </c>
      <c r="F327" s="722" t="s">
        <v>240</v>
      </c>
      <c r="G327" s="994">
        <v>400</v>
      </c>
      <c r="H327" s="864">
        <f>ROUND(E327*G327,)</f>
        <v>19200</v>
      </c>
      <c r="I327" s="865">
        <f>ROUND(G327*0.01,)</f>
        <v>4</v>
      </c>
      <c r="J327" s="864">
        <f>ROUND(I327*E327,)</f>
        <v>192</v>
      </c>
      <c r="K327" s="865">
        <f>H327+J327</f>
        <v>19392</v>
      </c>
      <c r="L327" s="830"/>
      <c r="M327" s="729"/>
      <c r="N327" s="729"/>
      <c r="O327" s="729"/>
      <c r="P327" s="729"/>
      <c r="Q327" s="729"/>
      <c r="R327" s="729"/>
      <c r="S327" s="729"/>
      <c r="T327" s="729"/>
      <c r="U327" s="729"/>
    </row>
    <row r="328" spans="1:21" s="714" customFormat="1" ht="24" customHeight="1">
      <c r="A328" s="993"/>
      <c r="B328" s="720" t="s">
        <v>3023</v>
      </c>
      <c r="C328" s="706"/>
      <c r="D328" s="990"/>
      <c r="E328" s="721"/>
      <c r="F328" s="722" t="s">
        <v>240</v>
      </c>
      <c r="G328" s="994"/>
      <c r="H328" s="914"/>
      <c r="I328" s="797"/>
      <c r="J328" s="796"/>
      <c r="K328" s="797"/>
      <c r="L328" s="830"/>
      <c r="M328" s="729"/>
      <c r="N328" s="729"/>
      <c r="O328" s="729"/>
      <c r="P328" s="729"/>
      <c r="Q328" s="729"/>
      <c r="R328" s="729"/>
      <c r="S328" s="729"/>
      <c r="T328" s="729"/>
      <c r="U328" s="729"/>
    </row>
    <row r="329" spans="1:21" s="714" customFormat="1" ht="24" customHeight="1">
      <c r="A329" s="1138"/>
      <c r="B329" s="720" t="s">
        <v>1618</v>
      </c>
      <c r="C329" s="706"/>
      <c r="D329" s="990"/>
      <c r="E329" s="721"/>
      <c r="F329" s="722" t="s">
        <v>240</v>
      </c>
      <c r="G329" s="994"/>
      <c r="H329" s="914"/>
      <c r="I329" s="797"/>
      <c r="J329" s="796"/>
      <c r="K329" s="797"/>
      <c r="L329" s="988"/>
      <c r="M329" s="729"/>
      <c r="N329" s="729"/>
      <c r="O329" s="729"/>
      <c r="P329" s="729"/>
      <c r="Q329" s="729"/>
      <c r="R329" s="729"/>
      <c r="S329" s="729"/>
      <c r="T329" s="729"/>
      <c r="U329" s="729"/>
    </row>
    <row r="330" spans="1:21" s="714" customFormat="1" ht="21.3">
      <c r="A330" s="976" t="s">
        <v>1206</v>
      </c>
      <c r="B330" s="800" t="s">
        <v>1359</v>
      </c>
      <c r="C330" s="757"/>
      <c r="D330" s="757"/>
      <c r="E330" s="979"/>
      <c r="F330" s="980"/>
      <c r="G330" s="981"/>
      <c r="H330" s="982"/>
      <c r="I330" s="983"/>
      <c r="J330" s="982"/>
      <c r="K330" s="984"/>
      <c r="L330" s="973"/>
    </row>
    <row r="331" spans="1:21" s="714" customFormat="1" ht="21.3">
      <c r="A331" s="861"/>
      <c r="B331" s="800" t="s">
        <v>1461</v>
      </c>
      <c r="C331" s="757"/>
      <c r="D331" s="757"/>
      <c r="E331" s="942">
        <v>1</v>
      </c>
      <c r="F331" s="803" t="s">
        <v>240</v>
      </c>
      <c r="G331" s="752">
        <f>40590+10000+33400</f>
        <v>83990</v>
      </c>
      <c r="H331" s="751">
        <f t="shared" ref="H331:H332" si="73">ROUND(E331*G331,)</f>
        <v>83990</v>
      </c>
      <c r="I331" s="949">
        <f>G331*0.1</f>
        <v>8399</v>
      </c>
      <c r="J331" s="973">
        <f>ROUND(E331*I331,)</f>
        <v>8399</v>
      </c>
      <c r="K331" s="1030">
        <f t="shared" ref="K331:K342" si="74">H331+J331</f>
        <v>92389</v>
      </c>
      <c r="L331" s="973"/>
    </row>
    <row r="332" spans="1:21" s="714" customFormat="1" ht="21.3">
      <c r="A332" s="861"/>
      <c r="B332" s="800" t="s">
        <v>1462</v>
      </c>
      <c r="C332" s="757"/>
      <c r="D332" s="757"/>
      <c r="E332" s="942">
        <v>1</v>
      </c>
      <c r="F332" s="803" t="s">
        <v>240</v>
      </c>
      <c r="G332" s="752">
        <v>228010</v>
      </c>
      <c r="H332" s="751">
        <f t="shared" si="73"/>
        <v>228010</v>
      </c>
      <c r="I332" s="949">
        <f t="shared" ref="I332" si="75">G332*0.1</f>
        <v>22801</v>
      </c>
      <c r="J332" s="973">
        <f t="shared" ref="J332" si="76">ROUND(E332*I332,)</f>
        <v>22801</v>
      </c>
      <c r="K332" s="1030">
        <f t="shared" si="74"/>
        <v>250811</v>
      </c>
      <c r="L332" s="973"/>
    </row>
    <row r="333" spans="1:21" s="714" customFormat="1" ht="21.3">
      <c r="A333" s="976" t="s">
        <v>1208</v>
      </c>
      <c r="B333" s="800" t="s">
        <v>1363</v>
      </c>
      <c r="C333" s="757"/>
      <c r="D333" s="757"/>
      <c r="E333" s="979"/>
      <c r="F333" s="980"/>
      <c r="G333" s="981"/>
      <c r="H333" s="982"/>
      <c r="I333" s="983"/>
      <c r="J333" s="982"/>
      <c r="K333" s="1030">
        <f t="shared" si="74"/>
        <v>0</v>
      </c>
      <c r="L333" s="973"/>
    </row>
    <row r="334" spans="1:21" s="714" customFormat="1" ht="21.3">
      <c r="A334" s="861"/>
      <c r="B334" s="800" t="s">
        <v>1463</v>
      </c>
      <c r="C334" s="757"/>
      <c r="D334" s="757"/>
      <c r="E334" s="942">
        <v>5</v>
      </c>
      <c r="F334" s="803" t="s">
        <v>240</v>
      </c>
      <c r="G334" s="752">
        <v>3500</v>
      </c>
      <c r="H334" s="751">
        <f t="shared" ref="H334:H335" si="77">ROUND(E334*G334,)</f>
        <v>17500</v>
      </c>
      <c r="I334" s="949">
        <f t="shared" ref="I334:I335" si="78">G334*0.1</f>
        <v>350</v>
      </c>
      <c r="J334" s="973">
        <f t="shared" ref="J334:J335" si="79">ROUND(E334*I334,)</f>
        <v>1750</v>
      </c>
      <c r="K334" s="1030">
        <f t="shared" si="74"/>
        <v>19250</v>
      </c>
      <c r="L334" s="973"/>
    </row>
    <row r="335" spans="1:21" s="714" customFormat="1" ht="21.3">
      <c r="A335" s="861"/>
      <c r="B335" s="800" t="s">
        <v>1464</v>
      </c>
      <c r="C335" s="757"/>
      <c r="D335" s="757"/>
      <c r="E335" s="942">
        <v>5</v>
      </c>
      <c r="F335" s="803" t="s">
        <v>240</v>
      </c>
      <c r="G335" s="752">
        <v>3500</v>
      </c>
      <c r="H335" s="751">
        <f t="shared" si="77"/>
        <v>17500</v>
      </c>
      <c r="I335" s="949">
        <f t="shared" si="78"/>
        <v>350</v>
      </c>
      <c r="J335" s="973">
        <f t="shared" si="79"/>
        <v>1750</v>
      </c>
      <c r="K335" s="1030">
        <f t="shared" si="74"/>
        <v>19250</v>
      </c>
      <c r="L335" s="973"/>
    </row>
    <row r="336" spans="1:21">
      <c r="A336" s="976" t="s">
        <v>3057</v>
      </c>
      <c r="B336" s="800" t="s">
        <v>1159</v>
      </c>
      <c r="C336" s="757"/>
      <c r="D336" s="757"/>
      <c r="E336" s="942"/>
      <c r="F336" s="948"/>
      <c r="G336" s="752"/>
      <c r="H336" s="751"/>
      <c r="I336" s="949"/>
      <c r="J336" s="973"/>
      <c r="K336" s="1030">
        <f t="shared" si="74"/>
        <v>0</v>
      </c>
      <c r="L336" s="973"/>
    </row>
    <row r="337" spans="1:21">
      <c r="A337" s="861"/>
      <c r="B337" s="800" t="s">
        <v>1367</v>
      </c>
      <c r="C337" s="757"/>
      <c r="D337" s="757"/>
      <c r="E337" s="942">
        <v>440</v>
      </c>
      <c r="F337" s="867" t="s">
        <v>438</v>
      </c>
      <c r="G337" s="752">
        <v>103</v>
      </c>
      <c r="H337" s="751">
        <f>ROUND(E337*G337,)</f>
        <v>45320</v>
      </c>
      <c r="I337" s="949">
        <v>21</v>
      </c>
      <c r="J337" s="973">
        <f>ROUND(E337*I337,)</f>
        <v>9240</v>
      </c>
      <c r="K337" s="966">
        <f t="shared" si="74"/>
        <v>54560</v>
      </c>
      <c r="L337" s="973"/>
    </row>
    <row r="338" spans="1:21">
      <c r="A338" s="861"/>
      <c r="B338" s="800" t="s">
        <v>1368</v>
      </c>
      <c r="C338" s="757"/>
      <c r="D338" s="757"/>
      <c r="E338" s="942">
        <v>20</v>
      </c>
      <c r="F338" s="867" t="s">
        <v>438</v>
      </c>
      <c r="G338" s="752">
        <v>139</v>
      </c>
      <c r="H338" s="751">
        <f>ROUND(E338*G338,)</f>
        <v>2780</v>
      </c>
      <c r="I338" s="949">
        <v>21</v>
      </c>
      <c r="J338" s="973">
        <f>ROUND(E338*I338,)</f>
        <v>420</v>
      </c>
      <c r="K338" s="966">
        <f t="shared" si="74"/>
        <v>3200</v>
      </c>
      <c r="L338" s="973"/>
    </row>
    <row r="339" spans="1:21">
      <c r="A339" s="861"/>
      <c r="B339" s="800" t="s">
        <v>1338</v>
      </c>
      <c r="C339" s="757"/>
      <c r="D339" s="757"/>
      <c r="E339" s="942">
        <v>1</v>
      </c>
      <c r="F339" s="948" t="s">
        <v>948</v>
      </c>
      <c r="G339" s="752">
        <f>SUM(H337:H338)*5%</f>
        <v>2405</v>
      </c>
      <c r="H339" s="864">
        <f>ROUND(E339*G339,)</f>
        <v>2405</v>
      </c>
      <c r="I339" s="949">
        <f>ROUND(G339*0.3,)</f>
        <v>722</v>
      </c>
      <c r="J339" s="864">
        <f>ROUND(E339*I339,)</f>
        <v>722</v>
      </c>
      <c r="K339" s="966">
        <f t="shared" si="74"/>
        <v>3127</v>
      </c>
      <c r="L339" s="973"/>
    </row>
    <row r="340" spans="1:21">
      <c r="A340" s="861" t="s">
        <v>3058</v>
      </c>
      <c r="B340" s="800" t="s">
        <v>1252</v>
      </c>
      <c r="C340" s="757"/>
      <c r="D340" s="757"/>
      <c r="E340" s="942"/>
      <c r="F340" s="948"/>
      <c r="G340" s="752"/>
      <c r="H340" s="864"/>
      <c r="I340" s="949"/>
      <c r="J340" s="864"/>
      <c r="K340" s="966">
        <f t="shared" si="74"/>
        <v>0</v>
      </c>
      <c r="L340" s="985"/>
    </row>
    <row r="341" spans="1:21">
      <c r="A341" s="861"/>
      <c r="B341" s="800" t="s">
        <v>1193</v>
      </c>
      <c r="C341" s="757"/>
      <c r="D341" s="757"/>
      <c r="E341" s="942">
        <v>262</v>
      </c>
      <c r="F341" s="867" t="s">
        <v>438</v>
      </c>
      <c r="G341" s="752">
        <v>316</v>
      </c>
      <c r="H341" s="864">
        <f>ROUND(E341*G341,)</f>
        <v>82792</v>
      </c>
      <c r="I341" s="949">
        <v>50</v>
      </c>
      <c r="J341" s="864">
        <f>ROUND(E341*I341,)</f>
        <v>13100</v>
      </c>
      <c r="K341" s="966">
        <f t="shared" si="74"/>
        <v>95892</v>
      </c>
      <c r="L341" s="985"/>
    </row>
    <row r="342" spans="1:21">
      <c r="A342" s="861"/>
      <c r="B342" s="800" t="s">
        <v>1237</v>
      </c>
      <c r="C342" s="757"/>
      <c r="D342" s="757"/>
      <c r="E342" s="942">
        <v>1</v>
      </c>
      <c r="F342" s="948" t="s">
        <v>948</v>
      </c>
      <c r="G342" s="752">
        <f>ROUND(SUM(H341)*15%,)</f>
        <v>12419</v>
      </c>
      <c r="H342" s="864">
        <f>ROUND(G342*E342,)</f>
        <v>12419</v>
      </c>
      <c r="I342" s="949">
        <f>ROUND(G342*0.3,)</f>
        <v>3726</v>
      </c>
      <c r="J342" s="864">
        <f>ROUND(E342*I342,)</f>
        <v>3726</v>
      </c>
      <c r="K342" s="1030">
        <f t="shared" si="74"/>
        <v>16145</v>
      </c>
      <c r="L342" s="985"/>
    </row>
    <row r="343" spans="1:21">
      <c r="A343" s="889"/>
      <c r="B343" s="756" t="s">
        <v>957</v>
      </c>
      <c r="C343" s="974"/>
      <c r="D343" s="974"/>
      <c r="E343" s="1040"/>
      <c r="F343" s="1041"/>
      <c r="G343" s="766"/>
      <c r="H343" s="765"/>
      <c r="I343" s="975"/>
      <c r="J343" s="1042"/>
      <c r="K343" s="1042"/>
      <c r="L343" s="1042"/>
    </row>
    <row r="344" spans="1:21" s="714" customFormat="1" ht="24" customHeight="1">
      <c r="A344" s="995"/>
      <c r="B344" s="800" t="s">
        <v>1428</v>
      </c>
      <c r="C344" s="706"/>
      <c r="D344" s="990"/>
      <c r="E344" s="721"/>
      <c r="F344" s="722"/>
      <c r="G344" s="795"/>
      <c r="H344" s="796"/>
      <c r="I344" s="1039"/>
      <c r="J344" s="796"/>
      <c r="K344" s="797"/>
      <c r="L344" s="830"/>
      <c r="M344" s="729"/>
      <c r="N344" s="729"/>
      <c r="O344" s="729"/>
      <c r="P344" s="729"/>
      <c r="Q344" s="729"/>
      <c r="R344" s="729"/>
      <c r="S344" s="729"/>
      <c r="T344" s="729"/>
      <c r="U344" s="729"/>
    </row>
    <row r="345" spans="1:21" s="714" customFormat="1" ht="24" customHeight="1">
      <c r="A345" s="995"/>
      <c r="B345" s="800" t="s">
        <v>1428</v>
      </c>
      <c r="C345" s="706"/>
      <c r="D345" s="990"/>
      <c r="E345" s="721"/>
      <c r="F345" s="722"/>
      <c r="G345" s="795"/>
      <c r="H345" s="796"/>
      <c r="I345" s="1039"/>
      <c r="J345" s="796"/>
      <c r="K345" s="797"/>
      <c r="L345" s="830"/>
      <c r="M345" s="729"/>
      <c r="N345" s="729"/>
      <c r="O345" s="729"/>
      <c r="P345" s="729"/>
      <c r="Q345" s="729"/>
      <c r="R345" s="729"/>
      <c r="S345" s="729"/>
      <c r="T345" s="729"/>
      <c r="U345" s="729"/>
    </row>
    <row r="346" spans="1:21">
      <c r="A346" s="775"/>
      <c r="B346" s="2475" t="str">
        <f>"รวมราคารายการที่ "&amp;A323</f>
        <v>รวมราคารายการที่ 3.13</v>
      </c>
      <c r="C346" s="2476"/>
      <c r="D346" s="2477"/>
      <c r="E346" s="776"/>
      <c r="F346" s="777"/>
      <c r="G346" s="959"/>
      <c r="H346" s="960">
        <f>SUM(H323:H345)</f>
        <v>619316</v>
      </c>
      <c r="I346" s="959"/>
      <c r="J346" s="960">
        <f>SUM(J323:J345)</f>
        <v>63174</v>
      </c>
      <c r="K346" s="960">
        <f>SUM(K323:K345)</f>
        <v>682490</v>
      </c>
      <c r="L346" s="777"/>
    </row>
    <row r="347" spans="1:21" s="714" customFormat="1" ht="24" customHeight="1">
      <c r="A347" s="986" t="s">
        <v>1224</v>
      </c>
      <c r="B347" s="816" t="s">
        <v>1370</v>
      </c>
      <c r="C347" s="987"/>
      <c r="D347" s="707"/>
      <c r="E347" s="708"/>
      <c r="F347" s="709"/>
      <c r="G347" s="853"/>
      <c r="H347" s="854"/>
      <c r="I347" s="855"/>
      <c r="J347" s="854"/>
      <c r="K347" s="855"/>
      <c r="L347" s="988"/>
      <c r="M347" s="729"/>
      <c r="N347" s="729"/>
      <c r="O347" s="729"/>
      <c r="P347" s="729"/>
      <c r="Q347" s="729"/>
      <c r="R347" s="729"/>
      <c r="S347" s="729"/>
      <c r="T347" s="729"/>
      <c r="U347" s="729"/>
    </row>
    <row r="348" spans="1:21" s="714" customFormat="1" ht="24" customHeight="1">
      <c r="A348" s="989" t="s">
        <v>1226</v>
      </c>
      <c r="B348" s="720" t="s">
        <v>1438</v>
      </c>
      <c r="C348" s="706"/>
      <c r="D348" s="990"/>
      <c r="E348" s="991">
        <v>2</v>
      </c>
      <c r="F348" s="803" t="s">
        <v>240</v>
      </c>
      <c r="G348" s="858">
        <v>3200</v>
      </c>
      <c r="H348" s="864">
        <f>ROUND(E348*G348,)</f>
        <v>6400</v>
      </c>
      <c r="I348" s="865">
        <v>150</v>
      </c>
      <c r="J348" s="864">
        <f>ROUND(I348*E348,)</f>
        <v>300</v>
      </c>
      <c r="K348" s="1030">
        <f t="shared" ref="K348:K354" si="80">H348+J348</f>
        <v>6700</v>
      </c>
      <c r="L348" s="830"/>
      <c r="M348" s="729"/>
      <c r="N348" s="729"/>
      <c r="O348" s="729"/>
      <c r="P348" s="729"/>
      <c r="Q348" s="729"/>
      <c r="R348" s="729"/>
      <c r="S348" s="729"/>
      <c r="T348" s="729"/>
      <c r="U348" s="729"/>
    </row>
    <row r="349" spans="1:21" s="714" customFormat="1" ht="24" customHeight="1">
      <c r="A349" s="992" t="s">
        <v>1228</v>
      </c>
      <c r="B349" s="720" t="s">
        <v>1439</v>
      </c>
      <c r="C349" s="706"/>
      <c r="D349" s="990"/>
      <c r="E349" s="991">
        <v>2</v>
      </c>
      <c r="F349" s="803" t="s">
        <v>240</v>
      </c>
      <c r="G349" s="858">
        <v>2640</v>
      </c>
      <c r="H349" s="864">
        <f>ROUND(E349*G349,)</f>
        <v>5280</v>
      </c>
      <c r="I349" s="1394">
        <v>150</v>
      </c>
      <c r="J349" s="867">
        <f>ROUND(I349*E349,)</f>
        <v>300</v>
      </c>
      <c r="K349" s="1030">
        <f t="shared" si="80"/>
        <v>5580</v>
      </c>
      <c r="L349" s="830"/>
      <c r="M349" s="729"/>
      <c r="N349" s="729"/>
      <c r="O349" s="729"/>
      <c r="P349" s="729"/>
      <c r="Q349" s="729"/>
      <c r="R349" s="729"/>
      <c r="S349" s="729"/>
      <c r="T349" s="729"/>
      <c r="U349" s="729"/>
    </row>
    <row r="350" spans="1:21" s="714" customFormat="1" ht="24" customHeight="1">
      <c r="A350" s="992" t="s">
        <v>1230</v>
      </c>
      <c r="B350" s="720" t="s">
        <v>1441</v>
      </c>
      <c r="C350" s="706"/>
      <c r="D350" s="990"/>
      <c r="E350" s="721"/>
      <c r="F350" s="722"/>
      <c r="G350" s="795"/>
      <c r="H350" s="796"/>
      <c r="I350" s="849"/>
      <c r="J350" s="914"/>
      <c r="K350" s="1030">
        <f t="shared" si="80"/>
        <v>0</v>
      </c>
      <c r="L350" s="830"/>
      <c r="M350" s="729"/>
      <c r="N350" s="729"/>
      <c r="O350" s="729"/>
      <c r="P350" s="729"/>
      <c r="Q350" s="729"/>
      <c r="R350" s="729"/>
      <c r="S350" s="729"/>
      <c r="T350" s="729"/>
      <c r="U350" s="729"/>
    </row>
    <row r="351" spans="1:21" s="714" customFormat="1" ht="24" customHeight="1">
      <c r="A351" s="995"/>
      <c r="B351" s="800" t="s">
        <v>1442</v>
      </c>
      <c r="C351" s="706"/>
      <c r="D351" s="990"/>
      <c r="E351" s="721">
        <v>650</v>
      </c>
      <c r="F351" s="722" t="s">
        <v>438</v>
      </c>
      <c r="G351" s="858">
        <v>10</v>
      </c>
      <c r="H351" s="796">
        <f>ROUND(E351*G351,)</f>
        <v>6500</v>
      </c>
      <c r="I351" s="849">
        <v>5</v>
      </c>
      <c r="J351" s="914">
        <f>ROUND(I351*E351,)</f>
        <v>3250</v>
      </c>
      <c r="K351" s="1030">
        <f t="shared" si="80"/>
        <v>9750</v>
      </c>
      <c r="L351" s="830"/>
      <c r="M351" s="729"/>
      <c r="N351" s="729"/>
      <c r="O351" s="729"/>
      <c r="P351" s="729"/>
      <c r="Q351" s="729"/>
      <c r="R351" s="729"/>
      <c r="S351" s="729"/>
      <c r="T351" s="729"/>
      <c r="U351" s="729"/>
    </row>
    <row r="352" spans="1:21" s="714" customFormat="1" ht="24" customHeight="1">
      <c r="A352" s="992" t="s">
        <v>1234</v>
      </c>
      <c r="B352" s="720" t="s">
        <v>950</v>
      </c>
      <c r="C352" s="706"/>
      <c r="D352" s="990"/>
      <c r="E352" s="721"/>
      <c r="F352" s="722"/>
      <c r="G352" s="795"/>
      <c r="H352" s="796"/>
      <c r="I352" s="849"/>
      <c r="J352" s="914"/>
      <c r="K352" s="1030">
        <f t="shared" si="80"/>
        <v>0</v>
      </c>
      <c r="L352" s="830"/>
      <c r="M352" s="729"/>
      <c r="N352" s="729"/>
      <c r="O352" s="729"/>
      <c r="P352" s="729"/>
      <c r="Q352" s="729"/>
      <c r="R352" s="729"/>
      <c r="S352" s="729"/>
      <c r="T352" s="729"/>
      <c r="U352" s="729"/>
    </row>
    <row r="353" spans="1:21" s="714" customFormat="1" ht="24" customHeight="1">
      <c r="A353" s="996"/>
      <c r="B353" s="720" t="s">
        <v>1201</v>
      </c>
      <c r="C353" s="706"/>
      <c r="D353" s="990"/>
      <c r="E353" s="917">
        <f>E351</f>
        <v>650</v>
      </c>
      <c r="F353" s="794" t="s">
        <v>438</v>
      </c>
      <c r="G353" s="806">
        <v>56</v>
      </c>
      <c r="H353" s="796">
        <f>ROUND(E353*G353,)</f>
        <v>36400</v>
      </c>
      <c r="I353" s="1402">
        <v>26</v>
      </c>
      <c r="J353" s="914">
        <f t="shared" ref="J353" si="81">ROUND(E353*I353,)</f>
        <v>16900</v>
      </c>
      <c r="K353" s="1030">
        <f t="shared" si="80"/>
        <v>53300</v>
      </c>
      <c r="L353" s="1718" t="s">
        <v>2974</v>
      </c>
      <c r="M353" s="729"/>
      <c r="P353" s="729"/>
      <c r="Q353" s="729"/>
      <c r="R353" s="729"/>
      <c r="S353" s="729"/>
      <c r="T353" s="729"/>
      <c r="U353" s="729"/>
    </row>
    <row r="354" spans="1:21" s="714" customFormat="1" ht="24" customHeight="1">
      <c r="A354" s="996"/>
      <c r="B354" s="720" t="s">
        <v>1237</v>
      </c>
      <c r="C354" s="706"/>
      <c r="D354" s="990"/>
      <c r="E354" s="721">
        <v>1</v>
      </c>
      <c r="F354" s="722" t="s">
        <v>948</v>
      </c>
      <c r="G354" s="795">
        <f>SUM(H352:H353)*15%</f>
        <v>5460</v>
      </c>
      <c r="H354" s="796">
        <f>ROUND(E354*G354,)</f>
        <v>5460</v>
      </c>
      <c r="I354" s="849">
        <f>G354*0.3</f>
        <v>1638</v>
      </c>
      <c r="J354" s="914">
        <f>ROUND(I354*E354,)</f>
        <v>1638</v>
      </c>
      <c r="K354" s="1030">
        <f t="shared" si="80"/>
        <v>7098</v>
      </c>
      <c r="L354" s="830"/>
      <c r="M354" s="729"/>
      <c r="N354" s="729"/>
      <c r="O354" s="729"/>
      <c r="P354" s="729"/>
      <c r="Q354" s="729"/>
      <c r="R354" s="729"/>
      <c r="S354" s="729"/>
      <c r="T354" s="729"/>
      <c r="U354" s="729"/>
    </row>
    <row r="355" spans="1:21" s="714" customFormat="1" ht="24" customHeight="1">
      <c r="A355" s="992" t="s">
        <v>1236</v>
      </c>
      <c r="B355" s="720" t="s">
        <v>1238</v>
      </c>
      <c r="C355" s="706"/>
      <c r="D355" s="990"/>
      <c r="E355" s="721"/>
      <c r="F355" s="722" t="s">
        <v>948</v>
      </c>
      <c r="G355" s="795"/>
      <c r="H355" s="796"/>
      <c r="I355" s="2630"/>
      <c r="J355" s="914"/>
      <c r="K355" s="797"/>
      <c r="L355" s="830"/>
      <c r="M355" s="729"/>
      <c r="N355" s="729"/>
      <c r="O355" s="729"/>
      <c r="P355" s="729"/>
      <c r="Q355" s="729"/>
      <c r="R355" s="729"/>
      <c r="S355" s="729"/>
      <c r="T355" s="729"/>
      <c r="U355" s="729"/>
    </row>
    <row r="356" spans="1:21" s="714" customFormat="1" ht="24" customHeight="1">
      <c r="A356" s="992"/>
      <c r="B356" s="720" t="s">
        <v>957</v>
      </c>
      <c r="C356" s="706"/>
      <c r="D356" s="990"/>
      <c r="E356" s="721"/>
      <c r="F356" s="722"/>
      <c r="G356" s="795"/>
      <c r="H356" s="796"/>
      <c r="I356" s="2630"/>
      <c r="J356" s="914"/>
      <c r="K356" s="797"/>
      <c r="L356" s="830"/>
      <c r="M356" s="729"/>
      <c r="N356" s="729"/>
      <c r="O356" s="729"/>
      <c r="P356" s="729"/>
      <c r="Q356" s="729"/>
      <c r="R356" s="729"/>
      <c r="S356" s="729"/>
      <c r="T356" s="729"/>
      <c r="U356" s="729"/>
    </row>
    <row r="357" spans="1:21" s="714" customFormat="1" ht="24" customHeight="1">
      <c r="A357" s="831"/>
      <c r="B357" s="720" t="s">
        <v>958</v>
      </c>
      <c r="C357" s="717"/>
      <c r="D357" s="717"/>
      <c r="E357" s="917"/>
      <c r="F357" s="916"/>
      <c r="G357" s="806"/>
      <c r="H357" s="918"/>
      <c r="I357" s="1402"/>
      <c r="J357" s="919"/>
      <c r="K357" s="919"/>
      <c r="L357" s="919"/>
      <c r="M357" s="729"/>
      <c r="N357" s="729"/>
      <c r="O357" s="729"/>
      <c r="P357" s="729"/>
      <c r="Q357" s="729"/>
      <c r="R357" s="729"/>
    </row>
    <row r="358" spans="1:21" s="714" customFormat="1" ht="24" customHeight="1">
      <c r="A358" s="831"/>
      <c r="B358" s="720" t="s">
        <v>958</v>
      </c>
      <c r="C358" s="717"/>
      <c r="D358" s="717"/>
      <c r="E358" s="917"/>
      <c r="F358" s="916"/>
      <c r="G358" s="806"/>
      <c r="H358" s="918"/>
      <c r="I358" s="1402"/>
      <c r="J358" s="919"/>
      <c r="K358" s="919"/>
      <c r="L358" s="919"/>
      <c r="M358" s="729"/>
      <c r="N358" s="729"/>
      <c r="O358" s="729"/>
      <c r="P358" s="729"/>
      <c r="Q358" s="729"/>
      <c r="R358" s="729"/>
    </row>
    <row r="359" spans="1:21" s="714" customFormat="1" ht="24" customHeight="1">
      <c r="A359" s="831"/>
      <c r="B359" s="720"/>
      <c r="C359" s="717"/>
      <c r="D359" s="717"/>
      <c r="E359" s="917"/>
      <c r="F359" s="941"/>
      <c r="G359" s="806"/>
      <c r="H359" s="918"/>
      <c r="I359" s="1402"/>
      <c r="J359" s="919"/>
      <c r="K359" s="919"/>
      <c r="L359" s="919"/>
      <c r="M359" s="729"/>
      <c r="N359" s="729"/>
      <c r="O359" s="729"/>
      <c r="P359" s="729"/>
      <c r="Q359" s="729"/>
      <c r="R359" s="729"/>
    </row>
    <row r="360" spans="1:21" s="714" customFormat="1" ht="24" customHeight="1">
      <c r="A360" s="831"/>
      <c r="B360" s="720"/>
      <c r="C360" s="717"/>
      <c r="D360" s="717"/>
      <c r="E360" s="917"/>
      <c r="F360" s="941"/>
      <c r="G360" s="806"/>
      <c r="H360" s="918"/>
      <c r="I360" s="1402"/>
      <c r="J360" s="919"/>
      <c r="K360" s="919"/>
      <c r="L360" s="919"/>
      <c r="M360" s="729"/>
      <c r="N360" s="729"/>
      <c r="O360" s="729"/>
      <c r="P360" s="729"/>
      <c r="Q360" s="729"/>
      <c r="R360" s="729"/>
    </row>
    <row r="361" spans="1:21" s="714" customFormat="1" ht="24" customHeight="1">
      <c r="A361" s="831"/>
      <c r="B361" s="720"/>
      <c r="C361" s="717"/>
      <c r="D361" s="717"/>
      <c r="E361" s="917"/>
      <c r="F361" s="941"/>
      <c r="G361" s="806"/>
      <c r="H361" s="918"/>
      <c r="I361" s="1402"/>
      <c r="J361" s="919"/>
      <c r="K361" s="919"/>
      <c r="L361" s="919"/>
      <c r="M361" s="729"/>
      <c r="N361" s="729"/>
      <c r="O361" s="729"/>
      <c r="P361" s="729"/>
      <c r="Q361" s="729"/>
      <c r="R361" s="729"/>
    </row>
    <row r="362" spans="1:21" s="714" customFormat="1" ht="24" customHeight="1">
      <c r="A362" s="831"/>
      <c r="B362" s="720"/>
      <c r="C362" s="717"/>
      <c r="D362" s="717"/>
      <c r="E362" s="917"/>
      <c r="F362" s="941"/>
      <c r="G362" s="806"/>
      <c r="H362" s="918"/>
      <c r="I362" s="1402"/>
      <c r="J362" s="919"/>
      <c r="K362" s="919"/>
      <c r="L362" s="919"/>
      <c r="M362" s="729"/>
      <c r="N362" s="729"/>
      <c r="O362" s="729"/>
      <c r="P362" s="729"/>
      <c r="Q362" s="729"/>
      <c r="R362" s="729"/>
    </row>
    <row r="363" spans="1:21" s="714" customFormat="1" ht="24" customHeight="1">
      <c r="A363" s="831"/>
      <c r="B363" s="720"/>
      <c r="C363" s="717"/>
      <c r="D363" s="717"/>
      <c r="E363" s="917"/>
      <c r="F363" s="941"/>
      <c r="G363" s="806"/>
      <c r="H363" s="918"/>
      <c r="I363" s="1402"/>
      <c r="J363" s="919"/>
      <c r="K363" s="919"/>
      <c r="L363" s="919"/>
      <c r="M363" s="729"/>
      <c r="N363" s="729"/>
      <c r="O363" s="729"/>
      <c r="P363" s="729"/>
      <c r="Q363" s="729"/>
      <c r="R363" s="729"/>
    </row>
    <row r="364" spans="1:21" s="714" customFormat="1" ht="24" customHeight="1">
      <c r="A364" s="831"/>
      <c r="B364" s="720"/>
      <c r="C364" s="717"/>
      <c r="D364" s="717"/>
      <c r="E364" s="917"/>
      <c r="F364" s="941"/>
      <c r="G364" s="806"/>
      <c r="H364" s="918"/>
      <c r="I364" s="1402"/>
      <c r="J364" s="919"/>
      <c r="K364" s="919"/>
      <c r="L364" s="919"/>
      <c r="M364" s="729"/>
      <c r="N364" s="729"/>
      <c r="O364" s="729"/>
      <c r="P364" s="729"/>
      <c r="Q364" s="729"/>
      <c r="R364" s="729"/>
    </row>
    <row r="365" spans="1:21" s="714" customFormat="1" ht="24" customHeight="1">
      <c r="A365" s="831"/>
      <c r="B365" s="720"/>
      <c r="C365" s="717"/>
      <c r="D365" s="717"/>
      <c r="E365" s="917"/>
      <c r="F365" s="941"/>
      <c r="G365" s="806"/>
      <c r="H365" s="918"/>
      <c r="I365" s="1402"/>
      <c r="J365" s="919"/>
      <c r="K365" s="919"/>
      <c r="L365" s="919"/>
      <c r="M365" s="729"/>
      <c r="N365" s="729"/>
      <c r="O365" s="729"/>
      <c r="P365" s="729"/>
      <c r="Q365" s="729"/>
      <c r="R365" s="729"/>
    </row>
    <row r="366" spans="1:21" s="714" customFormat="1" ht="24" customHeight="1">
      <c r="A366" s="831"/>
      <c r="B366" s="720"/>
      <c r="C366" s="717"/>
      <c r="D366" s="717"/>
      <c r="E366" s="917"/>
      <c r="F366" s="941"/>
      <c r="G366" s="806"/>
      <c r="H366" s="918"/>
      <c r="I366" s="1402"/>
      <c r="J366" s="919"/>
      <c r="K366" s="919"/>
      <c r="L366" s="919"/>
      <c r="M366" s="729"/>
      <c r="N366" s="729"/>
      <c r="O366" s="729"/>
      <c r="P366" s="729"/>
      <c r="Q366" s="729"/>
      <c r="R366" s="729"/>
    </row>
    <row r="367" spans="1:21" s="714" customFormat="1" ht="24" customHeight="1">
      <c r="A367" s="831"/>
      <c r="B367" s="720"/>
      <c r="C367" s="717"/>
      <c r="D367" s="717"/>
      <c r="E367" s="917"/>
      <c r="F367" s="941"/>
      <c r="G367" s="806"/>
      <c r="H367" s="918"/>
      <c r="I367" s="1402"/>
      <c r="J367" s="919"/>
      <c r="K367" s="919"/>
      <c r="L367" s="919"/>
      <c r="M367" s="729"/>
      <c r="N367" s="729"/>
      <c r="O367" s="729"/>
      <c r="P367" s="729"/>
      <c r="Q367" s="729"/>
      <c r="R367" s="729"/>
    </row>
    <row r="368" spans="1:21" s="714" customFormat="1" ht="24" customHeight="1">
      <c r="A368" s="831"/>
      <c r="B368" s="720"/>
      <c r="C368" s="717"/>
      <c r="D368" s="717"/>
      <c r="E368" s="917"/>
      <c r="F368" s="941"/>
      <c r="G368" s="806"/>
      <c r="H368" s="918"/>
      <c r="I368" s="1402"/>
      <c r="J368" s="919"/>
      <c r="K368" s="919"/>
      <c r="L368" s="919"/>
      <c r="M368" s="729"/>
      <c r="N368" s="729"/>
      <c r="O368" s="729"/>
      <c r="P368" s="729"/>
      <c r="Q368" s="729"/>
      <c r="R368" s="729"/>
    </row>
    <row r="369" spans="1:21" s="714" customFormat="1" ht="24" customHeight="1">
      <c r="A369" s="992"/>
      <c r="B369" s="720"/>
      <c r="C369" s="706"/>
      <c r="D369" s="990"/>
      <c r="E369" s="721"/>
      <c r="F369" s="722"/>
      <c r="G369" s="795"/>
      <c r="H369" s="796"/>
      <c r="I369" s="2631"/>
      <c r="J369" s="914"/>
      <c r="K369" s="919"/>
      <c r="L369" s="830"/>
      <c r="M369" s="729"/>
      <c r="N369" s="729"/>
      <c r="O369" s="729"/>
      <c r="P369" s="729"/>
      <c r="Q369" s="729"/>
      <c r="R369" s="729"/>
      <c r="S369" s="729"/>
      <c r="T369" s="729"/>
      <c r="U369" s="729"/>
    </row>
    <row r="370" spans="1:21" s="714" customFormat="1" ht="24" customHeight="1">
      <c r="A370" s="777"/>
      <c r="B370" s="2475" t="str">
        <f>"รวมราคารายการที่ "&amp;A347</f>
        <v>รวมราคารายการที่ 3.14</v>
      </c>
      <c r="C370" s="2476"/>
      <c r="D370" s="2477"/>
      <c r="E370" s="997"/>
      <c r="F370" s="777"/>
      <c r="G370" s="959"/>
      <c r="H370" s="960">
        <f>SUM(H348:H356)</f>
        <v>60040</v>
      </c>
      <c r="I370" s="959"/>
      <c r="J370" s="960">
        <f t="shared" ref="J370:K370" si="82">SUM(J348:J356)</f>
        <v>22388</v>
      </c>
      <c r="K370" s="960">
        <f t="shared" si="82"/>
        <v>82428</v>
      </c>
      <c r="L370" s="777"/>
      <c r="M370" s="729"/>
      <c r="N370" s="729"/>
      <c r="O370" s="729"/>
      <c r="P370" s="729"/>
      <c r="Q370" s="729"/>
      <c r="R370" s="729"/>
      <c r="S370" s="729"/>
      <c r="T370" s="729"/>
      <c r="U370" s="729"/>
    </row>
  </sheetData>
  <mergeCells count="23">
    <mergeCell ref="B322:D322"/>
    <mergeCell ref="B346:D346"/>
    <mergeCell ref="B370:D370"/>
    <mergeCell ref="B184:D184"/>
    <mergeCell ref="B193:D193"/>
    <mergeCell ref="B226:D226"/>
    <mergeCell ref="B261:D261"/>
    <mergeCell ref="B282:D282"/>
    <mergeCell ref="B298:D298"/>
    <mergeCell ref="B169:D169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75:D75"/>
    <mergeCell ref="B82:D82"/>
    <mergeCell ref="B140:D140"/>
    <mergeCell ref="B154:D154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2-อาคารสนับนุน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8E526-A83D-4857-A553-8D82D65ACD06}">
  <sheetPr>
    <tabColor rgb="FF92D050"/>
  </sheetPr>
  <dimension ref="A1:U442"/>
  <sheetViews>
    <sheetView tabSelected="1" view="pageBreakPreview" topLeftCell="A394" zoomScale="85" zoomScaleNormal="100" zoomScaleSheetLayoutView="8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.41015625" style="732" customWidth="1"/>
    <col min="13" max="95" width="7.703125" style="1" customWidth="1"/>
    <col min="96" max="16384" width="9" style="1"/>
  </cols>
  <sheetData>
    <row r="1" spans="1:12" ht="35.200000000000003" customHeight="1">
      <c r="A1" s="681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682"/>
    </row>
    <row r="2" spans="1:12" ht="25.15" customHeight="1">
      <c r="A2" s="683" t="s">
        <v>2</v>
      </c>
      <c r="B2" s="33"/>
      <c r="C2" s="34"/>
      <c r="D2" s="11" t="s">
        <v>938</v>
      </c>
      <c r="E2" s="34"/>
      <c r="F2" s="12"/>
      <c r="G2" s="12"/>
      <c r="H2" s="12"/>
      <c r="I2" s="12"/>
      <c r="J2" s="13"/>
      <c r="K2" s="12"/>
      <c r="L2" s="684"/>
    </row>
    <row r="3" spans="1:12" ht="25.15" customHeight="1">
      <c r="A3" s="685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686"/>
    </row>
    <row r="4" spans="1:12" ht="25.15" customHeight="1">
      <c r="A4" s="687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686"/>
    </row>
    <row r="5" spans="1:12" ht="25.15" customHeight="1">
      <c r="A5" s="685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686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688"/>
    </row>
    <row r="7" spans="1:12" ht="26.2" customHeight="1">
      <c r="A7" s="6" t="s">
        <v>26</v>
      </c>
      <c r="B7" s="20"/>
      <c r="C7" s="20"/>
      <c r="D7" s="21"/>
      <c r="E7" s="20"/>
      <c r="F7" s="689" t="s">
        <v>5</v>
      </c>
      <c r="G7" s="22"/>
      <c r="H7" s="22" t="s">
        <v>6</v>
      </c>
      <c r="I7" s="23"/>
      <c r="J7" s="6" t="s">
        <v>23</v>
      </c>
      <c r="K7" s="20"/>
      <c r="L7" s="2469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70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362" t="s">
        <v>14</v>
      </c>
      <c r="L9" s="2471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364" t="s">
        <v>17</v>
      </c>
      <c r="I10" s="28" t="s">
        <v>16</v>
      </c>
      <c r="J10" s="2364" t="s">
        <v>17</v>
      </c>
      <c r="K10" s="2363" t="s">
        <v>18</v>
      </c>
      <c r="L10" s="2472"/>
    </row>
    <row r="11" spans="1:12" ht="24" customHeight="1">
      <c r="A11" s="2399" t="s">
        <v>25</v>
      </c>
      <c r="B11" s="691" t="s">
        <v>1465</v>
      </c>
      <c r="C11" s="692"/>
      <c r="D11" s="693"/>
      <c r="E11" s="694"/>
      <c r="F11" s="695"/>
      <c r="G11" s="696"/>
      <c r="H11" s="697"/>
      <c r="I11" s="698"/>
      <c r="J11" s="697"/>
      <c r="K11" s="699"/>
      <c r="L11" s="753"/>
    </row>
    <row r="12" spans="1:12" s="714" customFormat="1" ht="24" customHeight="1">
      <c r="A12" s="719">
        <f>A35</f>
        <v>3.1</v>
      </c>
      <c r="B12" s="754" t="str">
        <f>B35</f>
        <v>Distribution Board</v>
      </c>
      <c r="C12" s="717"/>
      <c r="D12" s="718"/>
      <c r="E12" s="708">
        <v>1</v>
      </c>
      <c r="F12" s="709" t="s">
        <v>19</v>
      </c>
      <c r="G12" s="710"/>
      <c r="H12" s="711">
        <f>H94</f>
        <v>367540</v>
      </c>
      <c r="I12" s="712"/>
      <c r="J12" s="711">
        <f>J94</f>
        <v>39060</v>
      </c>
      <c r="K12" s="711">
        <f>K94</f>
        <v>406600</v>
      </c>
      <c r="L12" s="753"/>
    </row>
    <row r="13" spans="1:12" s="714" customFormat="1" ht="24" customHeight="1">
      <c r="A13" s="719">
        <f>A95</f>
        <v>3.2</v>
      </c>
      <c r="B13" s="754" t="str">
        <f>B95</f>
        <v>Essential Distribution Board</v>
      </c>
      <c r="C13" s="717"/>
      <c r="D13" s="718"/>
      <c r="E13" s="708">
        <v>1</v>
      </c>
      <c r="F13" s="709" t="s">
        <v>19</v>
      </c>
      <c r="G13" s="710"/>
      <c r="H13" s="711">
        <f>H171</f>
        <v>253695</v>
      </c>
      <c r="I13" s="712"/>
      <c r="J13" s="711">
        <f>J171</f>
        <v>30060</v>
      </c>
      <c r="K13" s="711">
        <f>K171</f>
        <v>283755</v>
      </c>
      <c r="L13" s="753"/>
    </row>
    <row r="14" spans="1:12" s="714" customFormat="1" ht="24" customHeight="1">
      <c r="A14" s="719" t="str">
        <f>A172</f>
        <v>3.3</v>
      </c>
      <c r="B14" s="705" t="str">
        <f>B172</f>
        <v>แผงสวิทช์ย่อยและเซอร์กิต เบรคเกอร์ (Panelboard &amp; CB)</v>
      </c>
      <c r="C14" s="717"/>
      <c r="D14" s="718"/>
      <c r="E14" s="708">
        <v>1</v>
      </c>
      <c r="F14" s="709" t="s">
        <v>19</v>
      </c>
      <c r="G14" s="710"/>
      <c r="H14" s="711">
        <f>H226</f>
        <v>126214</v>
      </c>
      <c r="I14" s="712"/>
      <c r="J14" s="711">
        <f>J226</f>
        <v>14000</v>
      </c>
      <c r="K14" s="711">
        <f>K226</f>
        <v>140214</v>
      </c>
      <c r="L14" s="753"/>
    </row>
    <row r="15" spans="1:12" s="714" customFormat="1" ht="24" customHeight="1">
      <c r="A15" s="719">
        <f>A227</f>
        <v>3.4</v>
      </c>
      <c r="B15" s="705" t="str">
        <f>B227</f>
        <v>สายไฟฟ้า (Cable &amp; Wire)</v>
      </c>
      <c r="C15" s="717"/>
      <c r="D15" s="718"/>
      <c r="E15" s="708">
        <v>1</v>
      </c>
      <c r="F15" s="709" t="s">
        <v>19</v>
      </c>
      <c r="G15" s="710"/>
      <c r="H15" s="711">
        <f>H239</f>
        <v>129444</v>
      </c>
      <c r="I15" s="712"/>
      <c r="J15" s="711">
        <f>J239</f>
        <v>88479</v>
      </c>
      <c r="K15" s="711">
        <f>K239</f>
        <v>217923</v>
      </c>
      <c r="L15" s="753"/>
    </row>
    <row r="16" spans="1:12" s="714" customFormat="1" ht="24" customHeight="1">
      <c r="A16" s="719" t="str">
        <f>A240</f>
        <v>3.5</v>
      </c>
      <c r="B16" s="705" t="str">
        <f>B240</f>
        <v>รางเดินสายไฟฟ้า (Raceway)</v>
      </c>
      <c r="C16" s="717"/>
      <c r="D16" s="718"/>
      <c r="E16" s="708">
        <v>1</v>
      </c>
      <c r="F16" s="709" t="s">
        <v>19</v>
      </c>
      <c r="G16" s="710"/>
      <c r="H16" s="711">
        <f>H255</f>
        <v>109361</v>
      </c>
      <c r="I16" s="712"/>
      <c r="J16" s="711">
        <f>J255</f>
        <v>79799</v>
      </c>
      <c r="K16" s="711">
        <f>K255</f>
        <v>189160</v>
      </c>
      <c r="L16" s="753"/>
    </row>
    <row r="17" spans="1:12" s="714" customFormat="1" ht="24" customHeight="1">
      <c r="A17" s="719" t="str">
        <f>A256</f>
        <v>3.6</v>
      </c>
      <c r="B17" s="705" t="str">
        <f>B256</f>
        <v>สวิทช์และเต้ารับ (Switch &amp; Outlet)</v>
      </c>
      <c r="C17" s="717"/>
      <c r="D17" s="718"/>
      <c r="E17" s="708">
        <v>1</v>
      </c>
      <c r="F17" s="709" t="s">
        <v>19</v>
      </c>
      <c r="G17" s="710"/>
      <c r="H17" s="711">
        <f>H274</f>
        <v>47383</v>
      </c>
      <c r="I17" s="712"/>
      <c r="J17" s="711">
        <f>J274</f>
        <v>9690</v>
      </c>
      <c r="K17" s="711">
        <f>K274</f>
        <v>57073</v>
      </c>
      <c r="L17" s="753"/>
    </row>
    <row r="18" spans="1:12" s="714" customFormat="1" ht="24" customHeight="1">
      <c r="A18" s="704" t="str">
        <f>A275</f>
        <v>3.7</v>
      </c>
      <c r="B18" s="705" t="str">
        <f>B275</f>
        <v>ระบบควบคุมแสงสว่าง (Lighting Control System)</v>
      </c>
      <c r="C18" s="717"/>
      <c r="D18" s="718"/>
      <c r="E18" s="708">
        <v>1</v>
      </c>
      <c r="F18" s="709" t="s">
        <v>19</v>
      </c>
      <c r="G18" s="710"/>
      <c r="H18" s="711">
        <f>H283</f>
        <v>195560</v>
      </c>
      <c r="I18" s="712"/>
      <c r="J18" s="711">
        <f>J283</f>
        <v>9778</v>
      </c>
      <c r="K18" s="711">
        <f>K283</f>
        <v>205338</v>
      </c>
      <c r="L18" s="753"/>
    </row>
    <row r="19" spans="1:12" s="714" customFormat="1" ht="24" customHeight="1">
      <c r="A19" s="719" t="str">
        <f>A284</f>
        <v>3.8</v>
      </c>
      <c r="B19" s="705" t="str">
        <f>B284</f>
        <v>โคมไฟฟ้า (Luminaire)</v>
      </c>
      <c r="C19" s="717"/>
      <c r="D19" s="718"/>
      <c r="E19" s="708">
        <v>1</v>
      </c>
      <c r="F19" s="709" t="s">
        <v>19</v>
      </c>
      <c r="G19" s="710"/>
      <c r="H19" s="711">
        <f>H310</f>
        <v>429663</v>
      </c>
      <c r="I19" s="712"/>
      <c r="J19" s="711">
        <f>J310</f>
        <v>62731</v>
      </c>
      <c r="K19" s="711">
        <f>K310</f>
        <v>492394</v>
      </c>
      <c r="L19" s="753"/>
    </row>
    <row r="20" spans="1:12" s="714" customFormat="1" ht="24" customHeight="1">
      <c r="A20" s="719">
        <f>A311</f>
        <v>3.9</v>
      </c>
      <c r="B20" s="720" t="str">
        <f>B311</f>
        <v>ระบบสัญญาณแจ้งเหตุเพลิงไหม้ (Fire Alarm System)</v>
      </c>
      <c r="C20" s="717"/>
      <c r="D20" s="718"/>
      <c r="E20" s="708">
        <v>1</v>
      </c>
      <c r="F20" s="722" t="s">
        <v>19</v>
      </c>
      <c r="G20" s="723"/>
      <c r="H20" s="711">
        <f>H346</f>
        <v>1107295</v>
      </c>
      <c r="I20" s="712"/>
      <c r="J20" s="711">
        <f>J346</f>
        <v>130897</v>
      </c>
      <c r="K20" s="711">
        <f>K346</f>
        <v>1238192</v>
      </c>
      <c r="L20" s="753"/>
    </row>
    <row r="21" spans="1:12" s="714" customFormat="1" ht="24" customHeight="1">
      <c r="A21" s="719" t="str">
        <f>A347</f>
        <v>3.10</v>
      </c>
      <c r="B21" s="720" t="str">
        <f>B347</f>
        <v>ระบบสายสื่อสารข้อมูล (Data Cabling System)</v>
      </c>
      <c r="C21" s="717"/>
      <c r="D21" s="718"/>
      <c r="E21" s="708">
        <v>1</v>
      </c>
      <c r="F21" s="722" t="s">
        <v>19</v>
      </c>
      <c r="G21" s="710"/>
      <c r="H21" s="711">
        <f>H370</f>
        <v>93760</v>
      </c>
      <c r="I21" s="712"/>
      <c r="J21" s="711">
        <f>J370</f>
        <v>16600</v>
      </c>
      <c r="K21" s="711">
        <f>K370</f>
        <v>110360</v>
      </c>
      <c r="L21" s="753"/>
    </row>
    <row r="22" spans="1:12" s="714" customFormat="1" ht="24" customHeight="1">
      <c r="A22" s="768" t="str">
        <f>A371</f>
        <v>3.11</v>
      </c>
      <c r="B22" s="769" t="str">
        <f>B371</f>
        <v>ระบบเสียงและประกาศเรียก (Public Address System)</v>
      </c>
      <c r="C22" s="770"/>
      <c r="D22" s="771"/>
      <c r="E22" s="708">
        <v>1</v>
      </c>
      <c r="F22" s="709" t="s">
        <v>19</v>
      </c>
      <c r="G22" s="1000"/>
      <c r="H22" s="1001">
        <f>H385</f>
        <v>483520</v>
      </c>
      <c r="I22" s="712"/>
      <c r="J22" s="1001">
        <f>J385</f>
        <v>202900</v>
      </c>
      <c r="K22" s="1001">
        <f>K385</f>
        <v>686420</v>
      </c>
      <c r="L22" s="753"/>
    </row>
    <row r="23" spans="1:12" s="714" customFormat="1" ht="24" customHeight="1">
      <c r="A23" s="719" t="str">
        <f>A386</f>
        <v>3.12</v>
      </c>
      <c r="B23" s="705" t="str">
        <f>B386</f>
        <v>ระบบควบคุมประตูอัตโนมัติ (Access Control System)</v>
      </c>
      <c r="C23" s="717"/>
      <c r="D23" s="718"/>
      <c r="E23" s="708">
        <v>1</v>
      </c>
      <c r="F23" s="709" t="s">
        <v>19</v>
      </c>
      <c r="G23" s="710"/>
      <c r="H23" s="711">
        <f>H408</f>
        <v>309396</v>
      </c>
      <c r="I23" s="712"/>
      <c r="J23" s="711">
        <f>J408</f>
        <v>12992</v>
      </c>
      <c r="K23" s="711">
        <f>K408</f>
        <v>322388</v>
      </c>
      <c r="L23" s="753"/>
    </row>
    <row r="24" spans="1:12" s="714" customFormat="1" ht="24" customHeight="1">
      <c r="A24" s="719" t="str">
        <f>A409</f>
        <v>3.13</v>
      </c>
      <c r="B24" s="754" t="str">
        <f>B409</f>
        <v>ระบบบริหารจัดการอาคาร (Building Management System : BMS)</v>
      </c>
      <c r="C24" s="717"/>
      <c r="D24" s="718"/>
      <c r="E24" s="708">
        <v>1</v>
      </c>
      <c r="F24" s="709" t="s">
        <v>19</v>
      </c>
      <c r="G24" s="710"/>
      <c r="H24" s="711">
        <f>H431</f>
        <v>619316</v>
      </c>
      <c r="I24" s="712"/>
      <c r="J24" s="711">
        <f>J431</f>
        <v>63174</v>
      </c>
      <c r="K24" s="711">
        <f>K431</f>
        <v>682490</v>
      </c>
      <c r="L24" s="753"/>
    </row>
    <row r="25" spans="1:12" s="714" customFormat="1" ht="24" customHeight="1">
      <c r="A25" s="719" t="str">
        <f>A432</f>
        <v>3.14</v>
      </c>
      <c r="B25" s="754" t="str">
        <f>B432</f>
        <v>ระบบแจ้งเหตุฉุกเฉิน (Panic Alarm System)</v>
      </c>
      <c r="C25" s="717"/>
      <c r="D25" s="718"/>
      <c r="E25" s="708">
        <v>1</v>
      </c>
      <c r="F25" s="709" t="s">
        <v>19</v>
      </c>
      <c r="G25" s="710"/>
      <c r="H25" s="711">
        <f>H442</f>
        <v>60040</v>
      </c>
      <c r="I25" s="712"/>
      <c r="J25" s="711">
        <f>J442</f>
        <v>22388</v>
      </c>
      <c r="K25" s="711">
        <f>K442</f>
        <v>82428</v>
      </c>
      <c r="L25" s="954"/>
    </row>
    <row r="26" spans="1:12" s="714" customFormat="1" ht="24" customHeight="1">
      <c r="A26" s="719"/>
      <c r="B26" s="955"/>
      <c r="C26" s="717"/>
      <c r="D26" s="718"/>
      <c r="E26" s="721"/>
      <c r="F26" s="722"/>
      <c r="G26" s="710"/>
      <c r="H26" s="711"/>
      <c r="I26" s="712"/>
      <c r="J26" s="957"/>
      <c r="K26" s="958"/>
      <c r="L26" s="753"/>
    </row>
    <row r="27" spans="1:12" s="714" customFormat="1" ht="24" customHeight="1">
      <c r="A27" s="719"/>
      <c r="B27" s="955"/>
      <c r="C27" s="717"/>
      <c r="D27" s="718"/>
      <c r="E27" s="721"/>
      <c r="F27" s="722"/>
      <c r="G27" s="710"/>
      <c r="H27" s="711"/>
      <c r="I27" s="712"/>
      <c r="J27" s="957"/>
      <c r="K27" s="958"/>
      <c r="L27" s="753"/>
    </row>
    <row r="28" spans="1:12" s="714" customFormat="1" ht="24" customHeight="1">
      <c r="A28" s="719"/>
      <c r="B28" s="955"/>
      <c r="C28" s="717"/>
      <c r="D28" s="718"/>
      <c r="E28" s="721"/>
      <c r="F28" s="722"/>
      <c r="G28" s="710"/>
      <c r="H28" s="711"/>
      <c r="I28" s="956"/>
      <c r="J28" s="957"/>
      <c r="K28" s="958"/>
      <c r="L28" s="753"/>
    </row>
    <row r="29" spans="1:12" s="714" customFormat="1" ht="24" customHeight="1">
      <c r="A29" s="719"/>
      <c r="B29" s="955"/>
      <c r="C29" s="717"/>
      <c r="D29" s="718"/>
      <c r="E29" s="721"/>
      <c r="F29" s="722"/>
      <c r="G29" s="710"/>
      <c r="H29" s="711"/>
      <c r="I29" s="956"/>
      <c r="J29" s="957"/>
      <c r="K29" s="958"/>
      <c r="L29" s="753"/>
    </row>
    <row r="30" spans="1:12" s="714" customFormat="1" ht="24" customHeight="1">
      <c r="A30" s="719"/>
      <c r="B30" s="955"/>
      <c r="C30" s="717"/>
      <c r="D30" s="718"/>
      <c r="E30" s="721"/>
      <c r="F30" s="722"/>
      <c r="G30" s="710"/>
      <c r="H30" s="711"/>
      <c r="I30" s="956"/>
      <c r="J30" s="957"/>
      <c r="K30" s="958"/>
      <c r="L30" s="753"/>
    </row>
    <row r="31" spans="1:12" s="714" customFormat="1" ht="24" customHeight="1">
      <c r="A31" s="719"/>
      <c r="B31" s="955"/>
      <c r="C31" s="717"/>
      <c r="D31" s="718"/>
      <c r="E31" s="721"/>
      <c r="F31" s="722"/>
      <c r="G31" s="710"/>
      <c r="H31" s="711"/>
      <c r="I31" s="956"/>
      <c r="J31" s="957"/>
      <c r="K31" s="958"/>
      <c r="L31" s="753"/>
    </row>
    <row r="32" spans="1:12" s="714" customFormat="1" ht="24" customHeight="1">
      <c r="A32" s="719"/>
      <c r="B32" s="955"/>
      <c r="C32" s="717"/>
      <c r="D32" s="718"/>
      <c r="E32" s="721"/>
      <c r="F32" s="722"/>
      <c r="G32" s="710"/>
      <c r="H32" s="711"/>
      <c r="I32" s="956"/>
      <c r="J32" s="957"/>
      <c r="K32" s="958"/>
      <c r="L32" s="753"/>
    </row>
    <row r="33" spans="1:17" s="714" customFormat="1" ht="24" customHeight="1">
      <c r="A33" s="719"/>
      <c r="B33" s="955"/>
      <c r="C33" s="717"/>
      <c r="D33" s="718"/>
      <c r="E33" s="721"/>
      <c r="F33" s="722"/>
      <c r="G33" s="710"/>
      <c r="H33" s="711"/>
      <c r="I33" s="956"/>
      <c r="J33" s="957"/>
      <c r="K33" s="958"/>
      <c r="L33" s="753"/>
    </row>
    <row r="34" spans="1:17" s="714" customFormat="1" ht="24" customHeight="1">
      <c r="A34" s="775"/>
      <c r="B34" s="2475" t="str">
        <f>"รวมราคา"&amp;B11</f>
        <v>รวมราคางานระบบไฟฟ้าและสื่อสาร ชั้น 3</v>
      </c>
      <c r="C34" s="2476"/>
      <c r="D34" s="2477"/>
      <c r="E34" s="776"/>
      <c r="F34" s="777"/>
      <c r="G34" s="959"/>
      <c r="H34" s="960">
        <f>SUM(H11:H33)</f>
        <v>4332187</v>
      </c>
      <c r="I34" s="959"/>
      <c r="J34" s="960">
        <f>SUM(J11:J33)</f>
        <v>782548</v>
      </c>
      <c r="K34" s="960">
        <f>SUM(K11:K33)</f>
        <v>5114735</v>
      </c>
      <c r="L34" s="777">
        <f>SUM(L14:L33)</f>
        <v>0</v>
      </c>
      <c r="M34" s="729"/>
      <c r="N34" s="729"/>
      <c r="O34" s="729"/>
      <c r="P34" s="729"/>
      <c r="Q34" s="729"/>
    </row>
    <row r="35" spans="1:17" s="714" customFormat="1" ht="24" customHeight="1">
      <c r="A35" s="815">
        <v>3.1</v>
      </c>
      <c r="B35" s="816" t="s">
        <v>1050</v>
      </c>
      <c r="C35" s="859"/>
      <c r="D35" s="859"/>
      <c r="E35" s="851"/>
      <c r="F35" s="852"/>
      <c r="G35" s="853"/>
      <c r="H35" s="854"/>
      <c r="I35" s="855"/>
      <c r="J35" s="854"/>
      <c r="K35" s="855"/>
      <c r="L35" s="826"/>
    </row>
    <row r="36" spans="1:17" s="884" customFormat="1" ht="24" customHeight="1">
      <c r="A36" s="878" t="s">
        <v>941</v>
      </c>
      <c r="B36" s="879" t="s">
        <v>1070</v>
      </c>
      <c r="C36" s="880"/>
      <c r="D36" s="880"/>
      <c r="E36" s="881"/>
      <c r="F36" s="794"/>
      <c r="G36" s="795"/>
      <c r="H36" s="796"/>
      <c r="I36" s="797"/>
      <c r="J36" s="796"/>
      <c r="K36" s="797"/>
      <c r="L36" s="883"/>
    </row>
    <row r="37" spans="1:17" s="884" customFormat="1" ht="24" customHeight="1">
      <c r="A37" s="831" t="s">
        <v>943</v>
      </c>
      <c r="B37" s="720" t="s">
        <v>1053</v>
      </c>
      <c r="C37" s="792"/>
      <c r="D37" s="792"/>
      <c r="E37" s="793"/>
      <c r="F37" s="794"/>
      <c r="G37" s="795"/>
      <c r="H37" s="796"/>
      <c r="I37" s="797"/>
      <c r="J37" s="796"/>
      <c r="K37" s="797"/>
      <c r="L37" s="883"/>
    </row>
    <row r="38" spans="1:17" s="884" customFormat="1" ht="24" customHeight="1">
      <c r="A38" s="831"/>
      <c r="B38" s="720" t="s">
        <v>1054</v>
      </c>
      <c r="C38" s="792"/>
      <c r="D38" s="792"/>
      <c r="E38" s="793"/>
      <c r="F38" s="722" t="s">
        <v>240</v>
      </c>
      <c r="G38" s="795">
        <v>2400</v>
      </c>
      <c r="H38" s="796">
        <f t="shared" ref="H38:H53" si="0">ROUND(G38*E38,)</f>
        <v>0</v>
      </c>
      <c r="I38" s="797"/>
      <c r="J38" s="796"/>
      <c r="K38" s="799">
        <f t="shared" ref="K38:K53" si="1">H38+J38</f>
        <v>0</v>
      </c>
      <c r="L38" s="883"/>
    </row>
    <row r="39" spans="1:17" s="884" customFormat="1" ht="24" customHeight="1">
      <c r="A39" s="831"/>
      <c r="B39" s="720" t="s">
        <v>1055</v>
      </c>
      <c r="C39" s="792"/>
      <c r="D39" s="792"/>
      <c r="E39" s="793"/>
      <c r="F39" s="722" t="s">
        <v>240</v>
      </c>
      <c r="G39" s="795">
        <v>2400</v>
      </c>
      <c r="H39" s="796">
        <f t="shared" si="0"/>
        <v>0</v>
      </c>
      <c r="I39" s="797"/>
      <c r="J39" s="796"/>
      <c r="K39" s="799">
        <f t="shared" si="1"/>
        <v>0</v>
      </c>
      <c r="L39" s="883"/>
    </row>
    <row r="40" spans="1:17" s="884" customFormat="1" ht="24" customHeight="1">
      <c r="A40" s="831"/>
      <c r="B40" s="720" t="s">
        <v>1056</v>
      </c>
      <c r="C40" s="792"/>
      <c r="D40" s="792"/>
      <c r="E40" s="793">
        <v>5</v>
      </c>
      <c r="F40" s="722" t="s">
        <v>240</v>
      </c>
      <c r="G40" s="795">
        <v>2400</v>
      </c>
      <c r="H40" s="796">
        <f t="shared" si="0"/>
        <v>12000</v>
      </c>
      <c r="I40" s="797"/>
      <c r="J40" s="796"/>
      <c r="K40" s="799">
        <f t="shared" si="1"/>
        <v>12000</v>
      </c>
      <c r="L40" s="883"/>
    </row>
    <row r="41" spans="1:17" s="884" customFormat="1" ht="24" customHeight="1">
      <c r="A41" s="831"/>
      <c r="B41" s="720" t="s">
        <v>1057</v>
      </c>
      <c r="C41" s="792"/>
      <c r="D41" s="792"/>
      <c r="E41" s="793">
        <v>2</v>
      </c>
      <c r="F41" s="722" t="s">
        <v>240</v>
      </c>
      <c r="G41" s="795">
        <v>2400</v>
      </c>
      <c r="H41" s="796">
        <f t="shared" si="0"/>
        <v>4800</v>
      </c>
      <c r="I41" s="797"/>
      <c r="J41" s="796"/>
      <c r="K41" s="799">
        <f t="shared" si="1"/>
        <v>4800</v>
      </c>
      <c r="L41" s="883"/>
    </row>
    <row r="42" spans="1:17" s="884" customFormat="1" ht="24" customHeight="1">
      <c r="A42" s="831"/>
      <c r="B42" s="720" t="s">
        <v>1058</v>
      </c>
      <c r="C42" s="792"/>
      <c r="D42" s="792"/>
      <c r="E42" s="793"/>
      <c r="F42" s="722" t="s">
        <v>240</v>
      </c>
      <c r="G42" s="795">
        <v>2400</v>
      </c>
      <c r="H42" s="796">
        <f t="shared" si="0"/>
        <v>0</v>
      </c>
      <c r="I42" s="797"/>
      <c r="J42" s="796"/>
      <c r="K42" s="799">
        <f t="shared" si="1"/>
        <v>0</v>
      </c>
      <c r="L42" s="883"/>
    </row>
    <row r="43" spans="1:17" s="884" customFormat="1" ht="24" customHeight="1">
      <c r="A43" s="831"/>
      <c r="B43" s="720" t="s">
        <v>1059</v>
      </c>
      <c r="C43" s="792"/>
      <c r="D43" s="792"/>
      <c r="E43" s="793">
        <v>1</v>
      </c>
      <c r="F43" s="722" t="s">
        <v>240</v>
      </c>
      <c r="G43" s="795">
        <v>2600</v>
      </c>
      <c r="H43" s="796">
        <f t="shared" si="0"/>
        <v>2600</v>
      </c>
      <c r="I43" s="797"/>
      <c r="J43" s="796"/>
      <c r="K43" s="799">
        <f t="shared" si="1"/>
        <v>2600</v>
      </c>
      <c r="L43" s="883"/>
    </row>
    <row r="44" spans="1:17" s="884" customFormat="1" ht="24" customHeight="1">
      <c r="A44" s="831"/>
      <c r="B44" s="720" t="s">
        <v>1060</v>
      </c>
      <c r="C44" s="792"/>
      <c r="D44" s="792"/>
      <c r="E44" s="793"/>
      <c r="F44" s="722" t="s">
        <v>240</v>
      </c>
      <c r="G44" s="795">
        <v>3000</v>
      </c>
      <c r="H44" s="796">
        <f t="shared" si="0"/>
        <v>0</v>
      </c>
      <c r="I44" s="797"/>
      <c r="J44" s="796"/>
      <c r="K44" s="799">
        <f t="shared" si="1"/>
        <v>0</v>
      </c>
      <c r="L44" s="883"/>
    </row>
    <row r="45" spans="1:17" s="884" customFormat="1" ht="24" customHeight="1">
      <c r="A45" s="831"/>
      <c r="B45" s="720" t="s">
        <v>1061</v>
      </c>
      <c r="C45" s="792"/>
      <c r="D45" s="792"/>
      <c r="E45" s="793"/>
      <c r="F45" s="722" t="s">
        <v>240</v>
      </c>
      <c r="G45" s="795">
        <v>8600</v>
      </c>
      <c r="H45" s="796">
        <f t="shared" si="0"/>
        <v>0</v>
      </c>
      <c r="I45" s="797"/>
      <c r="J45" s="796"/>
      <c r="K45" s="799">
        <f t="shared" si="1"/>
        <v>0</v>
      </c>
      <c r="L45" s="883"/>
    </row>
    <row r="46" spans="1:17" s="884" customFormat="1" ht="24" customHeight="1">
      <c r="A46" s="831"/>
      <c r="B46" s="720" t="s">
        <v>1062</v>
      </c>
      <c r="C46" s="792"/>
      <c r="D46" s="792"/>
      <c r="E46" s="793"/>
      <c r="F46" s="722" t="s">
        <v>240</v>
      </c>
      <c r="G46" s="795">
        <v>8600</v>
      </c>
      <c r="H46" s="796">
        <f t="shared" si="0"/>
        <v>0</v>
      </c>
      <c r="I46" s="797"/>
      <c r="J46" s="796"/>
      <c r="K46" s="799">
        <f t="shared" si="1"/>
        <v>0</v>
      </c>
      <c r="L46" s="883"/>
    </row>
    <row r="47" spans="1:17" s="884" customFormat="1" ht="24" customHeight="1">
      <c r="A47" s="831"/>
      <c r="B47" s="720" t="s">
        <v>1063</v>
      </c>
      <c r="C47" s="792"/>
      <c r="D47" s="792"/>
      <c r="E47" s="793"/>
      <c r="F47" s="722" t="s">
        <v>240</v>
      </c>
      <c r="G47" s="795">
        <v>8600</v>
      </c>
      <c r="H47" s="796">
        <f t="shared" si="0"/>
        <v>0</v>
      </c>
      <c r="I47" s="797"/>
      <c r="J47" s="796"/>
      <c r="K47" s="799">
        <f t="shared" si="1"/>
        <v>0</v>
      </c>
      <c r="L47" s="883"/>
    </row>
    <row r="48" spans="1:17" s="884" customFormat="1" ht="24" customHeight="1">
      <c r="A48" s="831" t="s">
        <v>3088</v>
      </c>
      <c r="B48" s="720" t="s">
        <v>1001</v>
      </c>
      <c r="C48" s="792"/>
      <c r="D48" s="792"/>
      <c r="E48" s="793"/>
      <c r="F48" s="794"/>
      <c r="G48" s="795"/>
      <c r="H48" s="796">
        <f t="shared" si="0"/>
        <v>0</v>
      </c>
      <c r="I48" s="797"/>
      <c r="J48" s="796"/>
      <c r="K48" s="799">
        <f t="shared" si="1"/>
        <v>0</v>
      </c>
      <c r="L48" s="883"/>
    </row>
    <row r="49" spans="1:12" s="884" customFormat="1" ht="24" customHeight="1">
      <c r="A49" s="831"/>
      <c r="B49" s="720" t="s">
        <v>1064</v>
      </c>
      <c r="C49" s="792"/>
      <c r="D49" s="792"/>
      <c r="E49" s="793">
        <v>3</v>
      </c>
      <c r="F49" s="722" t="s">
        <v>240</v>
      </c>
      <c r="G49" s="795">
        <v>660</v>
      </c>
      <c r="H49" s="796">
        <f t="shared" si="0"/>
        <v>1980</v>
      </c>
      <c r="I49" s="797"/>
      <c r="J49" s="796"/>
      <c r="K49" s="799">
        <f t="shared" si="1"/>
        <v>1980</v>
      </c>
      <c r="L49" s="883"/>
    </row>
    <row r="50" spans="1:12" s="884" customFormat="1" ht="24" customHeight="1">
      <c r="A50" s="831"/>
      <c r="B50" s="720" t="s">
        <v>1003</v>
      </c>
      <c r="C50" s="792"/>
      <c r="D50" s="792"/>
      <c r="E50" s="793">
        <v>3</v>
      </c>
      <c r="F50" s="722" t="s">
        <v>240</v>
      </c>
      <c r="G50" s="795">
        <v>120</v>
      </c>
      <c r="H50" s="796">
        <f t="shared" si="0"/>
        <v>360</v>
      </c>
      <c r="I50" s="797"/>
      <c r="J50" s="796"/>
      <c r="K50" s="799">
        <f t="shared" si="1"/>
        <v>360</v>
      </c>
      <c r="L50" s="883"/>
    </row>
    <row r="51" spans="1:12" s="884" customFormat="1" ht="24" customHeight="1">
      <c r="A51" s="831"/>
      <c r="B51" s="720" t="s">
        <v>1004</v>
      </c>
      <c r="C51" s="792"/>
      <c r="D51" s="792"/>
      <c r="E51" s="793">
        <v>3</v>
      </c>
      <c r="F51" s="722" t="s">
        <v>240</v>
      </c>
      <c r="G51" s="795">
        <v>100</v>
      </c>
      <c r="H51" s="796">
        <f t="shared" si="0"/>
        <v>300</v>
      </c>
      <c r="I51" s="797"/>
      <c r="J51" s="796"/>
      <c r="K51" s="799">
        <f t="shared" si="1"/>
        <v>300</v>
      </c>
      <c r="L51" s="883"/>
    </row>
    <row r="52" spans="1:12" s="884" customFormat="1" ht="24" customHeight="1">
      <c r="A52" s="831"/>
      <c r="B52" s="720" t="s">
        <v>1065</v>
      </c>
      <c r="C52" s="792"/>
      <c r="D52" s="792"/>
      <c r="E52" s="793">
        <v>6</v>
      </c>
      <c r="F52" s="722" t="s">
        <v>240</v>
      </c>
      <c r="G52" s="795">
        <v>15435</v>
      </c>
      <c r="H52" s="796">
        <f t="shared" si="0"/>
        <v>92610</v>
      </c>
      <c r="I52" s="797"/>
      <c r="J52" s="796"/>
      <c r="K52" s="799">
        <f t="shared" si="1"/>
        <v>92610</v>
      </c>
      <c r="L52" s="883"/>
    </row>
    <row r="53" spans="1:12" s="884" customFormat="1" ht="24" customHeight="1">
      <c r="A53" s="831" t="s">
        <v>3089</v>
      </c>
      <c r="B53" s="720" t="s">
        <v>1066</v>
      </c>
      <c r="C53" s="792"/>
      <c r="D53" s="792"/>
      <c r="E53" s="793">
        <v>1</v>
      </c>
      <c r="F53" s="722" t="s">
        <v>948</v>
      </c>
      <c r="G53" s="795">
        <v>43400</v>
      </c>
      <c r="H53" s="796">
        <f t="shared" si="0"/>
        <v>43400</v>
      </c>
      <c r="I53" s="797">
        <f>G53*0.3</f>
        <v>13020</v>
      </c>
      <c r="J53" s="796">
        <f>ROUND(E53*I53,)</f>
        <v>13020</v>
      </c>
      <c r="K53" s="799">
        <f t="shared" si="1"/>
        <v>56420</v>
      </c>
      <c r="L53" s="883"/>
    </row>
    <row r="54" spans="1:12" s="884" customFormat="1" ht="24" customHeight="1">
      <c r="A54" s="878" t="s">
        <v>1394</v>
      </c>
      <c r="B54" s="879" t="s">
        <v>1072</v>
      </c>
      <c r="C54" s="880"/>
      <c r="D54" s="880"/>
      <c r="E54" s="881"/>
      <c r="F54" s="794"/>
      <c r="G54" s="795"/>
      <c r="H54" s="796"/>
      <c r="I54" s="797"/>
      <c r="J54" s="796"/>
      <c r="K54" s="797"/>
      <c r="L54" s="887"/>
    </row>
    <row r="55" spans="1:12" s="884" customFormat="1" ht="24" customHeight="1">
      <c r="A55" s="831" t="s">
        <v>3090</v>
      </c>
      <c r="B55" s="720" t="s">
        <v>1053</v>
      </c>
      <c r="C55" s="792"/>
      <c r="D55" s="792"/>
      <c r="E55" s="793"/>
      <c r="F55" s="794"/>
      <c r="G55" s="795"/>
      <c r="H55" s="796"/>
      <c r="I55" s="797"/>
      <c r="J55" s="796"/>
      <c r="K55" s="797"/>
      <c r="L55" s="887"/>
    </row>
    <row r="56" spans="1:12" s="884" customFormat="1" ht="24" customHeight="1">
      <c r="A56" s="831"/>
      <c r="B56" s="720" t="s">
        <v>1054</v>
      </c>
      <c r="C56" s="792"/>
      <c r="D56" s="792"/>
      <c r="E56" s="793"/>
      <c r="F56" s="722" t="s">
        <v>240</v>
      </c>
      <c r="G56" s="795">
        <v>2400</v>
      </c>
      <c r="H56" s="796">
        <f t="shared" ref="H56:H71" si="2">ROUND(G56*E56,)</f>
        <v>0</v>
      </c>
      <c r="I56" s="797"/>
      <c r="J56" s="796"/>
      <c r="K56" s="799">
        <f t="shared" ref="K56:K72" si="3">H56+J56</f>
        <v>0</v>
      </c>
      <c r="L56" s="883"/>
    </row>
    <row r="57" spans="1:12" s="884" customFormat="1" ht="24" customHeight="1">
      <c r="A57" s="831"/>
      <c r="B57" s="720" t="s">
        <v>1055</v>
      </c>
      <c r="C57" s="792"/>
      <c r="D57" s="792"/>
      <c r="E57" s="793"/>
      <c r="F57" s="722" t="s">
        <v>240</v>
      </c>
      <c r="G57" s="795">
        <v>2400</v>
      </c>
      <c r="H57" s="796">
        <f t="shared" si="2"/>
        <v>0</v>
      </c>
      <c r="I57" s="797"/>
      <c r="J57" s="796"/>
      <c r="K57" s="799">
        <f t="shared" si="3"/>
        <v>0</v>
      </c>
      <c r="L57" s="883"/>
    </row>
    <row r="58" spans="1:12" s="884" customFormat="1" ht="24" customHeight="1">
      <c r="A58" s="831"/>
      <c r="B58" s="720" t="s">
        <v>1056</v>
      </c>
      <c r="C58" s="792"/>
      <c r="D58" s="792"/>
      <c r="E58" s="793">
        <v>1</v>
      </c>
      <c r="F58" s="722" t="s">
        <v>240</v>
      </c>
      <c r="G58" s="795">
        <v>2400</v>
      </c>
      <c r="H58" s="796">
        <f t="shared" si="2"/>
        <v>2400</v>
      </c>
      <c r="I58" s="797"/>
      <c r="J58" s="796"/>
      <c r="K58" s="799">
        <f t="shared" si="3"/>
        <v>2400</v>
      </c>
      <c r="L58" s="883"/>
    </row>
    <row r="59" spans="1:12" s="884" customFormat="1" ht="24" customHeight="1">
      <c r="A59" s="831"/>
      <c r="B59" s="720" t="s">
        <v>1057</v>
      </c>
      <c r="C59" s="792"/>
      <c r="D59" s="792"/>
      <c r="E59" s="793">
        <v>1</v>
      </c>
      <c r="F59" s="722" t="s">
        <v>240</v>
      </c>
      <c r="G59" s="795">
        <v>2400</v>
      </c>
      <c r="H59" s="796">
        <f t="shared" si="2"/>
        <v>2400</v>
      </c>
      <c r="I59" s="797"/>
      <c r="J59" s="796"/>
      <c r="K59" s="799">
        <f t="shared" si="3"/>
        <v>2400</v>
      </c>
      <c r="L59" s="883"/>
    </row>
    <row r="60" spans="1:12" s="884" customFormat="1" ht="24" customHeight="1">
      <c r="A60" s="831"/>
      <c r="B60" s="720" t="s">
        <v>1058</v>
      </c>
      <c r="C60" s="792"/>
      <c r="D60" s="792"/>
      <c r="E60" s="793"/>
      <c r="F60" s="722" t="s">
        <v>240</v>
      </c>
      <c r="G60" s="795">
        <v>2400</v>
      </c>
      <c r="H60" s="796">
        <f t="shared" si="2"/>
        <v>0</v>
      </c>
      <c r="I60" s="797"/>
      <c r="J60" s="796"/>
      <c r="K60" s="799">
        <f t="shared" si="3"/>
        <v>0</v>
      </c>
      <c r="L60" s="883"/>
    </row>
    <row r="61" spans="1:12" s="884" customFormat="1" ht="24" customHeight="1">
      <c r="A61" s="831"/>
      <c r="B61" s="720" t="s">
        <v>1059</v>
      </c>
      <c r="C61" s="792"/>
      <c r="D61" s="792"/>
      <c r="E61" s="793"/>
      <c r="F61" s="722" t="s">
        <v>240</v>
      </c>
      <c r="G61" s="795">
        <v>2600</v>
      </c>
      <c r="H61" s="796">
        <f t="shared" si="2"/>
        <v>0</v>
      </c>
      <c r="I61" s="797"/>
      <c r="J61" s="796"/>
      <c r="K61" s="799">
        <f t="shared" si="3"/>
        <v>0</v>
      </c>
      <c r="L61" s="883"/>
    </row>
    <row r="62" spans="1:12" s="884" customFormat="1" ht="24" customHeight="1">
      <c r="A62" s="831"/>
      <c r="B62" s="720" t="s">
        <v>1060</v>
      </c>
      <c r="C62" s="792"/>
      <c r="D62" s="792"/>
      <c r="E62" s="793">
        <v>1</v>
      </c>
      <c r="F62" s="722" t="s">
        <v>240</v>
      </c>
      <c r="G62" s="795">
        <v>3000</v>
      </c>
      <c r="H62" s="796">
        <f t="shared" si="2"/>
        <v>3000</v>
      </c>
      <c r="I62" s="797"/>
      <c r="J62" s="796"/>
      <c r="K62" s="799">
        <f t="shared" si="3"/>
        <v>3000</v>
      </c>
      <c r="L62" s="883"/>
    </row>
    <row r="63" spans="1:12" s="884" customFormat="1" ht="24" customHeight="1">
      <c r="A63" s="831"/>
      <c r="B63" s="720" t="s">
        <v>1061</v>
      </c>
      <c r="C63" s="792"/>
      <c r="D63" s="792"/>
      <c r="E63" s="793"/>
      <c r="F63" s="722" t="s">
        <v>240</v>
      </c>
      <c r="G63" s="795">
        <v>8600</v>
      </c>
      <c r="H63" s="796">
        <f t="shared" si="2"/>
        <v>0</v>
      </c>
      <c r="I63" s="797"/>
      <c r="J63" s="796"/>
      <c r="K63" s="799">
        <f t="shared" si="3"/>
        <v>0</v>
      </c>
      <c r="L63" s="883"/>
    </row>
    <row r="64" spans="1:12" s="884" customFormat="1" ht="24" customHeight="1">
      <c r="A64" s="831"/>
      <c r="B64" s="720" t="s">
        <v>1062</v>
      </c>
      <c r="C64" s="792"/>
      <c r="D64" s="792"/>
      <c r="E64" s="793"/>
      <c r="F64" s="722" t="s">
        <v>240</v>
      </c>
      <c r="G64" s="795">
        <v>8600</v>
      </c>
      <c r="H64" s="796">
        <f t="shared" si="2"/>
        <v>0</v>
      </c>
      <c r="I64" s="797"/>
      <c r="J64" s="796"/>
      <c r="K64" s="799">
        <f t="shared" si="3"/>
        <v>0</v>
      </c>
      <c r="L64" s="883"/>
    </row>
    <row r="65" spans="1:12" s="884" customFormat="1" ht="24" customHeight="1">
      <c r="A65" s="831"/>
      <c r="B65" s="720" t="s">
        <v>1063</v>
      </c>
      <c r="C65" s="792"/>
      <c r="D65" s="792"/>
      <c r="E65" s="793"/>
      <c r="F65" s="722" t="s">
        <v>240</v>
      </c>
      <c r="G65" s="795">
        <v>8600</v>
      </c>
      <c r="H65" s="796">
        <f t="shared" si="2"/>
        <v>0</v>
      </c>
      <c r="I65" s="797"/>
      <c r="J65" s="796"/>
      <c r="K65" s="799">
        <f t="shared" si="3"/>
        <v>0</v>
      </c>
      <c r="L65" s="883"/>
    </row>
    <row r="66" spans="1:12" s="884" customFormat="1" ht="24" customHeight="1">
      <c r="A66" s="831" t="s">
        <v>3091</v>
      </c>
      <c r="B66" s="720" t="s">
        <v>1001</v>
      </c>
      <c r="C66" s="792"/>
      <c r="D66" s="792"/>
      <c r="E66" s="793"/>
      <c r="F66" s="794"/>
      <c r="G66" s="795"/>
      <c r="H66" s="796">
        <f t="shared" si="2"/>
        <v>0</v>
      </c>
      <c r="I66" s="797"/>
      <c r="J66" s="796"/>
      <c r="K66" s="799">
        <f t="shared" si="3"/>
        <v>0</v>
      </c>
      <c r="L66" s="883"/>
    </row>
    <row r="67" spans="1:12" s="884" customFormat="1" ht="24" customHeight="1">
      <c r="A67" s="831"/>
      <c r="B67" s="720" t="s">
        <v>1073</v>
      </c>
      <c r="C67" s="792"/>
      <c r="D67" s="792"/>
      <c r="E67" s="793">
        <v>3</v>
      </c>
      <c r="F67" s="722" t="s">
        <v>240</v>
      </c>
      <c r="G67" s="795">
        <v>660</v>
      </c>
      <c r="H67" s="796">
        <f t="shared" si="2"/>
        <v>1980</v>
      </c>
      <c r="I67" s="797"/>
      <c r="J67" s="796"/>
      <c r="K67" s="799">
        <f t="shared" si="3"/>
        <v>1980</v>
      </c>
      <c r="L67" s="887"/>
    </row>
    <row r="68" spans="1:12" s="884" customFormat="1" ht="24" customHeight="1">
      <c r="A68" s="831"/>
      <c r="B68" s="720" t="s">
        <v>1003</v>
      </c>
      <c r="C68" s="792"/>
      <c r="D68" s="792"/>
      <c r="E68" s="793">
        <v>3</v>
      </c>
      <c r="F68" s="722" t="s">
        <v>240</v>
      </c>
      <c r="G68" s="795">
        <v>120</v>
      </c>
      <c r="H68" s="796">
        <f t="shared" si="2"/>
        <v>360</v>
      </c>
      <c r="I68" s="797"/>
      <c r="J68" s="796"/>
      <c r="K68" s="799">
        <f t="shared" si="3"/>
        <v>360</v>
      </c>
      <c r="L68" s="887"/>
    </row>
    <row r="69" spans="1:12" s="884" customFormat="1" ht="24" customHeight="1">
      <c r="A69" s="831"/>
      <c r="B69" s="720" t="s">
        <v>1004</v>
      </c>
      <c r="C69" s="792"/>
      <c r="D69" s="792"/>
      <c r="E69" s="793">
        <v>3</v>
      </c>
      <c r="F69" s="722" t="s">
        <v>240</v>
      </c>
      <c r="G69" s="795">
        <v>100</v>
      </c>
      <c r="H69" s="796">
        <f t="shared" si="2"/>
        <v>300</v>
      </c>
      <c r="I69" s="797"/>
      <c r="J69" s="796"/>
      <c r="K69" s="799">
        <f t="shared" si="3"/>
        <v>300</v>
      </c>
      <c r="L69" s="887"/>
    </row>
    <row r="70" spans="1:12" s="884" customFormat="1" ht="24" customHeight="1">
      <c r="A70" s="831"/>
      <c r="B70" s="720" t="s">
        <v>1065</v>
      </c>
      <c r="C70" s="792"/>
      <c r="D70" s="792"/>
      <c r="E70" s="793">
        <v>1</v>
      </c>
      <c r="F70" s="722" t="s">
        <v>240</v>
      </c>
      <c r="G70" s="795">
        <v>15435</v>
      </c>
      <c r="H70" s="796">
        <f t="shared" si="2"/>
        <v>15435</v>
      </c>
      <c r="I70" s="797"/>
      <c r="J70" s="796"/>
      <c r="K70" s="799">
        <f t="shared" si="3"/>
        <v>15435</v>
      </c>
      <c r="L70" s="887"/>
    </row>
    <row r="71" spans="1:12" s="884" customFormat="1" ht="24" customHeight="1">
      <c r="A71" s="831" t="s">
        <v>3092</v>
      </c>
      <c r="B71" s="720" t="s">
        <v>1066</v>
      </c>
      <c r="C71" s="792"/>
      <c r="D71" s="792"/>
      <c r="E71" s="793">
        <v>1</v>
      </c>
      <c r="F71" s="722" t="s">
        <v>948</v>
      </c>
      <c r="G71" s="795">
        <v>43400</v>
      </c>
      <c r="H71" s="796">
        <f t="shared" si="2"/>
        <v>43400</v>
      </c>
      <c r="I71" s="797">
        <f>G71*0.3</f>
        <v>13020</v>
      </c>
      <c r="J71" s="796">
        <f>ROUND(E71*I71,)</f>
        <v>13020</v>
      </c>
      <c r="K71" s="799">
        <f t="shared" si="3"/>
        <v>56420</v>
      </c>
      <c r="L71" s="887"/>
    </row>
    <row r="72" spans="1:12" s="884" customFormat="1" ht="24" customHeight="1">
      <c r="A72" s="878" t="s">
        <v>3100</v>
      </c>
      <c r="B72" s="879" t="s">
        <v>1091</v>
      </c>
      <c r="C72" s="880"/>
      <c r="D72" s="880"/>
      <c r="E72" s="881"/>
      <c r="F72" s="794"/>
      <c r="G72" s="795"/>
      <c r="H72" s="796"/>
      <c r="I72" s="797"/>
      <c r="J72" s="796"/>
      <c r="K72" s="799">
        <f t="shared" si="3"/>
        <v>0</v>
      </c>
      <c r="L72" s="887"/>
    </row>
    <row r="73" spans="1:12" s="884" customFormat="1" ht="24" customHeight="1">
      <c r="A73" s="831" t="s">
        <v>3101</v>
      </c>
      <c r="B73" s="720" t="s">
        <v>1053</v>
      </c>
      <c r="C73" s="792"/>
      <c r="D73" s="792"/>
      <c r="E73" s="793"/>
      <c r="F73" s="794"/>
      <c r="G73" s="795"/>
      <c r="H73" s="796"/>
      <c r="I73" s="797"/>
      <c r="J73" s="796"/>
      <c r="K73" s="797"/>
      <c r="L73" s="887"/>
    </row>
    <row r="74" spans="1:12" s="884" customFormat="1" ht="24" customHeight="1">
      <c r="A74" s="831"/>
      <c r="B74" s="720" t="s">
        <v>1054</v>
      </c>
      <c r="C74" s="792"/>
      <c r="D74" s="792"/>
      <c r="E74" s="793"/>
      <c r="F74" s="722" t="s">
        <v>240</v>
      </c>
      <c r="G74" s="795">
        <v>2400</v>
      </c>
      <c r="H74" s="796">
        <f t="shared" ref="H74:H89" si="4">ROUND(G74*E74,)</f>
        <v>0</v>
      </c>
      <c r="I74" s="797"/>
      <c r="J74" s="796"/>
      <c r="K74" s="799">
        <f t="shared" ref="K74:K89" si="5">H74+J74</f>
        <v>0</v>
      </c>
      <c r="L74" s="883"/>
    </row>
    <row r="75" spans="1:12" s="884" customFormat="1" ht="24" customHeight="1">
      <c r="A75" s="831"/>
      <c r="B75" s="720" t="s">
        <v>1055</v>
      </c>
      <c r="C75" s="792"/>
      <c r="D75" s="792"/>
      <c r="E75" s="793"/>
      <c r="F75" s="722" t="s">
        <v>240</v>
      </c>
      <c r="G75" s="795">
        <v>2400</v>
      </c>
      <c r="H75" s="796">
        <f t="shared" si="4"/>
        <v>0</v>
      </c>
      <c r="I75" s="797"/>
      <c r="J75" s="796"/>
      <c r="K75" s="799">
        <f t="shared" si="5"/>
        <v>0</v>
      </c>
      <c r="L75" s="883"/>
    </row>
    <row r="76" spans="1:12" s="884" customFormat="1" ht="24" customHeight="1">
      <c r="A76" s="831"/>
      <c r="B76" s="720" t="s">
        <v>1056</v>
      </c>
      <c r="C76" s="792"/>
      <c r="D76" s="792"/>
      <c r="E76" s="793">
        <v>3</v>
      </c>
      <c r="F76" s="722" t="s">
        <v>240</v>
      </c>
      <c r="G76" s="795">
        <v>2400</v>
      </c>
      <c r="H76" s="796">
        <f t="shared" si="4"/>
        <v>7200</v>
      </c>
      <c r="I76" s="797"/>
      <c r="J76" s="796"/>
      <c r="K76" s="799">
        <f t="shared" si="5"/>
        <v>7200</v>
      </c>
      <c r="L76" s="883"/>
    </row>
    <row r="77" spans="1:12" s="884" customFormat="1" ht="24" customHeight="1">
      <c r="A77" s="831"/>
      <c r="B77" s="720" t="s">
        <v>1057</v>
      </c>
      <c r="C77" s="792"/>
      <c r="D77" s="792"/>
      <c r="E77" s="793">
        <v>2</v>
      </c>
      <c r="F77" s="722" t="s">
        <v>240</v>
      </c>
      <c r="G77" s="795">
        <v>2400</v>
      </c>
      <c r="H77" s="796">
        <f t="shared" si="4"/>
        <v>4800</v>
      </c>
      <c r="I77" s="797"/>
      <c r="J77" s="796"/>
      <c r="K77" s="799">
        <f t="shared" si="5"/>
        <v>4800</v>
      </c>
      <c r="L77" s="883"/>
    </row>
    <row r="78" spans="1:12" s="884" customFormat="1" ht="24" customHeight="1">
      <c r="A78" s="831"/>
      <c r="B78" s="720" t="s">
        <v>1058</v>
      </c>
      <c r="C78" s="792"/>
      <c r="D78" s="792"/>
      <c r="E78" s="793">
        <v>1</v>
      </c>
      <c r="F78" s="722" t="s">
        <v>240</v>
      </c>
      <c r="G78" s="795">
        <v>2400</v>
      </c>
      <c r="H78" s="796">
        <f t="shared" si="4"/>
        <v>2400</v>
      </c>
      <c r="I78" s="797"/>
      <c r="J78" s="796"/>
      <c r="K78" s="799">
        <f t="shared" si="5"/>
        <v>2400</v>
      </c>
      <c r="L78" s="883"/>
    </row>
    <row r="79" spans="1:12" s="884" customFormat="1" ht="24" customHeight="1">
      <c r="A79" s="831"/>
      <c r="B79" s="720" t="s">
        <v>1059</v>
      </c>
      <c r="C79" s="792"/>
      <c r="D79" s="792"/>
      <c r="E79" s="793">
        <v>1</v>
      </c>
      <c r="F79" s="722" t="s">
        <v>240</v>
      </c>
      <c r="G79" s="795">
        <v>2600</v>
      </c>
      <c r="H79" s="796">
        <f t="shared" si="4"/>
        <v>2600</v>
      </c>
      <c r="I79" s="797"/>
      <c r="J79" s="796"/>
      <c r="K79" s="799">
        <f t="shared" si="5"/>
        <v>2600</v>
      </c>
      <c r="L79" s="883"/>
    </row>
    <row r="80" spans="1:12" s="884" customFormat="1" ht="24" customHeight="1">
      <c r="A80" s="831"/>
      <c r="B80" s="720" t="s">
        <v>1060</v>
      </c>
      <c r="C80" s="792"/>
      <c r="D80" s="792"/>
      <c r="E80" s="793"/>
      <c r="F80" s="722" t="s">
        <v>240</v>
      </c>
      <c r="G80" s="795">
        <v>3000</v>
      </c>
      <c r="H80" s="796">
        <f t="shared" si="4"/>
        <v>0</v>
      </c>
      <c r="I80" s="797"/>
      <c r="J80" s="796"/>
      <c r="K80" s="799">
        <f t="shared" si="5"/>
        <v>0</v>
      </c>
      <c r="L80" s="883"/>
    </row>
    <row r="81" spans="1:17" s="884" customFormat="1" ht="24" customHeight="1">
      <c r="A81" s="831"/>
      <c r="B81" s="720" t="s">
        <v>1061</v>
      </c>
      <c r="C81" s="792"/>
      <c r="D81" s="792"/>
      <c r="E81" s="793"/>
      <c r="F81" s="722" t="s">
        <v>240</v>
      </c>
      <c r="G81" s="795">
        <v>8600</v>
      </c>
      <c r="H81" s="796">
        <f t="shared" si="4"/>
        <v>0</v>
      </c>
      <c r="I81" s="797"/>
      <c r="J81" s="796"/>
      <c r="K81" s="799">
        <f t="shared" si="5"/>
        <v>0</v>
      </c>
      <c r="L81" s="883"/>
    </row>
    <row r="82" spans="1:17" s="884" customFormat="1" ht="24" customHeight="1">
      <c r="A82" s="831"/>
      <c r="B82" s="720" t="s">
        <v>1062</v>
      </c>
      <c r="C82" s="792"/>
      <c r="D82" s="792"/>
      <c r="E82" s="793"/>
      <c r="F82" s="722" t="s">
        <v>240</v>
      </c>
      <c r="G82" s="795">
        <v>8600</v>
      </c>
      <c r="H82" s="796">
        <f t="shared" si="4"/>
        <v>0</v>
      </c>
      <c r="I82" s="797"/>
      <c r="J82" s="796"/>
      <c r="K82" s="799">
        <f t="shared" si="5"/>
        <v>0</v>
      </c>
      <c r="L82" s="883"/>
    </row>
    <row r="83" spans="1:17" s="884" customFormat="1" ht="24" customHeight="1">
      <c r="A83" s="831"/>
      <c r="B83" s="720" t="s">
        <v>1063</v>
      </c>
      <c r="C83" s="792"/>
      <c r="D83" s="792"/>
      <c r="E83" s="793"/>
      <c r="F83" s="722" t="s">
        <v>240</v>
      </c>
      <c r="G83" s="795">
        <v>8600</v>
      </c>
      <c r="H83" s="796">
        <f t="shared" si="4"/>
        <v>0</v>
      </c>
      <c r="I83" s="797"/>
      <c r="J83" s="796"/>
      <c r="K83" s="799">
        <f t="shared" si="5"/>
        <v>0</v>
      </c>
      <c r="L83" s="883"/>
    </row>
    <row r="84" spans="1:17" s="884" customFormat="1" ht="24" customHeight="1">
      <c r="A84" s="831" t="s">
        <v>3102</v>
      </c>
      <c r="B84" s="720" t="s">
        <v>1001</v>
      </c>
      <c r="C84" s="792"/>
      <c r="D84" s="792"/>
      <c r="E84" s="793"/>
      <c r="F84" s="794"/>
      <c r="G84" s="795"/>
      <c r="H84" s="796">
        <f t="shared" si="4"/>
        <v>0</v>
      </c>
      <c r="I84" s="797"/>
      <c r="J84" s="796"/>
      <c r="K84" s="799">
        <f t="shared" si="5"/>
        <v>0</v>
      </c>
      <c r="L84" s="883"/>
    </row>
    <row r="85" spans="1:17" s="884" customFormat="1" ht="24" customHeight="1">
      <c r="A85" s="831"/>
      <c r="B85" s="720" t="s">
        <v>1064</v>
      </c>
      <c r="C85" s="792"/>
      <c r="D85" s="792"/>
      <c r="E85" s="793">
        <v>3</v>
      </c>
      <c r="F85" s="722" t="s">
        <v>240</v>
      </c>
      <c r="G85" s="795">
        <v>660</v>
      </c>
      <c r="H85" s="796">
        <f t="shared" si="4"/>
        <v>1980</v>
      </c>
      <c r="I85" s="797"/>
      <c r="J85" s="796"/>
      <c r="K85" s="799">
        <f t="shared" si="5"/>
        <v>1980</v>
      </c>
      <c r="L85" s="887"/>
    </row>
    <row r="86" spans="1:17" s="884" customFormat="1" ht="24" customHeight="1">
      <c r="A86" s="831"/>
      <c r="B86" s="720" t="s">
        <v>1003</v>
      </c>
      <c r="C86" s="792"/>
      <c r="D86" s="792"/>
      <c r="E86" s="793">
        <v>3</v>
      </c>
      <c r="F86" s="722" t="s">
        <v>240</v>
      </c>
      <c r="G86" s="795">
        <v>120</v>
      </c>
      <c r="H86" s="796">
        <f t="shared" si="4"/>
        <v>360</v>
      </c>
      <c r="I86" s="797"/>
      <c r="J86" s="796"/>
      <c r="K86" s="799">
        <f t="shared" si="5"/>
        <v>360</v>
      </c>
      <c r="L86" s="887"/>
    </row>
    <row r="87" spans="1:17" s="884" customFormat="1" ht="24" customHeight="1">
      <c r="A87" s="831"/>
      <c r="B87" s="720" t="s">
        <v>1004</v>
      </c>
      <c r="C87" s="792"/>
      <c r="D87" s="792"/>
      <c r="E87" s="793">
        <v>3</v>
      </c>
      <c r="F87" s="722" t="s">
        <v>240</v>
      </c>
      <c r="G87" s="795">
        <v>100</v>
      </c>
      <c r="H87" s="796">
        <f t="shared" si="4"/>
        <v>300</v>
      </c>
      <c r="I87" s="797"/>
      <c r="J87" s="796"/>
      <c r="K87" s="799">
        <f t="shared" si="5"/>
        <v>300</v>
      </c>
      <c r="L87" s="887"/>
    </row>
    <row r="88" spans="1:17" s="884" customFormat="1" ht="24" customHeight="1">
      <c r="A88" s="831"/>
      <c r="B88" s="720" t="s">
        <v>1065</v>
      </c>
      <c r="C88" s="792"/>
      <c r="D88" s="792"/>
      <c r="E88" s="793">
        <v>5</v>
      </c>
      <c r="F88" s="722" t="s">
        <v>240</v>
      </c>
      <c r="G88" s="795">
        <v>15435</v>
      </c>
      <c r="H88" s="796">
        <f t="shared" si="4"/>
        <v>77175</v>
      </c>
      <c r="I88" s="797"/>
      <c r="J88" s="796"/>
      <c r="K88" s="799">
        <f t="shared" si="5"/>
        <v>77175</v>
      </c>
      <c r="L88" s="887"/>
    </row>
    <row r="89" spans="1:17" s="884" customFormat="1" ht="24" customHeight="1">
      <c r="A89" s="831" t="s">
        <v>3103</v>
      </c>
      <c r="B89" s="720" t="s">
        <v>1066</v>
      </c>
      <c r="C89" s="792"/>
      <c r="D89" s="792"/>
      <c r="E89" s="793">
        <v>1</v>
      </c>
      <c r="F89" s="722" t="s">
        <v>948</v>
      </c>
      <c r="G89" s="795">
        <v>43400</v>
      </c>
      <c r="H89" s="796">
        <f t="shared" si="4"/>
        <v>43400</v>
      </c>
      <c r="I89" s="797">
        <f>G89*0.3</f>
        <v>13020</v>
      </c>
      <c r="J89" s="796">
        <f>ROUND(E89*I89,)</f>
        <v>13020</v>
      </c>
      <c r="K89" s="799">
        <f t="shared" si="5"/>
        <v>56420</v>
      </c>
      <c r="L89" s="887"/>
    </row>
    <row r="90" spans="1:17" s="714" customFormat="1" ht="24" customHeight="1">
      <c r="A90" s="831"/>
      <c r="B90" s="720" t="s">
        <v>957</v>
      </c>
      <c r="C90" s="792"/>
      <c r="D90" s="792"/>
      <c r="E90" s="793"/>
      <c r="F90" s="794"/>
      <c r="G90" s="795"/>
      <c r="H90" s="796"/>
      <c r="I90" s="797"/>
      <c r="J90" s="864"/>
      <c r="K90" s="906"/>
      <c r="L90" s="964"/>
      <c r="M90" s="729"/>
      <c r="N90" s="729"/>
      <c r="O90" s="729"/>
      <c r="P90" s="729"/>
      <c r="Q90" s="729"/>
    </row>
    <row r="91" spans="1:17" s="714" customFormat="1" ht="24" customHeight="1">
      <c r="A91" s="719"/>
      <c r="B91" s="720" t="s">
        <v>1428</v>
      </c>
      <c r="C91" s="717"/>
      <c r="D91" s="718"/>
      <c r="E91" s="721"/>
      <c r="F91" s="722"/>
      <c r="G91" s="710"/>
      <c r="H91" s="711"/>
      <c r="I91" s="712"/>
      <c r="J91" s="957"/>
      <c r="K91" s="958"/>
      <c r="L91" s="954"/>
    </row>
    <row r="92" spans="1:17" s="714" customFormat="1" ht="24" customHeight="1">
      <c r="A92" s="719"/>
      <c r="B92" s="720" t="s">
        <v>1428</v>
      </c>
      <c r="C92" s="717"/>
      <c r="D92" s="718"/>
      <c r="E92" s="721"/>
      <c r="F92" s="722"/>
      <c r="G92" s="710"/>
      <c r="H92" s="711"/>
      <c r="I92" s="712"/>
      <c r="J92" s="957"/>
      <c r="K92" s="958"/>
      <c r="L92" s="954"/>
    </row>
    <row r="93" spans="1:17" s="714" customFormat="1" ht="24" customHeight="1">
      <c r="A93" s="719"/>
      <c r="B93" s="955"/>
      <c r="C93" s="717"/>
      <c r="D93" s="718"/>
      <c r="E93" s="721"/>
      <c r="F93" s="722"/>
      <c r="G93" s="710"/>
      <c r="H93" s="711"/>
      <c r="I93" s="956"/>
      <c r="J93" s="957"/>
      <c r="K93" s="958"/>
      <c r="L93" s="954"/>
    </row>
    <row r="94" spans="1:17" s="714" customFormat="1" ht="24" customHeight="1">
      <c r="A94" s="775"/>
      <c r="B94" s="2475" t="str">
        <f>"รวมราคารายการที่ "&amp;A35</f>
        <v>รวมราคารายการที่ 3.1</v>
      </c>
      <c r="C94" s="2476"/>
      <c r="D94" s="2477"/>
      <c r="E94" s="776"/>
      <c r="F94" s="777"/>
      <c r="G94" s="959"/>
      <c r="H94" s="960">
        <f>SUM(H35:H93)</f>
        <v>367540</v>
      </c>
      <c r="I94" s="959"/>
      <c r="J94" s="960">
        <f>SUM(J35:J93)</f>
        <v>39060</v>
      </c>
      <c r="K94" s="960">
        <f>SUM(K35:K93)</f>
        <v>406600</v>
      </c>
      <c r="L94" s="777"/>
      <c r="M94" s="729"/>
      <c r="N94" s="729"/>
      <c r="O94" s="729"/>
      <c r="P94" s="729"/>
      <c r="Q94" s="729"/>
    </row>
    <row r="95" spans="1:17" s="714" customFormat="1" ht="24" customHeight="1">
      <c r="A95" s="815">
        <v>3.2</v>
      </c>
      <c r="B95" s="816" t="s">
        <v>1103</v>
      </c>
      <c r="C95" s="859"/>
      <c r="D95" s="859"/>
      <c r="E95" s="851"/>
      <c r="F95" s="852"/>
      <c r="G95" s="853"/>
      <c r="H95" s="854"/>
      <c r="I95" s="855"/>
      <c r="J95" s="854"/>
      <c r="K95" s="855"/>
      <c r="L95" s="826"/>
    </row>
    <row r="96" spans="1:17" s="884" customFormat="1" ht="24" customHeight="1">
      <c r="A96" s="878" t="s">
        <v>960</v>
      </c>
      <c r="B96" s="894" t="s">
        <v>1109</v>
      </c>
      <c r="C96" s="895"/>
      <c r="D96" s="895"/>
      <c r="E96" s="896"/>
      <c r="F96" s="897"/>
      <c r="G96" s="858"/>
      <c r="H96" s="864"/>
      <c r="I96" s="865"/>
      <c r="J96" s="864"/>
      <c r="K96" s="799">
        <f t="shared" ref="K96:K159" si="6">H96+J96</f>
        <v>0</v>
      </c>
      <c r="L96" s="883"/>
    </row>
    <row r="97" spans="1:12" s="884" customFormat="1" ht="24" customHeight="1">
      <c r="A97" s="831" t="s">
        <v>3093</v>
      </c>
      <c r="B97" s="800" t="s">
        <v>1053</v>
      </c>
      <c r="C97" s="801"/>
      <c r="D97" s="801"/>
      <c r="E97" s="802"/>
      <c r="F97" s="867"/>
      <c r="G97" s="858"/>
      <c r="H97" s="864"/>
      <c r="I97" s="865"/>
      <c r="J97" s="864"/>
      <c r="K97" s="799">
        <f t="shared" si="6"/>
        <v>0</v>
      </c>
      <c r="L97" s="883"/>
    </row>
    <row r="98" spans="1:12" s="884" customFormat="1" ht="24" customHeight="1">
      <c r="A98" s="831"/>
      <c r="B98" s="720" t="s">
        <v>1055</v>
      </c>
      <c r="C98" s="792"/>
      <c r="D98" s="792"/>
      <c r="E98" s="793">
        <v>1</v>
      </c>
      <c r="F98" s="722" t="s">
        <v>240</v>
      </c>
      <c r="G98" s="795">
        <v>2400</v>
      </c>
      <c r="H98" s="796">
        <f t="shared" ref="H98:H112" si="7">ROUND(G98*E98,)</f>
        <v>2400</v>
      </c>
      <c r="I98" s="797"/>
      <c r="J98" s="796"/>
      <c r="K98" s="799">
        <f t="shared" si="6"/>
        <v>2400</v>
      </c>
      <c r="L98" s="883"/>
    </row>
    <row r="99" spans="1:12" s="884" customFormat="1" ht="24" customHeight="1">
      <c r="A99" s="831"/>
      <c r="B99" s="720" t="s">
        <v>1056</v>
      </c>
      <c r="C99" s="792"/>
      <c r="D99" s="792"/>
      <c r="E99" s="793"/>
      <c r="F99" s="722" t="s">
        <v>240</v>
      </c>
      <c r="G99" s="795">
        <v>2400</v>
      </c>
      <c r="H99" s="796">
        <f t="shared" si="7"/>
        <v>0</v>
      </c>
      <c r="I99" s="797"/>
      <c r="J99" s="796"/>
      <c r="K99" s="799">
        <f t="shared" si="6"/>
        <v>0</v>
      </c>
      <c r="L99" s="883"/>
    </row>
    <row r="100" spans="1:12" s="884" customFormat="1" ht="24" customHeight="1">
      <c r="A100" s="831"/>
      <c r="B100" s="720" t="s">
        <v>1057</v>
      </c>
      <c r="C100" s="792"/>
      <c r="D100" s="792"/>
      <c r="E100" s="793"/>
      <c r="F100" s="722" t="s">
        <v>240</v>
      </c>
      <c r="G100" s="795">
        <v>2400</v>
      </c>
      <c r="H100" s="796">
        <f t="shared" si="7"/>
        <v>0</v>
      </c>
      <c r="I100" s="797"/>
      <c r="J100" s="796"/>
      <c r="K100" s="799">
        <f t="shared" si="6"/>
        <v>0</v>
      </c>
      <c r="L100" s="883"/>
    </row>
    <row r="101" spans="1:12" s="884" customFormat="1" ht="24" customHeight="1">
      <c r="A101" s="831"/>
      <c r="B101" s="720" t="s">
        <v>1058</v>
      </c>
      <c r="C101" s="792"/>
      <c r="D101" s="792"/>
      <c r="E101" s="793"/>
      <c r="F101" s="722" t="s">
        <v>240</v>
      </c>
      <c r="G101" s="795">
        <v>2400</v>
      </c>
      <c r="H101" s="796">
        <f t="shared" si="7"/>
        <v>0</v>
      </c>
      <c r="I101" s="797"/>
      <c r="J101" s="796"/>
      <c r="K101" s="799">
        <f t="shared" si="6"/>
        <v>0</v>
      </c>
      <c r="L101" s="883"/>
    </row>
    <row r="102" spans="1:12" s="884" customFormat="1" ht="24" customHeight="1">
      <c r="A102" s="831"/>
      <c r="B102" s="720" t="s">
        <v>1059</v>
      </c>
      <c r="C102" s="792"/>
      <c r="D102" s="792"/>
      <c r="E102" s="793"/>
      <c r="F102" s="722" t="s">
        <v>240</v>
      </c>
      <c r="G102" s="795">
        <v>2600</v>
      </c>
      <c r="H102" s="796">
        <f t="shared" si="7"/>
        <v>0</v>
      </c>
      <c r="I102" s="797"/>
      <c r="J102" s="796"/>
      <c r="K102" s="799">
        <f t="shared" si="6"/>
        <v>0</v>
      </c>
      <c r="L102" s="883"/>
    </row>
    <row r="103" spans="1:12" s="884" customFormat="1" ht="24" customHeight="1">
      <c r="A103" s="831"/>
      <c r="B103" s="720" t="s">
        <v>1060</v>
      </c>
      <c r="C103" s="792"/>
      <c r="D103" s="792"/>
      <c r="E103" s="793"/>
      <c r="F103" s="722" t="s">
        <v>240</v>
      </c>
      <c r="G103" s="795">
        <v>3000</v>
      </c>
      <c r="H103" s="796">
        <f t="shared" si="7"/>
        <v>0</v>
      </c>
      <c r="I103" s="797"/>
      <c r="J103" s="796"/>
      <c r="K103" s="799">
        <f t="shared" si="6"/>
        <v>0</v>
      </c>
      <c r="L103" s="883"/>
    </row>
    <row r="104" spans="1:12" s="884" customFormat="1" ht="24" customHeight="1">
      <c r="A104" s="831"/>
      <c r="B104" s="720" t="s">
        <v>1088</v>
      </c>
      <c r="C104" s="801"/>
      <c r="D104" s="801"/>
      <c r="E104" s="802"/>
      <c r="F104" s="803" t="s">
        <v>240</v>
      </c>
      <c r="G104" s="795">
        <v>5000</v>
      </c>
      <c r="H104" s="864">
        <f t="shared" si="7"/>
        <v>0</v>
      </c>
      <c r="I104" s="865"/>
      <c r="J104" s="864"/>
      <c r="K104" s="799">
        <f t="shared" si="6"/>
        <v>0</v>
      </c>
      <c r="L104" s="883"/>
    </row>
    <row r="105" spans="1:12" s="884" customFormat="1" ht="24" customHeight="1">
      <c r="A105" s="831"/>
      <c r="B105" s="720" t="s">
        <v>1105</v>
      </c>
      <c r="C105" s="801"/>
      <c r="D105" s="801"/>
      <c r="E105" s="802"/>
      <c r="F105" s="803" t="s">
        <v>240</v>
      </c>
      <c r="G105" s="795">
        <v>5700</v>
      </c>
      <c r="H105" s="864">
        <f t="shared" si="7"/>
        <v>0</v>
      </c>
      <c r="I105" s="865"/>
      <c r="J105" s="864"/>
      <c r="K105" s="799">
        <f t="shared" si="6"/>
        <v>0</v>
      </c>
      <c r="L105" s="883"/>
    </row>
    <row r="106" spans="1:12" s="884" customFormat="1" ht="24" customHeight="1">
      <c r="A106" s="831"/>
      <c r="B106" s="720" t="s">
        <v>1086</v>
      </c>
      <c r="C106" s="801"/>
      <c r="D106" s="801"/>
      <c r="E106" s="802"/>
      <c r="F106" s="803" t="s">
        <v>240</v>
      </c>
      <c r="G106" s="795">
        <v>5700</v>
      </c>
      <c r="H106" s="864">
        <f t="shared" si="7"/>
        <v>0</v>
      </c>
      <c r="I106" s="865"/>
      <c r="J106" s="864"/>
      <c r="K106" s="799">
        <f t="shared" si="6"/>
        <v>0</v>
      </c>
      <c r="L106" s="883"/>
    </row>
    <row r="107" spans="1:12" s="884" customFormat="1" ht="24" customHeight="1">
      <c r="A107" s="831"/>
      <c r="B107" s="720" t="s">
        <v>1061</v>
      </c>
      <c r="C107" s="801"/>
      <c r="D107" s="801"/>
      <c r="E107" s="802"/>
      <c r="F107" s="803" t="s">
        <v>240</v>
      </c>
      <c r="G107" s="795">
        <v>8600</v>
      </c>
      <c r="H107" s="864">
        <f t="shared" si="7"/>
        <v>0</v>
      </c>
      <c r="I107" s="865"/>
      <c r="J107" s="864"/>
      <c r="K107" s="799">
        <f t="shared" si="6"/>
        <v>0</v>
      </c>
      <c r="L107" s="883"/>
    </row>
    <row r="108" spans="1:12" s="884" customFormat="1" ht="24" customHeight="1">
      <c r="A108" s="2396"/>
      <c r="B108" s="720" t="s">
        <v>1062</v>
      </c>
      <c r="C108" s="801"/>
      <c r="D108" s="801"/>
      <c r="E108" s="802"/>
      <c r="F108" s="803" t="s">
        <v>240</v>
      </c>
      <c r="G108" s="795">
        <v>8600</v>
      </c>
      <c r="H108" s="864">
        <f t="shared" si="7"/>
        <v>0</v>
      </c>
      <c r="I108" s="865"/>
      <c r="J108" s="864"/>
      <c r="K108" s="799">
        <f t="shared" si="6"/>
        <v>0</v>
      </c>
      <c r="L108" s="883"/>
    </row>
    <row r="109" spans="1:12" s="884" customFormat="1" ht="24" customHeight="1">
      <c r="A109" s="831"/>
      <c r="B109" s="720" t="s">
        <v>1063</v>
      </c>
      <c r="C109" s="801"/>
      <c r="D109" s="801"/>
      <c r="E109" s="802"/>
      <c r="F109" s="803" t="s">
        <v>240</v>
      </c>
      <c r="G109" s="795">
        <v>11500</v>
      </c>
      <c r="H109" s="864">
        <f t="shared" si="7"/>
        <v>0</v>
      </c>
      <c r="I109" s="865"/>
      <c r="J109" s="864"/>
      <c r="K109" s="799">
        <f t="shared" si="6"/>
        <v>0</v>
      </c>
      <c r="L109" s="883"/>
    </row>
    <row r="110" spans="1:12" s="884" customFormat="1" ht="24" customHeight="1">
      <c r="A110" s="831"/>
      <c r="B110" s="720" t="s">
        <v>1106</v>
      </c>
      <c r="C110" s="801"/>
      <c r="D110" s="801"/>
      <c r="E110" s="802"/>
      <c r="F110" s="803" t="s">
        <v>240</v>
      </c>
      <c r="G110" s="795">
        <v>20200</v>
      </c>
      <c r="H110" s="864">
        <f t="shared" si="7"/>
        <v>0</v>
      </c>
      <c r="I110" s="865"/>
      <c r="J110" s="864"/>
      <c r="K110" s="799">
        <f t="shared" si="6"/>
        <v>0</v>
      </c>
      <c r="L110" s="883"/>
    </row>
    <row r="111" spans="1:12" s="884" customFormat="1" ht="24" customHeight="1">
      <c r="A111" s="831"/>
      <c r="B111" s="720" t="s">
        <v>1107</v>
      </c>
      <c r="C111" s="801"/>
      <c r="D111" s="801"/>
      <c r="E111" s="802"/>
      <c r="F111" s="803" t="s">
        <v>240</v>
      </c>
      <c r="G111" s="795">
        <v>20200</v>
      </c>
      <c r="H111" s="864">
        <f t="shared" si="7"/>
        <v>0</v>
      </c>
      <c r="I111" s="865"/>
      <c r="J111" s="864"/>
      <c r="K111" s="799">
        <f t="shared" si="6"/>
        <v>0</v>
      </c>
      <c r="L111" s="883"/>
    </row>
    <row r="112" spans="1:12" s="884" customFormat="1" ht="24" customHeight="1">
      <c r="A112" s="831"/>
      <c r="B112" s="720" t="s">
        <v>1108</v>
      </c>
      <c r="C112" s="801"/>
      <c r="D112" s="801"/>
      <c r="E112" s="802"/>
      <c r="F112" s="803" t="s">
        <v>240</v>
      </c>
      <c r="G112" s="795">
        <v>20200</v>
      </c>
      <c r="H112" s="864">
        <f t="shared" si="7"/>
        <v>0</v>
      </c>
      <c r="I112" s="865"/>
      <c r="J112" s="864"/>
      <c r="K112" s="799">
        <f t="shared" si="6"/>
        <v>0</v>
      </c>
      <c r="L112" s="883"/>
    </row>
    <row r="113" spans="1:12" s="884" customFormat="1" ht="24" customHeight="1">
      <c r="A113" s="831" t="s">
        <v>3094</v>
      </c>
      <c r="B113" s="800" t="s">
        <v>1001</v>
      </c>
      <c r="C113" s="801"/>
      <c r="D113" s="801"/>
      <c r="E113" s="802"/>
      <c r="F113" s="867"/>
      <c r="G113" s="858"/>
      <c r="H113" s="864"/>
      <c r="I113" s="865"/>
      <c r="J113" s="864"/>
      <c r="K113" s="799">
        <f t="shared" si="6"/>
        <v>0</v>
      </c>
      <c r="L113" s="883"/>
    </row>
    <row r="114" spans="1:12" s="884" customFormat="1" ht="24" customHeight="1">
      <c r="A114" s="878"/>
      <c r="B114" s="800" t="s">
        <v>1073</v>
      </c>
      <c r="C114" s="801"/>
      <c r="D114" s="801"/>
      <c r="E114" s="802">
        <v>3</v>
      </c>
      <c r="F114" s="803" t="s">
        <v>240</v>
      </c>
      <c r="G114" s="858">
        <v>600</v>
      </c>
      <c r="H114" s="864">
        <f t="shared" ref="H114:H118" si="8">ROUND(G114*E114,)</f>
        <v>1800</v>
      </c>
      <c r="I114" s="865"/>
      <c r="J114" s="864"/>
      <c r="K114" s="799">
        <f t="shared" si="6"/>
        <v>1800</v>
      </c>
      <c r="L114" s="887"/>
    </row>
    <row r="115" spans="1:12" s="884" customFormat="1" ht="24" customHeight="1">
      <c r="A115" s="831"/>
      <c r="B115" s="800" t="s">
        <v>1003</v>
      </c>
      <c r="C115" s="801"/>
      <c r="D115" s="801"/>
      <c r="E115" s="802">
        <v>3</v>
      </c>
      <c r="F115" s="803" t="s">
        <v>240</v>
      </c>
      <c r="G115" s="858">
        <v>120</v>
      </c>
      <c r="H115" s="864">
        <f t="shared" si="8"/>
        <v>360</v>
      </c>
      <c r="I115" s="865"/>
      <c r="J115" s="864"/>
      <c r="K115" s="799">
        <f t="shared" si="6"/>
        <v>360</v>
      </c>
      <c r="L115" s="887"/>
    </row>
    <row r="116" spans="1:12" s="884" customFormat="1" ht="24" customHeight="1">
      <c r="A116" s="831"/>
      <c r="B116" s="800" t="s">
        <v>1004</v>
      </c>
      <c r="C116" s="801"/>
      <c r="D116" s="801"/>
      <c r="E116" s="802">
        <v>3</v>
      </c>
      <c r="F116" s="803" t="s">
        <v>240</v>
      </c>
      <c r="G116" s="858">
        <v>100</v>
      </c>
      <c r="H116" s="864">
        <f t="shared" si="8"/>
        <v>300</v>
      </c>
      <c r="I116" s="865"/>
      <c r="J116" s="864"/>
      <c r="K116" s="799">
        <f t="shared" si="6"/>
        <v>300</v>
      </c>
      <c r="L116" s="883"/>
    </row>
    <row r="117" spans="1:12" s="884" customFormat="1" ht="24" customHeight="1">
      <c r="A117" s="831"/>
      <c r="B117" s="800" t="s">
        <v>1065</v>
      </c>
      <c r="C117" s="801"/>
      <c r="D117" s="801"/>
      <c r="E117" s="802">
        <v>4</v>
      </c>
      <c r="F117" s="803" t="s">
        <v>240</v>
      </c>
      <c r="G117" s="858">
        <v>15435</v>
      </c>
      <c r="H117" s="864">
        <f t="shared" si="8"/>
        <v>61740</v>
      </c>
      <c r="I117" s="865"/>
      <c r="J117" s="864"/>
      <c r="K117" s="799">
        <f t="shared" si="6"/>
        <v>61740</v>
      </c>
      <c r="L117" s="883"/>
    </row>
    <row r="118" spans="1:12" s="884" customFormat="1" ht="24" customHeight="1">
      <c r="A118" s="831" t="s">
        <v>3095</v>
      </c>
      <c r="B118" s="720" t="s">
        <v>1066</v>
      </c>
      <c r="C118" s="792"/>
      <c r="D118" s="792"/>
      <c r="E118" s="793">
        <v>1</v>
      </c>
      <c r="F118" s="722" t="s">
        <v>948</v>
      </c>
      <c r="G118" s="795">
        <v>33400</v>
      </c>
      <c r="H118" s="796">
        <f t="shared" si="8"/>
        <v>33400</v>
      </c>
      <c r="I118" s="797">
        <f>G118*0.3</f>
        <v>10020</v>
      </c>
      <c r="J118" s="796">
        <f>ROUND(E118*I118,)</f>
        <v>10020</v>
      </c>
      <c r="K118" s="799">
        <f t="shared" si="6"/>
        <v>43420</v>
      </c>
      <c r="L118" s="883"/>
    </row>
    <row r="119" spans="1:12" s="884" customFormat="1" ht="24" customHeight="1">
      <c r="A119" s="878" t="s">
        <v>962</v>
      </c>
      <c r="B119" s="894" t="s">
        <v>1110</v>
      </c>
      <c r="C119" s="895"/>
      <c r="D119" s="895"/>
      <c r="E119" s="896"/>
      <c r="F119" s="897"/>
      <c r="G119" s="858"/>
      <c r="H119" s="864"/>
      <c r="I119" s="865"/>
      <c r="J119" s="864"/>
      <c r="K119" s="799">
        <f t="shared" si="6"/>
        <v>0</v>
      </c>
      <c r="L119" s="887"/>
    </row>
    <row r="120" spans="1:12" s="884" customFormat="1" ht="24" customHeight="1">
      <c r="A120" s="831" t="s">
        <v>3096</v>
      </c>
      <c r="B120" s="800" t="s">
        <v>1053</v>
      </c>
      <c r="C120" s="801"/>
      <c r="D120" s="801"/>
      <c r="E120" s="802"/>
      <c r="F120" s="867"/>
      <c r="G120" s="858"/>
      <c r="H120" s="864"/>
      <c r="I120" s="865"/>
      <c r="J120" s="864"/>
      <c r="K120" s="799">
        <f t="shared" si="6"/>
        <v>0</v>
      </c>
      <c r="L120" s="887"/>
    </row>
    <row r="121" spans="1:12" s="884" customFormat="1" ht="24" customHeight="1">
      <c r="A121" s="831"/>
      <c r="B121" s="720" t="s">
        <v>1054</v>
      </c>
      <c r="C121" s="792"/>
      <c r="D121" s="792"/>
      <c r="E121" s="793">
        <v>1</v>
      </c>
      <c r="F121" s="722" t="s">
        <v>240</v>
      </c>
      <c r="G121" s="795">
        <v>2400</v>
      </c>
      <c r="H121" s="796">
        <f t="shared" ref="H121:H136" si="9">ROUND(G121*E121,)</f>
        <v>2400</v>
      </c>
      <c r="I121" s="797"/>
      <c r="J121" s="796"/>
      <c r="K121" s="799">
        <f t="shared" si="6"/>
        <v>2400</v>
      </c>
      <c r="L121" s="883"/>
    </row>
    <row r="122" spans="1:12" s="884" customFormat="1" ht="24" customHeight="1">
      <c r="A122" s="831"/>
      <c r="B122" s="720" t="s">
        <v>1055</v>
      </c>
      <c r="C122" s="792"/>
      <c r="D122" s="792"/>
      <c r="E122" s="793"/>
      <c r="F122" s="722" t="s">
        <v>240</v>
      </c>
      <c r="G122" s="795">
        <v>2400</v>
      </c>
      <c r="H122" s="796">
        <f t="shared" si="9"/>
        <v>0</v>
      </c>
      <c r="I122" s="797"/>
      <c r="J122" s="796"/>
      <c r="K122" s="799">
        <f t="shared" si="6"/>
        <v>0</v>
      </c>
      <c r="L122" s="883"/>
    </row>
    <row r="123" spans="1:12" s="884" customFormat="1" ht="24" customHeight="1">
      <c r="A123" s="831"/>
      <c r="B123" s="720" t="s">
        <v>1056</v>
      </c>
      <c r="C123" s="792"/>
      <c r="D123" s="792"/>
      <c r="E123" s="793"/>
      <c r="F123" s="722" t="s">
        <v>240</v>
      </c>
      <c r="G123" s="795">
        <v>2400</v>
      </c>
      <c r="H123" s="796">
        <f t="shared" si="9"/>
        <v>0</v>
      </c>
      <c r="I123" s="797"/>
      <c r="J123" s="796"/>
      <c r="K123" s="799">
        <f t="shared" si="6"/>
        <v>0</v>
      </c>
      <c r="L123" s="883"/>
    </row>
    <row r="124" spans="1:12" s="884" customFormat="1" ht="24" customHeight="1">
      <c r="A124" s="831"/>
      <c r="B124" s="720" t="s">
        <v>1057</v>
      </c>
      <c r="C124" s="792"/>
      <c r="D124" s="792"/>
      <c r="E124" s="793"/>
      <c r="F124" s="722" t="s">
        <v>240</v>
      </c>
      <c r="G124" s="795">
        <v>2400</v>
      </c>
      <c r="H124" s="796">
        <f t="shared" si="9"/>
        <v>0</v>
      </c>
      <c r="I124" s="797"/>
      <c r="J124" s="796"/>
      <c r="K124" s="799">
        <f t="shared" si="6"/>
        <v>0</v>
      </c>
      <c r="L124" s="883"/>
    </row>
    <row r="125" spans="1:12" s="884" customFormat="1" ht="24" customHeight="1">
      <c r="A125" s="831"/>
      <c r="B125" s="720" t="s">
        <v>1058</v>
      </c>
      <c r="C125" s="792"/>
      <c r="D125" s="792"/>
      <c r="E125" s="793"/>
      <c r="F125" s="722" t="s">
        <v>240</v>
      </c>
      <c r="G125" s="795">
        <v>2400</v>
      </c>
      <c r="H125" s="796">
        <f t="shared" si="9"/>
        <v>0</v>
      </c>
      <c r="I125" s="797"/>
      <c r="J125" s="796"/>
      <c r="K125" s="799">
        <f t="shared" si="6"/>
        <v>0</v>
      </c>
      <c r="L125" s="883"/>
    </row>
    <row r="126" spans="1:12" s="884" customFormat="1" ht="24" customHeight="1">
      <c r="A126" s="831"/>
      <c r="B126" s="720" t="s">
        <v>1059</v>
      </c>
      <c r="C126" s="792"/>
      <c r="D126" s="792"/>
      <c r="E126" s="793"/>
      <c r="F126" s="722" t="s">
        <v>240</v>
      </c>
      <c r="G126" s="795">
        <v>2600</v>
      </c>
      <c r="H126" s="796">
        <f t="shared" si="9"/>
        <v>0</v>
      </c>
      <c r="I126" s="797"/>
      <c r="J126" s="796"/>
      <c r="K126" s="799">
        <f t="shared" si="6"/>
        <v>0</v>
      </c>
      <c r="L126" s="883"/>
    </row>
    <row r="127" spans="1:12" s="884" customFormat="1" ht="24" customHeight="1">
      <c r="A127" s="831"/>
      <c r="B127" s="720" t="s">
        <v>1060</v>
      </c>
      <c r="C127" s="792"/>
      <c r="D127" s="792"/>
      <c r="E127" s="793"/>
      <c r="F127" s="722" t="s">
        <v>240</v>
      </c>
      <c r="G127" s="795">
        <v>3000</v>
      </c>
      <c r="H127" s="796">
        <f t="shared" si="9"/>
        <v>0</v>
      </c>
      <c r="I127" s="797"/>
      <c r="J127" s="796"/>
      <c r="K127" s="799">
        <f t="shared" si="6"/>
        <v>0</v>
      </c>
      <c r="L127" s="887"/>
    </row>
    <row r="128" spans="1:12" s="884" customFormat="1" ht="24" customHeight="1">
      <c r="A128" s="831"/>
      <c r="B128" s="720" t="s">
        <v>1088</v>
      </c>
      <c r="C128" s="801"/>
      <c r="D128" s="801"/>
      <c r="E128" s="802"/>
      <c r="F128" s="803" t="s">
        <v>240</v>
      </c>
      <c r="G128" s="795">
        <v>5000</v>
      </c>
      <c r="H128" s="864">
        <f t="shared" si="9"/>
        <v>0</v>
      </c>
      <c r="I128" s="865"/>
      <c r="J128" s="864"/>
      <c r="K128" s="799">
        <f t="shared" si="6"/>
        <v>0</v>
      </c>
      <c r="L128" s="887"/>
    </row>
    <row r="129" spans="1:17" s="884" customFormat="1" ht="24" customHeight="1">
      <c r="A129" s="831"/>
      <c r="B129" s="720" t="s">
        <v>1105</v>
      </c>
      <c r="C129" s="801"/>
      <c r="D129" s="801"/>
      <c r="E129" s="802"/>
      <c r="F129" s="803" t="s">
        <v>240</v>
      </c>
      <c r="G129" s="795">
        <v>5700</v>
      </c>
      <c r="H129" s="864">
        <f t="shared" si="9"/>
        <v>0</v>
      </c>
      <c r="I129" s="865"/>
      <c r="J129" s="864"/>
      <c r="K129" s="799">
        <f t="shared" si="6"/>
        <v>0</v>
      </c>
      <c r="L129" s="887"/>
    </row>
    <row r="130" spans="1:17" s="884" customFormat="1" ht="24" customHeight="1">
      <c r="A130" s="831"/>
      <c r="B130" s="720" t="s">
        <v>1086</v>
      </c>
      <c r="C130" s="801"/>
      <c r="D130" s="801"/>
      <c r="E130" s="802"/>
      <c r="F130" s="803" t="s">
        <v>240</v>
      </c>
      <c r="G130" s="795">
        <v>5700</v>
      </c>
      <c r="H130" s="864">
        <f t="shared" si="9"/>
        <v>0</v>
      </c>
      <c r="I130" s="865"/>
      <c r="J130" s="864"/>
      <c r="K130" s="799">
        <f t="shared" si="6"/>
        <v>0</v>
      </c>
      <c r="L130" s="887"/>
    </row>
    <row r="131" spans="1:17" s="884" customFormat="1" ht="24" customHeight="1">
      <c r="A131" s="2396"/>
      <c r="B131" s="720" t="s">
        <v>1061</v>
      </c>
      <c r="C131" s="801"/>
      <c r="D131" s="801"/>
      <c r="E131" s="802"/>
      <c r="F131" s="803" t="s">
        <v>240</v>
      </c>
      <c r="G131" s="795">
        <v>8600</v>
      </c>
      <c r="H131" s="864">
        <f t="shared" si="9"/>
        <v>0</v>
      </c>
      <c r="I131" s="865"/>
      <c r="J131" s="864"/>
      <c r="K131" s="799">
        <f t="shared" si="6"/>
        <v>0</v>
      </c>
      <c r="L131" s="887"/>
    </row>
    <row r="132" spans="1:17" s="884" customFormat="1" ht="24" customHeight="1">
      <c r="A132" s="831"/>
      <c r="B132" s="720" t="s">
        <v>1062</v>
      </c>
      <c r="C132" s="801"/>
      <c r="D132" s="801"/>
      <c r="E132" s="802"/>
      <c r="F132" s="803" t="s">
        <v>240</v>
      </c>
      <c r="G132" s="795">
        <v>8600</v>
      </c>
      <c r="H132" s="864">
        <f t="shared" si="9"/>
        <v>0</v>
      </c>
      <c r="I132" s="865"/>
      <c r="J132" s="864"/>
      <c r="K132" s="799">
        <f t="shared" si="6"/>
        <v>0</v>
      </c>
      <c r="L132" s="887"/>
    </row>
    <row r="133" spans="1:17" s="884" customFormat="1" ht="24" customHeight="1">
      <c r="A133" s="831"/>
      <c r="B133" s="720" t="s">
        <v>1063</v>
      </c>
      <c r="C133" s="801"/>
      <c r="D133" s="801"/>
      <c r="E133" s="802"/>
      <c r="F133" s="803" t="s">
        <v>240</v>
      </c>
      <c r="G133" s="795">
        <v>11500</v>
      </c>
      <c r="H133" s="864">
        <f t="shared" si="9"/>
        <v>0</v>
      </c>
      <c r="I133" s="865"/>
      <c r="J133" s="864"/>
      <c r="K133" s="799">
        <f t="shared" si="6"/>
        <v>0</v>
      </c>
      <c r="L133" s="887"/>
    </row>
    <row r="134" spans="1:17" s="884" customFormat="1" ht="24" customHeight="1">
      <c r="A134" s="831"/>
      <c r="B134" s="720" t="s">
        <v>1106</v>
      </c>
      <c r="C134" s="801"/>
      <c r="D134" s="801"/>
      <c r="E134" s="802"/>
      <c r="F134" s="803" t="s">
        <v>240</v>
      </c>
      <c r="G134" s="795">
        <v>20200</v>
      </c>
      <c r="H134" s="864">
        <f t="shared" si="9"/>
        <v>0</v>
      </c>
      <c r="I134" s="865"/>
      <c r="J134" s="864"/>
      <c r="K134" s="799">
        <f t="shared" si="6"/>
        <v>0</v>
      </c>
      <c r="L134" s="887"/>
    </row>
    <row r="135" spans="1:17" s="884" customFormat="1" ht="24" customHeight="1">
      <c r="A135" s="831"/>
      <c r="B135" s="720" t="s">
        <v>1107</v>
      </c>
      <c r="C135" s="801"/>
      <c r="D135" s="801"/>
      <c r="E135" s="802"/>
      <c r="F135" s="803" t="s">
        <v>240</v>
      </c>
      <c r="G135" s="795">
        <v>20200</v>
      </c>
      <c r="H135" s="864">
        <f t="shared" si="9"/>
        <v>0</v>
      </c>
      <c r="I135" s="865"/>
      <c r="J135" s="864"/>
      <c r="K135" s="799">
        <f t="shared" si="6"/>
        <v>0</v>
      </c>
      <c r="L135" s="887"/>
    </row>
    <row r="136" spans="1:17" s="884" customFormat="1" ht="24" customHeight="1">
      <c r="A136" s="2396"/>
      <c r="B136" s="720" t="s">
        <v>1108</v>
      </c>
      <c r="C136" s="801"/>
      <c r="D136" s="801"/>
      <c r="E136" s="802"/>
      <c r="F136" s="803" t="s">
        <v>240</v>
      </c>
      <c r="G136" s="795">
        <v>20200</v>
      </c>
      <c r="H136" s="864">
        <f t="shared" si="9"/>
        <v>0</v>
      </c>
      <c r="I136" s="865"/>
      <c r="J136" s="864"/>
      <c r="K136" s="799">
        <f t="shared" si="6"/>
        <v>0</v>
      </c>
      <c r="L136" s="887"/>
    </row>
    <row r="137" spans="1:17" s="884" customFormat="1" ht="24" customHeight="1">
      <c r="A137" s="831" t="s">
        <v>3097</v>
      </c>
      <c r="B137" s="800" t="s">
        <v>1001</v>
      </c>
      <c r="C137" s="801"/>
      <c r="D137" s="801"/>
      <c r="E137" s="802"/>
      <c r="F137" s="867"/>
      <c r="G137" s="858"/>
      <c r="H137" s="864"/>
      <c r="I137" s="865"/>
      <c r="J137" s="864"/>
      <c r="K137" s="799">
        <f t="shared" si="6"/>
        <v>0</v>
      </c>
      <c r="L137" s="887"/>
    </row>
    <row r="138" spans="1:17" s="884" customFormat="1" ht="24" customHeight="1">
      <c r="A138" s="831"/>
      <c r="B138" s="800" t="s">
        <v>1111</v>
      </c>
      <c r="C138" s="801"/>
      <c r="D138" s="801"/>
      <c r="E138" s="802">
        <v>3</v>
      </c>
      <c r="F138" s="803" t="s">
        <v>240</v>
      </c>
      <c r="G138" s="858">
        <v>600</v>
      </c>
      <c r="H138" s="864">
        <f>ROUND(G138*E138,)</f>
        <v>1800</v>
      </c>
      <c r="I138" s="865"/>
      <c r="J138" s="864"/>
      <c r="K138" s="799">
        <f t="shared" si="6"/>
        <v>1800</v>
      </c>
      <c r="L138" s="887"/>
    </row>
    <row r="139" spans="1:17" s="884" customFormat="1" ht="24" customHeight="1">
      <c r="A139" s="831"/>
      <c r="B139" s="800" t="s">
        <v>1003</v>
      </c>
      <c r="C139" s="801"/>
      <c r="D139" s="801"/>
      <c r="E139" s="802">
        <v>3</v>
      </c>
      <c r="F139" s="803" t="s">
        <v>240</v>
      </c>
      <c r="G139" s="858">
        <v>120</v>
      </c>
      <c r="H139" s="864">
        <f>ROUND(G139*E139,)</f>
        <v>360</v>
      </c>
      <c r="I139" s="865"/>
      <c r="J139" s="864"/>
      <c r="K139" s="799">
        <f t="shared" si="6"/>
        <v>360</v>
      </c>
      <c r="L139" s="887"/>
    </row>
    <row r="140" spans="1:17" s="884" customFormat="1" ht="24" customHeight="1">
      <c r="A140" s="831"/>
      <c r="B140" s="800" t="s">
        <v>1004</v>
      </c>
      <c r="C140" s="801"/>
      <c r="D140" s="801"/>
      <c r="E140" s="802">
        <v>3</v>
      </c>
      <c r="F140" s="803" t="s">
        <v>240</v>
      </c>
      <c r="G140" s="858">
        <v>100</v>
      </c>
      <c r="H140" s="864">
        <f>ROUND(G140*E140,)</f>
        <v>300</v>
      </c>
      <c r="I140" s="865"/>
      <c r="J140" s="864"/>
      <c r="K140" s="799">
        <f t="shared" si="6"/>
        <v>300</v>
      </c>
      <c r="L140" s="887"/>
    </row>
    <row r="141" spans="1:17" s="884" customFormat="1" ht="24" customHeight="1">
      <c r="A141" s="2396"/>
      <c r="B141" s="800" t="s">
        <v>1065</v>
      </c>
      <c r="C141" s="801"/>
      <c r="D141" s="801"/>
      <c r="E141" s="802">
        <v>1</v>
      </c>
      <c r="F141" s="803" t="s">
        <v>240</v>
      </c>
      <c r="G141" s="858">
        <v>15435</v>
      </c>
      <c r="H141" s="864">
        <f>ROUND(G141*E141,)</f>
        <v>15435</v>
      </c>
      <c r="I141" s="865"/>
      <c r="J141" s="864"/>
      <c r="K141" s="799">
        <f t="shared" si="6"/>
        <v>15435</v>
      </c>
      <c r="L141" s="887"/>
    </row>
    <row r="142" spans="1:17" s="714" customFormat="1" ht="24" customHeight="1">
      <c r="A142" s="831" t="s">
        <v>3098</v>
      </c>
      <c r="B142" s="720" t="s">
        <v>1066</v>
      </c>
      <c r="C142" s="792"/>
      <c r="D142" s="792"/>
      <c r="E142" s="793">
        <v>1</v>
      </c>
      <c r="F142" s="722" t="s">
        <v>948</v>
      </c>
      <c r="G142" s="795">
        <v>33400</v>
      </c>
      <c r="H142" s="796">
        <f>ROUND(G142*E142,)</f>
        <v>33400</v>
      </c>
      <c r="I142" s="797">
        <f>G142*0.3</f>
        <v>10020</v>
      </c>
      <c r="J142" s="796">
        <f>ROUND(E142*I142,)</f>
        <v>10020</v>
      </c>
      <c r="K142" s="799">
        <f t="shared" si="6"/>
        <v>43420</v>
      </c>
      <c r="L142" s="887"/>
      <c r="M142" s="729"/>
      <c r="N142" s="729"/>
      <c r="O142" s="729"/>
      <c r="P142" s="729"/>
      <c r="Q142" s="729"/>
    </row>
    <row r="143" spans="1:17" s="884" customFormat="1" ht="24" customHeight="1">
      <c r="A143" s="878" t="s">
        <v>1415</v>
      </c>
      <c r="B143" s="894" t="s">
        <v>1126</v>
      </c>
      <c r="C143" s="895"/>
      <c r="D143" s="895"/>
      <c r="E143" s="896"/>
      <c r="F143" s="897"/>
      <c r="G143" s="858"/>
      <c r="H143" s="864"/>
      <c r="I143" s="865"/>
      <c r="J143" s="864"/>
      <c r="K143" s="799">
        <f t="shared" si="6"/>
        <v>0</v>
      </c>
      <c r="L143" s="887"/>
    </row>
    <row r="144" spans="1:17" s="884" customFormat="1" ht="24" customHeight="1">
      <c r="A144" s="831" t="s">
        <v>3104</v>
      </c>
      <c r="B144" s="800" t="s">
        <v>1053</v>
      </c>
      <c r="C144" s="801"/>
      <c r="D144" s="801"/>
      <c r="E144" s="802"/>
      <c r="F144" s="867"/>
      <c r="G144" s="858"/>
      <c r="H144" s="864"/>
      <c r="I144" s="865"/>
      <c r="J144" s="864"/>
      <c r="K144" s="799">
        <f t="shared" si="6"/>
        <v>0</v>
      </c>
      <c r="L144" s="887"/>
    </row>
    <row r="145" spans="1:12" s="884" customFormat="1" ht="24" customHeight="1">
      <c r="A145" s="831"/>
      <c r="B145" s="720" t="s">
        <v>1055</v>
      </c>
      <c r="C145" s="792"/>
      <c r="D145" s="792"/>
      <c r="E145" s="793">
        <v>1</v>
      </c>
      <c r="F145" s="722" t="s">
        <v>240</v>
      </c>
      <c r="G145" s="795">
        <v>2400</v>
      </c>
      <c r="H145" s="796">
        <f t="shared" ref="H145:H165" si="10">ROUND(G145*E145,)</f>
        <v>2400</v>
      </c>
      <c r="I145" s="797"/>
      <c r="J145" s="796"/>
      <c r="K145" s="799">
        <f t="shared" si="6"/>
        <v>2400</v>
      </c>
      <c r="L145" s="883"/>
    </row>
    <row r="146" spans="1:12" s="884" customFormat="1" ht="24" customHeight="1">
      <c r="A146" s="831"/>
      <c r="B146" s="720" t="s">
        <v>1056</v>
      </c>
      <c r="C146" s="792"/>
      <c r="D146" s="792"/>
      <c r="E146" s="793"/>
      <c r="F146" s="722" t="s">
        <v>240</v>
      </c>
      <c r="G146" s="795">
        <v>2400</v>
      </c>
      <c r="H146" s="796">
        <f t="shared" si="10"/>
        <v>0</v>
      </c>
      <c r="I146" s="797"/>
      <c r="J146" s="796"/>
      <c r="K146" s="799">
        <f t="shared" si="6"/>
        <v>0</v>
      </c>
      <c r="L146" s="883"/>
    </row>
    <row r="147" spans="1:12" s="884" customFormat="1" ht="24" customHeight="1">
      <c r="A147" s="831"/>
      <c r="B147" s="720" t="s">
        <v>1057</v>
      </c>
      <c r="C147" s="792"/>
      <c r="D147" s="792"/>
      <c r="E147" s="793"/>
      <c r="F147" s="722" t="s">
        <v>240</v>
      </c>
      <c r="G147" s="795">
        <v>2400</v>
      </c>
      <c r="H147" s="796">
        <f t="shared" si="10"/>
        <v>0</v>
      </c>
      <c r="I147" s="797"/>
      <c r="J147" s="796"/>
      <c r="K147" s="799">
        <f t="shared" si="6"/>
        <v>0</v>
      </c>
      <c r="L147" s="883"/>
    </row>
    <row r="148" spans="1:12" s="884" customFormat="1" ht="24" customHeight="1">
      <c r="A148" s="831"/>
      <c r="B148" s="720" t="s">
        <v>1058</v>
      </c>
      <c r="C148" s="792"/>
      <c r="D148" s="792"/>
      <c r="E148" s="793"/>
      <c r="F148" s="722" t="s">
        <v>240</v>
      </c>
      <c r="G148" s="795">
        <v>2400</v>
      </c>
      <c r="H148" s="796">
        <f t="shared" si="10"/>
        <v>0</v>
      </c>
      <c r="I148" s="797"/>
      <c r="J148" s="796"/>
      <c r="K148" s="799">
        <f t="shared" si="6"/>
        <v>0</v>
      </c>
      <c r="L148" s="883"/>
    </row>
    <row r="149" spans="1:12" s="884" customFormat="1" ht="24" customHeight="1">
      <c r="A149" s="831"/>
      <c r="B149" s="720" t="s">
        <v>1059</v>
      </c>
      <c r="C149" s="792"/>
      <c r="D149" s="792"/>
      <c r="E149" s="793"/>
      <c r="F149" s="722" t="s">
        <v>240</v>
      </c>
      <c r="G149" s="795">
        <v>2600</v>
      </c>
      <c r="H149" s="796">
        <f t="shared" si="10"/>
        <v>0</v>
      </c>
      <c r="I149" s="797"/>
      <c r="J149" s="796"/>
      <c r="K149" s="799">
        <f t="shared" si="6"/>
        <v>0</v>
      </c>
      <c r="L149" s="883"/>
    </row>
    <row r="150" spans="1:12" s="884" customFormat="1" ht="24" customHeight="1">
      <c r="A150" s="831"/>
      <c r="B150" s="720" t="s">
        <v>1060</v>
      </c>
      <c r="C150" s="792"/>
      <c r="D150" s="792"/>
      <c r="E150" s="793"/>
      <c r="F150" s="722" t="s">
        <v>240</v>
      </c>
      <c r="G150" s="795">
        <v>3000</v>
      </c>
      <c r="H150" s="796">
        <f t="shared" si="10"/>
        <v>0</v>
      </c>
      <c r="I150" s="797"/>
      <c r="J150" s="796"/>
      <c r="K150" s="799">
        <f t="shared" si="6"/>
        <v>0</v>
      </c>
      <c r="L150" s="883"/>
    </row>
    <row r="151" spans="1:12" s="884" customFormat="1" ht="24" customHeight="1">
      <c r="A151" s="831"/>
      <c r="B151" s="720" t="s">
        <v>1088</v>
      </c>
      <c r="C151" s="801"/>
      <c r="D151" s="801"/>
      <c r="E151" s="802"/>
      <c r="F151" s="803" t="s">
        <v>240</v>
      </c>
      <c r="G151" s="858">
        <v>2400</v>
      </c>
      <c r="H151" s="864">
        <f t="shared" si="10"/>
        <v>0</v>
      </c>
      <c r="I151" s="865"/>
      <c r="J151" s="864"/>
      <c r="K151" s="799">
        <f t="shared" si="6"/>
        <v>0</v>
      </c>
      <c r="L151" s="887"/>
    </row>
    <row r="152" spans="1:12" s="884" customFormat="1" ht="24" customHeight="1">
      <c r="A152" s="831"/>
      <c r="B152" s="720" t="s">
        <v>1105</v>
      </c>
      <c r="C152" s="801"/>
      <c r="D152" s="801"/>
      <c r="E152" s="802"/>
      <c r="F152" s="803" t="s">
        <v>240</v>
      </c>
      <c r="G152" s="858">
        <v>2400</v>
      </c>
      <c r="H152" s="864">
        <f t="shared" si="10"/>
        <v>0</v>
      </c>
      <c r="I152" s="865"/>
      <c r="J152" s="864"/>
      <c r="K152" s="799">
        <f t="shared" si="6"/>
        <v>0</v>
      </c>
      <c r="L152" s="887"/>
    </row>
    <row r="153" spans="1:12" s="884" customFormat="1" ht="24" customHeight="1">
      <c r="A153" s="831"/>
      <c r="B153" s="720" t="s">
        <v>1086</v>
      </c>
      <c r="C153" s="801"/>
      <c r="D153" s="801"/>
      <c r="E153" s="802"/>
      <c r="F153" s="803" t="s">
        <v>240</v>
      </c>
      <c r="G153" s="858">
        <v>3000</v>
      </c>
      <c r="H153" s="864">
        <f t="shared" si="10"/>
        <v>0</v>
      </c>
      <c r="I153" s="865"/>
      <c r="J153" s="864"/>
      <c r="K153" s="799">
        <f t="shared" si="6"/>
        <v>0</v>
      </c>
      <c r="L153" s="887"/>
    </row>
    <row r="154" spans="1:12" s="884" customFormat="1" ht="24" customHeight="1">
      <c r="A154" s="831"/>
      <c r="B154" s="720" t="s">
        <v>1061</v>
      </c>
      <c r="C154" s="801"/>
      <c r="D154" s="801"/>
      <c r="E154" s="802"/>
      <c r="F154" s="803" t="s">
        <v>240</v>
      </c>
      <c r="G154" s="858">
        <v>5700</v>
      </c>
      <c r="H154" s="864">
        <f t="shared" si="10"/>
        <v>0</v>
      </c>
      <c r="I154" s="865"/>
      <c r="J154" s="864"/>
      <c r="K154" s="799">
        <f t="shared" si="6"/>
        <v>0</v>
      </c>
      <c r="L154" s="887"/>
    </row>
    <row r="155" spans="1:12" s="884" customFormat="1" ht="24" customHeight="1">
      <c r="A155" s="2396"/>
      <c r="B155" s="720" t="s">
        <v>1062</v>
      </c>
      <c r="C155" s="801"/>
      <c r="D155" s="801"/>
      <c r="E155" s="802"/>
      <c r="F155" s="803" t="s">
        <v>240</v>
      </c>
      <c r="G155" s="858">
        <v>5700</v>
      </c>
      <c r="H155" s="864">
        <f t="shared" si="10"/>
        <v>0</v>
      </c>
      <c r="I155" s="865"/>
      <c r="J155" s="864"/>
      <c r="K155" s="799">
        <f t="shared" si="6"/>
        <v>0</v>
      </c>
      <c r="L155" s="887"/>
    </row>
    <row r="156" spans="1:12" s="884" customFormat="1" ht="24" customHeight="1">
      <c r="A156" s="831"/>
      <c r="B156" s="720" t="s">
        <v>1063</v>
      </c>
      <c r="C156" s="801"/>
      <c r="D156" s="801"/>
      <c r="E156" s="802"/>
      <c r="F156" s="803" t="s">
        <v>240</v>
      </c>
      <c r="G156" s="858">
        <v>5700</v>
      </c>
      <c r="H156" s="864">
        <f t="shared" si="10"/>
        <v>0</v>
      </c>
      <c r="I156" s="865"/>
      <c r="J156" s="864"/>
      <c r="K156" s="799">
        <f t="shared" si="6"/>
        <v>0</v>
      </c>
      <c r="L156" s="887"/>
    </row>
    <row r="157" spans="1:12" s="884" customFormat="1" ht="24" customHeight="1">
      <c r="A157" s="831"/>
      <c r="B157" s="720" t="s">
        <v>1106</v>
      </c>
      <c r="C157" s="801"/>
      <c r="D157" s="801"/>
      <c r="E157" s="802"/>
      <c r="F157" s="803" t="s">
        <v>240</v>
      </c>
      <c r="G157" s="858">
        <v>5700</v>
      </c>
      <c r="H157" s="864">
        <f t="shared" si="10"/>
        <v>0</v>
      </c>
      <c r="I157" s="865"/>
      <c r="J157" s="864"/>
      <c r="K157" s="799">
        <f t="shared" si="6"/>
        <v>0</v>
      </c>
      <c r="L157" s="887"/>
    </row>
    <row r="158" spans="1:12" s="884" customFormat="1" ht="24" customHeight="1">
      <c r="A158" s="831"/>
      <c r="B158" s="720" t="s">
        <v>1107</v>
      </c>
      <c r="C158" s="801"/>
      <c r="D158" s="801"/>
      <c r="E158" s="802"/>
      <c r="F158" s="803" t="s">
        <v>240</v>
      </c>
      <c r="G158" s="858">
        <v>5700</v>
      </c>
      <c r="H158" s="864">
        <f t="shared" si="10"/>
        <v>0</v>
      </c>
      <c r="I158" s="865"/>
      <c r="J158" s="864"/>
      <c r="K158" s="799">
        <f t="shared" si="6"/>
        <v>0</v>
      </c>
      <c r="L158" s="887"/>
    </row>
    <row r="159" spans="1:12" s="884" customFormat="1" ht="24" customHeight="1">
      <c r="A159" s="831"/>
      <c r="B159" s="720" t="s">
        <v>1108</v>
      </c>
      <c r="C159" s="801"/>
      <c r="D159" s="801"/>
      <c r="E159" s="802"/>
      <c r="F159" s="803" t="s">
        <v>240</v>
      </c>
      <c r="G159" s="858">
        <v>5700</v>
      </c>
      <c r="H159" s="864">
        <f t="shared" si="10"/>
        <v>0</v>
      </c>
      <c r="I159" s="865"/>
      <c r="J159" s="864"/>
      <c r="K159" s="799">
        <f t="shared" si="6"/>
        <v>0</v>
      </c>
      <c r="L159" s="887"/>
    </row>
    <row r="160" spans="1:12" s="884" customFormat="1" ht="24" customHeight="1">
      <c r="A160" s="831" t="s">
        <v>3105</v>
      </c>
      <c r="B160" s="800" t="s">
        <v>1001</v>
      </c>
      <c r="C160" s="801"/>
      <c r="D160" s="801"/>
      <c r="E160" s="802"/>
      <c r="F160" s="867"/>
      <c r="G160" s="858"/>
      <c r="H160" s="864">
        <f t="shared" si="10"/>
        <v>0</v>
      </c>
      <c r="I160" s="865"/>
      <c r="J160" s="864"/>
      <c r="K160" s="799">
        <f t="shared" ref="K160:K165" si="11">H160+J160</f>
        <v>0</v>
      </c>
      <c r="L160" s="887"/>
    </row>
    <row r="161" spans="1:17" s="884" customFormat="1" ht="24" customHeight="1">
      <c r="A161" s="831"/>
      <c r="B161" s="800" t="s">
        <v>1073</v>
      </c>
      <c r="C161" s="801"/>
      <c r="D161" s="801"/>
      <c r="E161" s="802">
        <v>3</v>
      </c>
      <c r="F161" s="803" t="s">
        <v>240</v>
      </c>
      <c r="G161" s="858">
        <v>600</v>
      </c>
      <c r="H161" s="864">
        <f t="shared" si="10"/>
        <v>1800</v>
      </c>
      <c r="I161" s="865"/>
      <c r="J161" s="864"/>
      <c r="K161" s="799">
        <f t="shared" si="11"/>
        <v>1800</v>
      </c>
      <c r="L161" s="887"/>
    </row>
    <row r="162" spans="1:17" s="884" customFormat="1" ht="24" customHeight="1">
      <c r="A162" s="831"/>
      <c r="B162" s="800" t="s">
        <v>1003</v>
      </c>
      <c r="C162" s="801"/>
      <c r="D162" s="801"/>
      <c r="E162" s="802">
        <v>3</v>
      </c>
      <c r="F162" s="803" t="s">
        <v>240</v>
      </c>
      <c r="G162" s="858">
        <v>120</v>
      </c>
      <c r="H162" s="864">
        <f t="shared" si="10"/>
        <v>360</v>
      </c>
      <c r="I162" s="865"/>
      <c r="J162" s="864"/>
      <c r="K162" s="799">
        <f t="shared" si="11"/>
        <v>360</v>
      </c>
      <c r="L162" s="887"/>
    </row>
    <row r="163" spans="1:17" s="884" customFormat="1" ht="24" customHeight="1">
      <c r="A163" s="831"/>
      <c r="B163" s="800" t="s">
        <v>1004</v>
      </c>
      <c r="C163" s="801"/>
      <c r="D163" s="801"/>
      <c r="E163" s="802">
        <v>3</v>
      </c>
      <c r="F163" s="803" t="s">
        <v>240</v>
      </c>
      <c r="G163" s="858">
        <v>100</v>
      </c>
      <c r="H163" s="864">
        <f t="shared" si="10"/>
        <v>300</v>
      </c>
      <c r="I163" s="865"/>
      <c r="J163" s="864"/>
      <c r="K163" s="799">
        <f t="shared" si="11"/>
        <v>300</v>
      </c>
      <c r="L163" s="887"/>
    </row>
    <row r="164" spans="1:17" s="884" customFormat="1" ht="24" customHeight="1">
      <c r="A164" s="2396"/>
      <c r="B164" s="800" t="s">
        <v>1065</v>
      </c>
      <c r="C164" s="801"/>
      <c r="D164" s="801"/>
      <c r="E164" s="802">
        <v>4</v>
      </c>
      <c r="F164" s="803" t="s">
        <v>240</v>
      </c>
      <c r="G164" s="858">
        <v>15435</v>
      </c>
      <c r="H164" s="864">
        <f t="shared" si="10"/>
        <v>61740</v>
      </c>
      <c r="I164" s="865"/>
      <c r="J164" s="864"/>
      <c r="K164" s="799">
        <f t="shared" si="11"/>
        <v>61740</v>
      </c>
      <c r="L164" s="887"/>
    </row>
    <row r="165" spans="1:17" s="884" customFormat="1" ht="24" customHeight="1">
      <c r="A165" s="831" t="s">
        <v>3106</v>
      </c>
      <c r="B165" s="800" t="s">
        <v>1066</v>
      </c>
      <c r="C165" s="801"/>
      <c r="D165" s="801"/>
      <c r="E165" s="802">
        <v>1</v>
      </c>
      <c r="F165" s="803" t="s">
        <v>948</v>
      </c>
      <c r="G165" s="795">
        <v>33400</v>
      </c>
      <c r="H165" s="864">
        <f t="shared" si="10"/>
        <v>33400</v>
      </c>
      <c r="I165" s="865">
        <f>G165*0.3</f>
        <v>10020</v>
      </c>
      <c r="J165" s="864">
        <f>ROUND(E165*I165,)</f>
        <v>10020</v>
      </c>
      <c r="K165" s="799">
        <f t="shared" si="11"/>
        <v>43420</v>
      </c>
      <c r="L165" s="887"/>
    </row>
    <row r="166" spans="1:17" s="714" customFormat="1" ht="24" customHeight="1">
      <c r="A166" s="831"/>
      <c r="B166" s="720" t="s">
        <v>957</v>
      </c>
      <c r="C166" s="792"/>
      <c r="D166" s="792"/>
      <c r="E166" s="793"/>
      <c r="F166" s="794"/>
      <c r="G166" s="795"/>
      <c r="H166" s="796"/>
      <c r="I166" s="797"/>
      <c r="J166" s="864"/>
      <c r="K166" s="906"/>
      <c r="L166" s="964"/>
      <c r="M166" s="729"/>
      <c r="N166" s="729"/>
      <c r="O166" s="729"/>
      <c r="P166" s="729"/>
      <c r="Q166" s="729"/>
    </row>
    <row r="167" spans="1:17" s="714" customFormat="1" ht="24" customHeight="1">
      <c r="A167" s="719"/>
      <c r="B167" s="720" t="s">
        <v>1428</v>
      </c>
      <c r="C167" s="717"/>
      <c r="D167" s="718"/>
      <c r="E167" s="721"/>
      <c r="F167" s="722"/>
      <c r="G167" s="710"/>
      <c r="H167" s="711"/>
      <c r="I167" s="712"/>
      <c r="J167" s="957"/>
      <c r="K167" s="958"/>
      <c r="L167" s="954"/>
    </row>
    <row r="168" spans="1:17" s="714" customFormat="1" ht="24" customHeight="1">
      <c r="A168" s="719"/>
      <c r="B168" s="720" t="s">
        <v>1428</v>
      </c>
      <c r="C168" s="717"/>
      <c r="D168" s="718"/>
      <c r="E168" s="721"/>
      <c r="F168" s="722"/>
      <c r="G168" s="710"/>
      <c r="H168" s="711"/>
      <c r="I168" s="712"/>
      <c r="J168" s="957"/>
      <c r="K168" s="958"/>
      <c r="L168" s="954"/>
    </row>
    <row r="169" spans="1:17" s="714" customFormat="1" ht="24" customHeight="1">
      <c r="A169" s="719"/>
      <c r="B169" s="955"/>
      <c r="C169" s="717"/>
      <c r="D169" s="718"/>
      <c r="E169" s="721"/>
      <c r="F169" s="722"/>
      <c r="G169" s="710"/>
      <c r="H169" s="711"/>
      <c r="I169" s="712"/>
      <c r="J169" s="957"/>
      <c r="K169" s="958"/>
      <c r="L169" s="954"/>
    </row>
    <row r="170" spans="1:17" s="714" customFormat="1" ht="24" customHeight="1">
      <c r="A170" s="719"/>
      <c r="B170" s="955"/>
      <c r="C170" s="717"/>
      <c r="D170" s="718"/>
      <c r="E170" s="721"/>
      <c r="F170" s="722"/>
      <c r="G170" s="710"/>
      <c r="H170" s="711"/>
      <c r="I170" s="956"/>
      <c r="J170" s="957"/>
      <c r="K170" s="958"/>
      <c r="L170" s="954"/>
    </row>
    <row r="171" spans="1:17" s="714" customFormat="1" ht="24" customHeight="1">
      <c r="A171" s="775"/>
      <c r="B171" s="2475" t="str">
        <f>"รวมราคารายการที่ "&amp;A95</f>
        <v>รวมราคารายการที่ 3.2</v>
      </c>
      <c r="C171" s="2476"/>
      <c r="D171" s="2477"/>
      <c r="E171" s="776"/>
      <c r="F171" s="777"/>
      <c r="G171" s="959"/>
      <c r="H171" s="960">
        <f>SUM(H95:H170)</f>
        <v>253695</v>
      </c>
      <c r="I171" s="959"/>
      <c r="J171" s="960">
        <f>SUM(J95:J170)</f>
        <v>30060</v>
      </c>
      <c r="K171" s="960">
        <f>SUM(K95:K170)</f>
        <v>283755</v>
      </c>
      <c r="L171" s="777"/>
      <c r="M171" s="729"/>
      <c r="N171" s="729"/>
      <c r="O171" s="729"/>
      <c r="P171" s="729"/>
      <c r="Q171" s="729"/>
    </row>
    <row r="172" spans="1:17" s="714" customFormat="1" ht="24" customHeight="1">
      <c r="A172" s="961" t="s">
        <v>1279</v>
      </c>
      <c r="B172" s="782" t="s">
        <v>1267</v>
      </c>
      <c r="C172" s="784"/>
      <c r="D172" s="784"/>
      <c r="E172" s="785"/>
      <c r="F172" s="786"/>
      <c r="G172" s="787"/>
      <c r="H172" s="788"/>
      <c r="I172" s="789"/>
      <c r="J172" s="788"/>
      <c r="K172" s="789"/>
      <c r="L172" s="1070"/>
      <c r="M172" s="729"/>
      <c r="N172" s="729"/>
      <c r="O172" s="729"/>
      <c r="P172" s="729"/>
      <c r="Q172" s="729"/>
    </row>
    <row r="173" spans="1:17" s="714" customFormat="1" ht="24" customHeight="1">
      <c r="A173" s="911" t="s">
        <v>965</v>
      </c>
      <c r="B173" s="1043" t="s">
        <v>1389</v>
      </c>
      <c r="C173" s="859"/>
      <c r="D173" s="859"/>
      <c r="E173" s="851"/>
      <c r="F173" s="852"/>
      <c r="G173" s="853"/>
      <c r="H173" s="854"/>
      <c r="I173" s="855"/>
      <c r="J173" s="854"/>
      <c r="K173" s="855"/>
      <c r="L173" s="1044"/>
      <c r="M173" s="729"/>
      <c r="N173" s="729"/>
      <c r="O173" s="729"/>
      <c r="P173" s="729"/>
      <c r="Q173" s="729"/>
    </row>
    <row r="174" spans="1:17" s="714" customFormat="1" ht="24" customHeight="1">
      <c r="A174" s="911"/>
      <c r="B174" s="800" t="s">
        <v>1466</v>
      </c>
      <c r="C174" s="859"/>
      <c r="D174" s="859"/>
      <c r="E174" s="851">
        <v>1</v>
      </c>
      <c r="F174" s="803" t="s">
        <v>240</v>
      </c>
      <c r="G174" s="853">
        <v>5500</v>
      </c>
      <c r="H174" s="864">
        <f t="shared" ref="H174:H181" si="12">ROUND(E174*G174,)</f>
        <v>5500</v>
      </c>
      <c r="I174" s="855">
        <v>1000</v>
      </c>
      <c r="J174" s="864">
        <f>ROUND(E174*I174,)</f>
        <v>1000</v>
      </c>
      <c r="K174" s="906">
        <f>H174+J174</f>
        <v>6500</v>
      </c>
      <c r="L174" s="1044"/>
      <c r="M174" s="729"/>
      <c r="N174" s="729"/>
      <c r="O174" s="729"/>
      <c r="P174" s="729"/>
      <c r="Q174" s="729"/>
    </row>
    <row r="175" spans="1:17" s="714" customFormat="1" ht="24" customHeight="1">
      <c r="A175" s="911"/>
      <c r="B175" s="800" t="s">
        <v>1271</v>
      </c>
      <c r="C175" s="801"/>
      <c r="D175" s="801"/>
      <c r="E175" s="802">
        <v>12</v>
      </c>
      <c r="F175" s="803" t="s">
        <v>240</v>
      </c>
      <c r="G175" s="858">
        <v>138</v>
      </c>
      <c r="H175" s="864">
        <f t="shared" si="12"/>
        <v>1656</v>
      </c>
      <c r="I175" s="865"/>
      <c r="J175" s="864"/>
      <c r="K175" s="906">
        <f t="shared" ref="K175:K225" si="13">H175+J175</f>
        <v>1656</v>
      </c>
      <c r="L175" s="964"/>
      <c r="M175" s="729"/>
      <c r="N175" s="729"/>
      <c r="O175" s="729"/>
      <c r="P175" s="729"/>
      <c r="Q175" s="729"/>
    </row>
    <row r="176" spans="1:17" s="714" customFormat="1" ht="24" customHeight="1">
      <c r="A176" s="861"/>
      <c r="B176" s="800" t="s">
        <v>1392</v>
      </c>
      <c r="C176" s="801"/>
      <c r="D176" s="801"/>
      <c r="E176" s="802">
        <v>1</v>
      </c>
      <c r="F176" s="803" t="s">
        <v>240</v>
      </c>
      <c r="G176" s="858">
        <v>680</v>
      </c>
      <c r="H176" s="864">
        <f t="shared" si="12"/>
        <v>680</v>
      </c>
      <c r="I176" s="865"/>
      <c r="J176" s="864"/>
      <c r="K176" s="906">
        <f t="shared" si="13"/>
        <v>680</v>
      </c>
      <c r="L176" s="964"/>
      <c r="M176" s="729"/>
      <c r="N176" s="729"/>
      <c r="O176" s="729"/>
      <c r="P176" s="729"/>
    </row>
    <row r="177" spans="1:17" s="714" customFormat="1" ht="24" customHeight="1">
      <c r="A177" s="911"/>
      <c r="B177" s="800" t="s">
        <v>1467</v>
      </c>
      <c r="C177" s="859"/>
      <c r="D177" s="859"/>
      <c r="E177" s="851">
        <v>1</v>
      </c>
      <c r="F177" s="803" t="s">
        <v>240</v>
      </c>
      <c r="G177" s="853">
        <v>5500</v>
      </c>
      <c r="H177" s="864">
        <f t="shared" si="12"/>
        <v>5500</v>
      </c>
      <c r="I177" s="855">
        <v>1000</v>
      </c>
      <c r="J177" s="864">
        <f>ROUND(E177*I177,)</f>
        <v>1000</v>
      </c>
      <c r="K177" s="906">
        <f t="shared" si="13"/>
        <v>6500</v>
      </c>
      <c r="L177" s="1044"/>
      <c r="M177" s="729"/>
      <c r="N177" s="729"/>
      <c r="O177" s="729"/>
      <c r="P177" s="729"/>
      <c r="Q177" s="729"/>
    </row>
    <row r="178" spans="1:17" s="714" customFormat="1" ht="24" customHeight="1">
      <c r="A178" s="911"/>
      <c r="B178" s="800" t="s">
        <v>1271</v>
      </c>
      <c r="C178" s="801"/>
      <c r="D178" s="801"/>
      <c r="E178" s="802">
        <v>12</v>
      </c>
      <c r="F178" s="803" t="s">
        <v>240</v>
      </c>
      <c r="G178" s="858">
        <v>138</v>
      </c>
      <c r="H178" s="864">
        <f t="shared" si="12"/>
        <v>1656</v>
      </c>
      <c r="I178" s="865"/>
      <c r="J178" s="864"/>
      <c r="K178" s="906">
        <f t="shared" si="13"/>
        <v>1656</v>
      </c>
      <c r="L178" s="964"/>
      <c r="M178" s="729"/>
      <c r="N178" s="729"/>
      <c r="O178" s="729"/>
      <c r="P178" s="729"/>
      <c r="Q178" s="729"/>
    </row>
    <row r="179" spans="1:17" s="884" customFormat="1" ht="24" customHeight="1">
      <c r="A179" s="1045"/>
      <c r="B179" s="800" t="s">
        <v>1468</v>
      </c>
      <c r="C179" s="859"/>
      <c r="D179" s="859"/>
      <c r="E179" s="851">
        <v>1</v>
      </c>
      <c r="F179" s="803" t="s">
        <v>240</v>
      </c>
      <c r="G179" s="853">
        <v>5500</v>
      </c>
      <c r="H179" s="864">
        <f t="shared" si="12"/>
        <v>5500</v>
      </c>
      <c r="I179" s="855">
        <v>1000</v>
      </c>
      <c r="J179" s="864">
        <f>ROUND(E179*I179,)</f>
        <v>1000</v>
      </c>
      <c r="K179" s="906">
        <f t="shared" si="13"/>
        <v>6500</v>
      </c>
      <c r="L179" s="1046"/>
      <c r="M179" s="1027"/>
      <c r="N179" s="1027"/>
      <c r="O179" s="1027"/>
      <c r="P179" s="1027"/>
      <c r="Q179" s="1027"/>
    </row>
    <row r="180" spans="1:17" s="884" customFormat="1" ht="24" customHeight="1">
      <c r="A180" s="1045"/>
      <c r="B180" s="800" t="s">
        <v>1271</v>
      </c>
      <c r="C180" s="801"/>
      <c r="D180" s="801"/>
      <c r="E180" s="802">
        <v>12</v>
      </c>
      <c r="F180" s="803" t="s">
        <v>240</v>
      </c>
      <c r="G180" s="858">
        <v>138</v>
      </c>
      <c r="H180" s="864">
        <f t="shared" si="12"/>
        <v>1656</v>
      </c>
      <c r="I180" s="865"/>
      <c r="J180" s="864"/>
      <c r="K180" s="906">
        <f t="shared" si="13"/>
        <v>1656</v>
      </c>
      <c r="L180" s="887"/>
      <c r="M180" s="1027"/>
      <c r="N180" s="1027"/>
      <c r="O180" s="1027"/>
      <c r="P180" s="1027"/>
      <c r="Q180" s="1027"/>
    </row>
    <row r="181" spans="1:17" s="714" customFormat="1" ht="24" customHeight="1">
      <c r="A181" s="861"/>
      <c r="B181" s="800" t="s">
        <v>1392</v>
      </c>
      <c r="C181" s="801"/>
      <c r="D181" s="801"/>
      <c r="E181" s="802">
        <v>1</v>
      </c>
      <c r="F181" s="803" t="s">
        <v>240</v>
      </c>
      <c r="G181" s="858">
        <v>680</v>
      </c>
      <c r="H181" s="864">
        <f t="shared" si="12"/>
        <v>680</v>
      </c>
      <c r="I181" s="865"/>
      <c r="J181" s="864"/>
      <c r="K181" s="906">
        <f t="shared" si="13"/>
        <v>680</v>
      </c>
      <c r="L181" s="964"/>
      <c r="M181" s="729"/>
      <c r="N181" s="729"/>
      <c r="O181" s="729"/>
      <c r="P181" s="729"/>
    </row>
    <row r="182" spans="1:17" s="714" customFormat="1" ht="24" customHeight="1">
      <c r="A182" s="868" t="s">
        <v>969</v>
      </c>
      <c r="B182" s="1047" t="s">
        <v>1447</v>
      </c>
      <c r="C182" s="1048"/>
      <c r="D182" s="1048"/>
      <c r="E182" s="1049"/>
      <c r="F182" s="1050"/>
      <c r="G182" s="858"/>
      <c r="H182" s="864"/>
      <c r="I182" s="865"/>
      <c r="J182" s="864"/>
      <c r="K182" s="865">
        <f t="shared" si="13"/>
        <v>0</v>
      </c>
      <c r="L182" s="964"/>
      <c r="M182" s="729"/>
      <c r="N182" s="729"/>
      <c r="O182" s="729"/>
      <c r="P182" s="729"/>
      <c r="Q182" s="729"/>
    </row>
    <row r="183" spans="1:17" s="714" customFormat="1" ht="24" customHeight="1">
      <c r="A183" s="1025"/>
      <c r="B183" s="800" t="s">
        <v>1469</v>
      </c>
      <c r="C183" s="792"/>
      <c r="D183" s="792"/>
      <c r="E183" s="793">
        <v>1</v>
      </c>
      <c r="F183" s="803" t="s">
        <v>240</v>
      </c>
      <c r="G183" s="795">
        <v>5500</v>
      </c>
      <c r="H183" s="864">
        <f t="shared" ref="H183:H187" si="14">ROUND(E183*G183,)</f>
        <v>5500</v>
      </c>
      <c r="I183" s="797">
        <v>1000</v>
      </c>
      <c r="J183" s="864">
        <f>ROUND(E183*I183,)</f>
        <v>1000</v>
      </c>
      <c r="K183" s="865">
        <f t="shared" si="13"/>
        <v>6500</v>
      </c>
      <c r="L183" s="964"/>
      <c r="M183" s="729"/>
      <c r="N183" s="729"/>
      <c r="O183" s="729"/>
      <c r="P183" s="729"/>
      <c r="Q183" s="729"/>
    </row>
    <row r="184" spans="1:17" s="714" customFormat="1" ht="24" customHeight="1">
      <c r="A184" s="1025"/>
      <c r="B184" s="800" t="s">
        <v>1408</v>
      </c>
      <c r="C184" s="792"/>
      <c r="D184" s="792"/>
      <c r="E184" s="793">
        <v>1</v>
      </c>
      <c r="F184" s="803" t="s">
        <v>240</v>
      </c>
      <c r="G184" s="858">
        <v>2400</v>
      </c>
      <c r="H184" s="796">
        <v>2400</v>
      </c>
      <c r="I184" s="797"/>
      <c r="J184" s="796">
        <v>0</v>
      </c>
      <c r="K184" s="865">
        <f t="shared" si="13"/>
        <v>2400</v>
      </c>
      <c r="L184" s="964"/>
      <c r="M184" s="729"/>
      <c r="N184" s="729"/>
      <c r="O184" s="729"/>
      <c r="P184" s="729"/>
      <c r="Q184" s="729"/>
    </row>
    <row r="185" spans="1:17" s="714" customFormat="1" ht="24" customHeight="1">
      <c r="A185" s="1025"/>
      <c r="B185" s="800" t="s">
        <v>1271</v>
      </c>
      <c r="C185" s="801"/>
      <c r="D185" s="801"/>
      <c r="E185" s="802">
        <v>9</v>
      </c>
      <c r="F185" s="803" t="s">
        <v>240</v>
      </c>
      <c r="G185" s="858">
        <v>138</v>
      </c>
      <c r="H185" s="864">
        <f t="shared" si="14"/>
        <v>1242</v>
      </c>
      <c r="I185" s="865"/>
      <c r="J185" s="864"/>
      <c r="K185" s="865">
        <f t="shared" si="13"/>
        <v>1242</v>
      </c>
      <c r="L185" s="964"/>
      <c r="M185" s="729"/>
      <c r="N185" s="729"/>
      <c r="O185" s="729"/>
      <c r="P185" s="729"/>
      <c r="Q185" s="729"/>
    </row>
    <row r="186" spans="1:17" s="714" customFormat="1" ht="24" customHeight="1">
      <c r="A186" s="861"/>
      <c r="B186" s="800" t="s">
        <v>1397</v>
      </c>
      <c r="C186" s="801"/>
      <c r="D186" s="801"/>
      <c r="E186" s="802">
        <v>1</v>
      </c>
      <c r="F186" s="803" t="s">
        <v>240</v>
      </c>
      <c r="G186" s="858">
        <v>680</v>
      </c>
      <c r="H186" s="864">
        <f t="shared" si="14"/>
        <v>680</v>
      </c>
      <c r="I186" s="865"/>
      <c r="J186" s="864"/>
      <c r="K186" s="865">
        <f t="shared" si="13"/>
        <v>680</v>
      </c>
      <c r="L186" s="964"/>
      <c r="M186" s="729"/>
      <c r="N186" s="729"/>
      <c r="O186" s="729"/>
      <c r="P186" s="729"/>
    </row>
    <row r="187" spans="1:17" s="714" customFormat="1" ht="24" customHeight="1">
      <c r="A187" s="1025"/>
      <c r="B187" s="800" t="s">
        <v>1470</v>
      </c>
      <c r="C187" s="792"/>
      <c r="D187" s="792"/>
      <c r="E187" s="793">
        <v>1</v>
      </c>
      <c r="F187" s="803" t="s">
        <v>240</v>
      </c>
      <c r="G187" s="795">
        <v>5500</v>
      </c>
      <c r="H187" s="864">
        <f t="shared" si="14"/>
        <v>5500</v>
      </c>
      <c r="I187" s="797">
        <v>1000</v>
      </c>
      <c r="J187" s="864">
        <f>ROUND(E187*I187,)</f>
        <v>1000</v>
      </c>
      <c r="K187" s="865">
        <f t="shared" si="13"/>
        <v>6500</v>
      </c>
      <c r="L187" s="964"/>
      <c r="M187" s="729"/>
      <c r="N187" s="729"/>
      <c r="O187" s="729"/>
      <c r="P187" s="729"/>
      <c r="Q187" s="729"/>
    </row>
    <row r="188" spans="1:17" s="714" customFormat="1" ht="24" customHeight="1">
      <c r="A188" s="1025"/>
      <c r="B188" s="800" t="s">
        <v>1408</v>
      </c>
      <c r="C188" s="792"/>
      <c r="D188" s="792"/>
      <c r="E188" s="793">
        <v>1</v>
      </c>
      <c r="F188" s="803" t="s">
        <v>240</v>
      </c>
      <c r="G188" s="858">
        <v>2400</v>
      </c>
      <c r="H188" s="796">
        <v>2400</v>
      </c>
      <c r="I188" s="797"/>
      <c r="J188" s="796">
        <v>0</v>
      </c>
      <c r="K188" s="865">
        <f t="shared" si="13"/>
        <v>2400</v>
      </c>
      <c r="L188" s="964"/>
      <c r="M188" s="729"/>
      <c r="N188" s="729"/>
      <c r="O188" s="729"/>
      <c r="P188" s="729"/>
      <c r="Q188" s="729"/>
    </row>
    <row r="189" spans="1:17" s="714" customFormat="1" ht="24" customHeight="1">
      <c r="A189" s="1025"/>
      <c r="B189" s="800" t="s">
        <v>1271</v>
      </c>
      <c r="C189" s="801"/>
      <c r="D189" s="801"/>
      <c r="E189" s="802">
        <v>9</v>
      </c>
      <c r="F189" s="803" t="s">
        <v>240</v>
      </c>
      <c r="G189" s="858">
        <v>138</v>
      </c>
      <c r="H189" s="864">
        <f t="shared" ref="H189:H191" si="15">ROUND(E189*G189,)</f>
        <v>1242</v>
      </c>
      <c r="I189" s="865"/>
      <c r="J189" s="864"/>
      <c r="K189" s="865">
        <f t="shared" si="13"/>
        <v>1242</v>
      </c>
      <c r="L189" s="964"/>
      <c r="M189" s="729"/>
      <c r="N189" s="729"/>
      <c r="O189" s="729"/>
      <c r="P189" s="729"/>
      <c r="Q189" s="729"/>
    </row>
    <row r="190" spans="1:17" s="714" customFormat="1" ht="24" customHeight="1">
      <c r="A190" s="861"/>
      <c r="B190" s="800" t="s">
        <v>1397</v>
      </c>
      <c r="C190" s="801"/>
      <c r="D190" s="801"/>
      <c r="E190" s="802">
        <v>1</v>
      </c>
      <c r="F190" s="803" t="s">
        <v>240</v>
      </c>
      <c r="G190" s="858">
        <v>680</v>
      </c>
      <c r="H190" s="864">
        <f t="shared" si="15"/>
        <v>680</v>
      </c>
      <c r="I190" s="865"/>
      <c r="J190" s="864"/>
      <c r="K190" s="865">
        <f t="shared" si="13"/>
        <v>680</v>
      </c>
      <c r="L190" s="964"/>
      <c r="M190" s="729"/>
      <c r="N190" s="729"/>
      <c r="O190" s="729"/>
      <c r="P190" s="729"/>
    </row>
    <row r="191" spans="1:17" s="714" customFormat="1" ht="24" customHeight="1">
      <c r="A191" s="1025"/>
      <c r="B191" s="800" t="s">
        <v>1471</v>
      </c>
      <c r="C191" s="792"/>
      <c r="D191" s="792"/>
      <c r="E191" s="793">
        <v>1</v>
      </c>
      <c r="F191" s="803" t="s">
        <v>240</v>
      </c>
      <c r="G191" s="795">
        <v>5500</v>
      </c>
      <c r="H191" s="864">
        <f t="shared" si="15"/>
        <v>5500</v>
      </c>
      <c r="I191" s="797">
        <v>1000</v>
      </c>
      <c r="J191" s="864">
        <f>ROUND(E191*I191,)</f>
        <v>1000</v>
      </c>
      <c r="K191" s="865">
        <f t="shared" si="13"/>
        <v>6500</v>
      </c>
      <c r="L191" s="964"/>
      <c r="M191" s="729"/>
      <c r="N191" s="729"/>
      <c r="O191" s="729"/>
      <c r="P191" s="729"/>
      <c r="Q191" s="729"/>
    </row>
    <row r="192" spans="1:17" s="714" customFormat="1" ht="24" customHeight="1">
      <c r="A192" s="1025"/>
      <c r="B192" s="800" t="s">
        <v>1408</v>
      </c>
      <c r="C192" s="792"/>
      <c r="D192" s="792"/>
      <c r="E192" s="793">
        <v>1</v>
      </c>
      <c r="F192" s="803" t="s">
        <v>240</v>
      </c>
      <c r="G192" s="858">
        <v>2400</v>
      </c>
      <c r="H192" s="796">
        <v>2400</v>
      </c>
      <c r="I192" s="797"/>
      <c r="J192" s="796">
        <v>0</v>
      </c>
      <c r="K192" s="865">
        <f t="shared" si="13"/>
        <v>2400</v>
      </c>
      <c r="L192" s="964"/>
      <c r="M192" s="729"/>
      <c r="N192" s="729"/>
      <c r="O192" s="729"/>
      <c r="P192" s="729"/>
      <c r="Q192" s="729"/>
    </row>
    <row r="193" spans="1:17" s="714" customFormat="1" ht="24" customHeight="1">
      <c r="A193" s="1025"/>
      <c r="B193" s="800" t="s">
        <v>1271</v>
      </c>
      <c r="C193" s="801"/>
      <c r="D193" s="801"/>
      <c r="E193" s="802">
        <v>9</v>
      </c>
      <c r="F193" s="803" t="s">
        <v>240</v>
      </c>
      <c r="G193" s="858">
        <v>138</v>
      </c>
      <c r="H193" s="864">
        <f t="shared" ref="H193:H196" si="16">ROUND(E193*G193,)</f>
        <v>1242</v>
      </c>
      <c r="I193" s="865"/>
      <c r="J193" s="864"/>
      <c r="K193" s="865">
        <f t="shared" si="13"/>
        <v>1242</v>
      </c>
      <c r="L193" s="964"/>
      <c r="M193" s="729"/>
      <c r="N193" s="729"/>
      <c r="O193" s="729"/>
      <c r="P193" s="729"/>
      <c r="Q193" s="729"/>
    </row>
    <row r="194" spans="1:17" s="714" customFormat="1" ht="24" customHeight="1">
      <c r="A194" s="861"/>
      <c r="B194" s="800" t="s">
        <v>1397</v>
      </c>
      <c r="C194" s="801"/>
      <c r="D194" s="801"/>
      <c r="E194" s="802">
        <v>1</v>
      </c>
      <c r="F194" s="803" t="s">
        <v>240</v>
      </c>
      <c r="G194" s="858">
        <v>680</v>
      </c>
      <c r="H194" s="864">
        <f t="shared" si="16"/>
        <v>680</v>
      </c>
      <c r="I194" s="865"/>
      <c r="J194" s="864"/>
      <c r="K194" s="865">
        <f t="shared" si="13"/>
        <v>680</v>
      </c>
      <c r="L194" s="964"/>
      <c r="M194" s="729"/>
      <c r="N194" s="729"/>
      <c r="O194" s="729"/>
      <c r="P194" s="729"/>
    </row>
    <row r="195" spans="1:17" s="714" customFormat="1" ht="24" customHeight="1">
      <c r="A195" s="861"/>
      <c r="B195" s="800"/>
      <c r="C195" s="801"/>
      <c r="D195" s="801"/>
      <c r="E195" s="802"/>
      <c r="F195" s="803"/>
      <c r="G195" s="858"/>
      <c r="H195" s="864"/>
      <c r="I195" s="865"/>
      <c r="J195" s="864"/>
      <c r="K195" s="865"/>
      <c r="L195" s="964"/>
      <c r="M195" s="729"/>
      <c r="N195" s="729"/>
      <c r="O195" s="729"/>
      <c r="P195" s="729"/>
    </row>
    <row r="196" spans="1:17" s="714" customFormat="1" ht="24" customHeight="1">
      <c r="A196" s="1025"/>
      <c r="B196" s="800" t="s">
        <v>1472</v>
      </c>
      <c r="C196" s="792"/>
      <c r="D196" s="792"/>
      <c r="E196" s="793">
        <v>1</v>
      </c>
      <c r="F196" s="803" t="s">
        <v>240</v>
      </c>
      <c r="G196" s="795">
        <v>5500</v>
      </c>
      <c r="H196" s="864">
        <f t="shared" si="16"/>
        <v>5500</v>
      </c>
      <c r="I196" s="797">
        <v>1000</v>
      </c>
      <c r="J196" s="864">
        <f>ROUND(E196*I196,)</f>
        <v>1000</v>
      </c>
      <c r="K196" s="865">
        <f t="shared" si="13"/>
        <v>6500</v>
      </c>
      <c r="L196" s="964"/>
      <c r="M196" s="729"/>
      <c r="N196" s="729"/>
      <c r="O196" s="729"/>
      <c r="P196" s="729"/>
      <c r="Q196" s="729"/>
    </row>
    <row r="197" spans="1:17" s="714" customFormat="1" ht="24" customHeight="1">
      <c r="A197" s="1025"/>
      <c r="B197" s="800" t="s">
        <v>1408</v>
      </c>
      <c r="C197" s="792"/>
      <c r="D197" s="792"/>
      <c r="E197" s="793">
        <v>1</v>
      </c>
      <c r="F197" s="803" t="s">
        <v>240</v>
      </c>
      <c r="G197" s="858">
        <v>2400</v>
      </c>
      <c r="H197" s="796">
        <v>2400</v>
      </c>
      <c r="I197" s="797"/>
      <c r="J197" s="796">
        <v>0</v>
      </c>
      <c r="K197" s="865">
        <f t="shared" si="13"/>
        <v>2400</v>
      </c>
      <c r="L197" s="964"/>
      <c r="M197" s="729"/>
      <c r="N197" s="729"/>
      <c r="O197" s="729"/>
      <c r="P197" s="729"/>
      <c r="Q197" s="729"/>
    </row>
    <row r="198" spans="1:17" s="714" customFormat="1" ht="24" customHeight="1">
      <c r="A198" s="1025"/>
      <c r="B198" s="800" t="s">
        <v>1271</v>
      </c>
      <c r="C198" s="801"/>
      <c r="D198" s="801"/>
      <c r="E198" s="802">
        <v>9</v>
      </c>
      <c r="F198" s="803" t="s">
        <v>240</v>
      </c>
      <c r="G198" s="858">
        <v>138</v>
      </c>
      <c r="H198" s="864">
        <f t="shared" ref="H198:H200" si="17">ROUND(E198*G198,)</f>
        <v>1242</v>
      </c>
      <c r="I198" s="865"/>
      <c r="J198" s="864"/>
      <c r="K198" s="865">
        <f t="shared" si="13"/>
        <v>1242</v>
      </c>
      <c r="L198" s="964"/>
      <c r="M198" s="729"/>
      <c r="N198" s="729"/>
      <c r="O198" s="729"/>
      <c r="P198" s="729"/>
      <c r="Q198" s="729"/>
    </row>
    <row r="199" spans="1:17" s="714" customFormat="1" ht="24" customHeight="1">
      <c r="A199" s="861"/>
      <c r="B199" s="800" t="s">
        <v>1397</v>
      </c>
      <c r="C199" s="801"/>
      <c r="D199" s="801"/>
      <c r="E199" s="802">
        <v>1</v>
      </c>
      <c r="F199" s="803" t="s">
        <v>240</v>
      </c>
      <c r="G199" s="858">
        <v>680</v>
      </c>
      <c r="H199" s="864">
        <f t="shared" si="17"/>
        <v>680</v>
      </c>
      <c r="I199" s="865"/>
      <c r="J199" s="864"/>
      <c r="K199" s="865">
        <f t="shared" si="13"/>
        <v>680</v>
      </c>
      <c r="L199" s="964"/>
      <c r="M199" s="729"/>
      <c r="N199" s="729"/>
      <c r="O199" s="729"/>
      <c r="P199" s="729"/>
    </row>
    <row r="200" spans="1:17" s="714" customFormat="1" ht="24" customHeight="1">
      <c r="A200" s="1025"/>
      <c r="B200" s="800" t="s">
        <v>1473</v>
      </c>
      <c r="C200" s="792"/>
      <c r="D200" s="792"/>
      <c r="E200" s="793">
        <v>1</v>
      </c>
      <c r="F200" s="803" t="s">
        <v>240</v>
      </c>
      <c r="G200" s="795">
        <v>5500</v>
      </c>
      <c r="H200" s="864">
        <f t="shared" si="17"/>
        <v>5500</v>
      </c>
      <c r="I200" s="797">
        <v>1000</v>
      </c>
      <c r="J200" s="864">
        <f>ROUND(E200*I200,)</f>
        <v>1000</v>
      </c>
      <c r="K200" s="865">
        <f t="shared" si="13"/>
        <v>6500</v>
      </c>
      <c r="L200" s="964"/>
      <c r="M200" s="729"/>
      <c r="N200" s="729"/>
      <c r="O200" s="729"/>
      <c r="P200" s="729"/>
      <c r="Q200" s="729"/>
    </row>
    <row r="201" spans="1:17" s="714" customFormat="1" ht="24" customHeight="1">
      <c r="A201" s="1025"/>
      <c r="B201" s="800" t="s">
        <v>1408</v>
      </c>
      <c r="C201" s="792"/>
      <c r="D201" s="792"/>
      <c r="E201" s="793">
        <v>1</v>
      </c>
      <c r="F201" s="803" t="s">
        <v>240</v>
      </c>
      <c r="G201" s="858">
        <v>2400</v>
      </c>
      <c r="H201" s="796">
        <v>2400</v>
      </c>
      <c r="I201" s="797"/>
      <c r="J201" s="796">
        <v>0</v>
      </c>
      <c r="K201" s="865">
        <f t="shared" si="13"/>
        <v>2400</v>
      </c>
      <c r="L201" s="964"/>
      <c r="M201" s="729"/>
      <c r="N201" s="729"/>
      <c r="O201" s="729"/>
      <c r="P201" s="729"/>
      <c r="Q201" s="729"/>
    </row>
    <row r="202" spans="1:17" s="714" customFormat="1" ht="24" customHeight="1">
      <c r="A202" s="1025"/>
      <c r="B202" s="800" t="s">
        <v>1271</v>
      </c>
      <c r="C202" s="801"/>
      <c r="D202" s="801"/>
      <c r="E202" s="802">
        <v>9</v>
      </c>
      <c r="F202" s="803" t="s">
        <v>240</v>
      </c>
      <c r="G202" s="858">
        <v>138</v>
      </c>
      <c r="H202" s="864">
        <f t="shared" ref="H202:H204" si="18">ROUND(E202*G202,)</f>
        <v>1242</v>
      </c>
      <c r="I202" s="865"/>
      <c r="J202" s="864"/>
      <c r="K202" s="865">
        <f t="shared" si="13"/>
        <v>1242</v>
      </c>
      <c r="L202" s="964"/>
      <c r="M202" s="729"/>
      <c r="N202" s="729"/>
      <c r="O202" s="729"/>
      <c r="P202" s="729"/>
      <c r="Q202" s="729"/>
    </row>
    <row r="203" spans="1:17" s="714" customFormat="1" ht="24" customHeight="1">
      <c r="A203" s="861"/>
      <c r="B203" s="800" t="s">
        <v>1397</v>
      </c>
      <c r="C203" s="801"/>
      <c r="D203" s="801"/>
      <c r="E203" s="802">
        <v>1</v>
      </c>
      <c r="F203" s="803" t="s">
        <v>240</v>
      </c>
      <c r="G203" s="858">
        <v>680</v>
      </c>
      <c r="H203" s="864">
        <f t="shared" si="18"/>
        <v>680</v>
      </c>
      <c r="I203" s="865"/>
      <c r="J203" s="864"/>
      <c r="K203" s="865">
        <f t="shared" si="13"/>
        <v>680</v>
      </c>
      <c r="L203" s="964"/>
      <c r="M203" s="729"/>
      <c r="N203" s="729"/>
      <c r="O203" s="729"/>
      <c r="P203" s="729"/>
    </row>
    <row r="204" spans="1:17" s="714" customFormat="1" ht="24" customHeight="1">
      <c r="A204" s="1025"/>
      <c r="B204" s="800" t="s">
        <v>1474</v>
      </c>
      <c r="C204" s="792"/>
      <c r="D204" s="792"/>
      <c r="E204" s="793">
        <v>1</v>
      </c>
      <c r="F204" s="803" t="s">
        <v>240</v>
      </c>
      <c r="G204" s="795">
        <v>5500</v>
      </c>
      <c r="H204" s="864">
        <f t="shared" si="18"/>
        <v>5500</v>
      </c>
      <c r="I204" s="797">
        <v>1000</v>
      </c>
      <c r="J204" s="864">
        <f>ROUND(E204*I204,)</f>
        <v>1000</v>
      </c>
      <c r="K204" s="865">
        <f t="shared" si="13"/>
        <v>6500</v>
      </c>
      <c r="L204" s="964"/>
      <c r="M204" s="729"/>
      <c r="N204" s="729"/>
      <c r="O204" s="729"/>
      <c r="P204" s="729"/>
      <c r="Q204" s="729"/>
    </row>
    <row r="205" spans="1:17" s="714" customFormat="1" ht="24" customHeight="1">
      <c r="A205" s="1025"/>
      <c r="B205" s="800" t="s">
        <v>1408</v>
      </c>
      <c r="C205" s="792"/>
      <c r="D205" s="792"/>
      <c r="E205" s="793">
        <v>1</v>
      </c>
      <c r="F205" s="803" t="s">
        <v>240</v>
      </c>
      <c r="G205" s="858">
        <v>2400</v>
      </c>
      <c r="H205" s="796">
        <v>2400</v>
      </c>
      <c r="I205" s="797"/>
      <c r="J205" s="796">
        <v>0</v>
      </c>
      <c r="K205" s="865">
        <f t="shared" si="13"/>
        <v>2400</v>
      </c>
      <c r="L205" s="964"/>
      <c r="M205" s="729"/>
      <c r="N205" s="729"/>
      <c r="O205" s="729"/>
      <c r="P205" s="729"/>
      <c r="Q205" s="729"/>
    </row>
    <row r="206" spans="1:17" s="714" customFormat="1" ht="24" customHeight="1">
      <c r="A206" s="1025"/>
      <c r="B206" s="800" t="s">
        <v>1271</v>
      </c>
      <c r="C206" s="801"/>
      <c r="D206" s="801"/>
      <c r="E206" s="802">
        <v>9</v>
      </c>
      <c r="F206" s="803" t="s">
        <v>240</v>
      </c>
      <c r="G206" s="858">
        <v>138</v>
      </c>
      <c r="H206" s="864">
        <f t="shared" ref="H206:H208" si="19">ROUND(E206*G206,)</f>
        <v>1242</v>
      </c>
      <c r="I206" s="865"/>
      <c r="J206" s="864"/>
      <c r="K206" s="865">
        <f t="shared" si="13"/>
        <v>1242</v>
      </c>
      <c r="L206" s="964"/>
      <c r="M206" s="729"/>
      <c r="N206" s="729"/>
      <c r="O206" s="729"/>
      <c r="P206" s="729"/>
      <c r="Q206" s="729"/>
    </row>
    <row r="207" spans="1:17" s="714" customFormat="1" ht="24" customHeight="1">
      <c r="A207" s="861"/>
      <c r="B207" s="800" t="s">
        <v>1397</v>
      </c>
      <c r="C207" s="801"/>
      <c r="D207" s="801"/>
      <c r="E207" s="802">
        <v>1</v>
      </c>
      <c r="F207" s="803" t="s">
        <v>240</v>
      </c>
      <c r="G207" s="858">
        <v>680</v>
      </c>
      <c r="H207" s="864">
        <f t="shared" si="19"/>
        <v>680</v>
      </c>
      <c r="I207" s="865"/>
      <c r="J207" s="864"/>
      <c r="K207" s="865">
        <f t="shared" si="13"/>
        <v>680</v>
      </c>
      <c r="L207" s="964"/>
      <c r="M207" s="729"/>
      <c r="N207" s="729"/>
      <c r="O207" s="729"/>
      <c r="P207" s="729"/>
    </row>
    <row r="208" spans="1:17" s="714" customFormat="1" ht="24" customHeight="1">
      <c r="A208" s="1025"/>
      <c r="B208" s="800" t="s">
        <v>1475</v>
      </c>
      <c r="C208" s="792"/>
      <c r="D208" s="792"/>
      <c r="E208" s="793">
        <v>1</v>
      </c>
      <c r="F208" s="803" t="s">
        <v>240</v>
      </c>
      <c r="G208" s="795">
        <v>5500</v>
      </c>
      <c r="H208" s="864">
        <f t="shared" si="19"/>
        <v>5500</v>
      </c>
      <c r="I208" s="797">
        <v>1000</v>
      </c>
      <c r="J208" s="864">
        <f>ROUND(E208*I208,)</f>
        <v>1000</v>
      </c>
      <c r="K208" s="865">
        <f t="shared" si="13"/>
        <v>6500</v>
      </c>
      <c r="L208" s="964"/>
      <c r="M208" s="729"/>
      <c r="N208" s="729"/>
      <c r="O208" s="729"/>
      <c r="P208" s="729"/>
      <c r="Q208" s="729"/>
    </row>
    <row r="209" spans="1:17" s="714" customFormat="1" ht="24" customHeight="1">
      <c r="A209" s="1025"/>
      <c r="B209" s="800" t="s">
        <v>1476</v>
      </c>
      <c r="C209" s="792"/>
      <c r="D209" s="792"/>
      <c r="E209" s="793">
        <v>1</v>
      </c>
      <c r="F209" s="803" t="s">
        <v>240</v>
      </c>
      <c r="G209" s="858">
        <v>2400</v>
      </c>
      <c r="H209" s="796">
        <v>2400</v>
      </c>
      <c r="I209" s="797"/>
      <c r="J209" s="796">
        <v>0</v>
      </c>
      <c r="K209" s="865">
        <f t="shared" si="13"/>
        <v>2400</v>
      </c>
      <c r="L209" s="964"/>
      <c r="M209" s="729"/>
      <c r="N209" s="729"/>
      <c r="O209" s="729"/>
      <c r="P209" s="729"/>
      <c r="Q209" s="729"/>
    </row>
    <row r="210" spans="1:17" s="714" customFormat="1" ht="24" customHeight="1">
      <c r="A210" s="1025"/>
      <c r="B210" s="800" t="s">
        <v>1271</v>
      </c>
      <c r="C210" s="801"/>
      <c r="D210" s="801"/>
      <c r="E210" s="802">
        <v>9</v>
      </c>
      <c r="F210" s="803" t="s">
        <v>240</v>
      </c>
      <c r="G210" s="858">
        <v>138</v>
      </c>
      <c r="H210" s="864">
        <f t="shared" ref="H210:H211" si="20">ROUND(E210*G210,)</f>
        <v>1242</v>
      </c>
      <c r="I210" s="865"/>
      <c r="J210" s="864"/>
      <c r="K210" s="865">
        <f t="shared" si="13"/>
        <v>1242</v>
      </c>
      <c r="L210" s="964"/>
      <c r="M210" s="729"/>
      <c r="N210" s="729"/>
      <c r="O210" s="729"/>
      <c r="P210" s="729"/>
      <c r="Q210" s="729"/>
    </row>
    <row r="211" spans="1:17" s="714" customFormat="1" ht="24" customHeight="1">
      <c r="A211" s="861"/>
      <c r="B211" s="800" t="s">
        <v>1477</v>
      </c>
      <c r="C211" s="801"/>
      <c r="D211" s="801"/>
      <c r="E211" s="802">
        <v>1</v>
      </c>
      <c r="F211" s="803" t="s">
        <v>240</v>
      </c>
      <c r="G211" s="858">
        <v>680</v>
      </c>
      <c r="H211" s="864">
        <f t="shared" si="20"/>
        <v>680</v>
      </c>
      <c r="I211" s="865"/>
      <c r="J211" s="864"/>
      <c r="K211" s="865">
        <f t="shared" si="13"/>
        <v>680</v>
      </c>
      <c r="L211" s="964"/>
      <c r="M211" s="729"/>
      <c r="N211" s="729"/>
      <c r="O211" s="729"/>
      <c r="P211" s="729"/>
    </row>
    <row r="212" spans="1:17" s="714" customFormat="1" ht="24" customHeight="1">
      <c r="A212" s="868"/>
      <c r="B212" s="800" t="s">
        <v>1478</v>
      </c>
      <c r="C212" s="801"/>
      <c r="D212" s="801"/>
      <c r="E212" s="802">
        <v>1</v>
      </c>
      <c r="F212" s="803" t="s">
        <v>240</v>
      </c>
      <c r="G212" s="858">
        <v>4800</v>
      </c>
      <c r="H212" s="796">
        <v>4800</v>
      </c>
      <c r="I212" s="797">
        <v>1500</v>
      </c>
      <c r="J212" s="796">
        <v>1500</v>
      </c>
      <c r="K212" s="865">
        <f t="shared" si="13"/>
        <v>6300</v>
      </c>
      <c r="L212" s="964"/>
      <c r="M212" s="729"/>
      <c r="N212" s="729"/>
      <c r="O212" s="729"/>
      <c r="P212" s="729"/>
      <c r="Q212" s="729"/>
    </row>
    <row r="213" spans="1:17" s="714" customFormat="1" ht="24" customHeight="1">
      <c r="A213" s="868"/>
      <c r="B213" s="800" t="s">
        <v>1396</v>
      </c>
      <c r="C213" s="801"/>
      <c r="D213" s="801"/>
      <c r="E213" s="802">
        <v>1</v>
      </c>
      <c r="F213" s="803" t="s">
        <v>240</v>
      </c>
      <c r="G213" s="858">
        <v>3000</v>
      </c>
      <c r="H213" s="864">
        <f t="shared" ref="H213:H225" si="21">ROUND(E213*G213,)</f>
        <v>3000</v>
      </c>
      <c r="I213" s="865"/>
      <c r="J213" s="864"/>
      <c r="K213" s="865">
        <f t="shared" si="13"/>
        <v>3000</v>
      </c>
      <c r="L213" s="964"/>
      <c r="M213" s="729"/>
      <c r="N213" s="729"/>
      <c r="O213" s="729"/>
      <c r="P213" s="729"/>
      <c r="Q213" s="729"/>
    </row>
    <row r="214" spans="1:17" s="714" customFormat="1" ht="24" customHeight="1">
      <c r="A214" s="868"/>
      <c r="B214" s="800" t="s">
        <v>1271</v>
      </c>
      <c r="C214" s="801"/>
      <c r="D214" s="801"/>
      <c r="E214" s="802">
        <v>12</v>
      </c>
      <c r="F214" s="803" t="s">
        <v>240</v>
      </c>
      <c r="G214" s="858">
        <v>138</v>
      </c>
      <c r="H214" s="864">
        <f t="shared" si="21"/>
        <v>1656</v>
      </c>
      <c r="I214" s="865"/>
      <c r="J214" s="864"/>
      <c r="K214" s="966">
        <f t="shared" si="13"/>
        <v>1656</v>
      </c>
      <c r="L214" s="1010"/>
      <c r="M214" s="729"/>
      <c r="N214" s="729"/>
      <c r="O214" s="729"/>
      <c r="P214" s="729"/>
      <c r="Q214" s="729"/>
    </row>
    <row r="215" spans="1:17" s="714" customFormat="1" ht="24" customHeight="1">
      <c r="A215" s="868"/>
      <c r="B215" s="800" t="s">
        <v>1391</v>
      </c>
      <c r="C215" s="801"/>
      <c r="D215" s="801"/>
      <c r="E215" s="802">
        <v>1</v>
      </c>
      <c r="F215" s="803" t="s">
        <v>240</v>
      </c>
      <c r="G215" s="858">
        <v>138</v>
      </c>
      <c r="H215" s="864">
        <f t="shared" si="21"/>
        <v>138</v>
      </c>
      <c r="I215" s="865"/>
      <c r="J215" s="864"/>
      <c r="K215" s="966">
        <f t="shared" si="13"/>
        <v>138</v>
      </c>
      <c r="L215" s="1010"/>
      <c r="M215" s="729"/>
      <c r="N215" s="729"/>
      <c r="O215" s="729"/>
      <c r="P215" s="729"/>
      <c r="Q215" s="729"/>
    </row>
    <row r="216" spans="1:17" s="714" customFormat="1" ht="24" customHeight="1">
      <c r="A216" s="861"/>
      <c r="B216" s="800" t="s">
        <v>1273</v>
      </c>
      <c r="C216" s="801"/>
      <c r="D216" s="801"/>
      <c r="E216" s="802">
        <v>2</v>
      </c>
      <c r="F216" s="803" t="s">
        <v>240</v>
      </c>
      <c r="G216" s="858">
        <v>1288</v>
      </c>
      <c r="H216" s="864">
        <f t="shared" si="21"/>
        <v>2576</v>
      </c>
      <c r="I216" s="865"/>
      <c r="J216" s="864"/>
      <c r="K216" s="966">
        <f t="shared" si="13"/>
        <v>2576</v>
      </c>
      <c r="L216" s="1010"/>
      <c r="M216" s="729"/>
      <c r="N216" s="729"/>
      <c r="O216" s="729"/>
      <c r="P216" s="729"/>
    </row>
    <row r="217" spans="1:17" s="714" customFormat="1" ht="24" customHeight="1">
      <c r="A217" s="1025"/>
      <c r="B217" s="800" t="s">
        <v>1479</v>
      </c>
      <c r="C217" s="792"/>
      <c r="D217" s="792"/>
      <c r="E217" s="793">
        <v>1</v>
      </c>
      <c r="F217" s="803" t="s">
        <v>240</v>
      </c>
      <c r="G217" s="795">
        <v>5500</v>
      </c>
      <c r="H217" s="864">
        <f t="shared" si="21"/>
        <v>5500</v>
      </c>
      <c r="I217" s="797">
        <v>1000</v>
      </c>
      <c r="J217" s="864">
        <f>ROUND(E217*I217,)</f>
        <v>1000</v>
      </c>
      <c r="K217" s="966">
        <f t="shared" si="13"/>
        <v>6500</v>
      </c>
      <c r="L217" s="1010"/>
      <c r="M217" s="729"/>
      <c r="N217" s="729"/>
      <c r="O217" s="729"/>
      <c r="P217" s="729"/>
      <c r="Q217" s="729"/>
    </row>
    <row r="218" spans="1:17" s="714" customFormat="1" ht="24" customHeight="1">
      <c r="A218" s="1025"/>
      <c r="B218" s="800" t="s">
        <v>1480</v>
      </c>
      <c r="C218" s="792"/>
      <c r="D218" s="792"/>
      <c r="E218" s="793">
        <v>1</v>
      </c>
      <c r="F218" s="803" t="s">
        <v>240</v>
      </c>
      <c r="G218" s="858">
        <v>2400</v>
      </c>
      <c r="H218" s="796">
        <v>2400</v>
      </c>
      <c r="I218" s="797"/>
      <c r="J218" s="796">
        <v>0</v>
      </c>
      <c r="K218" s="966">
        <f t="shared" si="13"/>
        <v>2400</v>
      </c>
      <c r="L218" s="1010"/>
      <c r="M218" s="729"/>
      <c r="N218" s="729"/>
      <c r="O218" s="729"/>
      <c r="P218" s="729"/>
      <c r="Q218" s="729"/>
    </row>
    <row r="219" spans="1:17" s="714" customFormat="1" ht="24" customHeight="1">
      <c r="A219" s="1025"/>
      <c r="B219" s="800" t="s">
        <v>1271</v>
      </c>
      <c r="C219" s="801"/>
      <c r="D219" s="801"/>
      <c r="E219" s="802">
        <v>9</v>
      </c>
      <c r="F219" s="803" t="s">
        <v>240</v>
      </c>
      <c r="G219" s="858">
        <v>138</v>
      </c>
      <c r="H219" s="864">
        <f t="shared" ref="H219:H220" si="22">ROUND(E219*G219,)</f>
        <v>1242</v>
      </c>
      <c r="I219" s="865"/>
      <c r="J219" s="864"/>
      <c r="K219" s="966">
        <f t="shared" si="13"/>
        <v>1242</v>
      </c>
      <c r="L219" s="1010"/>
      <c r="M219" s="729"/>
      <c r="N219" s="729"/>
      <c r="O219" s="729"/>
      <c r="P219" s="729"/>
      <c r="Q219" s="729"/>
    </row>
    <row r="220" spans="1:17" s="714" customFormat="1" ht="24" customHeight="1">
      <c r="A220" s="861"/>
      <c r="B220" s="800" t="s">
        <v>1477</v>
      </c>
      <c r="C220" s="801"/>
      <c r="D220" s="801"/>
      <c r="E220" s="802"/>
      <c r="F220" s="803" t="s">
        <v>240</v>
      </c>
      <c r="G220" s="858">
        <v>680</v>
      </c>
      <c r="H220" s="864">
        <f t="shared" si="22"/>
        <v>0</v>
      </c>
      <c r="I220" s="865"/>
      <c r="J220" s="864"/>
      <c r="K220" s="966">
        <f t="shared" si="13"/>
        <v>0</v>
      </c>
      <c r="L220" s="1010"/>
      <c r="M220" s="729"/>
      <c r="N220" s="729"/>
      <c r="O220" s="729"/>
      <c r="P220" s="729"/>
    </row>
    <row r="221" spans="1:17" s="714" customFormat="1" ht="24" customHeight="1">
      <c r="A221" s="868"/>
      <c r="B221" s="800" t="s">
        <v>1481</v>
      </c>
      <c r="C221" s="801"/>
      <c r="D221" s="801"/>
      <c r="E221" s="802">
        <v>1</v>
      </c>
      <c r="F221" s="803" t="s">
        <v>240</v>
      </c>
      <c r="G221" s="858">
        <v>4800</v>
      </c>
      <c r="H221" s="796">
        <v>4800</v>
      </c>
      <c r="I221" s="797">
        <v>1500</v>
      </c>
      <c r="J221" s="796">
        <v>1500</v>
      </c>
      <c r="K221" s="966">
        <f t="shared" si="13"/>
        <v>6300</v>
      </c>
      <c r="L221" s="1010"/>
      <c r="M221" s="729"/>
      <c r="N221" s="729"/>
      <c r="O221" s="729"/>
      <c r="P221" s="729"/>
      <c r="Q221" s="729"/>
    </row>
    <row r="222" spans="1:17" s="714" customFormat="1" ht="24" customHeight="1">
      <c r="A222" s="868"/>
      <c r="B222" s="800" t="s">
        <v>1396</v>
      </c>
      <c r="C222" s="801"/>
      <c r="D222" s="801"/>
      <c r="E222" s="802">
        <v>1</v>
      </c>
      <c r="F222" s="803" t="s">
        <v>240</v>
      </c>
      <c r="G222" s="858">
        <v>3000</v>
      </c>
      <c r="H222" s="864">
        <f t="shared" si="21"/>
        <v>3000</v>
      </c>
      <c r="I222" s="865"/>
      <c r="J222" s="864"/>
      <c r="K222" s="966">
        <f t="shared" si="13"/>
        <v>3000</v>
      </c>
      <c r="L222" s="1010"/>
      <c r="M222" s="729"/>
      <c r="N222" s="729"/>
      <c r="O222" s="729"/>
      <c r="P222" s="729"/>
      <c r="Q222" s="729"/>
    </row>
    <row r="223" spans="1:17" s="714" customFormat="1" ht="24" customHeight="1">
      <c r="A223" s="868"/>
      <c r="B223" s="800" t="s">
        <v>1271</v>
      </c>
      <c r="C223" s="801"/>
      <c r="D223" s="801"/>
      <c r="E223" s="802">
        <v>11</v>
      </c>
      <c r="F223" s="803" t="s">
        <v>240</v>
      </c>
      <c r="G223" s="858">
        <v>138</v>
      </c>
      <c r="H223" s="864">
        <f t="shared" si="21"/>
        <v>1518</v>
      </c>
      <c r="I223" s="865"/>
      <c r="J223" s="864"/>
      <c r="K223" s="966">
        <f t="shared" si="13"/>
        <v>1518</v>
      </c>
      <c r="L223" s="1010"/>
      <c r="M223" s="729"/>
      <c r="N223" s="729"/>
      <c r="O223" s="729"/>
      <c r="P223" s="729"/>
      <c r="Q223" s="729"/>
    </row>
    <row r="224" spans="1:17" s="714" customFormat="1" ht="24" customHeight="1">
      <c r="A224" s="868"/>
      <c r="B224" s="800" t="s">
        <v>1391</v>
      </c>
      <c r="C224" s="801"/>
      <c r="D224" s="801"/>
      <c r="E224" s="802">
        <v>1</v>
      </c>
      <c r="F224" s="803" t="s">
        <v>240</v>
      </c>
      <c r="G224" s="858">
        <v>138</v>
      </c>
      <c r="H224" s="864">
        <f t="shared" si="21"/>
        <v>138</v>
      </c>
      <c r="I224" s="865"/>
      <c r="J224" s="864"/>
      <c r="K224" s="966">
        <f t="shared" si="13"/>
        <v>138</v>
      </c>
      <c r="L224" s="1010"/>
      <c r="M224" s="729"/>
      <c r="N224" s="729"/>
      <c r="O224" s="729"/>
      <c r="P224" s="729"/>
      <c r="Q224" s="729"/>
    </row>
    <row r="225" spans="1:17" s="714" customFormat="1" ht="24" customHeight="1">
      <c r="A225" s="861"/>
      <c r="B225" s="800" t="s">
        <v>1273</v>
      </c>
      <c r="C225" s="801"/>
      <c r="D225" s="801"/>
      <c r="E225" s="802">
        <v>3</v>
      </c>
      <c r="F225" s="803" t="s">
        <v>240</v>
      </c>
      <c r="G225" s="858">
        <v>1288</v>
      </c>
      <c r="H225" s="864">
        <f t="shared" si="21"/>
        <v>3864</v>
      </c>
      <c r="I225" s="865"/>
      <c r="J225" s="864"/>
      <c r="K225" s="966">
        <f t="shared" si="13"/>
        <v>3864</v>
      </c>
      <c r="L225" s="1010"/>
      <c r="M225" s="729"/>
      <c r="N225" s="729"/>
      <c r="O225" s="729"/>
      <c r="P225" s="729"/>
    </row>
    <row r="226" spans="1:17" s="714" customFormat="1" ht="24" customHeight="1">
      <c r="A226" s="775"/>
      <c r="B226" s="2475" t="str">
        <f>"รวมราคารายการที่ "&amp;A172</f>
        <v>รวมราคารายการที่ 3.3</v>
      </c>
      <c r="C226" s="2476"/>
      <c r="D226" s="2477"/>
      <c r="E226" s="776"/>
      <c r="F226" s="777"/>
      <c r="G226" s="959"/>
      <c r="H226" s="960">
        <f>SUM(H172:H225)</f>
        <v>126214</v>
      </c>
      <c r="I226" s="959"/>
      <c r="J226" s="960">
        <f>SUM(J172:J225)</f>
        <v>14000</v>
      </c>
      <c r="K226" s="960">
        <f>SUM(K172:K225)</f>
        <v>140214</v>
      </c>
      <c r="L226" s="1006"/>
      <c r="M226" s="729"/>
      <c r="N226" s="729"/>
      <c r="O226" s="729"/>
      <c r="P226" s="729"/>
      <c r="Q226" s="729"/>
    </row>
    <row r="227" spans="1:17" s="714" customFormat="1" ht="24" customHeight="1">
      <c r="A227" s="1029">
        <v>3.4</v>
      </c>
      <c r="B227" s="816" t="s">
        <v>1159</v>
      </c>
      <c r="C227" s="770"/>
      <c r="D227" s="770"/>
      <c r="E227" s="930"/>
      <c r="F227" s="931"/>
      <c r="G227" s="932"/>
      <c r="H227" s="854">
        <f t="shared" ref="H227:H236" si="23">ROUND(E227*G227,)</f>
        <v>0</v>
      </c>
      <c r="I227" s="934"/>
      <c r="J227" s="854">
        <f t="shared" ref="J227:J236" si="24">ROUND(E227*I227,)</f>
        <v>0</v>
      </c>
      <c r="K227" s="1013"/>
      <c r="L227" s="936"/>
      <c r="M227" s="729"/>
      <c r="N227" s="729"/>
      <c r="O227" s="729"/>
      <c r="P227" s="729"/>
      <c r="Q227" s="729"/>
    </row>
    <row r="228" spans="1:17" s="714" customFormat="1" ht="24" customHeight="1">
      <c r="A228" s="831" t="s">
        <v>971</v>
      </c>
      <c r="B228" s="720" t="s">
        <v>1410</v>
      </c>
      <c r="C228" s="717"/>
      <c r="D228" s="717"/>
      <c r="E228" s="917"/>
      <c r="F228" s="916"/>
      <c r="G228" s="806"/>
      <c r="H228" s="796">
        <f t="shared" si="23"/>
        <v>0</v>
      </c>
      <c r="I228" s="807"/>
      <c r="J228" s="796">
        <f t="shared" si="24"/>
        <v>0</v>
      </c>
      <c r="K228" s="968"/>
      <c r="L228" s="920"/>
      <c r="M228" s="729"/>
      <c r="N228" s="729"/>
      <c r="O228" s="729"/>
      <c r="P228" s="729"/>
      <c r="Q228" s="729"/>
    </row>
    <row r="229" spans="1:17" s="714" customFormat="1" ht="24" customHeight="1">
      <c r="A229" s="831"/>
      <c r="B229" s="720" t="s">
        <v>1277</v>
      </c>
      <c r="C229" s="717"/>
      <c r="D229" s="717"/>
      <c r="E229" s="805">
        <v>3520</v>
      </c>
      <c r="F229" s="794" t="s">
        <v>438</v>
      </c>
      <c r="G229" s="806">
        <v>9</v>
      </c>
      <c r="H229" s="796">
        <f t="shared" si="23"/>
        <v>31680</v>
      </c>
      <c r="I229" s="807">
        <v>7</v>
      </c>
      <c r="J229" s="796">
        <f t="shared" si="24"/>
        <v>24640</v>
      </c>
      <c r="K229" s="1030">
        <f t="shared" ref="K229:K236" si="25">H229+J229</f>
        <v>56320</v>
      </c>
      <c r="L229" s="1718" t="s">
        <v>2974</v>
      </c>
      <c r="M229" s="729"/>
      <c r="N229" s="714">
        <v>912.1</v>
      </c>
      <c r="O229" s="714">
        <f>ROUND(N229/100,)</f>
        <v>9</v>
      </c>
      <c r="P229" s="729"/>
      <c r="Q229" s="729"/>
    </row>
    <row r="230" spans="1:17" s="714" customFormat="1" ht="24" customHeight="1">
      <c r="A230" s="831"/>
      <c r="B230" s="720" t="s">
        <v>1166</v>
      </c>
      <c r="C230" s="717"/>
      <c r="D230" s="717"/>
      <c r="E230" s="805">
        <v>5735</v>
      </c>
      <c r="F230" s="794" t="s">
        <v>438</v>
      </c>
      <c r="G230" s="806">
        <v>14</v>
      </c>
      <c r="H230" s="796">
        <f t="shared" si="23"/>
        <v>80290</v>
      </c>
      <c r="I230" s="807">
        <v>10</v>
      </c>
      <c r="J230" s="796">
        <f t="shared" si="24"/>
        <v>57350</v>
      </c>
      <c r="K230" s="1030">
        <f t="shared" si="25"/>
        <v>137640</v>
      </c>
      <c r="L230" s="1718" t="s">
        <v>2974</v>
      </c>
      <c r="M230" s="729"/>
      <c r="N230" s="714">
        <v>1375.8</v>
      </c>
      <c r="O230" s="714">
        <f>ROUND(N230/100,)</f>
        <v>14</v>
      </c>
      <c r="P230" s="729"/>
      <c r="Q230" s="729"/>
    </row>
    <row r="231" spans="1:17" s="714" customFormat="1" ht="24" customHeight="1">
      <c r="A231" s="831"/>
      <c r="B231" s="720" t="s">
        <v>1167</v>
      </c>
      <c r="C231" s="792"/>
      <c r="D231" s="792"/>
      <c r="E231" s="805"/>
      <c r="F231" s="794" t="s">
        <v>438</v>
      </c>
      <c r="G231" s="806">
        <v>23</v>
      </c>
      <c r="H231" s="796">
        <f t="shared" si="23"/>
        <v>0</v>
      </c>
      <c r="I231" s="797">
        <v>12</v>
      </c>
      <c r="J231" s="796">
        <f t="shared" si="24"/>
        <v>0</v>
      </c>
      <c r="K231" s="1030">
        <f t="shared" si="25"/>
        <v>0</v>
      </c>
      <c r="L231" s="1718" t="s">
        <v>2974</v>
      </c>
      <c r="N231" s="714">
        <v>2264.1999999999998</v>
      </c>
      <c r="O231" s="714">
        <f t="shared" ref="O231:O232" si="26">ROUND(N231/100,)</f>
        <v>23</v>
      </c>
    </row>
    <row r="232" spans="1:17" s="714" customFormat="1" ht="24" customHeight="1">
      <c r="A232" s="831"/>
      <c r="B232" s="720" t="s">
        <v>1168</v>
      </c>
      <c r="C232" s="792"/>
      <c r="D232" s="792"/>
      <c r="E232" s="805">
        <v>290</v>
      </c>
      <c r="F232" s="794" t="s">
        <v>438</v>
      </c>
      <c r="G232" s="806">
        <v>39</v>
      </c>
      <c r="H232" s="796">
        <f t="shared" si="23"/>
        <v>11310</v>
      </c>
      <c r="I232" s="797">
        <v>16</v>
      </c>
      <c r="J232" s="796">
        <f t="shared" si="24"/>
        <v>4640</v>
      </c>
      <c r="K232" s="1030">
        <f t="shared" si="25"/>
        <v>15950</v>
      </c>
      <c r="L232" s="1718" t="s">
        <v>2974</v>
      </c>
      <c r="N232" s="714">
        <v>3944.2</v>
      </c>
      <c r="O232" s="714">
        <f t="shared" si="26"/>
        <v>39</v>
      </c>
    </row>
    <row r="233" spans="1:17" s="714" customFormat="1" ht="24" customHeight="1">
      <c r="A233" s="831" t="s">
        <v>978</v>
      </c>
      <c r="B233" s="720" t="s">
        <v>1276</v>
      </c>
      <c r="C233" s="717"/>
      <c r="D233" s="717"/>
      <c r="E233" s="967"/>
      <c r="F233" s="916"/>
      <c r="G233" s="806"/>
      <c r="H233" s="796">
        <f t="shared" si="23"/>
        <v>0</v>
      </c>
      <c r="I233" s="807"/>
      <c r="J233" s="796">
        <f t="shared" si="24"/>
        <v>0</v>
      </c>
      <c r="K233" s="1030">
        <f t="shared" si="25"/>
        <v>0</v>
      </c>
      <c r="L233" s="920"/>
      <c r="M233" s="729"/>
      <c r="N233" s="729"/>
      <c r="O233" s="729"/>
      <c r="P233" s="729"/>
      <c r="Q233" s="729"/>
    </row>
    <row r="234" spans="1:17" s="714" customFormat="1" ht="24" customHeight="1">
      <c r="A234" s="831"/>
      <c r="B234" s="720" t="s">
        <v>1277</v>
      </c>
      <c r="C234" s="717"/>
      <c r="D234" s="717"/>
      <c r="E234" s="805"/>
      <c r="F234" s="794" t="s">
        <v>438</v>
      </c>
      <c r="G234" s="806">
        <v>41</v>
      </c>
      <c r="H234" s="796">
        <f t="shared" si="23"/>
        <v>0</v>
      </c>
      <c r="I234" s="807">
        <v>12</v>
      </c>
      <c r="J234" s="796">
        <f t="shared" si="24"/>
        <v>0</v>
      </c>
      <c r="K234" s="1030">
        <f t="shared" si="25"/>
        <v>0</v>
      </c>
      <c r="L234" s="920"/>
      <c r="M234" s="729"/>
      <c r="N234" s="729"/>
      <c r="O234" s="729"/>
      <c r="P234" s="729"/>
      <c r="Q234" s="729"/>
    </row>
    <row r="235" spans="1:17" s="714" customFormat="1" ht="24" customHeight="1">
      <c r="A235" s="831"/>
      <c r="B235" s="720" t="s">
        <v>1166</v>
      </c>
      <c r="C235" s="792"/>
      <c r="D235" s="792"/>
      <c r="E235" s="805"/>
      <c r="F235" s="794" t="s">
        <v>438</v>
      </c>
      <c r="G235" s="806">
        <v>50</v>
      </c>
      <c r="H235" s="796">
        <f t="shared" si="23"/>
        <v>0</v>
      </c>
      <c r="I235" s="797">
        <v>14</v>
      </c>
      <c r="J235" s="796">
        <f t="shared" si="24"/>
        <v>0</v>
      </c>
      <c r="K235" s="1030">
        <f t="shared" si="25"/>
        <v>0</v>
      </c>
      <c r="L235" s="915"/>
    </row>
    <row r="236" spans="1:17" s="714" customFormat="1" ht="24" customHeight="1">
      <c r="A236" s="856"/>
      <c r="B236" s="720" t="s">
        <v>1278</v>
      </c>
      <c r="C236" s="717"/>
      <c r="D236" s="717"/>
      <c r="E236" s="805">
        <v>1</v>
      </c>
      <c r="F236" s="794" t="s">
        <v>948</v>
      </c>
      <c r="G236" s="806">
        <f>ROUND(SUM(H228:H235)*0.05,)</f>
        <v>6164</v>
      </c>
      <c r="H236" s="796">
        <f t="shared" si="23"/>
        <v>6164</v>
      </c>
      <c r="I236" s="807">
        <f>ROUND(G236*0.3,)</f>
        <v>1849</v>
      </c>
      <c r="J236" s="796">
        <f t="shared" si="24"/>
        <v>1849</v>
      </c>
      <c r="K236" s="1030">
        <f t="shared" si="25"/>
        <v>8013</v>
      </c>
      <c r="L236" s="920"/>
      <c r="M236" s="729"/>
      <c r="N236" s="729"/>
      <c r="O236" s="729"/>
      <c r="P236" s="729"/>
      <c r="Q236" s="729"/>
    </row>
    <row r="237" spans="1:17" s="714" customFormat="1" ht="24" customHeight="1">
      <c r="A237" s="831"/>
      <c r="B237" s="720" t="s">
        <v>957</v>
      </c>
      <c r="C237" s="717"/>
      <c r="D237" s="717"/>
      <c r="E237" s="917"/>
      <c r="F237" s="916"/>
      <c r="G237" s="806"/>
      <c r="H237" s="918"/>
      <c r="I237" s="807"/>
      <c r="J237" s="919"/>
      <c r="K237" s="968"/>
      <c r="L237" s="920"/>
      <c r="M237" s="729"/>
      <c r="N237" s="729"/>
      <c r="O237" s="729"/>
      <c r="P237" s="729"/>
      <c r="Q237" s="729"/>
    </row>
    <row r="238" spans="1:17" s="714" customFormat="1" ht="24" customHeight="1">
      <c r="A238" s="921"/>
      <c r="B238" s="705" t="s">
        <v>958</v>
      </c>
      <c r="C238" s="761"/>
      <c r="D238" s="761"/>
      <c r="E238" s="923"/>
      <c r="F238" s="924"/>
      <c r="G238" s="925"/>
      <c r="H238" s="926"/>
      <c r="I238" s="927"/>
      <c r="J238" s="928"/>
      <c r="K238" s="1072"/>
      <c r="L238" s="929"/>
      <c r="M238" s="729"/>
      <c r="N238" s="729"/>
      <c r="O238" s="729"/>
      <c r="P238" s="729"/>
      <c r="Q238" s="729"/>
    </row>
    <row r="239" spans="1:17" s="714" customFormat="1" ht="24" customHeight="1">
      <c r="A239" s="775"/>
      <c r="B239" s="2475" t="str">
        <f>"รวมราคารายการที่ "&amp;A227</f>
        <v>รวมราคารายการที่ 3.4</v>
      </c>
      <c r="C239" s="2476"/>
      <c r="D239" s="2477"/>
      <c r="E239" s="776"/>
      <c r="F239" s="777"/>
      <c r="G239" s="959"/>
      <c r="H239" s="960">
        <f>SUM(H227:H238)</f>
        <v>129444</v>
      </c>
      <c r="I239" s="959"/>
      <c r="J239" s="960">
        <f t="shared" ref="J239:K239" si="27">SUM(J227:J238)</f>
        <v>88479</v>
      </c>
      <c r="K239" s="960">
        <f t="shared" si="27"/>
        <v>217923</v>
      </c>
      <c r="L239" s="777"/>
      <c r="M239" s="729"/>
      <c r="N239" s="729"/>
      <c r="O239" s="729"/>
      <c r="P239" s="729"/>
      <c r="Q239" s="729"/>
    </row>
    <row r="240" spans="1:17" s="714" customFormat="1" ht="24" customHeight="1">
      <c r="A240" s="911" t="s">
        <v>1290</v>
      </c>
      <c r="B240" s="816" t="s">
        <v>1181</v>
      </c>
      <c r="C240" s="770"/>
      <c r="D240" s="770"/>
      <c r="E240" s="930"/>
      <c r="F240" s="931"/>
      <c r="G240" s="932"/>
      <c r="H240" s="933"/>
      <c r="I240" s="934"/>
      <c r="J240" s="935"/>
      <c r="K240" s="935"/>
      <c r="L240" s="936"/>
      <c r="M240" s="729"/>
      <c r="N240" s="729"/>
      <c r="O240" s="729"/>
      <c r="P240" s="729"/>
      <c r="Q240" s="729"/>
    </row>
    <row r="241" spans="1:17" s="714" customFormat="1" ht="24" customHeight="1">
      <c r="A241" s="831" t="s">
        <v>991</v>
      </c>
      <c r="B241" s="720" t="s">
        <v>1280</v>
      </c>
      <c r="C241" s="717"/>
      <c r="D241" s="717"/>
      <c r="E241" s="917"/>
      <c r="F241" s="916"/>
      <c r="G241" s="806"/>
      <c r="H241" s="796">
        <f t="shared" ref="H241:H252" si="28">ROUND(E241*G241,)</f>
        <v>0</v>
      </c>
      <c r="I241" s="807"/>
      <c r="J241" s="796">
        <f t="shared" ref="J241:J252" si="29">ROUND(E241*I241,)</f>
        <v>0</v>
      </c>
      <c r="K241" s="919"/>
      <c r="L241" s="920"/>
      <c r="M241" s="729"/>
      <c r="N241" s="729"/>
      <c r="O241" s="729"/>
      <c r="P241" s="729"/>
      <c r="Q241" s="729"/>
    </row>
    <row r="242" spans="1:17" s="714" customFormat="1" ht="24" customHeight="1">
      <c r="A242" s="831"/>
      <c r="B242" s="720" t="s">
        <v>1201</v>
      </c>
      <c r="C242" s="717"/>
      <c r="D242" s="717"/>
      <c r="E242" s="917">
        <v>2750</v>
      </c>
      <c r="F242" s="794" t="s">
        <v>438</v>
      </c>
      <c r="G242" s="806">
        <v>27</v>
      </c>
      <c r="H242" s="796">
        <f t="shared" si="28"/>
        <v>74250</v>
      </c>
      <c r="I242" s="807">
        <v>22</v>
      </c>
      <c r="J242" s="796">
        <f t="shared" si="29"/>
        <v>60500</v>
      </c>
      <c r="K242" s="1030">
        <f t="shared" ref="K242:K252" si="30">H242+J242</f>
        <v>134750</v>
      </c>
      <c r="L242" s="1718" t="s">
        <v>2974</v>
      </c>
      <c r="M242" s="729"/>
      <c r="N242" s="714">
        <v>79.8</v>
      </c>
      <c r="O242" s="714">
        <f>ROUND(N242/3,)</f>
        <v>27</v>
      </c>
      <c r="P242" s="729"/>
      <c r="Q242" s="729"/>
    </row>
    <row r="243" spans="1:17" s="714" customFormat="1" ht="24" customHeight="1">
      <c r="A243" s="831"/>
      <c r="B243" s="720" t="s">
        <v>1184</v>
      </c>
      <c r="C243" s="717"/>
      <c r="D243" s="717"/>
      <c r="E243" s="917">
        <v>200</v>
      </c>
      <c r="F243" s="794" t="s">
        <v>438</v>
      </c>
      <c r="G243" s="806">
        <v>38</v>
      </c>
      <c r="H243" s="796">
        <f t="shared" si="28"/>
        <v>7600</v>
      </c>
      <c r="I243" s="807">
        <v>24</v>
      </c>
      <c r="J243" s="796">
        <f t="shared" si="29"/>
        <v>4800</v>
      </c>
      <c r="K243" s="1030">
        <f t="shared" si="30"/>
        <v>12400</v>
      </c>
      <c r="L243" s="1718" t="s">
        <v>2974</v>
      </c>
      <c r="M243" s="729"/>
      <c r="N243" s="729">
        <v>115.2</v>
      </c>
      <c r="O243" s="714">
        <f>ROUND(N243/3,)</f>
        <v>38</v>
      </c>
      <c r="P243" s="729"/>
      <c r="Q243" s="729"/>
    </row>
    <row r="244" spans="1:17" s="714" customFormat="1" ht="24" customHeight="1">
      <c r="A244" s="831"/>
      <c r="B244" s="720" t="s">
        <v>1185</v>
      </c>
      <c r="C244" s="717"/>
      <c r="D244" s="717"/>
      <c r="E244" s="917">
        <v>60</v>
      </c>
      <c r="F244" s="794" t="s">
        <v>438</v>
      </c>
      <c r="G244" s="806">
        <v>55</v>
      </c>
      <c r="H244" s="796">
        <f t="shared" si="28"/>
        <v>3300</v>
      </c>
      <c r="I244" s="807">
        <v>28</v>
      </c>
      <c r="J244" s="796">
        <f t="shared" si="29"/>
        <v>1680</v>
      </c>
      <c r="K244" s="1030">
        <f t="shared" si="30"/>
        <v>4980</v>
      </c>
      <c r="L244" s="1718" t="s">
        <v>2974</v>
      </c>
      <c r="M244" s="729"/>
      <c r="N244" s="729">
        <v>163.80000000000001</v>
      </c>
      <c r="O244" s="714">
        <f>ROUND(N244/3,)</f>
        <v>55</v>
      </c>
      <c r="P244" s="729"/>
      <c r="Q244" s="729"/>
    </row>
    <row r="245" spans="1:17" s="714" customFormat="1" ht="24" customHeight="1">
      <c r="A245" s="831"/>
      <c r="B245" s="720" t="s">
        <v>1186</v>
      </c>
      <c r="C245" s="717"/>
      <c r="D245" s="717"/>
      <c r="E245" s="917"/>
      <c r="F245" s="794" t="s">
        <v>438</v>
      </c>
      <c r="G245" s="806">
        <v>95</v>
      </c>
      <c r="H245" s="796">
        <f t="shared" si="28"/>
        <v>0</v>
      </c>
      <c r="I245" s="807">
        <v>32</v>
      </c>
      <c r="J245" s="796">
        <f t="shared" si="29"/>
        <v>0</v>
      </c>
      <c r="K245" s="1030">
        <f t="shared" si="30"/>
        <v>0</v>
      </c>
      <c r="L245" s="1718" t="s">
        <v>2974</v>
      </c>
      <c r="M245" s="729"/>
      <c r="N245" s="729">
        <v>285.60000000000002</v>
      </c>
      <c r="O245" s="714">
        <f>ROUND(N245/3,)</f>
        <v>95</v>
      </c>
      <c r="P245" s="729"/>
      <c r="Q245" s="729"/>
    </row>
    <row r="246" spans="1:17" s="714" customFormat="1" ht="24" customHeight="1">
      <c r="A246" s="831"/>
      <c r="B246" s="720" t="s">
        <v>952</v>
      </c>
      <c r="C246" s="717"/>
      <c r="D246" s="717"/>
      <c r="E246" s="917">
        <v>1</v>
      </c>
      <c r="F246" s="916" t="s">
        <v>948</v>
      </c>
      <c r="G246" s="806">
        <f>ROUND(SUM(H242:H245)*15%,)</f>
        <v>12773</v>
      </c>
      <c r="H246" s="796">
        <f t="shared" si="28"/>
        <v>12773</v>
      </c>
      <c r="I246" s="949">
        <f>ROUND(G246*0.3,)</f>
        <v>3832</v>
      </c>
      <c r="J246" s="796">
        <f t="shared" si="29"/>
        <v>3832</v>
      </c>
      <c r="K246" s="1030">
        <f t="shared" si="30"/>
        <v>16605</v>
      </c>
      <c r="L246" s="920"/>
      <c r="M246" s="729"/>
      <c r="N246" s="729"/>
      <c r="O246" s="729"/>
      <c r="P246" s="729"/>
      <c r="Q246" s="729"/>
    </row>
    <row r="247" spans="1:17" s="714" customFormat="1" ht="24" customHeight="1">
      <c r="A247" s="831" t="s">
        <v>1020</v>
      </c>
      <c r="B247" s="720" t="s">
        <v>950</v>
      </c>
      <c r="C247" s="717"/>
      <c r="D247" s="717"/>
      <c r="E247" s="917"/>
      <c r="F247" s="916"/>
      <c r="G247" s="806"/>
      <c r="H247" s="796">
        <f t="shared" si="28"/>
        <v>0</v>
      </c>
      <c r="I247" s="807"/>
      <c r="J247" s="796">
        <f t="shared" si="29"/>
        <v>0</v>
      </c>
      <c r="K247" s="1030">
        <f t="shared" si="30"/>
        <v>0</v>
      </c>
      <c r="L247" s="920"/>
      <c r="M247" s="729"/>
      <c r="N247" s="729"/>
      <c r="O247" s="729"/>
      <c r="P247" s="729"/>
      <c r="Q247" s="729"/>
    </row>
    <row r="248" spans="1:17" s="714" customFormat="1" ht="24" customHeight="1">
      <c r="A248" s="831"/>
      <c r="B248" s="720" t="s">
        <v>1201</v>
      </c>
      <c r="C248" s="717"/>
      <c r="D248" s="717"/>
      <c r="E248" s="917"/>
      <c r="F248" s="794" t="s">
        <v>438</v>
      </c>
      <c r="G248" s="806">
        <v>56</v>
      </c>
      <c r="H248" s="796">
        <f t="shared" si="28"/>
        <v>0</v>
      </c>
      <c r="I248" s="807">
        <v>26</v>
      </c>
      <c r="J248" s="796">
        <f t="shared" si="29"/>
        <v>0</v>
      </c>
      <c r="K248" s="1030">
        <f t="shared" si="30"/>
        <v>0</v>
      </c>
      <c r="L248" s="1718" t="s">
        <v>2974</v>
      </c>
      <c r="M248" s="729"/>
      <c r="N248" s="714">
        <v>169.2</v>
      </c>
      <c r="O248" s="714">
        <f>ROUND(N248/3,)</f>
        <v>56</v>
      </c>
      <c r="P248" s="729"/>
      <c r="Q248" s="729"/>
    </row>
    <row r="249" spans="1:17" s="714" customFormat="1" ht="24" customHeight="1">
      <c r="A249" s="831"/>
      <c r="B249" s="720" t="s">
        <v>1185</v>
      </c>
      <c r="C249" s="717"/>
      <c r="D249" s="717"/>
      <c r="E249" s="917"/>
      <c r="F249" s="794" t="s">
        <v>438</v>
      </c>
      <c r="G249" s="806">
        <v>101</v>
      </c>
      <c r="H249" s="796">
        <f t="shared" si="28"/>
        <v>0</v>
      </c>
      <c r="I249" s="807">
        <v>32</v>
      </c>
      <c r="J249" s="796">
        <f t="shared" si="29"/>
        <v>0</v>
      </c>
      <c r="K249" s="1030">
        <f t="shared" si="30"/>
        <v>0</v>
      </c>
      <c r="L249" s="1718" t="s">
        <v>2974</v>
      </c>
      <c r="M249" s="729"/>
      <c r="N249" s="729">
        <v>303.60000000000002</v>
      </c>
      <c r="O249" s="714">
        <f>ROUND(N249/3,)</f>
        <v>101</v>
      </c>
      <c r="P249" s="729"/>
      <c r="Q249" s="729"/>
    </row>
    <row r="250" spans="1:17" s="714" customFormat="1" ht="24" customHeight="1">
      <c r="A250" s="831"/>
      <c r="B250" s="720" t="s">
        <v>952</v>
      </c>
      <c r="C250" s="717"/>
      <c r="D250" s="717"/>
      <c r="E250" s="917">
        <v>1</v>
      </c>
      <c r="F250" s="916" t="s">
        <v>948</v>
      </c>
      <c r="G250" s="806">
        <f>SUM(H248:H249)*15%</f>
        <v>0</v>
      </c>
      <c r="H250" s="796">
        <f t="shared" si="28"/>
        <v>0</v>
      </c>
      <c r="I250" s="949">
        <f>ROUND(G250*0.3,)</f>
        <v>0</v>
      </c>
      <c r="J250" s="796">
        <f t="shared" si="29"/>
        <v>0</v>
      </c>
      <c r="K250" s="1030">
        <f t="shared" si="30"/>
        <v>0</v>
      </c>
      <c r="L250" s="920"/>
      <c r="M250" s="729"/>
      <c r="N250" s="729"/>
      <c r="O250" s="729"/>
      <c r="P250" s="729"/>
      <c r="Q250" s="729"/>
    </row>
    <row r="251" spans="1:17" s="714" customFormat="1" ht="24" customHeight="1">
      <c r="A251" s="831" t="s">
        <v>1578</v>
      </c>
      <c r="B251" s="720" t="s">
        <v>1281</v>
      </c>
      <c r="C251" s="717"/>
      <c r="D251" s="717"/>
      <c r="E251" s="917"/>
      <c r="F251" s="916"/>
      <c r="G251" s="806"/>
      <c r="H251" s="796">
        <f t="shared" si="28"/>
        <v>0</v>
      </c>
      <c r="I251" s="807"/>
      <c r="J251" s="796">
        <f t="shared" si="29"/>
        <v>0</v>
      </c>
      <c r="K251" s="1030">
        <f t="shared" si="30"/>
        <v>0</v>
      </c>
      <c r="L251" s="920"/>
      <c r="M251" s="729"/>
      <c r="N251" s="729"/>
      <c r="O251" s="729"/>
      <c r="P251" s="729"/>
      <c r="Q251" s="729"/>
    </row>
    <row r="252" spans="1:17" s="714" customFormat="1" ht="24" customHeight="1">
      <c r="A252" s="831"/>
      <c r="B252" s="720" t="s">
        <v>1201</v>
      </c>
      <c r="C252" s="717"/>
      <c r="D252" s="717"/>
      <c r="E252" s="917">
        <v>817</v>
      </c>
      <c r="F252" s="794" t="s">
        <v>438</v>
      </c>
      <c r="G252" s="806">
        <v>14</v>
      </c>
      <c r="H252" s="796">
        <f t="shared" si="28"/>
        <v>11438</v>
      </c>
      <c r="I252" s="807">
        <v>11</v>
      </c>
      <c r="J252" s="796">
        <f t="shared" si="29"/>
        <v>8987</v>
      </c>
      <c r="K252" s="1030">
        <f t="shared" si="30"/>
        <v>20425</v>
      </c>
      <c r="L252" s="920"/>
      <c r="M252" s="729"/>
      <c r="N252" s="729"/>
      <c r="O252" s="729"/>
      <c r="P252" s="729"/>
      <c r="Q252" s="729"/>
    </row>
    <row r="253" spans="1:17" s="714" customFormat="1" ht="24" customHeight="1">
      <c r="A253" s="831"/>
      <c r="B253" s="720" t="s">
        <v>957</v>
      </c>
      <c r="C253" s="717"/>
      <c r="D253" s="717"/>
      <c r="E253" s="917"/>
      <c r="F253" s="916"/>
      <c r="G253" s="806"/>
      <c r="H253" s="918"/>
      <c r="I253" s="807"/>
      <c r="J253" s="919"/>
      <c r="K253" s="919"/>
      <c r="L253" s="920"/>
      <c r="M253" s="729"/>
      <c r="N253" s="729"/>
      <c r="O253" s="729"/>
      <c r="P253" s="729"/>
      <c r="Q253" s="729"/>
    </row>
    <row r="254" spans="1:17" s="714" customFormat="1" ht="24" customHeight="1">
      <c r="A254" s="831"/>
      <c r="B254" s="720" t="s">
        <v>958</v>
      </c>
      <c r="C254" s="717"/>
      <c r="D254" s="717"/>
      <c r="E254" s="917"/>
      <c r="F254" s="916"/>
      <c r="G254" s="806"/>
      <c r="H254" s="918"/>
      <c r="I254" s="807"/>
      <c r="J254" s="919"/>
      <c r="K254" s="919"/>
      <c r="L254" s="920"/>
      <c r="M254" s="729"/>
      <c r="N254" s="729"/>
      <c r="O254" s="729"/>
      <c r="P254" s="729"/>
      <c r="Q254" s="729"/>
    </row>
    <row r="255" spans="1:17" s="714" customFormat="1" ht="24" customHeight="1">
      <c r="A255" s="775"/>
      <c r="B255" s="2475" t="str">
        <f>"รวมราคารายการที่ "&amp;A240</f>
        <v>รวมราคารายการที่ 3.5</v>
      </c>
      <c r="C255" s="2476"/>
      <c r="D255" s="2477"/>
      <c r="E255" s="776"/>
      <c r="F255" s="777"/>
      <c r="G255" s="959"/>
      <c r="H255" s="960">
        <f>SUM(H241:H254)</f>
        <v>109361</v>
      </c>
      <c r="I255" s="959"/>
      <c r="J255" s="960">
        <f t="shared" ref="J255:K255" si="31">SUM(J241:J254)</f>
        <v>79799</v>
      </c>
      <c r="K255" s="960">
        <f t="shared" si="31"/>
        <v>189160</v>
      </c>
      <c r="L255" s="777"/>
      <c r="M255" s="729"/>
      <c r="N255" s="729"/>
      <c r="O255" s="729"/>
      <c r="P255" s="729"/>
      <c r="Q255" s="729"/>
    </row>
    <row r="256" spans="1:17" s="714" customFormat="1" ht="24" customHeight="1">
      <c r="A256" s="911" t="s">
        <v>1293</v>
      </c>
      <c r="B256" s="816" t="s">
        <v>1283</v>
      </c>
      <c r="C256" s="770"/>
      <c r="D256" s="770"/>
      <c r="E256" s="930"/>
      <c r="F256" s="931"/>
      <c r="G256" s="932"/>
      <c r="H256" s="933"/>
      <c r="I256" s="934"/>
      <c r="J256" s="935"/>
      <c r="K256" s="935"/>
      <c r="L256" s="936"/>
      <c r="M256" s="729"/>
      <c r="N256" s="729"/>
      <c r="O256" s="729"/>
      <c r="P256" s="729"/>
      <c r="Q256" s="729"/>
    </row>
    <row r="257" spans="1:19" s="714" customFormat="1" ht="24" customHeight="1">
      <c r="A257" s="831" t="s">
        <v>1032</v>
      </c>
      <c r="B257" s="720" t="s">
        <v>1283</v>
      </c>
      <c r="C257" s="717"/>
      <c r="D257" s="717"/>
      <c r="E257" s="917"/>
      <c r="F257" s="916"/>
      <c r="G257" s="806"/>
      <c r="H257" s="918"/>
      <c r="I257" s="807"/>
      <c r="J257" s="919"/>
      <c r="K257" s="919"/>
      <c r="L257" s="920"/>
      <c r="M257" s="729"/>
      <c r="N257" s="729"/>
      <c r="O257" s="729"/>
      <c r="P257" s="729"/>
      <c r="Q257" s="729"/>
    </row>
    <row r="258" spans="1:19" s="714" customFormat="1" ht="24" customHeight="1">
      <c r="A258" s="831"/>
      <c r="B258" s="720" t="s">
        <v>1284</v>
      </c>
      <c r="C258" s="717"/>
      <c r="D258" s="717"/>
      <c r="E258" s="917">
        <v>26</v>
      </c>
      <c r="F258" s="722" t="s">
        <v>240</v>
      </c>
      <c r="G258" s="806">
        <v>90</v>
      </c>
      <c r="H258" s="796">
        <f t="shared" ref="H258:H267" si="32">ROUND(E258*G258,)</f>
        <v>2340</v>
      </c>
      <c r="I258" s="807">
        <v>80</v>
      </c>
      <c r="J258" s="796">
        <f t="shared" ref="J258:J267" si="33">ROUND(E258*I258,)</f>
        <v>2080</v>
      </c>
      <c r="K258" s="1030">
        <f t="shared" ref="K258:K267" si="34">H258+J258</f>
        <v>4420</v>
      </c>
      <c r="L258" s="920"/>
      <c r="M258" s="729"/>
      <c r="N258" s="729"/>
      <c r="O258" s="729"/>
      <c r="P258" s="729"/>
      <c r="Q258" s="729"/>
    </row>
    <row r="259" spans="1:19" s="714" customFormat="1" ht="24" customHeight="1">
      <c r="A259" s="831"/>
      <c r="B259" s="705" t="s">
        <v>1418</v>
      </c>
      <c r="C259" s="717"/>
      <c r="D259" s="717"/>
      <c r="E259" s="967"/>
      <c r="F259" s="709" t="s">
        <v>240</v>
      </c>
      <c r="G259" s="806">
        <v>130</v>
      </c>
      <c r="H259" s="796">
        <f t="shared" si="32"/>
        <v>0</v>
      </c>
      <c r="I259" s="807">
        <v>90</v>
      </c>
      <c r="J259" s="796">
        <f t="shared" si="33"/>
        <v>0</v>
      </c>
      <c r="K259" s="1030">
        <f t="shared" si="34"/>
        <v>0</v>
      </c>
      <c r="L259" s="919"/>
    </row>
    <row r="260" spans="1:19" s="714" customFormat="1" ht="24" customHeight="1">
      <c r="A260" s="831"/>
      <c r="B260" s="720" t="s">
        <v>1285</v>
      </c>
      <c r="C260" s="717"/>
      <c r="D260" s="717"/>
      <c r="E260" s="917"/>
      <c r="F260" s="722" t="s">
        <v>240</v>
      </c>
      <c r="G260" s="806">
        <v>162</v>
      </c>
      <c r="H260" s="796">
        <f t="shared" si="32"/>
        <v>0</v>
      </c>
      <c r="I260" s="807">
        <v>90</v>
      </c>
      <c r="J260" s="796">
        <f t="shared" si="33"/>
        <v>0</v>
      </c>
      <c r="K260" s="966">
        <f t="shared" si="34"/>
        <v>0</v>
      </c>
      <c r="L260" s="920"/>
      <c r="M260" s="729"/>
      <c r="N260" s="729"/>
      <c r="O260" s="729"/>
      <c r="P260" s="729"/>
      <c r="Q260" s="729"/>
    </row>
    <row r="261" spans="1:19" s="714" customFormat="1" ht="24" customHeight="1">
      <c r="A261" s="831"/>
      <c r="B261" s="720" t="s">
        <v>1286</v>
      </c>
      <c r="C261" s="717"/>
      <c r="D261" s="717"/>
      <c r="E261" s="917">
        <v>19</v>
      </c>
      <c r="F261" s="722" t="s">
        <v>240</v>
      </c>
      <c r="G261" s="806">
        <v>197</v>
      </c>
      <c r="H261" s="796">
        <f t="shared" si="32"/>
        <v>3743</v>
      </c>
      <c r="I261" s="807">
        <v>90</v>
      </c>
      <c r="J261" s="796">
        <f t="shared" si="33"/>
        <v>1710</v>
      </c>
      <c r="K261" s="966">
        <f t="shared" si="34"/>
        <v>5453</v>
      </c>
      <c r="L261" s="920"/>
      <c r="M261" s="729"/>
      <c r="N261" s="729"/>
      <c r="O261" s="729"/>
      <c r="P261" s="729"/>
      <c r="Q261" s="729"/>
    </row>
    <row r="262" spans="1:19" s="714" customFormat="1" ht="24" customHeight="1">
      <c r="A262" s="831"/>
      <c r="B262" s="720" t="s">
        <v>1287</v>
      </c>
      <c r="C262" s="717"/>
      <c r="D262" s="717"/>
      <c r="E262" s="967"/>
      <c r="F262" s="722" t="s">
        <v>240</v>
      </c>
      <c r="G262" s="806">
        <v>1500</v>
      </c>
      <c r="H262" s="796">
        <f t="shared" si="32"/>
        <v>0</v>
      </c>
      <c r="I262" s="807">
        <v>265</v>
      </c>
      <c r="J262" s="796">
        <f t="shared" si="33"/>
        <v>0</v>
      </c>
      <c r="K262" s="966">
        <f t="shared" si="34"/>
        <v>0</v>
      </c>
      <c r="L262" s="919"/>
    </row>
    <row r="263" spans="1:19" s="714" customFormat="1" ht="24" customHeight="1">
      <c r="A263" s="831"/>
      <c r="B263" s="720" t="s">
        <v>1288</v>
      </c>
      <c r="C263" s="717"/>
      <c r="D263" s="717"/>
      <c r="E263" s="917"/>
      <c r="F263" s="722" t="s">
        <v>240</v>
      </c>
      <c r="G263" s="806">
        <v>320</v>
      </c>
      <c r="H263" s="796">
        <f t="shared" si="32"/>
        <v>0</v>
      </c>
      <c r="I263" s="807">
        <v>200</v>
      </c>
      <c r="J263" s="796">
        <f t="shared" si="33"/>
        <v>0</v>
      </c>
      <c r="K263" s="966">
        <f t="shared" si="34"/>
        <v>0</v>
      </c>
      <c r="L263" s="919"/>
      <c r="M263" s="729"/>
      <c r="N263" s="729"/>
      <c r="O263" s="729"/>
      <c r="P263" s="729"/>
      <c r="Q263" s="729"/>
    </row>
    <row r="264" spans="1:19" s="714" customFormat="1" ht="24" customHeight="1">
      <c r="A264" s="831" t="s">
        <v>1598</v>
      </c>
      <c r="B264" s="720" t="s">
        <v>1289</v>
      </c>
      <c r="C264" s="717"/>
      <c r="D264" s="717"/>
      <c r="E264" s="917">
        <v>10</v>
      </c>
      <c r="F264" s="722" t="s">
        <v>240</v>
      </c>
      <c r="G264" s="806">
        <v>130</v>
      </c>
      <c r="H264" s="796">
        <f t="shared" si="32"/>
        <v>1300</v>
      </c>
      <c r="I264" s="807">
        <v>90</v>
      </c>
      <c r="J264" s="796">
        <f t="shared" si="33"/>
        <v>900</v>
      </c>
      <c r="K264" s="966">
        <f t="shared" si="34"/>
        <v>2200</v>
      </c>
      <c r="L264" s="919"/>
      <c r="M264" s="729"/>
      <c r="N264" s="729"/>
      <c r="O264" s="729"/>
      <c r="P264" s="729"/>
    </row>
    <row r="265" spans="1:19" s="714" customFormat="1" ht="24" customHeight="1">
      <c r="A265" s="831" t="s">
        <v>1601</v>
      </c>
      <c r="B265" s="720" t="s">
        <v>1419</v>
      </c>
      <c r="C265" s="717"/>
      <c r="D265" s="717"/>
      <c r="E265" s="917"/>
      <c r="F265" s="722" t="s">
        <v>240</v>
      </c>
      <c r="G265" s="806">
        <v>150</v>
      </c>
      <c r="H265" s="796">
        <f t="shared" si="32"/>
        <v>0</v>
      </c>
      <c r="I265" s="807">
        <v>90</v>
      </c>
      <c r="J265" s="796">
        <f t="shared" si="33"/>
        <v>0</v>
      </c>
      <c r="K265" s="966">
        <f t="shared" si="34"/>
        <v>0</v>
      </c>
      <c r="L265" s="919"/>
      <c r="M265" s="729"/>
      <c r="N265" s="729"/>
      <c r="O265" s="729"/>
      <c r="P265" s="729"/>
      <c r="Q265" s="729"/>
      <c r="R265" s="729"/>
      <c r="S265" s="729"/>
    </row>
    <row r="266" spans="1:19" s="714" customFormat="1" ht="24" customHeight="1">
      <c r="A266" s="831"/>
      <c r="B266" s="720" t="s">
        <v>1420</v>
      </c>
      <c r="C266" s="717"/>
      <c r="D266" s="717"/>
      <c r="E266" s="917">
        <v>2</v>
      </c>
      <c r="F266" s="722" t="s">
        <v>240</v>
      </c>
      <c r="G266" s="806">
        <v>4000</v>
      </c>
      <c r="H266" s="796">
        <f t="shared" si="32"/>
        <v>8000</v>
      </c>
      <c r="I266" s="807">
        <v>500</v>
      </c>
      <c r="J266" s="914">
        <f t="shared" si="33"/>
        <v>1000</v>
      </c>
      <c r="K266" s="1030">
        <f t="shared" si="34"/>
        <v>9000</v>
      </c>
      <c r="L266" s="919"/>
      <c r="M266" s="729"/>
      <c r="N266" s="729"/>
      <c r="O266" s="729"/>
      <c r="P266" s="729"/>
      <c r="Q266" s="729"/>
      <c r="R266" s="729"/>
      <c r="S266" s="729"/>
    </row>
    <row r="267" spans="1:19" s="714" customFormat="1" ht="24" customHeight="1">
      <c r="A267" s="831"/>
      <c r="B267" s="720" t="s">
        <v>1457</v>
      </c>
      <c r="C267" s="717"/>
      <c r="D267" s="717"/>
      <c r="E267" s="917">
        <v>4</v>
      </c>
      <c r="F267" s="722" t="s">
        <v>240</v>
      </c>
      <c r="G267" s="806">
        <v>8000</v>
      </c>
      <c r="H267" s="796">
        <f t="shared" si="32"/>
        <v>32000</v>
      </c>
      <c r="I267" s="807">
        <v>1000</v>
      </c>
      <c r="J267" s="914">
        <f t="shared" si="33"/>
        <v>4000</v>
      </c>
      <c r="K267" s="1030">
        <f t="shared" si="34"/>
        <v>36000</v>
      </c>
      <c r="L267" s="919"/>
      <c r="M267" s="729"/>
      <c r="N267" s="729"/>
      <c r="O267" s="729"/>
      <c r="P267" s="729"/>
      <c r="Q267" s="729"/>
      <c r="R267" s="729"/>
      <c r="S267" s="729"/>
    </row>
    <row r="268" spans="1:19" s="714" customFormat="1" ht="24" customHeight="1">
      <c r="A268" s="831"/>
      <c r="B268" s="720" t="s">
        <v>957</v>
      </c>
      <c r="C268" s="717"/>
      <c r="D268" s="717"/>
      <c r="E268" s="917"/>
      <c r="F268" s="916"/>
      <c r="G268" s="806"/>
      <c r="H268" s="918"/>
      <c r="I268" s="807"/>
      <c r="J268" s="919"/>
      <c r="K268" s="919"/>
      <c r="L268" s="920"/>
      <c r="M268" s="729"/>
      <c r="N268" s="729"/>
      <c r="O268" s="729"/>
      <c r="P268" s="729"/>
      <c r="Q268" s="729"/>
    </row>
    <row r="269" spans="1:19" s="714" customFormat="1" ht="24" customHeight="1">
      <c r="A269" s="831"/>
      <c r="B269" s="720" t="s">
        <v>958</v>
      </c>
      <c r="C269" s="717"/>
      <c r="D269" s="717"/>
      <c r="E269" s="917"/>
      <c r="F269" s="916"/>
      <c r="G269" s="806"/>
      <c r="H269" s="918"/>
      <c r="I269" s="807"/>
      <c r="J269" s="919"/>
      <c r="K269" s="919"/>
      <c r="L269" s="920"/>
      <c r="M269" s="729"/>
      <c r="N269" s="729"/>
      <c r="O269" s="729"/>
      <c r="P269" s="729"/>
      <c r="Q269" s="729"/>
    </row>
    <row r="270" spans="1:19" s="714" customFormat="1" ht="24" customHeight="1">
      <c r="A270" s="831"/>
      <c r="B270" s="720" t="s">
        <v>958</v>
      </c>
      <c r="C270" s="717"/>
      <c r="D270" s="717"/>
      <c r="E270" s="917"/>
      <c r="F270" s="916"/>
      <c r="G270" s="806"/>
      <c r="H270" s="918"/>
      <c r="I270" s="807"/>
      <c r="J270" s="919"/>
      <c r="K270" s="919"/>
      <c r="L270" s="920"/>
      <c r="M270" s="729"/>
      <c r="N270" s="729"/>
      <c r="O270" s="729"/>
      <c r="P270" s="729"/>
      <c r="Q270" s="729"/>
    </row>
    <row r="271" spans="1:19" s="714" customFormat="1" ht="24" customHeight="1">
      <c r="A271" s="921"/>
      <c r="B271" s="1073"/>
      <c r="C271" s="761"/>
      <c r="D271" s="761"/>
      <c r="E271" s="923"/>
      <c r="F271" s="924"/>
      <c r="G271" s="925"/>
      <c r="H271" s="926"/>
      <c r="I271" s="927"/>
      <c r="J271" s="928"/>
      <c r="K271" s="928"/>
      <c r="L271" s="929"/>
      <c r="M271" s="729"/>
      <c r="N271" s="729"/>
      <c r="O271" s="729"/>
      <c r="P271" s="729"/>
      <c r="Q271" s="729"/>
    </row>
    <row r="272" spans="1:19" s="714" customFormat="1" ht="24" customHeight="1">
      <c r="A272" s="921"/>
      <c r="B272" s="1073"/>
      <c r="C272" s="761"/>
      <c r="D272" s="761"/>
      <c r="E272" s="923"/>
      <c r="F272" s="924"/>
      <c r="G272" s="925"/>
      <c r="H272" s="926"/>
      <c r="I272" s="927"/>
      <c r="J272" s="928"/>
      <c r="K272" s="928"/>
      <c r="L272" s="929"/>
      <c r="M272" s="729"/>
      <c r="N272" s="729"/>
      <c r="O272" s="729"/>
      <c r="P272" s="729"/>
      <c r="Q272" s="729"/>
    </row>
    <row r="273" spans="1:17" s="714" customFormat="1" ht="24" customHeight="1">
      <c r="A273" s="921"/>
      <c r="B273" s="922"/>
      <c r="C273" s="761"/>
      <c r="D273" s="761"/>
      <c r="E273" s="923"/>
      <c r="F273" s="924"/>
      <c r="G273" s="925"/>
      <c r="H273" s="926"/>
      <c r="I273" s="927"/>
      <c r="J273" s="928"/>
      <c r="K273" s="928"/>
      <c r="L273" s="929"/>
      <c r="M273" s="729"/>
      <c r="N273" s="729"/>
      <c r="O273" s="729"/>
      <c r="P273" s="729"/>
      <c r="Q273" s="729"/>
    </row>
    <row r="274" spans="1:17" s="714" customFormat="1" ht="24" customHeight="1">
      <c r="A274" s="775"/>
      <c r="B274" s="2475" t="str">
        <f>"รวมราคารายการที่ "&amp;A256</f>
        <v>รวมราคารายการที่ 3.6</v>
      </c>
      <c r="C274" s="2476"/>
      <c r="D274" s="2477"/>
      <c r="E274" s="776"/>
      <c r="F274" s="777"/>
      <c r="G274" s="959"/>
      <c r="H274" s="960">
        <f>SUM(H257:H273)</f>
        <v>47383</v>
      </c>
      <c r="I274" s="959"/>
      <c r="J274" s="960">
        <f t="shared" ref="J274:K274" si="35">SUM(J257:J273)</f>
        <v>9690</v>
      </c>
      <c r="K274" s="960">
        <f t="shared" si="35"/>
        <v>57073</v>
      </c>
      <c r="L274" s="777"/>
      <c r="M274" s="729"/>
      <c r="N274" s="729"/>
      <c r="O274" s="729"/>
      <c r="P274" s="729"/>
      <c r="Q274" s="729"/>
    </row>
    <row r="275" spans="1:17" s="714" customFormat="1" ht="24" customHeight="1">
      <c r="A275" s="969" t="s">
        <v>1317</v>
      </c>
      <c r="B275" s="1015" t="s">
        <v>1197</v>
      </c>
      <c r="C275" s="770"/>
      <c r="D275" s="770"/>
      <c r="E275" s="930"/>
      <c r="F275" s="709"/>
      <c r="G275" s="932"/>
      <c r="H275" s="854"/>
      <c r="I275" s="934"/>
      <c r="J275" s="854"/>
      <c r="K275" s="912"/>
      <c r="L275" s="936"/>
      <c r="M275" s="729"/>
      <c r="N275" s="729"/>
      <c r="O275" s="729"/>
      <c r="P275" s="729"/>
      <c r="Q275" s="729"/>
    </row>
    <row r="276" spans="1:17" s="714" customFormat="1" ht="24" customHeight="1">
      <c r="A276" s="791" t="s">
        <v>1051</v>
      </c>
      <c r="B276" s="972" t="s">
        <v>1291</v>
      </c>
      <c r="C276" s="717"/>
      <c r="D276" s="717"/>
      <c r="E276" s="917"/>
      <c r="F276" s="722"/>
      <c r="G276" s="806"/>
      <c r="H276" s="796"/>
      <c r="I276" s="807"/>
      <c r="J276" s="796"/>
      <c r="K276" s="914"/>
      <c r="L276" s="920"/>
      <c r="M276" s="729"/>
      <c r="N276" s="729"/>
      <c r="O276" s="729"/>
      <c r="P276" s="729"/>
      <c r="Q276" s="729"/>
    </row>
    <row r="277" spans="1:17" s="714" customFormat="1" ht="24" customHeight="1">
      <c r="A277" s="704"/>
      <c r="B277" s="972" t="s">
        <v>1482</v>
      </c>
      <c r="C277" s="717"/>
      <c r="D277" s="717"/>
      <c r="E277" s="917">
        <v>1</v>
      </c>
      <c r="F277" s="722" t="s">
        <v>240</v>
      </c>
      <c r="G277" s="806">
        <f>72000+20280+5500</f>
        <v>97780</v>
      </c>
      <c r="H277" s="796">
        <f t="shared" ref="H277:H278" si="36">ROUND(E277*G277,)</f>
        <v>97780</v>
      </c>
      <c r="I277" s="807">
        <f t="shared" ref="I277:I278" si="37">G277*0.05</f>
        <v>4889</v>
      </c>
      <c r="J277" s="796">
        <f t="shared" ref="J277:J278" si="38">ROUND(E277*I277,)</f>
        <v>4889</v>
      </c>
      <c r="K277" s="1030">
        <f t="shared" ref="K277:K278" si="39">H277+J277</f>
        <v>102669</v>
      </c>
      <c r="L277" s="920"/>
      <c r="M277" s="729"/>
      <c r="N277" s="729"/>
      <c r="O277" s="729"/>
      <c r="P277" s="729"/>
      <c r="Q277" s="729"/>
    </row>
    <row r="278" spans="1:17" s="714" customFormat="1" ht="24" customHeight="1">
      <c r="A278" s="704"/>
      <c r="B278" s="972" t="s">
        <v>1483</v>
      </c>
      <c r="C278" s="717"/>
      <c r="D278" s="717"/>
      <c r="E278" s="917">
        <v>1</v>
      </c>
      <c r="F278" s="722" t="s">
        <v>240</v>
      </c>
      <c r="G278" s="806">
        <f>72000+20280+5500</f>
        <v>97780</v>
      </c>
      <c r="H278" s="796">
        <f t="shared" si="36"/>
        <v>97780</v>
      </c>
      <c r="I278" s="807">
        <f t="shared" si="37"/>
        <v>4889</v>
      </c>
      <c r="J278" s="796">
        <f t="shared" si="38"/>
        <v>4889</v>
      </c>
      <c r="K278" s="1030">
        <f t="shared" si="39"/>
        <v>102669</v>
      </c>
      <c r="L278" s="920"/>
      <c r="M278" s="729"/>
      <c r="N278" s="729"/>
      <c r="O278" s="729"/>
      <c r="P278" s="729"/>
      <c r="Q278" s="729"/>
    </row>
    <row r="279" spans="1:17" s="714" customFormat="1" ht="24" customHeight="1">
      <c r="A279" s="704"/>
      <c r="B279" s="972" t="s">
        <v>957</v>
      </c>
      <c r="C279" s="717"/>
      <c r="D279" s="717"/>
      <c r="E279" s="917"/>
      <c r="F279" s="916"/>
      <c r="G279" s="806"/>
      <c r="H279" s="918"/>
      <c r="I279" s="807"/>
      <c r="J279" s="919"/>
      <c r="K279" s="919"/>
      <c r="L279" s="920"/>
      <c r="M279" s="729"/>
      <c r="N279" s="729"/>
      <c r="O279" s="729"/>
      <c r="P279" s="729"/>
      <c r="Q279" s="729"/>
    </row>
    <row r="280" spans="1:17" s="714" customFormat="1" ht="24" customHeight="1">
      <c r="A280" s="704"/>
      <c r="B280" s="972" t="s">
        <v>958</v>
      </c>
      <c r="C280" s="717"/>
      <c r="D280" s="717"/>
      <c r="E280" s="917"/>
      <c r="F280" s="916"/>
      <c r="G280" s="806"/>
      <c r="H280" s="918"/>
      <c r="I280" s="807"/>
      <c r="J280" s="919"/>
      <c r="K280" s="919"/>
      <c r="L280" s="920"/>
      <c r="M280" s="729"/>
      <c r="N280" s="729"/>
      <c r="O280" s="729"/>
      <c r="P280" s="729"/>
      <c r="Q280" s="729"/>
    </row>
    <row r="281" spans="1:17" s="714" customFormat="1" ht="24" customHeight="1">
      <c r="A281" s="704"/>
      <c r="B281" s="972" t="s">
        <v>958</v>
      </c>
      <c r="C281" s="717"/>
      <c r="D281" s="717"/>
      <c r="E281" s="917"/>
      <c r="F281" s="916"/>
      <c r="G281" s="806"/>
      <c r="H281" s="918"/>
      <c r="I281" s="807"/>
      <c r="J281" s="919"/>
      <c r="K281" s="919"/>
      <c r="L281" s="920"/>
      <c r="M281" s="729"/>
      <c r="N281" s="729"/>
      <c r="O281" s="729"/>
      <c r="P281" s="729"/>
      <c r="Q281" s="729"/>
    </row>
    <row r="282" spans="1:17" s="714" customFormat="1" ht="24" customHeight="1">
      <c r="A282" s="921"/>
      <c r="B282" s="922"/>
      <c r="C282" s="761"/>
      <c r="D282" s="761"/>
      <c r="E282" s="923"/>
      <c r="F282" s="924"/>
      <c r="G282" s="925"/>
      <c r="H282" s="926"/>
      <c r="I282" s="927"/>
      <c r="J282" s="928"/>
      <c r="K282" s="928"/>
      <c r="L282" s="929"/>
      <c r="M282" s="729"/>
      <c r="N282" s="729"/>
      <c r="O282" s="729"/>
      <c r="P282" s="729"/>
      <c r="Q282" s="729"/>
    </row>
    <row r="283" spans="1:17" s="714" customFormat="1" ht="24" customHeight="1">
      <c r="A283" s="775"/>
      <c r="B283" s="2475" t="str">
        <f>"รวมราคารายการที่ "&amp;A275</f>
        <v>รวมราคารายการที่ 3.7</v>
      </c>
      <c r="C283" s="2476"/>
      <c r="D283" s="2477"/>
      <c r="E283" s="776"/>
      <c r="F283" s="777"/>
      <c r="G283" s="959"/>
      <c r="H283" s="960">
        <f>SUM(H275:H282)</f>
        <v>195560</v>
      </c>
      <c r="I283" s="959"/>
      <c r="J283" s="960">
        <f t="shared" ref="J283:K283" si="40">SUM(J275:J282)</f>
        <v>9778</v>
      </c>
      <c r="K283" s="960">
        <f t="shared" si="40"/>
        <v>205338</v>
      </c>
      <c r="L283" s="777"/>
      <c r="M283" s="729"/>
      <c r="N283" s="729"/>
      <c r="O283" s="729"/>
      <c r="P283" s="729"/>
      <c r="Q283" s="729"/>
    </row>
    <row r="284" spans="1:17" s="714" customFormat="1" ht="24" customHeight="1">
      <c r="A284" s="911" t="s">
        <v>1339</v>
      </c>
      <c r="B284" s="816" t="s">
        <v>1294</v>
      </c>
      <c r="C284" s="770"/>
      <c r="D284" s="770"/>
      <c r="E284" s="930"/>
      <c r="F284" s="709"/>
      <c r="G284" s="932"/>
      <c r="H284" s="796"/>
      <c r="I284" s="934"/>
      <c r="J284" s="796"/>
      <c r="K284" s="914"/>
      <c r="L284" s="936"/>
      <c r="M284" s="729"/>
      <c r="N284" s="729"/>
      <c r="O284" s="729"/>
      <c r="P284" s="729"/>
      <c r="Q284" s="729"/>
    </row>
    <row r="285" spans="1:17" s="714" customFormat="1" ht="24" customHeight="1">
      <c r="A285" s="861"/>
      <c r="B285" s="756" t="s">
        <v>1295</v>
      </c>
      <c r="C285" s="717"/>
      <c r="D285" s="717"/>
      <c r="E285" s="942">
        <v>17</v>
      </c>
      <c r="F285" s="759" t="s">
        <v>240</v>
      </c>
      <c r="G285" s="752">
        <v>420</v>
      </c>
      <c r="H285" s="864">
        <f t="shared" ref="H285:H306" si="41">ROUND(E285*G285,)</f>
        <v>7140</v>
      </c>
      <c r="I285" s="949">
        <v>115</v>
      </c>
      <c r="J285" s="864">
        <f t="shared" ref="J285:J306" si="42">ROUND(E285*I285,)</f>
        <v>1955</v>
      </c>
      <c r="K285" s="1030">
        <f t="shared" ref="K285:K306" si="43">H285+J285</f>
        <v>9095</v>
      </c>
      <c r="L285" s="973"/>
      <c r="M285" s="729"/>
      <c r="N285" s="729"/>
      <c r="O285" s="729"/>
      <c r="P285" s="729"/>
    </row>
    <row r="286" spans="1:17" s="714" customFormat="1" ht="24" customHeight="1">
      <c r="A286" s="861"/>
      <c r="B286" s="800" t="s">
        <v>1296</v>
      </c>
      <c r="C286" s="717"/>
      <c r="D286" s="717"/>
      <c r="E286" s="942">
        <v>13</v>
      </c>
      <c r="F286" s="803" t="s">
        <v>240</v>
      </c>
      <c r="G286" s="752">
        <v>500</v>
      </c>
      <c r="H286" s="864">
        <f t="shared" si="41"/>
        <v>6500</v>
      </c>
      <c r="I286" s="949">
        <v>115</v>
      </c>
      <c r="J286" s="864">
        <f t="shared" si="42"/>
        <v>1495</v>
      </c>
      <c r="K286" s="966">
        <f t="shared" si="43"/>
        <v>7995</v>
      </c>
      <c r="L286" s="973"/>
      <c r="M286" s="729"/>
      <c r="N286" s="729"/>
      <c r="O286" s="729"/>
      <c r="P286" s="729"/>
    </row>
    <row r="287" spans="1:17" s="714" customFormat="1" ht="24" customHeight="1">
      <c r="A287" s="861"/>
      <c r="B287" s="800" t="s">
        <v>1297</v>
      </c>
      <c r="C287" s="717"/>
      <c r="D287" s="717"/>
      <c r="E287" s="942">
        <v>23</v>
      </c>
      <c r="F287" s="803" t="s">
        <v>240</v>
      </c>
      <c r="G287" s="752">
        <v>550</v>
      </c>
      <c r="H287" s="864">
        <f t="shared" si="41"/>
        <v>12650</v>
      </c>
      <c r="I287" s="949">
        <v>115</v>
      </c>
      <c r="J287" s="864">
        <f t="shared" si="42"/>
        <v>2645</v>
      </c>
      <c r="K287" s="966">
        <f t="shared" si="43"/>
        <v>15295</v>
      </c>
      <c r="L287" s="973"/>
      <c r="M287" s="729"/>
      <c r="N287" s="729"/>
      <c r="O287" s="729"/>
      <c r="P287" s="729"/>
    </row>
    <row r="288" spans="1:17" s="714" customFormat="1" ht="24" customHeight="1">
      <c r="A288" s="861"/>
      <c r="B288" s="800" t="s">
        <v>1298</v>
      </c>
      <c r="C288" s="717"/>
      <c r="D288" s="717"/>
      <c r="E288" s="942"/>
      <c r="F288" s="803" t="s">
        <v>240</v>
      </c>
      <c r="G288" s="752">
        <v>750</v>
      </c>
      <c r="H288" s="864">
        <f t="shared" si="41"/>
        <v>0</v>
      </c>
      <c r="I288" s="949">
        <v>135</v>
      </c>
      <c r="J288" s="864">
        <f t="shared" si="42"/>
        <v>0</v>
      </c>
      <c r="K288" s="966">
        <f t="shared" si="43"/>
        <v>0</v>
      </c>
      <c r="L288" s="973"/>
      <c r="M288" s="729"/>
      <c r="N288" s="729"/>
      <c r="O288" s="729"/>
      <c r="P288" s="729"/>
    </row>
    <row r="289" spans="1:16" s="714" customFormat="1" ht="24" customHeight="1">
      <c r="A289" s="861"/>
      <c r="B289" s="800" t="s">
        <v>1299</v>
      </c>
      <c r="C289" s="717"/>
      <c r="D289" s="717"/>
      <c r="E289" s="942">
        <v>20</v>
      </c>
      <c r="F289" s="803" t="s">
        <v>240</v>
      </c>
      <c r="G289" s="806">
        <v>2090</v>
      </c>
      <c r="H289" s="796">
        <f t="shared" si="41"/>
        <v>41800</v>
      </c>
      <c r="I289" s="807">
        <v>135</v>
      </c>
      <c r="J289" s="864">
        <f t="shared" si="42"/>
        <v>2700</v>
      </c>
      <c r="K289" s="966">
        <f t="shared" si="43"/>
        <v>44500</v>
      </c>
      <c r="L289" s="973"/>
      <c r="M289" s="729"/>
      <c r="N289" s="729"/>
      <c r="O289" s="729"/>
      <c r="P289" s="729"/>
    </row>
    <row r="290" spans="1:16" s="714" customFormat="1" ht="24" customHeight="1">
      <c r="A290" s="861"/>
      <c r="B290" s="800" t="s">
        <v>1300</v>
      </c>
      <c r="C290" s="717"/>
      <c r="D290" s="717"/>
      <c r="E290" s="942"/>
      <c r="F290" s="803" t="s">
        <v>240</v>
      </c>
      <c r="G290" s="806">
        <v>650</v>
      </c>
      <c r="H290" s="796">
        <f t="shared" si="41"/>
        <v>0</v>
      </c>
      <c r="I290" s="807">
        <v>20</v>
      </c>
      <c r="J290" s="864">
        <f t="shared" si="42"/>
        <v>0</v>
      </c>
      <c r="K290" s="966">
        <f t="shared" si="43"/>
        <v>0</v>
      </c>
      <c r="L290" s="973"/>
      <c r="M290" s="729"/>
      <c r="N290" s="729"/>
      <c r="O290" s="729"/>
      <c r="P290" s="729"/>
    </row>
    <row r="291" spans="1:16" s="714" customFormat="1" ht="24" customHeight="1">
      <c r="A291" s="861"/>
      <c r="B291" s="800" t="s">
        <v>1301</v>
      </c>
      <c r="C291" s="717"/>
      <c r="D291" s="717"/>
      <c r="E291" s="942"/>
      <c r="F291" s="803" t="s">
        <v>240</v>
      </c>
      <c r="G291" s="806">
        <v>1200</v>
      </c>
      <c r="H291" s="796">
        <f t="shared" si="41"/>
        <v>0</v>
      </c>
      <c r="I291" s="807">
        <v>135</v>
      </c>
      <c r="J291" s="864">
        <f t="shared" si="42"/>
        <v>0</v>
      </c>
      <c r="K291" s="966">
        <f t="shared" si="43"/>
        <v>0</v>
      </c>
      <c r="L291" s="973"/>
      <c r="M291" s="729"/>
      <c r="N291" s="729"/>
      <c r="O291" s="729"/>
      <c r="P291" s="729"/>
    </row>
    <row r="292" spans="1:16" s="714" customFormat="1" ht="24" customHeight="1">
      <c r="A292" s="861"/>
      <c r="B292" s="800" t="s">
        <v>1302</v>
      </c>
      <c r="C292" s="717"/>
      <c r="D292" s="717"/>
      <c r="E292" s="942"/>
      <c r="F292" s="803" t="s">
        <v>240</v>
      </c>
      <c r="G292" s="806">
        <v>1200</v>
      </c>
      <c r="H292" s="796">
        <f t="shared" si="41"/>
        <v>0</v>
      </c>
      <c r="I292" s="807">
        <v>135</v>
      </c>
      <c r="J292" s="864">
        <f t="shared" si="42"/>
        <v>0</v>
      </c>
      <c r="K292" s="966">
        <f t="shared" si="43"/>
        <v>0</v>
      </c>
      <c r="L292" s="973"/>
      <c r="M292" s="729"/>
      <c r="N292" s="729"/>
      <c r="O292" s="729"/>
      <c r="P292" s="729"/>
    </row>
    <row r="293" spans="1:16" s="714" customFormat="1" ht="24" customHeight="1">
      <c r="A293" s="861"/>
      <c r="B293" s="756" t="s">
        <v>1303</v>
      </c>
      <c r="C293" s="717"/>
      <c r="D293" s="717"/>
      <c r="E293" s="942"/>
      <c r="F293" s="759" t="s">
        <v>240</v>
      </c>
      <c r="G293" s="806">
        <v>1200</v>
      </c>
      <c r="H293" s="796">
        <f t="shared" si="41"/>
        <v>0</v>
      </c>
      <c r="I293" s="807">
        <v>135</v>
      </c>
      <c r="J293" s="864">
        <f t="shared" si="42"/>
        <v>0</v>
      </c>
      <c r="K293" s="1030">
        <f t="shared" si="43"/>
        <v>0</v>
      </c>
      <c r="L293" s="973"/>
      <c r="M293" s="729"/>
      <c r="N293" s="729"/>
      <c r="O293" s="729"/>
      <c r="P293" s="729"/>
    </row>
    <row r="294" spans="1:16" s="714" customFormat="1" ht="24" customHeight="1">
      <c r="A294" s="861"/>
      <c r="B294" s="800" t="s">
        <v>1304</v>
      </c>
      <c r="C294" s="717"/>
      <c r="D294" s="717"/>
      <c r="E294" s="942"/>
      <c r="F294" s="803" t="s">
        <v>240</v>
      </c>
      <c r="G294" s="806">
        <v>1200</v>
      </c>
      <c r="H294" s="796">
        <f t="shared" si="41"/>
        <v>0</v>
      </c>
      <c r="I294" s="807">
        <v>135</v>
      </c>
      <c r="J294" s="864">
        <f t="shared" si="42"/>
        <v>0</v>
      </c>
      <c r="K294" s="966">
        <f t="shared" si="43"/>
        <v>0</v>
      </c>
      <c r="L294" s="973"/>
      <c r="M294" s="729"/>
      <c r="N294" s="729"/>
      <c r="O294" s="729"/>
      <c r="P294" s="729"/>
    </row>
    <row r="295" spans="1:16" s="714" customFormat="1" ht="24" customHeight="1">
      <c r="A295" s="861"/>
      <c r="B295" s="800" t="s">
        <v>1305</v>
      </c>
      <c r="C295" s="717"/>
      <c r="D295" s="717"/>
      <c r="E295" s="942">
        <v>80</v>
      </c>
      <c r="F295" s="803" t="s">
        <v>240</v>
      </c>
      <c r="G295" s="806">
        <v>1200</v>
      </c>
      <c r="H295" s="796">
        <f t="shared" si="41"/>
        <v>96000</v>
      </c>
      <c r="I295" s="807">
        <v>135</v>
      </c>
      <c r="J295" s="864">
        <f t="shared" si="42"/>
        <v>10800</v>
      </c>
      <c r="K295" s="966">
        <f t="shared" si="43"/>
        <v>106800</v>
      </c>
      <c r="L295" s="973"/>
      <c r="M295" s="729"/>
      <c r="N295" s="729"/>
      <c r="O295" s="729"/>
      <c r="P295" s="729"/>
    </row>
    <row r="296" spans="1:16" s="714" customFormat="1" ht="24" customHeight="1">
      <c r="A296" s="861"/>
      <c r="B296" s="800" t="s">
        <v>1306</v>
      </c>
      <c r="C296" s="717"/>
      <c r="D296" s="717"/>
      <c r="E296" s="942"/>
      <c r="F296" s="803" t="s">
        <v>240</v>
      </c>
      <c r="G296" s="806">
        <v>1860</v>
      </c>
      <c r="H296" s="796">
        <f t="shared" si="41"/>
        <v>0</v>
      </c>
      <c r="I296" s="807">
        <v>135</v>
      </c>
      <c r="J296" s="796">
        <f t="shared" si="42"/>
        <v>0</v>
      </c>
      <c r="K296" s="966">
        <f t="shared" si="43"/>
        <v>0</v>
      </c>
      <c r="L296" s="973"/>
      <c r="M296" s="729"/>
      <c r="N296" s="729"/>
      <c r="O296" s="729"/>
      <c r="P296" s="729"/>
    </row>
    <row r="297" spans="1:16" s="714" customFormat="1" ht="24" customHeight="1">
      <c r="A297" s="861"/>
      <c r="B297" s="800" t="s">
        <v>1307</v>
      </c>
      <c r="C297" s="717"/>
      <c r="D297" s="717"/>
      <c r="E297" s="942"/>
      <c r="F297" s="803" t="s">
        <v>240</v>
      </c>
      <c r="G297" s="806">
        <v>1860</v>
      </c>
      <c r="H297" s="796">
        <f t="shared" si="41"/>
        <v>0</v>
      </c>
      <c r="I297" s="807">
        <v>135</v>
      </c>
      <c r="J297" s="796">
        <f t="shared" si="42"/>
        <v>0</v>
      </c>
      <c r="K297" s="966">
        <f t="shared" si="43"/>
        <v>0</v>
      </c>
      <c r="L297" s="973"/>
      <c r="M297" s="729"/>
      <c r="N297" s="729"/>
      <c r="O297" s="729"/>
      <c r="P297" s="729"/>
    </row>
    <row r="298" spans="1:16" s="714" customFormat="1" ht="24" customHeight="1">
      <c r="A298" s="861"/>
      <c r="B298" s="800" t="s">
        <v>1308</v>
      </c>
      <c r="C298" s="717"/>
      <c r="D298" s="717"/>
      <c r="E298" s="942"/>
      <c r="F298" s="803" t="s">
        <v>240</v>
      </c>
      <c r="G298" s="806">
        <v>1250</v>
      </c>
      <c r="H298" s="796">
        <f t="shared" si="41"/>
        <v>0</v>
      </c>
      <c r="I298" s="807">
        <v>135</v>
      </c>
      <c r="J298" s="864">
        <f t="shared" si="42"/>
        <v>0</v>
      </c>
      <c r="K298" s="966">
        <f t="shared" si="43"/>
        <v>0</v>
      </c>
      <c r="L298" s="973"/>
      <c r="M298" s="729"/>
      <c r="N298" s="729"/>
      <c r="O298" s="729"/>
      <c r="P298" s="729"/>
    </row>
    <row r="299" spans="1:16" s="714" customFormat="1" ht="24" customHeight="1">
      <c r="A299" s="861"/>
      <c r="B299" s="800" t="s">
        <v>1309</v>
      </c>
      <c r="C299" s="717"/>
      <c r="D299" s="717"/>
      <c r="E299" s="942"/>
      <c r="F299" s="803" t="s">
        <v>240</v>
      </c>
      <c r="G299" s="806">
        <v>1860</v>
      </c>
      <c r="H299" s="796">
        <f t="shared" si="41"/>
        <v>0</v>
      </c>
      <c r="I299" s="807">
        <v>135</v>
      </c>
      <c r="J299" s="796">
        <f t="shared" si="42"/>
        <v>0</v>
      </c>
      <c r="K299" s="966">
        <f t="shared" si="43"/>
        <v>0</v>
      </c>
      <c r="L299" s="973"/>
      <c r="M299" s="729"/>
      <c r="N299" s="729"/>
      <c r="O299" s="729"/>
      <c r="P299" s="729"/>
    </row>
    <row r="300" spans="1:16" s="714" customFormat="1" ht="24" customHeight="1">
      <c r="A300" s="861"/>
      <c r="B300" s="800" t="s">
        <v>1310</v>
      </c>
      <c r="C300" s="717"/>
      <c r="D300" s="717"/>
      <c r="E300" s="942"/>
      <c r="F300" s="803" t="s">
        <v>240</v>
      </c>
      <c r="G300" s="806">
        <v>1200</v>
      </c>
      <c r="H300" s="796">
        <f t="shared" si="41"/>
        <v>0</v>
      </c>
      <c r="I300" s="807">
        <v>135</v>
      </c>
      <c r="J300" s="864">
        <f t="shared" si="42"/>
        <v>0</v>
      </c>
      <c r="K300" s="966">
        <f t="shared" si="43"/>
        <v>0</v>
      </c>
      <c r="L300" s="973"/>
      <c r="M300" s="729"/>
      <c r="N300" s="729"/>
      <c r="O300" s="729"/>
      <c r="P300" s="729"/>
    </row>
    <row r="301" spans="1:16" s="714" customFormat="1" ht="24" customHeight="1">
      <c r="A301" s="861"/>
      <c r="B301" s="800" t="s">
        <v>1311</v>
      </c>
      <c r="C301" s="717"/>
      <c r="D301" s="717"/>
      <c r="E301" s="942">
        <v>156</v>
      </c>
      <c r="F301" s="803" t="s">
        <v>240</v>
      </c>
      <c r="G301" s="806">
        <v>1200</v>
      </c>
      <c r="H301" s="796">
        <f t="shared" si="41"/>
        <v>187200</v>
      </c>
      <c r="I301" s="807">
        <v>135</v>
      </c>
      <c r="J301" s="864">
        <f t="shared" si="42"/>
        <v>21060</v>
      </c>
      <c r="K301" s="966">
        <f t="shared" si="43"/>
        <v>208260</v>
      </c>
      <c r="L301" s="973"/>
      <c r="M301" s="729"/>
      <c r="N301" s="729"/>
      <c r="O301" s="729"/>
      <c r="P301" s="729"/>
    </row>
    <row r="302" spans="1:16" s="714" customFormat="1" ht="24" customHeight="1">
      <c r="A302" s="861"/>
      <c r="B302" s="800" t="s">
        <v>1312</v>
      </c>
      <c r="C302" s="757"/>
      <c r="D302" s="757"/>
      <c r="E302" s="942">
        <v>12</v>
      </c>
      <c r="F302" s="803" t="s">
        <v>240</v>
      </c>
      <c r="G302" s="752">
        <v>1830</v>
      </c>
      <c r="H302" s="864">
        <f t="shared" si="41"/>
        <v>21960</v>
      </c>
      <c r="I302" s="949">
        <v>500</v>
      </c>
      <c r="J302" s="864">
        <f t="shared" si="42"/>
        <v>6000</v>
      </c>
      <c r="K302" s="966">
        <f t="shared" si="43"/>
        <v>27960</v>
      </c>
      <c r="L302" s="973"/>
      <c r="M302" s="729"/>
      <c r="N302" s="729"/>
      <c r="O302" s="729"/>
      <c r="P302" s="729"/>
    </row>
    <row r="303" spans="1:16" s="714" customFormat="1" ht="24" customHeight="1">
      <c r="A303" s="861"/>
      <c r="B303" s="800" t="s">
        <v>1313</v>
      </c>
      <c r="C303" s="757"/>
      <c r="D303" s="757"/>
      <c r="E303" s="942">
        <v>6</v>
      </c>
      <c r="F303" s="803" t="s">
        <v>240</v>
      </c>
      <c r="G303" s="752">
        <v>1620</v>
      </c>
      <c r="H303" s="864">
        <f t="shared" si="41"/>
        <v>9720</v>
      </c>
      <c r="I303" s="949">
        <v>500</v>
      </c>
      <c r="J303" s="864">
        <f t="shared" si="42"/>
        <v>3000</v>
      </c>
      <c r="K303" s="966">
        <f t="shared" si="43"/>
        <v>12720</v>
      </c>
      <c r="L303" s="973"/>
      <c r="M303" s="729"/>
      <c r="N303" s="729"/>
      <c r="O303" s="729"/>
      <c r="P303" s="729"/>
    </row>
    <row r="304" spans="1:16" s="714" customFormat="1" ht="24" customHeight="1">
      <c r="A304" s="861"/>
      <c r="B304" s="800" t="s">
        <v>1314</v>
      </c>
      <c r="C304" s="757"/>
      <c r="D304" s="757"/>
      <c r="E304" s="942">
        <v>24</v>
      </c>
      <c r="F304" s="803" t="s">
        <v>240</v>
      </c>
      <c r="G304" s="752">
        <v>920</v>
      </c>
      <c r="H304" s="864">
        <f t="shared" si="41"/>
        <v>22080</v>
      </c>
      <c r="I304" s="949">
        <v>250</v>
      </c>
      <c r="J304" s="864">
        <f t="shared" si="42"/>
        <v>6000</v>
      </c>
      <c r="K304" s="966">
        <f t="shared" si="43"/>
        <v>28080</v>
      </c>
      <c r="L304" s="973"/>
      <c r="M304" s="729"/>
      <c r="N304" s="729"/>
      <c r="O304" s="729"/>
      <c r="P304" s="729"/>
    </row>
    <row r="305" spans="1:17" s="714" customFormat="1" ht="24" customHeight="1">
      <c r="A305" s="861"/>
      <c r="B305" s="800" t="s">
        <v>1315</v>
      </c>
      <c r="C305" s="757"/>
      <c r="D305" s="757"/>
      <c r="E305" s="942">
        <v>2</v>
      </c>
      <c r="F305" s="803" t="s">
        <v>240</v>
      </c>
      <c r="G305" s="752">
        <v>2180</v>
      </c>
      <c r="H305" s="864">
        <f t="shared" si="41"/>
        <v>4360</v>
      </c>
      <c r="I305" s="949">
        <v>500</v>
      </c>
      <c r="J305" s="864">
        <f t="shared" si="42"/>
        <v>1000</v>
      </c>
      <c r="K305" s="966">
        <f t="shared" si="43"/>
        <v>5360</v>
      </c>
      <c r="L305" s="973"/>
      <c r="M305" s="729"/>
      <c r="N305" s="729"/>
      <c r="O305" s="729"/>
      <c r="P305" s="729"/>
    </row>
    <row r="306" spans="1:17" s="714" customFormat="1" ht="24" customHeight="1">
      <c r="A306" s="861"/>
      <c r="B306" s="720" t="s">
        <v>1316</v>
      </c>
      <c r="C306" s="717"/>
      <c r="D306" s="717"/>
      <c r="E306" s="942">
        <v>1</v>
      </c>
      <c r="F306" s="803" t="s">
        <v>948</v>
      </c>
      <c r="G306" s="752">
        <f>ROUND(SUM(H284:H304)*5%,)</f>
        <v>20253</v>
      </c>
      <c r="H306" s="864">
        <f t="shared" si="41"/>
        <v>20253</v>
      </c>
      <c r="I306" s="949">
        <f>ROUND(G306*0.3,)</f>
        <v>6076</v>
      </c>
      <c r="J306" s="864">
        <f t="shared" si="42"/>
        <v>6076</v>
      </c>
      <c r="K306" s="966">
        <f t="shared" si="43"/>
        <v>26329</v>
      </c>
      <c r="L306" s="973"/>
      <c r="M306" s="729"/>
      <c r="N306" s="729"/>
      <c r="O306" s="729"/>
      <c r="P306" s="729"/>
    </row>
    <row r="307" spans="1:17" s="714" customFormat="1" ht="24" customHeight="1">
      <c r="A307" s="831"/>
      <c r="B307" s="720" t="s">
        <v>957</v>
      </c>
      <c r="C307" s="717"/>
      <c r="D307" s="717"/>
      <c r="E307" s="917"/>
      <c r="F307" s="722"/>
      <c r="G307" s="806"/>
      <c r="H307" s="918"/>
      <c r="I307" s="807"/>
      <c r="J307" s="919"/>
      <c r="K307" s="919"/>
      <c r="L307" s="920"/>
      <c r="M307" s="729"/>
      <c r="N307" s="729"/>
      <c r="O307" s="729"/>
      <c r="P307" s="729"/>
      <c r="Q307" s="729"/>
    </row>
    <row r="308" spans="1:17" s="714" customFormat="1" ht="24" customHeight="1">
      <c r="A308" s="831"/>
      <c r="B308" s="720" t="s">
        <v>1239</v>
      </c>
      <c r="C308" s="717"/>
      <c r="D308" s="717"/>
      <c r="E308" s="917"/>
      <c r="F308" s="722"/>
      <c r="G308" s="806"/>
      <c r="H308" s="918"/>
      <c r="I308" s="807"/>
      <c r="J308" s="919"/>
      <c r="K308" s="919"/>
      <c r="L308" s="920"/>
      <c r="M308" s="729"/>
      <c r="N308" s="729"/>
      <c r="O308" s="729"/>
      <c r="P308" s="729"/>
      <c r="Q308" s="729"/>
    </row>
    <row r="309" spans="1:17" s="714" customFormat="1" ht="24" customHeight="1">
      <c r="A309" s="921"/>
      <c r="B309" s="705" t="s">
        <v>1239</v>
      </c>
      <c r="C309" s="761"/>
      <c r="D309" s="761"/>
      <c r="E309" s="923"/>
      <c r="F309" s="924"/>
      <c r="G309" s="925"/>
      <c r="H309" s="926"/>
      <c r="I309" s="927"/>
      <c r="J309" s="928"/>
      <c r="K309" s="928"/>
      <c r="L309" s="929"/>
      <c r="M309" s="729"/>
      <c r="N309" s="729"/>
      <c r="O309" s="729"/>
      <c r="P309" s="729"/>
      <c r="Q309" s="729"/>
    </row>
    <row r="310" spans="1:17" s="714" customFormat="1" ht="24" customHeight="1">
      <c r="A310" s="775"/>
      <c r="B310" s="2475" t="str">
        <f>"รวมราคารายการที่ "&amp;A284</f>
        <v>รวมราคารายการที่ 3.8</v>
      </c>
      <c r="C310" s="2476"/>
      <c r="D310" s="2477"/>
      <c r="E310" s="776"/>
      <c r="F310" s="777"/>
      <c r="G310" s="959"/>
      <c r="H310" s="960">
        <f>SUM(H284:H309)</f>
        <v>429663</v>
      </c>
      <c r="I310" s="959"/>
      <c r="J310" s="960">
        <f>SUM(J284:J309)</f>
        <v>62731</v>
      </c>
      <c r="K310" s="960">
        <f>SUM(K284:K309)</f>
        <v>492394</v>
      </c>
      <c r="L310" s="777"/>
      <c r="M310" s="729"/>
      <c r="N310" s="729"/>
      <c r="O310" s="729"/>
      <c r="P310" s="729"/>
      <c r="Q310" s="729"/>
    </row>
    <row r="311" spans="1:17" s="714" customFormat="1" ht="24" customHeight="1">
      <c r="A311" s="911">
        <v>3.9</v>
      </c>
      <c r="B311" s="816" t="s">
        <v>1225</v>
      </c>
      <c r="C311" s="770"/>
      <c r="D311" s="770"/>
      <c r="E311" s="930"/>
      <c r="F311" s="931"/>
      <c r="G311" s="932"/>
      <c r="H311" s="933"/>
      <c r="I311" s="934"/>
      <c r="J311" s="935"/>
      <c r="K311" s="935"/>
      <c r="L311" s="936"/>
      <c r="M311" s="729"/>
      <c r="N311" s="729"/>
      <c r="O311" s="729"/>
      <c r="P311" s="729"/>
      <c r="Q311" s="729"/>
    </row>
    <row r="312" spans="1:17" s="714" customFormat="1" ht="24" customHeight="1">
      <c r="A312" s="856" t="s">
        <v>1136</v>
      </c>
      <c r="B312" s="720" t="s">
        <v>1318</v>
      </c>
      <c r="C312" s="717"/>
      <c r="D312" s="717"/>
      <c r="E312" s="917">
        <v>2</v>
      </c>
      <c r="F312" s="722" t="s">
        <v>240</v>
      </c>
      <c r="G312" s="806">
        <f>30000+13500</f>
        <v>43500</v>
      </c>
      <c r="H312" s="796">
        <f t="shared" ref="H312:H342" si="44">ROUND(E312*G312,)</f>
        <v>87000</v>
      </c>
      <c r="I312" s="807">
        <f>G312*0.1</f>
        <v>4350</v>
      </c>
      <c r="J312" s="796">
        <f t="shared" ref="J312:J342" si="45">ROUND(E312*I312,)</f>
        <v>8700</v>
      </c>
      <c r="K312" s="1030">
        <f t="shared" ref="K312:K342" si="46">H312+J312</f>
        <v>95700</v>
      </c>
      <c r="L312" s="920"/>
      <c r="M312" s="729"/>
      <c r="N312" s="729"/>
      <c r="O312" s="729"/>
      <c r="P312" s="729"/>
      <c r="Q312" s="729"/>
    </row>
    <row r="313" spans="1:17" s="714" customFormat="1" ht="24" customHeight="1">
      <c r="A313" s="856" t="s">
        <v>1144</v>
      </c>
      <c r="B313" s="720" t="s">
        <v>1319</v>
      </c>
      <c r="C313" s="717"/>
      <c r="D313" s="717"/>
      <c r="E313" s="917">
        <v>6</v>
      </c>
      <c r="F313" s="722" t="s">
        <v>240</v>
      </c>
      <c r="G313" s="806">
        <v>1850</v>
      </c>
      <c r="H313" s="796">
        <f t="shared" si="44"/>
        <v>11100</v>
      </c>
      <c r="I313" s="807">
        <v>250</v>
      </c>
      <c r="J313" s="796">
        <f t="shared" si="45"/>
        <v>1500</v>
      </c>
      <c r="K313" s="1030">
        <f t="shared" si="46"/>
        <v>12600</v>
      </c>
      <c r="L313" s="920"/>
      <c r="M313" s="729"/>
      <c r="N313" s="729"/>
      <c r="O313" s="729"/>
      <c r="P313" s="729"/>
      <c r="Q313" s="729"/>
    </row>
    <row r="314" spans="1:17" s="714" customFormat="1" ht="24" customHeight="1">
      <c r="A314" s="856" t="s">
        <v>1146</v>
      </c>
      <c r="B314" s="720" t="s">
        <v>1320</v>
      </c>
      <c r="C314" s="717"/>
      <c r="D314" s="717"/>
      <c r="E314" s="917">
        <v>6</v>
      </c>
      <c r="F314" s="722" t="s">
        <v>240</v>
      </c>
      <c r="G314" s="806">
        <v>1850</v>
      </c>
      <c r="H314" s="796">
        <f t="shared" si="44"/>
        <v>11100</v>
      </c>
      <c r="I314" s="807">
        <v>250</v>
      </c>
      <c r="J314" s="796">
        <f t="shared" si="45"/>
        <v>1500</v>
      </c>
      <c r="K314" s="1030">
        <f t="shared" si="46"/>
        <v>12600</v>
      </c>
      <c r="L314" s="920"/>
      <c r="M314" s="729"/>
      <c r="N314" s="729"/>
      <c r="O314" s="729"/>
      <c r="P314" s="729"/>
      <c r="Q314" s="729"/>
    </row>
    <row r="315" spans="1:17" s="714" customFormat="1" ht="24" customHeight="1">
      <c r="A315" s="856" t="s">
        <v>1156</v>
      </c>
      <c r="B315" s="720" t="s">
        <v>1321</v>
      </c>
      <c r="C315" s="717"/>
      <c r="D315" s="717"/>
      <c r="E315" s="917">
        <v>6</v>
      </c>
      <c r="F315" s="722" t="s">
        <v>240</v>
      </c>
      <c r="G315" s="806">
        <v>1850</v>
      </c>
      <c r="H315" s="796">
        <f t="shared" si="44"/>
        <v>11100</v>
      </c>
      <c r="I315" s="807">
        <v>250</v>
      </c>
      <c r="J315" s="796">
        <f t="shared" si="45"/>
        <v>1500</v>
      </c>
      <c r="K315" s="1030">
        <f t="shared" si="46"/>
        <v>12600</v>
      </c>
      <c r="L315" s="920"/>
      <c r="M315" s="729"/>
      <c r="N315" s="729"/>
      <c r="O315" s="729"/>
      <c r="P315" s="729"/>
      <c r="Q315" s="729"/>
    </row>
    <row r="316" spans="1:17" s="714" customFormat="1" ht="24" customHeight="1">
      <c r="A316" s="856" t="s">
        <v>1429</v>
      </c>
      <c r="B316" s="720" t="s">
        <v>1322</v>
      </c>
      <c r="C316" s="717"/>
      <c r="D316" s="717"/>
      <c r="E316" s="917">
        <v>6</v>
      </c>
      <c r="F316" s="722" t="s">
        <v>240</v>
      </c>
      <c r="G316" s="806">
        <v>1850</v>
      </c>
      <c r="H316" s="796">
        <f t="shared" si="44"/>
        <v>11100</v>
      </c>
      <c r="I316" s="807">
        <v>250</v>
      </c>
      <c r="J316" s="796">
        <f t="shared" si="45"/>
        <v>1500</v>
      </c>
      <c r="K316" s="1030">
        <f t="shared" si="46"/>
        <v>12600</v>
      </c>
      <c r="L316" s="920"/>
      <c r="M316" s="729"/>
      <c r="N316" s="729"/>
      <c r="O316" s="729"/>
      <c r="P316" s="729"/>
      <c r="Q316" s="729"/>
    </row>
    <row r="317" spans="1:17" s="714" customFormat="1" ht="24" customHeight="1">
      <c r="A317" s="856" t="s">
        <v>1486</v>
      </c>
      <c r="B317" s="720" t="s">
        <v>1484</v>
      </c>
      <c r="C317" s="717"/>
      <c r="D317" s="717"/>
      <c r="E317" s="917"/>
      <c r="F317" s="722" t="s">
        <v>240</v>
      </c>
      <c r="G317" s="806"/>
      <c r="H317" s="796">
        <f t="shared" si="44"/>
        <v>0</v>
      </c>
      <c r="I317" s="807">
        <v>250</v>
      </c>
      <c r="J317" s="796">
        <f t="shared" si="45"/>
        <v>0</v>
      </c>
      <c r="K317" s="1030">
        <f t="shared" si="46"/>
        <v>0</v>
      </c>
      <c r="L317" s="920"/>
      <c r="M317" s="729"/>
      <c r="N317" s="729"/>
      <c r="O317" s="729"/>
      <c r="P317" s="729"/>
      <c r="Q317" s="729"/>
    </row>
    <row r="318" spans="1:17" s="714" customFormat="1" ht="24" customHeight="1">
      <c r="A318" s="856" t="s">
        <v>1432</v>
      </c>
      <c r="B318" s="720" t="s">
        <v>1325</v>
      </c>
      <c r="C318" s="717"/>
      <c r="D318" s="717"/>
      <c r="E318" s="917">
        <v>2</v>
      </c>
      <c r="F318" s="722" t="s">
        <v>240</v>
      </c>
      <c r="G318" s="806">
        <v>2750</v>
      </c>
      <c r="H318" s="796">
        <f t="shared" si="44"/>
        <v>5500</v>
      </c>
      <c r="I318" s="807">
        <v>250</v>
      </c>
      <c r="J318" s="796">
        <f t="shared" si="45"/>
        <v>500</v>
      </c>
      <c r="K318" s="1030">
        <f t="shared" si="46"/>
        <v>6000</v>
      </c>
      <c r="L318" s="920"/>
      <c r="M318" s="729"/>
      <c r="N318" s="729"/>
      <c r="O318" s="729"/>
      <c r="P318" s="729"/>
      <c r="Q318" s="729"/>
    </row>
    <row r="319" spans="1:17" s="714" customFormat="1" ht="24" customHeight="1">
      <c r="A319" s="856" t="s">
        <v>1433</v>
      </c>
      <c r="B319" s="720" t="s">
        <v>1326</v>
      </c>
      <c r="C319" s="717"/>
      <c r="D319" s="717"/>
      <c r="E319" s="917">
        <v>2</v>
      </c>
      <c r="F319" s="722" t="s">
        <v>240</v>
      </c>
      <c r="G319" s="806">
        <v>2750</v>
      </c>
      <c r="H319" s="796">
        <f t="shared" si="44"/>
        <v>5500</v>
      </c>
      <c r="I319" s="807">
        <v>250</v>
      </c>
      <c r="J319" s="796">
        <f t="shared" si="45"/>
        <v>500</v>
      </c>
      <c r="K319" s="1030">
        <f t="shared" si="46"/>
        <v>6000</v>
      </c>
      <c r="L319" s="920"/>
      <c r="M319" s="729"/>
      <c r="N319" s="729"/>
      <c r="O319" s="729"/>
      <c r="P319" s="729"/>
      <c r="Q319" s="729"/>
    </row>
    <row r="320" spans="1:17" s="714" customFormat="1" ht="24" customHeight="1">
      <c r="A320" s="856" t="s">
        <v>3070</v>
      </c>
      <c r="B320" s="720" t="s">
        <v>1327</v>
      </c>
      <c r="C320" s="717"/>
      <c r="D320" s="717"/>
      <c r="E320" s="917">
        <v>2</v>
      </c>
      <c r="F320" s="722" t="s">
        <v>240</v>
      </c>
      <c r="G320" s="806">
        <v>2750</v>
      </c>
      <c r="H320" s="796">
        <f t="shared" si="44"/>
        <v>5500</v>
      </c>
      <c r="I320" s="807">
        <v>250</v>
      </c>
      <c r="J320" s="796">
        <f t="shared" si="45"/>
        <v>500</v>
      </c>
      <c r="K320" s="1030">
        <f t="shared" si="46"/>
        <v>6000</v>
      </c>
      <c r="L320" s="920"/>
      <c r="M320" s="729"/>
      <c r="N320" s="729"/>
      <c r="O320" s="729"/>
      <c r="P320" s="729"/>
      <c r="Q320" s="729"/>
    </row>
    <row r="321" spans="1:17" s="714" customFormat="1" ht="24" customHeight="1">
      <c r="A321" s="856" t="s">
        <v>3071</v>
      </c>
      <c r="B321" s="720" t="s">
        <v>1328</v>
      </c>
      <c r="C321" s="717"/>
      <c r="D321" s="717"/>
      <c r="E321" s="917">
        <v>2</v>
      </c>
      <c r="F321" s="722" t="s">
        <v>240</v>
      </c>
      <c r="G321" s="806">
        <v>2750</v>
      </c>
      <c r="H321" s="796">
        <f t="shared" si="44"/>
        <v>5500</v>
      </c>
      <c r="I321" s="807">
        <v>250</v>
      </c>
      <c r="J321" s="796">
        <f t="shared" si="45"/>
        <v>500</v>
      </c>
      <c r="K321" s="1030">
        <f t="shared" si="46"/>
        <v>6000</v>
      </c>
      <c r="L321" s="920"/>
      <c r="M321" s="729"/>
      <c r="N321" s="729"/>
      <c r="O321" s="729"/>
      <c r="P321" s="729"/>
      <c r="Q321" s="729"/>
    </row>
    <row r="322" spans="1:17" s="714" customFormat="1" ht="24" customHeight="1">
      <c r="A322" s="856" t="s">
        <v>3072</v>
      </c>
      <c r="B322" s="720" t="s">
        <v>1329</v>
      </c>
      <c r="C322" s="717"/>
      <c r="D322" s="717"/>
      <c r="E322" s="917">
        <v>11</v>
      </c>
      <c r="F322" s="722" t="s">
        <v>240</v>
      </c>
      <c r="G322" s="806">
        <v>2750</v>
      </c>
      <c r="H322" s="796">
        <f t="shared" si="44"/>
        <v>30250</v>
      </c>
      <c r="I322" s="807">
        <v>250</v>
      </c>
      <c r="J322" s="796">
        <f t="shared" si="45"/>
        <v>2750</v>
      </c>
      <c r="K322" s="1030">
        <f t="shared" si="46"/>
        <v>33000</v>
      </c>
      <c r="L322" s="920"/>
      <c r="M322" s="729"/>
      <c r="N322" s="729"/>
      <c r="O322" s="729"/>
      <c r="P322" s="729"/>
      <c r="Q322" s="729"/>
    </row>
    <row r="323" spans="1:17" s="714" customFormat="1" ht="24" customHeight="1">
      <c r="A323" s="856" t="s">
        <v>3073</v>
      </c>
      <c r="B323" s="720" t="s">
        <v>1330</v>
      </c>
      <c r="C323" s="717"/>
      <c r="D323" s="717"/>
      <c r="E323" s="917">
        <v>4</v>
      </c>
      <c r="F323" s="722" t="s">
        <v>240</v>
      </c>
      <c r="G323" s="806">
        <v>2250</v>
      </c>
      <c r="H323" s="796">
        <f t="shared" si="44"/>
        <v>9000</v>
      </c>
      <c r="I323" s="807">
        <v>250</v>
      </c>
      <c r="J323" s="796">
        <f t="shared" si="45"/>
        <v>1000</v>
      </c>
      <c r="K323" s="1030">
        <f t="shared" si="46"/>
        <v>10000</v>
      </c>
      <c r="L323" s="920"/>
      <c r="M323" s="729"/>
      <c r="N323" s="729"/>
      <c r="O323" s="729"/>
      <c r="P323" s="729"/>
      <c r="Q323" s="729"/>
    </row>
    <row r="324" spans="1:17" s="714" customFormat="1" ht="24" customHeight="1">
      <c r="A324" s="856" t="s">
        <v>3075</v>
      </c>
      <c r="B324" s="720" t="s">
        <v>1331</v>
      </c>
      <c r="C324" s="717"/>
      <c r="D324" s="717"/>
      <c r="E324" s="917">
        <v>160</v>
      </c>
      <c r="F324" s="722" t="s">
        <v>240</v>
      </c>
      <c r="G324" s="806">
        <f>3300+300</f>
        <v>3600</v>
      </c>
      <c r="H324" s="796">
        <f t="shared" si="44"/>
        <v>576000</v>
      </c>
      <c r="I324" s="807">
        <v>200</v>
      </c>
      <c r="J324" s="796">
        <f t="shared" si="45"/>
        <v>32000</v>
      </c>
      <c r="K324" s="1030">
        <f t="shared" si="46"/>
        <v>608000</v>
      </c>
      <c r="L324" s="920"/>
      <c r="M324" s="729"/>
      <c r="N324" s="729"/>
      <c r="O324" s="729"/>
      <c r="P324" s="729"/>
      <c r="Q324" s="729"/>
    </row>
    <row r="325" spans="1:17" s="714" customFormat="1" ht="24" customHeight="1">
      <c r="A325" s="856" t="s">
        <v>3076</v>
      </c>
      <c r="B325" s="720" t="s">
        <v>1332</v>
      </c>
      <c r="C325" s="717"/>
      <c r="D325" s="717"/>
      <c r="E325" s="917">
        <v>6</v>
      </c>
      <c r="F325" s="722" t="s">
        <v>240</v>
      </c>
      <c r="G325" s="806">
        <v>1350</v>
      </c>
      <c r="H325" s="796">
        <f t="shared" si="44"/>
        <v>8100</v>
      </c>
      <c r="I325" s="807">
        <v>200</v>
      </c>
      <c r="J325" s="796">
        <f t="shared" si="45"/>
        <v>1200</v>
      </c>
      <c r="K325" s="1030">
        <f t="shared" si="46"/>
        <v>9300</v>
      </c>
      <c r="L325" s="920"/>
      <c r="M325" s="729"/>
      <c r="N325" s="729"/>
      <c r="O325" s="729"/>
      <c r="P325" s="729"/>
      <c r="Q325" s="729"/>
    </row>
    <row r="326" spans="1:17" s="714" customFormat="1" ht="24" customHeight="1">
      <c r="A326" s="856" t="s">
        <v>3077</v>
      </c>
      <c r="B326" s="720" t="s">
        <v>1333</v>
      </c>
      <c r="C326" s="717"/>
      <c r="D326" s="717"/>
      <c r="E326" s="917">
        <v>8</v>
      </c>
      <c r="F326" s="722" t="s">
        <v>240</v>
      </c>
      <c r="G326" s="806">
        <v>350</v>
      </c>
      <c r="H326" s="796">
        <f t="shared" si="44"/>
        <v>2800</v>
      </c>
      <c r="I326" s="807">
        <v>200</v>
      </c>
      <c r="J326" s="796">
        <f t="shared" si="45"/>
        <v>1600</v>
      </c>
      <c r="K326" s="1030">
        <f t="shared" si="46"/>
        <v>4400</v>
      </c>
      <c r="L326" s="920"/>
      <c r="M326" s="729"/>
      <c r="N326" s="729"/>
      <c r="O326" s="729"/>
      <c r="P326" s="729"/>
      <c r="Q326" s="729"/>
    </row>
    <row r="327" spans="1:17" s="714" customFormat="1" ht="24" customHeight="1">
      <c r="A327" s="856" t="s">
        <v>3078</v>
      </c>
      <c r="B327" s="720" t="s">
        <v>1334</v>
      </c>
      <c r="C327" s="717"/>
      <c r="D327" s="717"/>
      <c r="E327" s="917">
        <v>6</v>
      </c>
      <c r="F327" s="722" t="s">
        <v>240</v>
      </c>
      <c r="G327" s="806">
        <v>2200</v>
      </c>
      <c r="H327" s="796">
        <f t="shared" si="44"/>
        <v>13200</v>
      </c>
      <c r="I327" s="807">
        <v>200</v>
      </c>
      <c r="J327" s="796">
        <f t="shared" si="45"/>
        <v>1200</v>
      </c>
      <c r="K327" s="1030">
        <f t="shared" si="46"/>
        <v>14400</v>
      </c>
      <c r="L327" s="920"/>
      <c r="M327" s="729"/>
      <c r="N327" s="729"/>
      <c r="O327" s="729"/>
      <c r="P327" s="729"/>
      <c r="Q327" s="729"/>
    </row>
    <row r="328" spans="1:17" s="714" customFormat="1" ht="24" customHeight="1">
      <c r="A328" s="856" t="s">
        <v>3079</v>
      </c>
      <c r="B328" s="720" t="s">
        <v>1335</v>
      </c>
      <c r="C328" s="717"/>
      <c r="D328" s="717"/>
      <c r="E328" s="917">
        <v>23</v>
      </c>
      <c r="F328" s="722" t="s">
        <v>240</v>
      </c>
      <c r="G328" s="806">
        <v>4200</v>
      </c>
      <c r="H328" s="796">
        <f t="shared" si="44"/>
        <v>96600</v>
      </c>
      <c r="I328" s="807">
        <v>200</v>
      </c>
      <c r="J328" s="796">
        <f t="shared" si="45"/>
        <v>4600</v>
      </c>
      <c r="K328" s="1030">
        <f t="shared" si="46"/>
        <v>101200</v>
      </c>
      <c r="L328" s="920"/>
      <c r="M328" s="729"/>
      <c r="N328" s="729"/>
      <c r="O328" s="729"/>
      <c r="P328" s="729"/>
      <c r="Q328" s="729"/>
    </row>
    <row r="329" spans="1:17" s="714" customFormat="1" ht="24" customHeight="1">
      <c r="A329" s="856" t="s">
        <v>3080</v>
      </c>
      <c r="B329" s="720" t="s">
        <v>1336</v>
      </c>
      <c r="C329" s="717"/>
      <c r="D329" s="717"/>
      <c r="E329" s="917">
        <v>2</v>
      </c>
      <c r="F329" s="722" t="s">
        <v>240</v>
      </c>
      <c r="G329" s="806">
        <v>5000</v>
      </c>
      <c r="H329" s="796">
        <f t="shared" si="44"/>
        <v>10000</v>
      </c>
      <c r="I329" s="807">
        <v>500</v>
      </c>
      <c r="J329" s="796">
        <f t="shared" si="45"/>
        <v>1000</v>
      </c>
      <c r="K329" s="1030">
        <f t="shared" si="46"/>
        <v>11000</v>
      </c>
      <c r="L329" s="920"/>
      <c r="M329" s="729"/>
      <c r="N329" s="729"/>
      <c r="O329" s="729"/>
      <c r="P329" s="729"/>
      <c r="Q329" s="729"/>
    </row>
    <row r="330" spans="1:17" s="714" customFormat="1" ht="24" customHeight="1">
      <c r="A330" s="856" t="s">
        <v>3081</v>
      </c>
      <c r="B330" s="720" t="s">
        <v>1159</v>
      </c>
      <c r="C330" s="717"/>
      <c r="D330" s="717"/>
      <c r="E330" s="917"/>
      <c r="F330" s="916"/>
      <c r="G330" s="806"/>
      <c r="H330" s="796">
        <f t="shared" si="44"/>
        <v>0</v>
      </c>
      <c r="I330" s="807"/>
      <c r="J330" s="796">
        <f t="shared" si="45"/>
        <v>0</v>
      </c>
      <c r="K330" s="1030">
        <f t="shared" si="46"/>
        <v>0</v>
      </c>
      <c r="L330" s="920"/>
      <c r="M330" s="729"/>
      <c r="N330" s="729"/>
      <c r="O330" s="729"/>
      <c r="P330" s="729"/>
      <c r="Q330" s="729"/>
    </row>
    <row r="331" spans="1:17" s="714" customFormat="1" ht="24" customHeight="1">
      <c r="A331" s="831"/>
      <c r="B331" s="720" t="s">
        <v>1337</v>
      </c>
      <c r="C331" s="717"/>
      <c r="D331" s="717"/>
      <c r="E331" s="917">
        <v>814</v>
      </c>
      <c r="F331" s="794" t="s">
        <v>438</v>
      </c>
      <c r="G331" s="806">
        <v>82</v>
      </c>
      <c r="H331" s="796">
        <f t="shared" si="44"/>
        <v>66748</v>
      </c>
      <c r="I331" s="807">
        <v>12</v>
      </c>
      <c r="J331" s="796">
        <f t="shared" si="45"/>
        <v>9768</v>
      </c>
      <c r="K331" s="966">
        <f t="shared" si="46"/>
        <v>76516</v>
      </c>
      <c r="L331" s="920"/>
      <c r="M331" s="729"/>
      <c r="N331" s="729"/>
      <c r="O331" s="729"/>
      <c r="P331" s="729"/>
      <c r="Q331" s="729"/>
    </row>
    <row r="332" spans="1:17" s="714" customFormat="1" ht="24" customHeight="1">
      <c r="A332" s="831"/>
      <c r="B332" s="720" t="s">
        <v>2920</v>
      </c>
      <c r="C332" s="717"/>
      <c r="D332" s="717"/>
      <c r="E332" s="917">
        <v>646</v>
      </c>
      <c r="F332" s="794" t="s">
        <v>438</v>
      </c>
      <c r="G332" s="806">
        <v>6</v>
      </c>
      <c r="H332" s="796">
        <f t="shared" si="44"/>
        <v>3876</v>
      </c>
      <c r="I332" s="807">
        <v>6</v>
      </c>
      <c r="J332" s="796">
        <f t="shared" si="45"/>
        <v>3876</v>
      </c>
      <c r="K332" s="966">
        <f t="shared" si="46"/>
        <v>7752</v>
      </c>
      <c r="L332" s="920"/>
      <c r="M332" s="729"/>
      <c r="N332" s="729"/>
      <c r="O332" s="729"/>
      <c r="P332" s="729"/>
      <c r="Q332" s="729"/>
    </row>
    <row r="333" spans="1:17" s="714" customFormat="1" ht="24" customHeight="1">
      <c r="A333" s="831"/>
      <c r="B333" s="720" t="s">
        <v>2921</v>
      </c>
      <c r="C333" s="717"/>
      <c r="D333" s="717"/>
      <c r="E333" s="917">
        <v>488</v>
      </c>
      <c r="F333" s="794" t="s">
        <v>438</v>
      </c>
      <c r="G333" s="806">
        <v>18</v>
      </c>
      <c r="H333" s="796">
        <f t="shared" si="44"/>
        <v>8784</v>
      </c>
      <c r="I333" s="807">
        <v>8</v>
      </c>
      <c r="J333" s="796">
        <f t="shared" si="45"/>
        <v>3904</v>
      </c>
      <c r="K333" s="966">
        <f t="shared" si="46"/>
        <v>12688</v>
      </c>
      <c r="L333" s="920"/>
      <c r="M333" s="729"/>
      <c r="N333" s="729"/>
      <c r="O333" s="729"/>
      <c r="P333" s="729"/>
      <c r="Q333" s="729"/>
    </row>
    <row r="334" spans="1:17" s="714" customFormat="1" ht="24" customHeight="1">
      <c r="A334" s="831"/>
      <c r="B334" s="720" t="s">
        <v>1338</v>
      </c>
      <c r="C334" s="717"/>
      <c r="D334" s="717"/>
      <c r="E334" s="917">
        <v>1</v>
      </c>
      <c r="F334" s="916" t="s">
        <v>948</v>
      </c>
      <c r="G334" s="806">
        <f>ROUND(SUM(H331:H333)*5%,)</f>
        <v>3970</v>
      </c>
      <c r="H334" s="796">
        <f t="shared" si="44"/>
        <v>3970</v>
      </c>
      <c r="I334" s="949">
        <f>ROUND(G334*0.3,)</f>
        <v>1191</v>
      </c>
      <c r="J334" s="796">
        <f t="shared" si="45"/>
        <v>1191</v>
      </c>
      <c r="K334" s="966">
        <f t="shared" si="46"/>
        <v>5161</v>
      </c>
      <c r="L334" s="920"/>
      <c r="M334" s="729"/>
      <c r="N334" s="729"/>
      <c r="O334" s="729"/>
      <c r="P334" s="729"/>
      <c r="Q334" s="729"/>
    </row>
    <row r="335" spans="1:17" s="714" customFormat="1" ht="24" customHeight="1">
      <c r="A335" s="856" t="s">
        <v>3082</v>
      </c>
      <c r="B335" s="720" t="s">
        <v>1357</v>
      </c>
      <c r="C335" s="717"/>
      <c r="D335" s="717"/>
      <c r="E335" s="942"/>
      <c r="F335" s="916"/>
      <c r="G335" s="806"/>
      <c r="H335" s="796"/>
      <c r="I335" s="807"/>
      <c r="J335" s="796"/>
      <c r="K335" s="914"/>
      <c r="L335" s="919"/>
      <c r="M335" s="729"/>
      <c r="N335" s="729"/>
      <c r="O335" s="729"/>
      <c r="P335" s="729"/>
    </row>
    <row r="336" spans="1:17" s="714" customFormat="1" ht="24" customHeight="1">
      <c r="A336" s="831"/>
      <c r="B336" s="720" t="s">
        <v>1201</v>
      </c>
      <c r="C336" s="717"/>
      <c r="D336" s="717"/>
      <c r="E336" s="917">
        <v>323</v>
      </c>
      <c r="F336" s="794" t="s">
        <v>438</v>
      </c>
      <c r="G336" s="806">
        <v>27</v>
      </c>
      <c r="H336" s="796">
        <f t="shared" ref="H336:H337" si="47">ROUND(E336*G336,)</f>
        <v>8721</v>
      </c>
      <c r="I336" s="807">
        <v>22</v>
      </c>
      <c r="J336" s="796">
        <f t="shared" ref="J336:J337" si="48">ROUND(E336*I336,)</f>
        <v>7106</v>
      </c>
      <c r="K336" s="1030">
        <f t="shared" ref="K336:K337" si="49">H336+J336</f>
        <v>15827</v>
      </c>
      <c r="L336" s="1718" t="s">
        <v>2974</v>
      </c>
      <c r="M336" s="729"/>
      <c r="N336" s="714">
        <v>79.8</v>
      </c>
      <c r="O336" s="714">
        <f>ROUND(N336/3,)</f>
        <v>27</v>
      </c>
      <c r="P336" s="729"/>
    </row>
    <row r="337" spans="1:17" s="714" customFormat="1" ht="24" customHeight="1">
      <c r="A337" s="831"/>
      <c r="B337" s="720" t="s">
        <v>1237</v>
      </c>
      <c r="C337" s="717"/>
      <c r="D337" s="717"/>
      <c r="E337" s="917">
        <v>1</v>
      </c>
      <c r="F337" s="916" t="s">
        <v>948</v>
      </c>
      <c r="G337" s="806">
        <f>ROUND(SUM(H336:H336)*15%,)</f>
        <v>1308</v>
      </c>
      <c r="H337" s="796">
        <f t="shared" si="47"/>
        <v>1308</v>
      </c>
      <c r="I337" s="807">
        <f>ROUND(G337*0.3,)</f>
        <v>392</v>
      </c>
      <c r="J337" s="796">
        <f t="shared" si="48"/>
        <v>392</v>
      </c>
      <c r="K337" s="914">
        <f t="shared" si="49"/>
        <v>1700</v>
      </c>
      <c r="L337" s="919"/>
      <c r="M337" s="729"/>
      <c r="N337" s="729"/>
      <c r="O337" s="729"/>
      <c r="P337" s="729"/>
    </row>
    <row r="338" spans="1:17" s="714" customFormat="1" ht="24" customHeight="1">
      <c r="A338" s="831" t="s">
        <v>3083</v>
      </c>
      <c r="B338" s="720" t="s">
        <v>950</v>
      </c>
      <c r="C338" s="717"/>
      <c r="D338" s="717"/>
      <c r="E338" s="917"/>
      <c r="F338" s="916"/>
      <c r="G338" s="806"/>
      <c r="H338" s="796">
        <f t="shared" si="44"/>
        <v>0</v>
      </c>
      <c r="I338" s="807"/>
      <c r="J338" s="796">
        <f t="shared" si="45"/>
        <v>0</v>
      </c>
      <c r="K338" s="966">
        <f t="shared" si="46"/>
        <v>0</v>
      </c>
      <c r="L338" s="920"/>
      <c r="M338" s="729"/>
      <c r="N338" s="729"/>
      <c r="O338" s="729"/>
      <c r="P338" s="729"/>
      <c r="Q338" s="729"/>
    </row>
    <row r="339" spans="1:17" s="714" customFormat="1" ht="24" customHeight="1">
      <c r="A339" s="831"/>
      <c r="B339" s="720" t="s">
        <v>1184</v>
      </c>
      <c r="C339" s="717"/>
      <c r="D339" s="717"/>
      <c r="E339" s="917">
        <v>1302</v>
      </c>
      <c r="F339" s="794" t="s">
        <v>438</v>
      </c>
      <c r="G339" s="806">
        <v>75</v>
      </c>
      <c r="H339" s="796">
        <f t="shared" si="44"/>
        <v>97650</v>
      </c>
      <c r="I339" s="807">
        <v>28</v>
      </c>
      <c r="J339" s="796">
        <f t="shared" si="45"/>
        <v>36456</v>
      </c>
      <c r="K339" s="966">
        <f t="shared" si="46"/>
        <v>134106</v>
      </c>
      <c r="L339" s="1718" t="s">
        <v>2974</v>
      </c>
      <c r="M339" s="729"/>
      <c r="N339" s="714">
        <v>225</v>
      </c>
      <c r="O339" s="714">
        <f>ROUND(N339/3,)</f>
        <v>75</v>
      </c>
      <c r="P339" s="729"/>
      <c r="Q339" s="729"/>
    </row>
    <row r="340" spans="1:17" s="714" customFormat="1" ht="24" customHeight="1">
      <c r="A340" s="831"/>
      <c r="B340" s="720" t="s">
        <v>952</v>
      </c>
      <c r="C340" s="717"/>
      <c r="D340" s="717"/>
      <c r="E340" s="917">
        <v>1</v>
      </c>
      <c r="F340" s="916" t="s">
        <v>948</v>
      </c>
      <c r="G340" s="806">
        <f>ROUND(SUM(H339:H339)*15%,)</f>
        <v>14648</v>
      </c>
      <c r="H340" s="796">
        <f t="shared" si="44"/>
        <v>14648</v>
      </c>
      <c r="I340" s="949">
        <f>ROUND(G340*0.3,)</f>
        <v>4394</v>
      </c>
      <c r="J340" s="796">
        <f t="shared" si="45"/>
        <v>4394</v>
      </c>
      <c r="K340" s="966">
        <f t="shared" si="46"/>
        <v>19042</v>
      </c>
      <c r="L340" s="920"/>
      <c r="M340" s="729"/>
      <c r="N340" s="729"/>
      <c r="O340" s="729"/>
      <c r="P340" s="729"/>
      <c r="Q340" s="729"/>
    </row>
    <row r="341" spans="1:17" s="714" customFormat="1" ht="24" customHeight="1">
      <c r="A341" s="831" t="s">
        <v>3084</v>
      </c>
      <c r="B341" s="720" t="s">
        <v>1281</v>
      </c>
      <c r="C341" s="717"/>
      <c r="D341" s="717"/>
      <c r="E341" s="917"/>
      <c r="F341" s="916"/>
      <c r="G341" s="806"/>
      <c r="H341" s="796">
        <f t="shared" si="44"/>
        <v>0</v>
      </c>
      <c r="I341" s="807"/>
      <c r="J341" s="796">
        <f t="shared" si="45"/>
        <v>0</v>
      </c>
      <c r="K341" s="966">
        <f t="shared" si="46"/>
        <v>0</v>
      </c>
      <c r="L341" s="920"/>
      <c r="M341" s="729"/>
      <c r="N341" s="729"/>
      <c r="O341" s="729"/>
      <c r="P341" s="729"/>
      <c r="Q341" s="729"/>
    </row>
    <row r="342" spans="1:17" s="714" customFormat="1" ht="24" customHeight="1">
      <c r="A342" s="831"/>
      <c r="B342" s="720" t="s">
        <v>1201</v>
      </c>
      <c r="C342" s="717"/>
      <c r="D342" s="717"/>
      <c r="E342" s="917">
        <f>E324</f>
        <v>160</v>
      </c>
      <c r="F342" s="794" t="s">
        <v>438</v>
      </c>
      <c r="G342" s="806">
        <v>14</v>
      </c>
      <c r="H342" s="796">
        <f t="shared" si="44"/>
        <v>2240</v>
      </c>
      <c r="I342" s="807">
        <v>11</v>
      </c>
      <c r="J342" s="796">
        <f t="shared" si="45"/>
        <v>1760</v>
      </c>
      <c r="K342" s="1030">
        <f t="shared" si="46"/>
        <v>4000</v>
      </c>
      <c r="L342" s="920"/>
      <c r="M342" s="729"/>
      <c r="N342" s="729"/>
      <c r="O342" s="729"/>
      <c r="P342" s="729"/>
      <c r="Q342" s="729"/>
    </row>
    <row r="343" spans="1:17" s="714" customFormat="1" ht="24" customHeight="1">
      <c r="A343" s="831"/>
      <c r="B343" s="720" t="s">
        <v>957</v>
      </c>
      <c r="C343" s="717"/>
      <c r="D343" s="717"/>
      <c r="E343" s="917"/>
      <c r="F343" s="916"/>
      <c r="G343" s="806"/>
      <c r="H343" s="918"/>
      <c r="I343" s="807"/>
      <c r="J343" s="919"/>
      <c r="K343" s="919"/>
      <c r="L343" s="920"/>
      <c r="M343" s="729"/>
      <c r="N343" s="729"/>
      <c r="O343" s="729"/>
      <c r="P343" s="729"/>
      <c r="Q343" s="729"/>
    </row>
    <row r="344" spans="1:17" s="714" customFormat="1" ht="24" customHeight="1">
      <c r="A344" s="831"/>
      <c r="B344" s="720" t="s">
        <v>1239</v>
      </c>
      <c r="C344" s="717"/>
      <c r="D344" s="717"/>
      <c r="E344" s="917"/>
      <c r="F344" s="916"/>
      <c r="G344" s="806"/>
      <c r="H344" s="918"/>
      <c r="I344" s="807"/>
      <c r="J344" s="919"/>
      <c r="K344" s="919"/>
      <c r="L344" s="920"/>
      <c r="M344" s="729"/>
      <c r="N344" s="729"/>
      <c r="O344" s="729"/>
      <c r="P344" s="729"/>
      <c r="Q344" s="729"/>
    </row>
    <row r="345" spans="1:17" s="714" customFormat="1" ht="24" customHeight="1">
      <c r="A345" s="831"/>
      <c r="B345" s="720"/>
      <c r="C345" s="717"/>
      <c r="D345" s="717"/>
      <c r="E345" s="917"/>
      <c r="F345" s="916"/>
      <c r="G345" s="806"/>
      <c r="H345" s="918"/>
      <c r="I345" s="807"/>
      <c r="J345" s="919"/>
      <c r="K345" s="919"/>
      <c r="L345" s="920"/>
      <c r="M345" s="729"/>
      <c r="N345" s="729"/>
      <c r="O345" s="729"/>
      <c r="P345" s="729"/>
      <c r="Q345" s="729"/>
    </row>
    <row r="346" spans="1:17" s="714" customFormat="1" ht="24" customHeight="1">
      <c r="A346" s="775"/>
      <c r="B346" s="2475" t="str">
        <f>"รวมราคารายการที่ "&amp;A311</f>
        <v>รวมราคารายการที่ 3.9</v>
      </c>
      <c r="C346" s="2476"/>
      <c r="D346" s="2477"/>
      <c r="E346" s="776"/>
      <c r="F346" s="777"/>
      <c r="G346" s="959"/>
      <c r="H346" s="960">
        <f>SUM(H312:H345)</f>
        <v>1107295</v>
      </c>
      <c r="I346" s="959"/>
      <c r="J346" s="960">
        <f t="shared" ref="J346:K346" si="50">SUM(J312:J345)</f>
        <v>130897</v>
      </c>
      <c r="K346" s="960">
        <f t="shared" si="50"/>
        <v>1238192</v>
      </c>
      <c r="L346" s="777"/>
      <c r="M346" s="729"/>
      <c r="N346" s="729"/>
      <c r="O346" s="729"/>
      <c r="P346" s="729"/>
      <c r="Q346" s="729"/>
    </row>
    <row r="347" spans="1:17" s="714" customFormat="1" ht="24" customHeight="1">
      <c r="A347" s="911" t="s">
        <v>1158</v>
      </c>
      <c r="B347" s="816" t="s">
        <v>1241</v>
      </c>
      <c r="C347" s="770"/>
      <c r="D347" s="770"/>
      <c r="E347" s="930"/>
      <c r="F347" s="939"/>
      <c r="G347" s="932"/>
      <c r="H347" s="933"/>
      <c r="I347" s="934"/>
      <c r="J347" s="935"/>
      <c r="K347" s="935"/>
      <c r="L347" s="936"/>
      <c r="M347" s="729"/>
      <c r="N347" s="729"/>
      <c r="O347" s="729"/>
      <c r="P347" s="729"/>
      <c r="Q347" s="729"/>
    </row>
    <row r="348" spans="1:17" s="714" customFormat="1" ht="24" customHeight="1">
      <c r="A348" s="831" t="s">
        <v>1160</v>
      </c>
      <c r="B348" s="720" t="s">
        <v>1423</v>
      </c>
      <c r="C348" s="717"/>
      <c r="D348" s="717"/>
      <c r="E348" s="917"/>
      <c r="F348" s="722" t="s">
        <v>240</v>
      </c>
      <c r="G348" s="806">
        <v>200</v>
      </c>
      <c r="H348" s="796">
        <f t="shared" ref="H348" si="51">ROUND(E348*G348,)</f>
        <v>0</v>
      </c>
      <c r="I348" s="807">
        <v>90</v>
      </c>
      <c r="J348" s="796">
        <f t="shared" ref="J348" si="52">ROUND(E348*I348,)</f>
        <v>0</v>
      </c>
      <c r="K348" s="914">
        <f t="shared" ref="K348" si="53">H348+J348</f>
        <v>0</v>
      </c>
      <c r="L348" s="920"/>
      <c r="M348" s="729"/>
      <c r="N348" s="729"/>
      <c r="O348" s="729"/>
      <c r="P348" s="729"/>
      <c r="Q348" s="729"/>
    </row>
    <row r="349" spans="1:17" s="714" customFormat="1" ht="24" customHeight="1">
      <c r="A349" s="831" t="s">
        <v>1362</v>
      </c>
      <c r="B349" s="720" t="s">
        <v>1485</v>
      </c>
      <c r="C349" s="717"/>
      <c r="D349" s="717"/>
      <c r="E349" s="917"/>
      <c r="F349" s="940"/>
      <c r="G349" s="806"/>
      <c r="H349" s="796"/>
      <c r="I349" s="807"/>
      <c r="J349" s="796"/>
      <c r="K349" s="914"/>
      <c r="L349" s="920"/>
      <c r="M349" s="729"/>
      <c r="N349" s="729"/>
      <c r="O349" s="729"/>
      <c r="P349" s="729"/>
      <c r="Q349" s="729"/>
    </row>
    <row r="350" spans="1:17" s="714" customFormat="1" ht="24" customHeight="1">
      <c r="A350" s="831"/>
      <c r="B350" s="720" t="s">
        <v>1244</v>
      </c>
      <c r="C350" s="717"/>
      <c r="D350" s="717"/>
      <c r="E350" s="917">
        <v>2</v>
      </c>
      <c r="F350" s="940" t="s">
        <v>240</v>
      </c>
      <c r="G350" s="806">
        <v>27500</v>
      </c>
      <c r="H350" s="796">
        <f t="shared" ref="H350:H354" si="54">ROUND(E350*G350,)</f>
        <v>55000</v>
      </c>
      <c r="I350" s="807">
        <f>CEILING(G350*0.3,100)</f>
        <v>8300</v>
      </c>
      <c r="J350" s="796">
        <f t="shared" ref="J350:J352" si="55">ROUND(E350*I350,)</f>
        <v>16600</v>
      </c>
      <c r="K350" s="1030">
        <f t="shared" ref="K350:K366" si="56">H350+J350</f>
        <v>71600</v>
      </c>
      <c r="L350" s="920"/>
      <c r="M350" s="729"/>
      <c r="N350" s="729"/>
      <c r="O350" s="729"/>
      <c r="P350" s="729"/>
      <c r="Q350" s="729"/>
    </row>
    <row r="351" spans="1:17" s="714" customFormat="1" ht="24" customHeight="1">
      <c r="A351" s="831"/>
      <c r="B351" s="720" t="s">
        <v>1245</v>
      </c>
      <c r="C351" s="717"/>
      <c r="D351" s="717"/>
      <c r="E351" s="917">
        <v>2</v>
      </c>
      <c r="F351" s="940" t="s">
        <v>240</v>
      </c>
      <c r="G351" s="806">
        <v>3000</v>
      </c>
      <c r="H351" s="796">
        <f t="shared" si="54"/>
        <v>6000</v>
      </c>
      <c r="I351" s="807"/>
      <c r="J351" s="796">
        <f t="shared" si="55"/>
        <v>0</v>
      </c>
      <c r="K351" s="1030">
        <f t="shared" si="56"/>
        <v>6000</v>
      </c>
      <c r="L351" s="920"/>
      <c r="M351" s="729"/>
      <c r="N351" s="729"/>
      <c r="O351" s="729"/>
      <c r="P351" s="729"/>
      <c r="Q351" s="729"/>
    </row>
    <row r="352" spans="1:17" s="714" customFormat="1" ht="24" customHeight="1">
      <c r="A352" s="831"/>
      <c r="B352" s="720" t="s">
        <v>1425</v>
      </c>
      <c r="C352" s="717"/>
      <c r="D352" s="717"/>
      <c r="E352" s="917">
        <v>2</v>
      </c>
      <c r="F352" s="940" t="s">
        <v>240</v>
      </c>
      <c r="G352" s="806">
        <v>5700</v>
      </c>
      <c r="H352" s="796">
        <f t="shared" si="54"/>
        <v>11400</v>
      </c>
      <c r="I352" s="807"/>
      <c r="J352" s="796">
        <f t="shared" si="55"/>
        <v>0</v>
      </c>
      <c r="K352" s="1030">
        <f t="shared" si="56"/>
        <v>11400</v>
      </c>
      <c r="L352" s="920"/>
      <c r="M352" s="729"/>
      <c r="N352" s="729"/>
      <c r="O352" s="729"/>
      <c r="P352" s="729"/>
      <c r="Q352" s="729"/>
    </row>
    <row r="353" spans="1:17" s="714" customFormat="1" ht="24" customHeight="1">
      <c r="A353" s="831"/>
      <c r="B353" s="720" t="s">
        <v>1246</v>
      </c>
      <c r="C353" s="717"/>
      <c r="D353" s="717"/>
      <c r="E353" s="917">
        <f>E350*24</f>
        <v>48</v>
      </c>
      <c r="F353" s="940" t="s">
        <v>240</v>
      </c>
      <c r="G353" s="806">
        <v>255</v>
      </c>
      <c r="H353" s="796">
        <f t="shared" si="54"/>
        <v>12240</v>
      </c>
      <c r="I353" s="807"/>
      <c r="J353" s="796"/>
      <c r="K353" s="1030">
        <f t="shared" si="56"/>
        <v>12240</v>
      </c>
      <c r="L353" s="920"/>
      <c r="M353" s="729"/>
      <c r="N353" s="729"/>
      <c r="O353" s="729"/>
      <c r="P353" s="729"/>
      <c r="Q353" s="729"/>
    </row>
    <row r="354" spans="1:17" s="714" customFormat="1" ht="24" customHeight="1">
      <c r="A354" s="831"/>
      <c r="B354" s="720" t="s">
        <v>1426</v>
      </c>
      <c r="C354" s="717"/>
      <c r="D354" s="717"/>
      <c r="E354" s="917">
        <f>E351*24</f>
        <v>48</v>
      </c>
      <c r="F354" s="940" t="s">
        <v>240</v>
      </c>
      <c r="G354" s="806">
        <v>190</v>
      </c>
      <c r="H354" s="796">
        <f t="shared" si="54"/>
        <v>9120</v>
      </c>
      <c r="I354" s="807"/>
      <c r="J354" s="796"/>
      <c r="K354" s="1030">
        <f t="shared" si="56"/>
        <v>9120</v>
      </c>
      <c r="L354" s="920"/>
      <c r="M354" s="729"/>
      <c r="N354" s="729"/>
      <c r="O354" s="729"/>
      <c r="P354" s="729"/>
      <c r="Q354" s="729"/>
    </row>
    <row r="355" spans="1:17" s="714" customFormat="1" ht="24" customHeight="1">
      <c r="A355" s="831" t="s">
        <v>1366</v>
      </c>
      <c r="B355" s="720" t="s">
        <v>1248</v>
      </c>
      <c r="C355" s="717"/>
      <c r="D355" s="717"/>
      <c r="E355" s="917"/>
      <c r="F355" s="941"/>
      <c r="G355" s="806"/>
      <c r="H355" s="918"/>
      <c r="I355" s="807"/>
      <c r="J355" s="919"/>
      <c r="K355" s="1030">
        <f t="shared" si="56"/>
        <v>0</v>
      </c>
      <c r="L355" s="920"/>
      <c r="M355" s="729"/>
      <c r="N355" s="729"/>
      <c r="O355" s="729"/>
      <c r="P355" s="729"/>
      <c r="Q355" s="729"/>
    </row>
    <row r="356" spans="1:17" s="714" customFormat="1" ht="24" customHeight="1">
      <c r="A356" s="831" t="s">
        <v>3099</v>
      </c>
      <c r="B356" s="720" t="s">
        <v>1378</v>
      </c>
      <c r="C356" s="717"/>
      <c r="D356" s="717"/>
      <c r="E356" s="917"/>
      <c r="F356" s="941"/>
      <c r="G356" s="806"/>
      <c r="H356" s="918"/>
      <c r="I356" s="807"/>
      <c r="J356" s="919"/>
      <c r="K356" s="1030">
        <f t="shared" si="56"/>
        <v>0</v>
      </c>
      <c r="L356" s="920"/>
      <c r="M356" s="729"/>
      <c r="N356" s="729"/>
      <c r="O356" s="729"/>
      <c r="P356" s="729"/>
      <c r="Q356" s="729"/>
    </row>
    <row r="357" spans="1:17" s="714" customFormat="1" ht="24" customHeight="1">
      <c r="A357" s="831"/>
      <c r="B357" s="720" t="s">
        <v>1385</v>
      </c>
      <c r="C357" s="717"/>
      <c r="D357" s="717"/>
      <c r="E357" s="917">
        <f>E348*50</f>
        <v>0</v>
      </c>
      <c r="F357" s="794" t="s">
        <v>438</v>
      </c>
      <c r="G357" s="806">
        <v>24</v>
      </c>
      <c r="H357" s="796">
        <f t="shared" ref="H357" si="57">ROUND(G357*E357,)</f>
        <v>0</v>
      </c>
      <c r="I357" s="807">
        <v>5</v>
      </c>
      <c r="J357" s="796">
        <f t="shared" ref="J357:J358" si="58">ROUND(E357*I357,)</f>
        <v>0</v>
      </c>
      <c r="K357" s="1030">
        <f t="shared" si="56"/>
        <v>0</v>
      </c>
      <c r="L357" s="920"/>
      <c r="M357" s="729"/>
      <c r="N357" s="729"/>
      <c r="O357" s="729"/>
      <c r="P357" s="729"/>
      <c r="Q357" s="729"/>
    </row>
    <row r="358" spans="1:17" s="714" customFormat="1" ht="24" customHeight="1">
      <c r="A358" s="831"/>
      <c r="B358" s="720" t="s">
        <v>1338</v>
      </c>
      <c r="C358" s="717"/>
      <c r="D358" s="717"/>
      <c r="E358" s="917">
        <v>1</v>
      </c>
      <c r="F358" s="916" t="s">
        <v>948</v>
      </c>
      <c r="G358" s="806">
        <f>SUM(H356:H357)*5%</f>
        <v>0</v>
      </c>
      <c r="H358" s="796">
        <f t="shared" ref="H358" si="59">ROUND(E358*G358,)</f>
        <v>0</v>
      </c>
      <c r="I358" s="807">
        <f>G358*0.3</f>
        <v>0</v>
      </c>
      <c r="J358" s="796">
        <f t="shared" si="58"/>
        <v>0</v>
      </c>
      <c r="K358" s="966">
        <f t="shared" si="56"/>
        <v>0</v>
      </c>
      <c r="L358" s="920"/>
      <c r="M358" s="729"/>
      <c r="N358" s="729"/>
      <c r="O358" s="729"/>
      <c r="P358" s="729"/>
      <c r="Q358" s="729"/>
    </row>
    <row r="359" spans="1:17" s="714" customFormat="1" ht="24" customHeight="1">
      <c r="A359" s="831"/>
      <c r="B359" s="720"/>
      <c r="C359" s="717"/>
      <c r="D359" s="717"/>
      <c r="E359" s="917"/>
      <c r="F359" s="941"/>
      <c r="G359" s="806"/>
      <c r="H359" s="796"/>
      <c r="I359" s="807"/>
      <c r="J359" s="914"/>
      <c r="K359" s="966"/>
      <c r="L359" s="920"/>
      <c r="M359" s="729"/>
      <c r="N359" s="729"/>
      <c r="O359" s="729"/>
      <c r="P359" s="729"/>
      <c r="Q359" s="729"/>
    </row>
    <row r="360" spans="1:17" s="714" customFormat="1" ht="24" customHeight="1">
      <c r="A360" s="831" t="s">
        <v>3024</v>
      </c>
      <c r="B360" s="720" t="s">
        <v>1357</v>
      </c>
      <c r="C360" s="717"/>
      <c r="D360" s="717"/>
      <c r="E360" s="917"/>
      <c r="F360" s="941"/>
      <c r="G360" s="806"/>
      <c r="H360" s="918"/>
      <c r="I360" s="807"/>
      <c r="J360" s="919"/>
      <c r="K360" s="966">
        <f t="shared" si="56"/>
        <v>0</v>
      </c>
      <c r="L360" s="920"/>
      <c r="M360" s="729"/>
      <c r="N360" s="729"/>
      <c r="O360" s="729"/>
      <c r="P360" s="729"/>
      <c r="Q360" s="729"/>
    </row>
    <row r="361" spans="1:17" s="714" customFormat="1" ht="24" customHeight="1">
      <c r="A361" s="831"/>
      <c r="B361" s="720" t="s">
        <v>1201</v>
      </c>
      <c r="C361" s="717"/>
      <c r="D361" s="717"/>
      <c r="E361" s="917">
        <f>E357-E364</f>
        <v>0</v>
      </c>
      <c r="F361" s="794" t="s">
        <v>438</v>
      </c>
      <c r="G361" s="806">
        <v>27</v>
      </c>
      <c r="H361" s="796">
        <f t="shared" ref="H361:H362" si="60">ROUND(G361*E361,)</f>
        <v>0</v>
      </c>
      <c r="I361" s="807">
        <v>22</v>
      </c>
      <c r="J361" s="796">
        <f t="shared" ref="J361:J362" si="61">ROUND(E361*I361,)</f>
        <v>0</v>
      </c>
      <c r="K361" s="966">
        <f t="shared" si="56"/>
        <v>0</v>
      </c>
      <c r="L361" s="1718" t="s">
        <v>2974</v>
      </c>
      <c r="M361" s="729"/>
      <c r="N361" s="714">
        <v>79.8</v>
      </c>
      <c r="O361" s="714">
        <f>ROUND(N361/3,)</f>
        <v>27</v>
      </c>
      <c r="P361" s="729"/>
      <c r="Q361" s="729"/>
    </row>
    <row r="362" spans="1:17" s="714" customFormat="1" ht="24" customHeight="1">
      <c r="A362" s="831"/>
      <c r="B362" s="720" t="s">
        <v>1237</v>
      </c>
      <c r="C362" s="717"/>
      <c r="D362" s="717"/>
      <c r="E362" s="917">
        <v>1</v>
      </c>
      <c r="F362" s="941" t="s">
        <v>948</v>
      </c>
      <c r="G362" s="806">
        <f>SUM(H361:H361)*15%</f>
        <v>0</v>
      </c>
      <c r="H362" s="796">
        <f t="shared" si="60"/>
        <v>0</v>
      </c>
      <c r="I362" s="807">
        <f>G362*0.3</f>
        <v>0</v>
      </c>
      <c r="J362" s="796">
        <f t="shared" si="61"/>
        <v>0</v>
      </c>
      <c r="K362" s="966">
        <f t="shared" si="56"/>
        <v>0</v>
      </c>
      <c r="L362" s="920"/>
      <c r="M362" s="729"/>
      <c r="N362" s="729"/>
      <c r="O362" s="729"/>
      <c r="P362" s="729"/>
      <c r="Q362" s="729"/>
    </row>
    <row r="363" spans="1:17" s="714" customFormat="1" ht="24" customHeight="1">
      <c r="A363" s="831" t="s">
        <v>1369</v>
      </c>
      <c r="B363" s="720" t="s">
        <v>950</v>
      </c>
      <c r="C363" s="717"/>
      <c r="D363" s="717"/>
      <c r="E363" s="917"/>
      <c r="F363" s="941"/>
      <c r="G363" s="806"/>
      <c r="H363" s="918"/>
      <c r="I363" s="807"/>
      <c r="J363" s="919"/>
      <c r="K363" s="966">
        <f t="shared" si="56"/>
        <v>0</v>
      </c>
      <c r="L363" s="920"/>
      <c r="M363" s="729"/>
      <c r="N363" s="729"/>
      <c r="O363" s="729"/>
      <c r="P363" s="729"/>
      <c r="Q363" s="729"/>
    </row>
    <row r="364" spans="1:17" s="714" customFormat="1" ht="24" customHeight="1">
      <c r="A364" s="831"/>
      <c r="B364" s="720" t="s">
        <v>1201</v>
      </c>
      <c r="C364" s="717"/>
      <c r="D364" s="717"/>
      <c r="E364" s="917">
        <f>E348*3</f>
        <v>0</v>
      </c>
      <c r="F364" s="794" t="s">
        <v>438</v>
      </c>
      <c r="G364" s="806">
        <v>56</v>
      </c>
      <c r="H364" s="796">
        <f t="shared" ref="H364:H365" si="62">ROUND(G364*E364,)</f>
        <v>0</v>
      </c>
      <c r="I364" s="807">
        <v>26</v>
      </c>
      <c r="J364" s="796">
        <f t="shared" ref="J364:J365" si="63">ROUND(E364*I364,)</f>
        <v>0</v>
      </c>
      <c r="K364" s="1030">
        <f t="shared" si="56"/>
        <v>0</v>
      </c>
      <c r="L364" s="1718" t="s">
        <v>2974</v>
      </c>
      <c r="M364" s="729"/>
      <c r="N364" s="714">
        <v>169.2</v>
      </c>
      <c r="O364" s="714">
        <f>ROUND(N364/3,)</f>
        <v>56</v>
      </c>
      <c r="P364" s="729"/>
      <c r="Q364" s="729"/>
    </row>
    <row r="365" spans="1:17" s="714" customFormat="1" ht="24" customHeight="1">
      <c r="A365" s="831"/>
      <c r="B365" s="720" t="s">
        <v>1237</v>
      </c>
      <c r="C365" s="717"/>
      <c r="D365" s="717"/>
      <c r="E365" s="917">
        <v>1</v>
      </c>
      <c r="F365" s="941" t="s">
        <v>948</v>
      </c>
      <c r="G365" s="806">
        <f>SUM(H364:H364)*15%</f>
        <v>0</v>
      </c>
      <c r="H365" s="796">
        <f t="shared" si="62"/>
        <v>0</v>
      </c>
      <c r="I365" s="807">
        <f>G365*0.3</f>
        <v>0</v>
      </c>
      <c r="J365" s="914">
        <f t="shared" si="63"/>
        <v>0</v>
      </c>
      <c r="K365" s="966">
        <f t="shared" si="56"/>
        <v>0</v>
      </c>
      <c r="L365" s="920"/>
      <c r="M365" s="729"/>
      <c r="N365" s="729"/>
      <c r="O365" s="729"/>
      <c r="P365" s="729"/>
      <c r="Q365" s="729"/>
    </row>
    <row r="366" spans="1:17" s="714" customFormat="1" ht="24" customHeight="1">
      <c r="A366" s="831"/>
      <c r="B366" s="720" t="s">
        <v>957</v>
      </c>
      <c r="C366" s="717"/>
      <c r="D366" s="717"/>
      <c r="E366" s="917"/>
      <c r="F366" s="941"/>
      <c r="G366" s="806"/>
      <c r="H366" s="918"/>
      <c r="I366" s="807"/>
      <c r="J366" s="919"/>
      <c r="K366" s="966">
        <f t="shared" si="56"/>
        <v>0</v>
      </c>
      <c r="L366" s="920"/>
      <c r="M366" s="729"/>
      <c r="N366" s="729"/>
      <c r="O366" s="729"/>
      <c r="P366" s="729"/>
      <c r="Q366" s="729"/>
    </row>
    <row r="367" spans="1:17" s="714" customFormat="1" ht="24" customHeight="1">
      <c r="A367" s="831"/>
      <c r="B367" s="720"/>
      <c r="C367" s="717"/>
      <c r="D367" s="717"/>
      <c r="E367" s="917"/>
      <c r="F367" s="794"/>
      <c r="G367" s="806"/>
      <c r="H367" s="796"/>
      <c r="I367" s="807"/>
      <c r="J367" s="796"/>
      <c r="K367" s="966"/>
      <c r="L367" s="1718"/>
      <c r="M367" s="729"/>
      <c r="N367" s="729"/>
      <c r="O367" s="729"/>
      <c r="P367" s="729"/>
      <c r="Q367" s="729"/>
    </row>
    <row r="368" spans="1:17" s="714" customFormat="1" ht="24" customHeight="1">
      <c r="A368" s="831"/>
      <c r="B368" s="720"/>
      <c r="C368" s="717"/>
      <c r="D368" s="717"/>
      <c r="E368" s="917"/>
      <c r="F368" s="941"/>
      <c r="G368" s="806"/>
      <c r="H368" s="796"/>
      <c r="I368" s="807"/>
      <c r="J368" s="796"/>
      <c r="K368" s="966"/>
      <c r="L368" s="920"/>
      <c r="M368" s="729"/>
      <c r="N368" s="729"/>
      <c r="O368" s="729"/>
      <c r="P368" s="729"/>
      <c r="Q368" s="729"/>
    </row>
    <row r="369" spans="1:17" s="714" customFormat="1" ht="24" customHeight="1">
      <c r="A369" s="831"/>
      <c r="B369" s="720"/>
      <c r="C369" s="717"/>
      <c r="D369" s="717"/>
      <c r="E369" s="917"/>
      <c r="F369" s="941"/>
      <c r="G369" s="806"/>
      <c r="H369" s="918"/>
      <c r="I369" s="807"/>
      <c r="J369" s="919"/>
      <c r="K369" s="966"/>
      <c r="L369" s="920"/>
      <c r="M369" s="729"/>
      <c r="N369" s="729"/>
      <c r="O369" s="729"/>
      <c r="P369" s="729"/>
      <c r="Q369" s="729"/>
    </row>
    <row r="370" spans="1:17" s="714" customFormat="1" ht="24" customHeight="1">
      <c r="A370" s="775"/>
      <c r="B370" s="2475" t="str">
        <f>"รวมราคารายการที่ "&amp;A347</f>
        <v>รวมราคารายการที่ 3.10</v>
      </c>
      <c r="C370" s="2476"/>
      <c r="D370" s="2477"/>
      <c r="E370" s="776"/>
      <c r="F370" s="777"/>
      <c r="G370" s="959"/>
      <c r="H370" s="960">
        <f>SUM(H348:H366)</f>
        <v>93760</v>
      </c>
      <c r="I370" s="959"/>
      <c r="J370" s="960">
        <f t="shared" ref="J370:K370" si="64">SUM(J348:J366)</f>
        <v>16600</v>
      </c>
      <c r="K370" s="960">
        <f t="shared" si="64"/>
        <v>110360</v>
      </c>
      <c r="L370" s="777"/>
      <c r="M370" s="729"/>
      <c r="N370" s="729"/>
      <c r="O370" s="729"/>
      <c r="P370" s="729"/>
      <c r="Q370" s="729"/>
    </row>
    <row r="371" spans="1:17" s="714" customFormat="1" ht="24" customHeight="1">
      <c r="A371" s="911" t="s">
        <v>1180</v>
      </c>
      <c r="B371" s="816" t="s">
        <v>1257</v>
      </c>
      <c r="C371" s="770"/>
      <c r="D371" s="770"/>
      <c r="E371" s="930"/>
      <c r="F371" s="939"/>
      <c r="G371" s="932"/>
      <c r="H371" s="933"/>
      <c r="I371" s="934"/>
      <c r="J371" s="935"/>
      <c r="K371" s="935"/>
      <c r="L371" s="936"/>
      <c r="M371" s="729"/>
      <c r="N371" s="729"/>
      <c r="O371" s="729"/>
      <c r="P371" s="729"/>
      <c r="Q371" s="729"/>
    </row>
    <row r="372" spans="1:17" s="714" customFormat="1" ht="24" customHeight="1">
      <c r="A372" s="856" t="s">
        <v>1082</v>
      </c>
      <c r="B372" s="720" t="s">
        <v>1341</v>
      </c>
      <c r="C372" s="717"/>
      <c r="D372" s="717"/>
      <c r="E372" s="917">
        <v>130</v>
      </c>
      <c r="F372" s="722" t="s">
        <v>240</v>
      </c>
      <c r="G372" s="806">
        <v>900</v>
      </c>
      <c r="H372" s="796">
        <f t="shared" ref="H372:H383" si="65">ROUND(G372*E372,)</f>
        <v>117000</v>
      </c>
      <c r="I372" s="807">
        <v>140</v>
      </c>
      <c r="J372" s="796">
        <f t="shared" ref="J372:J383" si="66">ROUND(E372*I372,)</f>
        <v>18200</v>
      </c>
      <c r="K372" s="1030">
        <f t="shared" ref="K372:K383" si="67">H372+J372</f>
        <v>135200</v>
      </c>
      <c r="L372" s="920"/>
      <c r="M372" s="729"/>
      <c r="N372" s="729"/>
      <c r="O372" s="729"/>
      <c r="P372" s="729"/>
      <c r="Q372" s="729"/>
    </row>
    <row r="373" spans="1:17" s="714" customFormat="1" ht="24" customHeight="1">
      <c r="A373" s="856" t="s">
        <v>1377</v>
      </c>
      <c r="B373" s="720" t="s">
        <v>1343</v>
      </c>
      <c r="C373" s="717"/>
      <c r="D373" s="717"/>
      <c r="E373" s="917">
        <v>2</v>
      </c>
      <c r="F373" s="722" t="s">
        <v>240</v>
      </c>
      <c r="G373" s="806">
        <v>3800</v>
      </c>
      <c r="H373" s="796">
        <f t="shared" si="65"/>
        <v>7600</v>
      </c>
      <c r="I373" s="807">
        <v>200</v>
      </c>
      <c r="J373" s="796">
        <f t="shared" si="66"/>
        <v>400</v>
      </c>
      <c r="K373" s="1030">
        <f t="shared" si="67"/>
        <v>8000</v>
      </c>
      <c r="L373" s="920"/>
      <c r="M373" s="729"/>
      <c r="N373" s="729"/>
      <c r="O373" s="729"/>
      <c r="P373" s="729"/>
      <c r="Q373" s="729"/>
    </row>
    <row r="374" spans="1:17" s="714" customFormat="1" ht="24" customHeight="1">
      <c r="A374" s="856" t="s">
        <v>1380</v>
      </c>
      <c r="B374" s="720" t="s">
        <v>1344</v>
      </c>
      <c r="C374" s="717"/>
      <c r="D374" s="717"/>
      <c r="E374" s="917">
        <v>2</v>
      </c>
      <c r="F374" s="722" t="s">
        <v>240</v>
      </c>
      <c r="G374" s="806">
        <v>5000</v>
      </c>
      <c r="H374" s="796">
        <f t="shared" si="65"/>
        <v>10000</v>
      </c>
      <c r="I374" s="807">
        <f>G374*0.1</f>
        <v>500</v>
      </c>
      <c r="J374" s="796">
        <f t="shared" si="66"/>
        <v>1000</v>
      </c>
      <c r="K374" s="1030">
        <f t="shared" si="67"/>
        <v>11000</v>
      </c>
      <c r="L374" s="920"/>
      <c r="M374" s="729"/>
      <c r="N374" s="729"/>
      <c r="O374" s="729"/>
      <c r="P374" s="729"/>
      <c r="Q374" s="729"/>
    </row>
    <row r="375" spans="1:17" s="714" customFormat="1" ht="24" customHeight="1">
      <c r="A375" s="856" t="s">
        <v>1210</v>
      </c>
      <c r="B375" s="720" t="s">
        <v>1159</v>
      </c>
      <c r="C375" s="717"/>
      <c r="D375" s="717"/>
      <c r="E375" s="917"/>
      <c r="F375" s="916"/>
      <c r="G375" s="806"/>
      <c r="H375" s="796">
        <f t="shared" si="65"/>
        <v>0</v>
      </c>
      <c r="I375" s="807"/>
      <c r="J375" s="796">
        <f t="shared" si="66"/>
        <v>0</v>
      </c>
      <c r="K375" s="1030">
        <f t="shared" si="67"/>
        <v>0</v>
      </c>
      <c r="L375" s="920"/>
      <c r="M375" s="729"/>
      <c r="N375" s="729"/>
      <c r="O375" s="729"/>
      <c r="P375" s="729"/>
      <c r="Q375" s="729"/>
    </row>
    <row r="376" spans="1:17" s="714" customFormat="1" ht="24" customHeight="1">
      <c r="A376" s="831"/>
      <c r="B376" s="800" t="s">
        <v>1430</v>
      </c>
      <c r="C376" s="757"/>
      <c r="D376" s="757"/>
      <c r="E376" s="917">
        <f>E372*30</f>
        <v>3900</v>
      </c>
      <c r="F376" s="794" t="s">
        <v>438</v>
      </c>
      <c r="G376" s="806">
        <v>32</v>
      </c>
      <c r="H376" s="796">
        <f t="shared" si="65"/>
        <v>124800</v>
      </c>
      <c r="I376" s="807">
        <v>11</v>
      </c>
      <c r="J376" s="796">
        <f t="shared" si="66"/>
        <v>42900</v>
      </c>
      <c r="K376" s="1030">
        <f t="shared" si="67"/>
        <v>167700</v>
      </c>
      <c r="L376" s="1718" t="s">
        <v>2974</v>
      </c>
      <c r="M376" s="729"/>
      <c r="N376" s="714">
        <v>3183</v>
      </c>
      <c r="O376" s="714">
        <f>ROUND(N376/100,)</f>
        <v>32</v>
      </c>
      <c r="P376" s="729"/>
      <c r="Q376" s="729"/>
    </row>
    <row r="377" spans="1:17" s="714" customFormat="1" ht="24" customHeight="1">
      <c r="A377" s="831"/>
      <c r="B377" s="800" t="s">
        <v>1431</v>
      </c>
      <c r="C377" s="757"/>
      <c r="D377" s="757"/>
      <c r="E377" s="917">
        <f>E372*10</f>
        <v>1300</v>
      </c>
      <c r="F377" s="794" t="s">
        <v>438</v>
      </c>
      <c r="G377" s="806">
        <v>40</v>
      </c>
      <c r="H377" s="796">
        <f t="shared" si="65"/>
        <v>52000</v>
      </c>
      <c r="I377" s="807">
        <v>12</v>
      </c>
      <c r="J377" s="796">
        <f t="shared" si="66"/>
        <v>15600</v>
      </c>
      <c r="K377" s="1030">
        <f t="shared" si="67"/>
        <v>67600</v>
      </c>
      <c r="L377" s="1718" t="s">
        <v>2974</v>
      </c>
      <c r="M377" s="729"/>
      <c r="N377" s="714">
        <v>4039</v>
      </c>
      <c r="O377" s="714">
        <f>ROUND(N377/100,)</f>
        <v>40</v>
      </c>
      <c r="P377" s="729"/>
      <c r="Q377" s="729"/>
    </row>
    <row r="378" spans="1:17" s="714" customFormat="1" ht="24" customHeight="1">
      <c r="A378" s="831"/>
      <c r="B378" s="720" t="s">
        <v>1338</v>
      </c>
      <c r="C378" s="717"/>
      <c r="D378" s="717"/>
      <c r="E378" s="917">
        <v>1</v>
      </c>
      <c r="F378" s="916" t="s">
        <v>948</v>
      </c>
      <c r="G378" s="806">
        <f>SUM(H376:H377)*5%</f>
        <v>8840</v>
      </c>
      <c r="H378" s="796">
        <f t="shared" ref="H378" si="68">ROUND(E378*G378,)</f>
        <v>8840</v>
      </c>
      <c r="I378" s="807">
        <f>G378*0.3</f>
        <v>2652</v>
      </c>
      <c r="J378" s="796">
        <f t="shared" si="66"/>
        <v>2652</v>
      </c>
      <c r="K378" s="1030">
        <f t="shared" si="67"/>
        <v>11492</v>
      </c>
      <c r="L378" s="920"/>
      <c r="M378" s="729"/>
      <c r="N378" s="729"/>
      <c r="O378" s="729"/>
      <c r="P378" s="729"/>
      <c r="Q378" s="729"/>
    </row>
    <row r="379" spans="1:17" s="714" customFormat="1" ht="24" customHeight="1">
      <c r="A379" s="856" t="s">
        <v>1212</v>
      </c>
      <c r="B379" s="720" t="s">
        <v>1357</v>
      </c>
      <c r="C379" s="717"/>
      <c r="D379" s="717"/>
      <c r="E379" s="917"/>
      <c r="F379" s="916"/>
      <c r="G379" s="806"/>
      <c r="H379" s="796">
        <f t="shared" si="65"/>
        <v>0</v>
      </c>
      <c r="I379" s="807"/>
      <c r="J379" s="796">
        <f t="shared" si="66"/>
        <v>0</v>
      </c>
      <c r="K379" s="1030">
        <f t="shared" si="67"/>
        <v>0</v>
      </c>
      <c r="L379" s="920"/>
      <c r="M379" s="729"/>
      <c r="N379" s="729"/>
      <c r="O379" s="729"/>
      <c r="P379" s="729"/>
      <c r="Q379" s="729"/>
    </row>
    <row r="380" spans="1:17" s="714" customFormat="1" ht="24" customHeight="1">
      <c r="A380" s="831"/>
      <c r="B380" s="720" t="s">
        <v>1201</v>
      </c>
      <c r="C380" s="717"/>
      <c r="D380" s="717"/>
      <c r="E380" s="917">
        <f>SUM(E376:E377)</f>
        <v>5200</v>
      </c>
      <c r="F380" s="794" t="s">
        <v>438</v>
      </c>
      <c r="G380" s="806">
        <v>27</v>
      </c>
      <c r="H380" s="796">
        <f t="shared" si="65"/>
        <v>140400</v>
      </c>
      <c r="I380" s="807">
        <v>22</v>
      </c>
      <c r="J380" s="796">
        <f t="shared" si="66"/>
        <v>114400</v>
      </c>
      <c r="K380" s="1030">
        <f t="shared" si="67"/>
        <v>254800</v>
      </c>
      <c r="L380" s="1718" t="s">
        <v>2974</v>
      </c>
      <c r="M380" s="729"/>
      <c r="N380" s="714">
        <v>79.8</v>
      </c>
      <c r="O380" s="714">
        <f>ROUND(N380/3,)</f>
        <v>27</v>
      </c>
      <c r="P380" s="729"/>
      <c r="Q380" s="729"/>
    </row>
    <row r="381" spans="1:17" s="714" customFormat="1" ht="24" customHeight="1">
      <c r="A381" s="831"/>
      <c r="B381" s="720" t="s">
        <v>1237</v>
      </c>
      <c r="C381" s="717"/>
      <c r="D381" s="717"/>
      <c r="E381" s="917">
        <v>1</v>
      </c>
      <c r="F381" s="941" t="s">
        <v>948</v>
      </c>
      <c r="G381" s="806">
        <f>SUM(H380:H380)*15%</f>
        <v>21060</v>
      </c>
      <c r="H381" s="796">
        <f t="shared" si="65"/>
        <v>21060</v>
      </c>
      <c r="I381" s="807">
        <f>G381*0.3</f>
        <v>6318</v>
      </c>
      <c r="J381" s="796">
        <f t="shared" si="66"/>
        <v>6318</v>
      </c>
      <c r="K381" s="1030">
        <f t="shared" si="67"/>
        <v>27378</v>
      </c>
      <c r="L381" s="920"/>
      <c r="M381" s="729"/>
      <c r="N381" s="729"/>
      <c r="O381" s="729"/>
      <c r="P381" s="729"/>
      <c r="Q381" s="729"/>
    </row>
    <row r="382" spans="1:17" s="714" customFormat="1" ht="24" customHeight="1">
      <c r="A382" s="831" t="s">
        <v>1214</v>
      </c>
      <c r="B382" s="720" t="s">
        <v>1281</v>
      </c>
      <c r="C382" s="717"/>
      <c r="D382" s="717"/>
      <c r="E382" s="917"/>
      <c r="F382" s="916"/>
      <c r="G382" s="806"/>
      <c r="H382" s="796">
        <f t="shared" si="65"/>
        <v>0</v>
      </c>
      <c r="I382" s="807"/>
      <c r="J382" s="796">
        <f t="shared" si="66"/>
        <v>0</v>
      </c>
      <c r="K382" s="1030">
        <f t="shared" si="67"/>
        <v>0</v>
      </c>
      <c r="L382" s="920"/>
      <c r="M382" s="729"/>
      <c r="N382" s="729"/>
      <c r="O382" s="729"/>
      <c r="P382" s="729"/>
      <c r="Q382" s="729"/>
    </row>
    <row r="383" spans="1:17" s="714" customFormat="1" ht="24" customHeight="1">
      <c r="A383" s="831"/>
      <c r="B383" s="720" t="s">
        <v>1201</v>
      </c>
      <c r="C383" s="717"/>
      <c r="D383" s="717"/>
      <c r="E383" s="917">
        <f>E372</f>
        <v>130</v>
      </c>
      <c r="F383" s="794" t="s">
        <v>438</v>
      </c>
      <c r="G383" s="806">
        <v>14</v>
      </c>
      <c r="H383" s="796">
        <f t="shared" si="65"/>
        <v>1820</v>
      </c>
      <c r="I383" s="807">
        <v>11</v>
      </c>
      <c r="J383" s="796">
        <f t="shared" si="66"/>
        <v>1430</v>
      </c>
      <c r="K383" s="1030">
        <f t="shared" si="67"/>
        <v>3250</v>
      </c>
      <c r="L383" s="920"/>
      <c r="M383" s="729"/>
      <c r="N383" s="729"/>
      <c r="O383" s="729"/>
      <c r="P383" s="729"/>
      <c r="Q383" s="729"/>
    </row>
    <row r="384" spans="1:17" s="714" customFormat="1" ht="24" customHeight="1">
      <c r="A384" s="831"/>
      <c r="B384" s="720" t="s">
        <v>957</v>
      </c>
      <c r="C384" s="717"/>
      <c r="D384" s="717"/>
      <c r="E384" s="917"/>
      <c r="F384" s="916"/>
      <c r="G384" s="806"/>
      <c r="H384" s="918"/>
      <c r="I384" s="807"/>
      <c r="J384" s="919"/>
      <c r="K384" s="919"/>
      <c r="L384" s="920"/>
      <c r="M384" s="729"/>
      <c r="N384" s="729"/>
      <c r="O384" s="729"/>
      <c r="P384" s="729"/>
      <c r="Q384" s="729"/>
    </row>
    <row r="385" spans="1:21" s="714" customFormat="1" ht="24" customHeight="1">
      <c r="A385" s="775"/>
      <c r="B385" s="2475" t="str">
        <f>"รวมราคารายการที่ "&amp;A371</f>
        <v>รวมราคารายการที่ 3.11</v>
      </c>
      <c r="C385" s="2476"/>
      <c r="D385" s="2477"/>
      <c r="E385" s="776"/>
      <c r="F385" s="777"/>
      <c r="G385" s="959"/>
      <c r="H385" s="960">
        <f>SUM(H372:H384)</f>
        <v>483520</v>
      </c>
      <c r="I385" s="959"/>
      <c r="J385" s="960">
        <f t="shared" ref="J385:K385" si="69">SUM(J372:J384)</f>
        <v>202900</v>
      </c>
      <c r="K385" s="960">
        <f t="shared" si="69"/>
        <v>686420</v>
      </c>
      <c r="L385" s="777"/>
      <c r="M385" s="729"/>
      <c r="N385" s="729"/>
      <c r="O385" s="729"/>
      <c r="P385" s="729"/>
      <c r="Q385" s="729"/>
    </row>
    <row r="386" spans="1:21" s="714" customFormat="1" ht="24" customHeight="1">
      <c r="A386" s="911" t="s">
        <v>1196</v>
      </c>
      <c r="B386" s="816" t="s">
        <v>1347</v>
      </c>
      <c r="C386" s="770"/>
      <c r="D386" s="770"/>
      <c r="E386" s="930"/>
      <c r="F386" s="931"/>
      <c r="G386" s="932"/>
      <c r="H386" s="933"/>
      <c r="I386" s="934"/>
      <c r="J386" s="935"/>
      <c r="K386" s="935"/>
      <c r="L386" s="936"/>
      <c r="M386" s="729"/>
      <c r="N386" s="729"/>
      <c r="O386" s="729"/>
      <c r="P386" s="729"/>
      <c r="Q386" s="729"/>
    </row>
    <row r="387" spans="1:21" s="714" customFormat="1" ht="24" customHeight="1">
      <c r="A387" s="992" t="s">
        <v>1198</v>
      </c>
      <c r="B387" s="720" t="s">
        <v>3028</v>
      </c>
      <c r="C387" s="706"/>
      <c r="D387" s="990"/>
      <c r="E387" s="721"/>
      <c r="F387" s="722"/>
      <c r="G387" s="1402"/>
      <c r="H387" s="914"/>
      <c r="I387" s="807"/>
      <c r="J387" s="796"/>
      <c r="K387" s="1014"/>
      <c r="L387" s="1024"/>
      <c r="M387" s="729"/>
      <c r="N387" s="729"/>
      <c r="O387" s="729"/>
      <c r="P387" s="729"/>
      <c r="Q387" s="729"/>
      <c r="R387" s="729"/>
      <c r="S387" s="729"/>
      <c r="T387" s="729"/>
      <c r="U387" s="729"/>
    </row>
    <row r="388" spans="1:21" s="714" customFormat="1" ht="24" customHeight="1">
      <c r="A388" s="992"/>
      <c r="B388" s="720" t="s">
        <v>3022</v>
      </c>
      <c r="C388" s="706"/>
      <c r="D388" s="716"/>
      <c r="E388" s="1136">
        <v>2</v>
      </c>
      <c r="F388" s="722" t="s">
        <v>240</v>
      </c>
      <c r="G388" s="994">
        <v>28700</v>
      </c>
      <c r="H388" s="864">
        <f>ROUND(E388*G388,)</f>
        <v>57400</v>
      </c>
      <c r="I388" s="865">
        <f>G388*0.01</f>
        <v>287</v>
      </c>
      <c r="J388" s="864">
        <f>ROUND(I388*E388,)</f>
        <v>574</v>
      </c>
      <c r="K388" s="966">
        <f>H388+J388</f>
        <v>57974</v>
      </c>
      <c r="L388" s="1024"/>
      <c r="M388" s="729"/>
      <c r="N388" s="729"/>
      <c r="O388" s="729"/>
      <c r="P388" s="729"/>
      <c r="Q388" s="729"/>
      <c r="R388" s="729"/>
      <c r="S388" s="729"/>
      <c r="T388" s="729"/>
      <c r="U388" s="729"/>
    </row>
    <row r="389" spans="1:21" s="714" customFormat="1" ht="24" customHeight="1">
      <c r="A389" s="992"/>
      <c r="B389" s="720" t="s">
        <v>1616</v>
      </c>
      <c r="C389" s="706"/>
      <c r="D389" s="716"/>
      <c r="E389" s="1136">
        <v>2</v>
      </c>
      <c r="F389" s="722" t="s">
        <v>240</v>
      </c>
      <c r="G389" s="994">
        <v>25000</v>
      </c>
      <c r="H389" s="867">
        <f>ROUND(E389*G389,)</f>
        <v>50000</v>
      </c>
      <c r="I389" s="865">
        <f>ROUND(G389*0.01,)</f>
        <v>250</v>
      </c>
      <c r="J389" s="864">
        <f>ROUND(I389*E389,)</f>
        <v>500</v>
      </c>
      <c r="K389" s="966">
        <f>H389+J389</f>
        <v>50500</v>
      </c>
      <c r="L389" s="1024"/>
      <c r="M389" s="729"/>
      <c r="N389" s="729"/>
      <c r="O389" s="729"/>
      <c r="P389" s="729"/>
      <c r="Q389" s="729"/>
      <c r="R389" s="729"/>
      <c r="S389" s="729"/>
      <c r="T389" s="729"/>
      <c r="U389" s="729"/>
    </row>
    <row r="390" spans="1:21" s="714" customFormat="1" ht="24" customHeight="1">
      <c r="A390" s="993"/>
      <c r="B390" s="720" t="s">
        <v>1375</v>
      </c>
      <c r="C390" s="706"/>
      <c r="D390" s="716"/>
      <c r="E390" s="1136">
        <v>48</v>
      </c>
      <c r="F390" s="722" t="s">
        <v>240</v>
      </c>
      <c r="G390" s="994">
        <v>400</v>
      </c>
      <c r="H390" s="867">
        <f>ROUND(E390*G390,)</f>
        <v>19200</v>
      </c>
      <c r="I390" s="807">
        <f>ROUND(G390*0.01,)</f>
        <v>4</v>
      </c>
      <c r="J390" s="796">
        <f>ROUND(I390*E390,)</f>
        <v>192</v>
      </c>
      <c r="K390" s="966">
        <f>H390+J390</f>
        <v>19392</v>
      </c>
      <c r="L390" s="1024"/>
      <c r="M390" s="729"/>
      <c r="N390" s="729"/>
      <c r="O390" s="729"/>
      <c r="P390" s="729"/>
      <c r="Q390" s="729"/>
      <c r="R390" s="729"/>
      <c r="S390" s="729"/>
      <c r="T390" s="729"/>
      <c r="U390" s="729"/>
    </row>
    <row r="391" spans="1:21" s="714" customFormat="1" ht="24" customHeight="1">
      <c r="A391" s="993"/>
      <c r="B391" s="720" t="s">
        <v>3023</v>
      </c>
      <c r="C391" s="706"/>
      <c r="D391" s="716"/>
      <c r="E391" s="1136"/>
      <c r="F391" s="722" t="s">
        <v>240</v>
      </c>
      <c r="G391" s="994"/>
      <c r="H391" s="914"/>
      <c r="I391" s="865"/>
      <c r="J391" s="864"/>
      <c r="K391" s="966"/>
      <c r="L391" s="1024"/>
      <c r="M391" s="729"/>
      <c r="N391" s="729"/>
      <c r="O391" s="729"/>
      <c r="P391" s="729"/>
      <c r="Q391" s="729"/>
      <c r="R391" s="729"/>
      <c r="S391" s="729"/>
      <c r="T391" s="729"/>
      <c r="U391" s="729"/>
    </row>
    <row r="392" spans="1:21" s="714" customFormat="1" ht="24" customHeight="1">
      <c r="A392" s="1138"/>
      <c r="B392" s="720" t="s">
        <v>1618</v>
      </c>
      <c r="C392" s="706"/>
      <c r="D392" s="716"/>
      <c r="E392" s="1136"/>
      <c r="F392" s="722" t="s">
        <v>240</v>
      </c>
      <c r="G392" s="994"/>
      <c r="H392" s="914"/>
      <c r="I392" s="865"/>
      <c r="J392" s="864"/>
      <c r="K392" s="966"/>
      <c r="L392" s="1023"/>
      <c r="M392" s="729"/>
      <c r="N392" s="729"/>
      <c r="O392" s="729"/>
      <c r="P392" s="729"/>
      <c r="Q392" s="729"/>
      <c r="R392" s="729"/>
      <c r="S392" s="729"/>
      <c r="T392" s="729"/>
      <c r="U392" s="729"/>
    </row>
    <row r="393" spans="1:21" s="714" customFormat="1" ht="24" customHeight="1">
      <c r="A393" s="1138"/>
      <c r="B393" s="720"/>
      <c r="C393" s="706"/>
      <c r="D393" s="716"/>
      <c r="E393" s="1136"/>
      <c r="F393" s="722"/>
      <c r="G393" s="994"/>
      <c r="H393" s="914"/>
      <c r="I393" s="807"/>
      <c r="J393" s="796"/>
      <c r="K393" s="966"/>
      <c r="L393" s="1023"/>
      <c r="M393" s="729"/>
      <c r="N393" s="729"/>
      <c r="O393" s="729"/>
      <c r="P393" s="729"/>
      <c r="Q393" s="729"/>
      <c r="R393" s="729"/>
      <c r="S393" s="729"/>
      <c r="T393" s="729"/>
      <c r="U393" s="729"/>
    </row>
    <row r="394" spans="1:21" s="714" customFormat="1" ht="24" customHeight="1">
      <c r="A394" s="1138"/>
      <c r="B394" s="720"/>
      <c r="C394" s="706"/>
      <c r="D394" s="716"/>
      <c r="E394" s="1136"/>
      <c r="F394" s="722"/>
      <c r="G394" s="994"/>
      <c r="H394" s="914"/>
      <c r="I394" s="865"/>
      <c r="J394" s="864"/>
      <c r="K394" s="966"/>
      <c r="L394" s="1023"/>
      <c r="M394" s="729"/>
      <c r="N394" s="729"/>
      <c r="O394" s="729"/>
      <c r="P394" s="729"/>
      <c r="Q394" s="729"/>
      <c r="R394" s="729"/>
      <c r="S394" s="729"/>
      <c r="T394" s="729"/>
      <c r="U394" s="729"/>
    </row>
    <row r="395" spans="1:21" s="714" customFormat="1" ht="24" customHeight="1">
      <c r="A395" s="856" t="s">
        <v>1200</v>
      </c>
      <c r="B395" s="720" t="s">
        <v>1348</v>
      </c>
      <c r="C395" s="717"/>
      <c r="D395" s="717"/>
      <c r="E395" s="917"/>
      <c r="F395" s="916"/>
      <c r="G395" s="1402"/>
      <c r="H395" s="919"/>
      <c r="I395" s="865"/>
      <c r="J395" s="864"/>
      <c r="K395" s="966"/>
      <c r="L395" s="920"/>
      <c r="M395" s="729"/>
      <c r="N395" s="729"/>
      <c r="O395" s="729"/>
      <c r="P395" s="729"/>
      <c r="Q395" s="729"/>
    </row>
    <row r="396" spans="1:21" s="714" customFormat="1" ht="24" customHeight="1">
      <c r="A396" s="831"/>
      <c r="B396" s="720" t="s">
        <v>1487</v>
      </c>
      <c r="C396" s="717"/>
      <c r="D396" s="717"/>
      <c r="E396" s="917">
        <v>2</v>
      </c>
      <c r="F396" s="722" t="s">
        <v>240</v>
      </c>
      <c r="G396" s="1402">
        <f>(28000+6600+14500)*0.95</f>
        <v>46645</v>
      </c>
      <c r="H396" s="919">
        <f t="shared" ref="H396:H401" si="70">ROUND(E396*G396,)</f>
        <v>93290</v>
      </c>
      <c r="I396" s="807">
        <v>5000</v>
      </c>
      <c r="J396" s="796">
        <f>ROUND(E396*I396,)</f>
        <v>10000</v>
      </c>
      <c r="K396" s="966">
        <f t="shared" ref="K396:K407" si="71">H396+J396</f>
        <v>103290</v>
      </c>
      <c r="L396" s="920"/>
      <c r="M396" s="729"/>
      <c r="N396" s="729"/>
      <c r="O396" s="729"/>
      <c r="P396" s="729"/>
      <c r="Q396" s="729"/>
    </row>
    <row r="397" spans="1:21" s="714" customFormat="1" ht="24" customHeight="1">
      <c r="A397" s="831"/>
      <c r="B397" s="720" t="s">
        <v>1350</v>
      </c>
      <c r="C397" s="717"/>
      <c r="D397" s="717"/>
      <c r="E397" s="917">
        <v>2</v>
      </c>
      <c r="F397" s="722" t="s">
        <v>240</v>
      </c>
      <c r="G397" s="1402">
        <f>22500*0.95</f>
        <v>21375</v>
      </c>
      <c r="H397" s="919">
        <f t="shared" si="70"/>
        <v>42750</v>
      </c>
      <c r="I397" s="865" t="s">
        <v>1351</v>
      </c>
      <c r="J397" s="864"/>
      <c r="K397" s="966">
        <f t="shared" si="71"/>
        <v>42750</v>
      </c>
      <c r="L397" s="920"/>
      <c r="M397" s="729"/>
      <c r="N397" s="729"/>
      <c r="O397" s="729"/>
      <c r="P397" s="729"/>
      <c r="Q397" s="729"/>
    </row>
    <row r="398" spans="1:21" s="714" customFormat="1" ht="24" customHeight="1">
      <c r="A398" s="831"/>
      <c r="B398" s="720" t="s">
        <v>1352</v>
      </c>
      <c r="C398" s="717"/>
      <c r="D398" s="717"/>
      <c r="E398" s="917">
        <v>4</v>
      </c>
      <c r="F398" s="722" t="s">
        <v>240</v>
      </c>
      <c r="G398" s="1402">
        <f>9500*0.95</f>
        <v>9025</v>
      </c>
      <c r="H398" s="919">
        <f t="shared" si="70"/>
        <v>36100</v>
      </c>
      <c r="I398" s="865" t="s">
        <v>1351</v>
      </c>
      <c r="J398" s="864"/>
      <c r="K398" s="966">
        <f t="shared" si="71"/>
        <v>36100</v>
      </c>
      <c r="L398" s="920"/>
      <c r="M398" s="729"/>
      <c r="N398" s="729"/>
      <c r="O398" s="729"/>
      <c r="P398" s="729"/>
      <c r="Q398" s="729"/>
    </row>
    <row r="399" spans="1:21" s="714" customFormat="1" ht="24" customHeight="1">
      <c r="A399" s="831"/>
      <c r="B399" s="720" t="s">
        <v>1353</v>
      </c>
      <c r="C399" s="717"/>
      <c r="D399" s="717"/>
      <c r="E399" s="917">
        <v>2</v>
      </c>
      <c r="F399" s="722" t="s">
        <v>240</v>
      </c>
      <c r="G399" s="1402">
        <f>2100*0.95</f>
        <v>1995</v>
      </c>
      <c r="H399" s="919">
        <f t="shared" si="70"/>
        <v>3990</v>
      </c>
      <c r="I399" s="807" t="s">
        <v>1351</v>
      </c>
      <c r="J399" s="796"/>
      <c r="K399" s="966">
        <f t="shared" si="71"/>
        <v>3990</v>
      </c>
      <c r="L399" s="920"/>
      <c r="M399" s="729"/>
      <c r="N399" s="729"/>
      <c r="O399" s="729"/>
      <c r="P399" s="729"/>
      <c r="Q399" s="729"/>
    </row>
    <row r="400" spans="1:21" s="714" customFormat="1" ht="24" customHeight="1">
      <c r="A400" s="831"/>
      <c r="B400" s="720" t="s">
        <v>1354</v>
      </c>
      <c r="C400" s="717"/>
      <c r="D400" s="717"/>
      <c r="E400" s="917">
        <v>2</v>
      </c>
      <c r="F400" s="722" t="s">
        <v>240</v>
      </c>
      <c r="G400" s="1402">
        <f>ROUND(450*0.95,)</f>
        <v>428</v>
      </c>
      <c r="H400" s="919">
        <f t="shared" si="70"/>
        <v>856</v>
      </c>
      <c r="I400" s="807" t="s">
        <v>1351</v>
      </c>
      <c r="J400" s="919"/>
      <c r="K400" s="966">
        <f t="shared" si="71"/>
        <v>856</v>
      </c>
      <c r="L400" s="920"/>
      <c r="M400" s="729"/>
      <c r="N400" s="729"/>
      <c r="O400" s="729"/>
      <c r="P400" s="729"/>
      <c r="Q400" s="729"/>
    </row>
    <row r="401" spans="1:21" s="714" customFormat="1" ht="24" customHeight="1">
      <c r="A401" s="831"/>
      <c r="B401" s="720" t="s">
        <v>1355</v>
      </c>
      <c r="C401" s="717"/>
      <c r="D401" s="717"/>
      <c r="E401" s="917">
        <v>2</v>
      </c>
      <c r="F401" s="722" t="s">
        <v>240</v>
      </c>
      <c r="G401" s="1402">
        <f>ROUND(850*0.95,)</f>
        <v>808</v>
      </c>
      <c r="H401" s="919">
        <f t="shared" si="70"/>
        <v>1616</v>
      </c>
      <c r="I401" s="807" t="s">
        <v>1351</v>
      </c>
      <c r="J401" s="919"/>
      <c r="K401" s="966">
        <f t="shared" si="71"/>
        <v>1616</v>
      </c>
      <c r="L401" s="920"/>
      <c r="M401" s="729"/>
      <c r="N401" s="729"/>
      <c r="O401" s="729"/>
      <c r="P401" s="729"/>
      <c r="Q401" s="729"/>
    </row>
    <row r="402" spans="1:21" s="714" customFormat="1" ht="24" customHeight="1">
      <c r="A402" s="856" t="s">
        <v>1440</v>
      </c>
      <c r="B402" s="720" t="s">
        <v>1159</v>
      </c>
      <c r="C402" s="717"/>
      <c r="D402" s="717"/>
      <c r="E402" s="917"/>
      <c r="F402" s="916"/>
      <c r="G402" s="806"/>
      <c r="H402" s="918"/>
      <c r="I402" s="807"/>
      <c r="J402" s="919"/>
      <c r="K402" s="966">
        <f t="shared" si="71"/>
        <v>0</v>
      </c>
      <c r="L402" s="920"/>
      <c r="M402" s="729"/>
      <c r="N402" s="729"/>
      <c r="O402" s="729"/>
      <c r="P402" s="729"/>
      <c r="Q402" s="729"/>
    </row>
    <row r="403" spans="1:21" s="714" customFormat="1" ht="24" customHeight="1">
      <c r="A403" s="831"/>
      <c r="B403" s="720" t="s">
        <v>1356</v>
      </c>
      <c r="C403" s="717"/>
      <c r="D403" s="717"/>
      <c r="E403" s="917">
        <f>E396*30</f>
        <v>60</v>
      </c>
      <c r="F403" s="794" t="s">
        <v>438</v>
      </c>
      <c r="G403" s="806">
        <v>37</v>
      </c>
      <c r="H403" s="918">
        <f>ROUND(E403*G403,)</f>
        <v>2220</v>
      </c>
      <c r="I403" s="807">
        <v>5</v>
      </c>
      <c r="J403" s="919">
        <f>ROUND(E403*I403,)</f>
        <v>300</v>
      </c>
      <c r="K403" s="1030">
        <f t="shared" si="71"/>
        <v>2520</v>
      </c>
      <c r="L403" s="920"/>
      <c r="M403" s="729"/>
      <c r="N403" s="729"/>
      <c r="O403" s="729"/>
      <c r="P403" s="729"/>
      <c r="Q403" s="729"/>
    </row>
    <row r="404" spans="1:21" s="714" customFormat="1" ht="24" customHeight="1">
      <c r="A404" s="831"/>
      <c r="B404" s="720" t="s">
        <v>1338</v>
      </c>
      <c r="C404" s="717"/>
      <c r="D404" s="717"/>
      <c r="E404" s="917">
        <v>1</v>
      </c>
      <c r="F404" s="916" t="s">
        <v>948</v>
      </c>
      <c r="G404" s="806">
        <f>SUM(H403)*5%</f>
        <v>111</v>
      </c>
      <c r="H404" s="796">
        <f t="shared" ref="H404" si="72">ROUND(E404*G404,)</f>
        <v>111</v>
      </c>
      <c r="I404" s="949">
        <f>ROUND(G404*0.3,)</f>
        <v>33</v>
      </c>
      <c r="J404" s="796">
        <f t="shared" ref="J404" si="73">ROUND(E404*I404,)</f>
        <v>33</v>
      </c>
      <c r="K404" s="1030">
        <f t="shared" si="71"/>
        <v>144</v>
      </c>
      <c r="L404" s="920"/>
      <c r="M404" s="729"/>
      <c r="N404" s="729"/>
      <c r="O404" s="729"/>
      <c r="P404" s="729"/>
      <c r="Q404" s="729"/>
    </row>
    <row r="405" spans="1:21" s="714" customFormat="1" ht="24" customHeight="1">
      <c r="A405" s="856" t="s">
        <v>2984</v>
      </c>
      <c r="B405" s="720" t="s">
        <v>1357</v>
      </c>
      <c r="C405" s="717"/>
      <c r="D405" s="717"/>
      <c r="E405" s="917"/>
      <c r="F405" s="916"/>
      <c r="G405" s="806"/>
      <c r="H405" s="918"/>
      <c r="I405" s="807"/>
      <c r="J405" s="919"/>
      <c r="K405" s="1030">
        <f t="shared" si="71"/>
        <v>0</v>
      </c>
      <c r="L405" s="920"/>
      <c r="M405" s="729"/>
      <c r="N405" s="729"/>
      <c r="O405" s="729"/>
      <c r="P405" s="729"/>
      <c r="Q405" s="729"/>
    </row>
    <row r="406" spans="1:21" s="714" customFormat="1" ht="24" customHeight="1">
      <c r="A406" s="831"/>
      <c r="B406" s="720" t="s">
        <v>1201</v>
      </c>
      <c r="C406" s="717"/>
      <c r="D406" s="717"/>
      <c r="E406" s="917">
        <f>E403</f>
        <v>60</v>
      </c>
      <c r="F406" s="794" t="s">
        <v>438</v>
      </c>
      <c r="G406" s="806">
        <v>27</v>
      </c>
      <c r="H406" s="796">
        <f t="shared" ref="H406:H407" si="74">ROUND(G406*E406,)</f>
        <v>1620</v>
      </c>
      <c r="I406" s="807">
        <v>22</v>
      </c>
      <c r="J406" s="796">
        <f>ROUND(E406*I406,)</f>
        <v>1320</v>
      </c>
      <c r="K406" s="1030">
        <f t="shared" si="71"/>
        <v>2940</v>
      </c>
      <c r="L406" s="1718" t="s">
        <v>2974</v>
      </c>
      <c r="M406" s="729"/>
      <c r="N406" s="714">
        <v>79.8</v>
      </c>
      <c r="O406" s="714">
        <f>ROUND(N406/3,)</f>
        <v>27</v>
      </c>
      <c r="P406" s="729"/>
      <c r="Q406" s="729"/>
    </row>
    <row r="407" spans="1:21" s="714" customFormat="1" ht="24" customHeight="1">
      <c r="A407" s="831"/>
      <c r="B407" s="720" t="s">
        <v>1237</v>
      </c>
      <c r="C407" s="717"/>
      <c r="D407" s="717"/>
      <c r="E407" s="917">
        <v>1</v>
      </c>
      <c r="F407" s="916" t="s">
        <v>948</v>
      </c>
      <c r="G407" s="806">
        <f>H406*15%</f>
        <v>243</v>
      </c>
      <c r="H407" s="796">
        <f t="shared" si="74"/>
        <v>243</v>
      </c>
      <c r="I407" s="807">
        <f>G407*0.3</f>
        <v>72.899999999999991</v>
      </c>
      <c r="J407" s="796">
        <f t="shared" ref="J407" si="75">ROUND(E407*I407,)</f>
        <v>73</v>
      </c>
      <c r="K407" s="1030">
        <f t="shared" si="71"/>
        <v>316</v>
      </c>
      <c r="L407" s="920"/>
      <c r="M407" s="729"/>
      <c r="N407" s="729"/>
      <c r="O407" s="729"/>
      <c r="P407" s="729"/>
      <c r="Q407" s="729"/>
    </row>
    <row r="408" spans="1:21" s="714" customFormat="1" ht="24" customHeight="1">
      <c r="A408" s="775"/>
      <c r="B408" s="2475" t="str">
        <f>"รวมราคารายการที่ "&amp;A386</f>
        <v>รวมราคารายการที่ 3.12</v>
      </c>
      <c r="C408" s="2476"/>
      <c r="D408" s="2477"/>
      <c r="E408" s="776"/>
      <c r="F408" s="777"/>
      <c r="G408" s="959"/>
      <c r="H408" s="960">
        <f>SUM(H386:H407)</f>
        <v>309396</v>
      </c>
      <c r="I408" s="959"/>
      <c r="J408" s="960">
        <f>SUM(J386:J407)</f>
        <v>12992</v>
      </c>
      <c r="K408" s="960">
        <f>SUM(K386:K407)</f>
        <v>322388</v>
      </c>
      <c r="L408" s="777"/>
    </row>
    <row r="409" spans="1:21" s="714" customFormat="1" ht="21.3">
      <c r="A409" s="899" t="s">
        <v>1202</v>
      </c>
      <c r="B409" s="900" t="s">
        <v>1358</v>
      </c>
      <c r="C409" s="943"/>
      <c r="D409" s="943"/>
      <c r="E409" s="944"/>
      <c r="F409" s="978"/>
      <c r="G409" s="774"/>
      <c r="H409" s="773"/>
      <c r="I409" s="946"/>
      <c r="J409" s="947"/>
      <c r="K409" s="947"/>
      <c r="L409" s="947"/>
    </row>
    <row r="410" spans="1:21" s="714" customFormat="1" ht="24" customHeight="1">
      <c r="A410" s="992" t="s">
        <v>1204</v>
      </c>
      <c r="B410" s="720" t="s">
        <v>3028</v>
      </c>
      <c r="C410" s="706"/>
      <c r="D410" s="990"/>
      <c r="E410" s="721"/>
      <c r="F410" s="722"/>
      <c r="G410" s="1402"/>
      <c r="H410" s="914"/>
      <c r="I410" s="807"/>
      <c r="J410" s="796"/>
      <c r="K410" s="797"/>
      <c r="L410" s="830"/>
      <c r="M410" s="729"/>
      <c r="N410" s="729"/>
      <c r="O410" s="729"/>
      <c r="P410" s="729"/>
      <c r="Q410" s="729"/>
      <c r="R410" s="729"/>
      <c r="S410" s="729"/>
      <c r="T410" s="729"/>
      <c r="U410" s="729"/>
    </row>
    <row r="411" spans="1:21" s="714" customFormat="1" ht="24" customHeight="1">
      <c r="A411" s="992"/>
      <c r="B411" s="720" t="s">
        <v>3022</v>
      </c>
      <c r="C411" s="706"/>
      <c r="D411" s="990"/>
      <c r="E411" s="721">
        <v>2</v>
      </c>
      <c r="F411" s="722" t="s">
        <v>240</v>
      </c>
      <c r="G411" s="994">
        <v>28700</v>
      </c>
      <c r="H411" s="864">
        <f>ROUND(E411*G411,)</f>
        <v>57400</v>
      </c>
      <c r="I411" s="865">
        <f>G411*0.01</f>
        <v>287</v>
      </c>
      <c r="J411" s="864">
        <f>ROUND(I411*E411,)</f>
        <v>574</v>
      </c>
      <c r="K411" s="865">
        <f>H411+J411</f>
        <v>57974</v>
      </c>
      <c r="L411" s="830"/>
      <c r="M411" s="729"/>
      <c r="N411" s="729"/>
      <c r="O411" s="729"/>
      <c r="P411" s="729"/>
      <c r="Q411" s="729"/>
      <c r="R411" s="729"/>
      <c r="S411" s="729"/>
      <c r="T411" s="729"/>
      <c r="U411" s="729"/>
    </row>
    <row r="412" spans="1:21" s="714" customFormat="1" ht="24" customHeight="1">
      <c r="A412" s="992"/>
      <c r="B412" s="720" t="s">
        <v>1616</v>
      </c>
      <c r="C412" s="706"/>
      <c r="D412" s="990"/>
      <c r="E412" s="721">
        <v>2</v>
      </c>
      <c r="F412" s="722" t="s">
        <v>240</v>
      </c>
      <c r="G412" s="994">
        <v>25000</v>
      </c>
      <c r="H412" s="864">
        <f>ROUND(E412*G412,)</f>
        <v>50000</v>
      </c>
      <c r="I412" s="865">
        <f>ROUND(G412*0.01,)</f>
        <v>250</v>
      </c>
      <c r="J412" s="864">
        <f>ROUND(I412*E412,)</f>
        <v>500</v>
      </c>
      <c r="K412" s="865">
        <f>H412+J412</f>
        <v>50500</v>
      </c>
      <c r="L412" s="830"/>
      <c r="M412" s="729"/>
      <c r="N412" s="729"/>
      <c r="O412" s="729"/>
      <c r="P412" s="729"/>
      <c r="Q412" s="729"/>
      <c r="R412" s="729"/>
      <c r="S412" s="729"/>
      <c r="T412" s="729"/>
      <c r="U412" s="729"/>
    </row>
    <row r="413" spans="1:21" s="714" customFormat="1" ht="24" customHeight="1">
      <c r="A413" s="993"/>
      <c r="B413" s="720" t="s">
        <v>1375</v>
      </c>
      <c r="C413" s="706"/>
      <c r="D413" s="990"/>
      <c r="E413" s="721">
        <v>48</v>
      </c>
      <c r="F413" s="722" t="s">
        <v>240</v>
      </c>
      <c r="G413" s="994">
        <v>400</v>
      </c>
      <c r="H413" s="864">
        <f>ROUND(E413*G413,)</f>
        <v>19200</v>
      </c>
      <c r="I413" s="865">
        <f>ROUND(G413*0.01,)</f>
        <v>4</v>
      </c>
      <c r="J413" s="864">
        <f>ROUND(I413*E413,)</f>
        <v>192</v>
      </c>
      <c r="K413" s="865">
        <f>H413+J413</f>
        <v>19392</v>
      </c>
      <c r="L413" s="830"/>
      <c r="M413" s="729"/>
      <c r="N413" s="729"/>
      <c r="O413" s="729"/>
      <c r="P413" s="729"/>
      <c r="Q413" s="729"/>
      <c r="R413" s="729"/>
      <c r="S413" s="729"/>
      <c r="T413" s="729"/>
      <c r="U413" s="729"/>
    </row>
    <row r="414" spans="1:21" s="714" customFormat="1" ht="24" customHeight="1">
      <c r="A414" s="993"/>
      <c r="B414" s="720" t="s">
        <v>3023</v>
      </c>
      <c r="C414" s="706"/>
      <c r="D414" s="990"/>
      <c r="E414" s="721"/>
      <c r="F414" s="722" t="s">
        <v>240</v>
      </c>
      <c r="G414" s="994"/>
      <c r="H414" s="914"/>
      <c r="I414" s="797"/>
      <c r="J414" s="796"/>
      <c r="K414" s="797"/>
      <c r="L414" s="830"/>
      <c r="M414" s="729"/>
      <c r="N414" s="729"/>
      <c r="O414" s="729"/>
      <c r="P414" s="729"/>
      <c r="Q414" s="729"/>
      <c r="R414" s="729"/>
      <c r="S414" s="729"/>
      <c r="T414" s="729"/>
      <c r="U414" s="729"/>
    </row>
    <row r="415" spans="1:21" s="714" customFormat="1" ht="24" customHeight="1">
      <c r="A415" s="1138"/>
      <c r="B415" s="720" t="s">
        <v>1618</v>
      </c>
      <c r="C415" s="706"/>
      <c r="D415" s="990"/>
      <c r="E415" s="721"/>
      <c r="F415" s="722" t="s">
        <v>240</v>
      </c>
      <c r="G415" s="994"/>
      <c r="H415" s="914"/>
      <c r="I415" s="797"/>
      <c r="J415" s="796"/>
      <c r="K415" s="797"/>
      <c r="L415" s="988"/>
      <c r="M415" s="729"/>
      <c r="N415" s="729"/>
      <c r="O415" s="729"/>
      <c r="P415" s="729"/>
      <c r="Q415" s="729"/>
      <c r="R415" s="729"/>
      <c r="S415" s="729"/>
      <c r="T415" s="729"/>
      <c r="U415" s="729"/>
    </row>
    <row r="416" spans="1:21" s="714" customFormat="1" ht="21.3">
      <c r="A416" s="976" t="s">
        <v>1206</v>
      </c>
      <c r="B416" s="800" t="s">
        <v>1359</v>
      </c>
      <c r="C416" s="757"/>
      <c r="D416" s="757"/>
      <c r="E416" s="979"/>
      <c r="F416" s="980"/>
      <c r="G416" s="981"/>
      <c r="H416" s="982"/>
      <c r="I416" s="983"/>
      <c r="J416" s="982"/>
      <c r="K416" s="984"/>
      <c r="L416" s="973"/>
    </row>
    <row r="417" spans="1:21" s="714" customFormat="1" ht="21.3">
      <c r="A417" s="861"/>
      <c r="B417" s="800" t="s">
        <v>1488</v>
      </c>
      <c r="C417" s="757"/>
      <c r="D417" s="757"/>
      <c r="E417" s="942">
        <v>1</v>
      </c>
      <c r="F417" s="803" t="s">
        <v>240</v>
      </c>
      <c r="G417" s="752">
        <f>40590+10000+33400</f>
        <v>83990</v>
      </c>
      <c r="H417" s="751">
        <f t="shared" ref="H417:H418" si="76">ROUND(E417*G417,)</f>
        <v>83990</v>
      </c>
      <c r="I417" s="949">
        <f>G417*0.1</f>
        <v>8399</v>
      </c>
      <c r="J417" s="973">
        <f>ROUND(E417*I417,)</f>
        <v>8399</v>
      </c>
      <c r="K417" s="966">
        <f t="shared" ref="K417:K428" si="77">H417+J417</f>
        <v>92389</v>
      </c>
      <c r="L417" s="973"/>
    </row>
    <row r="418" spans="1:21" s="714" customFormat="1" ht="21.3">
      <c r="A418" s="861"/>
      <c r="B418" s="800" t="s">
        <v>1489</v>
      </c>
      <c r="C418" s="757"/>
      <c r="D418" s="757"/>
      <c r="E418" s="942">
        <v>1</v>
      </c>
      <c r="F418" s="803" t="s">
        <v>240</v>
      </c>
      <c r="G418" s="752">
        <v>228010</v>
      </c>
      <c r="H418" s="751">
        <f t="shared" si="76"/>
        <v>228010</v>
      </c>
      <c r="I418" s="949">
        <f t="shared" ref="I418" si="78">G418*0.1</f>
        <v>22801</v>
      </c>
      <c r="J418" s="973">
        <f t="shared" ref="J418" si="79">ROUND(E418*I418,)</f>
        <v>22801</v>
      </c>
      <c r="K418" s="966">
        <f t="shared" si="77"/>
        <v>250811</v>
      </c>
      <c r="L418" s="973"/>
    </row>
    <row r="419" spans="1:21" s="714" customFormat="1" ht="21.3">
      <c r="A419" s="976" t="s">
        <v>1208</v>
      </c>
      <c r="B419" s="800" t="s">
        <v>1363</v>
      </c>
      <c r="C419" s="757"/>
      <c r="D419" s="757"/>
      <c r="E419" s="979"/>
      <c r="F419" s="980"/>
      <c r="G419" s="981"/>
      <c r="H419" s="982"/>
      <c r="I419" s="983"/>
      <c r="J419" s="982"/>
      <c r="K419" s="966">
        <f t="shared" si="77"/>
        <v>0</v>
      </c>
      <c r="L419" s="973"/>
    </row>
    <row r="420" spans="1:21" s="714" customFormat="1" ht="21.3">
      <c r="A420" s="861"/>
      <c r="B420" s="800" t="s">
        <v>1490</v>
      </c>
      <c r="C420" s="757"/>
      <c r="D420" s="757"/>
      <c r="E420" s="942">
        <v>5</v>
      </c>
      <c r="F420" s="803" t="s">
        <v>240</v>
      </c>
      <c r="G420" s="752">
        <v>3500</v>
      </c>
      <c r="H420" s="751">
        <f t="shared" ref="H420:H421" si="80">ROUND(E420*G420,)</f>
        <v>17500</v>
      </c>
      <c r="I420" s="949">
        <f t="shared" ref="I420:I421" si="81">G420*0.1</f>
        <v>350</v>
      </c>
      <c r="J420" s="973">
        <f t="shared" ref="J420:J421" si="82">ROUND(E420*I420,)</f>
        <v>1750</v>
      </c>
      <c r="K420" s="966">
        <f t="shared" si="77"/>
        <v>19250</v>
      </c>
      <c r="L420" s="973"/>
    </row>
    <row r="421" spans="1:21" s="714" customFormat="1" ht="21.3">
      <c r="A421" s="861"/>
      <c r="B421" s="800" t="s">
        <v>1491</v>
      </c>
      <c r="C421" s="757"/>
      <c r="D421" s="757"/>
      <c r="E421" s="942">
        <v>5</v>
      </c>
      <c r="F421" s="803" t="s">
        <v>240</v>
      </c>
      <c r="G421" s="752">
        <v>3500</v>
      </c>
      <c r="H421" s="751">
        <f t="shared" si="80"/>
        <v>17500</v>
      </c>
      <c r="I421" s="949">
        <f t="shared" si="81"/>
        <v>350</v>
      </c>
      <c r="J421" s="973">
        <f t="shared" si="82"/>
        <v>1750</v>
      </c>
      <c r="K421" s="966">
        <f t="shared" si="77"/>
        <v>19250</v>
      </c>
      <c r="L421" s="973"/>
    </row>
    <row r="422" spans="1:21">
      <c r="A422" s="976" t="s">
        <v>3057</v>
      </c>
      <c r="B422" s="800" t="s">
        <v>1159</v>
      </c>
      <c r="C422" s="757"/>
      <c r="D422" s="757"/>
      <c r="E422" s="942"/>
      <c r="F422" s="948"/>
      <c r="G422" s="752"/>
      <c r="H422" s="751"/>
      <c r="I422" s="949"/>
      <c r="J422" s="973"/>
      <c r="K422" s="966">
        <f t="shared" si="77"/>
        <v>0</v>
      </c>
      <c r="L422" s="973"/>
    </row>
    <row r="423" spans="1:21">
      <c r="A423" s="861"/>
      <c r="B423" s="800" t="s">
        <v>1367</v>
      </c>
      <c r="C423" s="757"/>
      <c r="D423" s="757"/>
      <c r="E423" s="942">
        <v>440</v>
      </c>
      <c r="F423" s="867" t="s">
        <v>438</v>
      </c>
      <c r="G423" s="752">
        <v>103</v>
      </c>
      <c r="H423" s="751">
        <f>ROUND(E423*G423,)</f>
        <v>45320</v>
      </c>
      <c r="I423" s="949">
        <v>21</v>
      </c>
      <c r="J423" s="973">
        <f>ROUND(E423*I423,)</f>
        <v>9240</v>
      </c>
      <c r="K423" s="1030">
        <f t="shared" si="77"/>
        <v>54560</v>
      </c>
      <c r="L423" s="973"/>
    </row>
    <row r="424" spans="1:21">
      <c r="A424" s="861"/>
      <c r="B424" s="800" t="s">
        <v>1368</v>
      </c>
      <c r="C424" s="757"/>
      <c r="D424" s="757"/>
      <c r="E424" s="942">
        <v>20</v>
      </c>
      <c r="F424" s="867" t="s">
        <v>438</v>
      </c>
      <c r="G424" s="752">
        <v>139</v>
      </c>
      <c r="H424" s="751">
        <f>ROUND(E424*G424,)</f>
        <v>2780</v>
      </c>
      <c r="I424" s="949">
        <v>21</v>
      </c>
      <c r="J424" s="973">
        <f>ROUND(E424*I424,)</f>
        <v>420</v>
      </c>
      <c r="K424" s="1030">
        <f t="shared" si="77"/>
        <v>3200</v>
      </c>
      <c r="L424" s="973"/>
    </row>
    <row r="425" spans="1:21">
      <c r="A425" s="861"/>
      <c r="B425" s="800" t="s">
        <v>1338</v>
      </c>
      <c r="C425" s="757"/>
      <c r="D425" s="757"/>
      <c r="E425" s="942">
        <v>1</v>
      </c>
      <c r="F425" s="948" t="s">
        <v>948</v>
      </c>
      <c r="G425" s="752">
        <f>SUM(H423:H424)*5%</f>
        <v>2405</v>
      </c>
      <c r="H425" s="864">
        <f>ROUND(E425*G425,)</f>
        <v>2405</v>
      </c>
      <c r="I425" s="949">
        <f>G425*0.3</f>
        <v>721.5</v>
      </c>
      <c r="J425" s="864">
        <f>ROUND(E425*I425,)</f>
        <v>722</v>
      </c>
      <c r="K425" s="1030">
        <f t="shared" si="77"/>
        <v>3127</v>
      </c>
      <c r="L425" s="973"/>
    </row>
    <row r="426" spans="1:21">
      <c r="A426" s="861" t="s">
        <v>3058</v>
      </c>
      <c r="B426" s="800" t="s">
        <v>1252</v>
      </c>
      <c r="C426" s="757"/>
      <c r="D426" s="757"/>
      <c r="E426" s="942"/>
      <c r="F426" s="948"/>
      <c r="G426" s="752"/>
      <c r="H426" s="864"/>
      <c r="I426" s="949"/>
      <c r="J426" s="864"/>
      <c r="K426" s="1030">
        <f t="shared" si="77"/>
        <v>0</v>
      </c>
      <c r="L426" s="985"/>
    </row>
    <row r="427" spans="1:21">
      <c r="A427" s="861"/>
      <c r="B427" s="800" t="s">
        <v>1193</v>
      </c>
      <c r="C427" s="757"/>
      <c r="D427" s="757"/>
      <c r="E427" s="942">
        <v>262</v>
      </c>
      <c r="F427" s="867" t="s">
        <v>438</v>
      </c>
      <c r="G427" s="752">
        <v>316</v>
      </c>
      <c r="H427" s="864">
        <f>ROUND(E427*G427,)</f>
        <v>82792</v>
      </c>
      <c r="I427" s="949">
        <v>50</v>
      </c>
      <c r="J427" s="864">
        <f>ROUND(E427*I427,)</f>
        <v>13100</v>
      </c>
      <c r="K427" s="1030">
        <f t="shared" si="77"/>
        <v>95892</v>
      </c>
      <c r="L427" s="985"/>
    </row>
    <row r="428" spans="1:21">
      <c r="A428" s="861"/>
      <c r="B428" s="800" t="s">
        <v>1237</v>
      </c>
      <c r="C428" s="757"/>
      <c r="D428" s="757"/>
      <c r="E428" s="942">
        <v>1</v>
      </c>
      <c r="F428" s="948" t="s">
        <v>948</v>
      </c>
      <c r="G428" s="752">
        <f>ROUND(SUM(H427)*15%,)</f>
        <v>12419</v>
      </c>
      <c r="H428" s="864">
        <f>ROUND(G428*E428,)</f>
        <v>12419</v>
      </c>
      <c r="I428" s="949">
        <f>ROUND(G428*0.3,)</f>
        <v>3726</v>
      </c>
      <c r="J428" s="864">
        <f>ROUND(E428*I428,)</f>
        <v>3726</v>
      </c>
      <c r="K428" s="1030">
        <f t="shared" si="77"/>
        <v>16145</v>
      </c>
      <c r="L428" s="985"/>
    </row>
    <row r="429" spans="1:21">
      <c r="A429" s="889"/>
      <c r="B429" s="756" t="s">
        <v>957</v>
      </c>
      <c r="C429" s="974"/>
      <c r="D429" s="974"/>
      <c r="E429" s="1040"/>
      <c r="F429" s="1041"/>
      <c r="G429" s="766"/>
      <c r="H429" s="765"/>
      <c r="I429" s="975"/>
      <c r="J429" s="1042"/>
      <c r="K429" s="1042"/>
      <c r="L429" s="1042"/>
    </row>
    <row r="430" spans="1:21" s="714" customFormat="1" ht="24" customHeight="1">
      <c r="A430" s="995"/>
      <c r="B430" s="800" t="s">
        <v>1428</v>
      </c>
      <c r="C430" s="706"/>
      <c r="D430" s="990"/>
      <c r="E430" s="721"/>
      <c r="F430" s="722"/>
      <c r="G430" s="795"/>
      <c r="H430" s="796"/>
      <c r="I430" s="1039"/>
      <c r="J430" s="796"/>
      <c r="K430" s="797"/>
      <c r="L430" s="830"/>
      <c r="M430" s="729"/>
      <c r="N430" s="729"/>
      <c r="O430" s="729"/>
      <c r="P430" s="729"/>
      <c r="Q430" s="729"/>
      <c r="R430" s="729"/>
      <c r="S430" s="729"/>
      <c r="T430" s="729"/>
      <c r="U430" s="729"/>
    </row>
    <row r="431" spans="1:21">
      <c r="A431" s="775"/>
      <c r="B431" s="2475" t="str">
        <f>"รวมราคารายการที่ "&amp;A409</f>
        <v>รวมราคารายการที่ 3.13</v>
      </c>
      <c r="C431" s="2476"/>
      <c r="D431" s="2477"/>
      <c r="E431" s="776"/>
      <c r="F431" s="777"/>
      <c r="G431" s="959"/>
      <c r="H431" s="960">
        <f>SUM(H409:H429)</f>
        <v>619316</v>
      </c>
      <c r="I431" s="959"/>
      <c r="J431" s="960">
        <f>SUM(J409:J429)</f>
        <v>63174</v>
      </c>
      <c r="K431" s="960">
        <f>SUM(K409:K429)</f>
        <v>682490</v>
      </c>
      <c r="L431" s="777"/>
    </row>
    <row r="432" spans="1:21" s="714" customFormat="1" ht="24" customHeight="1">
      <c r="A432" s="986" t="s">
        <v>1224</v>
      </c>
      <c r="B432" s="816" t="s">
        <v>1370</v>
      </c>
      <c r="C432" s="987"/>
      <c r="D432" s="707"/>
      <c r="E432" s="708"/>
      <c r="F432" s="709"/>
      <c r="G432" s="853"/>
      <c r="H432" s="854"/>
      <c r="I432" s="855"/>
      <c r="J432" s="854"/>
      <c r="K432" s="855"/>
      <c r="L432" s="988"/>
      <c r="M432" s="729"/>
      <c r="N432" s="729"/>
      <c r="O432" s="729"/>
      <c r="P432" s="729"/>
      <c r="Q432" s="729"/>
      <c r="R432" s="729"/>
      <c r="S432" s="729"/>
      <c r="T432" s="729"/>
      <c r="U432" s="729"/>
    </row>
    <row r="433" spans="1:21" s="714" customFormat="1" ht="24" customHeight="1">
      <c r="A433" s="989" t="s">
        <v>1226</v>
      </c>
      <c r="B433" s="720" t="s">
        <v>1438</v>
      </c>
      <c r="C433" s="706"/>
      <c r="D433" s="990"/>
      <c r="E433" s="991">
        <v>2</v>
      </c>
      <c r="F433" s="803" t="s">
        <v>240</v>
      </c>
      <c r="G433" s="858">
        <v>3200</v>
      </c>
      <c r="H433" s="864">
        <f>ROUND(E433*G433,)</f>
        <v>6400</v>
      </c>
      <c r="I433" s="865">
        <v>150</v>
      </c>
      <c r="J433" s="864">
        <f>ROUND(I433*E433,)</f>
        <v>300</v>
      </c>
      <c r="K433" s="1030">
        <f t="shared" ref="K433:K439" si="83">H433+J433</f>
        <v>6700</v>
      </c>
      <c r="L433" s="830"/>
      <c r="M433" s="729"/>
      <c r="N433" s="729"/>
      <c r="O433" s="729"/>
      <c r="P433" s="729"/>
      <c r="Q433" s="729"/>
      <c r="R433" s="729"/>
      <c r="S433" s="729"/>
      <c r="T433" s="729"/>
      <c r="U433" s="729"/>
    </row>
    <row r="434" spans="1:21" s="714" customFormat="1" ht="24" customHeight="1">
      <c r="A434" s="992" t="s">
        <v>1228</v>
      </c>
      <c r="B434" s="720" t="s">
        <v>1439</v>
      </c>
      <c r="C434" s="706"/>
      <c r="D434" s="990"/>
      <c r="E434" s="991">
        <v>2</v>
      </c>
      <c r="F434" s="803" t="s">
        <v>240</v>
      </c>
      <c r="G434" s="858">
        <v>2640</v>
      </c>
      <c r="H434" s="864">
        <f>ROUND(E434*G434,)</f>
        <v>5280</v>
      </c>
      <c r="I434" s="865">
        <v>150</v>
      </c>
      <c r="J434" s="864">
        <f>ROUND(I434*E434,)</f>
        <v>300</v>
      </c>
      <c r="K434" s="1030">
        <f t="shared" si="83"/>
        <v>5580</v>
      </c>
      <c r="L434" s="830"/>
      <c r="M434" s="729"/>
      <c r="N434" s="729"/>
      <c r="O434" s="729"/>
      <c r="P434" s="729"/>
      <c r="Q434" s="729"/>
      <c r="R434" s="729"/>
      <c r="S434" s="729"/>
      <c r="T434" s="729"/>
      <c r="U434" s="729"/>
    </row>
    <row r="435" spans="1:21" s="714" customFormat="1" ht="24" customHeight="1">
      <c r="A435" s="992" t="s">
        <v>1230</v>
      </c>
      <c r="B435" s="720" t="s">
        <v>1441</v>
      </c>
      <c r="C435" s="706"/>
      <c r="D435" s="990"/>
      <c r="E435" s="721"/>
      <c r="F435" s="722"/>
      <c r="G435" s="795"/>
      <c r="H435" s="796"/>
      <c r="I435" s="797"/>
      <c r="J435" s="796"/>
      <c r="K435" s="1030">
        <f t="shared" si="83"/>
        <v>0</v>
      </c>
      <c r="L435" s="830"/>
      <c r="M435" s="729"/>
      <c r="N435" s="729"/>
      <c r="O435" s="729"/>
      <c r="P435" s="729"/>
      <c r="Q435" s="729"/>
      <c r="R435" s="729"/>
      <c r="S435" s="729"/>
      <c r="T435" s="729"/>
      <c r="U435" s="729"/>
    </row>
    <row r="436" spans="1:21" s="714" customFormat="1" ht="24" customHeight="1">
      <c r="A436" s="995"/>
      <c r="B436" s="800" t="s">
        <v>1442</v>
      </c>
      <c r="C436" s="706"/>
      <c r="D436" s="990"/>
      <c r="E436" s="721">
        <v>650</v>
      </c>
      <c r="F436" s="722" t="s">
        <v>438</v>
      </c>
      <c r="G436" s="858">
        <v>10</v>
      </c>
      <c r="H436" s="796">
        <f>ROUND(E436*G436,)</f>
        <v>6500</v>
      </c>
      <c r="I436" s="797">
        <v>5</v>
      </c>
      <c r="J436" s="796">
        <f>ROUND(I436*E436,)</f>
        <v>3250</v>
      </c>
      <c r="K436" s="1030">
        <f t="shared" si="83"/>
        <v>9750</v>
      </c>
      <c r="L436" s="830"/>
      <c r="M436" s="729"/>
      <c r="N436" s="729"/>
      <c r="O436" s="729"/>
      <c r="P436" s="729"/>
      <c r="Q436" s="729"/>
      <c r="R436" s="729"/>
      <c r="S436" s="729"/>
      <c r="T436" s="729"/>
      <c r="U436" s="729"/>
    </row>
    <row r="437" spans="1:21" s="714" customFormat="1" ht="24" customHeight="1">
      <c r="A437" s="992" t="s">
        <v>1234</v>
      </c>
      <c r="B437" s="720" t="s">
        <v>950</v>
      </c>
      <c r="C437" s="706"/>
      <c r="D437" s="990"/>
      <c r="E437" s="721"/>
      <c r="F437" s="722"/>
      <c r="G437" s="795"/>
      <c r="H437" s="796"/>
      <c r="I437" s="797"/>
      <c r="J437" s="796"/>
      <c r="K437" s="1030">
        <f t="shared" si="83"/>
        <v>0</v>
      </c>
      <c r="L437" s="830"/>
      <c r="M437" s="729"/>
      <c r="N437" s="729"/>
      <c r="O437" s="729"/>
      <c r="P437" s="729"/>
      <c r="Q437" s="729"/>
      <c r="R437" s="729"/>
      <c r="S437" s="729"/>
      <c r="T437" s="729"/>
      <c r="U437" s="729"/>
    </row>
    <row r="438" spans="1:21" s="714" customFormat="1" ht="24" customHeight="1">
      <c r="A438" s="996"/>
      <c r="B438" s="720" t="s">
        <v>1201</v>
      </c>
      <c r="C438" s="706"/>
      <c r="D438" s="990"/>
      <c r="E438" s="917">
        <f>E436</f>
        <v>650</v>
      </c>
      <c r="F438" s="794" t="s">
        <v>438</v>
      </c>
      <c r="G438" s="806">
        <v>56</v>
      </c>
      <c r="H438" s="796">
        <f>ROUND(E438*G438,)</f>
        <v>36400</v>
      </c>
      <c r="I438" s="807">
        <v>26</v>
      </c>
      <c r="J438" s="796">
        <f t="shared" ref="J438" si="84">ROUND(E438*I438,)</f>
        <v>16900</v>
      </c>
      <c r="K438" s="1030">
        <f t="shared" si="83"/>
        <v>53300</v>
      </c>
      <c r="L438" s="1718" t="s">
        <v>2974</v>
      </c>
      <c r="M438" s="729"/>
      <c r="N438" s="714">
        <v>169.2</v>
      </c>
      <c r="O438" s="714">
        <f>ROUND(N438/3,)</f>
        <v>56</v>
      </c>
      <c r="P438" s="729"/>
      <c r="Q438" s="729"/>
      <c r="R438" s="729"/>
      <c r="S438" s="729"/>
      <c r="T438" s="729"/>
      <c r="U438" s="729"/>
    </row>
    <row r="439" spans="1:21" s="714" customFormat="1" ht="24" customHeight="1">
      <c r="A439" s="996"/>
      <c r="B439" s="720" t="s">
        <v>1237</v>
      </c>
      <c r="C439" s="706"/>
      <c r="D439" s="990"/>
      <c r="E439" s="721">
        <v>1</v>
      </c>
      <c r="F439" s="722" t="s">
        <v>948</v>
      </c>
      <c r="G439" s="795">
        <f>SUM(H437:H438)*15%</f>
        <v>5460</v>
      </c>
      <c r="H439" s="796">
        <f>ROUND(E439*G439,)</f>
        <v>5460</v>
      </c>
      <c r="I439" s="797">
        <f>G439*0.3</f>
        <v>1638</v>
      </c>
      <c r="J439" s="796">
        <f>ROUND(I439*E439,)</f>
        <v>1638</v>
      </c>
      <c r="K439" s="1030">
        <f t="shared" si="83"/>
        <v>7098</v>
      </c>
      <c r="L439" s="830"/>
      <c r="M439" s="729"/>
      <c r="N439" s="729"/>
      <c r="O439" s="729"/>
      <c r="P439" s="729"/>
      <c r="Q439" s="729"/>
      <c r="R439" s="729"/>
      <c r="S439" s="729"/>
      <c r="T439" s="729"/>
      <c r="U439" s="729"/>
    </row>
    <row r="440" spans="1:21" s="714" customFormat="1" ht="24" customHeight="1">
      <c r="A440" s="992" t="s">
        <v>1236</v>
      </c>
      <c r="B440" s="720" t="s">
        <v>1238</v>
      </c>
      <c r="C440" s="706"/>
      <c r="D440" s="990"/>
      <c r="E440" s="721"/>
      <c r="F440" s="722" t="s">
        <v>948</v>
      </c>
      <c r="G440" s="795"/>
      <c r="H440" s="796"/>
      <c r="I440" s="1039"/>
      <c r="J440" s="796"/>
      <c r="K440" s="797"/>
      <c r="L440" s="830"/>
      <c r="M440" s="729"/>
      <c r="N440" s="729"/>
      <c r="O440" s="729"/>
      <c r="P440" s="729"/>
      <c r="Q440" s="729"/>
      <c r="R440" s="729"/>
      <c r="S440" s="729"/>
      <c r="T440" s="729"/>
      <c r="U440" s="729"/>
    </row>
    <row r="441" spans="1:21" s="714" customFormat="1" ht="24" customHeight="1">
      <c r="A441" s="992"/>
      <c r="B441" s="720" t="s">
        <v>957</v>
      </c>
      <c r="C441" s="706"/>
      <c r="D441" s="990"/>
      <c r="E441" s="721"/>
      <c r="F441" s="722"/>
      <c r="G441" s="795"/>
      <c r="H441" s="796"/>
      <c r="I441" s="1039"/>
      <c r="J441" s="796"/>
      <c r="K441" s="797"/>
      <c r="L441" s="830"/>
      <c r="M441" s="729"/>
      <c r="N441" s="729"/>
      <c r="O441" s="729"/>
      <c r="P441" s="729"/>
      <c r="Q441" s="729"/>
      <c r="R441" s="729"/>
      <c r="S441" s="729"/>
      <c r="T441" s="729"/>
      <c r="U441" s="729"/>
    </row>
    <row r="442" spans="1:21" s="714" customFormat="1" ht="24" customHeight="1">
      <c r="A442" s="777"/>
      <c r="B442" s="2475" t="str">
        <f>"รวมราคารายการที่ "&amp;A432</f>
        <v>รวมราคารายการที่ 3.14</v>
      </c>
      <c r="C442" s="2476"/>
      <c r="D442" s="2477"/>
      <c r="E442" s="997"/>
      <c r="F442" s="777"/>
      <c r="G442" s="959"/>
      <c r="H442" s="960">
        <f>SUM(H433:H441)</f>
        <v>60040</v>
      </c>
      <c r="I442" s="959"/>
      <c r="J442" s="960">
        <f t="shared" ref="J442:K442" si="85">SUM(J433:J441)</f>
        <v>22388</v>
      </c>
      <c r="K442" s="960">
        <f t="shared" si="85"/>
        <v>82428</v>
      </c>
      <c r="L442" s="777"/>
      <c r="M442" s="729"/>
      <c r="N442" s="729"/>
      <c r="O442" s="729"/>
      <c r="P442" s="729"/>
      <c r="Q442" s="729"/>
      <c r="R442" s="729"/>
      <c r="S442" s="729"/>
      <c r="T442" s="729"/>
      <c r="U442" s="729"/>
    </row>
  </sheetData>
  <mergeCells count="23">
    <mergeCell ref="B408:D408"/>
    <mergeCell ref="B431:D431"/>
    <mergeCell ref="B442:D442"/>
    <mergeCell ref="B274:D274"/>
    <mergeCell ref="B283:D283"/>
    <mergeCell ref="B310:D310"/>
    <mergeCell ref="B346:D346"/>
    <mergeCell ref="B370:D370"/>
    <mergeCell ref="B385:D385"/>
    <mergeCell ref="B255:D255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94:D94"/>
    <mergeCell ref="B171:D171"/>
    <mergeCell ref="B226:D226"/>
    <mergeCell ref="B239:D239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3-อาคารสนับนุน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7DF1-836C-4FE0-9676-0E95E198A6D1}">
  <sheetPr>
    <tabColor rgb="FF92D050"/>
  </sheetPr>
  <dimension ref="A1:U466"/>
  <sheetViews>
    <sheetView tabSelected="1" view="pageBreakPreview" zoomScale="85" zoomScaleNormal="100" zoomScaleSheetLayoutView="8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41015625" style="1" customWidth="1"/>
    <col min="13" max="94" width="7.703125" style="1" customWidth="1"/>
    <col min="95" max="16384" width="9" style="1"/>
  </cols>
  <sheetData>
    <row r="1" spans="1:12" ht="35.200000000000003" customHeight="1">
      <c r="A1" s="681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683" t="s">
        <v>2</v>
      </c>
      <c r="B2" s="33"/>
      <c r="C2" s="34"/>
      <c r="D2" s="11" t="s">
        <v>938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685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687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685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6.2" customHeight="1">
      <c r="A7" s="6" t="s">
        <v>26</v>
      </c>
      <c r="B7" s="20"/>
      <c r="C7" s="20"/>
      <c r="D7" s="21"/>
      <c r="E7" s="20"/>
      <c r="F7" s="689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362" t="s">
        <v>14</v>
      </c>
      <c r="L9" s="248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364" t="s">
        <v>17</v>
      </c>
      <c r="I10" s="28" t="s">
        <v>16</v>
      </c>
      <c r="J10" s="2364" t="s">
        <v>17</v>
      </c>
      <c r="K10" s="2363" t="s">
        <v>18</v>
      </c>
      <c r="L10" s="2483"/>
    </row>
    <row r="11" spans="1:12" ht="24" customHeight="1">
      <c r="A11" s="690" t="s">
        <v>25</v>
      </c>
      <c r="B11" s="691" t="s">
        <v>1492</v>
      </c>
      <c r="C11" s="692"/>
      <c r="D11" s="693"/>
      <c r="E11" s="694"/>
      <c r="F11" s="695"/>
      <c r="G11" s="696"/>
      <c r="H11" s="697"/>
      <c r="I11" s="698"/>
      <c r="J11" s="697"/>
      <c r="K11" s="998"/>
      <c r="L11" s="953"/>
    </row>
    <row r="12" spans="1:12" s="714" customFormat="1" ht="24" customHeight="1">
      <c r="A12" s="719">
        <f>A35</f>
        <v>3.1</v>
      </c>
      <c r="B12" s="754" t="str">
        <f>B35</f>
        <v>Distribution Board</v>
      </c>
      <c r="C12" s="717"/>
      <c r="D12" s="718"/>
      <c r="E12" s="708">
        <v>1</v>
      </c>
      <c r="F12" s="709" t="s">
        <v>19</v>
      </c>
      <c r="G12" s="710"/>
      <c r="H12" s="711">
        <f>H94</f>
        <v>375540</v>
      </c>
      <c r="I12" s="712"/>
      <c r="J12" s="711">
        <f>J94</f>
        <v>39060</v>
      </c>
      <c r="K12" s="711">
        <f>K94</f>
        <v>414600</v>
      </c>
      <c r="L12" s="753"/>
    </row>
    <row r="13" spans="1:12" s="714" customFormat="1" ht="24" customHeight="1">
      <c r="A13" s="719">
        <f>A95</f>
        <v>3.2</v>
      </c>
      <c r="B13" s="754" t="str">
        <f>B95</f>
        <v>Essential Distribution Board</v>
      </c>
      <c r="C13" s="717"/>
      <c r="D13" s="718"/>
      <c r="E13" s="708">
        <v>1</v>
      </c>
      <c r="F13" s="709" t="s">
        <v>19</v>
      </c>
      <c r="G13" s="710"/>
      <c r="H13" s="711">
        <f>H168</f>
        <v>212190</v>
      </c>
      <c r="I13" s="712"/>
      <c r="J13" s="711">
        <f>J168</f>
        <v>30060</v>
      </c>
      <c r="K13" s="711">
        <f>K168</f>
        <v>242250</v>
      </c>
      <c r="L13" s="753"/>
    </row>
    <row r="14" spans="1:12" s="714" customFormat="1" ht="24" customHeight="1">
      <c r="A14" s="719" t="str">
        <f>A169</f>
        <v>3.3</v>
      </c>
      <c r="B14" s="705" t="str">
        <f>B169</f>
        <v>แผงสวิทช์ย่อยและเซอร์กิต เบรคเกอร์ (Panelboard &amp; CB)</v>
      </c>
      <c r="C14" s="717"/>
      <c r="D14" s="718"/>
      <c r="E14" s="708">
        <v>1</v>
      </c>
      <c r="F14" s="709" t="s">
        <v>19</v>
      </c>
      <c r="G14" s="710"/>
      <c r="H14" s="711">
        <f>H226</f>
        <v>128534</v>
      </c>
      <c r="I14" s="712"/>
      <c r="J14" s="711">
        <f>J226</f>
        <v>15000</v>
      </c>
      <c r="K14" s="999">
        <f t="shared" ref="K14:K23" si="0">SUM(H14:J14)</f>
        <v>143534</v>
      </c>
      <c r="L14" s="954"/>
    </row>
    <row r="15" spans="1:12" s="714" customFormat="1" ht="24" customHeight="1">
      <c r="A15" s="719">
        <f>A227</f>
        <v>3.4</v>
      </c>
      <c r="B15" s="705" t="str">
        <f>B227</f>
        <v>สายไฟฟ้า (Cable &amp; Wire)</v>
      </c>
      <c r="C15" s="717"/>
      <c r="D15" s="718"/>
      <c r="E15" s="708">
        <v>1</v>
      </c>
      <c r="F15" s="709" t="s">
        <v>19</v>
      </c>
      <c r="G15" s="710"/>
      <c r="H15" s="711">
        <f>H239</f>
        <v>129444</v>
      </c>
      <c r="I15" s="712"/>
      <c r="J15" s="711">
        <f>J239</f>
        <v>88479</v>
      </c>
      <c r="K15" s="999">
        <f t="shared" si="0"/>
        <v>217923</v>
      </c>
      <c r="L15" s="954"/>
    </row>
    <row r="16" spans="1:12" s="714" customFormat="1" ht="24" customHeight="1">
      <c r="A16" s="719" t="str">
        <f>A240</f>
        <v>3.5</v>
      </c>
      <c r="B16" s="705" t="str">
        <f>B240</f>
        <v>รางเดินสายไฟฟ้า (Raceway)</v>
      </c>
      <c r="C16" s="717"/>
      <c r="D16" s="718"/>
      <c r="E16" s="708">
        <v>1</v>
      </c>
      <c r="F16" s="709" t="s">
        <v>19</v>
      </c>
      <c r="G16" s="710"/>
      <c r="H16" s="711">
        <f>H255</f>
        <v>109361</v>
      </c>
      <c r="I16" s="712"/>
      <c r="J16" s="711">
        <f>J255</f>
        <v>80599</v>
      </c>
      <c r="K16" s="999">
        <f t="shared" si="0"/>
        <v>189960</v>
      </c>
      <c r="L16" s="954"/>
    </row>
    <row r="17" spans="1:12" s="714" customFormat="1" ht="24" customHeight="1">
      <c r="A17" s="719" t="str">
        <f>A256</f>
        <v>3.6</v>
      </c>
      <c r="B17" s="705" t="str">
        <f>B256</f>
        <v>สวิทช์และเต้ารับ (Switch &amp; Outlet)</v>
      </c>
      <c r="C17" s="717"/>
      <c r="D17" s="718"/>
      <c r="E17" s="708">
        <v>1</v>
      </c>
      <c r="F17" s="709" t="s">
        <v>19</v>
      </c>
      <c r="G17" s="710"/>
      <c r="H17" s="711">
        <f>H274</f>
        <v>48852</v>
      </c>
      <c r="I17" s="712"/>
      <c r="J17" s="711">
        <f>J274</f>
        <v>10400</v>
      </c>
      <c r="K17" s="999">
        <f t="shared" si="0"/>
        <v>59252</v>
      </c>
      <c r="L17" s="954"/>
    </row>
    <row r="18" spans="1:12" s="714" customFormat="1" ht="24" customHeight="1">
      <c r="A18" s="704" t="str">
        <f>A275</f>
        <v>3.7</v>
      </c>
      <c r="B18" s="705" t="str">
        <f>B275</f>
        <v>ระบบควบคุมแสงสว่าง (Lighting Control System)</v>
      </c>
      <c r="C18" s="717"/>
      <c r="D18" s="718"/>
      <c r="E18" s="708">
        <v>1</v>
      </c>
      <c r="F18" s="709" t="s">
        <v>19</v>
      </c>
      <c r="G18" s="710"/>
      <c r="H18" s="711">
        <f>H283</f>
        <v>195560</v>
      </c>
      <c r="I18" s="712"/>
      <c r="J18" s="711">
        <f>J283</f>
        <v>9778</v>
      </c>
      <c r="K18" s="999">
        <f t="shared" si="0"/>
        <v>205338</v>
      </c>
      <c r="L18" s="954"/>
    </row>
    <row r="19" spans="1:12" s="714" customFormat="1" ht="24" customHeight="1">
      <c r="A19" s="719" t="str">
        <f>A284</f>
        <v>3.8</v>
      </c>
      <c r="B19" s="705" t="str">
        <f>B284</f>
        <v>โคมไฟฟ้า (Luminaire)</v>
      </c>
      <c r="C19" s="717"/>
      <c r="D19" s="718"/>
      <c r="E19" s="708">
        <v>1</v>
      </c>
      <c r="F19" s="709" t="s">
        <v>19</v>
      </c>
      <c r="G19" s="710"/>
      <c r="H19" s="711">
        <f>H310</f>
        <v>478960</v>
      </c>
      <c r="I19" s="712"/>
      <c r="J19" s="711">
        <f>J310</f>
        <v>68240</v>
      </c>
      <c r="K19" s="999">
        <f t="shared" si="0"/>
        <v>547200</v>
      </c>
      <c r="L19" s="954"/>
    </row>
    <row r="20" spans="1:12" s="714" customFormat="1" ht="24" customHeight="1">
      <c r="A20" s="719">
        <f>A311</f>
        <v>3.9</v>
      </c>
      <c r="B20" s="720" t="str">
        <f>B311</f>
        <v>ระบบสัญญาณแจ้งเหตุเพลิงไหม้ (Fire Alarm System)</v>
      </c>
      <c r="C20" s="717"/>
      <c r="D20" s="718"/>
      <c r="E20" s="708">
        <v>1</v>
      </c>
      <c r="F20" s="722" t="s">
        <v>19</v>
      </c>
      <c r="G20" s="723"/>
      <c r="H20" s="711">
        <f>H346</f>
        <v>1081611</v>
      </c>
      <c r="I20" s="712"/>
      <c r="J20" s="711">
        <f>J346</f>
        <v>131831</v>
      </c>
      <c r="K20" s="999">
        <f t="shared" si="0"/>
        <v>1213442</v>
      </c>
      <c r="L20" s="954"/>
    </row>
    <row r="21" spans="1:12" s="714" customFormat="1" ht="24" customHeight="1">
      <c r="A21" s="719" t="str">
        <f>A347</f>
        <v>3.10</v>
      </c>
      <c r="B21" s="720" t="str">
        <f>B347</f>
        <v>ระบบสายสื่อสารข้อมูล (Data Cabling System)</v>
      </c>
      <c r="C21" s="717"/>
      <c r="D21" s="718"/>
      <c r="E21" s="708">
        <v>1</v>
      </c>
      <c r="F21" s="722" t="s">
        <v>19</v>
      </c>
      <c r="G21" s="710"/>
      <c r="H21" s="711">
        <f>H370</f>
        <v>93760</v>
      </c>
      <c r="I21" s="712"/>
      <c r="J21" s="711">
        <f>J370</f>
        <v>16600</v>
      </c>
      <c r="K21" s="999">
        <f t="shared" si="0"/>
        <v>110360</v>
      </c>
      <c r="L21" s="954"/>
    </row>
    <row r="22" spans="1:12" s="714" customFormat="1" ht="24" customHeight="1">
      <c r="A22" s="768" t="str">
        <f>A371</f>
        <v>3.11</v>
      </c>
      <c r="B22" s="769" t="str">
        <f>B371</f>
        <v>ระบบเสียงและประกาศเรียก (Public Address System)</v>
      </c>
      <c r="C22" s="770"/>
      <c r="D22" s="771"/>
      <c r="E22" s="708">
        <v>1</v>
      </c>
      <c r="F22" s="709" t="s">
        <v>19</v>
      </c>
      <c r="G22" s="1000"/>
      <c r="H22" s="1001">
        <f>H387</f>
        <v>461050</v>
      </c>
      <c r="I22" s="1002"/>
      <c r="J22" s="1001">
        <f>J387</f>
        <v>192841</v>
      </c>
      <c r="K22" s="999">
        <f t="shared" si="0"/>
        <v>653891</v>
      </c>
      <c r="L22" s="954"/>
    </row>
    <row r="23" spans="1:12" s="714" customFormat="1" ht="24" customHeight="1">
      <c r="A23" s="719" t="str">
        <f>A388</f>
        <v>3.12</v>
      </c>
      <c r="B23" s="705" t="str">
        <f>B388</f>
        <v>ระบบควบคุมประตูอัตโนมัติ (Access Control System)</v>
      </c>
      <c r="C23" s="717"/>
      <c r="D23" s="718"/>
      <c r="E23" s="708">
        <v>1</v>
      </c>
      <c r="F23" s="709" t="s">
        <v>19</v>
      </c>
      <c r="G23" s="710"/>
      <c r="H23" s="711">
        <f>H411</f>
        <v>309394</v>
      </c>
      <c r="I23" s="712"/>
      <c r="J23" s="711">
        <f>J411</f>
        <v>12992</v>
      </c>
      <c r="K23" s="999">
        <f t="shared" si="0"/>
        <v>322386</v>
      </c>
      <c r="L23" s="954"/>
    </row>
    <row r="24" spans="1:12" s="714" customFormat="1" ht="24" customHeight="1">
      <c r="A24" s="719" t="str">
        <f>A412</f>
        <v>3.13</v>
      </c>
      <c r="B24" s="754" t="str">
        <f>B412</f>
        <v>ระบบบริหารจัดการอาคาร (Building Management System : BMS)</v>
      </c>
      <c r="C24" s="717"/>
      <c r="D24" s="718"/>
      <c r="E24" s="708">
        <v>1</v>
      </c>
      <c r="F24" s="709" t="s">
        <v>19</v>
      </c>
      <c r="G24" s="710"/>
      <c r="H24" s="711">
        <f>H442</f>
        <v>619316</v>
      </c>
      <c r="I24" s="956"/>
      <c r="J24" s="711">
        <f>J442</f>
        <v>63174</v>
      </c>
      <c r="K24" s="999">
        <f>K442</f>
        <v>682490</v>
      </c>
      <c r="L24" s="954"/>
    </row>
    <row r="25" spans="1:12" s="714" customFormat="1" ht="24" customHeight="1">
      <c r="A25" s="719" t="str">
        <f>A443</f>
        <v>3.14</v>
      </c>
      <c r="B25" s="754" t="str">
        <f>B443</f>
        <v>ระบบแจ้งเหตุฉุกเฉิน (Panic Alarm System)</v>
      </c>
      <c r="C25" s="717"/>
      <c r="D25" s="718"/>
      <c r="E25" s="708">
        <v>1</v>
      </c>
      <c r="F25" s="709" t="s">
        <v>19</v>
      </c>
      <c r="G25" s="710"/>
      <c r="H25" s="711">
        <f>H466</f>
        <v>60040</v>
      </c>
      <c r="I25" s="956"/>
      <c r="J25" s="711">
        <f>J466</f>
        <v>22388</v>
      </c>
      <c r="K25" s="999">
        <f>K466</f>
        <v>82428</v>
      </c>
      <c r="L25" s="954"/>
    </row>
    <row r="26" spans="1:12" s="714" customFormat="1" ht="24" customHeight="1">
      <c r="A26" s="719"/>
      <c r="B26" s="955"/>
      <c r="C26" s="717"/>
      <c r="D26" s="718"/>
      <c r="E26" s="721"/>
      <c r="F26" s="722"/>
      <c r="G26" s="710"/>
      <c r="H26" s="711"/>
      <c r="I26" s="956"/>
      <c r="J26" s="957"/>
      <c r="K26" s="1005"/>
      <c r="L26" s="954"/>
    </row>
    <row r="27" spans="1:12" s="714" customFormat="1" ht="24" customHeight="1">
      <c r="A27" s="719"/>
      <c r="B27" s="955"/>
      <c r="C27" s="717"/>
      <c r="D27" s="718"/>
      <c r="E27" s="721"/>
      <c r="F27" s="722"/>
      <c r="G27" s="710"/>
      <c r="H27" s="711"/>
      <c r="I27" s="956"/>
      <c r="J27" s="957"/>
      <c r="K27" s="1005"/>
      <c r="L27" s="954"/>
    </row>
    <row r="28" spans="1:12" s="714" customFormat="1" ht="24" customHeight="1">
      <c r="A28" s="719"/>
      <c r="B28" s="955"/>
      <c r="C28" s="717"/>
      <c r="D28" s="718"/>
      <c r="E28" s="721"/>
      <c r="F28" s="722"/>
      <c r="G28" s="710"/>
      <c r="H28" s="711"/>
      <c r="I28" s="956"/>
      <c r="J28" s="957"/>
      <c r="K28" s="1005"/>
      <c r="L28" s="954"/>
    </row>
    <row r="29" spans="1:12" s="714" customFormat="1" ht="24" customHeight="1">
      <c r="A29" s="719"/>
      <c r="B29" s="955"/>
      <c r="C29" s="717"/>
      <c r="D29" s="718"/>
      <c r="E29" s="721"/>
      <c r="F29" s="722"/>
      <c r="G29" s="710"/>
      <c r="H29" s="711"/>
      <c r="I29" s="956"/>
      <c r="J29" s="957"/>
      <c r="K29" s="1005"/>
      <c r="L29" s="954"/>
    </row>
    <row r="30" spans="1:12" s="714" customFormat="1" ht="24" customHeight="1">
      <c r="A30" s="719"/>
      <c r="B30" s="955"/>
      <c r="C30" s="717"/>
      <c r="D30" s="718"/>
      <c r="E30" s="721"/>
      <c r="F30" s="722"/>
      <c r="G30" s="710"/>
      <c r="H30" s="711"/>
      <c r="I30" s="956"/>
      <c r="J30" s="957"/>
      <c r="K30" s="1005"/>
      <c r="L30" s="954"/>
    </row>
    <row r="31" spans="1:12" s="714" customFormat="1" ht="24" customHeight="1">
      <c r="A31" s="719"/>
      <c r="B31" s="955"/>
      <c r="C31" s="717"/>
      <c r="D31" s="718"/>
      <c r="E31" s="721"/>
      <c r="F31" s="722"/>
      <c r="G31" s="710"/>
      <c r="H31" s="711"/>
      <c r="I31" s="956"/>
      <c r="J31" s="957"/>
      <c r="K31" s="1005"/>
      <c r="L31" s="954"/>
    </row>
    <row r="32" spans="1:12" s="714" customFormat="1" ht="24" customHeight="1">
      <c r="A32" s="719"/>
      <c r="B32" s="955"/>
      <c r="C32" s="717"/>
      <c r="D32" s="718"/>
      <c r="E32" s="721"/>
      <c r="F32" s="722"/>
      <c r="G32" s="710"/>
      <c r="H32" s="711"/>
      <c r="I32" s="956"/>
      <c r="J32" s="957"/>
      <c r="K32" s="1005"/>
      <c r="L32" s="954"/>
    </row>
    <row r="33" spans="1:16" s="714" customFormat="1" ht="24" customHeight="1">
      <c r="A33" s="719"/>
      <c r="B33" s="955"/>
      <c r="C33" s="717"/>
      <c r="D33" s="718"/>
      <c r="E33" s="721"/>
      <c r="F33" s="722"/>
      <c r="G33" s="710"/>
      <c r="H33" s="711"/>
      <c r="I33" s="956"/>
      <c r="J33" s="957"/>
      <c r="K33" s="1005"/>
      <c r="L33" s="954"/>
    </row>
    <row r="34" spans="1:16" s="714" customFormat="1" ht="24" customHeight="1">
      <c r="A34" s="775"/>
      <c r="B34" s="2475" t="str">
        <f>"รวมราคา"&amp;B11</f>
        <v>รวมราคางานระบบไฟฟ้าและสื่อสาร ชั้น 4</v>
      </c>
      <c r="C34" s="2476"/>
      <c r="D34" s="2477"/>
      <c r="E34" s="776"/>
      <c r="F34" s="777"/>
      <c r="G34" s="959"/>
      <c r="H34" s="960">
        <f>SUM(H11:H33)</f>
        <v>4303612</v>
      </c>
      <c r="I34" s="959"/>
      <c r="J34" s="960">
        <f>SUM(J11:J33)</f>
        <v>781442</v>
      </c>
      <c r="K34" s="960">
        <f>SUM(K11:K33)</f>
        <v>5085054</v>
      </c>
      <c r="L34" s="1006"/>
      <c r="M34" s="729"/>
      <c r="N34" s="729"/>
      <c r="O34" s="729"/>
      <c r="P34" s="729"/>
    </row>
    <row r="35" spans="1:16" s="714" customFormat="1" ht="24" customHeight="1">
      <c r="A35" s="815">
        <v>3.1</v>
      </c>
      <c r="B35" s="816" t="s">
        <v>1050</v>
      </c>
      <c r="C35" s="859"/>
      <c r="D35" s="859"/>
      <c r="E35" s="851"/>
      <c r="F35" s="852"/>
      <c r="G35" s="853"/>
      <c r="H35" s="854"/>
      <c r="I35" s="855"/>
      <c r="J35" s="854"/>
      <c r="K35" s="855"/>
      <c r="L35" s="826"/>
    </row>
    <row r="36" spans="1:16" s="884" customFormat="1" ht="24" customHeight="1">
      <c r="A36" s="878" t="s">
        <v>941</v>
      </c>
      <c r="B36" s="879" t="s">
        <v>1074</v>
      </c>
      <c r="C36" s="880"/>
      <c r="D36" s="880"/>
      <c r="E36" s="881"/>
      <c r="F36" s="794"/>
      <c r="G36" s="795"/>
      <c r="H36" s="796"/>
      <c r="I36" s="797"/>
      <c r="J36" s="796"/>
      <c r="K36" s="797"/>
      <c r="L36" s="883"/>
    </row>
    <row r="37" spans="1:16" s="884" customFormat="1" ht="24" customHeight="1">
      <c r="A37" s="831" t="s">
        <v>943</v>
      </c>
      <c r="B37" s="720" t="s">
        <v>1053</v>
      </c>
      <c r="C37" s="792"/>
      <c r="D37" s="792"/>
      <c r="E37" s="793"/>
      <c r="F37" s="794"/>
      <c r="G37" s="795"/>
      <c r="H37" s="796"/>
      <c r="I37" s="797"/>
      <c r="J37" s="796"/>
      <c r="K37" s="797"/>
      <c r="L37" s="883"/>
    </row>
    <row r="38" spans="1:16" s="884" customFormat="1" ht="24" customHeight="1">
      <c r="A38" s="831"/>
      <c r="B38" s="720" t="s">
        <v>1054</v>
      </c>
      <c r="C38" s="792"/>
      <c r="D38" s="792"/>
      <c r="E38" s="793"/>
      <c r="F38" s="722" t="s">
        <v>240</v>
      </c>
      <c r="G38" s="795">
        <v>2400</v>
      </c>
      <c r="H38" s="796">
        <f t="shared" ref="H38:H53" si="1">ROUND(G38*E38,)</f>
        <v>0</v>
      </c>
      <c r="I38" s="797"/>
      <c r="J38" s="796"/>
      <c r="K38" s="799">
        <f t="shared" ref="K38:K53" si="2">H38+J38</f>
        <v>0</v>
      </c>
      <c r="L38" s="883"/>
    </row>
    <row r="39" spans="1:16" s="884" customFormat="1" ht="24" customHeight="1">
      <c r="A39" s="831"/>
      <c r="B39" s="720" t="s">
        <v>1055</v>
      </c>
      <c r="C39" s="792"/>
      <c r="D39" s="792"/>
      <c r="E39" s="793"/>
      <c r="F39" s="722" t="s">
        <v>240</v>
      </c>
      <c r="G39" s="795">
        <v>2400</v>
      </c>
      <c r="H39" s="796">
        <f t="shared" si="1"/>
        <v>0</v>
      </c>
      <c r="I39" s="797"/>
      <c r="J39" s="796"/>
      <c r="K39" s="799">
        <f t="shared" si="2"/>
        <v>0</v>
      </c>
      <c r="L39" s="883"/>
    </row>
    <row r="40" spans="1:16" s="884" customFormat="1" ht="24" customHeight="1">
      <c r="A40" s="831"/>
      <c r="B40" s="720" t="s">
        <v>1056</v>
      </c>
      <c r="C40" s="792"/>
      <c r="D40" s="792"/>
      <c r="E40" s="793">
        <v>4</v>
      </c>
      <c r="F40" s="722" t="s">
        <v>240</v>
      </c>
      <c r="G40" s="795">
        <v>2400</v>
      </c>
      <c r="H40" s="796">
        <f t="shared" si="1"/>
        <v>9600</v>
      </c>
      <c r="I40" s="797"/>
      <c r="J40" s="796"/>
      <c r="K40" s="799">
        <f t="shared" si="2"/>
        <v>9600</v>
      </c>
      <c r="L40" s="883"/>
    </row>
    <row r="41" spans="1:16" s="884" customFormat="1" ht="24" customHeight="1">
      <c r="A41" s="831"/>
      <c r="B41" s="720" t="s">
        <v>1057</v>
      </c>
      <c r="C41" s="792"/>
      <c r="D41" s="792"/>
      <c r="E41" s="793">
        <v>3</v>
      </c>
      <c r="F41" s="722" t="s">
        <v>240</v>
      </c>
      <c r="G41" s="795">
        <v>2400</v>
      </c>
      <c r="H41" s="796">
        <f t="shared" si="1"/>
        <v>7200</v>
      </c>
      <c r="I41" s="797"/>
      <c r="J41" s="796"/>
      <c r="K41" s="799">
        <f t="shared" si="2"/>
        <v>7200</v>
      </c>
      <c r="L41" s="883"/>
    </row>
    <row r="42" spans="1:16" s="884" customFormat="1" ht="24" customHeight="1">
      <c r="A42" s="831"/>
      <c r="B42" s="720" t="s">
        <v>1058</v>
      </c>
      <c r="C42" s="792"/>
      <c r="D42" s="792"/>
      <c r="E42" s="793"/>
      <c r="F42" s="722" t="s">
        <v>240</v>
      </c>
      <c r="G42" s="795">
        <v>2400</v>
      </c>
      <c r="H42" s="796">
        <f t="shared" si="1"/>
        <v>0</v>
      </c>
      <c r="I42" s="797"/>
      <c r="J42" s="796"/>
      <c r="K42" s="799">
        <f t="shared" si="2"/>
        <v>0</v>
      </c>
      <c r="L42" s="883"/>
    </row>
    <row r="43" spans="1:16" s="884" customFormat="1" ht="24" customHeight="1">
      <c r="A43" s="831"/>
      <c r="B43" s="720" t="s">
        <v>1059</v>
      </c>
      <c r="C43" s="792"/>
      <c r="D43" s="792"/>
      <c r="E43" s="793">
        <v>1</v>
      </c>
      <c r="F43" s="722" t="s">
        <v>240</v>
      </c>
      <c r="G43" s="795">
        <v>2600</v>
      </c>
      <c r="H43" s="796">
        <f t="shared" si="1"/>
        <v>2600</v>
      </c>
      <c r="I43" s="797"/>
      <c r="J43" s="796"/>
      <c r="K43" s="799">
        <f t="shared" si="2"/>
        <v>2600</v>
      </c>
      <c r="L43" s="883"/>
    </row>
    <row r="44" spans="1:16" s="884" customFormat="1" ht="24" customHeight="1">
      <c r="A44" s="831"/>
      <c r="B44" s="720" t="s">
        <v>1060</v>
      </c>
      <c r="C44" s="792"/>
      <c r="D44" s="792"/>
      <c r="E44" s="793"/>
      <c r="F44" s="722" t="s">
        <v>240</v>
      </c>
      <c r="G44" s="795">
        <v>3000</v>
      </c>
      <c r="H44" s="796">
        <f t="shared" si="1"/>
        <v>0</v>
      </c>
      <c r="I44" s="797"/>
      <c r="J44" s="796"/>
      <c r="K44" s="799">
        <f t="shared" si="2"/>
        <v>0</v>
      </c>
      <c r="L44" s="883"/>
    </row>
    <row r="45" spans="1:16" s="884" customFormat="1" ht="24" customHeight="1">
      <c r="A45" s="831"/>
      <c r="B45" s="720" t="s">
        <v>1061</v>
      </c>
      <c r="C45" s="792"/>
      <c r="D45" s="792"/>
      <c r="E45" s="793"/>
      <c r="F45" s="722" t="s">
        <v>240</v>
      </c>
      <c r="G45" s="795">
        <v>8600</v>
      </c>
      <c r="H45" s="796">
        <f t="shared" si="1"/>
        <v>0</v>
      </c>
      <c r="I45" s="797"/>
      <c r="J45" s="796"/>
      <c r="K45" s="799">
        <f t="shared" si="2"/>
        <v>0</v>
      </c>
      <c r="L45" s="883"/>
    </row>
    <row r="46" spans="1:16" s="884" customFormat="1" ht="24" customHeight="1">
      <c r="A46" s="831"/>
      <c r="B46" s="720" t="s">
        <v>1062</v>
      </c>
      <c r="C46" s="792"/>
      <c r="D46" s="792"/>
      <c r="E46" s="793"/>
      <c r="F46" s="722" t="s">
        <v>240</v>
      </c>
      <c r="G46" s="795">
        <v>8600</v>
      </c>
      <c r="H46" s="796">
        <f t="shared" si="1"/>
        <v>0</v>
      </c>
      <c r="I46" s="797"/>
      <c r="J46" s="796"/>
      <c r="K46" s="799">
        <f t="shared" si="2"/>
        <v>0</v>
      </c>
      <c r="L46" s="883"/>
    </row>
    <row r="47" spans="1:16" s="884" customFormat="1" ht="24" customHeight="1">
      <c r="A47" s="831"/>
      <c r="B47" s="720" t="s">
        <v>1063</v>
      </c>
      <c r="C47" s="792"/>
      <c r="D47" s="792"/>
      <c r="E47" s="793"/>
      <c r="F47" s="722" t="s">
        <v>240</v>
      </c>
      <c r="G47" s="795">
        <v>8600</v>
      </c>
      <c r="H47" s="796">
        <f t="shared" si="1"/>
        <v>0</v>
      </c>
      <c r="I47" s="797"/>
      <c r="J47" s="796"/>
      <c r="K47" s="799">
        <f t="shared" si="2"/>
        <v>0</v>
      </c>
      <c r="L47" s="883"/>
    </row>
    <row r="48" spans="1:16" s="884" customFormat="1" ht="24" customHeight="1">
      <c r="A48" s="831" t="s">
        <v>3088</v>
      </c>
      <c r="B48" s="720" t="s">
        <v>1001</v>
      </c>
      <c r="C48" s="792"/>
      <c r="D48" s="792"/>
      <c r="E48" s="793"/>
      <c r="F48" s="794"/>
      <c r="G48" s="795"/>
      <c r="H48" s="796">
        <f t="shared" si="1"/>
        <v>0</v>
      </c>
      <c r="I48" s="797"/>
      <c r="J48" s="796"/>
      <c r="K48" s="799">
        <f t="shared" si="2"/>
        <v>0</v>
      </c>
      <c r="L48" s="883"/>
    </row>
    <row r="49" spans="1:12" s="884" customFormat="1" ht="24" customHeight="1">
      <c r="A49" s="831"/>
      <c r="B49" s="720" t="s">
        <v>1064</v>
      </c>
      <c r="C49" s="792"/>
      <c r="D49" s="792"/>
      <c r="E49" s="793">
        <v>3</v>
      </c>
      <c r="F49" s="722" t="s">
        <v>240</v>
      </c>
      <c r="G49" s="795">
        <v>660</v>
      </c>
      <c r="H49" s="796">
        <f t="shared" si="1"/>
        <v>1980</v>
      </c>
      <c r="I49" s="797"/>
      <c r="J49" s="796"/>
      <c r="K49" s="799">
        <f t="shared" si="2"/>
        <v>1980</v>
      </c>
      <c r="L49" s="883"/>
    </row>
    <row r="50" spans="1:12" s="884" customFormat="1" ht="24" customHeight="1">
      <c r="A50" s="831"/>
      <c r="B50" s="720" t="s">
        <v>1003</v>
      </c>
      <c r="C50" s="792"/>
      <c r="D50" s="792"/>
      <c r="E50" s="793">
        <v>3</v>
      </c>
      <c r="F50" s="722" t="s">
        <v>240</v>
      </c>
      <c r="G50" s="795">
        <v>120</v>
      </c>
      <c r="H50" s="796">
        <f t="shared" si="1"/>
        <v>360</v>
      </c>
      <c r="I50" s="797"/>
      <c r="J50" s="796"/>
      <c r="K50" s="799">
        <f t="shared" si="2"/>
        <v>360</v>
      </c>
      <c r="L50" s="883"/>
    </row>
    <row r="51" spans="1:12" s="884" customFormat="1" ht="24" customHeight="1">
      <c r="A51" s="831"/>
      <c r="B51" s="720" t="s">
        <v>1004</v>
      </c>
      <c r="C51" s="792"/>
      <c r="D51" s="792"/>
      <c r="E51" s="793">
        <v>3</v>
      </c>
      <c r="F51" s="722" t="s">
        <v>240</v>
      </c>
      <c r="G51" s="795">
        <v>100</v>
      </c>
      <c r="H51" s="796">
        <f t="shared" si="1"/>
        <v>300</v>
      </c>
      <c r="I51" s="797"/>
      <c r="J51" s="796"/>
      <c r="K51" s="799">
        <f t="shared" si="2"/>
        <v>300</v>
      </c>
      <c r="L51" s="883"/>
    </row>
    <row r="52" spans="1:12" s="884" customFormat="1" ht="24" customHeight="1">
      <c r="A52" s="831"/>
      <c r="B52" s="720" t="s">
        <v>1065</v>
      </c>
      <c r="C52" s="792"/>
      <c r="D52" s="792"/>
      <c r="E52" s="793">
        <v>6</v>
      </c>
      <c r="F52" s="722" t="s">
        <v>240</v>
      </c>
      <c r="G52" s="795">
        <v>15435</v>
      </c>
      <c r="H52" s="796">
        <f t="shared" si="1"/>
        <v>92610</v>
      </c>
      <c r="I52" s="797"/>
      <c r="J52" s="796"/>
      <c r="K52" s="799">
        <f t="shared" si="2"/>
        <v>92610</v>
      </c>
      <c r="L52" s="883"/>
    </row>
    <row r="53" spans="1:12" s="884" customFormat="1" ht="24" customHeight="1">
      <c r="A53" s="831" t="s">
        <v>3089</v>
      </c>
      <c r="B53" s="720" t="s">
        <v>1066</v>
      </c>
      <c r="C53" s="792"/>
      <c r="D53" s="792"/>
      <c r="E53" s="793">
        <v>1</v>
      </c>
      <c r="F53" s="722" t="s">
        <v>948</v>
      </c>
      <c r="G53" s="795">
        <v>43400</v>
      </c>
      <c r="H53" s="796">
        <f t="shared" si="1"/>
        <v>43400</v>
      </c>
      <c r="I53" s="797">
        <f>G53*0.3</f>
        <v>13020</v>
      </c>
      <c r="J53" s="796">
        <f>ROUND(E53*I53,)</f>
        <v>13020</v>
      </c>
      <c r="K53" s="799">
        <f t="shared" si="2"/>
        <v>56420</v>
      </c>
      <c r="L53" s="883"/>
    </row>
    <row r="54" spans="1:12" s="884" customFormat="1" ht="24" customHeight="1">
      <c r="A54" s="878" t="s">
        <v>1394</v>
      </c>
      <c r="B54" s="879" t="s">
        <v>1075</v>
      </c>
      <c r="C54" s="880"/>
      <c r="D54" s="880"/>
      <c r="E54" s="881"/>
      <c r="F54" s="794"/>
      <c r="G54" s="795"/>
      <c r="H54" s="796"/>
      <c r="I54" s="797"/>
      <c r="J54" s="796"/>
      <c r="K54" s="797"/>
      <c r="L54" s="887"/>
    </row>
    <row r="55" spans="1:12" s="884" customFormat="1" ht="24" customHeight="1">
      <c r="A55" s="831" t="s">
        <v>3090</v>
      </c>
      <c r="B55" s="720" t="s">
        <v>1053</v>
      </c>
      <c r="C55" s="792"/>
      <c r="D55" s="792"/>
      <c r="E55" s="793"/>
      <c r="F55" s="794"/>
      <c r="G55" s="795"/>
      <c r="H55" s="796"/>
      <c r="I55" s="797"/>
      <c r="J55" s="796"/>
      <c r="K55" s="797"/>
      <c r="L55" s="887"/>
    </row>
    <row r="56" spans="1:12" s="884" customFormat="1" ht="24" customHeight="1">
      <c r="A56" s="831"/>
      <c r="B56" s="720" t="s">
        <v>1054</v>
      </c>
      <c r="C56" s="792"/>
      <c r="D56" s="792"/>
      <c r="E56" s="793"/>
      <c r="F56" s="722" t="s">
        <v>240</v>
      </c>
      <c r="G56" s="795">
        <v>2400</v>
      </c>
      <c r="H56" s="796">
        <f t="shared" ref="H56:H71" si="3">ROUND(G56*E56,)</f>
        <v>0</v>
      </c>
      <c r="I56" s="797"/>
      <c r="J56" s="796"/>
      <c r="K56" s="799">
        <f t="shared" ref="K56:K72" si="4">H56+J56</f>
        <v>0</v>
      </c>
      <c r="L56" s="883"/>
    </row>
    <row r="57" spans="1:12" s="884" customFormat="1" ht="24" customHeight="1">
      <c r="A57" s="831"/>
      <c r="B57" s="720" t="s">
        <v>1055</v>
      </c>
      <c r="C57" s="792"/>
      <c r="D57" s="792"/>
      <c r="E57" s="793"/>
      <c r="F57" s="722" t="s">
        <v>240</v>
      </c>
      <c r="G57" s="795">
        <v>2400</v>
      </c>
      <c r="H57" s="796">
        <f t="shared" si="3"/>
        <v>0</v>
      </c>
      <c r="I57" s="797"/>
      <c r="J57" s="796"/>
      <c r="K57" s="799">
        <f t="shared" si="4"/>
        <v>0</v>
      </c>
      <c r="L57" s="883"/>
    </row>
    <row r="58" spans="1:12" s="884" customFormat="1" ht="24" customHeight="1">
      <c r="A58" s="831"/>
      <c r="B58" s="720" t="s">
        <v>1056</v>
      </c>
      <c r="C58" s="792"/>
      <c r="D58" s="792"/>
      <c r="E58" s="793"/>
      <c r="F58" s="722" t="s">
        <v>240</v>
      </c>
      <c r="G58" s="795">
        <v>2400</v>
      </c>
      <c r="H58" s="796">
        <f t="shared" si="3"/>
        <v>0</v>
      </c>
      <c r="I58" s="797"/>
      <c r="J58" s="796"/>
      <c r="K58" s="799">
        <f t="shared" si="4"/>
        <v>0</v>
      </c>
      <c r="L58" s="883"/>
    </row>
    <row r="59" spans="1:12" s="884" customFormat="1" ht="24" customHeight="1">
      <c r="A59" s="831"/>
      <c r="B59" s="720" t="s">
        <v>1057</v>
      </c>
      <c r="C59" s="792"/>
      <c r="D59" s="792"/>
      <c r="E59" s="793">
        <v>3</v>
      </c>
      <c r="F59" s="722" t="s">
        <v>240</v>
      </c>
      <c r="G59" s="795">
        <v>2400</v>
      </c>
      <c r="H59" s="796">
        <f t="shared" si="3"/>
        <v>7200</v>
      </c>
      <c r="I59" s="797"/>
      <c r="J59" s="796"/>
      <c r="K59" s="799">
        <f t="shared" si="4"/>
        <v>7200</v>
      </c>
      <c r="L59" s="883"/>
    </row>
    <row r="60" spans="1:12" s="884" customFormat="1" ht="24" customHeight="1">
      <c r="A60" s="831"/>
      <c r="B60" s="720" t="s">
        <v>1058</v>
      </c>
      <c r="C60" s="792"/>
      <c r="D60" s="792"/>
      <c r="E60" s="793"/>
      <c r="F60" s="722" t="s">
        <v>240</v>
      </c>
      <c r="G60" s="795">
        <v>2400</v>
      </c>
      <c r="H60" s="796">
        <f t="shared" si="3"/>
        <v>0</v>
      </c>
      <c r="I60" s="797"/>
      <c r="J60" s="796"/>
      <c r="K60" s="799">
        <f t="shared" si="4"/>
        <v>0</v>
      </c>
      <c r="L60" s="883"/>
    </row>
    <row r="61" spans="1:12" s="884" customFormat="1" ht="24" customHeight="1">
      <c r="A61" s="831"/>
      <c r="B61" s="720" t="s">
        <v>1059</v>
      </c>
      <c r="C61" s="792"/>
      <c r="D61" s="792"/>
      <c r="E61" s="793"/>
      <c r="F61" s="722" t="s">
        <v>240</v>
      </c>
      <c r="G61" s="795">
        <v>2600</v>
      </c>
      <c r="H61" s="796">
        <f t="shared" si="3"/>
        <v>0</v>
      </c>
      <c r="I61" s="797"/>
      <c r="J61" s="796"/>
      <c r="K61" s="799">
        <f t="shared" si="4"/>
        <v>0</v>
      </c>
      <c r="L61" s="883"/>
    </row>
    <row r="62" spans="1:12" s="884" customFormat="1" ht="24" customHeight="1">
      <c r="A62" s="831"/>
      <c r="B62" s="720" t="s">
        <v>1060</v>
      </c>
      <c r="C62" s="792"/>
      <c r="D62" s="792"/>
      <c r="E62" s="793"/>
      <c r="F62" s="722" t="s">
        <v>240</v>
      </c>
      <c r="G62" s="795">
        <v>3000</v>
      </c>
      <c r="H62" s="796">
        <f t="shared" si="3"/>
        <v>0</v>
      </c>
      <c r="I62" s="797"/>
      <c r="J62" s="796"/>
      <c r="K62" s="799">
        <f t="shared" si="4"/>
        <v>0</v>
      </c>
      <c r="L62" s="883"/>
    </row>
    <row r="63" spans="1:12" s="884" customFormat="1" ht="24" customHeight="1">
      <c r="A63" s="831"/>
      <c r="B63" s="720" t="s">
        <v>1061</v>
      </c>
      <c r="C63" s="792"/>
      <c r="D63" s="792"/>
      <c r="E63" s="793">
        <v>1</v>
      </c>
      <c r="F63" s="722" t="s">
        <v>240</v>
      </c>
      <c r="G63" s="795">
        <v>8600</v>
      </c>
      <c r="H63" s="796">
        <f t="shared" si="3"/>
        <v>8600</v>
      </c>
      <c r="I63" s="797"/>
      <c r="J63" s="796"/>
      <c r="K63" s="799">
        <f t="shared" si="4"/>
        <v>8600</v>
      </c>
      <c r="L63" s="883"/>
    </row>
    <row r="64" spans="1:12" s="884" customFormat="1" ht="24" customHeight="1">
      <c r="A64" s="831"/>
      <c r="B64" s="720" t="s">
        <v>1062</v>
      </c>
      <c r="C64" s="792"/>
      <c r="D64" s="792"/>
      <c r="E64" s="793"/>
      <c r="F64" s="722" t="s">
        <v>240</v>
      </c>
      <c r="G64" s="795">
        <v>8600</v>
      </c>
      <c r="H64" s="796">
        <f t="shared" si="3"/>
        <v>0</v>
      </c>
      <c r="I64" s="797"/>
      <c r="J64" s="796"/>
      <c r="K64" s="799">
        <f t="shared" si="4"/>
        <v>0</v>
      </c>
      <c r="L64" s="883"/>
    </row>
    <row r="65" spans="1:12" s="884" customFormat="1" ht="24" customHeight="1">
      <c r="A65" s="831"/>
      <c r="B65" s="720" t="s">
        <v>1063</v>
      </c>
      <c r="C65" s="792"/>
      <c r="D65" s="792"/>
      <c r="E65" s="793"/>
      <c r="F65" s="722" t="s">
        <v>240</v>
      </c>
      <c r="G65" s="795">
        <v>8600</v>
      </c>
      <c r="H65" s="796">
        <f t="shared" si="3"/>
        <v>0</v>
      </c>
      <c r="I65" s="797"/>
      <c r="J65" s="796"/>
      <c r="K65" s="799">
        <f t="shared" si="4"/>
        <v>0</v>
      </c>
      <c r="L65" s="883"/>
    </row>
    <row r="66" spans="1:12" s="884" customFormat="1" ht="24" customHeight="1">
      <c r="A66" s="831" t="s">
        <v>3091</v>
      </c>
      <c r="B66" s="720" t="s">
        <v>1001</v>
      </c>
      <c r="C66" s="792"/>
      <c r="D66" s="792"/>
      <c r="E66" s="793"/>
      <c r="F66" s="794"/>
      <c r="G66" s="795"/>
      <c r="H66" s="796">
        <f t="shared" si="3"/>
        <v>0</v>
      </c>
      <c r="I66" s="797"/>
      <c r="J66" s="796"/>
      <c r="K66" s="799">
        <f t="shared" si="4"/>
        <v>0</v>
      </c>
      <c r="L66" s="883"/>
    </row>
    <row r="67" spans="1:12" s="884" customFormat="1" ht="24" customHeight="1">
      <c r="A67" s="831"/>
      <c r="B67" s="720" t="s">
        <v>1076</v>
      </c>
      <c r="C67" s="792"/>
      <c r="D67" s="792"/>
      <c r="E67" s="793">
        <v>3</v>
      </c>
      <c r="F67" s="722" t="s">
        <v>240</v>
      </c>
      <c r="G67" s="795">
        <v>660</v>
      </c>
      <c r="H67" s="796">
        <f t="shared" si="3"/>
        <v>1980</v>
      </c>
      <c r="I67" s="797"/>
      <c r="J67" s="796"/>
      <c r="K67" s="799">
        <f t="shared" si="4"/>
        <v>1980</v>
      </c>
      <c r="L67" s="887"/>
    </row>
    <row r="68" spans="1:12" s="884" customFormat="1" ht="24" customHeight="1">
      <c r="A68" s="831"/>
      <c r="B68" s="720" t="s">
        <v>1003</v>
      </c>
      <c r="C68" s="792"/>
      <c r="D68" s="792"/>
      <c r="E68" s="793">
        <v>3</v>
      </c>
      <c r="F68" s="722" t="s">
        <v>240</v>
      </c>
      <c r="G68" s="795">
        <v>120</v>
      </c>
      <c r="H68" s="796">
        <f t="shared" si="3"/>
        <v>360</v>
      </c>
      <c r="I68" s="797"/>
      <c r="J68" s="796"/>
      <c r="K68" s="799">
        <f t="shared" si="4"/>
        <v>360</v>
      </c>
      <c r="L68" s="887"/>
    </row>
    <row r="69" spans="1:12" s="884" customFormat="1" ht="24" customHeight="1">
      <c r="A69" s="831"/>
      <c r="B69" s="720" t="s">
        <v>1004</v>
      </c>
      <c r="C69" s="792"/>
      <c r="D69" s="792"/>
      <c r="E69" s="793">
        <v>3</v>
      </c>
      <c r="F69" s="722" t="s">
        <v>240</v>
      </c>
      <c r="G69" s="795">
        <v>100</v>
      </c>
      <c r="H69" s="796">
        <f t="shared" si="3"/>
        <v>300</v>
      </c>
      <c r="I69" s="797"/>
      <c r="J69" s="796"/>
      <c r="K69" s="799">
        <f t="shared" si="4"/>
        <v>300</v>
      </c>
      <c r="L69" s="887"/>
    </row>
    <row r="70" spans="1:12" s="884" customFormat="1" ht="24" customHeight="1">
      <c r="A70" s="831"/>
      <c r="B70" s="720" t="s">
        <v>1065</v>
      </c>
      <c r="C70" s="792"/>
      <c r="D70" s="792"/>
      <c r="E70" s="793">
        <v>1</v>
      </c>
      <c r="F70" s="722" t="s">
        <v>240</v>
      </c>
      <c r="G70" s="795">
        <v>15435</v>
      </c>
      <c r="H70" s="796">
        <f t="shared" si="3"/>
        <v>15435</v>
      </c>
      <c r="I70" s="797"/>
      <c r="J70" s="796"/>
      <c r="K70" s="799">
        <f t="shared" si="4"/>
        <v>15435</v>
      </c>
      <c r="L70" s="887"/>
    </row>
    <row r="71" spans="1:12" s="884" customFormat="1" ht="24" customHeight="1">
      <c r="A71" s="831" t="s">
        <v>3092</v>
      </c>
      <c r="B71" s="720" t="s">
        <v>1066</v>
      </c>
      <c r="C71" s="792"/>
      <c r="D71" s="792"/>
      <c r="E71" s="793">
        <v>1</v>
      </c>
      <c r="F71" s="722" t="s">
        <v>948</v>
      </c>
      <c r="G71" s="795">
        <v>43400</v>
      </c>
      <c r="H71" s="796">
        <f t="shared" si="3"/>
        <v>43400</v>
      </c>
      <c r="I71" s="797">
        <f>G71*0.3</f>
        <v>13020</v>
      </c>
      <c r="J71" s="796">
        <f>ROUND(E71*I71,)</f>
        <v>13020</v>
      </c>
      <c r="K71" s="799">
        <f t="shared" si="4"/>
        <v>56420</v>
      </c>
      <c r="L71" s="887"/>
    </row>
    <row r="72" spans="1:12" s="884" customFormat="1" ht="24" customHeight="1">
      <c r="A72" s="878" t="s">
        <v>3100</v>
      </c>
      <c r="B72" s="879" t="s">
        <v>1092</v>
      </c>
      <c r="C72" s="880"/>
      <c r="D72" s="880"/>
      <c r="E72" s="881"/>
      <c r="F72" s="794"/>
      <c r="G72" s="795"/>
      <c r="H72" s="796"/>
      <c r="I72" s="797"/>
      <c r="J72" s="796"/>
      <c r="K72" s="799">
        <f t="shared" si="4"/>
        <v>0</v>
      </c>
      <c r="L72" s="887"/>
    </row>
    <row r="73" spans="1:12" s="884" customFormat="1" ht="24" customHeight="1">
      <c r="A73" s="831" t="s">
        <v>3101</v>
      </c>
      <c r="B73" s="720" t="s">
        <v>1053</v>
      </c>
      <c r="C73" s="792"/>
      <c r="D73" s="792"/>
      <c r="E73" s="793"/>
      <c r="F73" s="794"/>
      <c r="G73" s="795"/>
      <c r="H73" s="796"/>
      <c r="I73" s="797"/>
      <c r="J73" s="796"/>
      <c r="K73" s="797"/>
      <c r="L73" s="887"/>
    </row>
    <row r="74" spans="1:12" s="884" customFormat="1" ht="24" customHeight="1">
      <c r="A74" s="831"/>
      <c r="B74" s="720" t="s">
        <v>1054</v>
      </c>
      <c r="C74" s="792"/>
      <c r="D74" s="792"/>
      <c r="E74" s="793"/>
      <c r="F74" s="722" t="s">
        <v>240</v>
      </c>
      <c r="G74" s="795">
        <v>2400</v>
      </c>
      <c r="H74" s="796">
        <f t="shared" ref="H74:H89" si="5">ROUND(G74*E74,)</f>
        <v>0</v>
      </c>
      <c r="I74" s="797"/>
      <c r="J74" s="796"/>
      <c r="K74" s="799">
        <f t="shared" ref="K74:K89" si="6">H74+J74</f>
        <v>0</v>
      </c>
      <c r="L74" s="883"/>
    </row>
    <row r="75" spans="1:12" s="884" customFormat="1" ht="24" customHeight="1">
      <c r="A75" s="831"/>
      <c r="B75" s="720" t="s">
        <v>1055</v>
      </c>
      <c r="C75" s="792"/>
      <c r="D75" s="792"/>
      <c r="E75" s="793"/>
      <c r="F75" s="722" t="s">
        <v>240</v>
      </c>
      <c r="G75" s="795">
        <v>2400</v>
      </c>
      <c r="H75" s="796">
        <f t="shared" si="5"/>
        <v>0</v>
      </c>
      <c r="I75" s="797"/>
      <c r="J75" s="796"/>
      <c r="K75" s="799">
        <f t="shared" si="6"/>
        <v>0</v>
      </c>
      <c r="L75" s="883"/>
    </row>
    <row r="76" spans="1:12" s="884" customFormat="1" ht="24" customHeight="1">
      <c r="A76" s="831"/>
      <c r="B76" s="720" t="s">
        <v>1056</v>
      </c>
      <c r="C76" s="792"/>
      <c r="D76" s="792"/>
      <c r="E76" s="793">
        <v>3</v>
      </c>
      <c r="F76" s="722" t="s">
        <v>240</v>
      </c>
      <c r="G76" s="795">
        <v>2400</v>
      </c>
      <c r="H76" s="796">
        <f t="shared" si="5"/>
        <v>7200</v>
      </c>
      <c r="I76" s="797"/>
      <c r="J76" s="796"/>
      <c r="K76" s="799">
        <f t="shared" si="6"/>
        <v>7200</v>
      </c>
      <c r="L76" s="883"/>
    </row>
    <row r="77" spans="1:12" s="884" customFormat="1" ht="24" customHeight="1">
      <c r="A77" s="831"/>
      <c r="B77" s="720" t="s">
        <v>1057</v>
      </c>
      <c r="C77" s="792"/>
      <c r="D77" s="792"/>
      <c r="E77" s="793">
        <v>2</v>
      </c>
      <c r="F77" s="722" t="s">
        <v>240</v>
      </c>
      <c r="G77" s="795">
        <v>2400</v>
      </c>
      <c r="H77" s="796">
        <f t="shared" si="5"/>
        <v>4800</v>
      </c>
      <c r="I77" s="797"/>
      <c r="J77" s="796"/>
      <c r="K77" s="799">
        <f t="shared" si="6"/>
        <v>4800</v>
      </c>
      <c r="L77" s="883"/>
    </row>
    <row r="78" spans="1:12" s="884" customFormat="1" ht="24" customHeight="1">
      <c r="A78" s="831"/>
      <c r="B78" s="720" t="s">
        <v>1058</v>
      </c>
      <c r="C78" s="792"/>
      <c r="D78" s="792"/>
      <c r="E78" s="793">
        <v>1</v>
      </c>
      <c r="F78" s="722" t="s">
        <v>240</v>
      </c>
      <c r="G78" s="795">
        <v>2400</v>
      </c>
      <c r="H78" s="796">
        <f t="shared" si="5"/>
        <v>2400</v>
      </c>
      <c r="I78" s="797"/>
      <c r="J78" s="796"/>
      <c r="K78" s="799">
        <f t="shared" si="6"/>
        <v>2400</v>
      </c>
      <c r="L78" s="883"/>
    </row>
    <row r="79" spans="1:12" s="884" customFormat="1" ht="24" customHeight="1">
      <c r="A79" s="831"/>
      <c r="B79" s="720" t="s">
        <v>1059</v>
      </c>
      <c r="C79" s="792"/>
      <c r="D79" s="792"/>
      <c r="E79" s="793">
        <v>1</v>
      </c>
      <c r="F79" s="722" t="s">
        <v>240</v>
      </c>
      <c r="G79" s="795">
        <v>2600</v>
      </c>
      <c r="H79" s="796">
        <f t="shared" si="5"/>
        <v>2600</v>
      </c>
      <c r="I79" s="797"/>
      <c r="J79" s="796"/>
      <c r="K79" s="799">
        <f t="shared" si="6"/>
        <v>2600</v>
      </c>
      <c r="L79" s="883"/>
    </row>
    <row r="80" spans="1:12" s="884" customFormat="1" ht="24" customHeight="1">
      <c r="A80" s="831"/>
      <c r="B80" s="720" t="s">
        <v>1060</v>
      </c>
      <c r="C80" s="792"/>
      <c r="D80" s="792"/>
      <c r="E80" s="793"/>
      <c r="F80" s="722" t="s">
        <v>240</v>
      </c>
      <c r="G80" s="795">
        <v>3000</v>
      </c>
      <c r="H80" s="796">
        <f t="shared" si="5"/>
        <v>0</v>
      </c>
      <c r="I80" s="797"/>
      <c r="J80" s="796"/>
      <c r="K80" s="799">
        <f t="shared" si="6"/>
        <v>0</v>
      </c>
      <c r="L80" s="883"/>
    </row>
    <row r="81" spans="1:17" s="884" customFormat="1" ht="24" customHeight="1">
      <c r="A81" s="831"/>
      <c r="B81" s="720" t="s">
        <v>1061</v>
      </c>
      <c r="C81" s="792"/>
      <c r="D81" s="792"/>
      <c r="E81" s="793"/>
      <c r="F81" s="722" t="s">
        <v>240</v>
      </c>
      <c r="G81" s="795">
        <v>8600</v>
      </c>
      <c r="H81" s="796">
        <f t="shared" si="5"/>
        <v>0</v>
      </c>
      <c r="I81" s="797"/>
      <c r="J81" s="796"/>
      <c r="K81" s="799">
        <f t="shared" si="6"/>
        <v>0</v>
      </c>
      <c r="L81" s="883"/>
    </row>
    <row r="82" spans="1:17" s="884" customFormat="1" ht="24" customHeight="1">
      <c r="A82" s="831"/>
      <c r="B82" s="720" t="s">
        <v>1062</v>
      </c>
      <c r="C82" s="792"/>
      <c r="D82" s="792"/>
      <c r="E82" s="793"/>
      <c r="F82" s="722" t="s">
        <v>240</v>
      </c>
      <c r="G82" s="795">
        <v>8600</v>
      </c>
      <c r="H82" s="796">
        <f t="shared" si="5"/>
        <v>0</v>
      </c>
      <c r="I82" s="797"/>
      <c r="J82" s="796"/>
      <c r="K82" s="799">
        <f t="shared" si="6"/>
        <v>0</v>
      </c>
      <c r="L82" s="883"/>
    </row>
    <row r="83" spans="1:17" s="884" customFormat="1" ht="24" customHeight="1">
      <c r="A83" s="831"/>
      <c r="B83" s="720" t="s">
        <v>1063</v>
      </c>
      <c r="C83" s="792"/>
      <c r="D83" s="792"/>
      <c r="E83" s="793"/>
      <c r="F83" s="722" t="s">
        <v>240</v>
      </c>
      <c r="G83" s="795">
        <v>8600</v>
      </c>
      <c r="H83" s="796">
        <f t="shared" si="5"/>
        <v>0</v>
      </c>
      <c r="I83" s="797"/>
      <c r="J83" s="796"/>
      <c r="K83" s="799">
        <f t="shared" si="6"/>
        <v>0</v>
      </c>
      <c r="L83" s="883"/>
    </row>
    <row r="84" spans="1:17" s="884" customFormat="1" ht="24" customHeight="1">
      <c r="A84" s="831" t="s">
        <v>3102</v>
      </c>
      <c r="B84" s="720" t="s">
        <v>1001</v>
      </c>
      <c r="C84" s="792"/>
      <c r="D84" s="792"/>
      <c r="E84" s="793"/>
      <c r="F84" s="794"/>
      <c r="G84" s="795"/>
      <c r="H84" s="796">
        <f t="shared" si="5"/>
        <v>0</v>
      </c>
      <c r="I84" s="797"/>
      <c r="J84" s="796"/>
      <c r="K84" s="799">
        <f t="shared" si="6"/>
        <v>0</v>
      </c>
      <c r="L84" s="883"/>
    </row>
    <row r="85" spans="1:17" s="884" customFormat="1" ht="24" customHeight="1">
      <c r="A85" s="831"/>
      <c r="B85" s="720" t="s">
        <v>1064</v>
      </c>
      <c r="C85" s="792"/>
      <c r="D85" s="792"/>
      <c r="E85" s="793">
        <v>3</v>
      </c>
      <c r="F85" s="722" t="s">
        <v>240</v>
      </c>
      <c r="G85" s="795">
        <v>660</v>
      </c>
      <c r="H85" s="796">
        <f t="shared" si="5"/>
        <v>1980</v>
      </c>
      <c r="I85" s="797"/>
      <c r="J85" s="796"/>
      <c r="K85" s="799">
        <f t="shared" si="6"/>
        <v>1980</v>
      </c>
      <c r="L85" s="887"/>
    </row>
    <row r="86" spans="1:17" s="884" customFormat="1" ht="24" customHeight="1">
      <c r="A86" s="831"/>
      <c r="B86" s="720" t="s">
        <v>1003</v>
      </c>
      <c r="C86" s="792"/>
      <c r="D86" s="792"/>
      <c r="E86" s="793">
        <v>3</v>
      </c>
      <c r="F86" s="722" t="s">
        <v>240</v>
      </c>
      <c r="G86" s="795">
        <v>120</v>
      </c>
      <c r="H86" s="796">
        <f t="shared" si="5"/>
        <v>360</v>
      </c>
      <c r="I86" s="797"/>
      <c r="J86" s="796"/>
      <c r="K86" s="799">
        <f t="shared" si="6"/>
        <v>360</v>
      </c>
      <c r="L86" s="887"/>
    </row>
    <row r="87" spans="1:17" s="884" customFormat="1" ht="24" customHeight="1">
      <c r="A87" s="831"/>
      <c r="B87" s="720" t="s">
        <v>1004</v>
      </c>
      <c r="C87" s="792"/>
      <c r="D87" s="792"/>
      <c r="E87" s="793">
        <v>3</v>
      </c>
      <c r="F87" s="722" t="s">
        <v>240</v>
      </c>
      <c r="G87" s="795">
        <v>100</v>
      </c>
      <c r="H87" s="796">
        <f t="shared" si="5"/>
        <v>300</v>
      </c>
      <c r="I87" s="797"/>
      <c r="J87" s="796"/>
      <c r="K87" s="799">
        <f t="shared" si="6"/>
        <v>300</v>
      </c>
      <c r="L87" s="887"/>
    </row>
    <row r="88" spans="1:17" s="884" customFormat="1" ht="24" customHeight="1">
      <c r="A88" s="831"/>
      <c r="B88" s="720" t="s">
        <v>1065</v>
      </c>
      <c r="C88" s="792"/>
      <c r="D88" s="792"/>
      <c r="E88" s="793">
        <v>5</v>
      </c>
      <c r="F88" s="722" t="s">
        <v>240</v>
      </c>
      <c r="G88" s="795">
        <v>15435</v>
      </c>
      <c r="H88" s="796">
        <f t="shared" si="5"/>
        <v>77175</v>
      </c>
      <c r="I88" s="797"/>
      <c r="J88" s="796"/>
      <c r="K88" s="799">
        <f t="shared" si="6"/>
        <v>77175</v>
      </c>
      <c r="L88" s="887"/>
    </row>
    <row r="89" spans="1:17" s="884" customFormat="1" ht="24" customHeight="1">
      <c r="A89" s="831" t="s">
        <v>3103</v>
      </c>
      <c r="B89" s="720" t="s">
        <v>1066</v>
      </c>
      <c r="C89" s="792"/>
      <c r="D89" s="792"/>
      <c r="E89" s="793">
        <v>1</v>
      </c>
      <c r="F89" s="722" t="s">
        <v>948</v>
      </c>
      <c r="G89" s="795">
        <v>43400</v>
      </c>
      <c r="H89" s="796">
        <f t="shared" si="5"/>
        <v>43400</v>
      </c>
      <c r="I89" s="797">
        <f>G89*0.3</f>
        <v>13020</v>
      </c>
      <c r="J89" s="796">
        <f>ROUND(E89*I89,)</f>
        <v>13020</v>
      </c>
      <c r="K89" s="799">
        <f t="shared" si="6"/>
        <v>56420</v>
      </c>
      <c r="L89" s="887"/>
    </row>
    <row r="90" spans="1:17" s="714" customFormat="1" ht="24" customHeight="1">
      <c r="A90" s="831"/>
      <c r="B90" s="720" t="s">
        <v>957</v>
      </c>
      <c r="C90" s="792"/>
      <c r="D90" s="792"/>
      <c r="E90" s="793"/>
      <c r="F90" s="794"/>
      <c r="G90" s="795"/>
      <c r="H90" s="796"/>
      <c r="I90" s="797"/>
      <c r="J90" s="864"/>
      <c r="K90" s="906"/>
      <c r="L90" s="964"/>
      <c r="M90" s="729"/>
      <c r="N90" s="729"/>
      <c r="O90" s="729"/>
      <c r="P90" s="729"/>
      <c r="Q90" s="729"/>
    </row>
    <row r="91" spans="1:17" s="714" customFormat="1" ht="24" customHeight="1">
      <c r="A91" s="719"/>
      <c r="B91" s="720" t="s">
        <v>1428</v>
      </c>
      <c r="C91" s="717"/>
      <c r="D91" s="718"/>
      <c r="E91" s="721"/>
      <c r="F91" s="722"/>
      <c r="G91" s="710"/>
      <c r="H91" s="711"/>
      <c r="I91" s="712"/>
      <c r="J91" s="957"/>
      <c r="K91" s="958"/>
      <c r="L91" s="954"/>
    </row>
    <row r="92" spans="1:17" s="714" customFormat="1" ht="24" customHeight="1">
      <c r="A92" s="719"/>
      <c r="B92" s="720" t="s">
        <v>1428</v>
      </c>
      <c r="C92" s="717"/>
      <c r="D92" s="718"/>
      <c r="E92" s="721"/>
      <c r="F92" s="722"/>
      <c r="G92" s="710"/>
      <c r="H92" s="711"/>
      <c r="I92" s="712"/>
      <c r="J92" s="957"/>
      <c r="K92" s="958"/>
      <c r="L92" s="954"/>
    </row>
    <row r="93" spans="1:17" s="714" customFormat="1" ht="24" customHeight="1">
      <c r="A93" s="719"/>
      <c r="B93" s="955"/>
      <c r="C93" s="717"/>
      <c r="D93" s="718"/>
      <c r="E93" s="721"/>
      <c r="F93" s="722"/>
      <c r="G93" s="710"/>
      <c r="H93" s="711"/>
      <c r="I93" s="956"/>
      <c r="J93" s="957"/>
      <c r="K93" s="958"/>
      <c r="L93" s="954"/>
    </row>
    <row r="94" spans="1:17" s="714" customFormat="1" ht="24" customHeight="1">
      <c r="A94" s="775"/>
      <c r="B94" s="2475" t="str">
        <f>"รวมราคารายการที่ "&amp;A35</f>
        <v>รวมราคารายการที่ 3.1</v>
      </c>
      <c r="C94" s="2476"/>
      <c r="D94" s="2477"/>
      <c r="E94" s="776"/>
      <c r="F94" s="777"/>
      <c r="G94" s="959"/>
      <c r="H94" s="960">
        <f>SUM(H35:H93)</f>
        <v>375540</v>
      </c>
      <c r="I94" s="959"/>
      <c r="J94" s="960">
        <f>SUM(J35:J93)</f>
        <v>39060</v>
      </c>
      <c r="K94" s="960">
        <f>SUM(K35:K93)</f>
        <v>414600</v>
      </c>
      <c r="L94" s="777"/>
      <c r="M94" s="729"/>
      <c r="N94" s="729"/>
      <c r="O94" s="729"/>
      <c r="P94" s="729"/>
      <c r="Q94" s="729"/>
    </row>
    <row r="95" spans="1:17" s="714" customFormat="1" ht="24" customHeight="1">
      <c r="A95" s="815">
        <v>3.2</v>
      </c>
      <c r="B95" s="816" t="s">
        <v>1103</v>
      </c>
      <c r="C95" s="859"/>
      <c r="D95" s="859"/>
      <c r="E95" s="851"/>
      <c r="F95" s="852"/>
      <c r="G95" s="853"/>
      <c r="H95" s="854"/>
      <c r="I95" s="855"/>
      <c r="J95" s="854"/>
      <c r="K95" s="855"/>
      <c r="L95" s="826"/>
    </row>
    <row r="96" spans="1:17" s="884" customFormat="1" ht="24" customHeight="1">
      <c r="A96" s="878" t="s">
        <v>960</v>
      </c>
      <c r="B96" s="894" t="s">
        <v>1112</v>
      </c>
      <c r="C96" s="895"/>
      <c r="D96" s="895"/>
      <c r="E96" s="896"/>
      <c r="F96" s="897"/>
      <c r="G96" s="858"/>
      <c r="H96" s="864"/>
      <c r="I96" s="865"/>
      <c r="J96" s="864"/>
      <c r="K96" s="799">
        <f t="shared" ref="K96:K159" si="7">H96+J96</f>
        <v>0</v>
      </c>
      <c r="L96" s="883"/>
    </row>
    <row r="97" spans="1:12" s="884" customFormat="1" ht="24" customHeight="1">
      <c r="A97" s="831" t="s">
        <v>3093</v>
      </c>
      <c r="B97" s="800" t="s">
        <v>1053</v>
      </c>
      <c r="C97" s="801"/>
      <c r="D97" s="801"/>
      <c r="E97" s="802"/>
      <c r="F97" s="867"/>
      <c r="G97" s="858"/>
      <c r="H97" s="864"/>
      <c r="I97" s="865"/>
      <c r="J97" s="864"/>
      <c r="K97" s="799">
        <f t="shared" si="7"/>
        <v>0</v>
      </c>
      <c r="L97" s="883"/>
    </row>
    <row r="98" spans="1:12" s="884" customFormat="1" ht="24" customHeight="1">
      <c r="A98" s="831"/>
      <c r="B98" s="720" t="s">
        <v>1054</v>
      </c>
      <c r="C98" s="792"/>
      <c r="D98" s="792"/>
      <c r="E98" s="793"/>
      <c r="F98" s="722" t="s">
        <v>240</v>
      </c>
      <c r="G98" s="795">
        <v>2400</v>
      </c>
      <c r="H98" s="796">
        <f t="shared" ref="H98:H113" si="8">ROUND(G98*E98,)</f>
        <v>0</v>
      </c>
      <c r="I98" s="797"/>
      <c r="J98" s="796"/>
      <c r="K98" s="799">
        <f t="shared" si="7"/>
        <v>0</v>
      </c>
      <c r="L98" s="883"/>
    </row>
    <row r="99" spans="1:12" s="884" customFormat="1" ht="24" customHeight="1">
      <c r="A99" s="831"/>
      <c r="B99" s="720" t="s">
        <v>1055</v>
      </c>
      <c r="C99" s="792"/>
      <c r="D99" s="792"/>
      <c r="E99" s="793">
        <v>1</v>
      </c>
      <c r="F99" s="722" t="s">
        <v>240</v>
      </c>
      <c r="G99" s="795">
        <v>2400</v>
      </c>
      <c r="H99" s="796">
        <f t="shared" si="8"/>
        <v>2400</v>
      </c>
      <c r="I99" s="797"/>
      <c r="J99" s="796"/>
      <c r="K99" s="799">
        <f t="shared" si="7"/>
        <v>2400</v>
      </c>
      <c r="L99" s="883"/>
    </row>
    <row r="100" spans="1:12" s="884" customFormat="1" ht="24" customHeight="1">
      <c r="A100" s="831"/>
      <c r="B100" s="720" t="s">
        <v>1056</v>
      </c>
      <c r="C100" s="792"/>
      <c r="D100" s="792"/>
      <c r="E100" s="793"/>
      <c r="F100" s="722" t="s">
        <v>240</v>
      </c>
      <c r="G100" s="795">
        <v>2400</v>
      </c>
      <c r="H100" s="796">
        <f t="shared" si="8"/>
        <v>0</v>
      </c>
      <c r="I100" s="797"/>
      <c r="J100" s="796"/>
      <c r="K100" s="799">
        <f t="shared" si="7"/>
        <v>0</v>
      </c>
      <c r="L100" s="883"/>
    </row>
    <row r="101" spans="1:12" s="884" customFormat="1" ht="24" customHeight="1">
      <c r="A101" s="831"/>
      <c r="B101" s="720" t="s">
        <v>1057</v>
      </c>
      <c r="C101" s="792"/>
      <c r="D101" s="792"/>
      <c r="E101" s="793"/>
      <c r="F101" s="722" t="s">
        <v>240</v>
      </c>
      <c r="G101" s="795">
        <v>2400</v>
      </c>
      <c r="H101" s="796">
        <f t="shared" si="8"/>
        <v>0</v>
      </c>
      <c r="I101" s="797"/>
      <c r="J101" s="796"/>
      <c r="K101" s="799">
        <f t="shared" si="7"/>
        <v>0</v>
      </c>
      <c r="L101" s="883"/>
    </row>
    <row r="102" spans="1:12" s="884" customFormat="1" ht="24" customHeight="1">
      <c r="A102" s="831"/>
      <c r="B102" s="720" t="s">
        <v>1058</v>
      </c>
      <c r="C102" s="792"/>
      <c r="D102" s="792"/>
      <c r="E102" s="793"/>
      <c r="F102" s="722" t="s">
        <v>240</v>
      </c>
      <c r="G102" s="795">
        <v>2400</v>
      </c>
      <c r="H102" s="796">
        <f t="shared" si="8"/>
        <v>0</v>
      </c>
      <c r="I102" s="797"/>
      <c r="J102" s="796"/>
      <c r="K102" s="799">
        <f t="shared" si="7"/>
        <v>0</v>
      </c>
      <c r="L102" s="883"/>
    </row>
    <row r="103" spans="1:12" s="884" customFormat="1" ht="24" customHeight="1">
      <c r="A103" s="831"/>
      <c r="B103" s="720" t="s">
        <v>1059</v>
      </c>
      <c r="C103" s="792"/>
      <c r="D103" s="792"/>
      <c r="E103" s="793"/>
      <c r="F103" s="722" t="s">
        <v>240</v>
      </c>
      <c r="G103" s="795">
        <v>2600</v>
      </c>
      <c r="H103" s="796">
        <f t="shared" si="8"/>
        <v>0</v>
      </c>
      <c r="I103" s="797"/>
      <c r="J103" s="796"/>
      <c r="K103" s="799">
        <f t="shared" si="7"/>
        <v>0</v>
      </c>
      <c r="L103" s="883"/>
    </row>
    <row r="104" spans="1:12" s="884" customFormat="1" ht="24" customHeight="1">
      <c r="A104" s="831"/>
      <c r="B104" s="720" t="s">
        <v>1060</v>
      </c>
      <c r="C104" s="792"/>
      <c r="D104" s="792"/>
      <c r="E104" s="793"/>
      <c r="F104" s="722" t="s">
        <v>240</v>
      </c>
      <c r="G104" s="795">
        <v>3000</v>
      </c>
      <c r="H104" s="796">
        <f t="shared" si="8"/>
        <v>0</v>
      </c>
      <c r="I104" s="797"/>
      <c r="J104" s="796"/>
      <c r="K104" s="799">
        <f t="shared" si="7"/>
        <v>0</v>
      </c>
      <c r="L104" s="883"/>
    </row>
    <row r="105" spans="1:12" s="884" customFormat="1" ht="24" customHeight="1">
      <c r="A105" s="831"/>
      <c r="B105" s="720" t="s">
        <v>1088</v>
      </c>
      <c r="C105" s="801"/>
      <c r="D105" s="801"/>
      <c r="E105" s="802"/>
      <c r="F105" s="803" t="s">
        <v>240</v>
      </c>
      <c r="G105" s="795">
        <v>5000</v>
      </c>
      <c r="H105" s="864">
        <f t="shared" si="8"/>
        <v>0</v>
      </c>
      <c r="I105" s="865"/>
      <c r="J105" s="864"/>
      <c r="K105" s="799">
        <f t="shared" si="7"/>
        <v>0</v>
      </c>
      <c r="L105" s="883"/>
    </row>
    <row r="106" spans="1:12" s="884" customFormat="1" ht="24" customHeight="1">
      <c r="A106" s="831"/>
      <c r="B106" s="720" t="s">
        <v>1105</v>
      </c>
      <c r="C106" s="801"/>
      <c r="D106" s="801"/>
      <c r="E106" s="802"/>
      <c r="F106" s="803" t="s">
        <v>240</v>
      </c>
      <c r="G106" s="795">
        <v>5700</v>
      </c>
      <c r="H106" s="864">
        <f t="shared" si="8"/>
        <v>0</v>
      </c>
      <c r="I106" s="865"/>
      <c r="J106" s="864"/>
      <c r="K106" s="799">
        <f t="shared" si="7"/>
        <v>0</v>
      </c>
      <c r="L106" s="883"/>
    </row>
    <row r="107" spans="1:12" s="884" customFormat="1" ht="24" customHeight="1">
      <c r="A107" s="831"/>
      <c r="B107" s="720" t="s">
        <v>1086</v>
      </c>
      <c r="C107" s="801"/>
      <c r="D107" s="801"/>
      <c r="E107" s="802"/>
      <c r="F107" s="803" t="s">
        <v>240</v>
      </c>
      <c r="G107" s="795">
        <v>5700</v>
      </c>
      <c r="H107" s="864">
        <f t="shared" si="8"/>
        <v>0</v>
      </c>
      <c r="I107" s="865"/>
      <c r="J107" s="864"/>
      <c r="K107" s="799">
        <f t="shared" si="7"/>
        <v>0</v>
      </c>
      <c r="L107" s="883"/>
    </row>
    <row r="108" spans="1:12" s="884" customFormat="1" ht="24" customHeight="1">
      <c r="A108" s="2396"/>
      <c r="B108" s="720" t="s">
        <v>1061</v>
      </c>
      <c r="C108" s="801"/>
      <c r="D108" s="801"/>
      <c r="E108" s="802"/>
      <c r="F108" s="803" t="s">
        <v>240</v>
      </c>
      <c r="G108" s="795">
        <v>8600</v>
      </c>
      <c r="H108" s="864">
        <f t="shared" si="8"/>
        <v>0</v>
      </c>
      <c r="I108" s="865"/>
      <c r="J108" s="864"/>
      <c r="K108" s="799">
        <f t="shared" si="7"/>
        <v>0</v>
      </c>
      <c r="L108" s="883"/>
    </row>
    <row r="109" spans="1:12" s="884" customFormat="1" ht="24" customHeight="1">
      <c r="A109" s="831"/>
      <c r="B109" s="720" t="s">
        <v>1062</v>
      </c>
      <c r="C109" s="801"/>
      <c r="D109" s="801"/>
      <c r="E109" s="802"/>
      <c r="F109" s="803" t="s">
        <v>240</v>
      </c>
      <c r="G109" s="795">
        <v>8600</v>
      </c>
      <c r="H109" s="864">
        <f t="shared" si="8"/>
        <v>0</v>
      </c>
      <c r="I109" s="865"/>
      <c r="J109" s="864"/>
      <c r="K109" s="799">
        <f t="shared" si="7"/>
        <v>0</v>
      </c>
      <c r="L109" s="883"/>
    </row>
    <row r="110" spans="1:12" s="884" customFormat="1" ht="24" customHeight="1">
      <c r="A110" s="831"/>
      <c r="B110" s="720" t="s">
        <v>1063</v>
      </c>
      <c r="C110" s="801"/>
      <c r="D110" s="801"/>
      <c r="E110" s="802"/>
      <c r="F110" s="803" t="s">
        <v>240</v>
      </c>
      <c r="G110" s="795">
        <v>11500</v>
      </c>
      <c r="H110" s="864">
        <f t="shared" si="8"/>
        <v>0</v>
      </c>
      <c r="I110" s="865"/>
      <c r="J110" s="864"/>
      <c r="K110" s="799">
        <f t="shared" si="7"/>
        <v>0</v>
      </c>
      <c r="L110" s="883"/>
    </row>
    <row r="111" spans="1:12" s="884" customFormat="1" ht="24" customHeight="1">
      <c r="A111" s="831"/>
      <c r="B111" s="720" t="s">
        <v>1106</v>
      </c>
      <c r="C111" s="801"/>
      <c r="D111" s="801"/>
      <c r="E111" s="802"/>
      <c r="F111" s="803" t="s">
        <v>240</v>
      </c>
      <c r="G111" s="795">
        <v>20200</v>
      </c>
      <c r="H111" s="864">
        <f t="shared" si="8"/>
        <v>0</v>
      </c>
      <c r="I111" s="865"/>
      <c r="J111" s="864"/>
      <c r="K111" s="799">
        <f t="shared" si="7"/>
        <v>0</v>
      </c>
      <c r="L111" s="883"/>
    </row>
    <row r="112" spans="1:12" s="884" customFormat="1" ht="24" customHeight="1">
      <c r="A112" s="831"/>
      <c r="B112" s="720" t="s">
        <v>1107</v>
      </c>
      <c r="C112" s="801"/>
      <c r="D112" s="801"/>
      <c r="E112" s="802"/>
      <c r="F112" s="803" t="s">
        <v>240</v>
      </c>
      <c r="G112" s="795">
        <v>20200</v>
      </c>
      <c r="H112" s="864">
        <f t="shared" si="8"/>
        <v>0</v>
      </c>
      <c r="I112" s="865"/>
      <c r="J112" s="864"/>
      <c r="K112" s="799">
        <f t="shared" si="7"/>
        <v>0</v>
      </c>
      <c r="L112" s="883"/>
    </row>
    <row r="113" spans="1:12" s="884" customFormat="1" ht="24" customHeight="1">
      <c r="A113" s="2396"/>
      <c r="B113" s="720" t="s">
        <v>1108</v>
      </c>
      <c r="C113" s="801"/>
      <c r="D113" s="801"/>
      <c r="E113" s="802"/>
      <c r="F113" s="803" t="s">
        <v>240</v>
      </c>
      <c r="G113" s="795">
        <v>20200</v>
      </c>
      <c r="H113" s="864">
        <f t="shared" si="8"/>
        <v>0</v>
      </c>
      <c r="I113" s="865"/>
      <c r="J113" s="864"/>
      <c r="K113" s="799">
        <f t="shared" si="7"/>
        <v>0</v>
      </c>
      <c r="L113" s="883"/>
    </row>
    <row r="114" spans="1:12" s="884" customFormat="1" ht="24" customHeight="1">
      <c r="A114" s="831" t="s">
        <v>3094</v>
      </c>
      <c r="B114" s="800" t="s">
        <v>1001</v>
      </c>
      <c r="C114" s="801"/>
      <c r="D114" s="801"/>
      <c r="E114" s="802"/>
      <c r="F114" s="867"/>
      <c r="G114" s="858"/>
      <c r="H114" s="864"/>
      <c r="I114" s="865"/>
      <c r="J114" s="864"/>
      <c r="K114" s="799">
        <f t="shared" si="7"/>
        <v>0</v>
      </c>
      <c r="L114" s="887"/>
    </row>
    <row r="115" spans="1:12" s="884" customFormat="1" ht="24" customHeight="1">
      <c r="A115" s="878"/>
      <c r="B115" s="800" t="s">
        <v>1073</v>
      </c>
      <c r="C115" s="801"/>
      <c r="D115" s="801"/>
      <c r="E115" s="802">
        <v>3</v>
      </c>
      <c r="F115" s="803" t="s">
        <v>240</v>
      </c>
      <c r="G115" s="858">
        <v>600</v>
      </c>
      <c r="H115" s="864">
        <f t="shared" ref="H115:H119" si="9">ROUND(G115*E115,)</f>
        <v>1800</v>
      </c>
      <c r="I115" s="865"/>
      <c r="J115" s="864"/>
      <c r="K115" s="799">
        <f t="shared" si="7"/>
        <v>1800</v>
      </c>
      <c r="L115" s="887"/>
    </row>
    <row r="116" spans="1:12" s="884" customFormat="1" ht="24" customHeight="1">
      <c r="A116" s="831"/>
      <c r="B116" s="800" t="s">
        <v>1003</v>
      </c>
      <c r="C116" s="801"/>
      <c r="D116" s="801"/>
      <c r="E116" s="802">
        <v>3</v>
      </c>
      <c r="F116" s="803" t="s">
        <v>240</v>
      </c>
      <c r="G116" s="858">
        <v>120</v>
      </c>
      <c r="H116" s="864">
        <f t="shared" si="9"/>
        <v>360</v>
      </c>
      <c r="I116" s="865"/>
      <c r="J116" s="864"/>
      <c r="K116" s="799">
        <f t="shared" si="7"/>
        <v>360</v>
      </c>
      <c r="L116" s="883"/>
    </row>
    <row r="117" spans="1:12" s="884" customFormat="1" ht="24" customHeight="1">
      <c r="A117" s="831"/>
      <c r="B117" s="800" t="s">
        <v>1004</v>
      </c>
      <c r="C117" s="801"/>
      <c r="D117" s="801"/>
      <c r="E117" s="802">
        <v>3</v>
      </c>
      <c r="F117" s="803" t="s">
        <v>240</v>
      </c>
      <c r="G117" s="858">
        <v>100</v>
      </c>
      <c r="H117" s="864">
        <f t="shared" si="9"/>
        <v>300</v>
      </c>
      <c r="I117" s="865"/>
      <c r="J117" s="864"/>
      <c r="K117" s="799">
        <f t="shared" si="7"/>
        <v>300</v>
      </c>
      <c r="L117" s="883"/>
    </row>
    <row r="118" spans="1:12" s="884" customFormat="1" ht="24" customHeight="1">
      <c r="A118" s="831"/>
      <c r="B118" s="800" t="s">
        <v>1065</v>
      </c>
      <c r="C118" s="801"/>
      <c r="D118" s="801"/>
      <c r="E118" s="802">
        <v>1</v>
      </c>
      <c r="F118" s="803" t="s">
        <v>240</v>
      </c>
      <c r="G118" s="858">
        <v>15435</v>
      </c>
      <c r="H118" s="864">
        <f t="shared" si="9"/>
        <v>15435</v>
      </c>
      <c r="I118" s="865"/>
      <c r="J118" s="864"/>
      <c r="K118" s="799">
        <f t="shared" si="7"/>
        <v>15435</v>
      </c>
      <c r="L118" s="883"/>
    </row>
    <row r="119" spans="1:12" s="884" customFormat="1" ht="24" customHeight="1">
      <c r="A119" s="831" t="s">
        <v>3095</v>
      </c>
      <c r="B119" s="720" t="s">
        <v>1066</v>
      </c>
      <c r="C119" s="792"/>
      <c r="D119" s="792"/>
      <c r="E119" s="793">
        <v>1</v>
      </c>
      <c r="F119" s="722" t="s">
        <v>948</v>
      </c>
      <c r="G119" s="795">
        <v>33400</v>
      </c>
      <c r="H119" s="796">
        <f t="shared" si="9"/>
        <v>33400</v>
      </c>
      <c r="I119" s="797">
        <f>G119*0.3</f>
        <v>10020</v>
      </c>
      <c r="J119" s="796">
        <f>ROUND(E119*I119,)</f>
        <v>10020</v>
      </c>
      <c r="K119" s="799">
        <f t="shared" si="7"/>
        <v>43420</v>
      </c>
      <c r="L119" s="887"/>
    </row>
    <row r="120" spans="1:12" s="884" customFormat="1" ht="24" customHeight="1">
      <c r="A120" s="878" t="s">
        <v>962</v>
      </c>
      <c r="B120" s="894" t="s">
        <v>1113</v>
      </c>
      <c r="C120" s="895"/>
      <c r="D120" s="895"/>
      <c r="E120" s="896"/>
      <c r="F120" s="897"/>
      <c r="G120" s="858"/>
      <c r="H120" s="864"/>
      <c r="I120" s="865"/>
      <c r="J120" s="864"/>
      <c r="K120" s="799">
        <f t="shared" si="7"/>
        <v>0</v>
      </c>
      <c r="L120" s="887"/>
    </row>
    <row r="121" spans="1:12" s="884" customFormat="1" ht="24" customHeight="1">
      <c r="A121" s="831" t="s">
        <v>3096</v>
      </c>
      <c r="B121" s="800" t="s">
        <v>1053</v>
      </c>
      <c r="C121" s="801"/>
      <c r="D121" s="801"/>
      <c r="E121" s="802"/>
      <c r="F121" s="867"/>
      <c r="G121" s="858"/>
      <c r="H121" s="864"/>
      <c r="I121" s="865"/>
      <c r="J121" s="864"/>
      <c r="K121" s="799">
        <f t="shared" si="7"/>
        <v>0</v>
      </c>
      <c r="L121" s="883"/>
    </row>
    <row r="122" spans="1:12" s="884" customFormat="1" ht="24" customHeight="1">
      <c r="A122" s="831"/>
      <c r="B122" s="720" t="s">
        <v>1054</v>
      </c>
      <c r="C122" s="792"/>
      <c r="D122" s="792"/>
      <c r="E122" s="793">
        <v>1</v>
      </c>
      <c r="F122" s="722" t="s">
        <v>240</v>
      </c>
      <c r="G122" s="795">
        <v>2400</v>
      </c>
      <c r="H122" s="796">
        <f t="shared" ref="H122:H137" si="10">ROUND(G122*E122,)</f>
        <v>2400</v>
      </c>
      <c r="I122" s="797"/>
      <c r="J122" s="796"/>
      <c r="K122" s="799">
        <f t="shared" si="7"/>
        <v>2400</v>
      </c>
      <c r="L122" s="883"/>
    </row>
    <row r="123" spans="1:12" s="884" customFormat="1" ht="24" customHeight="1">
      <c r="A123" s="831"/>
      <c r="B123" s="720" t="s">
        <v>1055</v>
      </c>
      <c r="C123" s="792"/>
      <c r="D123" s="792"/>
      <c r="E123" s="793">
        <v>1</v>
      </c>
      <c r="F123" s="722" t="s">
        <v>240</v>
      </c>
      <c r="G123" s="795">
        <v>2400</v>
      </c>
      <c r="H123" s="796">
        <f t="shared" si="10"/>
        <v>2400</v>
      </c>
      <c r="I123" s="797"/>
      <c r="J123" s="796"/>
      <c r="K123" s="799">
        <f t="shared" si="7"/>
        <v>2400</v>
      </c>
      <c r="L123" s="883"/>
    </row>
    <row r="124" spans="1:12" s="884" customFormat="1" ht="24" customHeight="1">
      <c r="A124" s="831"/>
      <c r="B124" s="720" t="s">
        <v>1056</v>
      </c>
      <c r="C124" s="792"/>
      <c r="D124" s="792"/>
      <c r="E124" s="793"/>
      <c r="F124" s="722" t="s">
        <v>240</v>
      </c>
      <c r="G124" s="795">
        <v>2400</v>
      </c>
      <c r="H124" s="796">
        <f t="shared" si="10"/>
        <v>0</v>
      </c>
      <c r="I124" s="797"/>
      <c r="J124" s="796"/>
      <c r="K124" s="799">
        <f t="shared" si="7"/>
        <v>0</v>
      </c>
      <c r="L124" s="883"/>
    </row>
    <row r="125" spans="1:12" s="884" customFormat="1" ht="24" customHeight="1">
      <c r="A125" s="831"/>
      <c r="B125" s="720" t="s">
        <v>1057</v>
      </c>
      <c r="C125" s="792"/>
      <c r="D125" s="792"/>
      <c r="E125" s="793">
        <v>1</v>
      </c>
      <c r="F125" s="722" t="s">
        <v>240</v>
      </c>
      <c r="G125" s="795">
        <v>2400</v>
      </c>
      <c r="H125" s="796">
        <f t="shared" si="10"/>
        <v>2400</v>
      </c>
      <c r="I125" s="797"/>
      <c r="J125" s="796"/>
      <c r="K125" s="799">
        <f t="shared" si="7"/>
        <v>2400</v>
      </c>
      <c r="L125" s="883"/>
    </row>
    <row r="126" spans="1:12" s="884" customFormat="1" ht="24" customHeight="1">
      <c r="A126" s="831"/>
      <c r="B126" s="720" t="s">
        <v>1058</v>
      </c>
      <c r="C126" s="792"/>
      <c r="D126" s="792"/>
      <c r="E126" s="793"/>
      <c r="F126" s="722" t="s">
        <v>240</v>
      </c>
      <c r="G126" s="795">
        <v>2400</v>
      </c>
      <c r="H126" s="796">
        <f t="shared" si="10"/>
        <v>0</v>
      </c>
      <c r="I126" s="797"/>
      <c r="J126" s="796"/>
      <c r="K126" s="799">
        <f t="shared" si="7"/>
        <v>0</v>
      </c>
      <c r="L126" s="883"/>
    </row>
    <row r="127" spans="1:12" s="884" customFormat="1" ht="24" customHeight="1">
      <c r="A127" s="831"/>
      <c r="B127" s="720" t="s">
        <v>1059</v>
      </c>
      <c r="C127" s="792"/>
      <c r="D127" s="792"/>
      <c r="E127" s="793"/>
      <c r="F127" s="722" t="s">
        <v>240</v>
      </c>
      <c r="G127" s="795">
        <v>2600</v>
      </c>
      <c r="H127" s="796">
        <f t="shared" si="10"/>
        <v>0</v>
      </c>
      <c r="I127" s="797"/>
      <c r="J127" s="796"/>
      <c r="K127" s="799">
        <f t="shared" si="7"/>
        <v>0</v>
      </c>
      <c r="L127" s="887"/>
    </row>
    <row r="128" spans="1:12" s="884" customFormat="1" ht="24" customHeight="1">
      <c r="A128" s="831"/>
      <c r="B128" s="720" t="s">
        <v>1060</v>
      </c>
      <c r="C128" s="792"/>
      <c r="D128" s="792"/>
      <c r="E128" s="793"/>
      <c r="F128" s="722" t="s">
        <v>240</v>
      </c>
      <c r="G128" s="795">
        <v>3000</v>
      </c>
      <c r="H128" s="796">
        <f t="shared" si="10"/>
        <v>0</v>
      </c>
      <c r="I128" s="797"/>
      <c r="J128" s="796"/>
      <c r="K128" s="799">
        <f t="shared" si="7"/>
        <v>0</v>
      </c>
      <c r="L128" s="887"/>
    </row>
    <row r="129" spans="1:17" s="884" customFormat="1" ht="24" customHeight="1">
      <c r="A129" s="831"/>
      <c r="B129" s="720" t="s">
        <v>1088</v>
      </c>
      <c r="C129" s="801"/>
      <c r="D129" s="801"/>
      <c r="E129" s="802"/>
      <c r="F129" s="803" t="s">
        <v>240</v>
      </c>
      <c r="G129" s="795">
        <v>5000</v>
      </c>
      <c r="H129" s="864">
        <f t="shared" si="10"/>
        <v>0</v>
      </c>
      <c r="I129" s="865"/>
      <c r="J129" s="864"/>
      <c r="K129" s="799">
        <f t="shared" si="7"/>
        <v>0</v>
      </c>
      <c r="L129" s="887"/>
    </row>
    <row r="130" spans="1:17" s="884" customFormat="1" ht="24" customHeight="1">
      <c r="A130" s="831"/>
      <c r="B130" s="720" t="s">
        <v>1105</v>
      </c>
      <c r="C130" s="801"/>
      <c r="D130" s="801"/>
      <c r="E130" s="802"/>
      <c r="F130" s="803" t="s">
        <v>240</v>
      </c>
      <c r="G130" s="795">
        <v>5700</v>
      </c>
      <c r="H130" s="864">
        <f t="shared" si="10"/>
        <v>0</v>
      </c>
      <c r="I130" s="865"/>
      <c r="J130" s="864"/>
      <c r="K130" s="799">
        <f t="shared" si="7"/>
        <v>0</v>
      </c>
      <c r="L130" s="887"/>
    </row>
    <row r="131" spans="1:17" s="884" customFormat="1" ht="24" customHeight="1">
      <c r="A131" s="2396"/>
      <c r="B131" s="720" t="s">
        <v>1086</v>
      </c>
      <c r="C131" s="801"/>
      <c r="D131" s="801"/>
      <c r="E131" s="802"/>
      <c r="F131" s="803" t="s">
        <v>240</v>
      </c>
      <c r="G131" s="795">
        <v>5700</v>
      </c>
      <c r="H131" s="864">
        <f t="shared" si="10"/>
        <v>0</v>
      </c>
      <c r="I131" s="865"/>
      <c r="J131" s="864"/>
      <c r="K131" s="799">
        <f t="shared" si="7"/>
        <v>0</v>
      </c>
      <c r="L131" s="887"/>
    </row>
    <row r="132" spans="1:17" s="884" customFormat="1" ht="24" customHeight="1">
      <c r="A132" s="831"/>
      <c r="B132" s="720" t="s">
        <v>1061</v>
      </c>
      <c r="C132" s="801"/>
      <c r="D132" s="801"/>
      <c r="E132" s="802"/>
      <c r="F132" s="803" t="s">
        <v>240</v>
      </c>
      <c r="G132" s="795">
        <v>8600</v>
      </c>
      <c r="H132" s="864">
        <f t="shared" si="10"/>
        <v>0</v>
      </c>
      <c r="I132" s="865"/>
      <c r="J132" s="864"/>
      <c r="K132" s="799">
        <f t="shared" si="7"/>
        <v>0</v>
      </c>
      <c r="L132" s="887"/>
    </row>
    <row r="133" spans="1:17" s="884" customFormat="1" ht="24" customHeight="1">
      <c r="A133" s="831"/>
      <c r="B133" s="720" t="s">
        <v>1062</v>
      </c>
      <c r="C133" s="801"/>
      <c r="D133" s="801"/>
      <c r="E133" s="802"/>
      <c r="F133" s="803" t="s">
        <v>240</v>
      </c>
      <c r="G133" s="795">
        <v>8600</v>
      </c>
      <c r="H133" s="864">
        <f t="shared" si="10"/>
        <v>0</v>
      </c>
      <c r="I133" s="865"/>
      <c r="J133" s="864"/>
      <c r="K133" s="799">
        <f t="shared" si="7"/>
        <v>0</v>
      </c>
      <c r="L133" s="887"/>
    </row>
    <row r="134" spans="1:17" s="884" customFormat="1" ht="24" customHeight="1">
      <c r="A134" s="831"/>
      <c r="B134" s="720" t="s">
        <v>1063</v>
      </c>
      <c r="C134" s="801"/>
      <c r="D134" s="801"/>
      <c r="E134" s="802"/>
      <c r="F134" s="803" t="s">
        <v>240</v>
      </c>
      <c r="G134" s="795">
        <v>11500</v>
      </c>
      <c r="H134" s="864">
        <f t="shared" si="10"/>
        <v>0</v>
      </c>
      <c r="I134" s="865"/>
      <c r="J134" s="864"/>
      <c r="K134" s="799">
        <f t="shared" si="7"/>
        <v>0</v>
      </c>
      <c r="L134" s="887"/>
    </row>
    <row r="135" spans="1:17" s="884" customFormat="1" ht="24" customHeight="1">
      <c r="A135" s="831"/>
      <c r="B135" s="720" t="s">
        <v>1106</v>
      </c>
      <c r="C135" s="801"/>
      <c r="D135" s="801"/>
      <c r="E135" s="802"/>
      <c r="F135" s="803" t="s">
        <v>240</v>
      </c>
      <c r="G135" s="795">
        <v>20200</v>
      </c>
      <c r="H135" s="864">
        <f t="shared" si="10"/>
        <v>0</v>
      </c>
      <c r="I135" s="865"/>
      <c r="J135" s="864"/>
      <c r="K135" s="799">
        <f t="shared" si="7"/>
        <v>0</v>
      </c>
      <c r="L135" s="887"/>
    </row>
    <row r="136" spans="1:17" s="884" customFormat="1" ht="24" customHeight="1">
      <c r="A136" s="2396"/>
      <c r="B136" s="720" t="s">
        <v>1107</v>
      </c>
      <c r="C136" s="801"/>
      <c r="D136" s="801"/>
      <c r="E136" s="802"/>
      <c r="F136" s="803" t="s">
        <v>240</v>
      </c>
      <c r="G136" s="795">
        <v>20200</v>
      </c>
      <c r="H136" s="864">
        <f t="shared" si="10"/>
        <v>0</v>
      </c>
      <c r="I136" s="865"/>
      <c r="J136" s="864"/>
      <c r="K136" s="799">
        <f t="shared" si="7"/>
        <v>0</v>
      </c>
      <c r="L136" s="887"/>
    </row>
    <row r="137" spans="1:17" s="884" customFormat="1" ht="24" customHeight="1">
      <c r="A137" s="878"/>
      <c r="B137" s="720" t="s">
        <v>1108</v>
      </c>
      <c r="C137" s="801"/>
      <c r="D137" s="801"/>
      <c r="E137" s="802"/>
      <c r="F137" s="803" t="s">
        <v>240</v>
      </c>
      <c r="G137" s="795">
        <v>20200</v>
      </c>
      <c r="H137" s="864">
        <f t="shared" si="10"/>
        <v>0</v>
      </c>
      <c r="I137" s="865"/>
      <c r="J137" s="864"/>
      <c r="K137" s="799">
        <f t="shared" si="7"/>
        <v>0</v>
      </c>
      <c r="L137" s="887"/>
    </row>
    <row r="138" spans="1:17" s="884" customFormat="1" ht="24" customHeight="1">
      <c r="A138" s="831" t="s">
        <v>3097</v>
      </c>
      <c r="B138" s="800" t="s">
        <v>1001</v>
      </c>
      <c r="C138" s="801"/>
      <c r="D138" s="801"/>
      <c r="E138" s="802"/>
      <c r="F138" s="867"/>
      <c r="G138" s="858"/>
      <c r="H138" s="864"/>
      <c r="I138" s="865"/>
      <c r="J138" s="864"/>
      <c r="K138" s="799">
        <f t="shared" si="7"/>
        <v>0</v>
      </c>
      <c r="L138" s="887"/>
    </row>
    <row r="139" spans="1:17" s="884" customFormat="1" ht="24" customHeight="1">
      <c r="A139" s="831"/>
      <c r="B139" s="800" t="s">
        <v>1114</v>
      </c>
      <c r="C139" s="801"/>
      <c r="D139" s="801"/>
      <c r="E139" s="802">
        <v>3</v>
      </c>
      <c r="F139" s="803" t="s">
        <v>240</v>
      </c>
      <c r="G139" s="858">
        <v>600</v>
      </c>
      <c r="H139" s="864">
        <f>ROUND(G139*E139,)</f>
        <v>1800</v>
      </c>
      <c r="I139" s="865"/>
      <c r="J139" s="864"/>
      <c r="K139" s="799">
        <f t="shared" si="7"/>
        <v>1800</v>
      </c>
      <c r="L139" s="887"/>
    </row>
    <row r="140" spans="1:17" s="884" customFormat="1" ht="24" customHeight="1">
      <c r="A140" s="831"/>
      <c r="B140" s="800" t="s">
        <v>1003</v>
      </c>
      <c r="C140" s="801"/>
      <c r="D140" s="801"/>
      <c r="E140" s="802">
        <v>3</v>
      </c>
      <c r="F140" s="803" t="s">
        <v>240</v>
      </c>
      <c r="G140" s="858">
        <v>120</v>
      </c>
      <c r="H140" s="864">
        <f>ROUND(G140*E140,)</f>
        <v>360</v>
      </c>
      <c r="I140" s="865"/>
      <c r="J140" s="864"/>
      <c r="K140" s="799">
        <f t="shared" si="7"/>
        <v>360</v>
      </c>
      <c r="L140" s="887"/>
    </row>
    <row r="141" spans="1:17" s="884" customFormat="1" ht="24" customHeight="1">
      <c r="A141" s="2396"/>
      <c r="B141" s="800" t="s">
        <v>1004</v>
      </c>
      <c r="C141" s="801"/>
      <c r="D141" s="801"/>
      <c r="E141" s="802">
        <v>3</v>
      </c>
      <c r="F141" s="803" t="s">
        <v>240</v>
      </c>
      <c r="G141" s="858">
        <v>100</v>
      </c>
      <c r="H141" s="864">
        <f>ROUND(G141*E141,)</f>
        <v>300</v>
      </c>
      <c r="I141" s="865"/>
      <c r="J141" s="864"/>
      <c r="K141" s="799">
        <f t="shared" si="7"/>
        <v>300</v>
      </c>
      <c r="L141" s="887"/>
    </row>
    <row r="142" spans="1:17" s="714" customFormat="1" ht="24" customHeight="1">
      <c r="A142" s="1422"/>
      <c r="B142" s="800" t="s">
        <v>1065</v>
      </c>
      <c r="C142" s="801"/>
      <c r="D142" s="801"/>
      <c r="E142" s="802">
        <v>1</v>
      </c>
      <c r="F142" s="803" t="s">
        <v>240</v>
      </c>
      <c r="G142" s="858">
        <v>15435</v>
      </c>
      <c r="H142" s="864">
        <f>ROUND(G142*E142,)</f>
        <v>15435</v>
      </c>
      <c r="I142" s="865"/>
      <c r="J142" s="864"/>
      <c r="K142" s="799">
        <f t="shared" si="7"/>
        <v>15435</v>
      </c>
      <c r="L142" s="887"/>
      <c r="M142" s="729"/>
      <c r="N142" s="729"/>
      <c r="O142" s="729"/>
      <c r="P142" s="729"/>
      <c r="Q142" s="729"/>
    </row>
    <row r="143" spans="1:17" s="714" customFormat="1" ht="24" customHeight="1">
      <c r="A143" s="831" t="s">
        <v>3098</v>
      </c>
      <c r="B143" s="720" t="s">
        <v>1066</v>
      </c>
      <c r="C143" s="792"/>
      <c r="D143" s="792"/>
      <c r="E143" s="793">
        <v>1</v>
      </c>
      <c r="F143" s="722" t="s">
        <v>948</v>
      </c>
      <c r="G143" s="795">
        <v>33400</v>
      </c>
      <c r="H143" s="796">
        <f>ROUND(G143*E143,)</f>
        <v>33400</v>
      </c>
      <c r="I143" s="797">
        <f>G143*0.3</f>
        <v>10020</v>
      </c>
      <c r="J143" s="796">
        <f>ROUND(E143*I143,)</f>
        <v>10020</v>
      </c>
      <c r="K143" s="799">
        <f t="shared" si="7"/>
        <v>43420</v>
      </c>
      <c r="L143" s="964"/>
      <c r="M143" s="729"/>
      <c r="N143" s="729"/>
      <c r="O143" s="729"/>
      <c r="P143" s="729"/>
      <c r="Q143" s="729"/>
    </row>
    <row r="144" spans="1:17" s="884" customFormat="1" ht="24" customHeight="1">
      <c r="A144" s="878" t="s">
        <v>1415</v>
      </c>
      <c r="B144" s="894" t="s">
        <v>1127</v>
      </c>
      <c r="C144" s="895"/>
      <c r="D144" s="895"/>
      <c r="E144" s="896"/>
      <c r="F144" s="897"/>
      <c r="G144" s="858"/>
      <c r="H144" s="864"/>
      <c r="I144" s="865"/>
      <c r="J144" s="864"/>
      <c r="K144" s="799">
        <f t="shared" si="7"/>
        <v>0</v>
      </c>
      <c r="L144" s="887"/>
    </row>
    <row r="145" spans="1:12" s="884" customFormat="1" ht="24" customHeight="1">
      <c r="A145" s="831" t="s">
        <v>3104</v>
      </c>
      <c r="B145" s="800" t="s">
        <v>1053</v>
      </c>
      <c r="C145" s="801"/>
      <c r="D145" s="801"/>
      <c r="E145" s="802"/>
      <c r="F145" s="867"/>
      <c r="G145" s="858"/>
      <c r="H145" s="864"/>
      <c r="I145" s="865"/>
      <c r="J145" s="864"/>
      <c r="K145" s="799">
        <f t="shared" si="7"/>
        <v>0</v>
      </c>
      <c r="L145" s="887"/>
    </row>
    <row r="146" spans="1:12" s="884" customFormat="1" ht="24" customHeight="1">
      <c r="A146" s="831"/>
      <c r="B146" s="720" t="s">
        <v>1055</v>
      </c>
      <c r="C146" s="792"/>
      <c r="D146" s="792"/>
      <c r="E146" s="793">
        <v>1</v>
      </c>
      <c r="F146" s="722" t="s">
        <v>240</v>
      </c>
      <c r="G146" s="795">
        <v>2400</v>
      </c>
      <c r="H146" s="796">
        <f t="shared" ref="H146:H166" si="11">ROUND(G146*E146,)</f>
        <v>2400</v>
      </c>
      <c r="I146" s="797"/>
      <c r="J146" s="796"/>
      <c r="K146" s="799">
        <f t="shared" si="7"/>
        <v>2400</v>
      </c>
      <c r="L146" s="883"/>
    </row>
    <row r="147" spans="1:12" s="884" customFormat="1" ht="24" customHeight="1">
      <c r="A147" s="831"/>
      <c r="B147" s="720" t="s">
        <v>1056</v>
      </c>
      <c r="C147" s="792"/>
      <c r="D147" s="792"/>
      <c r="E147" s="793"/>
      <c r="F147" s="722" t="s">
        <v>240</v>
      </c>
      <c r="G147" s="795">
        <v>2400</v>
      </c>
      <c r="H147" s="796">
        <f t="shared" si="11"/>
        <v>0</v>
      </c>
      <c r="I147" s="797"/>
      <c r="J147" s="796"/>
      <c r="K147" s="799">
        <f t="shared" si="7"/>
        <v>0</v>
      </c>
      <c r="L147" s="883"/>
    </row>
    <row r="148" spans="1:12" s="884" customFormat="1" ht="24" customHeight="1">
      <c r="A148" s="831"/>
      <c r="B148" s="720" t="s">
        <v>1057</v>
      </c>
      <c r="C148" s="792"/>
      <c r="D148" s="792"/>
      <c r="E148" s="793"/>
      <c r="F148" s="722" t="s">
        <v>240</v>
      </c>
      <c r="G148" s="795">
        <v>2400</v>
      </c>
      <c r="H148" s="796">
        <f t="shared" si="11"/>
        <v>0</v>
      </c>
      <c r="I148" s="797"/>
      <c r="J148" s="796"/>
      <c r="K148" s="799">
        <f t="shared" si="7"/>
        <v>0</v>
      </c>
      <c r="L148" s="883"/>
    </row>
    <row r="149" spans="1:12" s="884" customFormat="1" ht="24" customHeight="1">
      <c r="A149" s="831"/>
      <c r="B149" s="720" t="s">
        <v>1058</v>
      </c>
      <c r="C149" s="792"/>
      <c r="D149" s="792"/>
      <c r="E149" s="793"/>
      <c r="F149" s="722" t="s">
        <v>240</v>
      </c>
      <c r="G149" s="795">
        <v>2400</v>
      </c>
      <c r="H149" s="796">
        <f t="shared" si="11"/>
        <v>0</v>
      </c>
      <c r="I149" s="797"/>
      <c r="J149" s="796"/>
      <c r="K149" s="799">
        <f t="shared" si="7"/>
        <v>0</v>
      </c>
      <c r="L149" s="883"/>
    </row>
    <row r="150" spans="1:12" s="884" customFormat="1" ht="24" customHeight="1">
      <c r="A150" s="831"/>
      <c r="B150" s="720" t="s">
        <v>1059</v>
      </c>
      <c r="C150" s="792"/>
      <c r="D150" s="792"/>
      <c r="E150" s="793"/>
      <c r="F150" s="722" t="s">
        <v>240</v>
      </c>
      <c r="G150" s="795">
        <v>2600</v>
      </c>
      <c r="H150" s="796">
        <f t="shared" si="11"/>
        <v>0</v>
      </c>
      <c r="I150" s="797"/>
      <c r="J150" s="796"/>
      <c r="K150" s="799">
        <f t="shared" si="7"/>
        <v>0</v>
      </c>
      <c r="L150" s="883"/>
    </row>
    <row r="151" spans="1:12" s="884" customFormat="1" ht="24" customHeight="1">
      <c r="A151" s="831"/>
      <c r="B151" s="720" t="s">
        <v>1060</v>
      </c>
      <c r="C151" s="792"/>
      <c r="D151" s="792"/>
      <c r="E151" s="793"/>
      <c r="F151" s="722" t="s">
        <v>240</v>
      </c>
      <c r="G151" s="795">
        <v>3000</v>
      </c>
      <c r="H151" s="796">
        <f t="shared" si="11"/>
        <v>0</v>
      </c>
      <c r="I151" s="797"/>
      <c r="J151" s="796"/>
      <c r="K151" s="799">
        <f t="shared" si="7"/>
        <v>0</v>
      </c>
      <c r="L151" s="883"/>
    </row>
    <row r="152" spans="1:12" s="884" customFormat="1" ht="24" customHeight="1">
      <c r="A152" s="831"/>
      <c r="B152" s="720" t="s">
        <v>1088</v>
      </c>
      <c r="C152" s="801"/>
      <c r="D152" s="801"/>
      <c r="E152" s="802"/>
      <c r="F152" s="803" t="s">
        <v>240</v>
      </c>
      <c r="G152" s="858">
        <v>2400</v>
      </c>
      <c r="H152" s="864">
        <f t="shared" si="11"/>
        <v>0</v>
      </c>
      <c r="I152" s="865"/>
      <c r="J152" s="864"/>
      <c r="K152" s="799">
        <f t="shared" si="7"/>
        <v>0</v>
      </c>
      <c r="L152" s="887"/>
    </row>
    <row r="153" spans="1:12" s="884" customFormat="1" ht="24" customHeight="1">
      <c r="A153" s="831"/>
      <c r="B153" s="720" t="s">
        <v>1105</v>
      </c>
      <c r="C153" s="801"/>
      <c r="D153" s="801"/>
      <c r="E153" s="802"/>
      <c r="F153" s="803" t="s">
        <v>240</v>
      </c>
      <c r="G153" s="858">
        <v>2400</v>
      </c>
      <c r="H153" s="864">
        <f t="shared" si="11"/>
        <v>0</v>
      </c>
      <c r="I153" s="865"/>
      <c r="J153" s="864"/>
      <c r="K153" s="799">
        <f t="shared" si="7"/>
        <v>0</v>
      </c>
      <c r="L153" s="887"/>
    </row>
    <row r="154" spans="1:12" s="884" customFormat="1" ht="24" customHeight="1">
      <c r="A154" s="831"/>
      <c r="B154" s="720" t="s">
        <v>1086</v>
      </c>
      <c r="C154" s="801"/>
      <c r="D154" s="801"/>
      <c r="E154" s="802"/>
      <c r="F154" s="803" t="s">
        <v>240</v>
      </c>
      <c r="G154" s="858">
        <v>3000</v>
      </c>
      <c r="H154" s="864">
        <f t="shared" si="11"/>
        <v>0</v>
      </c>
      <c r="I154" s="865"/>
      <c r="J154" s="864"/>
      <c r="K154" s="799">
        <f t="shared" si="7"/>
        <v>0</v>
      </c>
      <c r="L154" s="887"/>
    </row>
    <row r="155" spans="1:12" s="884" customFormat="1" ht="24" customHeight="1">
      <c r="A155" s="831"/>
      <c r="B155" s="720" t="s">
        <v>1061</v>
      </c>
      <c r="C155" s="801"/>
      <c r="D155" s="801"/>
      <c r="E155" s="802"/>
      <c r="F155" s="803" t="s">
        <v>240</v>
      </c>
      <c r="G155" s="858">
        <v>5700</v>
      </c>
      <c r="H155" s="864">
        <f t="shared" si="11"/>
        <v>0</v>
      </c>
      <c r="I155" s="865"/>
      <c r="J155" s="864"/>
      <c r="K155" s="799">
        <f t="shared" si="7"/>
        <v>0</v>
      </c>
      <c r="L155" s="887"/>
    </row>
    <row r="156" spans="1:12" s="884" customFormat="1" ht="24" customHeight="1">
      <c r="A156" s="2396"/>
      <c r="B156" s="720" t="s">
        <v>1062</v>
      </c>
      <c r="C156" s="801"/>
      <c r="D156" s="801"/>
      <c r="E156" s="802"/>
      <c r="F156" s="803" t="s">
        <v>240</v>
      </c>
      <c r="G156" s="858">
        <v>5700</v>
      </c>
      <c r="H156" s="864">
        <f t="shared" si="11"/>
        <v>0</v>
      </c>
      <c r="I156" s="865"/>
      <c r="J156" s="864"/>
      <c r="K156" s="799">
        <f t="shared" si="7"/>
        <v>0</v>
      </c>
      <c r="L156" s="887"/>
    </row>
    <row r="157" spans="1:12" s="884" customFormat="1" ht="24" customHeight="1">
      <c r="A157" s="831"/>
      <c r="B157" s="720" t="s">
        <v>1063</v>
      </c>
      <c r="C157" s="801"/>
      <c r="D157" s="801"/>
      <c r="E157" s="802"/>
      <c r="F157" s="803" t="s">
        <v>240</v>
      </c>
      <c r="G157" s="858">
        <v>5700</v>
      </c>
      <c r="H157" s="864">
        <f t="shared" si="11"/>
        <v>0</v>
      </c>
      <c r="I157" s="865"/>
      <c r="J157" s="864"/>
      <c r="K157" s="799">
        <f t="shared" si="7"/>
        <v>0</v>
      </c>
      <c r="L157" s="887"/>
    </row>
    <row r="158" spans="1:12" s="884" customFormat="1" ht="24" customHeight="1">
      <c r="A158" s="831"/>
      <c r="B158" s="720" t="s">
        <v>1106</v>
      </c>
      <c r="C158" s="801"/>
      <c r="D158" s="801"/>
      <c r="E158" s="802"/>
      <c r="F158" s="803" t="s">
        <v>240</v>
      </c>
      <c r="G158" s="858">
        <v>5700</v>
      </c>
      <c r="H158" s="864">
        <f t="shared" si="11"/>
        <v>0</v>
      </c>
      <c r="I158" s="865"/>
      <c r="J158" s="864"/>
      <c r="K158" s="799">
        <f t="shared" si="7"/>
        <v>0</v>
      </c>
      <c r="L158" s="887"/>
    </row>
    <row r="159" spans="1:12" s="884" customFormat="1" ht="24" customHeight="1">
      <c r="A159" s="831"/>
      <c r="B159" s="720" t="s">
        <v>1107</v>
      </c>
      <c r="C159" s="801"/>
      <c r="D159" s="801"/>
      <c r="E159" s="802"/>
      <c r="F159" s="803" t="s">
        <v>240</v>
      </c>
      <c r="G159" s="858">
        <v>5700</v>
      </c>
      <c r="H159" s="864">
        <f t="shared" si="11"/>
        <v>0</v>
      </c>
      <c r="I159" s="865"/>
      <c r="J159" s="864"/>
      <c r="K159" s="799">
        <f t="shared" si="7"/>
        <v>0</v>
      </c>
      <c r="L159" s="887"/>
    </row>
    <row r="160" spans="1:12" s="884" customFormat="1" ht="24" customHeight="1">
      <c r="A160" s="831"/>
      <c r="B160" s="720" t="s">
        <v>1108</v>
      </c>
      <c r="C160" s="801"/>
      <c r="D160" s="801"/>
      <c r="E160" s="802"/>
      <c r="F160" s="803" t="s">
        <v>240</v>
      </c>
      <c r="G160" s="858">
        <v>5700</v>
      </c>
      <c r="H160" s="864">
        <f t="shared" si="11"/>
        <v>0</v>
      </c>
      <c r="I160" s="865"/>
      <c r="J160" s="864"/>
      <c r="K160" s="799">
        <f t="shared" ref="K160:K166" si="12">H160+J160</f>
        <v>0</v>
      </c>
      <c r="L160" s="887"/>
    </row>
    <row r="161" spans="1:17" s="884" customFormat="1" ht="24" customHeight="1">
      <c r="A161" s="831" t="s">
        <v>3105</v>
      </c>
      <c r="B161" s="800" t="s">
        <v>1001</v>
      </c>
      <c r="C161" s="801"/>
      <c r="D161" s="801"/>
      <c r="E161" s="802"/>
      <c r="F161" s="867"/>
      <c r="G161" s="858"/>
      <c r="H161" s="864">
        <f t="shared" si="11"/>
        <v>0</v>
      </c>
      <c r="I161" s="865"/>
      <c r="J161" s="864"/>
      <c r="K161" s="799">
        <f t="shared" si="12"/>
        <v>0</v>
      </c>
      <c r="L161" s="887"/>
    </row>
    <row r="162" spans="1:17" s="884" customFormat="1" ht="24" customHeight="1">
      <c r="A162" s="831"/>
      <c r="B162" s="800" t="s">
        <v>1073</v>
      </c>
      <c r="C162" s="801"/>
      <c r="D162" s="801"/>
      <c r="E162" s="802">
        <v>3</v>
      </c>
      <c r="F162" s="803" t="s">
        <v>240</v>
      </c>
      <c r="G162" s="858">
        <v>600</v>
      </c>
      <c r="H162" s="864">
        <f t="shared" si="11"/>
        <v>1800</v>
      </c>
      <c r="I162" s="865"/>
      <c r="J162" s="864"/>
      <c r="K162" s="799">
        <f t="shared" si="12"/>
        <v>1800</v>
      </c>
      <c r="L162" s="887"/>
    </row>
    <row r="163" spans="1:17" s="884" customFormat="1" ht="24" customHeight="1">
      <c r="A163" s="831"/>
      <c r="B163" s="800" t="s">
        <v>1003</v>
      </c>
      <c r="C163" s="801"/>
      <c r="D163" s="801"/>
      <c r="E163" s="802">
        <v>3</v>
      </c>
      <c r="F163" s="803" t="s">
        <v>240</v>
      </c>
      <c r="G163" s="858">
        <v>120</v>
      </c>
      <c r="H163" s="864">
        <f t="shared" si="11"/>
        <v>360</v>
      </c>
      <c r="I163" s="865"/>
      <c r="J163" s="864"/>
      <c r="K163" s="799">
        <f t="shared" si="12"/>
        <v>360</v>
      </c>
      <c r="L163" s="887"/>
    </row>
    <row r="164" spans="1:17" s="884" customFormat="1" ht="24" customHeight="1">
      <c r="A164" s="831"/>
      <c r="B164" s="800" t="s">
        <v>1004</v>
      </c>
      <c r="C164" s="801"/>
      <c r="D164" s="801"/>
      <c r="E164" s="802">
        <v>3</v>
      </c>
      <c r="F164" s="803" t="s">
        <v>240</v>
      </c>
      <c r="G164" s="858">
        <v>100</v>
      </c>
      <c r="H164" s="864">
        <f t="shared" si="11"/>
        <v>300</v>
      </c>
      <c r="I164" s="865"/>
      <c r="J164" s="864"/>
      <c r="K164" s="799">
        <f t="shared" si="12"/>
        <v>300</v>
      </c>
      <c r="L164" s="887"/>
    </row>
    <row r="165" spans="1:17" s="884" customFormat="1" ht="24" customHeight="1">
      <c r="A165" s="2396"/>
      <c r="B165" s="800" t="s">
        <v>1065</v>
      </c>
      <c r="C165" s="801"/>
      <c r="D165" s="801"/>
      <c r="E165" s="802">
        <v>4</v>
      </c>
      <c r="F165" s="803" t="s">
        <v>240</v>
      </c>
      <c r="G165" s="858">
        <v>15435</v>
      </c>
      <c r="H165" s="864">
        <f t="shared" si="11"/>
        <v>61740</v>
      </c>
      <c r="I165" s="865"/>
      <c r="J165" s="864"/>
      <c r="K165" s="799">
        <f t="shared" si="12"/>
        <v>61740</v>
      </c>
      <c r="L165" s="887"/>
    </row>
    <row r="166" spans="1:17" s="884" customFormat="1" ht="24" customHeight="1">
      <c r="A166" s="831" t="s">
        <v>3106</v>
      </c>
      <c r="B166" s="800" t="s">
        <v>1066</v>
      </c>
      <c r="C166" s="801"/>
      <c r="D166" s="801"/>
      <c r="E166" s="802">
        <v>1</v>
      </c>
      <c r="F166" s="803" t="s">
        <v>948</v>
      </c>
      <c r="G166" s="795">
        <v>33400</v>
      </c>
      <c r="H166" s="864">
        <f t="shared" si="11"/>
        <v>33400</v>
      </c>
      <c r="I166" s="865">
        <f>G166*0.3</f>
        <v>10020</v>
      </c>
      <c r="J166" s="864">
        <f>ROUND(E166*I166,)</f>
        <v>10020</v>
      </c>
      <c r="K166" s="799">
        <f t="shared" si="12"/>
        <v>43420</v>
      </c>
      <c r="L166" s="887"/>
    </row>
    <row r="167" spans="1:17" s="714" customFormat="1" ht="24" customHeight="1">
      <c r="A167" s="831"/>
      <c r="B167" s="720" t="s">
        <v>957</v>
      </c>
      <c r="C167" s="792"/>
      <c r="D167" s="792"/>
      <c r="E167" s="793"/>
      <c r="F167" s="794"/>
      <c r="G167" s="795"/>
      <c r="H167" s="796"/>
      <c r="I167" s="797"/>
      <c r="J167" s="864"/>
      <c r="K167" s="906"/>
      <c r="L167" s="964"/>
      <c r="M167" s="729"/>
      <c r="N167" s="729"/>
      <c r="O167" s="729"/>
      <c r="P167" s="729"/>
      <c r="Q167" s="729"/>
    </row>
    <row r="168" spans="1:17" s="714" customFormat="1" ht="24" customHeight="1">
      <c r="A168" s="775"/>
      <c r="B168" s="2475" t="str">
        <f>"รวมราคารายการที่ "&amp;A95</f>
        <v>รวมราคารายการที่ 3.2</v>
      </c>
      <c r="C168" s="2476"/>
      <c r="D168" s="2477"/>
      <c r="E168" s="776"/>
      <c r="F168" s="777"/>
      <c r="G168" s="959"/>
      <c r="H168" s="960">
        <f>SUM(H95:H167)</f>
        <v>212190</v>
      </c>
      <c r="I168" s="959"/>
      <c r="J168" s="960">
        <f>SUM(J95:J167)</f>
        <v>30060</v>
      </c>
      <c r="K168" s="960">
        <f>SUM(K95:K167)</f>
        <v>242250</v>
      </c>
      <c r="L168" s="777"/>
      <c r="M168" s="729"/>
      <c r="N168" s="729"/>
      <c r="O168" s="729"/>
      <c r="P168" s="729"/>
      <c r="Q168" s="729"/>
    </row>
    <row r="169" spans="1:17" s="714" customFormat="1" ht="24" customHeight="1">
      <c r="A169" s="961" t="s">
        <v>1279</v>
      </c>
      <c r="B169" s="782" t="s">
        <v>1267</v>
      </c>
      <c r="C169" s="784"/>
      <c r="D169" s="784"/>
      <c r="E169" s="785"/>
      <c r="F169" s="786"/>
      <c r="G169" s="787"/>
      <c r="H169" s="788"/>
      <c r="I169" s="789"/>
      <c r="J169" s="788"/>
      <c r="K169" s="965"/>
      <c r="L169" s="1074"/>
      <c r="M169" s="729"/>
      <c r="N169" s="729"/>
      <c r="O169" s="729"/>
      <c r="P169" s="729"/>
    </row>
    <row r="170" spans="1:17" s="714" customFormat="1" ht="24" customHeight="1">
      <c r="A170" s="911" t="s">
        <v>965</v>
      </c>
      <c r="B170" s="1043" t="s">
        <v>1389</v>
      </c>
      <c r="C170" s="859"/>
      <c r="D170" s="859"/>
      <c r="E170" s="851"/>
      <c r="F170" s="852"/>
      <c r="G170" s="853"/>
      <c r="H170" s="854"/>
      <c r="I170" s="855"/>
      <c r="J170" s="854"/>
      <c r="K170" s="1007"/>
      <c r="L170" s="1008"/>
      <c r="M170" s="729"/>
      <c r="N170" s="729"/>
      <c r="O170" s="729"/>
      <c r="P170" s="729"/>
      <c r="Q170" s="729"/>
    </row>
    <row r="171" spans="1:17" s="714" customFormat="1" ht="24" customHeight="1">
      <c r="A171" s="911"/>
      <c r="B171" s="800" t="s">
        <v>1493</v>
      </c>
      <c r="C171" s="859"/>
      <c r="D171" s="859"/>
      <c r="E171" s="851">
        <v>1</v>
      </c>
      <c r="F171" s="803" t="s">
        <v>240</v>
      </c>
      <c r="G171" s="853">
        <v>5500</v>
      </c>
      <c r="H171" s="864">
        <f t="shared" ref="H171:H178" si="13">ROUND(E171*G171,)</f>
        <v>5500</v>
      </c>
      <c r="I171" s="855">
        <v>1000</v>
      </c>
      <c r="J171" s="864">
        <f>ROUND(E171*I171,)</f>
        <v>1000</v>
      </c>
      <c r="K171" s="1030">
        <f t="shared" ref="K171:K223" si="14">H171+J171</f>
        <v>6500</v>
      </c>
      <c r="L171" s="1008"/>
      <c r="M171" s="729"/>
      <c r="N171" s="729"/>
      <c r="O171" s="729"/>
      <c r="P171" s="729"/>
      <c r="Q171" s="729"/>
    </row>
    <row r="172" spans="1:17" s="714" customFormat="1" ht="24" customHeight="1">
      <c r="A172" s="911"/>
      <c r="B172" s="800" t="s">
        <v>1271</v>
      </c>
      <c r="C172" s="801"/>
      <c r="D172" s="801"/>
      <c r="E172" s="802">
        <v>12</v>
      </c>
      <c r="F172" s="803" t="s">
        <v>240</v>
      </c>
      <c r="G172" s="858">
        <v>138</v>
      </c>
      <c r="H172" s="864">
        <f t="shared" si="13"/>
        <v>1656</v>
      </c>
      <c r="I172" s="865"/>
      <c r="J172" s="864"/>
      <c r="K172" s="1030">
        <f t="shared" si="14"/>
        <v>1656</v>
      </c>
      <c r="L172" s="1010"/>
      <c r="M172" s="729"/>
      <c r="N172" s="729"/>
      <c r="O172" s="729"/>
      <c r="P172" s="729"/>
      <c r="Q172" s="729"/>
    </row>
    <row r="173" spans="1:17" s="714" customFormat="1" ht="24" customHeight="1">
      <c r="A173" s="861"/>
      <c r="B173" s="800" t="s">
        <v>1397</v>
      </c>
      <c r="C173" s="801"/>
      <c r="D173" s="801"/>
      <c r="E173" s="802">
        <v>1</v>
      </c>
      <c r="F173" s="803" t="s">
        <v>240</v>
      </c>
      <c r="G173" s="858">
        <v>680</v>
      </c>
      <c r="H173" s="864">
        <f t="shared" si="13"/>
        <v>680</v>
      </c>
      <c r="I173" s="865"/>
      <c r="J173" s="864"/>
      <c r="K173" s="1030">
        <f t="shared" si="14"/>
        <v>680</v>
      </c>
      <c r="L173" s="1010"/>
      <c r="M173" s="729"/>
      <c r="N173" s="729"/>
      <c r="O173" s="729"/>
      <c r="P173" s="729"/>
    </row>
    <row r="174" spans="1:17" s="714" customFormat="1" ht="24" customHeight="1">
      <c r="A174" s="911"/>
      <c r="B174" s="800" t="s">
        <v>1494</v>
      </c>
      <c r="C174" s="859"/>
      <c r="D174" s="859"/>
      <c r="E174" s="851">
        <v>1</v>
      </c>
      <c r="F174" s="803" t="s">
        <v>240</v>
      </c>
      <c r="G174" s="858">
        <v>7000</v>
      </c>
      <c r="H174" s="796">
        <v>7000</v>
      </c>
      <c r="I174" s="797">
        <v>1500</v>
      </c>
      <c r="J174" s="796">
        <v>1500</v>
      </c>
      <c r="K174" s="1030">
        <f t="shared" si="14"/>
        <v>8500</v>
      </c>
      <c r="L174" s="1008"/>
      <c r="M174" s="729"/>
      <c r="N174" s="729"/>
      <c r="O174" s="729"/>
      <c r="P174" s="729"/>
      <c r="Q174" s="729"/>
    </row>
    <row r="175" spans="1:17" s="714" customFormat="1" ht="24" customHeight="1">
      <c r="A175" s="911"/>
      <c r="B175" s="800" t="s">
        <v>1271</v>
      </c>
      <c r="C175" s="801"/>
      <c r="D175" s="801"/>
      <c r="E175" s="802">
        <v>24</v>
      </c>
      <c r="F175" s="803" t="s">
        <v>240</v>
      </c>
      <c r="G175" s="858">
        <v>138</v>
      </c>
      <c r="H175" s="864">
        <f t="shared" si="13"/>
        <v>3312</v>
      </c>
      <c r="I175" s="865"/>
      <c r="J175" s="864"/>
      <c r="K175" s="1030">
        <f t="shared" si="14"/>
        <v>3312</v>
      </c>
      <c r="L175" s="1010"/>
      <c r="M175" s="729"/>
      <c r="N175" s="729"/>
      <c r="O175" s="729"/>
      <c r="P175" s="729"/>
      <c r="Q175" s="729"/>
    </row>
    <row r="176" spans="1:17" s="884" customFormat="1" ht="24" customHeight="1">
      <c r="A176" s="1045"/>
      <c r="B176" s="800" t="s">
        <v>1495</v>
      </c>
      <c r="C176" s="859"/>
      <c r="D176" s="859"/>
      <c r="E176" s="851">
        <v>1</v>
      </c>
      <c r="F176" s="803" t="s">
        <v>240</v>
      </c>
      <c r="G176" s="853">
        <v>5500</v>
      </c>
      <c r="H176" s="864">
        <f t="shared" si="13"/>
        <v>5500</v>
      </c>
      <c r="I176" s="855">
        <v>1000</v>
      </c>
      <c r="J176" s="864">
        <f>ROUND(E176*I176,)</f>
        <v>1000</v>
      </c>
      <c r="K176" s="1030">
        <f t="shared" si="14"/>
        <v>6500</v>
      </c>
      <c r="L176" s="1075"/>
      <c r="M176" s="1027"/>
      <c r="N176" s="1027"/>
      <c r="O176" s="1027"/>
      <c r="P176" s="1027"/>
      <c r="Q176" s="1027"/>
    </row>
    <row r="177" spans="1:17" s="884" customFormat="1" ht="24" customHeight="1">
      <c r="A177" s="1045"/>
      <c r="B177" s="800" t="s">
        <v>1271</v>
      </c>
      <c r="C177" s="801"/>
      <c r="D177" s="801"/>
      <c r="E177" s="802">
        <v>9</v>
      </c>
      <c r="F177" s="803" t="s">
        <v>240</v>
      </c>
      <c r="G177" s="858">
        <v>138</v>
      </c>
      <c r="H177" s="864">
        <f t="shared" si="13"/>
        <v>1242</v>
      </c>
      <c r="I177" s="865"/>
      <c r="J177" s="864"/>
      <c r="K177" s="1030">
        <f t="shared" si="14"/>
        <v>1242</v>
      </c>
      <c r="L177" s="1076"/>
      <c r="M177" s="1027"/>
      <c r="N177" s="1027"/>
      <c r="O177" s="1027"/>
      <c r="P177" s="1027"/>
      <c r="Q177" s="1027"/>
    </row>
    <row r="178" spans="1:17" s="714" customFormat="1" ht="24" customHeight="1">
      <c r="A178" s="861"/>
      <c r="B178" s="800" t="s">
        <v>1397</v>
      </c>
      <c r="C178" s="801"/>
      <c r="D178" s="801"/>
      <c r="E178" s="802">
        <v>1</v>
      </c>
      <c r="F178" s="803" t="s">
        <v>240</v>
      </c>
      <c r="G178" s="858">
        <v>680</v>
      </c>
      <c r="H178" s="864">
        <f t="shared" si="13"/>
        <v>680</v>
      </c>
      <c r="I178" s="865"/>
      <c r="J178" s="864"/>
      <c r="K178" s="1030">
        <f t="shared" si="14"/>
        <v>680</v>
      </c>
      <c r="L178" s="1010"/>
      <c r="M178" s="729"/>
      <c r="N178" s="729"/>
      <c r="O178" s="729"/>
      <c r="P178" s="729"/>
    </row>
    <row r="179" spans="1:17" s="714" customFormat="1" ht="24" customHeight="1">
      <c r="A179" s="868" t="s">
        <v>969</v>
      </c>
      <c r="B179" s="1047" t="s">
        <v>1447</v>
      </c>
      <c r="C179" s="1048"/>
      <c r="D179" s="1048"/>
      <c r="E179" s="1049"/>
      <c r="F179" s="1050"/>
      <c r="G179" s="858"/>
      <c r="H179" s="864"/>
      <c r="I179" s="865"/>
      <c r="J179" s="864"/>
      <c r="K179" s="966"/>
      <c r="L179" s="1010"/>
      <c r="M179" s="729"/>
      <c r="N179" s="729"/>
      <c r="O179" s="729"/>
      <c r="P179" s="729"/>
    </row>
    <row r="180" spans="1:17" s="714" customFormat="1" ht="24" customHeight="1">
      <c r="A180" s="911"/>
      <c r="B180" s="800" t="s">
        <v>1496</v>
      </c>
      <c r="C180" s="859"/>
      <c r="D180" s="859"/>
      <c r="E180" s="851">
        <v>1</v>
      </c>
      <c r="F180" s="803" t="s">
        <v>240</v>
      </c>
      <c r="G180" s="853">
        <v>5500</v>
      </c>
      <c r="H180" s="864">
        <f t="shared" ref="H180:H184" si="15">ROUND(E180*G180,)</f>
        <v>5500</v>
      </c>
      <c r="I180" s="855">
        <v>1000</v>
      </c>
      <c r="J180" s="864">
        <f>ROUND(E180*I180,)</f>
        <v>1000</v>
      </c>
      <c r="K180" s="1030">
        <f t="shared" si="14"/>
        <v>6500</v>
      </c>
      <c r="L180" s="1008"/>
      <c r="M180" s="729"/>
      <c r="N180" s="729"/>
      <c r="O180" s="729"/>
      <c r="P180" s="729"/>
      <c r="Q180" s="729"/>
    </row>
    <row r="181" spans="1:17" s="714" customFormat="1" ht="24" customHeight="1">
      <c r="A181" s="911"/>
      <c r="B181" s="800" t="s">
        <v>1408</v>
      </c>
      <c r="C181" s="859"/>
      <c r="D181" s="859"/>
      <c r="E181" s="851">
        <v>1</v>
      </c>
      <c r="F181" s="803" t="s">
        <v>240</v>
      </c>
      <c r="G181" s="858">
        <v>2400</v>
      </c>
      <c r="H181" s="796">
        <v>2400</v>
      </c>
      <c r="I181" s="797"/>
      <c r="J181" s="796">
        <v>0</v>
      </c>
      <c r="K181" s="1030">
        <f t="shared" si="14"/>
        <v>2400</v>
      </c>
      <c r="L181" s="1008"/>
      <c r="M181" s="729"/>
      <c r="N181" s="729"/>
      <c r="O181" s="729"/>
      <c r="P181" s="729"/>
      <c r="Q181" s="729"/>
    </row>
    <row r="182" spans="1:17" s="714" customFormat="1" ht="24" customHeight="1">
      <c r="A182" s="911"/>
      <c r="B182" s="800" t="s">
        <v>1271</v>
      </c>
      <c r="C182" s="801"/>
      <c r="D182" s="801"/>
      <c r="E182" s="802">
        <v>9</v>
      </c>
      <c r="F182" s="803" t="s">
        <v>240</v>
      </c>
      <c r="G182" s="858">
        <v>138</v>
      </c>
      <c r="H182" s="864">
        <f t="shared" si="15"/>
        <v>1242</v>
      </c>
      <c r="I182" s="865"/>
      <c r="J182" s="864"/>
      <c r="K182" s="1030">
        <f t="shared" si="14"/>
        <v>1242</v>
      </c>
      <c r="L182" s="1010"/>
      <c r="M182" s="729"/>
      <c r="N182" s="729"/>
      <c r="O182" s="729"/>
      <c r="P182" s="729"/>
      <c r="Q182" s="729"/>
    </row>
    <row r="183" spans="1:17" s="714" customFormat="1" ht="24" customHeight="1">
      <c r="A183" s="861"/>
      <c r="B183" s="800" t="s">
        <v>1272</v>
      </c>
      <c r="C183" s="801"/>
      <c r="D183" s="801"/>
      <c r="E183" s="802">
        <v>1</v>
      </c>
      <c r="F183" s="803" t="s">
        <v>240</v>
      </c>
      <c r="G183" s="858">
        <v>680</v>
      </c>
      <c r="H183" s="864">
        <f t="shared" si="15"/>
        <v>680</v>
      </c>
      <c r="I183" s="865"/>
      <c r="J183" s="864"/>
      <c r="K183" s="1030">
        <f t="shared" si="14"/>
        <v>680</v>
      </c>
      <c r="L183" s="1010"/>
      <c r="M183" s="729"/>
      <c r="N183" s="729"/>
      <c r="O183" s="729"/>
      <c r="P183" s="729"/>
    </row>
    <row r="184" spans="1:17" s="714" customFormat="1" ht="24" customHeight="1">
      <c r="A184" s="911"/>
      <c r="B184" s="800" t="s">
        <v>1497</v>
      </c>
      <c r="C184" s="859"/>
      <c r="D184" s="859"/>
      <c r="E184" s="851">
        <v>1</v>
      </c>
      <c r="F184" s="803" t="s">
        <v>240</v>
      </c>
      <c r="G184" s="853">
        <v>5500</v>
      </c>
      <c r="H184" s="864">
        <f t="shared" si="15"/>
        <v>5500</v>
      </c>
      <c r="I184" s="855">
        <v>1000</v>
      </c>
      <c r="J184" s="864">
        <f>ROUND(E184*I184,)</f>
        <v>1000</v>
      </c>
      <c r="K184" s="1030">
        <f t="shared" si="14"/>
        <v>6500</v>
      </c>
      <c r="L184" s="1008"/>
      <c r="M184" s="729"/>
      <c r="N184" s="729"/>
      <c r="O184" s="729"/>
      <c r="P184" s="729"/>
      <c r="Q184" s="729"/>
    </row>
    <row r="185" spans="1:17" s="714" customFormat="1" ht="24" customHeight="1">
      <c r="A185" s="911"/>
      <c r="B185" s="800" t="s">
        <v>1408</v>
      </c>
      <c r="C185" s="859"/>
      <c r="D185" s="859"/>
      <c r="E185" s="851">
        <v>1</v>
      </c>
      <c r="F185" s="803" t="s">
        <v>240</v>
      </c>
      <c r="G185" s="858">
        <v>2400</v>
      </c>
      <c r="H185" s="796">
        <v>2400</v>
      </c>
      <c r="I185" s="797"/>
      <c r="J185" s="796">
        <v>0</v>
      </c>
      <c r="K185" s="1030">
        <f t="shared" si="14"/>
        <v>2400</v>
      </c>
      <c r="L185" s="1008"/>
      <c r="M185" s="729"/>
      <c r="N185" s="729"/>
      <c r="O185" s="729"/>
      <c r="P185" s="729"/>
      <c r="Q185" s="729"/>
    </row>
    <row r="186" spans="1:17" s="714" customFormat="1" ht="24" customHeight="1">
      <c r="A186" s="911"/>
      <c r="B186" s="800" t="s">
        <v>1271</v>
      </c>
      <c r="C186" s="801"/>
      <c r="D186" s="801"/>
      <c r="E186" s="802">
        <v>9</v>
      </c>
      <c r="F186" s="803" t="s">
        <v>240</v>
      </c>
      <c r="G186" s="858">
        <v>138</v>
      </c>
      <c r="H186" s="864">
        <f t="shared" ref="H186:H188" si="16">ROUND(E186*G186,)</f>
        <v>1242</v>
      </c>
      <c r="I186" s="865"/>
      <c r="J186" s="864"/>
      <c r="K186" s="1030">
        <f t="shared" si="14"/>
        <v>1242</v>
      </c>
      <c r="L186" s="1010"/>
      <c r="M186" s="729"/>
      <c r="N186" s="729"/>
      <c r="O186" s="729"/>
      <c r="P186" s="729"/>
      <c r="Q186" s="729"/>
    </row>
    <row r="187" spans="1:17" s="714" customFormat="1" ht="24" customHeight="1">
      <c r="A187" s="861"/>
      <c r="B187" s="800" t="s">
        <v>1397</v>
      </c>
      <c r="C187" s="801"/>
      <c r="D187" s="801"/>
      <c r="E187" s="802">
        <v>1</v>
      </c>
      <c r="F187" s="803" t="s">
        <v>240</v>
      </c>
      <c r="G187" s="858">
        <v>680</v>
      </c>
      <c r="H187" s="864">
        <f t="shared" si="16"/>
        <v>680</v>
      </c>
      <c r="I187" s="865"/>
      <c r="J187" s="864"/>
      <c r="K187" s="1030">
        <f t="shared" si="14"/>
        <v>680</v>
      </c>
      <c r="L187" s="1010"/>
      <c r="M187" s="729"/>
      <c r="N187" s="729"/>
      <c r="O187" s="729"/>
      <c r="P187" s="729"/>
    </row>
    <row r="188" spans="1:17" s="714" customFormat="1" ht="24" customHeight="1">
      <c r="A188" s="911"/>
      <c r="B188" s="800" t="s">
        <v>1498</v>
      </c>
      <c r="C188" s="859"/>
      <c r="D188" s="859"/>
      <c r="E188" s="851">
        <v>1</v>
      </c>
      <c r="F188" s="803" t="s">
        <v>240</v>
      </c>
      <c r="G188" s="853">
        <v>5500</v>
      </c>
      <c r="H188" s="864">
        <f t="shared" si="16"/>
        <v>5500</v>
      </c>
      <c r="I188" s="855">
        <v>1000</v>
      </c>
      <c r="J188" s="864">
        <f>ROUND(E188*I188,)</f>
        <v>1000</v>
      </c>
      <c r="K188" s="1030">
        <f t="shared" si="14"/>
        <v>6500</v>
      </c>
      <c r="L188" s="1008"/>
      <c r="M188" s="729"/>
      <c r="N188" s="729"/>
      <c r="O188" s="729"/>
      <c r="P188" s="729"/>
      <c r="Q188" s="729"/>
    </row>
    <row r="189" spans="1:17" s="714" customFormat="1" ht="24" customHeight="1">
      <c r="A189" s="911"/>
      <c r="B189" s="800" t="s">
        <v>1408</v>
      </c>
      <c r="C189" s="859"/>
      <c r="D189" s="859"/>
      <c r="E189" s="851">
        <v>1</v>
      </c>
      <c r="F189" s="803" t="s">
        <v>240</v>
      </c>
      <c r="G189" s="858">
        <v>2400</v>
      </c>
      <c r="H189" s="796">
        <v>2400</v>
      </c>
      <c r="I189" s="797"/>
      <c r="J189" s="796">
        <v>0</v>
      </c>
      <c r="K189" s="1030">
        <f t="shared" si="14"/>
        <v>2400</v>
      </c>
      <c r="L189" s="1008"/>
      <c r="M189" s="729"/>
      <c r="N189" s="729"/>
      <c r="O189" s="729"/>
      <c r="P189" s="729"/>
      <c r="Q189" s="729"/>
    </row>
    <row r="190" spans="1:17" s="714" customFormat="1" ht="24" customHeight="1">
      <c r="A190" s="1025"/>
      <c r="B190" s="800" t="s">
        <v>1271</v>
      </c>
      <c r="C190" s="801"/>
      <c r="D190" s="801"/>
      <c r="E190" s="802">
        <v>9</v>
      </c>
      <c r="F190" s="803" t="s">
        <v>240</v>
      </c>
      <c r="G190" s="858">
        <v>138</v>
      </c>
      <c r="H190" s="864">
        <f t="shared" ref="H190:H193" si="17">ROUND(E190*G190,)</f>
        <v>1242</v>
      </c>
      <c r="I190" s="865"/>
      <c r="J190" s="864"/>
      <c r="K190" s="966">
        <f t="shared" si="14"/>
        <v>1242</v>
      </c>
      <c r="L190" s="1010"/>
      <c r="M190" s="729"/>
      <c r="N190" s="729"/>
      <c r="O190" s="729"/>
      <c r="P190" s="729"/>
      <c r="Q190" s="729"/>
    </row>
    <row r="191" spans="1:17" s="714" customFormat="1" ht="24" customHeight="1">
      <c r="A191" s="861"/>
      <c r="B191" s="800" t="s">
        <v>1397</v>
      </c>
      <c r="C191" s="801"/>
      <c r="D191" s="801"/>
      <c r="E191" s="802">
        <v>1</v>
      </c>
      <c r="F191" s="803" t="s">
        <v>240</v>
      </c>
      <c r="G191" s="858">
        <v>680</v>
      </c>
      <c r="H191" s="864">
        <f t="shared" si="17"/>
        <v>680</v>
      </c>
      <c r="I191" s="865"/>
      <c r="J191" s="864"/>
      <c r="K191" s="966">
        <f t="shared" si="14"/>
        <v>680</v>
      </c>
      <c r="L191" s="1010"/>
      <c r="M191" s="729"/>
      <c r="N191" s="729"/>
      <c r="O191" s="729"/>
      <c r="P191" s="729"/>
    </row>
    <row r="192" spans="1:17" s="714" customFormat="1" ht="24" customHeight="1">
      <c r="A192" s="861"/>
      <c r="B192" s="800"/>
      <c r="C192" s="801"/>
      <c r="D192" s="801"/>
      <c r="E192" s="802"/>
      <c r="F192" s="803"/>
      <c r="G192" s="858"/>
      <c r="H192" s="864"/>
      <c r="I192" s="865"/>
      <c r="J192" s="864"/>
      <c r="K192" s="966"/>
      <c r="L192" s="1010"/>
      <c r="M192" s="729"/>
      <c r="N192" s="729"/>
      <c r="O192" s="729"/>
      <c r="P192" s="729"/>
    </row>
    <row r="193" spans="1:17" s="714" customFormat="1" ht="24" customHeight="1">
      <c r="A193" s="1025"/>
      <c r="B193" s="800" t="s">
        <v>1499</v>
      </c>
      <c r="C193" s="792"/>
      <c r="D193" s="792"/>
      <c r="E193" s="793">
        <v>1</v>
      </c>
      <c r="F193" s="803" t="s">
        <v>240</v>
      </c>
      <c r="G193" s="795">
        <v>5500</v>
      </c>
      <c r="H193" s="864">
        <f t="shared" si="17"/>
        <v>5500</v>
      </c>
      <c r="I193" s="797">
        <v>1000</v>
      </c>
      <c r="J193" s="864">
        <f>ROUND(E193*I193,)</f>
        <v>1000</v>
      </c>
      <c r="K193" s="966">
        <f t="shared" si="14"/>
        <v>6500</v>
      </c>
      <c r="L193" s="1010"/>
      <c r="M193" s="729"/>
      <c r="N193" s="729"/>
      <c r="O193" s="729"/>
      <c r="P193" s="729"/>
      <c r="Q193" s="729"/>
    </row>
    <row r="194" spans="1:17" s="714" customFormat="1" ht="24" customHeight="1">
      <c r="A194" s="1025"/>
      <c r="B194" s="800" t="s">
        <v>1270</v>
      </c>
      <c r="C194" s="792"/>
      <c r="D194" s="792"/>
      <c r="E194" s="793">
        <v>1</v>
      </c>
      <c r="F194" s="803" t="s">
        <v>240</v>
      </c>
      <c r="G194" s="858">
        <v>2400</v>
      </c>
      <c r="H194" s="796">
        <v>2400</v>
      </c>
      <c r="I194" s="797"/>
      <c r="J194" s="796">
        <v>0</v>
      </c>
      <c r="K194" s="966">
        <f t="shared" si="14"/>
        <v>2400</v>
      </c>
      <c r="L194" s="1010"/>
      <c r="M194" s="729"/>
      <c r="N194" s="729"/>
      <c r="O194" s="729"/>
      <c r="P194" s="729"/>
      <c r="Q194" s="729"/>
    </row>
    <row r="195" spans="1:17" s="714" customFormat="1" ht="24" customHeight="1">
      <c r="A195" s="1025"/>
      <c r="B195" s="800" t="s">
        <v>1271</v>
      </c>
      <c r="C195" s="801"/>
      <c r="D195" s="801"/>
      <c r="E195" s="802">
        <v>9</v>
      </c>
      <c r="F195" s="803" t="s">
        <v>240</v>
      </c>
      <c r="G195" s="858">
        <v>138</v>
      </c>
      <c r="H195" s="864">
        <f t="shared" ref="H195:H197" si="18">ROUND(E195*G195,)</f>
        <v>1242</v>
      </c>
      <c r="I195" s="865"/>
      <c r="J195" s="864"/>
      <c r="K195" s="966">
        <f t="shared" si="14"/>
        <v>1242</v>
      </c>
      <c r="L195" s="1010"/>
      <c r="M195" s="729"/>
      <c r="N195" s="729"/>
      <c r="O195" s="729"/>
      <c r="P195" s="729"/>
      <c r="Q195" s="729"/>
    </row>
    <row r="196" spans="1:17" s="714" customFormat="1" ht="24" customHeight="1">
      <c r="A196" s="861"/>
      <c r="B196" s="800" t="s">
        <v>1392</v>
      </c>
      <c r="C196" s="801"/>
      <c r="D196" s="801"/>
      <c r="E196" s="802">
        <v>1</v>
      </c>
      <c r="F196" s="803" t="s">
        <v>240</v>
      </c>
      <c r="G196" s="858">
        <v>680</v>
      </c>
      <c r="H196" s="864">
        <f t="shared" si="18"/>
        <v>680</v>
      </c>
      <c r="I196" s="865"/>
      <c r="J196" s="864"/>
      <c r="K196" s="966">
        <f t="shared" si="14"/>
        <v>680</v>
      </c>
      <c r="L196" s="1010"/>
      <c r="M196" s="729"/>
      <c r="N196" s="729"/>
      <c r="O196" s="729"/>
      <c r="P196" s="729"/>
    </row>
    <row r="197" spans="1:17" s="714" customFormat="1" ht="24" customHeight="1">
      <c r="A197" s="1025"/>
      <c r="B197" s="800" t="s">
        <v>1500</v>
      </c>
      <c r="C197" s="792"/>
      <c r="D197" s="792"/>
      <c r="E197" s="793">
        <v>1</v>
      </c>
      <c r="F197" s="803" t="s">
        <v>240</v>
      </c>
      <c r="G197" s="795">
        <v>5500</v>
      </c>
      <c r="H197" s="864">
        <f t="shared" si="18"/>
        <v>5500</v>
      </c>
      <c r="I197" s="797">
        <v>1000</v>
      </c>
      <c r="J197" s="864">
        <f>ROUND(E197*I197,)</f>
        <v>1000</v>
      </c>
      <c r="K197" s="966">
        <f t="shared" si="14"/>
        <v>6500</v>
      </c>
      <c r="L197" s="1010"/>
      <c r="M197" s="729"/>
      <c r="N197" s="729"/>
      <c r="O197" s="729"/>
      <c r="P197" s="729"/>
      <c r="Q197" s="729"/>
    </row>
    <row r="198" spans="1:17" s="714" customFormat="1" ht="24" customHeight="1">
      <c r="A198" s="911"/>
      <c r="B198" s="800" t="s">
        <v>1408</v>
      </c>
      <c r="C198" s="859"/>
      <c r="D198" s="859"/>
      <c r="E198" s="851">
        <v>1</v>
      </c>
      <c r="F198" s="803" t="s">
        <v>240</v>
      </c>
      <c r="G198" s="858">
        <v>2400</v>
      </c>
      <c r="H198" s="796">
        <v>2400</v>
      </c>
      <c r="I198" s="797"/>
      <c r="J198" s="796">
        <v>0</v>
      </c>
      <c r="K198" s="1030">
        <f t="shared" si="14"/>
        <v>2400</v>
      </c>
      <c r="L198" s="1008"/>
      <c r="M198" s="729"/>
      <c r="N198" s="729"/>
      <c r="O198" s="729"/>
      <c r="P198" s="729"/>
      <c r="Q198" s="729"/>
    </row>
    <row r="199" spans="1:17" s="714" customFormat="1" ht="24" customHeight="1">
      <c r="A199" s="911"/>
      <c r="B199" s="800" t="s">
        <v>1271</v>
      </c>
      <c r="C199" s="801"/>
      <c r="D199" s="801"/>
      <c r="E199" s="802">
        <v>9</v>
      </c>
      <c r="F199" s="803" t="s">
        <v>240</v>
      </c>
      <c r="G199" s="858">
        <v>138</v>
      </c>
      <c r="H199" s="864">
        <f t="shared" ref="H199:H201" si="19">ROUND(E199*G199,)</f>
        <v>1242</v>
      </c>
      <c r="I199" s="865"/>
      <c r="J199" s="864"/>
      <c r="K199" s="1030">
        <f t="shared" si="14"/>
        <v>1242</v>
      </c>
      <c r="L199" s="1010"/>
      <c r="M199" s="729"/>
      <c r="N199" s="729"/>
      <c r="O199" s="729"/>
      <c r="P199" s="729"/>
      <c r="Q199" s="729"/>
    </row>
    <row r="200" spans="1:17" s="714" customFormat="1" ht="24" customHeight="1">
      <c r="A200" s="861"/>
      <c r="B200" s="800" t="s">
        <v>1272</v>
      </c>
      <c r="C200" s="801"/>
      <c r="D200" s="801"/>
      <c r="E200" s="802">
        <v>1</v>
      </c>
      <c r="F200" s="803" t="s">
        <v>240</v>
      </c>
      <c r="G200" s="858">
        <v>680</v>
      </c>
      <c r="H200" s="864">
        <f t="shared" si="19"/>
        <v>680</v>
      </c>
      <c r="I200" s="865"/>
      <c r="J200" s="864"/>
      <c r="K200" s="1030">
        <f t="shared" si="14"/>
        <v>680</v>
      </c>
      <c r="L200" s="1010"/>
      <c r="M200" s="729"/>
      <c r="N200" s="729"/>
      <c r="O200" s="729"/>
      <c r="P200" s="729"/>
    </row>
    <row r="201" spans="1:17" s="714" customFormat="1" ht="24" customHeight="1">
      <c r="A201" s="911"/>
      <c r="B201" s="800" t="s">
        <v>1501</v>
      </c>
      <c r="C201" s="859"/>
      <c r="D201" s="859"/>
      <c r="E201" s="851">
        <v>1</v>
      </c>
      <c r="F201" s="803" t="s">
        <v>240</v>
      </c>
      <c r="G201" s="853">
        <v>5500</v>
      </c>
      <c r="H201" s="864">
        <f t="shared" si="19"/>
        <v>5500</v>
      </c>
      <c r="I201" s="855">
        <v>1000</v>
      </c>
      <c r="J201" s="864">
        <f>ROUND(E201*I201,)</f>
        <v>1000</v>
      </c>
      <c r="K201" s="1030">
        <f t="shared" si="14"/>
        <v>6500</v>
      </c>
      <c r="L201" s="1008"/>
      <c r="M201" s="729"/>
      <c r="N201" s="729"/>
      <c r="O201" s="729"/>
      <c r="P201" s="729"/>
      <c r="Q201" s="729"/>
    </row>
    <row r="202" spans="1:17" s="714" customFormat="1" ht="24" customHeight="1">
      <c r="A202" s="911"/>
      <c r="B202" s="800" t="s">
        <v>1408</v>
      </c>
      <c r="C202" s="859"/>
      <c r="D202" s="859"/>
      <c r="E202" s="851">
        <v>1</v>
      </c>
      <c r="F202" s="803" t="s">
        <v>240</v>
      </c>
      <c r="G202" s="858">
        <v>2400</v>
      </c>
      <c r="H202" s="796">
        <v>2400</v>
      </c>
      <c r="I202" s="797"/>
      <c r="J202" s="796">
        <v>0</v>
      </c>
      <c r="K202" s="1030">
        <f t="shared" si="14"/>
        <v>2400</v>
      </c>
      <c r="L202" s="1008"/>
      <c r="M202" s="729"/>
      <c r="N202" s="729"/>
      <c r="O202" s="729"/>
      <c r="P202" s="729"/>
      <c r="Q202" s="729"/>
    </row>
    <row r="203" spans="1:17" s="714" customFormat="1" ht="24" customHeight="1">
      <c r="A203" s="911"/>
      <c r="B203" s="800" t="s">
        <v>1271</v>
      </c>
      <c r="C203" s="801"/>
      <c r="D203" s="801"/>
      <c r="E203" s="802">
        <v>9</v>
      </c>
      <c r="F203" s="803" t="s">
        <v>240</v>
      </c>
      <c r="G203" s="858">
        <v>138</v>
      </c>
      <c r="H203" s="864">
        <f t="shared" ref="H203:H205" si="20">ROUND(E203*G203,)</f>
        <v>1242</v>
      </c>
      <c r="I203" s="865"/>
      <c r="J203" s="864"/>
      <c r="K203" s="1030">
        <f t="shared" si="14"/>
        <v>1242</v>
      </c>
      <c r="L203" s="1010"/>
      <c r="M203" s="729"/>
      <c r="N203" s="729"/>
      <c r="O203" s="729"/>
      <c r="P203" s="729"/>
      <c r="Q203" s="729"/>
    </row>
    <row r="204" spans="1:17" s="714" customFormat="1" ht="24" customHeight="1">
      <c r="A204" s="861"/>
      <c r="B204" s="800" t="s">
        <v>1397</v>
      </c>
      <c r="C204" s="801"/>
      <c r="D204" s="801"/>
      <c r="E204" s="802">
        <v>1</v>
      </c>
      <c r="F204" s="803" t="s">
        <v>240</v>
      </c>
      <c r="G204" s="858">
        <v>680</v>
      </c>
      <c r="H204" s="864">
        <f t="shared" si="20"/>
        <v>680</v>
      </c>
      <c r="I204" s="865"/>
      <c r="J204" s="864"/>
      <c r="K204" s="1030">
        <f t="shared" si="14"/>
        <v>680</v>
      </c>
      <c r="L204" s="1010"/>
      <c r="M204" s="729"/>
      <c r="N204" s="729"/>
      <c r="O204" s="729"/>
      <c r="P204" s="729"/>
    </row>
    <row r="205" spans="1:17" s="714" customFormat="1" ht="24" customHeight="1">
      <c r="A205" s="911"/>
      <c r="B205" s="800" t="s">
        <v>1502</v>
      </c>
      <c r="C205" s="859"/>
      <c r="D205" s="859"/>
      <c r="E205" s="851">
        <v>1</v>
      </c>
      <c r="F205" s="803" t="s">
        <v>240</v>
      </c>
      <c r="G205" s="853">
        <v>5500</v>
      </c>
      <c r="H205" s="864">
        <f t="shared" si="20"/>
        <v>5500</v>
      </c>
      <c r="I205" s="855">
        <v>1000</v>
      </c>
      <c r="J205" s="864">
        <f>ROUND(E205*I205,)</f>
        <v>1000</v>
      </c>
      <c r="K205" s="1030">
        <f t="shared" si="14"/>
        <v>6500</v>
      </c>
      <c r="L205" s="1008"/>
      <c r="M205" s="729"/>
      <c r="N205" s="729"/>
      <c r="O205" s="729"/>
      <c r="P205" s="729"/>
      <c r="Q205" s="729"/>
    </row>
    <row r="206" spans="1:17" s="714" customFormat="1" ht="24" customHeight="1">
      <c r="A206" s="911"/>
      <c r="B206" s="800" t="s">
        <v>1476</v>
      </c>
      <c r="C206" s="859"/>
      <c r="D206" s="859"/>
      <c r="E206" s="851">
        <v>1</v>
      </c>
      <c r="F206" s="803" t="s">
        <v>240</v>
      </c>
      <c r="G206" s="858">
        <v>2400</v>
      </c>
      <c r="H206" s="796">
        <v>2400</v>
      </c>
      <c r="I206" s="797"/>
      <c r="J206" s="796">
        <v>0</v>
      </c>
      <c r="K206" s="1030">
        <f t="shared" si="14"/>
        <v>2400</v>
      </c>
      <c r="L206" s="1008"/>
      <c r="M206" s="729"/>
      <c r="N206" s="729"/>
      <c r="O206" s="729"/>
      <c r="P206" s="729"/>
      <c r="Q206" s="729"/>
    </row>
    <row r="207" spans="1:17" s="714" customFormat="1" ht="24" customHeight="1">
      <c r="A207" s="911"/>
      <c r="B207" s="800" t="s">
        <v>1271</v>
      </c>
      <c r="C207" s="801"/>
      <c r="D207" s="801"/>
      <c r="E207" s="802">
        <v>9</v>
      </c>
      <c r="F207" s="803" t="s">
        <v>240</v>
      </c>
      <c r="G207" s="858">
        <v>138</v>
      </c>
      <c r="H207" s="864">
        <f t="shared" ref="H207:H208" si="21">ROUND(E207*G207,)</f>
        <v>1242</v>
      </c>
      <c r="I207" s="865"/>
      <c r="J207" s="864"/>
      <c r="K207" s="1030">
        <f t="shared" si="14"/>
        <v>1242</v>
      </c>
      <c r="L207" s="1010"/>
      <c r="M207" s="729"/>
      <c r="N207" s="729"/>
      <c r="O207" s="729"/>
      <c r="P207" s="729"/>
      <c r="Q207" s="729"/>
    </row>
    <row r="208" spans="1:17" s="714" customFormat="1" ht="24" customHeight="1">
      <c r="A208" s="861"/>
      <c r="B208" s="800" t="s">
        <v>1477</v>
      </c>
      <c r="C208" s="801"/>
      <c r="D208" s="801"/>
      <c r="E208" s="802">
        <v>1</v>
      </c>
      <c r="F208" s="803" t="s">
        <v>240</v>
      </c>
      <c r="G208" s="858">
        <v>680</v>
      </c>
      <c r="H208" s="864">
        <f t="shared" si="21"/>
        <v>680</v>
      </c>
      <c r="I208" s="865"/>
      <c r="J208" s="864"/>
      <c r="K208" s="1030">
        <f t="shared" si="14"/>
        <v>680</v>
      </c>
      <c r="L208" s="1010"/>
      <c r="M208" s="729"/>
      <c r="N208" s="729"/>
      <c r="O208" s="729"/>
      <c r="P208" s="729"/>
    </row>
    <row r="209" spans="1:17" s="714" customFormat="1" ht="24" customHeight="1">
      <c r="A209" s="868"/>
      <c r="B209" s="800" t="s">
        <v>1503</v>
      </c>
      <c r="C209" s="801"/>
      <c r="D209" s="801"/>
      <c r="E209" s="802">
        <v>1</v>
      </c>
      <c r="F209" s="803" t="s">
        <v>240</v>
      </c>
      <c r="G209" s="858">
        <v>4800</v>
      </c>
      <c r="H209" s="796">
        <v>4800</v>
      </c>
      <c r="I209" s="797">
        <v>1500</v>
      </c>
      <c r="J209" s="796">
        <v>1500</v>
      </c>
      <c r="K209" s="1030">
        <f t="shared" si="14"/>
        <v>6300</v>
      </c>
      <c r="L209" s="1010"/>
      <c r="M209" s="729"/>
      <c r="N209" s="729"/>
      <c r="O209" s="729"/>
      <c r="P209" s="729"/>
      <c r="Q209" s="729"/>
    </row>
    <row r="210" spans="1:17" s="714" customFormat="1" ht="24" customHeight="1">
      <c r="A210" s="868"/>
      <c r="B210" s="800" t="s">
        <v>1396</v>
      </c>
      <c r="C210" s="801"/>
      <c r="D210" s="801"/>
      <c r="E210" s="802">
        <v>1</v>
      </c>
      <c r="F210" s="803" t="s">
        <v>240</v>
      </c>
      <c r="G210" s="858">
        <v>3000</v>
      </c>
      <c r="H210" s="864">
        <f t="shared" ref="H210:H223" si="22">ROUND(E210*G210,)</f>
        <v>3000</v>
      </c>
      <c r="I210" s="865"/>
      <c r="J210" s="864"/>
      <c r="K210" s="1030">
        <f t="shared" si="14"/>
        <v>3000</v>
      </c>
      <c r="L210" s="1010"/>
      <c r="M210" s="729"/>
      <c r="N210" s="729"/>
      <c r="O210" s="729"/>
      <c r="P210" s="729"/>
      <c r="Q210" s="729"/>
    </row>
    <row r="211" spans="1:17" s="714" customFormat="1" ht="24" customHeight="1">
      <c r="A211" s="868"/>
      <c r="B211" s="800" t="s">
        <v>1271</v>
      </c>
      <c r="C211" s="801"/>
      <c r="D211" s="801"/>
      <c r="E211" s="802">
        <v>12</v>
      </c>
      <c r="F211" s="803" t="s">
        <v>240</v>
      </c>
      <c r="G211" s="858">
        <v>138</v>
      </c>
      <c r="H211" s="864">
        <f t="shared" si="22"/>
        <v>1656</v>
      </c>
      <c r="I211" s="865"/>
      <c r="J211" s="864"/>
      <c r="K211" s="1030">
        <f t="shared" si="14"/>
        <v>1656</v>
      </c>
      <c r="L211" s="1010"/>
      <c r="M211" s="729"/>
      <c r="N211" s="729"/>
      <c r="O211" s="729"/>
      <c r="P211" s="729"/>
      <c r="Q211" s="729"/>
    </row>
    <row r="212" spans="1:17" s="714" customFormat="1" ht="24" customHeight="1">
      <c r="A212" s="868"/>
      <c r="B212" s="800" t="s">
        <v>1391</v>
      </c>
      <c r="C212" s="801"/>
      <c r="D212" s="801"/>
      <c r="E212" s="802">
        <v>1</v>
      </c>
      <c r="F212" s="803" t="s">
        <v>240</v>
      </c>
      <c r="G212" s="858">
        <v>138</v>
      </c>
      <c r="H212" s="864">
        <f t="shared" si="22"/>
        <v>138</v>
      </c>
      <c r="I212" s="865"/>
      <c r="J212" s="864"/>
      <c r="K212" s="1030">
        <f t="shared" si="14"/>
        <v>138</v>
      </c>
      <c r="L212" s="1010"/>
      <c r="M212" s="729"/>
      <c r="N212" s="729"/>
      <c r="O212" s="729"/>
      <c r="P212" s="729"/>
      <c r="Q212" s="729"/>
    </row>
    <row r="213" spans="1:17" s="714" customFormat="1" ht="24" customHeight="1">
      <c r="A213" s="861"/>
      <c r="B213" s="800" t="s">
        <v>1273</v>
      </c>
      <c r="C213" s="801"/>
      <c r="D213" s="801"/>
      <c r="E213" s="802">
        <v>2</v>
      </c>
      <c r="F213" s="803" t="s">
        <v>240</v>
      </c>
      <c r="G213" s="858">
        <v>1288</v>
      </c>
      <c r="H213" s="864">
        <f t="shared" si="22"/>
        <v>2576</v>
      </c>
      <c r="I213" s="865"/>
      <c r="J213" s="864"/>
      <c r="K213" s="1030">
        <f t="shared" si="14"/>
        <v>2576</v>
      </c>
      <c r="L213" s="1010"/>
      <c r="M213" s="729"/>
      <c r="N213" s="729"/>
      <c r="O213" s="729"/>
      <c r="P213" s="729"/>
    </row>
    <row r="214" spans="1:17" s="714" customFormat="1" ht="24" customHeight="1">
      <c r="A214" s="868"/>
      <c r="B214" s="800" t="s">
        <v>1504</v>
      </c>
      <c r="C214" s="801"/>
      <c r="D214" s="801"/>
      <c r="E214" s="802">
        <v>1</v>
      </c>
      <c r="F214" s="803" t="s">
        <v>240</v>
      </c>
      <c r="G214" s="858">
        <v>4800</v>
      </c>
      <c r="H214" s="796">
        <v>4800</v>
      </c>
      <c r="I214" s="797">
        <v>1500</v>
      </c>
      <c r="J214" s="796">
        <v>1500</v>
      </c>
      <c r="K214" s="966">
        <f t="shared" si="14"/>
        <v>6300</v>
      </c>
      <c r="L214" s="1010"/>
      <c r="M214" s="729"/>
      <c r="N214" s="729"/>
      <c r="O214" s="729"/>
      <c r="P214" s="729"/>
      <c r="Q214" s="729"/>
    </row>
    <row r="215" spans="1:17" s="714" customFormat="1" ht="24" customHeight="1">
      <c r="A215" s="868"/>
      <c r="B215" s="800" t="s">
        <v>1396</v>
      </c>
      <c r="C215" s="801"/>
      <c r="D215" s="801"/>
      <c r="E215" s="802">
        <v>1</v>
      </c>
      <c r="F215" s="803" t="s">
        <v>240</v>
      </c>
      <c r="G215" s="858">
        <v>3000</v>
      </c>
      <c r="H215" s="864">
        <f t="shared" ref="H215:H218" si="23">ROUND(E215*G215,)</f>
        <v>3000</v>
      </c>
      <c r="I215" s="865"/>
      <c r="J215" s="864"/>
      <c r="K215" s="966">
        <f t="shared" si="14"/>
        <v>3000</v>
      </c>
      <c r="L215" s="1010"/>
      <c r="M215" s="729"/>
      <c r="N215" s="729"/>
      <c r="O215" s="729"/>
      <c r="P215" s="729"/>
      <c r="Q215" s="729"/>
    </row>
    <row r="216" spans="1:17" s="714" customFormat="1" ht="24" customHeight="1">
      <c r="A216" s="868"/>
      <c r="B216" s="800" t="s">
        <v>1271</v>
      </c>
      <c r="C216" s="801"/>
      <c r="D216" s="801"/>
      <c r="E216" s="802">
        <v>15</v>
      </c>
      <c r="F216" s="803" t="s">
        <v>240</v>
      </c>
      <c r="G216" s="858">
        <v>138</v>
      </c>
      <c r="H216" s="864">
        <f t="shared" si="23"/>
        <v>2070</v>
      </c>
      <c r="I216" s="865"/>
      <c r="J216" s="864"/>
      <c r="K216" s="966">
        <f t="shared" si="14"/>
        <v>2070</v>
      </c>
      <c r="L216" s="1010"/>
      <c r="M216" s="729"/>
      <c r="N216" s="729"/>
      <c r="O216" s="729"/>
      <c r="P216" s="729"/>
      <c r="Q216" s="729"/>
    </row>
    <row r="217" spans="1:17" s="714" customFormat="1" ht="24" customHeight="1">
      <c r="A217" s="868"/>
      <c r="B217" s="800" t="s">
        <v>1391</v>
      </c>
      <c r="C217" s="801"/>
      <c r="D217" s="801"/>
      <c r="E217" s="802"/>
      <c r="F217" s="803" t="s">
        <v>240</v>
      </c>
      <c r="G217" s="858">
        <v>138</v>
      </c>
      <c r="H217" s="864">
        <f t="shared" si="23"/>
        <v>0</v>
      </c>
      <c r="I217" s="865"/>
      <c r="J217" s="864"/>
      <c r="K217" s="966">
        <f t="shared" si="14"/>
        <v>0</v>
      </c>
      <c r="L217" s="1010"/>
      <c r="M217" s="729"/>
      <c r="N217" s="729"/>
      <c r="O217" s="729"/>
      <c r="P217" s="729"/>
      <c r="Q217" s="729"/>
    </row>
    <row r="218" spans="1:17" s="714" customFormat="1" ht="24" customHeight="1">
      <c r="A218" s="861"/>
      <c r="B218" s="800" t="s">
        <v>1273</v>
      </c>
      <c r="C218" s="801"/>
      <c r="D218" s="801"/>
      <c r="E218" s="802"/>
      <c r="F218" s="803" t="s">
        <v>240</v>
      </c>
      <c r="G218" s="858">
        <v>1288</v>
      </c>
      <c r="H218" s="864">
        <f t="shared" si="23"/>
        <v>0</v>
      </c>
      <c r="I218" s="865"/>
      <c r="J218" s="864"/>
      <c r="K218" s="966">
        <f t="shared" si="14"/>
        <v>0</v>
      </c>
      <c r="L218" s="1010"/>
      <c r="M218" s="729"/>
      <c r="N218" s="729"/>
      <c r="O218" s="729"/>
      <c r="P218" s="729"/>
    </row>
    <row r="219" spans="1:17" s="714" customFormat="1" ht="24" customHeight="1">
      <c r="A219" s="868"/>
      <c r="B219" s="800" t="s">
        <v>1505</v>
      </c>
      <c r="C219" s="801"/>
      <c r="D219" s="801"/>
      <c r="E219" s="802">
        <v>1</v>
      </c>
      <c r="F219" s="803" t="s">
        <v>240</v>
      </c>
      <c r="G219" s="858">
        <v>4800</v>
      </c>
      <c r="H219" s="796">
        <v>4800</v>
      </c>
      <c r="I219" s="797">
        <v>1500</v>
      </c>
      <c r="J219" s="796">
        <v>1500</v>
      </c>
      <c r="K219" s="966">
        <f t="shared" si="14"/>
        <v>6300</v>
      </c>
      <c r="L219" s="1010"/>
      <c r="M219" s="729"/>
      <c r="N219" s="729"/>
      <c r="O219" s="729"/>
      <c r="P219" s="729"/>
      <c r="Q219" s="729"/>
    </row>
    <row r="220" spans="1:17" s="714" customFormat="1" ht="24" customHeight="1">
      <c r="A220" s="868"/>
      <c r="B220" s="800" t="s">
        <v>1396</v>
      </c>
      <c r="C220" s="801"/>
      <c r="D220" s="801"/>
      <c r="E220" s="802">
        <v>1</v>
      </c>
      <c r="F220" s="803" t="s">
        <v>240</v>
      </c>
      <c r="G220" s="858">
        <v>3000</v>
      </c>
      <c r="H220" s="864">
        <f t="shared" si="22"/>
        <v>3000</v>
      </c>
      <c r="I220" s="865"/>
      <c r="J220" s="864"/>
      <c r="K220" s="966">
        <f t="shared" si="14"/>
        <v>3000</v>
      </c>
      <c r="L220" s="1010"/>
      <c r="M220" s="729"/>
      <c r="N220" s="729"/>
      <c r="O220" s="729"/>
      <c r="P220" s="729"/>
      <c r="Q220" s="729"/>
    </row>
    <row r="221" spans="1:17" s="714" customFormat="1" ht="24" customHeight="1">
      <c r="A221" s="868"/>
      <c r="B221" s="800" t="s">
        <v>1271</v>
      </c>
      <c r="C221" s="801"/>
      <c r="D221" s="801"/>
      <c r="E221" s="802">
        <v>12</v>
      </c>
      <c r="F221" s="803" t="s">
        <v>240</v>
      </c>
      <c r="G221" s="858">
        <v>138</v>
      </c>
      <c r="H221" s="864">
        <f t="shared" si="22"/>
        <v>1656</v>
      </c>
      <c r="I221" s="865"/>
      <c r="J221" s="864"/>
      <c r="K221" s="1030">
        <f t="shared" si="14"/>
        <v>1656</v>
      </c>
      <c r="L221" s="1010"/>
      <c r="M221" s="729"/>
      <c r="N221" s="729"/>
      <c r="O221" s="729"/>
      <c r="P221" s="729"/>
      <c r="Q221" s="729"/>
    </row>
    <row r="222" spans="1:17" s="714" customFormat="1" ht="24" customHeight="1">
      <c r="A222" s="868"/>
      <c r="B222" s="800" t="s">
        <v>1391</v>
      </c>
      <c r="C222" s="801"/>
      <c r="D222" s="801"/>
      <c r="E222" s="802">
        <v>1</v>
      </c>
      <c r="F222" s="803" t="s">
        <v>240</v>
      </c>
      <c r="G222" s="858">
        <v>138</v>
      </c>
      <c r="H222" s="864">
        <f t="shared" si="22"/>
        <v>138</v>
      </c>
      <c r="I222" s="865"/>
      <c r="J222" s="864"/>
      <c r="K222" s="1030">
        <f t="shared" si="14"/>
        <v>138</v>
      </c>
      <c r="L222" s="1010"/>
      <c r="M222" s="729"/>
      <c r="N222" s="729"/>
      <c r="O222" s="729"/>
      <c r="P222" s="729"/>
      <c r="Q222" s="729"/>
    </row>
    <row r="223" spans="1:17" s="714" customFormat="1" ht="24" customHeight="1">
      <c r="A223" s="861"/>
      <c r="B223" s="800" t="s">
        <v>1273</v>
      </c>
      <c r="C223" s="801"/>
      <c r="D223" s="801"/>
      <c r="E223" s="802">
        <v>2</v>
      </c>
      <c r="F223" s="803" t="s">
        <v>240</v>
      </c>
      <c r="G223" s="858">
        <v>1288</v>
      </c>
      <c r="H223" s="864">
        <f t="shared" si="22"/>
        <v>2576</v>
      </c>
      <c r="I223" s="865"/>
      <c r="J223" s="864"/>
      <c r="K223" s="1030">
        <f t="shared" si="14"/>
        <v>2576</v>
      </c>
      <c r="L223" s="1010"/>
      <c r="M223" s="729"/>
      <c r="N223" s="729"/>
      <c r="O223" s="729"/>
      <c r="P223" s="729"/>
    </row>
    <row r="224" spans="1:17" s="714" customFormat="1" ht="24" customHeight="1">
      <c r="A224" s="831"/>
      <c r="B224" s="720" t="s">
        <v>957</v>
      </c>
      <c r="C224" s="792"/>
      <c r="D224" s="792"/>
      <c r="E224" s="793"/>
      <c r="F224" s="794"/>
      <c r="G224" s="795"/>
      <c r="H224" s="796"/>
      <c r="I224" s="797"/>
      <c r="J224" s="796"/>
      <c r="K224" s="1014"/>
      <c r="L224" s="1010"/>
      <c r="M224" s="729"/>
      <c r="N224" s="729"/>
      <c r="O224" s="729"/>
      <c r="P224" s="729"/>
    </row>
    <row r="225" spans="1:16" s="714" customFormat="1" ht="24" customHeight="1">
      <c r="A225" s="831"/>
      <c r="B225" s="720" t="s">
        <v>958</v>
      </c>
      <c r="C225" s="792"/>
      <c r="D225" s="792"/>
      <c r="E225" s="793"/>
      <c r="F225" s="794"/>
      <c r="G225" s="795"/>
      <c r="H225" s="796"/>
      <c r="I225" s="797"/>
      <c r="J225" s="796"/>
      <c r="K225" s="1014"/>
      <c r="L225" s="1010"/>
      <c r="M225" s="729"/>
      <c r="N225" s="729"/>
      <c r="O225" s="729"/>
      <c r="P225" s="729"/>
    </row>
    <row r="226" spans="1:16" s="714" customFormat="1" ht="24" customHeight="1">
      <c r="A226" s="775"/>
      <c r="B226" s="2475" t="str">
        <f>"รวมราคารายการที่ "&amp;A169</f>
        <v>รวมราคารายการที่ 3.3</v>
      </c>
      <c r="C226" s="2476"/>
      <c r="D226" s="2477"/>
      <c r="E226" s="776"/>
      <c r="F226" s="777"/>
      <c r="G226" s="959"/>
      <c r="H226" s="960">
        <f>SUM(H169:H225)</f>
        <v>128534</v>
      </c>
      <c r="I226" s="959"/>
      <c r="J226" s="960">
        <f>SUM(J169:J225)</f>
        <v>15000</v>
      </c>
      <c r="K226" s="960">
        <f>SUM(K169:K225)</f>
        <v>143534</v>
      </c>
      <c r="L226" s="1006"/>
      <c r="M226" s="729"/>
      <c r="N226" s="729"/>
      <c r="O226" s="729"/>
      <c r="P226" s="729"/>
    </row>
    <row r="227" spans="1:16" s="714" customFormat="1" ht="24" customHeight="1">
      <c r="A227" s="1029">
        <v>3.4</v>
      </c>
      <c r="B227" s="816" t="s">
        <v>1159</v>
      </c>
      <c r="C227" s="770"/>
      <c r="D227" s="770"/>
      <c r="E227" s="930"/>
      <c r="F227" s="931"/>
      <c r="G227" s="932"/>
      <c r="H227" s="854">
        <f t="shared" ref="H227:H236" si="24">ROUND(E227*G227,)</f>
        <v>0</v>
      </c>
      <c r="I227" s="934"/>
      <c r="J227" s="854">
        <f t="shared" ref="J227:J236" si="25">ROUND(E227*I227,)</f>
        <v>0</v>
      </c>
      <c r="K227" s="1013"/>
      <c r="L227" s="935"/>
      <c r="M227" s="729"/>
      <c r="N227" s="729"/>
      <c r="O227" s="729"/>
      <c r="P227" s="729"/>
    </row>
    <row r="228" spans="1:16" s="714" customFormat="1" ht="24" customHeight="1">
      <c r="A228" s="831" t="s">
        <v>971</v>
      </c>
      <c r="B228" s="720" t="s">
        <v>1410</v>
      </c>
      <c r="C228" s="717"/>
      <c r="D228" s="717"/>
      <c r="E228" s="917"/>
      <c r="F228" s="916"/>
      <c r="G228" s="806"/>
      <c r="H228" s="796">
        <f t="shared" si="24"/>
        <v>0</v>
      </c>
      <c r="I228" s="807"/>
      <c r="J228" s="796">
        <f t="shared" si="25"/>
        <v>0</v>
      </c>
      <c r="K228" s="968"/>
      <c r="L228" s="919"/>
      <c r="M228" s="729"/>
      <c r="N228" s="729"/>
      <c r="O228" s="729"/>
      <c r="P228" s="729"/>
    </row>
    <row r="229" spans="1:16" s="714" customFormat="1" ht="24" customHeight="1">
      <c r="A229" s="831"/>
      <c r="B229" s="720" t="s">
        <v>1277</v>
      </c>
      <c r="C229" s="717"/>
      <c r="D229" s="717"/>
      <c r="E229" s="805">
        <v>3520</v>
      </c>
      <c r="F229" s="794" t="s">
        <v>438</v>
      </c>
      <c r="G229" s="806">
        <v>9</v>
      </c>
      <c r="H229" s="796">
        <f t="shared" si="24"/>
        <v>31680</v>
      </c>
      <c r="I229" s="807">
        <v>7</v>
      </c>
      <c r="J229" s="796">
        <f t="shared" si="25"/>
        <v>24640</v>
      </c>
      <c r="K229" s="1030">
        <f t="shared" ref="K229:K232" si="26">H229+J229</f>
        <v>56320</v>
      </c>
      <c r="L229" s="1718" t="s">
        <v>2974</v>
      </c>
      <c r="M229" s="729"/>
      <c r="N229" s="714">
        <v>912.1</v>
      </c>
      <c r="O229" s="714">
        <f>ROUND(N229/100,)</f>
        <v>9</v>
      </c>
      <c r="P229" s="729"/>
    </row>
    <row r="230" spans="1:16" s="714" customFormat="1" ht="24" customHeight="1">
      <c r="A230" s="831"/>
      <c r="B230" s="720" t="s">
        <v>1166</v>
      </c>
      <c r="C230" s="717"/>
      <c r="D230" s="717"/>
      <c r="E230" s="805">
        <v>5735</v>
      </c>
      <c r="F230" s="794" t="s">
        <v>438</v>
      </c>
      <c r="G230" s="806">
        <v>14</v>
      </c>
      <c r="H230" s="796">
        <f t="shared" si="24"/>
        <v>80290</v>
      </c>
      <c r="I230" s="807">
        <v>10</v>
      </c>
      <c r="J230" s="796">
        <f t="shared" si="25"/>
        <v>57350</v>
      </c>
      <c r="K230" s="1030">
        <f t="shared" si="26"/>
        <v>137640</v>
      </c>
      <c r="L230" s="1718" t="s">
        <v>2974</v>
      </c>
      <c r="M230" s="729"/>
      <c r="N230" s="714">
        <v>1375.8</v>
      </c>
      <c r="O230" s="714">
        <f>ROUND(N230/100,)</f>
        <v>14</v>
      </c>
      <c r="P230" s="729"/>
    </row>
    <row r="231" spans="1:16" s="714" customFormat="1" ht="24" customHeight="1">
      <c r="A231" s="831"/>
      <c r="B231" s="720" t="s">
        <v>1167</v>
      </c>
      <c r="C231" s="792"/>
      <c r="D231" s="792"/>
      <c r="E231" s="805"/>
      <c r="F231" s="794" t="s">
        <v>438</v>
      </c>
      <c r="G231" s="806">
        <v>23</v>
      </c>
      <c r="H231" s="796">
        <f t="shared" si="24"/>
        <v>0</v>
      </c>
      <c r="I231" s="797">
        <v>12</v>
      </c>
      <c r="J231" s="796">
        <f t="shared" si="25"/>
        <v>0</v>
      </c>
      <c r="K231" s="1030">
        <f t="shared" si="26"/>
        <v>0</v>
      </c>
      <c r="L231" s="1718" t="s">
        <v>2974</v>
      </c>
      <c r="N231" s="714">
        <v>2264.1999999999998</v>
      </c>
      <c r="O231" s="714">
        <f t="shared" ref="O231:O232" si="27">ROUND(N231/100,)</f>
        <v>23</v>
      </c>
    </row>
    <row r="232" spans="1:16" s="714" customFormat="1" ht="24" customHeight="1">
      <c r="A232" s="831"/>
      <c r="B232" s="720" t="s">
        <v>1168</v>
      </c>
      <c r="C232" s="792"/>
      <c r="D232" s="792"/>
      <c r="E232" s="805">
        <v>290</v>
      </c>
      <c r="F232" s="794" t="s">
        <v>438</v>
      </c>
      <c r="G232" s="806">
        <v>39</v>
      </c>
      <c r="H232" s="796">
        <f t="shared" si="24"/>
        <v>11310</v>
      </c>
      <c r="I232" s="797">
        <v>16</v>
      </c>
      <c r="J232" s="796">
        <f t="shared" si="25"/>
        <v>4640</v>
      </c>
      <c r="K232" s="1030">
        <f t="shared" si="26"/>
        <v>15950</v>
      </c>
      <c r="L232" s="1718" t="s">
        <v>2974</v>
      </c>
      <c r="N232" s="714">
        <v>3944.2</v>
      </c>
      <c r="O232" s="714">
        <f t="shared" si="27"/>
        <v>39</v>
      </c>
    </row>
    <row r="233" spans="1:16" s="714" customFormat="1" ht="24" customHeight="1">
      <c r="A233" s="831" t="s">
        <v>975</v>
      </c>
      <c r="B233" s="720" t="s">
        <v>1276</v>
      </c>
      <c r="C233" s="717"/>
      <c r="D233" s="717"/>
      <c r="E233" s="967"/>
      <c r="F233" s="916"/>
      <c r="G233" s="806"/>
      <c r="H233" s="796">
        <f t="shared" si="24"/>
        <v>0</v>
      </c>
      <c r="I233" s="807"/>
      <c r="J233" s="796">
        <f t="shared" si="25"/>
        <v>0</v>
      </c>
      <c r="K233" s="968"/>
      <c r="L233" s="919"/>
      <c r="M233" s="729"/>
      <c r="N233" s="729"/>
      <c r="O233" s="729"/>
      <c r="P233" s="729"/>
    </row>
    <row r="234" spans="1:16" s="714" customFormat="1" ht="24" customHeight="1">
      <c r="A234" s="831"/>
      <c r="B234" s="720" t="s">
        <v>1277</v>
      </c>
      <c r="C234" s="717"/>
      <c r="D234" s="717"/>
      <c r="E234" s="805"/>
      <c r="F234" s="794" t="s">
        <v>438</v>
      </c>
      <c r="G234" s="806">
        <v>41</v>
      </c>
      <c r="H234" s="796">
        <f t="shared" si="24"/>
        <v>0</v>
      </c>
      <c r="I234" s="807">
        <v>12</v>
      </c>
      <c r="J234" s="796">
        <f t="shared" si="25"/>
        <v>0</v>
      </c>
      <c r="K234" s="1014">
        <f t="shared" ref="K234:K236" si="28">H234+J234</f>
        <v>0</v>
      </c>
      <c r="L234" s="919"/>
      <c r="M234" s="729"/>
      <c r="N234" s="729"/>
      <c r="O234" s="729"/>
      <c r="P234" s="729"/>
    </row>
    <row r="235" spans="1:16" s="714" customFormat="1" ht="24" customHeight="1">
      <c r="A235" s="831"/>
      <c r="B235" s="720" t="s">
        <v>1166</v>
      </c>
      <c r="C235" s="792"/>
      <c r="D235" s="792"/>
      <c r="E235" s="805"/>
      <c r="F235" s="794" t="s">
        <v>438</v>
      </c>
      <c r="G235" s="806">
        <v>50</v>
      </c>
      <c r="H235" s="796">
        <f t="shared" si="24"/>
        <v>0</v>
      </c>
      <c r="I235" s="797">
        <v>14</v>
      </c>
      <c r="J235" s="796">
        <f t="shared" si="25"/>
        <v>0</v>
      </c>
      <c r="K235" s="1030">
        <f t="shared" si="28"/>
        <v>0</v>
      </c>
      <c r="L235" s="915"/>
    </row>
    <row r="236" spans="1:16" s="714" customFormat="1" ht="24" customHeight="1">
      <c r="A236" s="856"/>
      <c r="B236" s="720" t="s">
        <v>1278</v>
      </c>
      <c r="C236" s="717"/>
      <c r="D236" s="717"/>
      <c r="E236" s="805">
        <v>1</v>
      </c>
      <c r="F236" s="794" t="s">
        <v>948</v>
      </c>
      <c r="G236" s="806">
        <f>SUM(H229:H235)*0.05</f>
        <v>6164</v>
      </c>
      <c r="H236" s="796">
        <f t="shared" si="24"/>
        <v>6164</v>
      </c>
      <c r="I236" s="807">
        <f>G236*0.3</f>
        <v>1849.1999999999998</v>
      </c>
      <c r="J236" s="796">
        <f t="shared" si="25"/>
        <v>1849</v>
      </c>
      <c r="K236" s="1030">
        <f t="shared" si="28"/>
        <v>8013</v>
      </c>
      <c r="L236" s="919"/>
      <c r="M236" s="729"/>
      <c r="N236" s="729"/>
      <c r="O236" s="729"/>
      <c r="P236" s="729"/>
    </row>
    <row r="237" spans="1:16" s="714" customFormat="1" ht="24" customHeight="1">
      <c r="A237" s="831"/>
      <c r="B237" s="720" t="s">
        <v>957</v>
      </c>
      <c r="C237" s="717"/>
      <c r="D237" s="717"/>
      <c r="E237" s="917"/>
      <c r="F237" s="916"/>
      <c r="G237" s="806"/>
      <c r="H237" s="918"/>
      <c r="I237" s="807"/>
      <c r="J237" s="919"/>
      <c r="K237" s="968"/>
      <c r="L237" s="919"/>
      <c r="M237" s="729"/>
      <c r="N237" s="729"/>
      <c r="O237" s="729"/>
      <c r="P237" s="729"/>
    </row>
    <row r="238" spans="1:16" s="714" customFormat="1" ht="24" customHeight="1">
      <c r="A238" s="921"/>
      <c r="B238" s="705" t="s">
        <v>958</v>
      </c>
      <c r="C238" s="761"/>
      <c r="D238" s="761"/>
      <c r="E238" s="923"/>
      <c r="F238" s="924"/>
      <c r="G238" s="925"/>
      <c r="H238" s="926"/>
      <c r="I238" s="927"/>
      <c r="J238" s="928"/>
      <c r="K238" s="1072"/>
      <c r="L238" s="928"/>
      <c r="M238" s="729"/>
      <c r="N238" s="729"/>
      <c r="O238" s="729"/>
      <c r="P238" s="729"/>
    </row>
    <row r="239" spans="1:16" s="714" customFormat="1" ht="24" customHeight="1">
      <c r="A239" s="775"/>
      <c r="B239" s="2475" t="str">
        <f>"รวมราคารายการที่ "&amp;A227</f>
        <v>รวมราคารายการที่ 3.4</v>
      </c>
      <c r="C239" s="2476"/>
      <c r="D239" s="2477"/>
      <c r="E239" s="776"/>
      <c r="F239" s="777"/>
      <c r="G239" s="959"/>
      <c r="H239" s="960">
        <f>SUM(H227:H238)</f>
        <v>129444</v>
      </c>
      <c r="I239" s="959"/>
      <c r="J239" s="960">
        <f t="shared" ref="J239:K239" si="29">SUM(J227:J238)</f>
        <v>88479</v>
      </c>
      <c r="K239" s="960">
        <f t="shared" si="29"/>
        <v>217923</v>
      </c>
      <c r="L239" s="1006"/>
      <c r="M239" s="729"/>
      <c r="N239" s="729"/>
      <c r="O239" s="729"/>
      <c r="P239" s="729"/>
    </row>
    <row r="240" spans="1:16" s="714" customFormat="1" ht="24" customHeight="1">
      <c r="A240" s="911" t="s">
        <v>1290</v>
      </c>
      <c r="B240" s="816" t="s">
        <v>1181</v>
      </c>
      <c r="C240" s="770"/>
      <c r="D240" s="770"/>
      <c r="E240" s="930"/>
      <c r="F240" s="931"/>
      <c r="G240" s="932"/>
      <c r="H240" s="933"/>
      <c r="I240" s="934"/>
      <c r="J240" s="935"/>
      <c r="K240" s="1013"/>
      <c r="L240" s="935"/>
      <c r="M240" s="729"/>
      <c r="N240" s="729"/>
      <c r="O240" s="729"/>
      <c r="P240" s="729"/>
    </row>
    <row r="241" spans="1:17" s="714" customFormat="1" ht="24" customHeight="1">
      <c r="A241" s="831" t="s">
        <v>991</v>
      </c>
      <c r="B241" s="720" t="s">
        <v>1280</v>
      </c>
      <c r="C241" s="717"/>
      <c r="D241" s="717"/>
      <c r="E241" s="917"/>
      <c r="F241" s="916"/>
      <c r="G241" s="806"/>
      <c r="H241" s="796">
        <f t="shared" ref="H241:H252" si="30">ROUND(E241*G241,)</f>
        <v>0</v>
      </c>
      <c r="I241" s="807"/>
      <c r="J241" s="796">
        <f t="shared" ref="J241:J252" si="31">ROUND(E241*I241,)</f>
        <v>0</v>
      </c>
      <c r="K241" s="968"/>
      <c r="L241" s="919"/>
      <c r="M241" s="729"/>
      <c r="N241" s="729"/>
      <c r="O241" s="729"/>
      <c r="P241" s="729"/>
    </row>
    <row r="242" spans="1:17" s="714" customFormat="1" ht="24" customHeight="1">
      <c r="A242" s="831"/>
      <c r="B242" s="720" t="s">
        <v>1201</v>
      </c>
      <c r="C242" s="717"/>
      <c r="D242" s="717"/>
      <c r="E242" s="917">
        <v>2750</v>
      </c>
      <c r="F242" s="794" t="s">
        <v>438</v>
      </c>
      <c r="G242" s="806">
        <v>27</v>
      </c>
      <c r="H242" s="796">
        <f t="shared" si="30"/>
        <v>74250</v>
      </c>
      <c r="I242" s="807">
        <v>22</v>
      </c>
      <c r="J242" s="796">
        <f t="shared" si="31"/>
        <v>60500</v>
      </c>
      <c r="K242" s="1030">
        <f t="shared" ref="K242:K246" si="32">H242+J242</f>
        <v>134750</v>
      </c>
      <c r="L242" s="1718" t="s">
        <v>2974</v>
      </c>
      <c r="M242" s="729"/>
      <c r="N242" s="714">
        <v>79.8</v>
      </c>
      <c r="O242" s="714">
        <f>ROUND(N242/3,)</f>
        <v>27</v>
      </c>
      <c r="P242" s="729"/>
    </row>
    <row r="243" spans="1:17" s="714" customFormat="1" ht="24" customHeight="1">
      <c r="A243" s="831"/>
      <c r="B243" s="720" t="s">
        <v>1184</v>
      </c>
      <c r="C243" s="717"/>
      <c r="D243" s="717"/>
      <c r="E243" s="917">
        <v>200</v>
      </c>
      <c r="F243" s="794" t="s">
        <v>438</v>
      </c>
      <c r="G243" s="806">
        <v>38</v>
      </c>
      <c r="H243" s="796">
        <f t="shared" si="30"/>
        <v>7600</v>
      </c>
      <c r="I243" s="807">
        <v>28</v>
      </c>
      <c r="J243" s="796">
        <f t="shared" si="31"/>
        <v>5600</v>
      </c>
      <c r="K243" s="1030">
        <f t="shared" si="32"/>
        <v>13200</v>
      </c>
      <c r="L243" s="1718" t="s">
        <v>2974</v>
      </c>
      <c r="M243" s="729"/>
      <c r="N243" s="729">
        <v>115.2</v>
      </c>
      <c r="O243" s="714">
        <f>ROUND(N243/3,)</f>
        <v>38</v>
      </c>
      <c r="P243" s="729"/>
    </row>
    <row r="244" spans="1:17" s="714" customFormat="1" ht="24" customHeight="1">
      <c r="A244" s="831"/>
      <c r="B244" s="720" t="s">
        <v>1185</v>
      </c>
      <c r="C244" s="717"/>
      <c r="D244" s="717"/>
      <c r="E244" s="917">
        <v>60</v>
      </c>
      <c r="F244" s="794" t="s">
        <v>438</v>
      </c>
      <c r="G244" s="806">
        <v>55</v>
      </c>
      <c r="H244" s="796">
        <f t="shared" si="30"/>
        <v>3300</v>
      </c>
      <c r="I244" s="807">
        <v>28</v>
      </c>
      <c r="J244" s="796">
        <f t="shared" si="31"/>
        <v>1680</v>
      </c>
      <c r="K244" s="1030">
        <f t="shared" si="32"/>
        <v>4980</v>
      </c>
      <c r="L244" s="1718" t="s">
        <v>2974</v>
      </c>
      <c r="M244" s="729"/>
      <c r="N244" s="729">
        <v>163.80000000000001</v>
      </c>
      <c r="O244" s="714">
        <f>ROUND(N244/3,)</f>
        <v>55</v>
      </c>
      <c r="P244" s="729"/>
      <c r="Q244" s="729"/>
    </row>
    <row r="245" spans="1:17" s="714" customFormat="1" ht="24" customHeight="1">
      <c r="A245" s="831"/>
      <c r="B245" s="720" t="s">
        <v>1186</v>
      </c>
      <c r="C245" s="717"/>
      <c r="D245" s="717"/>
      <c r="E245" s="917"/>
      <c r="F245" s="794" t="s">
        <v>438</v>
      </c>
      <c r="G245" s="806">
        <v>95</v>
      </c>
      <c r="H245" s="796">
        <f t="shared" si="30"/>
        <v>0</v>
      </c>
      <c r="I245" s="807">
        <v>32</v>
      </c>
      <c r="J245" s="796">
        <f t="shared" si="31"/>
        <v>0</v>
      </c>
      <c r="K245" s="1030">
        <f t="shared" si="32"/>
        <v>0</v>
      </c>
      <c r="L245" s="1718" t="s">
        <v>2974</v>
      </c>
      <c r="M245" s="729"/>
      <c r="N245" s="729">
        <v>285.60000000000002</v>
      </c>
      <c r="O245" s="714">
        <f>ROUND(N245/3,)</f>
        <v>95</v>
      </c>
      <c r="P245" s="729"/>
      <c r="Q245" s="729"/>
    </row>
    <row r="246" spans="1:17" s="714" customFormat="1" ht="24" customHeight="1">
      <c r="A246" s="831"/>
      <c r="B246" s="720" t="s">
        <v>952</v>
      </c>
      <c r="C246" s="717"/>
      <c r="D246" s="717"/>
      <c r="E246" s="917">
        <v>1</v>
      </c>
      <c r="F246" s="916" t="s">
        <v>948</v>
      </c>
      <c r="G246" s="806">
        <f>ROUND(SUM(H242:H245)*15%,)</f>
        <v>12773</v>
      </c>
      <c r="H246" s="796">
        <f t="shared" si="30"/>
        <v>12773</v>
      </c>
      <c r="I246" s="797">
        <f>ROUND(G246*0.3,)</f>
        <v>3832</v>
      </c>
      <c r="J246" s="796">
        <f t="shared" si="31"/>
        <v>3832</v>
      </c>
      <c r="K246" s="1030">
        <f t="shared" si="32"/>
        <v>16605</v>
      </c>
      <c r="L246" s="920"/>
      <c r="M246" s="729"/>
      <c r="N246" s="729"/>
      <c r="O246" s="729"/>
      <c r="P246" s="729"/>
    </row>
    <row r="247" spans="1:17" s="714" customFormat="1" ht="24" customHeight="1">
      <c r="A247" s="831" t="s">
        <v>1020</v>
      </c>
      <c r="B247" s="720" t="s">
        <v>950</v>
      </c>
      <c r="C247" s="717"/>
      <c r="D247" s="717"/>
      <c r="E247" s="917"/>
      <c r="F247" s="916"/>
      <c r="G247" s="806"/>
      <c r="H247" s="796">
        <f t="shared" si="30"/>
        <v>0</v>
      </c>
      <c r="I247" s="807"/>
      <c r="J247" s="796">
        <f t="shared" si="31"/>
        <v>0</v>
      </c>
      <c r="K247" s="968"/>
      <c r="L247" s="920"/>
      <c r="M247" s="729"/>
      <c r="N247" s="729"/>
      <c r="O247" s="729"/>
      <c r="P247" s="729"/>
    </row>
    <row r="248" spans="1:17" s="714" customFormat="1" ht="24" customHeight="1">
      <c r="A248" s="831"/>
      <c r="B248" s="720" t="s">
        <v>1201</v>
      </c>
      <c r="C248" s="717"/>
      <c r="D248" s="717"/>
      <c r="E248" s="917"/>
      <c r="F248" s="794" t="s">
        <v>438</v>
      </c>
      <c r="G248" s="806">
        <v>56</v>
      </c>
      <c r="H248" s="796">
        <f t="shared" si="30"/>
        <v>0</v>
      </c>
      <c r="I248" s="807">
        <v>26</v>
      </c>
      <c r="J248" s="796">
        <f t="shared" si="31"/>
        <v>0</v>
      </c>
      <c r="K248" s="1030">
        <f t="shared" ref="K248:K252" si="33">H248+J248</f>
        <v>0</v>
      </c>
      <c r="L248" s="1718" t="s">
        <v>2974</v>
      </c>
      <c r="M248" s="729"/>
      <c r="N248" s="714">
        <v>169.2</v>
      </c>
      <c r="O248" s="714">
        <f>ROUND(N248/3,)</f>
        <v>56</v>
      </c>
      <c r="P248" s="729"/>
    </row>
    <row r="249" spans="1:17" s="714" customFormat="1" ht="24" customHeight="1">
      <c r="A249" s="831"/>
      <c r="B249" s="720" t="s">
        <v>1185</v>
      </c>
      <c r="C249" s="717"/>
      <c r="D249" s="717"/>
      <c r="E249" s="917"/>
      <c r="F249" s="794" t="s">
        <v>438</v>
      </c>
      <c r="G249" s="806">
        <v>101</v>
      </c>
      <c r="H249" s="796">
        <f t="shared" si="30"/>
        <v>0</v>
      </c>
      <c r="I249" s="807">
        <v>32</v>
      </c>
      <c r="J249" s="796">
        <f t="shared" si="31"/>
        <v>0</v>
      </c>
      <c r="K249" s="1030">
        <f t="shared" si="33"/>
        <v>0</v>
      </c>
      <c r="L249" s="1718" t="s">
        <v>2974</v>
      </c>
      <c r="M249" s="729"/>
      <c r="N249" s="729">
        <v>303.60000000000002</v>
      </c>
      <c r="O249" s="714">
        <f>ROUND(N249/3,)</f>
        <v>101</v>
      </c>
      <c r="P249" s="729"/>
    </row>
    <row r="250" spans="1:17" s="714" customFormat="1" ht="24" customHeight="1">
      <c r="A250" s="831"/>
      <c r="B250" s="720" t="s">
        <v>952</v>
      </c>
      <c r="C250" s="717"/>
      <c r="D250" s="717"/>
      <c r="E250" s="917">
        <v>1</v>
      </c>
      <c r="F250" s="916" t="s">
        <v>948</v>
      </c>
      <c r="G250" s="806">
        <f>ROUND(SUM(H248:H249)*15%,)</f>
        <v>0</v>
      </c>
      <c r="H250" s="796">
        <f t="shared" si="30"/>
        <v>0</v>
      </c>
      <c r="I250" s="797">
        <f>ROUND(G250*0.3,)</f>
        <v>0</v>
      </c>
      <c r="J250" s="796">
        <f t="shared" si="31"/>
        <v>0</v>
      </c>
      <c r="K250" s="1030">
        <f t="shared" si="33"/>
        <v>0</v>
      </c>
      <c r="L250" s="919"/>
      <c r="M250" s="729"/>
      <c r="N250" s="729"/>
      <c r="O250" s="729"/>
      <c r="P250" s="729"/>
    </row>
    <row r="251" spans="1:17" s="714" customFormat="1" ht="24" customHeight="1">
      <c r="A251" s="831" t="s">
        <v>1578</v>
      </c>
      <c r="B251" s="720" t="s">
        <v>1281</v>
      </c>
      <c r="C251" s="717"/>
      <c r="D251" s="717"/>
      <c r="E251" s="917"/>
      <c r="F251" s="916"/>
      <c r="G251" s="806"/>
      <c r="H251" s="796">
        <f t="shared" si="30"/>
        <v>0</v>
      </c>
      <c r="I251" s="807"/>
      <c r="J251" s="796">
        <f t="shared" si="31"/>
        <v>0</v>
      </c>
      <c r="K251" s="1030">
        <f t="shared" si="33"/>
        <v>0</v>
      </c>
      <c r="L251" s="919"/>
      <c r="M251" s="729"/>
      <c r="N251" s="729"/>
      <c r="O251" s="729"/>
      <c r="P251" s="729"/>
    </row>
    <row r="252" spans="1:17" s="714" customFormat="1" ht="24" customHeight="1">
      <c r="A252" s="831"/>
      <c r="B252" s="720" t="s">
        <v>1201</v>
      </c>
      <c r="C252" s="717"/>
      <c r="D252" s="717"/>
      <c r="E252" s="917">
        <v>817</v>
      </c>
      <c r="F252" s="794" t="s">
        <v>438</v>
      </c>
      <c r="G252" s="806">
        <v>14</v>
      </c>
      <c r="H252" s="796">
        <f t="shared" si="30"/>
        <v>11438</v>
      </c>
      <c r="I252" s="807">
        <v>11</v>
      </c>
      <c r="J252" s="796">
        <f t="shared" si="31"/>
        <v>8987</v>
      </c>
      <c r="K252" s="1030">
        <f t="shared" si="33"/>
        <v>20425</v>
      </c>
      <c r="L252" s="919"/>
      <c r="M252" s="729"/>
      <c r="N252" s="729"/>
      <c r="O252" s="729"/>
      <c r="P252" s="729"/>
    </row>
    <row r="253" spans="1:17" s="714" customFormat="1" ht="24" customHeight="1">
      <c r="A253" s="921"/>
      <c r="B253" s="705" t="s">
        <v>957</v>
      </c>
      <c r="C253" s="761"/>
      <c r="D253" s="761"/>
      <c r="E253" s="923"/>
      <c r="F253" s="924"/>
      <c r="G253" s="925"/>
      <c r="H253" s="926"/>
      <c r="I253" s="927"/>
      <c r="J253" s="928"/>
      <c r="K253" s="1072"/>
      <c r="L253" s="928"/>
      <c r="M253" s="729"/>
      <c r="N253" s="729"/>
      <c r="O253" s="729"/>
      <c r="P253" s="729"/>
    </row>
    <row r="254" spans="1:17" s="714" customFormat="1" ht="24" customHeight="1">
      <c r="A254" s="921"/>
      <c r="B254" s="705" t="s">
        <v>958</v>
      </c>
      <c r="C254" s="761"/>
      <c r="D254" s="761"/>
      <c r="E254" s="923"/>
      <c r="F254" s="924"/>
      <c r="G254" s="925"/>
      <c r="H254" s="926"/>
      <c r="I254" s="927"/>
      <c r="J254" s="928"/>
      <c r="K254" s="1072"/>
      <c r="L254" s="928"/>
      <c r="M254" s="729"/>
      <c r="N254" s="729"/>
      <c r="O254" s="729"/>
      <c r="P254" s="729"/>
    </row>
    <row r="255" spans="1:17" s="714" customFormat="1" ht="24" customHeight="1">
      <c r="A255" s="775"/>
      <c r="B255" s="2475" t="str">
        <f>"รวมราคารายการที่ "&amp;A240</f>
        <v>รวมราคารายการที่ 3.5</v>
      </c>
      <c r="C255" s="2476"/>
      <c r="D255" s="2477"/>
      <c r="E255" s="776"/>
      <c r="F255" s="777"/>
      <c r="G255" s="959"/>
      <c r="H255" s="960">
        <f>SUM(H241:H253)</f>
        <v>109361</v>
      </c>
      <c r="I255" s="959"/>
      <c r="J255" s="960">
        <f t="shared" ref="J255:K255" si="34">SUM(J241:J253)</f>
        <v>80599</v>
      </c>
      <c r="K255" s="960">
        <f t="shared" si="34"/>
        <v>189960</v>
      </c>
      <c r="L255" s="1006"/>
      <c r="M255" s="729"/>
      <c r="N255" s="729"/>
      <c r="O255" s="729"/>
      <c r="P255" s="729"/>
    </row>
    <row r="256" spans="1:17" s="714" customFormat="1" ht="24" customHeight="1">
      <c r="A256" s="911" t="s">
        <v>1293</v>
      </c>
      <c r="B256" s="816" t="s">
        <v>1283</v>
      </c>
      <c r="C256" s="770"/>
      <c r="D256" s="770"/>
      <c r="E256" s="930"/>
      <c r="F256" s="931"/>
      <c r="G256" s="932"/>
      <c r="H256" s="933"/>
      <c r="I256" s="934"/>
      <c r="J256" s="935"/>
      <c r="K256" s="1013"/>
      <c r="L256" s="935"/>
      <c r="M256" s="729"/>
      <c r="N256" s="729"/>
      <c r="O256" s="729"/>
      <c r="P256" s="729"/>
    </row>
    <row r="257" spans="1:19" s="714" customFormat="1" ht="24" customHeight="1">
      <c r="A257" s="831" t="s">
        <v>1032</v>
      </c>
      <c r="B257" s="720" t="s">
        <v>1283</v>
      </c>
      <c r="C257" s="717"/>
      <c r="D257" s="717"/>
      <c r="E257" s="917"/>
      <c r="F257" s="916"/>
      <c r="G257" s="806"/>
      <c r="H257" s="918"/>
      <c r="I257" s="807"/>
      <c r="J257" s="919"/>
      <c r="K257" s="968"/>
      <c r="L257" s="919"/>
      <c r="M257" s="729"/>
      <c r="N257" s="729"/>
      <c r="O257" s="729"/>
      <c r="P257" s="729"/>
    </row>
    <row r="258" spans="1:19" s="714" customFormat="1" ht="24" customHeight="1">
      <c r="A258" s="831"/>
      <c r="B258" s="720" t="s">
        <v>1284</v>
      </c>
      <c r="C258" s="717"/>
      <c r="D258" s="717"/>
      <c r="E258" s="917">
        <v>27</v>
      </c>
      <c r="F258" s="722" t="s">
        <v>240</v>
      </c>
      <c r="G258" s="806">
        <v>90</v>
      </c>
      <c r="H258" s="796">
        <f t="shared" ref="H258:H267" si="35">ROUND(E258*G258,)</f>
        <v>2430</v>
      </c>
      <c r="I258" s="807">
        <v>80</v>
      </c>
      <c r="J258" s="796">
        <f t="shared" ref="J258:J267" si="36">ROUND(E258*I258,)</f>
        <v>2160</v>
      </c>
      <c r="K258" s="1030">
        <f t="shared" ref="K258:K267" si="37">H258+J258</f>
        <v>4590</v>
      </c>
      <c r="L258" s="919"/>
      <c r="M258" s="729"/>
      <c r="N258" s="729"/>
      <c r="O258" s="729"/>
      <c r="P258" s="729"/>
    </row>
    <row r="259" spans="1:19" s="714" customFormat="1" ht="24" customHeight="1">
      <c r="A259" s="831"/>
      <c r="B259" s="705" t="s">
        <v>1418</v>
      </c>
      <c r="C259" s="717"/>
      <c r="D259" s="717"/>
      <c r="E259" s="967"/>
      <c r="F259" s="709" t="s">
        <v>240</v>
      </c>
      <c r="G259" s="806">
        <v>130</v>
      </c>
      <c r="H259" s="796">
        <f t="shared" si="35"/>
        <v>0</v>
      </c>
      <c r="I259" s="807">
        <v>90</v>
      </c>
      <c r="J259" s="796">
        <f t="shared" si="36"/>
        <v>0</v>
      </c>
      <c r="K259" s="1030">
        <f t="shared" si="37"/>
        <v>0</v>
      </c>
      <c r="L259" s="919"/>
    </row>
    <row r="260" spans="1:19" s="714" customFormat="1" ht="24" customHeight="1">
      <c r="A260" s="831"/>
      <c r="B260" s="720" t="s">
        <v>1285</v>
      </c>
      <c r="C260" s="717"/>
      <c r="D260" s="717"/>
      <c r="E260" s="917"/>
      <c r="F260" s="722" t="s">
        <v>240</v>
      </c>
      <c r="G260" s="806">
        <v>162</v>
      </c>
      <c r="H260" s="796">
        <f t="shared" si="35"/>
        <v>0</v>
      </c>
      <c r="I260" s="807">
        <v>90</v>
      </c>
      <c r="J260" s="796">
        <f t="shared" si="36"/>
        <v>0</v>
      </c>
      <c r="K260" s="1030">
        <f t="shared" si="37"/>
        <v>0</v>
      </c>
      <c r="L260" s="919"/>
      <c r="M260" s="729"/>
      <c r="N260" s="729"/>
      <c r="O260" s="729"/>
      <c r="P260" s="729"/>
    </row>
    <row r="261" spans="1:19" s="714" customFormat="1" ht="24" customHeight="1">
      <c r="A261" s="831"/>
      <c r="B261" s="720" t="s">
        <v>1286</v>
      </c>
      <c r="C261" s="717"/>
      <c r="D261" s="717"/>
      <c r="E261" s="917">
        <v>26</v>
      </c>
      <c r="F261" s="722" t="s">
        <v>240</v>
      </c>
      <c r="G261" s="806">
        <v>197</v>
      </c>
      <c r="H261" s="796">
        <f t="shared" si="35"/>
        <v>5122</v>
      </c>
      <c r="I261" s="807">
        <v>90</v>
      </c>
      <c r="J261" s="796">
        <f t="shared" si="36"/>
        <v>2340</v>
      </c>
      <c r="K261" s="1030">
        <f t="shared" si="37"/>
        <v>7462</v>
      </c>
      <c r="L261" s="919"/>
      <c r="M261" s="729"/>
      <c r="N261" s="729"/>
      <c r="O261" s="729"/>
      <c r="P261" s="729"/>
    </row>
    <row r="262" spans="1:19" s="714" customFormat="1" ht="24" customHeight="1">
      <c r="A262" s="831"/>
      <c r="B262" s="720" t="s">
        <v>1287</v>
      </c>
      <c r="C262" s="717"/>
      <c r="D262" s="717"/>
      <c r="E262" s="967"/>
      <c r="F262" s="722" t="s">
        <v>240</v>
      </c>
      <c r="G262" s="806">
        <v>1500</v>
      </c>
      <c r="H262" s="796">
        <f t="shared" si="35"/>
        <v>0</v>
      </c>
      <c r="I262" s="807">
        <v>265</v>
      </c>
      <c r="J262" s="796">
        <f t="shared" si="36"/>
        <v>0</v>
      </c>
      <c r="K262" s="966">
        <f t="shared" si="37"/>
        <v>0</v>
      </c>
      <c r="L262" s="919"/>
    </row>
    <row r="263" spans="1:19" s="714" customFormat="1" ht="24" customHeight="1">
      <c r="A263" s="831"/>
      <c r="B263" s="720" t="s">
        <v>1288</v>
      </c>
      <c r="C263" s="717"/>
      <c r="D263" s="717"/>
      <c r="E263" s="917"/>
      <c r="F263" s="722" t="s">
        <v>240</v>
      </c>
      <c r="G263" s="806">
        <v>320</v>
      </c>
      <c r="H263" s="796">
        <f t="shared" si="35"/>
        <v>0</v>
      </c>
      <c r="I263" s="807">
        <v>200</v>
      </c>
      <c r="J263" s="796">
        <f t="shared" si="36"/>
        <v>0</v>
      </c>
      <c r="K263" s="966">
        <f t="shared" si="37"/>
        <v>0</v>
      </c>
      <c r="L263" s="919"/>
      <c r="M263" s="729"/>
      <c r="N263" s="729"/>
      <c r="O263" s="729"/>
      <c r="P263" s="729"/>
      <c r="Q263" s="729"/>
    </row>
    <row r="264" spans="1:19" s="714" customFormat="1" ht="24" customHeight="1">
      <c r="A264" s="831" t="s">
        <v>1598</v>
      </c>
      <c r="B264" s="720" t="s">
        <v>1289</v>
      </c>
      <c r="C264" s="717"/>
      <c r="D264" s="717"/>
      <c r="E264" s="917">
        <v>10</v>
      </c>
      <c r="F264" s="722" t="s">
        <v>240</v>
      </c>
      <c r="G264" s="806">
        <v>130</v>
      </c>
      <c r="H264" s="796">
        <f t="shared" si="35"/>
        <v>1300</v>
      </c>
      <c r="I264" s="807">
        <v>90</v>
      </c>
      <c r="J264" s="796">
        <f t="shared" si="36"/>
        <v>900</v>
      </c>
      <c r="K264" s="966">
        <f t="shared" si="37"/>
        <v>2200</v>
      </c>
      <c r="L264" s="919"/>
      <c r="M264" s="729"/>
      <c r="N264" s="729"/>
      <c r="O264" s="729"/>
      <c r="P264" s="729"/>
    </row>
    <row r="265" spans="1:19" s="714" customFormat="1" ht="24" customHeight="1">
      <c r="A265" s="831" t="s">
        <v>1601</v>
      </c>
      <c r="B265" s="720" t="s">
        <v>1419</v>
      </c>
      <c r="C265" s="717"/>
      <c r="D265" s="717"/>
      <c r="E265" s="917"/>
      <c r="F265" s="722" t="s">
        <v>240</v>
      </c>
      <c r="G265" s="806">
        <v>150</v>
      </c>
      <c r="H265" s="796">
        <f t="shared" si="35"/>
        <v>0</v>
      </c>
      <c r="I265" s="807">
        <v>90</v>
      </c>
      <c r="J265" s="796">
        <f t="shared" si="36"/>
        <v>0</v>
      </c>
      <c r="K265" s="966">
        <f t="shared" si="37"/>
        <v>0</v>
      </c>
      <c r="L265" s="919"/>
      <c r="M265" s="729"/>
      <c r="N265" s="729"/>
      <c r="O265" s="729"/>
      <c r="P265" s="729"/>
      <c r="Q265" s="729"/>
      <c r="R265" s="729"/>
      <c r="S265" s="729"/>
    </row>
    <row r="266" spans="1:19" s="714" customFormat="1" ht="24" customHeight="1">
      <c r="A266" s="831"/>
      <c r="B266" s="720" t="s">
        <v>1420</v>
      </c>
      <c r="C266" s="717"/>
      <c r="D266" s="717"/>
      <c r="E266" s="917">
        <v>2</v>
      </c>
      <c r="F266" s="722" t="s">
        <v>240</v>
      </c>
      <c r="G266" s="806">
        <v>4000</v>
      </c>
      <c r="H266" s="796">
        <f t="shared" si="35"/>
        <v>8000</v>
      </c>
      <c r="I266" s="807">
        <v>500</v>
      </c>
      <c r="J266" s="914">
        <f t="shared" si="36"/>
        <v>1000</v>
      </c>
      <c r="K266" s="966">
        <f t="shared" si="37"/>
        <v>9000</v>
      </c>
      <c r="L266" s="919"/>
      <c r="M266" s="729"/>
      <c r="N266" s="729"/>
      <c r="O266" s="729"/>
      <c r="P266" s="729"/>
      <c r="Q266" s="729"/>
      <c r="R266" s="729"/>
      <c r="S266" s="729"/>
    </row>
    <row r="267" spans="1:19" s="714" customFormat="1" ht="24" customHeight="1">
      <c r="A267" s="831"/>
      <c r="B267" s="720" t="s">
        <v>1457</v>
      </c>
      <c r="C267" s="717"/>
      <c r="D267" s="717"/>
      <c r="E267" s="917">
        <v>4</v>
      </c>
      <c r="F267" s="722" t="s">
        <v>240</v>
      </c>
      <c r="G267" s="806">
        <v>8000</v>
      </c>
      <c r="H267" s="796">
        <f t="shared" si="35"/>
        <v>32000</v>
      </c>
      <c r="I267" s="807">
        <v>1000</v>
      </c>
      <c r="J267" s="914">
        <f t="shared" si="36"/>
        <v>4000</v>
      </c>
      <c r="K267" s="1030">
        <f t="shared" si="37"/>
        <v>36000</v>
      </c>
      <c r="L267" s="919"/>
      <c r="M267" s="729"/>
      <c r="N267" s="729"/>
      <c r="O267" s="729"/>
      <c r="P267" s="729"/>
      <c r="Q267" s="729"/>
      <c r="R267" s="729"/>
      <c r="S267" s="729"/>
    </row>
    <row r="268" spans="1:19" s="714" customFormat="1" ht="24" customHeight="1">
      <c r="A268" s="831"/>
      <c r="B268" s="720" t="s">
        <v>957</v>
      </c>
      <c r="C268" s="717"/>
      <c r="D268" s="717"/>
      <c r="E268" s="917"/>
      <c r="F268" s="916"/>
      <c r="G268" s="806"/>
      <c r="H268" s="918"/>
      <c r="I268" s="807"/>
      <c r="J268" s="919"/>
      <c r="K268" s="968"/>
      <c r="L268" s="919"/>
      <c r="M268" s="729"/>
      <c r="N268" s="729"/>
      <c r="O268" s="729"/>
      <c r="P268" s="729"/>
    </row>
    <row r="269" spans="1:19" s="714" customFormat="1" ht="24" customHeight="1">
      <c r="A269" s="921"/>
      <c r="B269" s="705" t="s">
        <v>958</v>
      </c>
      <c r="C269" s="761"/>
      <c r="D269" s="761"/>
      <c r="E269" s="923"/>
      <c r="F269" s="924"/>
      <c r="G269" s="925"/>
      <c r="H269" s="926"/>
      <c r="I269" s="927"/>
      <c r="J269" s="928"/>
      <c r="K269" s="1072"/>
      <c r="L269" s="928"/>
      <c r="M269" s="729"/>
      <c r="N269" s="729"/>
      <c r="O269" s="729"/>
      <c r="P269" s="729"/>
    </row>
    <row r="270" spans="1:19" s="714" customFormat="1" ht="24" customHeight="1">
      <c r="A270" s="831"/>
      <c r="B270" s="720" t="s">
        <v>958</v>
      </c>
      <c r="C270" s="792"/>
      <c r="D270" s="792"/>
      <c r="E270" s="793"/>
      <c r="F270" s="794"/>
      <c r="G270" s="795"/>
      <c r="H270" s="796"/>
      <c r="I270" s="797"/>
      <c r="J270" s="796"/>
      <c r="K270" s="1014"/>
      <c r="L270" s="1010"/>
      <c r="M270" s="729"/>
      <c r="N270" s="729"/>
      <c r="O270" s="729"/>
      <c r="P270" s="729"/>
    </row>
    <row r="271" spans="1:19" s="714" customFormat="1" ht="24" customHeight="1">
      <c r="A271" s="921"/>
      <c r="B271" s="705"/>
      <c r="C271" s="809"/>
      <c r="D271" s="809"/>
      <c r="E271" s="869"/>
      <c r="F271" s="870"/>
      <c r="G271" s="871"/>
      <c r="H271" s="872"/>
      <c r="I271" s="873"/>
      <c r="J271" s="872"/>
      <c r="K271" s="1071"/>
      <c r="L271" s="1077"/>
      <c r="M271" s="729"/>
      <c r="N271" s="729"/>
      <c r="O271" s="729"/>
      <c r="P271" s="729"/>
    </row>
    <row r="272" spans="1:19" s="714" customFormat="1" ht="24" customHeight="1">
      <c r="A272" s="921"/>
      <c r="B272" s="705"/>
      <c r="C272" s="809"/>
      <c r="D272" s="809"/>
      <c r="E272" s="869"/>
      <c r="F272" s="870"/>
      <c r="G272" s="871"/>
      <c r="H272" s="872"/>
      <c r="I272" s="873"/>
      <c r="J272" s="872"/>
      <c r="K272" s="1071"/>
      <c r="L272" s="1077"/>
      <c r="M272" s="729"/>
      <c r="N272" s="729"/>
      <c r="O272" s="729"/>
      <c r="P272" s="729"/>
    </row>
    <row r="273" spans="1:16" s="714" customFormat="1" ht="24" customHeight="1">
      <c r="A273" s="921"/>
      <c r="B273" s="705"/>
      <c r="C273" s="809"/>
      <c r="D273" s="809"/>
      <c r="E273" s="869"/>
      <c r="F273" s="870"/>
      <c r="G273" s="871"/>
      <c r="H273" s="872"/>
      <c r="I273" s="873"/>
      <c r="J273" s="872"/>
      <c r="K273" s="1071"/>
      <c r="L273" s="1077"/>
      <c r="M273" s="729"/>
      <c r="N273" s="729"/>
      <c r="O273" s="729"/>
      <c r="P273" s="729"/>
    </row>
    <row r="274" spans="1:16" s="714" customFormat="1" ht="24" customHeight="1">
      <c r="A274" s="775"/>
      <c r="B274" s="2475" t="str">
        <f>"รวมราคารายการที่ "&amp;A256</f>
        <v>รวมราคารายการที่ 3.6</v>
      </c>
      <c r="C274" s="2476"/>
      <c r="D274" s="2477"/>
      <c r="E274" s="776"/>
      <c r="F274" s="777"/>
      <c r="G274" s="959"/>
      <c r="H274" s="960">
        <f>SUM(H257:H268)</f>
        <v>48852</v>
      </c>
      <c r="I274" s="959"/>
      <c r="J274" s="960">
        <f t="shared" ref="J274:K274" si="38">SUM(J257:J268)</f>
        <v>10400</v>
      </c>
      <c r="K274" s="960">
        <f t="shared" si="38"/>
        <v>59252</v>
      </c>
      <c r="L274" s="1006"/>
      <c r="M274" s="729"/>
      <c r="N274" s="729"/>
      <c r="O274" s="729"/>
      <c r="P274" s="729"/>
    </row>
    <row r="275" spans="1:16" s="714" customFormat="1" ht="24" customHeight="1">
      <c r="A275" s="969" t="s">
        <v>1317</v>
      </c>
      <c r="B275" s="1015" t="s">
        <v>1197</v>
      </c>
      <c r="C275" s="770"/>
      <c r="D275" s="770"/>
      <c r="E275" s="930"/>
      <c r="F275" s="709"/>
      <c r="G275" s="932"/>
      <c r="H275" s="854"/>
      <c r="I275" s="934"/>
      <c r="J275" s="854"/>
      <c r="K275" s="1007"/>
      <c r="L275" s="935"/>
      <c r="M275" s="729"/>
      <c r="N275" s="729"/>
      <c r="O275" s="729"/>
      <c r="P275" s="729"/>
    </row>
    <row r="276" spans="1:16" s="714" customFormat="1" ht="24" customHeight="1">
      <c r="A276" s="791" t="s">
        <v>1051</v>
      </c>
      <c r="B276" s="972" t="s">
        <v>1291</v>
      </c>
      <c r="C276" s="717"/>
      <c r="D276" s="717"/>
      <c r="E276" s="917"/>
      <c r="F276" s="722"/>
      <c r="G276" s="806"/>
      <c r="H276" s="796"/>
      <c r="I276" s="807"/>
      <c r="J276" s="796"/>
      <c r="K276" s="1014"/>
      <c r="L276" s="919"/>
      <c r="M276" s="729"/>
      <c r="N276" s="729"/>
      <c r="O276" s="729"/>
      <c r="P276" s="729"/>
    </row>
    <row r="277" spans="1:16" s="714" customFormat="1" ht="24" customHeight="1">
      <c r="A277" s="704"/>
      <c r="B277" s="972" t="s">
        <v>1506</v>
      </c>
      <c r="C277" s="717"/>
      <c r="D277" s="717"/>
      <c r="E277" s="917">
        <v>1</v>
      </c>
      <c r="F277" s="722" t="s">
        <v>240</v>
      </c>
      <c r="G277" s="806">
        <f>72000+20280+5500</f>
        <v>97780</v>
      </c>
      <c r="H277" s="796">
        <f t="shared" ref="H277:H278" si="39">ROUND(E277*G277,)</f>
        <v>97780</v>
      </c>
      <c r="I277" s="807">
        <f t="shared" ref="I277:I278" si="40">G277*0.05</f>
        <v>4889</v>
      </c>
      <c r="J277" s="796">
        <f t="shared" ref="J277:J278" si="41">ROUND(E277*I277,)</f>
        <v>4889</v>
      </c>
      <c r="K277" s="1030">
        <f t="shared" ref="K277:K278" si="42">H277+J277</f>
        <v>102669</v>
      </c>
      <c r="L277" s="919"/>
      <c r="M277" s="729"/>
      <c r="N277" s="729"/>
      <c r="O277" s="729"/>
      <c r="P277" s="729"/>
    </row>
    <row r="278" spans="1:16" s="714" customFormat="1" ht="24" customHeight="1">
      <c r="A278" s="704"/>
      <c r="B278" s="972" t="s">
        <v>1507</v>
      </c>
      <c r="C278" s="717"/>
      <c r="D278" s="717"/>
      <c r="E278" s="917">
        <v>1</v>
      </c>
      <c r="F278" s="722" t="s">
        <v>240</v>
      </c>
      <c r="G278" s="806">
        <f>72000+20280+5500</f>
        <v>97780</v>
      </c>
      <c r="H278" s="796">
        <f t="shared" si="39"/>
        <v>97780</v>
      </c>
      <c r="I278" s="807">
        <f t="shared" si="40"/>
        <v>4889</v>
      </c>
      <c r="J278" s="796">
        <f t="shared" si="41"/>
        <v>4889</v>
      </c>
      <c r="K278" s="1030">
        <f t="shared" si="42"/>
        <v>102669</v>
      </c>
      <c r="L278" s="919"/>
      <c r="M278" s="729"/>
      <c r="N278" s="729"/>
      <c r="O278" s="729"/>
      <c r="P278" s="729"/>
    </row>
    <row r="279" spans="1:16" s="714" customFormat="1" ht="24" customHeight="1">
      <c r="A279" s="704"/>
      <c r="B279" s="972" t="s">
        <v>957</v>
      </c>
      <c r="C279" s="717"/>
      <c r="D279" s="717"/>
      <c r="E279" s="917"/>
      <c r="F279" s="916"/>
      <c r="G279" s="806"/>
      <c r="H279" s="918"/>
      <c r="I279" s="807"/>
      <c r="J279" s="919"/>
      <c r="K279" s="968"/>
      <c r="L279" s="919"/>
      <c r="M279" s="729"/>
      <c r="N279" s="729"/>
      <c r="O279" s="729"/>
      <c r="P279" s="729"/>
    </row>
    <row r="280" spans="1:16" s="714" customFormat="1" ht="24" customHeight="1">
      <c r="A280" s="898"/>
      <c r="B280" s="1078" t="s">
        <v>958</v>
      </c>
      <c r="C280" s="761"/>
      <c r="D280" s="761"/>
      <c r="E280" s="923"/>
      <c r="F280" s="924"/>
      <c r="G280" s="925"/>
      <c r="H280" s="926"/>
      <c r="I280" s="927"/>
      <c r="J280" s="928"/>
      <c r="K280" s="1072"/>
      <c r="L280" s="928"/>
      <c r="M280" s="729"/>
      <c r="N280" s="729"/>
      <c r="O280" s="729"/>
      <c r="P280" s="729"/>
    </row>
    <row r="281" spans="1:16" s="714" customFormat="1" ht="24" customHeight="1">
      <c r="A281" s="831"/>
      <c r="B281" s="720" t="s">
        <v>958</v>
      </c>
      <c r="C281" s="792"/>
      <c r="D281" s="792"/>
      <c r="E281" s="793"/>
      <c r="F281" s="794"/>
      <c r="G281" s="795"/>
      <c r="H281" s="796"/>
      <c r="I281" s="797"/>
      <c r="J281" s="796"/>
      <c r="K281" s="1014"/>
      <c r="L281" s="1010"/>
      <c r="M281" s="729"/>
      <c r="N281" s="729"/>
      <c r="O281" s="729"/>
      <c r="P281" s="729"/>
    </row>
    <row r="282" spans="1:16" s="714" customFormat="1" ht="24" customHeight="1">
      <c r="A282" s="921"/>
      <c r="B282" s="705"/>
      <c r="C282" s="809"/>
      <c r="D282" s="809"/>
      <c r="E282" s="869"/>
      <c r="F282" s="870"/>
      <c r="G282" s="871"/>
      <c r="H282" s="872"/>
      <c r="I282" s="873"/>
      <c r="J282" s="872"/>
      <c r="K282" s="1071"/>
      <c r="L282" s="1077"/>
      <c r="M282" s="729"/>
      <c r="N282" s="729"/>
      <c r="O282" s="729"/>
      <c r="P282" s="729"/>
    </row>
    <row r="283" spans="1:16" s="714" customFormat="1" ht="24" customHeight="1">
      <c r="A283" s="775"/>
      <c r="B283" s="2475" t="str">
        <f>"รวมราคารายการที่ "&amp;A275</f>
        <v>รวมราคารายการที่ 3.7</v>
      </c>
      <c r="C283" s="2476"/>
      <c r="D283" s="2477"/>
      <c r="E283" s="776"/>
      <c r="F283" s="777"/>
      <c r="G283" s="959"/>
      <c r="H283" s="960">
        <f>SUM(H275:H280)</f>
        <v>195560</v>
      </c>
      <c r="I283" s="959"/>
      <c r="J283" s="960">
        <f>SUM(J275:J280)</f>
        <v>9778</v>
      </c>
      <c r="K283" s="960">
        <f>SUM(K275:K280)</f>
        <v>205338</v>
      </c>
      <c r="L283" s="1006"/>
      <c r="M283" s="729"/>
      <c r="N283" s="729"/>
      <c r="O283" s="729"/>
      <c r="P283" s="729"/>
    </row>
    <row r="284" spans="1:16" s="714" customFormat="1" ht="24" customHeight="1">
      <c r="A284" s="911" t="s">
        <v>1339</v>
      </c>
      <c r="B284" s="816" t="s">
        <v>1294</v>
      </c>
      <c r="C284" s="770"/>
      <c r="D284" s="770"/>
      <c r="E284" s="930"/>
      <c r="F284" s="709"/>
      <c r="G284" s="932"/>
      <c r="H284" s="796"/>
      <c r="I284" s="934"/>
      <c r="J284" s="796"/>
      <c r="K284" s="1014"/>
      <c r="L284" s="935"/>
      <c r="M284" s="729"/>
      <c r="N284" s="729"/>
      <c r="O284" s="729"/>
      <c r="P284" s="729"/>
    </row>
    <row r="285" spans="1:16" s="714" customFormat="1" ht="24" customHeight="1">
      <c r="A285" s="861"/>
      <c r="B285" s="756" t="s">
        <v>1295</v>
      </c>
      <c r="C285" s="717"/>
      <c r="D285" s="717"/>
      <c r="E285" s="942">
        <v>37</v>
      </c>
      <c r="F285" s="759" t="s">
        <v>240</v>
      </c>
      <c r="G285" s="752">
        <v>420</v>
      </c>
      <c r="H285" s="864">
        <f t="shared" ref="H285:H306" si="43">ROUND(E285*G285,)</f>
        <v>15540</v>
      </c>
      <c r="I285" s="949">
        <v>115</v>
      </c>
      <c r="J285" s="864">
        <f t="shared" ref="J285:J306" si="44">ROUND(E285*I285,)</f>
        <v>4255</v>
      </c>
      <c r="K285" s="1030">
        <f t="shared" ref="K285:K306" si="45">H285+J285</f>
        <v>19795</v>
      </c>
      <c r="L285" s="973"/>
      <c r="M285" s="729"/>
      <c r="N285" s="729"/>
      <c r="O285" s="729"/>
      <c r="P285" s="729"/>
    </row>
    <row r="286" spans="1:16" s="714" customFormat="1" ht="24" customHeight="1">
      <c r="A286" s="861"/>
      <c r="B286" s="756" t="s">
        <v>1296</v>
      </c>
      <c r="C286" s="717"/>
      <c r="D286" s="717"/>
      <c r="E286" s="942">
        <v>13</v>
      </c>
      <c r="F286" s="759" t="s">
        <v>240</v>
      </c>
      <c r="G286" s="752">
        <v>500</v>
      </c>
      <c r="H286" s="864">
        <f t="shared" si="43"/>
        <v>6500</v>
      </c>
      <c r="I286" s="949">
        <v>115</v>
      </c>
      <c r="J286" s="864">
        <f t="shared" si="44"/>
        <v>1495</v>
      </c>
      <c r="K286" s="1030">
        <f t="shared" si="45"/>
        <v>7995</v>
      </c>
      <c r="L286" s="973"/>
      <c r="M286" s="729"/>
      <c r="N286" s="729"/>
      <c r="O286" s="729"/>
      <c r="P286" s="729"/>
    </row>
    <row r="287" spans="1:16" s="714" customFormat="1" ht="24" customHeight="1">
      <c r="A287" s="861"/>
      <c r="B287" s="756" t="s">
        <v>1297</v>
      </c>
      <c r="C287" s="717"/>
      <c r="D287" s="717"/>
      <c r="E287" s="942">
        <v>28</v>
      </c>
      <c r="F287" s="759" t="s">
        <v>240</v>
      </c>
      <c r="G287" s="752">
        <v>550</v>
      </c>
      <c r="H287" s="864">
        <f t="shared" si="43"/>
        <v>15400</v>
      </c>
      <c r="I287" s="949">
        <v>115</v>
      </c>
      <c r="J287" s="864">
        <f t="shared" si="44"/>
        <v>3220</v>
      </c>
      <c r="K287" s="1030">
        <f t="shared" si="45"/>
        <v>18620</v>
      </c>
      <c r="L287" s="973"/>
      <c r="M287" s="729"/>
      <c r="N287" s="729"/>
      <c r="O287" s="729"/>
      <c r="P287" s="729"/>
    </row>
    <row r="288" spans="1:16" s="714" customFormat="1" ht="24" customHeight="1">
      <c r="A288" s="861"/>
      <c r="B288" s="800" t="s">
        <v>1298</v>
      </c>
      <c r="C288" s="717"/>
      <c r="D288" s="717"/>
      <c r="E288" s="942"/>
      <c r="F288" s="803" t="s">
        <v>240</v>
      </c>
      <c r="G288" s="752">
        <v>750</v>
      </c>
      <c r="H288" s="864">
        <f t="shared" si="43"/>
        <v>0</v>
      </c>
      <c r="I288" s="949">
        <v>135</v>
      </c>
      <c r="J288" s="864">
        <f t="shared" si="44"/>
        <v>0</v>
      </c>
      <c r="K288" s="1030">
        <f t="shared" si="45"/>
        <v>0</v>
      </c>
      <c r="L288" s="973"/>
      <c r="M288" s="729"/>
      <c r="N288" s="729"/>
      <c r="O288" s="729"/>
      <c r="P288" s="729"/>
    </row>
    <row r="289" spans="1:16" s="714" customFormat="1" ht="24" customHeight="1">
      <c r="A289" s="861"/>
      <c r="B289" s="800" t="s">
        <v>1299</v>
      </c>
      <c r="C289" s="717"/>
      <c r="D289" s="717"/>
      <c r="E289" s="942">
        <v>38</v>
      </c>
      <c r="F289" s="803" t="s">
        <v>240</v>
      </c>
      <c r="G289" s="806">
        <v>2090</v>
      </c>
      <c r="H289" s="796">
        <f t="shared" si="43"/>
        <v>79420</v>
      </c>
      <c r="I289" s="807">
        <v>135</v>
      </c>
      <c r="J289" s="864">
        <f t="shared" si="44"/>
        <v>5130</v>
      </c>
      <c r="K289" s="1030">
        <f t="shared" si="45"/>
        <v>84550</v>
      </c>
      <c r="L289" s="973"/>
      <c r="M289" s="729"/>
      <c r="N289" s="729"/>
      <c r="O289" s="729"/>
      <c r="P289" s="729"/>
    </row>
    <row r="290" spans="1:16" s="714" customFormat="1" ht="24" customHeight="1">
      <c r="A290" s="861"/>
      <c r="B290" s="800" t="s">
        <v>1300</v>
      </c>
      <c r="C290" s="717"/>
      <c r="D290" s="717"/>
      <c r="E290" s="942"/>
      <c r="F290" s="803" t="s">
        <v>240</v>
      </c>
      <c r="G290" s="806">
        <v>650</v>
      </c>
      <c r="H290" s="796">
        <f t="shared" si="43"/>
        <v>0</v>
      </c>
      <c r="I290" s="807">
        <v>20</v>
      </c>
      <c r="J290" s="864">
        <f t="shared" si="44"/>
        <v>0</v>
      </c>
      <c r="K290" s="1030">
        <f t="shared" si="45"/>
        <v>0</v>
      </c>
      <c r="L290" s="973"/>
      <c r="M290" s="729"/>
      <c r="N290" s="729"/>
      <c r="O290" s="729"/>
      <c r="P290" s="729"/>
    </row>
    <row r="291" spans="1:16" s="714" customFormat="1" ht="24" customHeight="1">
      <c r="A291" s="861"/>
      <c r="B291" s="800" t="s">
        <v>1301</v>
      </c>
      <c r="C291" s="717"/>
      <c r="D291" s="717"/>
      <c r="E291" s="942"/>
      <c r="F291" s="803" t="s">
        <v>240</v>
      </c>
      <c r="G291" s="806">
        <v>1200</v>
      </c>
      <c r="H291" s="796">
        <f t="shared" si="43"/>
        <v>0</v>
      </c>
      <c r="I291" s="807">
        <v>135</v>
      </c>
      <c r="J291" s="864">
        <f t="shared" si="44"/>
        <v>0</v>
      </c>
      <c r="K291" s="1030">
        <f t="shared" si="45"/>
        <v>0</v>
      </c>
      <c r="L291" s="973"/>
      <c r="M291" s="729"/>
      <c r="N291" s="729"/>
      <c r="O291" s="729"/>
      <c r="P291" s="729"/>
    </row>
    <row r="292" spans="1:16" s="714" customFormat="1" ht="24" customHeight="1">
      <c r="A292" s="861"/>
      <c r="B292" s="800" t="s">
        <v>1302</v>
      </c>
      <c r="C292" s="717"/>
      <c r="D292" s="717"/>
      <c r="E292" s="942"/>
      <c r="F292" s="803" t="s">
        <v>240</v>
      </c>
      <c r="G292" s="806">
        <v>1200</v>
      </c>
      <c r="H292" s="796">
        <f t="shared" si="43"/>
        <v>0</v>
      </c>
      <c r="I292" s="807">
        <v>135</v>
      </c>
      <c r="J292" s="864">
        <f t="shared" si="44"/>
        <v>0</v>
      </c>
      <c r="K292" s="1030">
        <f t="shared" si="45"/>
        <v>0</v>
      </c>
      <c r="L292" s="973"/>
      <c r="M292" s="729"/>
      <c r="N292" s="729"/>
      <c r="O292" s="729"/>
      <c r="P292" s="729"/>
    </row>
    <row r="293" spans="1:16" s="714" customFormat="1" ht="24" customHeight="1">
      <c r="A293" s="861"/>
      <c r="B293" s="800" t="s">
        <v>1303</v>
      </c>
      <c r="C293" s="717"/>
      <c r="D293" s="717"/>
      <c r="E293" s="942"/>
      <c r="F293" s="803" t="s">
        <v>240</v>
      </c>
      <c r="G293" s="806">
        <v>1200</v>
      </c>
      <c r="H293" s="796">
        <f t="shared" si="43"/>
        <v>0</v>
      </c>
      <c r="I293" s="807">
        <v>135</v>
      </c>
      <c r="J293" s="864">
        <f t="shared" si="44"/>
        <v>0</v>
      </c>
      <c r="K293" s="1030">
        <f t="shared" si="45"/>
        <v>0</v>
      </c>
      <c r="L293" s="973"/>
      <c r="M293" s="729"/>
      <c r="N293" s="729"/>
      <c r="O293" s="729"/>
      <c r="P293" s="729"/>
    </row>
    <row r="294" spans="1:16" s="714" customFormat="1" ht="24" customHeight="1">
      <c r="A294" s="861"/>
      <c r="B294" s="756" t="s">
        <v>1304</v>
      </c>
      <c r="C294" s="717"/>
      <c r="D294" s="717"/>
      <c r="E294" s="942"/>
      <c r="F294" s="759" t="s">
        <v>240</v>
      </c>
      <c r="G294" s="806">
        <v>1200</v>
      </c>
      <c r="H294" s="796">
        <f t="shared" si="43"/>
        <v>0</v>
      </c>
      <c r="I294" s="807">
        <v>135</v>
      </c>
      <c r="J294" s="864">
        <f t="shared" si="44"/>
        <v>0</v>
      </c>
      <c r="K294" s="1030">
        <f t="shared" si="45"/>
        <v>0</v>
      </c>
      <c r="L294" s="973"/>
      <c r="M294" s="729"/>
      <c r="N294" s="729"/>
      <c r="O294" s="729"/>
      <c r="P294" s="729"/>
    </row>
    <row r="295" spans="1:16" s="714" customFormat="1" ht="24" customHeight="1">
      <c r="A295" s="861"/>
      <c r="B295" s="756" t="s">
        <v>1305</v>
      </c>
      <c r="C295" s="717"/>
      <c r="D295" s="717"/>
      <c r="E295" s="942">
        <f>33+3+44</f>
        <v>80</v>
      </c>
      <c r="F295" s="759" t="s">
        <v>240</v>
      </c>
      <c r="G295" s="806">
        <v>1200</v>
      </c>
      <c r="H295" s="796">
        <f t="shared" si="43"/>
        <v>96000</v>
      </c>
      <c r="I295" s="807">
        <v>135</v>
      </c>
      <c r="J295" s="864">
        <f t="shared" si="44"/>
        <v>10800</v>
      </c>
      <c r="K295" s="1030">
        <f t="shared" si="45"/>
        <v>106800</v>
      </c>
      <c r="L295" s="973"/>
      <c r="M295" s="729"/>
      <c r="N295" s="729"/>
      <c r="O295" s="729"/>
      <c r="P295" s="729"/>
    </row>
    <row r="296" spans="1:16" s="714" customFormat="1" ht="24" customHeight="1">
      <c r="A296" s="861"/>
      <c r="B296" s="756" t="s">
        <v>1306</v>
      </c>
      <c r="C296" s="717"/>
      <c r="D296" s="717"/>
      <c r="E296" s="942"/>
      <c r="F296" s="759" t="s">
        <v>240</v>
      </c>
      <c r="G296" s="806">
        <v>1860</v>
      </c>
      <c r="H296" s="796">
        <f t="shared" si="43"/>
        <v>0</v>
      </c>
      <c r="I296" s="807">
        <v>135</v>
      </c>
      <c r="J296" s="796">
        <f t="shared" si="44"/>
        <v>0</v>
      </c>
      <c r="K296" s="1030">
        <f t="shared" si="45"/>
        <v>0</v>
      </c>
      <c r="L296" s="973"/>
      <c r="M296" s="729"/>
      <c r="N296" s="729"/>
      <c r="O296" s="729"/>
      <c r="P296" s="729"/>
    </row>
    <row r="297" spans="1:16" s="714" customFormat="1" ht="24" customHeight="1">
      <c r="A297" s="861"/>
      <c r="B297" s="756" t="s">
        <v>1307</v>
      </c>
      <c r="C297" s="717"/>
      <c r="D297" s="717"/>
      <c r="E297" s="942"/>
      <c r="F297" s="759" t="s">
        <v>240</v>
      </c>
      <c r="G297" s="806">
        <v>1860</v>
      </c>
      <c r="H297" s="796">
        <f t="shared" si="43"/>
        <v>0</v>
      </c>
      <c r="I297" s="807">
        <v>135</v>
      </c>
      <c r="J297" s="796">
        <f t="shared" si="44"/>
        <v>0</v>
      </c>
      <c r="K297" s="1030">
        <f t="shared" si="45"/>
        <v>0</v>
      </c>
      <c r="L297" s="973"/>
      <c r="M297" s="729"/>
      <c r="N297" s="729"/>
      <c r="O297" s="729"/>
      <c r="P297" s="729"/>
    </row>
    <row r="298" spans="1:16" s="714" customFormat="1" ht="24" customHeight="1">
      <c r="A298" s="861"/>
      <c r="B298" s="756" t="s">
        <v>1308</v>
      </c>
      <c r="C298" s="717"/>
      <c r="D298" s="717"/>
      <c r="E298" s="942"/>
      <c r="F298" s="759" t="s">
        <v>240</v>
      </c>
      <c r="G298" s="806">
        <v>1250</v>
      </c>
      <c r="H298" s="796">
        <f t="shared" si="43"/>
        <v>0</v>
      </c>
      <c r="I298" s="807">
        <v>135</v>
      </c>
      <c r="J298" s="864">
        <f t="shared" si="44"/>
        <v>0</v>
      </c>
      <c r="K298" s="1030">
        <f t="shared" si="45"/>
        <v>0</v>
      </c>
      <c r="L298" s="973"/>
      <c r="M298" s="729"/>
      <c r="N298" s="729"/>
      <c r="O298" s="729"/>
      <c r="P298" s="729"/>
    </row>
    <row r="299" spans="1:16" s="714" customFormat="1" ht="24" customHeight="1">
      <c r="A299" s="861"/>
      <c r="B299" s="756" t="s">
        <v>1309</v>
      </c>
      <c r="C299" s="717"/>
      <c r="D299" s="717"/>
      <c r="E299" s="942"/>
      <c r="F299" s="759" t="s">
        <v>240</v>
      </c>
      <c r="G299" s="806">
        <v>1860</v>
      </c>
      <c r="H299" s="796">
        <f t="shared" si="43"/>
        <v>0</v>
      </c>
      <c r="I299" s="807">
        <v>135</v>
      </c>
      <c r="J299" s="796">
        <f t="shared" si="44"/>
        <v>0</v>
      </c>
      <c r="K299" s="1030">
        <f t="shared" si="45"/>
        <v>0</v>
      </c>
      <c r="L299" s="973"/>
      <c r="M299" s="729"/>
      <c r="N299" s="729"/>
      <c r="O299" s="729"/>
      <c r="P299" s="729"/>
    </row>
    <row r="300" spans="1:16" s="714" customFormat="1" ht="24" customHeight="1">
      <c r="A300" s="861"/>
      <c r="B300" s="756" t="s">
        <v>1310</v>
      </c>
      <c r="C300" s="717"/>
      <c r="D300" s="717"/>
      <c r="E300" s="942"/>
      <c r="F300" s="759" t="s">
        <v>240</v>
      </c>
      <c r="G300" s="806">
        <v>1200</v>
      </c>
      <c r="H300" s="796">
        <f t="shared" si="43"/>
        <v>0</v>
      </c>
      <c r="I300" s="807">
        <v>135</v>
      </c>
      <c r="J300" s="864">
        <f t="shared" si="44"/>
        <v>0</v>
      </c>
      <c r="K300" s="1030">
        <f t="shared" si="45"/>
        <v>0</v>
      </c>
      <c r="L300" s="973"/>
      <c r="M300" s="729"/>
      <c r="N300" s="729"/>
      <c r="O300" s="729"/>
      <c r="P300" s="729"/>
    </row>
    <row r="301" spans="1:16" s="714" customFormat="1" ht="24" customHeight="1">
      <c r="A301" s="861"/>
      <c r="B301" s="756" t="s">
        <v>1311</v>
      </c>
      <c r="C301" s="717"/>
      <c r="D301" s="717"/>
      <c r="E301" s="942">
        <v>156</v>
      </c>
      <c r="F301" s="759" t="s">
        <v>240</v>
      </c>
      <c r="G301" s="806">
        <v>1200</v>
      </c>
      <c r="H301" s="796">
        <f t="shared" si="43"/>
        <v>187200</v>
      </c>
      <c r="I301" s="807">
        <v>135</v>
      </c>
      <c r="J301" s="864">
        <f t="shared" si="44"/>
        <v>21060</v>
      </c>
      <c r="K301" s="1030">
        <f t="shared" si="45"/>
        <v>208260</v>
      </c>
      <c r="L301" s="973"/>
      <c r="M301" s="729"/>
      <c r="N301" s="729"/>
      <c r="O301" s="729"/>
      <c r="P301" s="729"/>
    </row>
    <row r="302" spans="1:16" s="714" customFormat="1" ht="24" customHeight="1">
      <c r="A302" s="861"/>
      <c r="B302" s="756" t="s">
        <v>1312</v>
      </c>
      <c r="C302" s="757"/>
      <c r="D302" s="757"/>
      <c r="E302" s="942">
        <v>10</v>
      </c>
      <c r="F302" s="759" t="s">
        <v>240</v>
      </c>
      <c r="G302" s="752">
        <v>1830</v>
      </c>
      <c r="H302" s="864">
        <f t="shared" si="43"/>
        <v>18300</v>
      </c>
      <c r="I302" s="949">
        <v>500</v>
      </c>
      <c r="J302" s="864">
        <f t="shared" si="44"/>
        <v>5000</v>
      </c>
      <c r="K302" s="1030">
        <f t="shared" si="45"/>
        <v>23300</v>
      </c>
      <c r="L302" s="973"/>
      <c r="M302" s="729"/>
      <c r="N302" s="729"/>
      <c r="O302" s="729"/>
      <c r="P302" s="729"/>
    </row>
    <row r="303" spans="1:16" s="714" customFormat="1" ht="24" customHeight="1">
      <c r="A303" s="861"/>
      <c r="B303" s="756" t="s">
        <v>1313</v>
      </c>
      <c r="C303" s="974"/>
      <c r="D303" s="974"/>
      <c r="E303" s="942">
        <v>6</v>
      </c>
      <c r="F303" s="759" t="s">
        <v>240</v>
      </c>
      <c r="G303" s="766">
        <v>1620</v>
      </c>
      <c r="H303" s="864">
        <f t="shared" si="43"/>
        <v>9720</v>
      </c>
      <c r="I303" s="975">
        <v>500</v>
      </c>
      <c r="J303" s="864">
        <f t="shared" si="44"/>
        <v>3000</v>
      </c>
      <c r="K303" s="1030">
        <f t="shared" si="45"/>
        <v>12720</v>
      </c>
      <c r="L303" s="973"/>
      <c r="M303" s="729"/>
      <c r="N303" s="729"/>
      <c r="O303" s="729"/>
      <c r="P303" s="729"/>
    </row>
    <row r="304" spans="1:16" s="714" customFormat="1" ht="24" customHeight="1">
      <c r="A304" s="861"/>
      <c r="B304" s="756" t="s">
        <v>1314</v>
      </c>
      <c r="C304" s="757"/>
      <c r="D304" s="757"/>
      <c r="E304" s="942">
        <v>26</v>
      </c>
      <c r="F304" s="759" t="s">
        <v>240</v>
      </c>
      <c r="G304" s="752">
        <v>920</v>
      </c>
      <c r="H304" s="864">
        <f t="shared" si="43"/>
        <v>23920</v>
      </c>
      <c r="I304" s="949">
        <v>250</v>
      </c>
      <c r="J304" s="864">
        <f t="shared" si="44"/>
        <v>6500</v>
      </c>
      <c r="K304" s="1030">
        <f t="shared" si="45"/>
        <v>30420</v>
      </c>
      <c r="L304" s="973"/>
      <c r="M304" s="729"/>
      <c r="N304" s="729"/>
      <c r="O304" s="729"/>
      <c r="P304" s="729"/>
    </row>
    <row r="305" spans="1:16" s="714" customFormat="1" ht="24" customHeight="1">
      <c r="A305" s="861"/>
      <c r="B305" s="756" t="s">
        <v>1315</v>
      </c>
      <c r="C305" s="757"/>
      <c r="D305" s="757"/>
      <c r="E305" s="942">
        <v>2</v>
      </c>
      <c r="F305" s="759" t="s">
        <v>240</v>
      </c>
      <c r="G305" s="752">
        <v>2180</v>
      </c>
      <c r="H305" s="864">
        <f t="shared" si="43"/>
        <v>4360</v>
      </c>
      <c r="I305" s="949">
        <v>500</v>
      </c>
      <c r="J305" s="864">
        <f t="shared" si="44"/>
        <v>1000</v>
      </c>
      <c r="K305" s="1030">
        <f t="shared" si="45"/>
        <v>5360</v>
      </c>
      <c r="L305" s="973"/>
      <c r="M305" s="729"/>
      <c r="N305" s="729"/>
      <c r="O305" s="729"/>
      <c r="P305" s="729"/>
    </row>
    <row r="306" spans="1:16" s="714" customFormat="1" ht="24" customHeight="1">
      <c r="A306" s="861"/>
      <c r="B306" s="705" t="s">
        <v>1316</v>
      </c>
      <c r="C306" s="717"/>
      <c r="D306" s="717"/>
      <c r="E306" s="942">
        <v>1</v>
      </c>
      <c r="F306" s="759" t="s">
        <v>948</v>
      </c>
      <c r="G306" s="752">
        <f>SUM(H284:H304)*5%</f>
        <v>22600</v>
      </c>
      <c r="H306" s="864">
        <f t="shared" si="43"/>
        <v>22600</v>
      </c>
      <c r="I306" s="949">
        <f>G306*0.3</f>
        <v>6780</v>
      </c>
      <c r="J306" s="864">
        <f t="shared" si="44"/>
        <v>6780</v>
      </c>
      <c r="K306" s="1030">
        <f t="shared" si="45"/>
        <v>29380</v>
      </c>
      <c r="L306" s="973"/>
      <c r="M306" s="729"/>
      <c r="N306" s="729"/>
      <c r="O306" s="729"/>
      <c r="P306" s="729"/>
    </row>
    <row r="307" spans="1:16" s="714" customFormat="1" ht="24" customHeight="1">
      <c r="A307" s="831"/>
      <c r="B307" s="720" t="s">
        <v>957</v>
      </c>
      <c r="C307" s="717"/>
      <c r="D307" s="717"/>
      <c r="E307" s="917"/>
      <c r="F307" s="722"/>
      <c r="G307" s="806"/>
      <c r="H307" s="918"/>
      <c r="I307" s="807"/>
      <c r="J307" s="919"/>
      <c r="K307" s="968"/>
      <c r="L307" s="919"/>
      <c r="M307" s="729"/>
      <c r="N307" s="729"/>
      <c r="O307" s="729"/>
      <c r="P307" s="729"/>
    </row>
    <row r="308" spans="1:16" s="714" customFormat="1" ht="24" customHeight="1">
      <c r="A308" s="831"/>
      <c r="B308" s="720" t="s">
        <v>1239</v>
      </c>
      <c r="C308" s="717"/>
      <c r="D308" s="717"/>
      <c r="E308" s="917"/>
      <c r="F308" s="722"/>
      <c r="G308" s="806"/>
      <c r="H308" s="918"/>
      <c r="I308" s="807"/>
      <c r="J308" s="919"/>
      <c r="K308" s="968"/>
      <c r="L308" s="919"/>
      <c r="M308" s="729"/>
      <c r="N308" s="729"/>
      <c r="O308" s="729"/>
      <c r="P308" s="729"/>
    </row>
    <row r="309" spans="1:16" s="714" customFormat="1" ht="24" customHeight="1">
      <c r="A309" s="921"/>
      <c r="B309" s="705" t="s">
        <v>1239</v>
      </c>
      <c r="C309" s="761"/>
      <c r="D309" s="761"/>
      <c r="E309" s="923"/>
      <c r="F309" s="924"/>
      <c r="G309" s="925"/>
      <c r="H309" s="926"/>
      <c r="I309" s="927"/>
      <c r="J309" s="928"/>
      <c r="K309" s="1072"/>
      <c r="L309" s="928"/>
      <c r="M309" s="729"/>
      <c r="N309" s="729"/>
      <c r="O309" s="729"/>
      <c r="P309" s="729"/>
    </row>
    <row r="310" spans="1:16" s="714" customFormat="1" ht="24" customHeight="1">
      <c r="A310" s="775"/>
      <c r="B310" s="2475" t="str">
        <f>"รวมราคารายการที่ "&amp;A284</f>
        <v>รวมราคารายการที่ 3.8</v>
      </c>
      <c r="C310" s="2476"/>
      <c r="D310" s="2477"/>
      <c r="E310" s="776"/>
      <c r="F310" s="777"/>
      <c r="G310" s="959"/>
      <c r="H310" s="960">
        <f>SUM(H284:H309)</f>
        <v>478960</v>
      </c>
      <c r="I310" s="959"/>
      <c r="J310" s="960">
        <f>SUM(J284:J309)</f>
        <v>68240</v>
      </c>
      <c r="K310" s="960">
        <f>SUM(K284:K309)</f>
        <v>547200</v>
      </c>
      <c r="L310" s="1006"/>
      <c r="M310" s="729"/>
      <c r="N310" s="729"/>
      <c r="O310" s="729"/>
      <c r="P310" s="729"/>
    </row>
    <row r="311" spans="1:16" s="714" customFormat="1" ht="24" customHeight="1">
      <c r="A311" s="911">
        <v>3.9</v>
      </c>
      <c r="B311" s="816" t="s">
        <v>1225</v>
      </c>
      <c r="C311" s="770"/>
      <c r="D311" s="770"/>
      <c r="E311" s="930"/>
      <c r="F311" s="931"/>
      <c r="G311" s="932"/>
      <c r="H311" s="933"/>
      <c r="I311" s="934"/>
      <c r="J311" s="935"/>
      <c r="K311" s="1013"/>
      <c r="L311" s="935"/>
      <c r="M311" s="729"/>
      <c r="N311" s="729"/>
      <c r="O311" s="729"/>
      <c r="P311" s="729"/>
    </row>
    <row r="312" spans="1:16" s="714" customFormat="1" ht="24" customHeight="1">
      <c r="A312" s="856" t="s">
        <v>1136</v>
      </c>
      <c r="B312" s="720" t="s">
        <v>1318</v>
      </c>
      <c r="C312" s="717"/>
      <c r="D312" s="717"/>
      <c r="E312" s="917">
        <v>2</v>
      </c>
      <c r="F312" s="722" t="s">
        <v>240</v>
      </c>
      <c r="G312" s="806">
        <f>30000+13500</f>
        <v>43500</v>
      </c>
      <c r="H312" s="796">
        <f t="shared" ref="H312:H343" si="46">ROUND(E312*G312,)</f>
        <v>87000</v>
      </c>
      <c r="I312" s="807">
        <f>G312*0.1</f>
        <v>4350</v>
      </c>
      <c r="J312" s="796">
        <f t="shared" ref="J312:J343" si="47">ROUND(E312*I312,)</f>
        <v>8700</v>
      </c>
      <c r="K312" s="1030">
        <f t="shared" ref="K312:K343" si="48">H312+J312</f>
        <v>95700</v>
      </c>
      <c r="L312" s="919"/>
      <c r="M312" s="729"/>
      <c r="N312" s="729"/>
      <c r="O312" s="729"/>
      <c r="P312" s="729"/>
    </row>
    <row r="313" spans="1:16" s="714" customFormat="1" ht="24" customHeight="1">
      <c r="A313" s="856" t="s">
        <v>1144</v>
      </c>
      <c r="B313" s="720" t="s">
        <v>1319</v>
      </c>
      <c r="C313" s="717"/>
      <c r="D313" s="717"/>
      <c r="E313" s="917">
        <v>6</v>
      </c>
      <c r="F313" s="722" t="s">
        <v>240</v>
      </c>
      <c r="G313" s="806">
        <v>1850</v>
      </c>
      <c r="H313" s="796">
        <f t="shared" si="46"/>
        <v>11100</v>
      </c>
      <c r="I313" s="807">
        <v>250</v>
      </c>
      <c r="J313" s="796">
        <f t="shared" si="47"/>
        <v>1500</v>
      </c>
      <c r="K313" s="1030">
        <f t="shared" si="48"/>
        <v>12600</v>
      </c>
      <c r="L313" s="919"/>
      <c r="M313" s="729"/>
      <c r="N313" s="729"/>
      <c r="O313" s="729"/>
      <c r="P313" s="729"/>
    </row>
    <row r="314" spans="1:16" s="714" customFormat="1" ht="24" customHeight="1">
      <c r="A314" s="856" t="s">
        <v>1146</v>
      </c>
      <c r="B314" s="720" t="s">
        <v>1320</v>
      </c>
      <c r="C314" s="717"/>
      <c r="D314" s="717"/>
      <c r="E314" s="917">
        <v>6</v>
      </c>
      <c r="F314" s="722" t="s">
        <v>240</v>
      </c>
      <c r="G314" s="806">
        <v>1850</v>
      </c>
      <c r="H314" s="796">
        <f t="shared" si="46"/>
        <v>11100</v>
      </c>
      <c r="I314" s="807">
        <v>250</v>
      </c>
      <c r="J314" s="796">
        <f t="shared" si="47"/>
        <v>1500</v>
      </c>
      <c r="K314" s="1030">
        <f t="shared" si="48"/>
        <v>12600</v>
      </c>
      <c r="L314" s="919"/>
      <c r="M314" s="729"/>
      <c r="N314" s="729"/>
      <c r="O314" s="729"/>
      <c r="P314" s="729"/>
    </row>
    <row r="315" spans="1:16" s="714" customFormat="1" ht="24" customHeight="1">
      <c r="A315" s="856" t="s">
        <v>1156</v>
      </c>
      <c r="B315" s="720" t="s">
        <v>1321</v>
      </c>
      <c r="C315" s="717"/>
      <c r="D315" s="717"/>
      <c r="E315" s="917">
        <v>6</v>
      </c>
      <c r="F315" s="722" t="s">
        <v>240</v>
      </c>
      <c r="G315" s="806">
        <v>1850</v>
      </c>
      <c r="H315" s="796">
        <f t="shared" si="46"/>
        <v>11100</v>
      </c>
      <c r="I315" s="807">
        <v>250</v>
      </c>
      <c r="J315" s="796">
        <f t="shared" si="47"/>
        <v>1500</v>
      </c>
      <c r="K315" s="1030">
        <f t="shared" si="48"/>
        <v>12600</v>
      </c>
      <c r="L315" s="919"/>
      <c r="M315" s="729"/>
      <c r="N315" s="729"/>
      <c r="O315" s="729"/>
      <c r="P315" s="729"/>
    </row>
    <row r="316" spans="1:16" s="714" customFormat="1" ht="24" customHeight="1">
      <c r="A316" s="856" t="s">
        <v>1429</v>
      </c>
      <c r="B316" s="720" t="s">
        <v>1322</v>
      </c>
      <c r="C316" s="717"/>
      <c r="D316" s="717"/>
      <c r="E316" s="917">
        <v>6</v>
      </c>
      <c r="F316" s="722" t="s">
        <v>240</v>
      </c>
      <c r="G316" s="806">
        <v>1850</v>
      </c>
      <c r="H316" s="796">
        <f t="shared" si="46"/>
        <v>11100</v>
      </c>
      <c r="I316" s="807">
        <v>250</v>
      </c>
      <c r="J316" s="796">
        <f t="shared" si="47"/>
        <v>1500</v>
      </c>
      <c r="K316" s="1030">
        <f t="shared" si="48"/>
        <v>12600</v>
      </c>
      <c r="L316" s="919"/>
      <c r="M316" s="729"/>
      <c r="N316" s="729"/>
      <c r="O316" s="729"/>
      <c r="P316" s="729"/>
    </row>
    <row r="317" spans="1:16" s="714" customFormat="1" ht="24" customHeight="1">
      <c r="A317" s="856" t="s">
        <v>1486</v>
      </c>
      <c r="B317" s="720" t="s">
        <v>1323</v>
      </c>
      <c r="C317" s="717"/>
      <c r="D317" s="717"/>
      <c r="E317" s="917"/>
      <c r="F317" s="722" t="s">
        <v>240</v>
      </c>
      <c r="G317" s="806">
        <v>1850</v>
      </c>
      <c r="H317" s="796">
        <f t="shared" si="46"/>
        <v>0</v>
      </c>
      <c r="I317" s="807">
        <v>250</v>
      </c>
      <c r="J317" s="796">
        <f t="shared" si="47"/>
        <v>0</v>
      </c>
      <c r="K317" s="1030">
        <f t="shared" si="48"/>
        <v>0</v>
      </c>
      <c r="L317" s="919"/>
      <c r="M317" s="729"/>
      <c r="N317" s="729"/>
      <c r="O317" s="729"/>
      <c r="P317" s="729"/>
    </row>
    <row r="318" spans="1:16" s="714" customFormat="1" ht="24" customHeight="1">
      <c r="A318" s="856" t="s">
        <v>1432</v>
      </c>
      <c r="B318" s="720" t="s">
        <v>1324</v>
      </c>
      <c r="C318" s="717"/>
      <c r="D318" s="717"/>
      <c r="E318" s="917">
        <v>2</v>
      </c>
      <c r="F318" s="722" t="s">
        <v>240</v>
      </c>
      <c r="G318" s="806">
        <v>2750</v>
      </c>
      <c r="H318" s="796">
        <f t="shared" si="46"/>
        <v>5500</v>
      </c>
      <c r="I318" s="807">
        <v>250</v>
      </c>
      <c r="J318" s="796">
        <f t="shared" si="47"/>
        <v>500</v>
      </c>
      <c r="K318" s="1030">
        <f t="shared" si="48"/>
        <v>6000</v>
      </c>
      <c r="L318" s="919"/>
      <c r="M318" s="729"/>
      <c r="N318" s="729"/>
      <c r="O318" s="729"/>
      <c r="P318" s="729"/>
    </row>
    <row r="319" spans="1:16" s="714" customFormat="1" ht="24" customHeight="1">
      <c r="A319" s="856" t="s">
        <v>1433</v>
      </c>
      <c r="B319" s="720" t="s">
        <v>1325</v>
      </c>
      <c r="C319" s="717"/>
      <c r="D319" s="717"/>
      <c r="E319" s="917">
        <v>2</v>
      </c>
      <c r="F319" s="722" t="s">
        <v>240</v>
      </c>
      <c r="G319" s="806">
        <v>2750</v>
      </c>
      <c r="H319" s="796">
        <f t="shared" si="46"/>
        <v>5500</v>
      </c>
      <c r="I319" s="807">
        <v>250</v>
      </c>
      <c r="J319" s="796">
        <f t="shared" si="47"/>
        <v>500</v>
      </c>
      <c r="K319" s="1030">
        <f t="shared" si="48"/>
        <v>6000</v>
      </c>
      <c r="L319" s="919"/>
      <c r="M319" s="729"/>
      <c r="N319" s="729"/>
      <c r="O319" s="729"/>
      <c r="P319" s="729"/>
    </row>
    <row r="320" spans="1:16" s="714" customFormat="1" ht="24" customHeight="1">
      <c r="A320" s="856" t="s">
        <v>3070</v>
      </c>
      <c r="B320" s="720" t="s">
        <v>1326</v>
      </c>
      <c r="C320" s="717"/>
      <c r="D320" s="717"/>
      <c r="E320" s="917">
        <v>2</v>
      </c>
      <c r="F320" s="722" t="s">
        <v>240</v>
      </c>
      <c r="G320" s="806">
        <v>2750</v>
      </c>
      <c r="H320" s="796">
        <f t="shared" si="46"/>
        <v>5500</v>
      </c>
      <c r="I320" s="807">
        <v>250</v>
      </c>
      <c r="J320" s="796">
        <f t="shared" si="47"/>
        <v>500</v>
      </c>
      <c r="K320" s="1030">
        <f t="shared" si="48"/>
        <v>6000</v>
      </c>
      <c r="L320" s="919"/>
      <c r="M320" s="729"/>
      <c r="N320" s="729"/>
      <c r="O320" s="729"/>
      <c r="P320" s="729"/>
    </row>
    <row r="321" spans="1:16" s="714" customFormat="1" ht="24" customHeight="1">
      <c r="A321" s="856" t="s">
        <v>3071</v>
      </c>
      <c r="B321" s="720" t="s">
        <v>1327</v>
      </c>
      <c r="C321" s="717"/>
      <c r="D321" s="717"/>
      <c r="E321" s="917">
        <v>2</v>
      </c>
      <c r="F321" s="722" t="s">
        <v>240</v>
      </c>
      <c r="G321" s="806">
        <v>2750</v>
      </c>
      <c r="H321" s="796">
        <f t="shared" si="46"/>
        <v>5500</v>
      </c>
      <c r="I321" s="807">
        <v>250</v>
      </c>
      <c r="J321" s="796">
        <f t="shared" si="47"/>
        <v>500</v>
      </c>
      <c r="K321" s="1030">
        <f t="shared" si="48"/>
        <v>6000</v>
      </c>
      <c r="L321" s="919"/>
      <c r="M321" s="729"/>
      <c r="N321" s="729"/>
      <c r="O321" s="729"/>
      <c r="P321" s="729"/>
    </row>
    <row r="322" spans="1:16" s="714" customFormat="1" ht="24" customHeight="1">
      <c r="A322" s="856" t="s">
        <v>3072</v>
      </c>
      <c r="B322" s="720" t="s">
        <v>1328</v>
      </c>
      <c r="C322" s="717"/>
      <c r="D322" s="717"/>
      <c r="E322" s="917">
        <v>2</v>
      </c>
      <c r="F322" s="722" t="s">
        <v>240</v>
      </c>
      <c r="G322" s="806">
        <v>2750</v>
      </c>
      <c r="H322" s="796">
        <f t="shared" si="46"/>
        <v>5500</v>
      </c>
      <c r="I322" s="807">
        <v>250</v>
      </c>
      <c r="J322" s="796">
        <f t="shared" si="47"/>
        <v>500</v>
      </c>
      <c r="K322" s="1030">
        <f t="shared" si="48"/>
        <v>6000</v>
      </c>
      <c r="L322" s="919"/>
      <c r="M322" s="729"/>
      <c r="N322" s="729"/>
      <c r="O322" s="729"/>
      <c r="P322" s="729"/>
    </row>
    <row r="323" spans="1:16" s="714" customFormat="1" ht="24" customHeight="1">
      <c r="A323" s="856" t="s">
        <v>3073</v>
      </c>
      <c r="B323" s="720" t="s">
        <v>1329</v>
      </c>
      <c r="C323" s="717"/>
      <c r="D323" s="717"/>
      <c r="E323" s="917">
        <v>13</v>
      </c>
      <c r="F323" s="722" t="s">
        <v>240</v>
      </c>
      <c r="G323" s="806">
        <v>2750</v>
      </c>
      <c r="H323" s="796">
        <f t="shared" si="46"/>
        <v>35750</v>
      </c>
      <c r="I323" s="807">
        <v>250</v>
      </c>
      <c r="J323" s="796">
        <f t="shared" si="47"/>
        <v>3250</v>
      </c>
      <c r="K323" s="1030">
        <f t="shared" si="48"/>
        <v>39000</v>
      </c>
      <c r="L323" s="919"/>
      <c r="M323" s="729"/>
      <c r="N323" s="729"/>
      <c r="O323" s="729"/>
      <c r="P323" s="729"/>
    </row>
    <row r="324" spans="1:16" s="714" customFormat="1" ht="24" customHeight="1">
      <c r="A324" s="856" t="s">
        <v>3074</v>
      </c>
      <c r="B324" s="720" t="s">
        <v>1330</v>
      </c>
      <c r="C324" s="717"/>
      <c r="D324" s="717"/>
      <c r="E324" s="917">
        <v>4</v>
      </c>
      <c r="F324" s="722" t="s">
        <v>240</v>
      </c>
      <c r="G324" s="806">
        <v>2250</v>
      </c>
      <c r="H324" s="796">
        <f t="shared" si="46"/>
        <v>9000</v>
      </c>
      <c r="I324" s="807">
        <v>250</v>
      </c>
      <c r="J324" s="796">
        <f t="shared" si="47"/>
        <v>1000</v>
      </c>
      <c r="K324" s="1030">
        <f t="shared" si="48"/>
        <v>10000</v>
      </c>
      <c r="L324" s="919"/>
      <c r="M324" s="729"/>
      <c r="N324" s="729"/>
      <c r="O324" s="729"/>
      <c r="P324" s="729"/>
    </row>
    <row r="325" spans="1:16" s="714" customFormat="1" ht="24" customHeight="1">
      <c r="A325" s="856" t="s">
        <v>3075</v>
      </c>
      <c r="B325" s="720" t="s">
        <v>1331</v>
      </c>
      <c r="C325" s="717"/>
      <c r="D325" s="717"/>
      <c r="E325" s="917">
        <v>154</v>
      </c>
      <c r="F325" s="722" t="s">
        <v>240</v>
      </c>
      <c r="G325" s="806">
        <f>3300+300</f>
        <v>3600</v>
      </c>
      <c r="H325" s="796">
        <f t="shared" si="46"/>
        <v>554400</v>
      </c>
      <c r="I325" s="807">
        <v>200</v>
      </c>
      <c r="J325" s="796">
        <f t="shared" si="47"/>
        <v>30800</v>
      </c>
      <c r="K325" s="1030">
        <f t="shared" si="48"/>
        <v>585200</v>
      </c>
      <c r="L325" s="919"/>
      <c r="M325" s="729"/>
      <c r="N325" s="729"/>
      <c r="O325" s="729"/>
      <c r="P325" s="729"/>
    </row>
    <row r="326" spans="1:16" s="714" customFormat="1" ht="24" customHeight="1">
      <c r="A326" s="856" t="s">
        <v>3076</v>
      </c>
      <c r="B326" s="720" t="s">
        <v>1332</v>
      </c>
      <c r="C326" s="717"/>
      <c r="D326" s="717"/>
      <c r="E326" s="917">
        <v>6</v>
      </c>
      <c r="F326" s="722" t="s">
        <v>240</v>
      </c>
      <c r="G326" s="806">
        <v>5000</v>
      </c>
      <c r="H326" s="796">
        <f t="shared" si="46"/>
        <v>30000</v>
      </c>
      <c r="I326" s="807">
        <v>500</v>
      </c>
      <c r="J326" s="796">
        <f t="shared" si="47"/>
        <v>3000</v>
      </c>
      <c r="K326" s="1030">
        <f t="shared" si="48"/>
        <v>33000</v>
      </c>
      <c r="L326" s="919"/>
      <c r="M326" s="729"/>
      <c r="N326" s="729"/>
      <c r="O326" s="729"/>
      <c r="P326" s="729"/>
    </row>
    <row r="327" spans="1:16" s="714" customFormat="1" ht="24" customHeight="1">
      <c r="A327" s="856" t="s">
        <v>3077</v>
      </c>
      <c r="B327" s="720" t="s">
        <v>1333</v>
      </c>
      <c r="C327" s="717"/>
      <c r="D327" s="717"/>
      <c r="E327" s="917">
        <v>6</v>
      </c>
      <c r="F327" s="722" t="s">
        <v>240</v>
      </c>
      <c r="G327" s="806">
        <v>350</v>
      </c>
      <c r="H327" s="796">
        <f t="shared" si="46"/>
        <v>2100</v>
      </c>
      <c r="I327" s="807">
        <v>200</v>
      </c>
      <c r="J327" s="796">
        <f t="shared" si="47"/>
        <v>1200</v>
      </c>
      <c r="K327" s="1030">
        <f t="shared" si="48"/>
        <v>3300</v>
      </c>
      <c r="L327" s="919"/>
      <c r="M327" s="729"/>
      <c r="N327" s="729"/>
      <c r="O327" s="729"/>
      <c r="P327" s="729"/>
    </row>
    <row r="328" spans="1:16" s="714" customFormat="1" ht="24" customHeight="1">
      <c r="A328" s="856" t="s">
        <v>3078</v>
      </c>
      <c r="B328" s="720" t="s">
        <v>1334</v>
      </c>
      <c r="C328" s="717"/>
      <c r="D328" s="717"/>
      <c r="E328" s="917">
        <v>6</v>
      </c>
      <c r="F328" s="722" t="s">
        <v>240</v>
      </c>
      <c r="G328" s="806">
        <v>4200</v>
      </c>
      <c r="H328" s="796">
        <f t="shared" si="46"/>
        <v>25200</v>
      </c>
      <c r="I328" s="807">
        <v>200</v>
      </c>
      <c r="J328" s="796">
        <f t="shared" si="47"/>
        <v>1200</v>
      </c>
      <c r="K328" s="1030">
        <f t="shared" si="48"/>
        <v>26400</v>
      </c>
      <c r="L328" s="919"/>
      <c r="M328" s="729"/>
      <c r="N328" s="729"/>
      <c r="O328" s="729"/>
      <c r="P328" s="729"/>
    </row>
    <row r="329" spans="1:16" s="714" customFormat="1" ht="24" customHeight="1">
      <c r="A329" s="856" t="s">
        <v>3079</v>
      </c>
      <c r="B329" s="720" t="s">
        <v>1335</v>
      </c>
      <c r="C329" s="717"/>
      <c r="D329" s="717"/>
      <c r="E329" s="917">
        <v>22</v>
      </c>
      <c r="F329" s="722" t="s">
        <v>240</v>
      </c>
      <c r="G329" s="806">
        <v>2200</v>
      </c>
      <c r="H329" s="796">
        <f t="shared" si="46"/>
        <v>48400</v>
      </c>
      <c r="I329" s="807">
        <v>200</v>
      </c>
      <c r="J329" s="796">
        <f t="shared" si="47"/>
        <v>4400</v>
      </c>
      <c r="K329" s="1030">
        <f t="shared" si="48"/>
        <v>52800</v>
      </c>
      <c r="L329" s="919"/>
      <c r="M329" s="729"/>
      <c r="N329" s="729"/>
      <c r="O329" s="729"/>
      <c r="P329" s="729"/>
    </row>
    <row r="330" spans="1:16" s="714" customFormat="1" ht="24" customHeight="1">
      <c r="A330" s="856" t="s">
        <v>3080</v>
      </c>
      <c r="B330" s="720" t="s">
        <v>1336</v>
      </c>
      <c r="C330" s="717"/>
      <c r="D330" s="717"/>
      <c r="E330" s="917">
        <v>2</v>
      </c>
      <c r="F330" s="722" t="s">
        <v>240</v>
      </c>
      <c r="G330" s="806">
        <v>5000</v>
      </c>
      <c r="H330" s="796">
        <f t="shared" si="46"/>
        <v>10000</v>
      </c>
      <c r="I330" s="807">
        <v>500</v>
      </c>
      <c r="J330" s="796">
        <f t="shared" si="47"/>
        <v>1000</v>
      </c>
      <c r="K330" s="1030">
        <f t="shared" si="48"/>
        <v>11000</v>
      </c>
      <c r="L330" s="919"/>
      <c r="M330" s="729"/>
      <c r="N330" s="729"/>
      <c r="O330" s="729"/>
      <c r="P330" s="729"/>
    </row>
    <row r="331" spans="1:16" s="714" customFormat="1" ht="24" customHeight="1">
      <c r="A331" s="856" t="s">
        <v>3081</v>
      </c>
      <c r="B331" s="720" t="s">
        <v>1159</v>
      </c>
      <c r="C331" s="717"/>
      <c r="D331" s="717"/>
      <c r="E331" s="917"/>
      <c r="F331" s="916"/>
      <c r="G331" s="806"/>
      <c r="H331" s="796">
        <f t="shared" si="46"/>
        <v>0</v>
      </c>
      <c r="I331" s="807"/>
      <c r="J331" s="796">
        <f t="shared" si="47"/>
        <v>0</v>
      </c>
      <c r="K331" s="1030">
        <f t="shared" si="48"/>
        <v>0</v>
      </c>
      <c r="L331" s="919"/>
      <c r="M331" s="729"/>
      <c r="N331" s="729"/>
      <c r="O331" s="729"/>
      <c r="P331" s="729"/>
    </row>
    <row r="332" spans="1:16" s="714" customFormat="1" ht="24" customHeight="1">
      <c r="A332" s="831"/>
      <c r="B332" s="720" t="s">
        <v>1337</v>
      </c>
      <c r="C332" s="717"/>
      <c r="D332" s="717"/>
      <c r="E332" s="917">
        <v>814</v>
      </c>
      <c r="F332" s="794" t="s">
        <v>438</v>
      </c>
      <c r="G332" s="806">
        <v>82</v>
      </c>
      <c r="H332" s="796">
        <f t="shared" si="46"/>
        <v>66748</v>
      </c>
      <c r="I332" s="807">
        <v>12</v>
      </c>
      <c r="J332" s="796">
        <f t="shared" si="47"/>
        <v>9768</v>
      </c>
      <c r="K332" s="966">
        <f t="shared" si="48"/>
        <v>76516</v>
      </c>
      <c r="L332" s="919"/>
      <c r="M332" s="729"/>
      <c r="N332" s="729"/>
      <c r="O332" s="729"/>
      <c r="P332" s="729"/>
    </row>
    <row r="333" spans="1:16" s="714" customFormat="1" ht="24" customHeight="1">
      <c r="A333" s="831"/>
      <c r="B333" s="720" t="s">
        <v>2920</v>
      </c>
      <c r="C333" s="717"/>
      <c r="D333" s="717"/>
      <c r="E333" s="917">
        <v>646</v>
      </c>
      <c r="F333" s="794" t="s">
        <v>438</v>
      </c>
      <c r="G333" s="806">
        <v>6</v>
      </c>
      <c r="H333" s="796">
        <f t="shared" si="46"/>
        <v>3876</v>
      </c>
      <c r="I333" s="807">
        <v>6</v>
      </c>
      <c r="J333" s="796">
        <f t="shared" si="47"/>
        <v>3876</v>
      </c>
      <c r="K333" s="966">
        <f t="shared" si="48"/>
        <v>7752</v>
      </c>
      <c r="L333" s="919"/>
      <c r="M333" s="729"/>
      <c r="N333" s="729"/>
      <c r="O333" s="729"/>
      <c r="P333" s="729"/>
    </row>
    <row r="334" spans="1:16" s="714" customFormat="1" ht="24" customHeight="1">
      <c r="A334" s="831"/>
      <c r="B334" s="720" t="s">
        <v>2921</v>
      </c>
      <c r="C334" s="717"/>
      <c r="D334" s="717"/>
      <c r="E334" s="917">
        <v>488</v>
      </c>
      <c r="F334" s="794" t="s">
        <v>438</v>
      </c>
      <c r="G334" s="806">
        <v>18</v>
      </c>
      <c r="H334" s="796">
        <f t="shared" si="46"/>
        <v>8784</v>
      </c>
      <c r="I334" s="807">
        <v>8</v>
      </c>
      <c r="J334" s="796">
        <f t="shared" si="47"/>
        <v>3904</v>
      </c>
      <c r="K334" s="966">
        <f t="shared" si="48"/>
        <v>12688</v>
      </c>
      <c r="L334" s="919"/>
      <c r="M334" s="729"/>
      <c r="N334" s="729"/>
      <c r="O334" s="729"/>
      <c r="P334" s="729"/>
    </row>
    <row r="335" spans="1:16" s="714" customFormat="1" ht="24" customHeight="1">
      <c r="A335" s="831"/>
      <c r="B335" s="720" t="s">
        <v>1338</v>
      </c>
      <c r="C335" s="717"/>
      <c r="D335" s="717"/>
      <c r="E335" s="917">
        <v>1</v>
      </c>
      <c r="F335" s="916" t="s">
        <v>948</v>
      </c>
      <c r="G335" s="806">
        <f>ROUND(SUM(H332:H334)*5%,)</f>
        <v>3970</v>
      </c>
      <c r="H335" s="796">
        <f t="shared" si="46"/>
        <v>3970</v>
      </c>
      <c r="I335" s="797">
        <f>ROUND(G335*0.3,)</f>
        <v>1191</v>
      </c>
      <c r="J335" s="796">
        <f t="shared" si="47"/>
        <v>1191</v>
      </c>
      <c r="K335" s="966">
        <f t="shared" si="48"/>
        <v>5161</v>
      </c>
      <c r="L335" s="919"/>
      <c r="M335" s="729"/>
      <c r="N335" s="729"/>
      <c r="O335" s="729"/>
      <c r="P335" s="729"/>
    </row>
    <row r="336" spans="1:16" s="714" customFormat="1" ht="24" customHeight="1">
      <c r="A336" s="856" t="s">
        <v>3082</v>
      </c>
      <c r="B336" s="720" t="s">
        <v>1357</v>
      </c>
      <c r="C336" s="717"/>
      <c r="D336" s="717"/>
      <c r="E336" s="942"/>
      <c r="F336" s="916"/>
      <c r="G336" s="806"/>
      <c r="H336" s="796"/>
      <c r="I336" s="807"/>
      <c r="J336" s="796"/>
      <c r="K336" s="914"/>
      <c r="L336" s="919"/>
      <c r="M336" s="729"/>
      <c r="N336" s="729"/>
      <c r="O336" s="729"/>
      <c r="P336" s="729"/>
    </row>
    <row r="337" spans="1:16" s="714" customFormat="1" ht="24" customHeight="1">
      <c r="A337" s="831"/>
      <c r="B337" s="720" t="s">
        <v>1201</v>
      </c>
      <c r="C337" s="717"/>
      <c r="D337" s="717"/>
      <c r="E337" s="917">
        <v>323</v>
      </c>
      <c r="F337" s="794" t="s">
        <v>438</v>
      </c>
      <c r="G337" s="806">
        <v>27</v>
      </c>
      <c r="H337" s="796">
        <f t="shared" ref="H337:H338" si="49">ROUND(E337*G337,)</f>
        <v>8721</v>
      </c>
      <c r="I337" s="807">
        <v>22</v>
      </c>
      <c r="J337" s="796">
        <f t="shared" ref="J337:J338" si="50">ROUND(E337*I337,)</f>
        <v>7106</v>
      </c>
      <c r="K337" s="1030">
        <f t="shared" ref="K337:K338" si="51">H337+J337</f>
        <v>15827</v>
      </c>
      <c r="L337" s="1718" t="s">
        <v>2974</v>
      </c>
      <c r="M337" s="729"/>
      <c r="N337" s="714">
        <v>79.8</v>
      </c>
      <c r="O337" s="714">
        <f>ROUND(N337/3,)</f>
        <v>27</v>
      </c>
      <c r="P337" s="729"/>
    </row>
    <row r="338" spans="1:16" s="714" customFormat="1" ht="24" customHeight="1">
      <c r="A338" s="831"/>
      <c r="B338" s="720" t="s">
        <v>1237</v>
      </c>
      <c r="C338" s="717"/>
      <c r="D338" s="717"/>
      <c r="E338" s="917">
        <v>1</v>
      </c>
      <c r="F338" s="916" t="s">
        <v>948</v>
      </c>
      <c r="G338" s="806">
        <f>ROUND(SUM(H337:H337)*15%,)</f>
        <v>1308</v>
      </c>
      <c r="H338" s="796">
        <f t="shared" si="49"/>
        <v>1308</v>
      </c>
      <c r="I338" s="807">
        <f>ROUND(G338*0.3,)</f>
        <v>392</v>
      </c>
      <c r="J338" s="796">
        <f t="shared" si="50"/>
        <v>392</v>
      </c>
      <c r="K338" s="914">
        <f t="shared" si="51"/>
        <v>1700</v>
      </c>
      <c r="L338" s="919"/>
      <c r="M338" s="729"/>
      <c r="N338" s="729"/>
      <c r="O338" s="729"/>
      <c r="P338" s="729"/>
    </row>
    <row r="339" spans="1:16" s="714" customFormat="1" ht="24" customHeight="1">
      <c r="A339" s="856" t="s">
        <v>3083</v>
      </c>
      <c r="B339" s="720" t="s">
        <v>950</v>
      </c>
      <c r="C339" s="717"/>
      <c r="D339" s="717"/>
      <c r="E339" s="917"/>
      <c r="F339" s="916"/>
      <c r="G339" s="806"/>
      <c r="H339" s="796">
        <f t="shared" si="46"/>
        <v>0</v>
      </c>
      <c r="I339" s="807"/>
      <c r="J339" s="796">
        <f t="shared" si="47"/>
        <v>0</v>
      </c>
      <c r="K339" s="966">
        <f t="shared" si="48"/>
        <v>0</v>
      </c>
      <c r="L339" s="919"/>
      <c r="M339" s="729"/>
      <c r="N339" s="729"/>
      <c r="O339" s="729"/>
      <c r="P339" s="729"/>
    </row>
    <row r="340" spans="1:16" s="714" customFormat="1" ht="24" customHeight="1">
      <c r="A340" s="831"/>
      <c r="B340" s="720" t="s">
        <v>1184</v>
      </c>
      <c r="C340" s="717"/>
      <c r="D340" s="717"/>
      <c r="E340" s="917">
        <v>1302</v>
      </c>
      <c r="F340" s="794" t="s">
        <v>438</v>
      </c>
      <c r="G340" s="806">
        <v>75</v>
      </c>
      <c r="H340" s="796">
        <f t="shared" si="46"/>
        <v>97650</v>
      </c>
      <c r="I340" s="807">
        <v>28</v>
      </c>
      <c r="J340" s="796">
        <f t="shared" si="47"/>
        <v>36456</v>
      </c>
      <c r="K340" s="1030">
        <f t="shared" si="48"/>
        <v>134106</v>
      </c>
      <c r="L340" s="1718" t="s">
        <v>2974</v>
      </c>
      <c r="M340" s="729"/>
      <c r="N340" s="714">
        <v>225</v>
      </c>
      <c r="O340" s="714">
        <f>ROUND(N340/3,)</f>
        <v>75</v>
      </c>
      <c r="P340" s="729"/>
    </row>
    <row r="341" spans="1:16" s="714" customFormat="1" ht="24" customHeight="1">
      <c r="A341" s="831"/>
      <c r="B341" s="720" t="s">
        <v>952</v>
      </c>
      <c r="C341" s="717"/>
      <c r="D341" s="717"/>
      <c r="E341" s="917">
        <v>1</v>
      </c>
      <c r="F341" s="916" t="s">
        <v>948</v>
      </c>
      <c r="G341" s="806">
        <f>ROUND(SUM(H340:H340)*15%,)</f>
        <v>14648</v>
      </c>
      <c r="H341" s="796">
        <f t="shared" si="46"/>
        <v>14648</v>
      </c>
      <c r="I341" s="797">
        <f>ROUND(G341*0.3,)</f>
        <v>4394</v>
      </c>
      <c r="J341" s="796">
        <f t="shared" si="47"/>
        <v>4394</v>
      </c>
      <c r="K341" s="1030">
        <f t="shared" si="48"/>
        <v>19042</v>
      </c>
      <c r="L341" s="919"/>
      <c r="M341" s="729"/>
      <c r="N341" s="729"/>
      <c r="O341" s="729"/>
      <c r="P341" s="729"/>
    </row>
    <row r="342" spans="1:16" s="714" customFormat="1" ht="24" customHeight="1">
      <c r="A342" s="856" t="s">
        <v>3084</v>
      </c>
      <c r="B342" s="720" t="s">
        <v>1281</v>
      </c>
      <c r="C342" s="717"/>
      <c r="D342" s="717"/>
      <c r="E342" s="917"/>
      <c r="F342" s="916"/>
      <c r="G342" s="806"/>
      <c r="H342" s="796">
        <f t="shared" si="46"/>
        <v>0</v>
      </c>
      <c r="I342" s="807"/>
      <c r="J342" s="796">
        <f t="shared" si="47"/>
        <v>0</v>
      </c>
      <c r="K342" s="1030">
        <f t="shared" si="48"/>
        <v>0</v>
      </c>
      <c r="L342" s="919"/>
      <c r="M342" s="729"/>
      <c r="N342" s="729"/>
      <c r="O342" s="729"/>
      <c r="P342" s="729"/>
    </row>
    <row r="343" spans="1:16" s="714" customFormat="1" ht="24" customHeight="1">
      <c r="A343" s="831"/>
      <c r="B343" s="720" t="s">
        <v>1201</v>
      </c>
      <c r="C343" s="717"/>
      <c r="D343" s="717"/>
      <c r="E343" s="917">
        <v>154</v>
      </c>
      <c r="F343" s="794" t="s">
        <v>438</v>
      </c>
      <c r="G343" s="806">
        <v>14</v>
      </c>
      <c r="H343" s="796">
        <f t="shared" si="46"/>
        <v>2156</v>
      </c>
      <c r="I343" s="807">
        <v>11</v>
      </c>
      <c r="J343" s="796">
        <f t="shared" si="47"/>
        <v>1694</v>
      </c>
      <c r="K343" s="1030">
        <f t="shared" si="48"/>
        <v>3850</v>
      </c>
      <c r="L343" s="919"/>
      <c r="M343" s="729"/>
      <c r="N343" s="729"/>
      <c r="O343" s="729"/>
      <c r="P343" s="729"/>
    </row>
    <row r="344" spans="1:16" s="714" customFormat="1" ht="24" customHeight="1">
      <c r="A344" s="831"/>
      <c r="B344" s="720" t="s">
        <v>957</v>
      </c>
      <c r="C344" s="717"/>
      <c r="D344" s="717"/>
      <c r="E344" s="917"/>
      <c r="F344" s="916"/>
      <c r="G344" s="806"/>
      <c r="H344" s="918"/>
      <c r="I344" s="807"/>
      <c r="J344" s="919"/>
      <c r="K344" s="968"/>
      <c r="L344" s="919"/>
      <c r="M344" s="729"/>
      <c r="N344" s="729"/>
      <c r="O344" s="729"/>
      <c r="P344" s="729"/>
    </row>
    <row r="345" spans="1:16" s="714" customFormat="1" ht="24" customHeight="1">
      <c r="A345" s="831"/>
      <c r="B345" s="720" t="s">
        <v>1239</v>
      </c>
      <c r="C345" s="717"/>
      <c r="D345" s="717"/>
      <c r="E345" s="917"/>
      <c r="F345" s="722"/>
      <c r="G345" s="806"/>
      <c r="H345" s="918"/>
      <c r="I345" s="807"/>
      <c r="J345" s="919"/>
      <c r="K345" s="968"/>
      <c r="L345" s="919"/>
      <c r="M345" s="729"/>
      <c r="N345" s="729"/>
      <c r="O345" s="729"/>
      <c r="P345" s="729"/>
    </row>
    <row r="346" spans="1:16" s="714" customFormat="1" ht="24" customHeight="1">
      <c r="A346" s="775"/>
      <c r="B346" s="2475" t="str">
        <f>"รวมราคารายการที่ "&amp;A311</f>
        <v>รวมราคารายการที่ 3.9</v>
      </c>
      <c r="C346" s="2476"/>
      <c r="D346" s="2477"/>
      <c r="E346" s="776"/>
      <c r="F346" s="777"/>
      <c r="G346" s="959"/>
      <c r="H346" s="960">
        <f>SUM(H312:H344)</f>
        <v>1081611</v>
      </c>
      <c r="I346" s="959"/>
      <c r="J346" s="960">
        <f t="shared" ref="J346:K346" si="52">SUM(J312:J344)</f>
        <v>131831</v>
      </c>
      <c r="K346" s="960">
        <f t="shared" si="52"/>
        <v>1213442</v>
      </c>
      <c r="L346" s="1006"/>
      <c r="M346" s="729"/>
      <c r="N346" s="729"/>
      <c r="O346" s="729"/>
      <c r="P346" s="729"/>
    </row>
    <row r="347" spans="1:16" s="714" customFormat="1" ht="24" customHeight="1">
      <c r="A347" s="911" t="s">
        <v>1158</v>
      </c>
      <c r="B347" s="816" t="s">
        <v>1241</v>
      </c>
      <c r="C347" s="770"/>
      <c r="D347" s="770"/>
      <c r="E347" s="930"/>
      <c r="F347" s="939"/>
      <c r="G347" s="932"/>
      <c r="H347" s="933"/>
      <c r="I347" s="934"/>
      <c r="J347" s="935"/>
      <c r="K347" s="1013"/>
      <c r="L347" s="935"/>
      <c r="M347" s="729"/>
      <c r="N347" s="729"/>
      <c r="O347" s="729"/>
      <c r="P347" s="729"/>
    </row>
    <row r="348" spans="1:16" s="714" customFormat="1" ht="24" customHeight="1">
      <c r="A348" s="831" t="s">
        <v>1160</v>
      </c>
      <c r="B348" s="720" t="s">
        <v>1423</v>
      </c>
      <c r="C348" s="717"/>
      <c r="D348" s="717"/>
      <c r="E348" s="917"/>
      <c r="F348" s="722" t="s">
        <v>240</v>
      </c>
      <c r="G348" s="806">
        <v>200</v>
      </c>
      <c r="H348" s="796">
        <f t="shared" ref="H348" si="53">ROUND(E348*G348,)</f>
        <v>0</v>
      </c>
      <c r="I348" s="807">
        <v>90</v>
      </c>
      <c r="J348" s="796">
        <f t="shared" ref="J348" si="54">ROUND(E348*I348,)</f>
        <v>0</v>
      </c>
      <c r="K348" s="1014">
        <f t="shared" ref="K348:K364" si="55">H348+J348</f>
        <v>0</v>
      </c>
      <c r="L348" s="920"/>
      <c r="M348" s="729"/>
      <c r="N348" s="729"/>
      <c r="O348" s="729"/>
      <c r="P348" s="729"/>
    </row>
    <row r="349" spans="1:16" s="714" customFormat="1" ht="24" customHeight="1">
      <c r="A349" s="831" t="s">
        <v>1362</v>
      </c>
      <c r="B349" s="720" t="s">
        <v>1508</v>
      </c>
      <c r="C349" s="717"/>
      <c r="D349" s="717"/>
      <c r="E349" s="917"/>
      <c r="F349" s="940"/>
      <c r="G349" s="806"/>
      <c r="H349" s="796"/>
      <c r="I349" s="807"/>
      <c r="J349" s="796"/>
      <c r="K349" s="1030">
        <f t="shared" si="55"/>
        <v>0</v>
      </c>
      <c r="L349" s="920"/>
      <c r="M349" s="729"/>
      <c r="N349" s="729"/>
      <c r="O349" s="729"/>
      <c r="P349" s="729"/>
    </row>
    <row r="350" spans="1:16" s="714" customFormat="1" ht="24" customHeight="1">
      <c r="A350" s="831"/>
      <c r="B350" s="720" t="s">
        <v>1244</v>
      </c>
      <c r="C350" s="717"/>
      <c r="D350" s="717"/>
      <c r="E350" s="917">
        <v>2</v>
      </c>
      <c r="F350" s="940" t="s">
        <v>240</v>
      </c>
      <c r="G350" s="806">
        <v>27500</v>
      </c>
      <c r="H350" s="796">
        <f t="shared" ref="H350:H354" si="56">ROUND(E350*G350,)</f>
        <v>55000</v>
      </c>
      <c r="I350" s="807">
        <f>CEILING(G350*0.3,100)</f>
        <v>8300</v>
      </c>
      <c r="J350" s="796">
        <f t="shared" ref="J350:J352" si="57">ROUND(E350*I350,)</f>
        <v>16600</v>
      </c>
      <c r="K350" s="1030">
        <f t="shared" si="55"/>
        <v>71600</v>
      </c>
      <c r="L350" s="920"/>
      <c r="M350" s="729"/>
      <c r="N350" s="729"/>
      <c r="O350" s="729"/>
      <c r="P350" s="729"/>
    </row>
    <row r="351" spans="1:16" s="714" customFormat="1" ht="24" customHeight="1">
      <c r="A351" s="831"/>
      <c r="B351" s="720" t="s">
        <v>1245</v>
      </c>
      <c r="C351" s="717"/>
      <c r="D351" s="717"/>
      <c r="E351" s="917">
        <v>2</v>
      </c>
      <c r="F351" s="940" t="s">
        <v>240</v>
      </c>
      <c r="G351" s="806">
        <v>3000</v>
      </c>
      <c r="H351" s="796">
        <f t="shared" si="56"/>
        <v>6000</v>
      </c>
      <c r="I351" s="807"/>
      <c r="J351" s="796">
        <f t="shared" si="57"/>
        <v>0</v>
      </c>
      <c r="K351" s="1030">
        <f t="shared" si="55"/>
        <v>6000</v>
      </c>
      <c r="L351" s="920"/>
      <c r="M351" s="729"/>
      <c r="N351" s="729"/>
      <c r="O351" s="729"/>
      <c r="P351" s="729"/>
    </row>
    <row r="352" spans="1:16" s="714" customFormat="1" ht="24" customHeight="1">
      <c r="A352" s="831"/>
      <c r="B352" s="720" t="s">
        <v>1425</v>
      </c>
      <c r="C352" s="717"/>
      <c r="D352" s="717"/>
      <c r="E352" s="917">
        <v>2</v>
      </c>
      <c r="F352" s="940" t="s">
        <v>240</v>
      </c>
      <c r="G352" s="806">
        <v>5700</v>
      </c>
      <c r="H352" s="796">
        <f t="shared" si="56"/>
        <v>11400</v>
      </c>
      <c r="I352" s="807"/>
      <c r="J352" s="796">
        <f t="shared" si="57"/>
        <v>0</v>
      </c>
      <c r="K352" s="1030">
        <f t="shared" si="55"/>
        <v>11400</v>
      </c>
      <c r="L352" s="920"/>
      <c r="M352" s="729"/>
      <c r="N352" s="729"/>
      <c r="O352" s="729"/>
      <c r="P352" s="729"/>
    </row>
    <row r="353" spans="1:16" s="714" customFormat="1" ht="24" customHeight="1">
      <c r="A353" s="831"/>
      <c r="B353" s="720" t="s">
        <v>1246</v>
      </c>
      <c r="C353" s="717"/>
      <c r="D353" s="717"/>
      <c r="E353" s="917">
        <f>E350*24</f>
        <v>48</v>
      </c>
      <c r="F353" s="940" t="s">
        <v>240</v>
      </c>
      <c r="G353" s="806">
        <v>255</v>
      </c>
      <c r="H353" s="796">
        <f t="shared" si="56"/>
        <v>12240</v>
      </c>
      <c r="I353" s="807"/>
      <c r="J353" s="796"/>
      <c r="K353" s="1030">
        <f t="shared" si="55"/>
        <v>12240</v>
      </c>
      <c r="L353" s="920"/>
      <c r="M353" s="729"/>
      <c r="N353" s="729"/>
      <c r="O353" s="729"/>
      <c r="P353" s="729"/>
    </row>
    <row r="354" spans="1:16" s="714" customFormat="1" ht="24" customHeight="1">
      <c r="A354" s="831"/>
      <c r="B354" s="720" t="s">
        <v>1426</v>
      </c>
      <c r="C354" s="717"/>
      <c r="D354" s="717"/>
      <c r="E354" s="917">
        <f>E351*24</f>
        <v>48</v>
      </c>
      <c r="F354" s="940" t="s">
        <v>240</v>
      </c>
      <c r="G354" s="806">
        <v>190</v>
      </c>
      <c r="H354" s="796">
        <f t="shared" si="56"/>
        <v>9120</v>
      </c>
      <c r="I354" s="807"/>
      <c r="J354" s="796"/>
      <c r="K354" s="1030">
        <f t="shared" si="55"/>
        <v>9120</v>
      </c>
      <c r="L354" s="920"/>
      <c r="M354" s="729"/>
      <c r="N354" s="729"/>
      <c r="O354" s="729"/>
      <c r="P354" s="729"/>
    </row>
    <row r="355" spans="1:16" s="714" customFormat="1" ht="24" customHeight="1">
      <c r="A355" s="831" t="s">
        <v>1366</v>
      </c>
      <c r="B355" s="720" t="s">
        <v>1248</v>
      </c>
      <c r="C355" s="717"/>
      <c r="D355" s="717"/>
      <c r="E355" s="917"/>
      <c r="F355" s="941"/>
      <c r="G355" s="806"/>
      <c r="H355" s="918"/>
      <c r="I355" s="807"/>
      <c r="J355" s="919"/>
      <c r="K355" s="1030">
        <f t="shared" si="55"/>
        <v>0</v>
      </c>
      <c r="L355" s="920"/>
      <c r="M355" s="729"/>
      <c r="N355" s="729"/>
      <c r="O355" s="729"/>
      <c r="P355" s="729"/>
    </row>
    <row r="356" spans="1:16" s="714" customFormat="1" ht="24" customHeight="1">
      <c r="A356" s="831" t="s">
        <v>3099</v>
      </c>
      <c r="B356" s="720" t="s">
        <v>1378</v>
      </c>
      <c r="C356" s="717"/>
      <c r="D356" s="717"/>
      <c r="E356" s="917"/>
      <c r="F356" s="941"/>
      <c r="G356" s="806"/>
      <c r="H356" s="918"/>
      <c r="I356" s="807"/>
      <c r="J356" s="919"/>
      <c r="K356" s="1030">
        <f t="shared" si="55"/>
        <v>0</v>
      </c>
      <c r="L356" s="920"/>
      <c r="M356" s="729"/>
      <c r="N356" s="729"/>
      <c r="O356" s="729"/>
      <c r="P356" s="729"/>
    </row>
    <row r="357" spans="1:16" s="714" customFormat="1" ht="24" customHeight="1">
      <c r="A357" s="831"/>
      <c r="B357" s="720" t="s">
        <v>1385</v>
      </c>
      <c r="C357" s="717"/>
      <c r="D357" s="717"/>
      <c r="E357" s="917">
        <f>E348*50</f>
        <v>0</v>
      </c>
      <c r="F357" s="794" t="s">
        <v>438</v>
      </c>
      <c r="G357" s="806">
        <v>24</v>
      </c>
      <c r="H357" s="796">
        <f t="shared" ref="H357" si="58">ROUND(G357*E357,)</f>
        <v>0</v>
      </c>
      <c r="I357" s="807">
        <v>5</v>
      </c>
      <c r="J357" s="796">
        <f t="shared" ref="J357:J358" si="59">ROUND(E357*I357,)</f>
        <v>0</v>
      </c>
      <c r="K357" s="966">
        <f t="shared" si="55"/>
        <v>0</v>
      </c>
      <c r="L357" s="920"/>
      <c r="M357" s="729"/>
      <c r="N357" s="729"/>
      <c r="O357" s="729"/>
      <c r="P357" s="729"/>
    </row>
    <row r="358" spans="1:16" s="714" customFormat="1" ht="24" customHeight="1">
      <c r="A358" s="831"/>
      <c r="B358" s="720" t="s">
        <v>1338</v>
      </c>
      <c r="C358" s="717"/>
      <c r="D358" s="717"/>
      <c r="E358" s="917">
        <v>1</v>
      </c>
      <c r="F358" s="916" t="s">
        <v>948</v>
      </c>
      <c r="G358" s="806">
        <f>SUM(H356:H357)*5%</f>
        <v>0</v>
      </c>
      <c r="H358" s="796">
        <f t="shared" ref="H358" si="60">ROUND(E358*G358,)</f>
        <v>0</v>
      </c>
      <c r="I358" s="807">
        <f>G358*0.3</f>
        <v>0</v>
      </c>
      <c r="J358" s="796">
        <f t="shared" si="59"/>
        <v>0</v>
      </c>
      <c r="K358" s="966">
        <f t="shared" si="55"/>
        <v>0</v>
      </c>
      <c r="L358" s="920"/>
      <c r="M358" s="729"/>
      <c r="N358" s="729"/>
      <c r="O358" s="729"/>
      <c r="P358" s="729"/>
    </row>
    <row r="359" spans="1:16" s="714" customFormat="1" ht="24" customHeight="1">
      <c r="A359" s="831" t="s">
        <v>3024</v>
      </c>
      <c r="B359" s="720" t="s">
        <v>1357</v>
      </c>
      <c r="C359" s="717"/>
      <c r="D359" s="717"/>
      <c r="E359" s="917"/>
      <c r="F359" s="941"/>
      <c r="G359" s="806"/>
      <c r="H359" s="918"/>
      <c r="I359" s="807"/>
      <c r="J359" s="919"/>
      <c r="K359" s="966">
        <f t="shared" si="55"/>
        <v>0</v>
      </c>
      <c r="L359" s="920"/>
      <c r="M359" s="729"/>
      <c r="N359" s="729"/>
      <c r="O359" s="729"/>
      <c r="P359" s="729"/>
    </row>
    <row r="360" spans="1:16" s="714" customFormat="1" ht="24" customHeight="1">
      <c r="A360" s="831"/>
      <c r="B360" s="720" t="s">
        <v>1201</v>
      </c>
      <c r="C360" s="717"/>
      <c r="D360" s="717"/>
      <c r="E360" s="917">
        <f>E357-E363</f>
        <v>0</v>
      </c>
      <c r="F360" s="794" t="s">
        <v>438</v>
      </c>
      <c r="G360" s="806">
        <v>27</v>
      </c>
      <c r="H360" s="796">
        <f t="shared" ref="H360:H361" si="61">ROUND(G360*E360,)</f>
        <v>0</v>
      </c>
      <c r="I360" s="807">
        <v>22</v>
      </c>
      <c r="J360" s="796">
        <f t="shared" ref="J360:J361" si="62">ROUND(E360*I360,)</f>
        <v>0</v>
      </c>
      <c r="K360" s="966">
        <f t="shared" si="55"/>
        <v>0</v>
      </c>
      <c r="L360" s="1718" t="s">
        <v>2974</v>
      </c>
      <c r="M360" s="729"/>
      <c r="N360" s="714">
        <v>79.8</v>
      </c>
      <c r="O360" s="714">
        <f>ROUND(N360/3,)</f>
        <v>27</v>
      </c>
      <c r="P360" s="729"/>
    </row>
    <row r="361" spans="1:16" s="714" customFormat="1" ht="24" customHeight="1">
      <c r="A361" s="831"/>
      <c r="B361" s="720" t="s">
        <v>1237</v>
      </c>
      <c r="C361" s="717"/>
      <c r="D361" s="717"/>
      <c r="E361" s="917">
        <v>1</v>
      </c>
      <c r="F361" s="941" t="s">
        <v>948</v>
      </c>
      <c r="G361" s="806">
        <f>SUM(H360:H360)*15%</f>
        <v>0</v>
      </c>
      <c r="H361" s="796">
        <f t="shared" si="61"/>
        <v>0</v>
      </c>
      <c r="I361" s="807">
        <f>G361*0.3</f>
        <v>0</v>
      </c>
      <c r="J361" s="796">
        <f t="shared" si="62"/>
        <v>0</v>
      </c>
      <c r="K361" s="966">
        <f t="shared" si="55"/>
        <v>0</v>
      </c>
      <c r="L361" s="920"/>
      <c r="M361" s="729"/>
      <c r="N361" s="729"/>
      <c r="O361" s="729"/>
      <c r="P361" s="729"/>
    </row>
    <row r="362" spans="1:16" s="714" customFormat="1" ht="24" customHeight="1">
      <c r="A362" s="831" t="s">
        <v>1369</v>
      </c>
      <c r="B362" s="720" t="s">
        <v>950</v>
      </c>
      <c r="C362" s="717"/>
      <c r="D362" s="717"/>
      <c r="E362" s="917"/>
      <c r="F362" s="941"/>
      <c r="G362" s="806"/>
      <c r="H362" s="918"/>
      <c r="I362" s="807"/>
      <c r="J362" s="919"/>
      <c r="K362" s="966">
        <f t="shared" si="55"/>
        <v>0</v>
      </c>
      <c r="L362" s="920"/>
      <c r="M362" s="729"/>
      <c r="N362" s="729"/>
      <c r="O362" s="729"/>
      <c r="P362" s="729"/>
    </row>
    <row r="363" spans="1:16" s="714" customFormat="1" ht="24" customHeight="1">
      <c r="A363" s="831"/>
      <c r="B363" s="720" t="s">
        <v>1201</v>
      </c>
      <c r="C363" s="717"/>
      <c r="D363" s="717"/>
      <c r="E363" s="917">
        <f>E348*3</f>
        <v>0</v>
      </c>
      <c r="F363" s="794" t="s">
        <v>438</v>
      </c>
      <c r="G363" s="806">
        <v>56</v>
      </c>
      <c r="H363" s="796">
        <f t="shared" ref="H363:H364" si="63">ROUND(G363*E363,)</f>
        <v>0</v>
      </c>
      <c r="I363" s="807">
        <v>26</v>
      </c>
      <c r="J363" s="796">
        <f t="shared" ref="J363:J364" si="64">ROUND(E363*I363,)</f>
        <v>0</v>
      </c>
      <c r="K363" s="966">
        <f t="shared" si="55"/>
        <v>0</v>
      </c>
      <c r="L363" s="1718" t="s">
        <v>2974</v>
      </c>
      <c r="M363" s="729"/>
      <c r="N363" s="714">
        <v>169.2</v>
      </c>
      <c r="O363" s="714">
        <f>ROUND(N363/3,)</f>
        <v>56</v>
      </c>
      <c r="P363" s="729"/>
    </row>
    <row r="364" spans="1:16" s="714" customFormat="1" ht="24" customHeight="1">
      <c r="A364" s="831"/>
      <c r="B364" s="720" t="s">
        <v>1237</v>
      </c>
      <c r="C364" s="717"/>
      <c r="D364" s="717"/>
      <c r="E364" s="917">
        <v>1</v>
      </c>
      <c r="F364" s="941" t="s">
        <v>948</v>
      </c>
      <c r="G364" s="806">
        <f>SUM(H363:H363)*15%</f>
        <v>0</v>
      </c>
      <c r="H364" s="796">
        <f t="shared" si="63"/>
        <v>0</v>
      </c>
      <c r="I364" s="807">
        <f>G364*0.3</f>
        <v>0</v>
      </c>
      <c r="J364" s="796">
        <f t="shared" si="64"/>
        <v>0</v>
      </c>
      <c r="K364" s="1030">
        <f t="shared" si="55"/>
        <v>0</v>
      </c>
      <c r="L364" s="920"/>
      <c r="M364" s="729"/>
      <c r="N364" s="729"/>
      <c r="O364" s="729"/>
      <c r="P364" s="729"/>
    </row>
    <row r="365" spans="1:16" s="714" customFormat="1" ht="24" customHeight="1">
      <c r="A365" s="831"/>
      <c r="B365" s="720" t="s">
        <v>957</v>
      </c>
      <c r="C365" s="717"/>
      <c r="D365" s="717"/>
      <c r="E365" s="917"/>
      <c r="F365" s="941"/>
      <c r="G365" s="806"/>
      <c r="H365" s="918"/>
      <c r="I365" s="807"/>
      <c r="J365" s="919"/>
      <c r="K365" s="968"/>
      <c r="L365" s="919"/>
      <c r="M365" s="729"/>
      <c r="N365" s="729"/>
      <c r="O365" s="729"/>
      <c r="P365" s="729"/>
    </row>
    <row r="366" spans="1:16" s="714" customFormat="1" ht="24" customHeight="1">
      <c r="A366" s="921"/>
      <c r="B366" s="705" t="s">
        <v>1239</v>
      </c>
      <c r="C366" s="761"/>
      <c r="D366" s="761"/>
      <c r="E366" s="923"/>
      <c r="F366" s="1079"/>
      <c r="G366" s="925"/>
      <c r="H366" s="926"/>
      <c r="I366" s="927"/>
      <c r="J366" s="928"/>
      <c r="K366" s="1072"/>
      <c r="L366" s="928"/>
      <c r="M366" s="729"/>
      <c r="N366" s="729"/>
      <c r="O366" s="729"/>
      <c r="P366" s="729"/>
    </row>
    <row r="367" spans="1:16" s="714" customFormat="1" ht="24" customHeight="1">
      <c r="A367" s="921"/>
      <c r="B367" s="705" t="s">
        <v>1239</v>
      </c>
      <c r="C367" s="761"/>
      <c r="D367" s="761"/>
      <c r="E367" s="923"/>
      <c r="F367" s="924"/>
      <c r="G367" s="925"/>
      <c r="H367" s="926"/>
      <c r="I367" s="927"/>
      <c r="J367" s="928"/>
      <c r="K367" s="1072"/>
      <c r="L367" s="928"/>
      <c r="M367" s="729"/>
      <c r="N367" s="729"/>
      <c r="O367" s="729"/>
      <c r="P367" s="729"/>
    </row>
    <row r="368" spans="1:16" s="714" customFormat="1" ht="24" customHeight="1">
      <c r="A368" s="921"/>
      <c r="B368" s="705"/>
      <c r="C368" s="761"/>
      <c r="D368" s="761"/>
      <c r="E368" s="923"/>
      <c r="F368" s="1079"/>
      <c r="G368" s="925"/>
      <c r="H368" s="926"/>
      <c r="I368" s="925"/>
      <c r="J368" s="928"/>
      <c r="K368" s="1072"/>
      <c r="L368" s="928"/>
      <c r="M368" s="729"/>
      <c r="N368" s="729"/>
      <c r="O368" s="729"/>
      <c r="P368" s="729"/>
    </row>
    <row r="369" spans="1:16" s="714" customFormat="1" ht="24" customHeight="1">
      <c r="A369" s="921"/>
      <c r="B369" s="705"/>
      <c r="C369" s="809"/>
      <c r="D369" s="809"/>
      <c r="E369" s="869"/>
      <c r="F369" s="870"/>
      <c r="G369" s="871"/>
      <c r="H369" s="872"/>
      <c r="I369" s="873"/>
      <c r="J369" s="872"/>
      <c r="K369" s="1071"/>
      <c r="L369" s="1077"/>
      <c r="M369" s="729"/>
      <c r="N369" s="729"/>
      <c r="O369" s="729"/>
      <c r="P369" s="729"/>
    </row>
    <row r="370" spans="1:16" s="714" customFormat="1" ht="24" customHeight="1">
      <c r="A370" s="775"/>
      <c r="B370" s="2475" t="str">
        <f>"รวมราคารายการที่ "&amp;A347</f>
        <v>รวมราคารายการที่ 3.10</v>
      </c>
      <c r="C370" s="2476"/>
      <c r="D370" s="2477"/>
      <c r="E370" s="776"/>
      <c r="F370" s="777"/>
      <c r="G370" s="959"/>
      <c r="H370" s="960">
        <f>SUM(H348:H366)</f>
        <v>93760</v>
      </c>
      <c r="I370" s="959"/>
      <c r="J370" s="960">
        <f t="shared" ref="J370:K370" si="65">SUM(J348:J366)</f>
        <v>16600</v>
      </c>
      <c r="K370" s="960">
        <f t="shared" si="65"/>
        <v>110360</v>
      </c>
      <c r="L370" s="1006"/>
      <c r="M370" s="729"/>
      <c r="N370" s="729"/>
      <c r="O370" s="729"/>
      <c r="P370" s="729"/>
    </row>
    <row r="371" spans="1:16" s="714" customFormat="1" ht="24" customHeight="1">
      <c r="A371" s="911" t="s">
        <v>1180</v>
      </c>
      <c r="B371" s="816" t="s">
        <v>1257</v>
      </c>
      <c r="C371" s="770"/>
      <c r="D371" s="770"/>
      <c r="E371" s="930"/>
      <c r="F371" s="939"/>
      <c r="G371" s="932"/>
      <c r="H371" s="933"/>
      <c r="I371" s="934"/>
      <c r="J371" s="935"/>
      <c r="K371" s="1013"/>
      <c r="L371" s="935"/>
      <c r="M371" s="729"/>
      <c r="N371" s="729"/>
      <c r="O371" s="729"/>
      <c r="P371" s="729"/>
    </row>
    <row r="372" spans="1:16" s="714" customFormat="1" ht="24" customHeight="1">
      <c r="A372" s="856" t="s">
        <v>1082</v>
      </c>
      <c r="B372" s="720" t="s">
        <v>1341</v>
      </c>
      <c r="C372" s="717"/>
      <c r="D372" s="717"/>
      <c r="E372" s="917">
        <v>124</v>
      </c>
      <c r="F372" s="722" t="s">
        <v>240</v>
      </c>
      <c r="G372" s="806">
        <v>900</v>
      </c>
      <c r="H372" s="796">
        <f t="shared" ref="H372:H385" si="66">ROUND(G372*E372,)</f>
        <v>111600</v>
      </c>
      <c r="I372" s="807">
        <v>140</v>
      </c>
      <c r="J372" s="796">
        <f t="shared" ref="J372:J385" si="67">ROUND(E372*I372,)</f>
        <v>17360</v>
      </c>
      <c r="K372" s="1030">
        <f t="shared" ref="K372:K385" si="68">H372+J372</f>
        <v>128960</v>
      </c>
      <c r="L372" s="919"/>
      <c r="M372" s="729"/>
      <c r="N372" s="729"/>
      <c r="O372" s="729"/>
      <c r="P372" s="729"/>
    </row>
    <row r="373" spans="1:16" s="714" customFormat="1" ht="24" customHeight="1">
      <c r="A373" s="856" t="s">
        <v>1377</v>
      </c>
      <c r="B373" s="720" t="s">
        <v>1343</v>
      </c>
      <c r="C373" s="717"/>
      <c r="D373" s="717"/>
      <c r="E373" s="917">
        <v>2</v>
      </c>
      <c r="F373" s="722" t="s">
        <v>240</v>
      </c>
      <c r="G373" s="806">
        <v>3800</v>
      </c>
      <c r="H373" s="796">
        <f t="shared" si="66"/>
        <v>7600</v>
      </c>
      <c r="I373" s="807">
        <v>200</v>
      </c>
      <c r="J373" s="796">
        <f t="shared" si="67"/>
        <v>400</v>
      </c>
      <c r="K373" s="1030">
        <f t="shared" si="68"/>
        <v>8000</v>
      </c>
      <c r="L373" s="919"/>
      <c r="M373" s="729"/>
      <c r="N373" s="729"/>
      <c r="O373" s="729"/>
      <c r="P373" s="729"/>
    </row>
    <row r="374" spans="1:16" s="714" customFormat="1" ht="24" customHeight="1">
      <c r="A374" s="856" t="s">
        <v>1380</v>
      </c>
      <c r="B374" s="720" t="s">
        <v>1344</v>
      </c>
      <c r="C374" s="717"/>
      <c r="D374" s="717"/>
      <c r="E374" s="917">
        <v>2</v>
      </c>
      <c r="F374" s="722" t="s">
        <v>240</v>
      </c>
      <c r="G374" s="806">
        <v>5000</v>
      </c>
      <c r="H374" s="796">
        <f t="shared" si="66"/>
        <v>10000</v>
      </c>
      <c r="I374" s="807">
        <f>G374*0.1</f>
        <v>500</v>
      </c>
      <c r="J374" s="796">
        <f t="shared" si="67"/>
        <v>1000</v>
      </c>
      <c r="K374" s="1030">
        <f t="shared" si="68"/>
        <v>11000</v>
      </c>
      <c r="L374" s="919"/>
      <c r="M374" s="729"/>
      <c r="N374" s="729"/>
      <c r="O374" s="729"/>
      <c r="P374" s="729"/>
    </row>
    <row r="375" spans="1:16" s="714" customFormat="1" ht="24" customHeight="1">
      <c r="A375" s="856" t="s">
        <v>1210</v>
      </c>
      <c r="B375" s="720" t="s">
        <v>1159</v>
      </c>
      <c r="C375" s="717"/>
      <c r="D375" s="717"/>
      <c r="E375" s="917"/>
      <c r="F375" s="916"/>
      <c r="G375" s="806"/>
      <c r="H375" s="796">
        <f t="shared" si="66"/>
        <v>0</v>
      </c>
      <c r="I375" s="807"/>
      <c r="J375" s="796">
        <f t="shared" si="67"/>
        <v>0</v>
      </c>
      <c r="K375" s="1030">
        <f t="shared" si="68"/>
        <v>0</v>
      </c>
      <c r="L375" s="919"/>
      <c r="M375" s="729"/>
      <c r="N375" s="729"/>
      <c r="O375" s="729"/>
      <c r="P375" s="729"/>
    </row>
    <row r="376" spans="1:16" s="714" customFormat="1" ht="24" customHeight="1">
      <c r="A376" s="831"/>
      <c r="B376" s="800" t="s">
        <v>1430</v>
      </c>
      <c r="C376" s="757"/>
      <c r="D376" s="757"/>
      <c r="E376" s="917">
        <f>E372*30</f>
        <v>3720</v>
      </c>
      <c r="F376" s="794" t="s">
        <v>438</v>
      </c>
      <c r="G376" s="806">
        <v>32</v>
      </c>
      <c r="H376" s="796">
        <f t="shared" si="66"/>
        <v>119040</v>
      </c>
      <c r="I376" s="807">
        <v>11</v>
      </c>
      <c r="J376" s="796">
        <f t="shared" si="67"/>
        <v>40920</v>
      </c>
      <c r="K376" s="1030">
        <f t="shared" si="68"/>
        <v>159960</v>
      </c>
      <c r="L376" s="1718" t="s">
        <v>2974</v>
      </c>
      <c r="M376" s="729"/>
      <c r="N376" s="714">
        <v>3183</v>
      </c>
      <c r="O376" s="714">
        <f>ROUND(N376/100,)</f>
        <v>32</v>
      </c>
      <c r="P376" s="729"/>
    </row>
    <row r="377" spans="1:16" s="714" customFormat="1" ht="24" customHeight="1">
      <c r="A377" s="831"/>
      <c r="B377" s="800" t="s">
        <v>1431</v>
      </c>
      <c r="C377" s="757"/>
      <c r="D377" s="757"/>
      <c r="E377" s="917">
        <f>E372*10</f>
        <v>1240</v>
      </c>
      <c r="F377" s="794" t="s">
        <v>438</v>
      </c>
      <c r="G377" s="806">
        <v>40</v>
      </c>
      <c r="H377" s="796">
        <f t="shared" si="66"/>
        <v>49600</v>
      </c>
      <c r="I377" s="807">
        <v>12</v>
      </c>
      <c r="J377" s="796">
        <f t="shared" si="67"/>
        <v>14880</v>
      </c>
      <c r="K377" s="1030">
        <f t="shared" si="68"/>
        <v>64480</v>
      </c>
      <c r="L377" s="1718" t="s">
        <v>2974</v>
      </c>
      <c r="M377" s="729"/>
      <c r="N377" s="714">
        <v>4039</v>
      </c>
      <c r="O377" s="714">
        <f>ROUND(N377/100,)</f>
        <v>40</v>
      </c>
      <c r="P377" s="729"/>
    </row>
    <row r="378" spans="1:16" s="714" customFormat="1" ht="24" customHeight="1">
      <c r="A378" s="831"/>
      <c r="B378" s="720" t="s">
        <v>1338</v>
      </c>
      <c r="C378" s="717"/>
      <c r="D378" s="717"/>
      <c r="E378" s="917">
        <v>1</v>
      </c>
      <c r="F378" s="916" t="s">
        <v>948</v>
      </c>
      <c r="G378" s="806">
        <f>SUM(H375:H377)*5%</f>
        <v>8432</v>
      </c>
      <c r="H378" s="796">
        <f t="shared" ref="H378" si="69">ROUND(E378*G378,)</f>
        <v>8432</v>
      </c>
      <c r="I378" s="797">
        <f>ROUND(G378*0.3,)</f>
        <v>2530</v>
      </c>
      <c r="J378" s="796">
        <f t="shared" si="67"/>
        <v>2530</v>
      </c>
      <c r="K378" s="1030">
        <f t="shared" si="68"/>
        <v>10962</v>
      </c>
      <c r="L378" s="919"/>
      <c r="M378" s="729"/>
      <c r="N378" s="729"/>
      <c r="O378" s="729"/>
      <c r="P378" s="729"/>
    </row>
    <row r="379" spans="1:16" s="714" customFormat="1" ht="24" customHeight="1">
      <c r="A379" s="831"/>
      <c r="B379" s="720"/>
      <c r="C379" s="717"/>
      <c r="D379" s="717"/>
      <c r="E379" s="917"/>
      <c r="F379" s="916"/>
      <c r="G379" s="806"/>
      <c r="H379" s="796"/>
      <c r="I379" s="807"/>
      <c r="J379" s="796"/>
      <c r="K379" s="1030">
        <f t="shared" si="68"/>
        <v>0</v>
      </c>
      <c r="L379" s="919"/>
      <c r="M379" s="729"/>
      <c r="N379" s="729"/>
      <c r="O379" s="729"/>
      <c r="P379" s="729"/>
    </row>
    <row r="380" spans="1:16" s="714" customFormat="1" ht="24" customHeight="1">
      <c r="A380" s="856" t="s">
        <v>1212</v>
      </c>
      <c r="B380" s="720" t="s">
        <v>1357</v>
      </c>
      <c r="C380" s="717"/>
      <c r="D380" s="717"/>
      <c r="E380" s="917"/>
      <c r="F380" s="916"/>
      <c r="G380" s="806"/>
      <c r="H380" s="796">
        <f t="shared" si="66"/>
        <v>0</v>
      </c>
      <c r="I380" s="807"/>
      <c r="J380" s="796">
        <f t="shared" si="67"/>
        <v>0</v>
      </c>
      <c r="K380" s="966">
        <f t="shared" si="68"/>
        <v>0</v>
      </c>
      <c r="L380" s="919"/>
      <c r="M380" s="729"/>
      <c r="N380" s="729"/>
      <c r="O380" s="729"/>
      <c r="P380" s="729"/>
    </row>
    <row r="381" spans="1:16" s="714" customFormat="1" ht="24" customHeight="1">
      <c r="A381" s="831"/>
      <c r="B381" s="720" t="s">
        <v>1201</v>
      </c>
      <c r="C381" s="717"/>
      <c r="D381" s="717"/>
      <c r="E381" s="917">
        <v>4960</v>
      </c>
      <c r="F381" s="794" t="s">
        <v>438</v>
      </c>
      <c r="G381" s="806">
        <v>27</v>
      </c>
      <c r="H381" s="796">
        <f t="shared" si="66"/>
        <v>133920</v>
      </c>
      <c r="I381" s="807">
        <v>22</v>
      </c>
      <c r="J381" s="796">
        <f t="shared" si="67"/>
        <v>109120</v>
      </c>
      <c r="K381" s="966">
        <f t="shared" si="68"/>
        <v>243040</v>
      </c>
      <c r="L381" s="1718" t="s">
        <v>2974</v>
      </c>
      <c r="M381" s="729"/>
      <c r="N381" s="714">
        <v>79.8</v>
      </c>
      <c r="O381" s="714">
        <f>ROUND(N381/3,)</f>
        <v>27</v>
      </c>
      <c r="P381" s="729"/>
    </row>
    <row r="382" spans="1:16" s="714" customFormat="1" ht="24" customHeight="1">
      <c r="A382" s="831"/>
      <c r="B382" s="720" t="s">
        <v>1237</v>
      </c>
      <c r="C382" s="717"/>
      <c r="D382" s="717"/>
      <c r="E382" s="917">
        <v>1</v>
      </c>
      <c r="F382" s="941" t="s">
        <v>948</v>
      </c>
      <c r="G382" s="806">
        <f>SUM(H381:H381)*15%</f>
        <v>20088</v>
      </c>
      <c r="H382" s="796">
        <f t="shared" si="66"/>
        <v>20088</v>
      </c>
      <c r="I382" s="797">
        <f>ROUND(G382*0.3,)</f>
        <v>6026</v>
      </c>
      <c r="J382" s="796">
        <f t="shared" si="67"/>
        <v>6026</v>
      </c>
      <c r="K382" s="966">
        <f t="shared" si="68"/>
        <v>26114</v>
      </c>
      <c r="L382" s="919"/>
      <c r="M382" s="729"/>
      <c r="N382" s="729"/>
      <c r="O382" s="729"/>
      <c r="P382" s="729"/>
    </row>
    <row r="383" spans="1:16" s="714" customFormat="1" ht="24" customHeight="1">
      <c r="A383" s="831"/>
      <c r="B383" s="720"/>
      <c r="C383" s="717"/>
      <c r="D383" s="717"/>
      <c r="E383" s="917"/>
      <c r="F383" s="941"/>
      <c r="G383" s="806"/>
      <c r="H383" s="796"/>
      <c r="I383" s="807"/>
      <c r="J383" s="796"/>
      <c r="K383" s="966"/>
      <c r="L383" s="919"/>
      <c r="M383" s="729"/>
      <c r="N383" s="729"/>
      <c r="O383" s="729"/>
      <c r="P383" s="729"/>
    </row>
    <row r="384" spans="1:16" s="714" customFormat="1" ht="24" customHeight="1">
      <c r="A384" s="831" t="s">
        <v>1214</v>
      </c>
      <c r="B384" s="720" t="s">
        <v>1281</v>
      </c>
      <c r="C384" s="717"/>
      <c r="D384" s="717"/>
      <c r="E384" s="917"/>
      <c r="F384" s="916"/>
      <c r="G384" s="806"/>
      <c r="H384" s="796">
        <f t="shared" si="66"/>
        <v>0</v>
      </c>
      <c r="I384" s="807"/>
      <c r="J384" s="796">
        <f t="shared" si="67"/>
        <v>0</v>
      </c>
      <c r="K384" s="966">
        <f t="shared" si="68"/>
        <v>0</v>
      </c>
      <c r="L384" s="919"/>
      <c r="M384" s="729"/>
      <c r="N384" s="729"/>
      <c r="O384" s="729"/>
      <c r="P384" s="729"/>
    </row>
    <row r="385" spans="1:21" s="714" customFormat="1" ht="24" customHeight="1">
      <c r="A385" s="831"/>
      <c r="B385" s="720" t="s">
        <v>1201</v>
      </c>
      <c r="C385" s="717"/>
      <c r="D385" s="717"/>
      <c r="E385" s="917">
        <v>55</v>
      </c>
      <c r="F385" s="794" t="s">
        <v>438</v>
      </c>
      <c r="G385" s="806">
        <v>14</v>
      </c>
      <c r="H385" s="796">
        <f t="shared" si="66"/>
        <v>770</v>
      </c>
      <c r="I385" s="807">
        <v>11</v>
      </c>
      <c r="J385" s="796">
        <f t="shared" si="67"/>
        <v>605</v>
      </c>
      <c r="K385" s="966">
        <f t="shared" si="68"/>
        <v>1375</v>
      </c>
      <c r="L385" s="919"/>
      <c r="M385" s="729"/>
      <c r="N385" s="729"/>
      <c r="O385" s="729"/>
      <c r="P385" s="729"/>
    </row>
    <row r="386" spans="1:21" s="714" customFormat="1" ht="24" customHeight="1">
      <c r="A386" s="831"/>
      <c r="B386" s="720" t="s">
        <v>957</v>
      </c>
      <c r="C386" s="717"/>
      <c r="D386" s="717"/>
      <c r="E386" s="917"/>
      <c r="F386" s="916"/>
      <c r="G386" s="806"/>
      <c r="H386" s="918"/>
      <c r="I386" s="807"/>
      <c r="J386" s="919"/>
      <c r="K386" s="968"/>
      <c r="L386" s="919"/>
      <c r="M386" s="729"/>
      <c r="N386" s="729"/>
      <c r="O386" s="729"/>
      <c r="P386" s="729"/>
    </row>
    <row r="387" spans="1:21" s="714" customFormat="1" ht="24" customHeight="1">
      <c r="A387" s="775"/>
      <c r="B387" s="2475" t="str">
        <f>"รวมราคารายการที่ "&amp;A371</f>
        <v>รวมราคารายการที่ 3.11</v>
      </c>
      <c r="C387" s="2476"/>
      <c r="D387" s="2477"/>
      <c r="E387" s="776"/>
      <c r="F387" s="777"/>
      <c r="G387" s="959"/>
      <c r="H387" s="960">
        <f>SUM(H372:H386)</f>
        <v>461050</v>
      </c>
      <c r="I387" s="959"/>
      <c r="J387" s="960">
        <f>SUM(J372:J386)</f>
        <v>192841</v>
      </c>
      <c r="K387" s="960">
        <f>SUM(K372:K386)</f>
        <v>653891</v>
      </c>
      <c r="L387" s="1006"/>
      <c r="M387" s="729"/>
      <c r="N387" s="729"/>
      <c r="O387" s="729"/>
      <c r="P387" s="729"/>
    </row>
    <row r="388" spans="1:21" s="714" customFormat="1" ht="24" customHeight="1">
      <c r="A388" s="911" t="s">
        <v>1196</v>
      </c>
      <c r="B388" s="816" t="s">
        <v>1347</v>
      </c>
      <c r="C388" s="770"/>
      <c r="D388" s="770"/>
      <c r="E388" s="930"/>
      <c r="F388" s="931"/>
      <c r="G388" s="932"/>
      <c r="H388" s="933"/>
      <c r="I388" s="934"/>
      <c r="J388" s="935"/>
      <c r="K388" s="1013"/>
      <c r="L388" s="935"/>
      <c r="M388" s="729"/>
      <c r="N388" s="729"/>
      <c r="O388" s="729"/>
      <c r="P388" s="729"/>
    </row>
    <row r="389" spans="1:21" s="714" customFormat="1" ht="24" customHeight="1">
      <c r="A389" s="992" t="s">
        <v>1198</v>
      </c>
      <c r="B389" s="720" t="s">
        <v>3029</v>
      </c>
      <c r="C389" s="706"/>
      <c r="D389" s="990"/>
      <c r="E389" s="721"/>
      <c r="F389" s="722"/>
      <c r="G389" s="1402"/>
      <c r="H389" s="914"/>
      <c r="I389" s="807"/>
      <c r="J389" s="796"/>
      <c r="K389" s="797"/>
      <c r="L389" s="830"/>
      <c r="M389" s="729"/>
      <c r="N389" s="729"/>
      <c r="O389" s="729"/>
      <c r="P389" s="729"/>
      <c r="Q389" s="729"/>
      <c r="R389" s="729"/>
      <c r="S389" s="729"/>
      <c r="T389" s="729"/>
      <c r="U389" s="729"/>
    </row>
    <row r="390" spans="1:21" s="714" customFormat="1" ht="24" customHeight="1">
      <c r="A390" s="992"/>
      <c r="B390" s="720" t="s">
        <v>3022</v>
      </c>
      <c r="C390" s="706"/>
      <c r="D390" s="990"/>
      <c r="E390" s="721">
        <v>2</v>
      </c>
      <c r="F390" s="722" t="s">
        <v>240</v>
      </c>
      <c r="G390" s="994">
        <v>28700</v>
      </c>
      <c r="H390" s="864">
        <f>ROUND(E390*G390,)</f>
        <v>57400</v>
      </c>
      <c r="I390" s="865">
        <f>G390*0.01</f>
        <v>287</v>
      </c>
      <c r="J390" s="864">
        <f>ROUND(I390*E390,)</f>
        <v>574</v>
      </c>
      <c r="K390" s="865">
        <f>H390+J390</f>
        <v>57974</v>
      </c>
      <c r="L390" s="830"/>
      <c r="M390" s="729"/>
      <c r="N390" s="729"/>
      <c r="O390" s="729"/>
      <c r="P390" s="729"/>
      <c r="Q390" s="729"/>
      <c r="R390" s="729"/>
      <c r="S390" s="729"/>
      <c r="T390" s="729"/>
      <c r="U390" s="729"/>
    </row>
    <row r="391" spans="1:21" s="714" customFormat="1" ht="24" customHeight="1">
      <c r="A391" s="992"/>
      <c r="B391" s="720" t="s">
        <v>1616</v>
      </c>
      <c r="C391" s="706"/>
      <c r="D391" s="990"/>
      <c r="E391" s="721">
        <v>2</v>
      </c>
      <c r="F391" s="722" t="s">
        <v>240</v>
      </c>
      <c r="G391" s="994">
        <v>25000</v>
      </c>
      <c r="H391" s="864">
        <f>ROUND(E391*G391,)</f>
        <v>50000</v>
      </c>
      <c r="I391" s="865">
        <f>ROUND(G391*0.01,)</f>
        <v>250</v>
      </c>
      <c r="J391" s="864">
        <f>ROUND(I391*E391,)</f>
        <v>500</v>
      </c>
      <c r="K391" s="865">
        <f>H391+J391</f>
        <v>50500</v>
      </c>
      <c r="L391" s="830"/>
      <c r="M391" s="729"/>
      <c r="N391" s="729"/>
      <c r="O391" s="729"/>
      <c r="P391" s="729"/>
      <c r="Q391" s="729"/>
      <c r="R391" s="729"/>
      <c r="S391" s="729"/>
      <c r="T391" s="729"/>
      <c r="U391" s="729"/>
    </row>
    <row r="392" spans="1:21" s="714" customFormat="1" ht="24" customHeight="1">
      <c r="A392" s="993"/>
      <c r="B392" s="720" t="s">
        <v>1375</v>
      </c>
      <c r="C392" s="706"/>
      <c r="D392" s="990"/>
      <c r="E392" s="721">
        <v>48</v>
      </c>
      <c r="F392" s="722" t="s">
        <v>240</v>
      </c>
      <c r="G392" s="994">
        <v>400</v>
      </c>
      <c r="H392" s="864">
        <f>ROUND(E392*G392,)</f>
        <v>19200</v>
      </c>
      <c r="I392" s="865">
        <f>ROUND(G392*0.01,)</f>
        <v>4</v>
      </c>
      <c r="J392" s="864">
        <f>ROUND(I392*E392,)</f>
        <v>192</v>
      </c>
      <c r="K392" s="865">
        <f>H392+J392</f>
        <v>19392</v>
      </c>
      <c r="L392" s="830"/>
      <c r="M392" s="729"/>
      <c r="N392" s="729"/>
      <c r="O392" s="729"/>
      <c r="P392" s="729"/>
      <c r="Q392" s="729"/>
      <c r="R392" s="729"/>
      <c r="S392" s="729"/>
      <c r="T392" s="729"/>
      <c r="U392" s="729"/>
    </row>
    <row r="393" spans="1:21" s="714" customFormat="1" ht="24" customHeight="1">
      <c r="A393" s="993"/>
      <c r="B393" s="720" t="s">
        <v>3023</v>
      </c>
      <c r="C393" s="706"/>
      <c r="D393" s="990"/>
      <c r="E393" s="721"/>
      <c r="F393" s="722" t="s">
        <v>240</v>
      </c>
      <c r="G393" s="994"/>
      <c r="H393" s="914"/>
      <c r="I393" s="797"/>
      <c r="J393" s="796"/>
      <c r="K393" s="797"/>
      <c r="L393" s="830"/>
      <c r="M393" s="729"/>
      <c r="N393" s="729"/>
      <c r="O393" s="729"/>
      <c r="P393" s="729"/>
      <c r="Q393" s="729"/>
      <c r="R393" s="729"/>
      <c r="S393" s="729"/>
      <c r="T393" s="729"/>
      <c r="U393" s="729"/>
    </row>
    <row r="394" spans="1:21" s="714" customFormat="1" ht="24" customHeight="1">
      <c r="A394" s="1138"/>
      <c r="B394" s="720" t="s">
        <v>1618</v>
      </c>
      <c r="C394" s="706"/>
      <c r="D394" s="990"/>
      <c r="E394" s="721"/>
      <c r="F394" s="722" t="s">
        <v>240</v>
      </c>
      <c r="G394" s="994"/>
      <c r="H394" s="914"/>
      <c r="I394" s="797"/>
      <c r="J394" s="796"/>
      <c r="K394" s="797"/>
      <c r="L394" s="988"/>
      <c r="M394" s="729"/>
      <c r="N394" s="729"/>
      <c r="O394" s="729"/>
      <c r="P394" s="729"/>
      <c r="Q394" s="729"/>
      <c r="R394" s="729"/>
      <c r="S394" s="729"/>
      <c r="T394" s="729"/>
      <c r="U394" s="729"/>
    </row>
    <row r="395" spans="1:21" s="714" customFormat="1" ht="24" customHeight="1">
      <c r="A395" s="856" t="s">
        <v>1200</v>
      </c>
      <c r="B395" s="720" t="s">
        <v>1348</v>
      </c>
      <c r="C395" s="717"/>
      <c r="D395" s="717"/>
      <c r="E395" s="917"/>
      <c r="F395" s="916"/>
      <c r="G395" s="806"/>
      <c r="H395" s="918"/>
      <c r="I395" s="807"/>
      <c r="J395" s="919"/>
      <c r="K395" s="968"/>
      <c r="L395" s="919"/>
      <c r="M395" s="729"/>
      <c r="N395" s="729"/>
      <c r="O395" s="729"/>
      <c r="P395" s="729"/>
    </row>
    <row r="396" spans="1:21" s="714" customFormat="1" ht="24" customHeight="1">
      <c r="A396" s="831"/>
      <c r="B396" s="720" t="s">
        <v>1487</v>
      </c>
      <c r="C396" s="717"/>
      <c r="D396" s="717"/>
      <c r="E396" s="917">
        <v>2</v>
      </c>
      <c r="F396" s="722" t="s">
        <v>240</v>
      </c>
      <c r="G396" s="806">
        <f>(28000+6600+14500)*0.95</f>
        <v>46645</v>
      </c>
      <c r="H396" s="918">
        <f t="shared" ref="H396:H401" si="70">ROUND(E396*G396,)</f>
        <v>93290</v>
      </c>
      <c r="I396" s="807">
        <v>5000</v>
      </c>
      <c r="J396" s="919">
        <f>ROUND(E396*I396,)</f>
        <v>10000</v>
      </c>
      <c r="K396" s="1030">
        <f t="shared" ref="K396:K407" si="71">H396+J396</f>
        <v>103290</v>
      </c>
      <c r="L396" s="919"/>
      <c r="M396" s="729"/>
      <c r="N396" s="729"/>
      <c r="O396" s="729"/>
      <c r="P396" s="729"/>
    </row>
    <row r="397" spans="1:21" s="714" customFormat="1" ht="24" customHeight="1">
      <c r="A397" s="831"/>
      <c r="B397" s="720" t="s">
        <v>1350</v>
      </c>
      <c r="C397" s="717"/>
      <c r="D397" s="717"/>
      <c r="E397" s="917">
        <v>2</v>
      </c>
      <c r="F397" s="722" t="s">
        <v>240</v>
      </c>
      <c r="G397" s="806">
        <f>22500*0.95</f>
        <v>21375</v>
      </c>
      <c r="H397" s="918">
        <f t="shared" si="70"/>
        <v>42750</v>
      </c>
      <c r="I397" s="807" t="s">
        <v>1351</v>
      </c>
      <c r="J397" s="919"/>
      <c r="K397" s="1030">
        <f t="shared" si="71"/>
        <v>42750</v>
      </c>
      <c r="L397" s="919"/>
      <c r="M397" s="729"/>
      <c r="N397" s="729"/>
      <c r="O397" s="729"/>
      <c r="P397" s="729"/>
    </row>
    <row r="398" spans="1:21" s="714" customFormat="1" ht="24" customHeight="1">
      <c r="A398" s="831"/>
      <c r="B398" s="720" t="s">
        <v>1352</v>
      </c>
      <c r="C398" s="717"/>
      <c r="D398" s="717"/>
      <c r="E398" s="917">
        <v>4</v>
      </c>
      <c r="F398" s="722" t="s">
        <v>240</v>
      </c>
      <c r="G398" s="806">
        <f>9500*0.95</f>
        <v>9025</v>
      </c>
      <c r="H398" s="918">
        <f t="shared" si="70"/>
        <v>36100</v>
      </c>
      <c r="I398" s="807" t="s">
        <v>1351</v>
      </c>
      <c r="J398" s="919"/>
      <c r="K398" s="1030">
        <f t="shared" si="71"/>
        <v>36100</v>
      </c>
      <c r="L398" s="919"/>
      <c r="M398" s="729"/>
      <c r="N398" s="729"/>
      <c r="O398" s="729"/>
      <c r="P398" s="729"/>
    </row>
    <row r="399" spans="1:21" s="714" customFormat="1" ht="24" customHeight="1">
      <c r="A399" s="831"/>
      <c r="B399" s="720" t="s">
        <v>1353</v>
      </c>
      <c r="C399" s="717"/>
      <c r="D399" s="717"/>
      <c r="E399" s="917">
        <v>2</v>
      </c>
      <c r="F399" s="722" t="s">
        <v>240</v>
      </c>
      <c r="G399" s="806">
        <f>2100*0.95</f>
        <v>1995</v>
      </c>
      <c r="H399" s="918">
        <f t="shared" si="70"/>
        <v>3990</v>
      </c>
      <c r="I399" s="807" t="s">
        <v>1351</v>
      </c>
      <c r="J399" s="919"/>
      <c r="K399" s="1030">
        <f t="shared" si="71"/>
        <v>3990</v>
      </c>
      <c r="L399" s="919"/>
      <c r="M399" s="729"/>
      <c r="N399" s="729"/>
      <c r="O399" s="729"/>
      <c r="P399" s="729"/>
    </row>
    <row r="400" spans="1:21" s="714" customFormat="1" ht="24" customHeight="1">
      <c r="A400" s="831"/>
      <c r="B400" s="720" t="s">
        <v>1354</v>
      </c>
      <c r="C400" s="717"/>
      <c r="D400" s="717"/>
      <c r="E400" s="917">
        <v>2</v>
      </c>
      <c r="F400" s="722" t="s">
        <v>240</v>
      </c>
      <c r="G400" s="806">
        <f>450*0.95</f>
        <v>427.5</v>
      </c>
      <c r="H400" s="918">
        <f t="shared" si="70"/>
        <v>855</v>
      </c>
      <c r="I400" s="807" t="s">
        <v>1351</v>
      </c>
      <c r="J400" s="919"/>
      <c r="K400" s="1030">
        <f t="shared" si="71"/>
        <v>855</v>
      </c>
      <c r="L400" s="919"/>
      <c r="M400" s="729"/>
      <c r="N400" s="729"/>
      <c r="O400" s="729"/>
      <c r="P400" s="729"/>
    </row>
    <row r="401" spans="1:21" s="714" customFormat="1" ht="24" customHeight="1">
      <c r="A401" s="831"/>
      <c r="B401" s="720" t="s">
        <v>1355</v>
      </c>
      <c r="C401" s="717"/>
      <c r="D401" s="717"/>
      <c r="E401" s="917">
        <v>2</v>
      </c>
      <c r="F401" s="722" t="s">
        <v>240</v>
      </c>
      <c r="G401" s="806">
        <f>850*0.95</f>
        <v>807.5</v>
      </c>
      <c r="H401" s="918">
        <f t="shared" si="70"/>
        <v>1615</v>
      </c>
      <c r="I401" s="807" t="s">
        <v>1351</v>
      </c>
      <c r="J401" s="919"/>
      <c r="K401" s="1030">
        <f t="shared" si="71"/>
        <v>1615</v>
      </c>
      <c r="L401" s="919"/>
      <c r="M401" s="729"/>
      <c r="N401" s="729"/>
      <c r="O401" s="729"/>
      <c r="P401" s="729"/>
    </row>
    <row r="402" spans="1:21" s="714" customFormat="1" ht="24" customHeight="1">
      <c r="A402" s="856" t="s">
        <v>1440</v>
      </c>
      <c r="B402" s="720" t="s">
        <v>1159</v>
      </c>
      <c r="C402" s="717"/>
      <c r="D402" s="717"/>
      <c r="E402" s="917"/>
      <c r="F402" s="916"/>
      <c r="G402" s="806"/>
      <c r="H402" s="918"/>
      <c r="I402" s="807"/>
      <c r="J402" s="919"/>
      <c r="K402" s="1030">
        <f t="shared" si="71"/>
        <v>0</v>
      </c>
      <c r="L402" s="919"/>
      <c r="M402" s="729"/>
      <c r="N402" s="729"/>
      <c r="O402" s="729"/>
      <c r="P402" s="729"/>
    </row>
    <row r="403" spans="1:21" s="714" customFormat="1" ht="24" customHeight="1">
      <c r="A403" s="831"/>
      <c r="B403" s="720" t="s">
        <v>1356</v>
      </c>
      <c r="C403" s="717"/>
      <c r="D403" s="717"/>
      <c r="E403" s="917">
        <f>E396*30</f>
        <v>60</v>
      </c>
      <c r="F403" s="794" t="s">
        <v>438</v>
      </c>
      <c r="G403" s="806">
        <v>37</v>
      </c>
      <c r="H403" s="918">
        <f>ROUND(E403*G403,)</f>
        <v>2220</v>
      </c>
      <c r="I403" s="807">
        <v>5</v>
      </c>
      <c r="J403" s="919">
        <f>ROUND(E403*I403,)</f>
        <v>300</v>
      </c>
      <c r="K403" s="1030">
        <f t="shared" si="71"/>
        <v>2520</v>
      </c>
      <c r="L403" s="919"/>
      <c r="M403" s="729"/>
      <c r="N403" s="729"/>
      <c r="O403" s="729"/>
      <c r="P403" s="729"/>
    </row>
    <row r="404" spans="1:21" s="714" customFormat="1" ht="24" customHeight="1">
      <c r="A404" s="831"/>
      <c r="B404" s="720" t="s">
        <v>1338</v>
      </c>
      <c r="C404" s="717"/>
      <c r="D404" s="717"/>
      <c r="E404" s="917">
        <v>1</v>
      </c>
      <c r="F404" s="916" t="s">
        <v>948</v>
      </c>
      <c r="G404" s="806">
        <f>SUM(H403)*5%</f>
        <v>111</v>
      </c>
      <c r="H404" s="796">
        <f t="shared" ref="H404" si="72">ROUND(E404*G404,)</f>
        <v>111</v>
      </c>
      <c r="I404" s="797">
        <f>ROUND(G404*0.3,)</f>
        <v>33</v>
      </c>
      <c r="J404" s="796">
        <f t="shared" ref="J404" si="73">ROUND(E404*I404,)</f>
        <v>33</v>
      </c>
      <c r="K404" s="1030">
        <f t="shared" si="71"/>
        <v>144</v>
      </c>
      <c r="L404" s="919"/>
      <c r="M404" s="729"/>
      <c r="N404" s="729"/>
      <c r="O404" s="729"/>
      <c r="P404" s="729"/>
    </row>
    <row r="405" spans="1:21" s="714" customFormat="1" ht="24" customHeight="1">
      <c r="A405" s="856" t="s">
        <v>2984</v>
      </c>
      <c r="B405" s="720" t="s">
        <v>1357</v>
      </c>
      <c r="C405" s="717"/>
      <c r="D405" s="717"/>
      <c r="E405" s="917"/>
      <c r="F405" s="916"/>
      <c r="G405" s="806"/>
      <c r="H405" s="918"/>
      <c r="I405" s="807"/>
      <c r="J405" s="919"/>
      <c r="K405" s="1030">
        <f t="shared" si="71"/>
        <v>0</v>
      </c>
      <c r="L405" s="919"/>
      <c r="M405" s="729"/>
      <c r="N405" s="729"/>
      <c r="O405" s="729"/>
      <c r="P405" s="729"/>
    </row>
    <row r="406" spans="1:21" s="714" customFormat="1" ht="24" customHeight="1">
      <c r="A406" s="831"/>
      <c r="B406" s="720" t="s">
        <v>1201</v>
      </c>
      <c r="C406" s="717"/>
      <c r="D406" s="717"/>
      <c r="E406" s="917">
        <f>E403</f>
        <v>60</v>
      </c>
      <c r="F406" s="794" t="s">
        <v>438</v>
      </c>
      <c r="G406" s="806">
        <v>27</v>
      </c>
      <c r="H406" s="796">
        <f t="shared" ref="H406:H407" si="74">ROUND(G406*E406,)</f>
        <v>1620</v>
      </c>
      <c r="I406" s="807">
        <v>22</v>
      </c>
      <c r="J406" s="796">
        <f>ROUND(E406*I406,)</f>
        <v>1320</v>
      </c>
      <c r="K406" s="1030">
        <f t="shared" si="71"/>
        <v>2940</v>
      </c>
      <c r="L406" s="1718" t="s">
        <v>2974</v>
      </c>
      <c r="M406" s="729"/>
      <c r="N406" s="714">
        <v>79.8</v>
      </c>
      <c r="O406" s="714">
        <f>ROUND(N406/3,)</f>
        <v>27</v>
      </c>
      <c r="P406" s="729"/>
    </row>
    <row r="407" spans="1:21" s="714" customFormat="1" ht="24" customHeight="1">
      <c r="A407" s="831"/>
      <c r="B407" s="720" t="s">
        <v>1237</v>
      </c>
      <c r="C407" s="717"/>
      <c r="D407" s="717"/>
      <c r="E407" s="917">
        <v>1</v>
      </c>
      <c r="F407" s="916" t="s">
        <v>948</v>
      </c>
      <c r="G407" s="806">
        <f>H406*15%</f>
        <v>243</v>
      </c>
      <c r="H407" s="796">
        <f t="shared" si="74"/>
        <v>243</v>
      </c>
      <c r="I407" s="797">
        <f>ROUND(G407*0.3,)</f>
        <v>73</v>
      </c>
      <c r="J407" s="796">
        <f t="shared" ref="J407" si="75">ROUND(E407*I407,)</f>
        <v>73</v>
      </c>
      <c r="K407" s="1030">
        <f t="shared" si="71"/>
        <v>316</v>
      </c>
      <c r="L407" s="919"/>
      <c r="M407" s="729"/>
      <c r="N407" s="729"/>
      <c r="O407" s="729"/>
      <c r="P407" s="729"/>
    </row>
    <row r="408" spans="1:21" s="714" customFormat="1" ht="24" customHeight="1">
      <c r="A408" s="831"/>
      <c r="B408" s="720" t="s">
        <v>957</v>
      </c>
      <c r="C408" s="717"/>
      <c r="D408" s="717"/>
      <c r="E408" s="917"/>
      <c r="F408" s="916"/>
      <c r="G408" s="806"/>
      <c r="H408" s="918"/>
      <c r="I408" s="807"/>
      <c r="J408" s="919"/>
      <c r="K408" s="968"/>
      <c r="L408" s="919"/>
      <c r="M408" s="729"/>
      <c r="N408" s="729"/>
      <c r="O408" s="729"/>
      <c r="P408" s="729"/>
    </row>
    <row r="409" spans="1:21" s="714" customFormat="1" ht="24" customHeight="1">
      <c r="A409" s="831"/>
      <c r="B409" s="720"/>
      <c r="C409" s="717"/>
      <c r="D409" s="717"/>
      <c r="E409" s="917"/>
      <c r="F409" s="916"/>
      <c r="G409" s="806"/>
      <c r="H409" s="918"/>
      <c r="I409" s="807"/>
      <c r="J409" s="919"/>
      <c r="K409" s="968"/>
      <c r="L409" s="919"/>
      <c r="M409" s="729"/>
      <c r="N409" s="729"/>
      <c r="O409" s="729"/>
      <c r="P409" s="729"/>
    </row>
    <row r="410" spans="1:21" s="714" customFormat="1" ht="24" customHeight="1">
      <c r="A410" s="831"/>
      <c r="B410" s="720" t="s">
        <v>958</v>
      </c>
      <c r="C410" s="717"/>
      <c r="D410" s="717"/>
      <c r="E410" s="917"/>
      <c r="F410" s="916"/>
      <c r="G410" s="806"/>
      <c r="H410" s="918"/>
      <c r="I410" s="807"/>
      <c r="J410" s="919"/>
      <c r="K410" s="968"/>
      <c r="L410" s="919"/>
      <c r="M410" s="729"/>
      <c r="N410" s="729"/>
      <c r="O410" s="729"/>
      <c r="P410" s="729"/>
    </row>
    <row r="411" spans="1:21" s="714" customFormat="1" ht="24" customHeight="1">
      <c r="A411" s="775"/>
      <c r="B411" s="2475" t="str">
        <f>"รวมราคารายการที่ "&amp;A388</f>
        <v>รวมราคารายการที่ 3.12</v>
      </c>
      <c r="C411" s="2476"/>
      <c r="D411" s="2477"/>
      <c r="E411" s="776"/>
      <c r="F411" s="777"/>
      <c r="G411" s="959"/>
      <c r="H411" s="960">
        <f>SUM(H388:H410)</f>
        <v>309394</v>
      </c>
      <c r="I411" s="959"/>
      <c r="J411" s="960">
        <f t="shared" ref="J411:K411" si="76">SUM(J388:J410)</f>
        <v>12992</v>
      </c>
      <c r="K411" s="960">
        <f t="shared" si="76"/>
        <v>322386</v>
      </c>
      <c r="L411" s="1006"/>
    </row>
    <row r="412" spans="1:21" s="714" customFormat="1" ht="21.3">
      <c r="A412" s="899" t="s">
        <v>1202</v>
      </c>
      <c r="B412" s="900" t="s">
        <v>1358</v>
      </c>
      <c r="C412" s="943"/>
      <c r="D412" s="943"/>
      <c r="E412" s="944"/>
      <c r="F412" s="978"/>
      <c r="G412" s="774"/>
      <c r="H412" s="773"/>
      <c r="I412" s="946"/>
      <c r="J412" s="947"/>
      <c r="K412" s="1019"/>
      <c r="L412" s="947"/>
    </row>
    <row r="413" spans="1:21" s="714" customFormat="1" ht="24" customHeight="1">
      <c r="A413" s="992" t="s">
        <v>1204</v>
      </c>
      <c r="B413" s="720" t="s">
        <v>3029</v>
      </c>
      <c r="C413" s="706"/>
      <c r="D413" s="990"/>
      <c r="E413" s="721"/>
      <c r="F413" s="722"/>
      <c r="G413" s="1402"/>
      <c r="H413" s="914"/>
      <c r="I413" s="807"/>
      <c r="J413" s="796"/>
      <c r="K413" s="797"/>
      <c r="L413" s="830"/>
      <c r="M413" s="729"/>
      <c r="N413" s="729"/>
      <c r="O413" s="729"/>
      <c r="P413" s="729"/>
      <c r="Q413" s="729"/>
      <c r="R413" s="729"/>
      <c r="S413" s="729"/>
      <c r="T413" s="729"/>
      <c r="U413" s="729"/>
    </row>
    <row r="414" spans="1:21" s="714" customFormat="1" ht="24" customHeight="1">
      <c r="A414" s="992"/>
      <c r="B414" s="720" t="s">
        <v>3022</v>
      </c>
      <c r="C414" s="706"/>
      <c r="D414" s="990"/>
      <c r="E414" s="721">
        <v>2</v>
      </c>
      <c r="F414" s="722" t="s">
        <v>240</v>
      </c>
      <c r="G414" s="994">
        <v>28700</v>
      </c>
      <c r="H414" s="864">
        <f>ROUND(E414*G414,)</f>
        <v>57400</v>
      </c>
      <c r="I414" s="865">
        <f>G414*0.01</f>
        <v>287</v>
      </c>
      <c r="J414" s="864">
        <f>ROUND(I414*E414,)</f>
        <v>574</v>
      </c>
      <c r="K414" s="865">
        <f>H414+J414</f>
        <v>57974</v>
      </c>
      <c r="L414" s="830"/>
      <c r="M414" s="729"/>
      <c r="N414" s="729"/>
      <c r="O414" s="729"/>
      <c r="P414" s="729"/>
      <c r="Q414" s="729"/>
      <c r="R414" s="729"/>
      <c r="S414" s="729"/>
      <c r="T414" s="729"/>
      <c r="U414" s="729"/>
    </row>
    <row r="415" spans="1:21" s="714" customFormat="1" ht="24" customHeight="1">
      <c r="A415" s="992"/>
      <c r="B415" s="720" t="s">
        <v>1616</v>
      </c>
      <c r="C415" s="706"/>
      <c r="D415" s="990"/>
      <c r="E415" s="721">
        <v>2</v>
      </c>
      <c r="F415" s="722" t="s">
        <v>240</v>
      </c>
      <c r="G415" s="994">
        <v>25000</v>
      </c>
      <c r="H415" s="864">
        <f>ROUND(E415*G415,)</f>
        <v>50000</v>
      </c>
      <c r="I415" s="865">
        <f>ROUND(G415*0.01,)</f>
        <v>250</v>
      </c>
      <c r="J415" s="864">
        <f>ROUND(I415*E415,)</f>
        <v>500</v>
      </c>
      <c r="K415" s="865">
        <f>H415+J415</f>
        <v>50500</v>
      </c>
      <c r="L415" s="830"/>
      <c r="M415" s="729"/>
      <c r="N415" s="729"/>
      <c r="O415" s="729"/>
      <c r="P415" s="729"/>
      <c r="Q415" s="729"/>
      <c r="R415" s="729"/>
      <c r="S415" s="729"/>
      <c r="T415" s="729"/>
      <c r="U415" s="729"/>
    </row>
    <row r="416" spans="1:21" s="714" customFormat="1" ht="24" customHeight="1">
      <c r="A416" s="993"/>
      <c r="B416" s="720" t="s">
        <v>1375</v>
      </c>
      <c r="C416" s="706"/>
      <c r="D416" s="990"/>
      <c r="E416" s="721">
        <v>48</v>
      </c>
      <c r="F416" s="722" t="s">
        <v>240</v>
      </c>
      <c r="G416" s="994">
        <v>400</v>
      </c>
      <c r="H416" s="864">
        <f>ROUND(E416*G416,)</f>
        <v>19200</v>
      </c>
      <c r="I416" s="865">
        <f>ROUND(G416*0.01,)</f>
        <v>4</v>
      </c>
      <c r="J416" s="864">
        <f>ROUND(I416*E416,)</f>
        <v>192</v>
      </c>
      <c r="K416" s="865">
        <f>H416+J416</f>
        <v>19392</v>
      </c>
      <c r="L416" s="830"/>
      <c r="M416" s="729"/>
      <c r="N416" s="729"/>
      <c r="O416" s="729"/>
      <c r="P416" s="729"/>
      <c r="Q416" s="729"/>
      <c r="R416" s="729"/>
      <c r="S416" s="729"/>
      <c r="T416" s="729"/>
      <c r="U416" s="729"/>
    </row>
    <row r="417" spans="1:21" s="714" customFormat="1" ht="24" customHeight="1">
      <c r="A417" s="993"/>
      <c r="B417" s="720" t="s">
        <v>3023</v>
      </c>
      <c r="C417" s="706"/>
      <c r="D417" s="990"/>
      <c r="E417" s="721"/>
      <c r="F417" s="722" t="s">
        <v>240</v>
      </c>
      <c r="G417" s="994"/>
      <c r="H417" s="914"/>
      <c r="I417" s="797"/>
      <c r="J417" s="796"/>
      <c r="K417" s="797"/>
      <c r="L417" s="830"/>
      <c r="M417" s="729"/>
      <c r="N417" s="729"/>
      <c r="O417" s="729"/>
      <c r="P417" s="729"/>
      <c r="Q417" s="729"/>
      <c r="R417" s="729"/>
      <c r="S417" s="729"/>
      <c r="T417" s="729"/>
      <c r="U417" s="729"/>
    </row>
    <row r="418" spans="1:21" s="714" customFormat="1" ht="24" customHeight="1">
      <c r="A418" s="1138"/>
      <c r="B418" s="720" t="s">
        <v>1618</v>
      </c>
      <c r="C418" s="706"/>
      <c r="D418" s="990"/>
      <c r="E418" s="721"/>
      <c r="F418" s="722" t="s">
        <v>240</v>
      </c>
      <c r="G418" s="994"/>
      <c r="H418" s="914"/>
      <c r="I418" s="797"/>
      <c r="J418" s="796"/>
      <c r="K418" s="797"/>
      <c r="L418" s="988"/>
      <c r="M418" s="729"/>
      <c r="N418" s="729"/>
      <c r="O418" s="729"/>
      <c r="P418" s="729"/>
      <c r="Q418" s="729"/>
      <c r="R418" s="729"/>
      <c r="S418" s="729"/>
      <c r="T418" s="729"/>
      <c r="U418" s="729"/>
    </row>
    <row r="419" spans="1:21" s="714" customFormat="1" ht="21.3">
      <c r="A419" s="976" t="s">
        <v>1206</v>
      </c>
      <c r="B419" s="800" t="s">
        <v>1359</v>
      </c>
      <c r="C419" s="757"/>
      <c r="D419" s="757"/>
      <c r="E419" s="979"/>
      <c r="F419" s="980"/>
      <c r="G419" s="981"/>
      <c r="H419" s="982"/>
      <c r="I419" s="983"/>
      <c r="J419" s="982"/>
      <c r="K419" s="1021"/>
      <c r="L419" s="973"/>
    </row>
    <row r="420" spans="1:21" s="714" customFormat="1" ht="21.3">
      <c r="A420" s="861"/>
      <c r="B420" s="800" t="s">
        <v>1509</v>
      </c>
      <c r="C420" s="757"/>
      <c r="D420" s="757"/>
      <c r="E420" s="942">
        <v>1</v>
      </c>
      <c r="F420" s="803" t="s">
        <v>240</v>
      </c>
      <c r="G420" s="752">
        <f>40590+10000+33400</f>
        <v>83990</v>
      </c>
      <c r="H420" s="751">
        <f t="shared" ref="H420:H421" si="77">ROUND(E420*G420,)</f>
        <v>83990</v>
      </c>
      <c r="I420" s="949">
        <f>G420*0.1</f>
        <v>8399</v>
      </c>
      <c r="J420" s="973">
        <f>ROUND(E420*I420,)</f>
        <v>8399</v>
      </c>
      <c r="K420" s="1030">
        <f t="shared" ref="K420:K432" si="78">H420+J420</f>
        <v>92389</v>
      </c>
      <c r="L420" s="973"/>
    </row>
    <row r="421" spans="1:21" s="714" customFormat="1" ht="21.3">
      <c r="A421" s="861"/>
      <c r="B421" s="800" t="s">
        <v>1510</v>
      </c>
      <c r="C421" s="757"/>
      <c r="D421" s="757"/>
      <c r="E421" s="942">
        <v>1</v>
      </c>
      <c r="F421" s="803" t="s">
        <v>240</v>
      </c>
      <c r="G421" s="752">
        <v>228010</v>
      </c>
      <c r="H421" s="751">
        <f t="shared" si="77"/>
        <v>228010</v>
      </c>
      <c r="I421" s="949">
        <f t="shared" ref="I421" si="79">G421*0.1</f>
        <v>22801</v>
      </c>
      <c r="J421" s="973">
        <f t="shared" ref="J421" si="80">ROUND(E421*I421,)</f>
        <v>22801</v>
      </c>
      <c r="K421" s="1030">
        <f t="shared" si="78"/>
        <v>250811</v>
      </c>
      <c r="L421" s="973"/>
    </row>
    <row r="422" spans="1:21" s="714" customFormat="1" ht="21.3">
      <c r="A422" s="976" t="s">
        <v>1208</v>
      </c>
      <c r="B422" s="800" t="s">
        <v>1363</v>
      </c>
      <c r="C422" s="757"/>
      <c r="D422" s="757"/>
      <c r="E422" s="979"/>
      <c r="F422" s="980"/>
      <c r="G422" s="981"/>
      <c r="H422" s="982"/>
      <c r="I422" s="983"/>
      <c r="J422" s="982"/>
      <c r="K422" s="1030">
        <f t="shared" si="78"/>
        <v>0</v>
      </c>
      <c r="L422" s="973"/>
    </row>
    <row r="423" spans="1:21" s="714" customFormat="1" ht="21.3">
      <c r="A423" s="861"/>
      <c r="B423" s="800" t="s">
        <v>1511</v>
      </c>
      <c r="C423" s="757"/>
      <c r="D423" s="757"/>
      <c r="E423" s="942">
        <v>5</v>
      </c>
      <c r="F423" s="803" t="s">
        <v>240</v>
      </c>
      <c r="G423" s="752">
        <v>3500</v>
      </c>
      <c r="H423" s="751">
        <f t="shared" ref="H423:H424" si="81">ROUND(E423*G423,)</f>
        <v>17500</v>
      </c>
      <c r="I423" s="949">
        <f t="shared" ref="I423:I424" si="82">G423*0.1</f>
        <v>350</v>
      </c>
      <c r="J423" s="973">
        <f t="shared" ref="J423:J424" si="83">ROUND(E423*I423,)</f>
        <v>1750</v>
      </c>
      <c r="K423" s="1030">
        <f t="shared" si="78"/>
        <v>19250</v>
      </c>
      <c r="L423" s="973"/>
    </row>
    <row r="424" spans="1:21" s="714" customFormat="1" ht="21.3">
      <c r="A424" s="861"/>
      <c r="B424" s="800" t="s">
        <v>1512</v>
      </c>
      <c r="C424" s="757"/>
      <c r="D424" s="757"/>
      <c r="E424" s="942">
        <v>5</v>
      </c>
      <c r="F424" s="803" t="s">
        <v>240</v>
      </c>
      <c r="G424" s="752">
        <v>3500</v>
      </c>
      <c r="H424" s="751">
        <f t="shared" si="81"/>
        <v>17500</v>
      </c>
      <c r="I424" s="949">
        <f t="shared" si="82"/>
        <v>350</v>
      </c>
      <c r="J424" s="973">
        <f t="shared" si="83"/>
        <v>1750</v>
      </c>
      <c r="K424" s="1030">
        <f t="shared" si="78"/>
        <v>19250</v>
      </c>
      <c r="L424" s="973"/>
    </row>
    <row r="425" spans="1:21">
      <c r="A425" s="976" t="s">
        <v>3057</v>
      </c>
      <c r="B425" s="800" t="s">
        <v>1159</v>
      </c>
      <c r="C425" s="757"/>
      <c r="D425" s="757"/>
      <c r="E425" s="942"/>
      <c r="F425" s="948"/>
      <c r="G425" s="752"/>
      <c r="H425" s="751"/>
      <c r="I425" s="949"/>
      <c r="J425" s="973"/>
      <c r="K425" s="1030">
        <f t="shared" si="78"/>
        <v>0</v>
      </c>
      <c r="L425" s="973"/>
    </row>
    <row r="426" spans="1:21">
      <c r="A426" s="861"/>
      <c r="B426" s="800" t="s">
        <v>1367</v>
      </c>
      <c r="C426" s="757"/>
      <c r="D426" s="757"/>
      <c r="E426" s="942">
        <v>440</v>
      </c>
      <c r="F426" s="867" t="s">
        <v>438</v>
      </c>
      <c r="G426" s="752">
        <v>103</v>
      </c>
      <c r="H426" s="751">
        <f>ROUND(E426*G426,)</f>
        <v>45320</v>
      </c>
      <c r="I426" s="949">
        <v>21</v>
      </c>
      <c r="J426" s="973">
        <f>ROUND(E426*I426,)</f>
        <v>9240</v>
      </c>
      <c r="K426" s="1030">
        <f t="shared" si="78"/>
        <v>54560</v>
      </c>
      <c r="L426" s="973"/>
    </row>
    <row r="427" spans="1:21">
      <c r="A427" s="861"/>
      <c r="B427" s="800" t="s">
        <v>1368</v>
      </c>
      <c r="C427" s="757"/>
      <c r="D427" s="757"/>
      <c r="E427" s="942">
        <v>20</v>
      </c>
      <c r="F427" s="867" t="s">
        <v>438</v>
      </c>
      <c r="G427" s="752">
        <v>139</v>
      </c>
      <c r="H427" s="751">
        <f>ROUND(E427*G427,)</f>
        <v>2780</v>
      </c>
      <c r="I427" s="949">
        <v>21</v>
      </c>
      <c r="J427" s="973">
        <f>ROUND(E427*I427,)</f>
        <v>420</v>
      </c>
      <c r="K427" s="1030">
        <f t="shared" si="78"/>
        <v>3200</v>
      </c>
      <c r="L427" s="973"/>
    </row>
    <row r="428" spans="1:21">
      <c r="A428" s="861"/>
      <c r="B428" s="800" t="s">
        <v>1338</v>
      </c>
      <c r="C428" s="757"/>
      <c r="D428" s="757"/>
      <c r="E428" s="942">
        <v>1</v>
      </c>
      <c r="F428" s="948" t="s">
        <v>948</v>
      </c>
      <c r="G428" s="752">
        <f>SUM(H426:H427)*5%</f>
        <v>2405</v>
      </c>
      <c r="H428" s="864">
        <f>ROUND(E428*G428,)</f>
        <v>2405</v>
      </c>
      <c r="I428" s="797">
        <f>ROUND(G428*0.3,)</f>
        <v>722</v>
      </c>
      <c r="J428" s="864">
        <f>ROUND(E428*I428,)</f>
        <v>722</v>
      </c>
      <c r="K428" s="1030">
        <f t="shared" si="78"/>
        <v>3127</v>
      </c>
      <c r="L428" s="973"/>
    </row>
    <row r="429" spans="1:21">
      <c r="A429" s="861"/>
      <c r="B429" s="800"/>
      <c r="C429" s="757"/>
      <c r="D429" s="757"/>
      <c r="E429" s="942"/>
      <c r="F429" s="948"/>
      <c r="G429" s="752"/>
      <c r="H429" s="864"/>
      <c r="I429" s="797"/>
      <c r="J429" s="864"/>
      <c r="K429" s="1030"/>
      <c r="L429" s="973"/>
    </row>
    <row r="430" spans="1:21">
      <c r="A430" s="861" t="s">
        <v>3058</v>
      </c>
      <c r="B430" s="800" t="s">
        <v>1252</v>
      </c>
      <c r="C430" s="757"/>
      <c r="D430" s="757"/>
      <c r="E430" s="942"/>
      <c r="F430" s="948"/>
      <c r="G430" s="752"/>
      <c r="H430" s="864"/>
      <c r="I430" s="949"/>
      <c r="J430" s="864"/>
      <c r="K430" s="1030">
        <f t="shared" si="78"/>
        <v>0</v>
      </c>
      <c r="L430" s="985"/>
    </row>
    <row r="431" spans="1:21">
      <c r="A431" s="861"/>
      <c r="B431" s="800" t="s">
        <v>1193</v>
      </c>
      <c r="C431" s="757"/>
      <c r="D431" s="757"/>
      <c r="E431" s="942">
        <v>262</v>
      </c>
      <c r="F431" s="867" t="s">
        <v>438</v>
      </c>
      <c r="G431" s="752">
        <v>316</v>
      </c>
      <c r="H431" s="864">
        <f>ROUND(E431*G431,)</f>
        <v>82792</v>
      </c>
      <c r="I431" s="949">
        <v>50</v>
      </c>
      <c r="J431" s="864">
        <f>ROUND(E431*I431,)</f>
        <v>13100</v>
      </c>
      <c r="K431" s="1030">
        <f t="shared" si="78"/>
        <v>95892</v>
      </c>
      <c r="L431" s="985"/>
    </row>
    <row r="432" spans="1:21">
      <c r="A432" s="861"/>
      <c r="B432" s="800" t="s">
        <v>1237</v>
      </c>
      <c r="C432" s="757"/>
      <c r="D432" s="757"/>
      <c r="E432" s="942">
        <v>1</v>
      </c>
      <c r="F432" s="948" t="s">
        <v>948</v>
      </c>
      <c r="G432" s="752">
        <f>ROUND(SUM(H431)*15%,)</f>
        <v>12419</v>
      </c>
      <c r="H432" s="864">
        <f>ROUND(G432*E432,)</f>
        <v>12419</v>
      </c>
      <c r="I432" s="797">
        <f>ROUND(G432*0.3,)</f>
        <v>3726</v>
      </c>
      <c r="J432" s="864">
        <f>ROUND(E432*I432,)</f>
        <v>3726</v>
      </c>
      <c r="K432" s="1030">
        <f t="shared" si="78"/>
        <v>16145</v>
      </c>
      <c r="L432" s="985"/>
    </row>
    <row r="433" spans="1:21">
      <c r="A433" s="889"/>
      <c r="B433" s="756" t="s">
        <v>957</v>
      </c>
      <c r="C433" s="974"/>
      <c r="D433" s="974"/>
      <c r="E433" s="1040"/>
      <c r="F433" s="1041"/>
      <c r="G433" s="766"/>
      <c r="H433" s="765"/>
      <c r="I433" s="975"/>
      <c r="J433" s="1042"/>
      <c r="K433" s="1080"/>
      <c r="L433" s="1042"/>
    </row>
    <row r="434" spans="1:21" s="714" customFormat="1" ht="24" customHeight="1">
      <c r="A434" s="995"/>
      <c r="B434" s="800" t="s">
        <v>1428</v>
      </c>
      <c r="C434" s="706"/>
      <c r="D434" s="990"/>
      <c r="E434" s="721"/>
      <c r="F434" s="722"/>
      <c r="G434" s="795"/>
      <c r="H434" s="796"/>
      <c r="I434" s="1039"/>
      <c r="J434" s="796"/>
      <c r="K434" s="1014"/>
      <c r="L434" s="1024"/>
      <c r="M434" s="729"/>
      <c r="N434" s="729"/>
      <c r="O434" s="729"/>
      <c r="P434" s="729"/>
      <c r="Q434" s="729"/>
      <c r="R434" s="729"/>
      <c r="S434" s="729"/>
      <c r="T434" s="729"/>
      <c r="U434" s="729"/>
    </row>
    <row r="435" spans="1:21" s="714" customFormat="1" ht="24" customHeight="1">
      <c r="A435" s="995"/>
      <c r="B435" s="800" t="s">
        <v>1428</v>
      </c>
      <c r="C435" s="706"/>
      <c r="D435" s="990"/>
      <c r="E435" s="721"/>
      <c r="F435" s="722"/>
      <c r="G435" s="795"/>
      <c r="H435" s="796"/>
      <c r="I435" s="1039"/>
      <c r="J435" s="796"/>
      <c r="K435" s="1014"/>
      <c r="L435" s="1024"/>
      <c r="M435" s="729"/>
      <c r="N435" s="729"/>
      <c r="O435" s="729"/>
      <c r="P435" s="729"/>
      <c r="Q435" s="729"/>
      <c r="R435" s="729"/>
      <c r="S435" s="729"/>
      <c r="T435" s="729"/>
      <c r="U435" s="729"/>
    </row>
    <row r="436" spans="1:21" s="714" customFormat="1" ht="24" customHeight="1">
      <c r="A436" s="995"/>
      <c r="B436" s="800"/>
      <c r="C436" s="706"/>
      <c r="D436" s="990"/>
      <c r="E436" s="721"/>
      <c r="F436" s="722"/>
      <c r="G436" s="795"/>
      <c r="H436" s="796"/>
      <c r="I436" s="1039"/>
      <c r="J436" s="796"/>
      <c r="K436" s="1014"/>
      <c r="L436" s="1024"/>
      <c r="M436" s="729"/>
      <c r="N436" s="729"/>
      <c r="O436" s="729"/>
      <c r="P436" s="729"/>
      <c r="Q436" s="729"/>
      <c r="R436" s="729"/>
      <c r="S436" s="729"/>
      <c r="T436" s="729"/>
      <c r="U436" s="729"/>
    </row>
    <row r="437" spans="1:21" s="714" customFormat="1" ht="24" customHeight="1">
      <c r="A437" s="995"/>
      <c r="B437" s="800"/>
      <c r="C437" s="706"/>
      <c r="D437" s="990"/>
      <c r="E437" s="721"/>
      <c r="F437" s="722"/>
      <c r="G437" s="795"/>
      <c r="H437" s="796"/>
      <c r="I437" s="1039"/>
      <c r="J437" s="796"/>
      <c r="K437" s="1014"/>
      <c r="L437" s="1024"/>
      <c r="M437" s="729"/>
      <c r="N437" s="729"/>
      <c r="O437" s="729"/>
      <c r="P437" s="729"/>
      <c r="Q437" s="729"/>
      <c r="R437" s="729"/>
      <c r="S437" s="729"/>
      <c r="T437" s="729"/>
      <c r="U437" s="729"/>
    </row>
    <row r="438" spans="1:21" s="714" customFormat="1" ht="24" customHeight="1">
      <c r="A438" s="995"/>
      <c r="B438" s="800"/>
      <c r="C438" s="706"/>
      <c r="D438" s="990"/>
      <c r="E438" s="721"/>
      <c r="F438" s="722"/>
      <c r="G438" s="795"/>
      <c r="H438" s="796"/>
      <c r="I438" s="1039"/>
      <c r="J438" s="796"/>
      <c r="K438" s="1014"/>
      <c r="L438" s="1024"/>
      <c r="M438" s="729"/>
      <c r="N438" s="729"/>
      <c r="O438" s="729"/>
      <c r="P438" s="729"/>
      <c r="Q438" s="729"/>
      <c r="R438" s="729"/>
      <c r="S438" s="729"/>
      <c r="T438" s="729"/>
      <c r="U438" s="729"/>
    </row>
    <row r="439" spans="1:21" s="714" customFormat="1" ht="24" customHeight="1">
      <c r="A439" s="995"/>
      <c r="B439" s="800"/>
      <c r="C439" s="706"/>
      <c r="D439" s="990"/>
      <c r="E439" s="721"/>
      <c r="F439" s="722"/>
      <c r="G439" s="795"/>
      <c r="H439" s="796"/>
      <c r="I439" s="1039"/>
      <c r="J439" s="796"/>
      <c r="K439" s="1014"/>
      <c r="L439" s="1024"/>
      <c r="M439" s="729"/>
      <c r="N439" s="729"/>
      <c r="O439" s="729"/>
      <c r="P439" s="729"/>
      <c r="Q439" s="729"/>
      <c r="R439" s="729"/>
      <c r="S439" s="729"/>
      <c r="T439" s="729"/>
      <c r="U439" s="729"/>
    </row>
    <row r="440" spans="1:21" s="714" customFormat="1" ht="24" customHeight="1">
      <c r="A440" s="995"/>
      <c r="B440" s="800"/>
      <c r="C440" s="706"/>
      <c r="D440" s="990"/>
      <c r="E440" s="721"/>
      <c r="F440" s="722"/>
      <c r="G440" s="795"/>
      <c r="H440" s="796"/>
      <c r="I440" s="1039"/>
      <c r="J440" s="796"/>
      <c r="K440" s="1014"/>
      <c r="L440" s="1024"/>
      <c r="M440" s="729"/>
      <c r="N440" s="729"/>
      <c r="O440" s="729"/>
      <c r="P440" s="729"/>
      <c r="Q440" s="729"/>
      <c r="R440" s="729"/>
      <c r="S440" s="729"/>
      <c r="T440" s="729"/>
      <c r="U440" s="729"/>
    </row>
    <row r="441" spans="1:21" s="714" customFormat="1" ht="24" customHeight="1">
      <c r="A441" s="995"/>
      <c r="B441" s="720"/>
      <c r="C441" s="706"/>
      <c r="D441" s="990"/>
      <c r="E441" s="721"/>
      <c r="F441" s="722"/>
      <c r="G441" s="795"/>
      <c r="H441" s="796"/>
      <c r="I441" s="1039"/>
      <c r="J441" s="796"/>
      <c r="K441" s="1014"/>
      <c r="L441" s="1024"/>
      <c r="M441" s="729"/>
      <c r="N441" s="729"/>
      <c r="O441" s="729"/>
      <c r="P441" s="729"/>
      <c r="Q441" s="729"/>
      <c r="R441" s="729"/>
      <c r="S441" s="729"/>
      <c r="T441" s="729"/>
      <c r="U441" s="729"/>
    </row>
    <row r="442" spans="1:21">
      <c r="A442" s="775"/>
      <c r="B442" s="2475" t="str">
        <f>"รวมราคารายการที่ "&amp;A412</f>
        <v>รวมราคารายการที่ 3.13</v>
      </c>
      <c r="C442" s="2476"/>
      <c r="D442" s="2477"/>
      <c r="E442" s="776"/>
      <c r="F442" s="777"/>
      <c r="G442" s="959"/>
      <c r="H442" s="960">
        <f>SUM(H412:H433)</f>
        <v>619316</v>
      </c>
      <c r="I442" s="959"/>
      <c r="J442" s="960">
        <f>SUM(J412:J433)</f>
        <v>63174</v>
      </c>
      <c r="K442" s="960">
        <f>SUM(K412:K433)</f>
        <v>682490</v>
      </c>
      <c r="L442" s="1006"/>
    </row>
    <row r="443" spans="1:21" s="714" customFormat="1" ht="24" customHeight="1">
      <c r="A443" s="986" t="s">
        <v>1224</v>
      </c>
      <c r="B443" s="816" t="s">
        <v>1370</v>
      </c>
      <c r="C443" s="987"/>
      <c r="D443" s="707"/>
      <c r="E443" s="708"/>
      <c r="F443" s="709"/>
      <c r="G443" s="853"/>
      <c r="H443" s="854"/>
      <c r="I443" s="855"/>
      <c r="J443" s="854"/>
      <c r="K443" s="1007"/>
      <c r="L443" s="1023"/>
      <c r="M443" s="729"/>
      <c r="N443" s="729"/>
      <c r="O443" s="729"/>
      <c r="P443" s="729"/>
      <c r="Q443" s="729"/>
      <c r="R443" s="729"/>
      <c r="S443" s="729"/>
      <c r="T443" s="729"/>
      <c r="U443" s="729"/>
    </row>
    <row r="444" spans="1:21" s="714" customFormat="1" ht="24" customHeight="1">
      <c r="A444" s="989" t="s">
        <v>1226</v>
      </c>
      <c r="B444" s="720" t="s">
        <v>1438</v>
      </c>
      <c r="C444" s="706"/>
      <c r="D444" s="990"/>
      <c r="E444" s="991">
        <v>2</v>
      </c>
      <c r="F444" s="803" t="s">
        <v>240</v>
      </c>
      <c r="G444" s="858">
        <v>3200</v>
      </c>
      <c r="H444" s="864">
        <f>ROUND(E444*G444,)</f>
        <v>6400</v>
      </c>
      <c r="I444" s="865">
        <v>150</v>
      </c>
      <c r="J444" s="864">
        <f>ROUND(I444*E444,)</f>
        <v>300</v>
      </c>
      <c r="K444" s="1030">
        <f t="shared" ref="K444:K451" si="84">H444+J444</f>
        <v>6700</v>
      </c>
      <c r="L444" s="1024"/>
      <c r="M444" s="729"/>
      <c r="N444" s="729"/>
      <c r="O444" s="729"/>
      <c r="P444" s="729"/>
      <c r="Q444" s="729"/>
      <c r="R444" s="729"/>
      <c r="S444" s="729"/>
      <c r="T444" s="729"/>
      <c r="U444" s="729"/>
    </row>
    <row r="445" spans="1:21" s="714" customFormat="1" ht="24" customHeight="1">
      <c r="A445" s="992" t="s">
        <v>1228</v>
      </c>
      <c r="B445" s="720" t="s">
        <v>1439</v>
      </c>
      <c r="C445" s="706"/>
      <c r="D445" s="990"/>
      <c r="E445" s="991">
        <v>2</v>
      </c>
      <c r="F445" s="803" t="s">
        <v>240</v>
      </c>
      <c r="G445" s="858">
        <v>2640</v>
      </c>
      <c r="H445" s="864">
        <f>ROUND(E445*G445,)</f>
        <v>5280</v>
      </c>
      <c r="I445" s="865">
        <v>150</v>
      </c>
      <c r="J445" s="864">
        <f>ROUND(I445*E445,)</f>
        <v>300</v>
      </c>
      <c r="K445" s="1030">
        <f t="shared" si="84"/>
        <v>5580</v>
      </c>
      <c r="L445" s="1024"/>
      <c r="M445" s="729"/>
      <c r="N445" s="729"/>
      <c r="O445" s="729"/>
      <c r="P445" s="729"/>
      <c r="Q445" s="729"/>
      <c r="R445" s="729"/>
      <c r="S445" s="729"/>
      <c r="T445" s="729"/>
      <c r="U445" s="729"/>
    </row>
    <row r="446" spans="1:21" s="714" customFormat="1" ht="24" customHeight="1">
      <c r="A446" s="992"/>
      <c r="B446" s="720"/>
      <c r="C446" s="706"/>
      <c r="D446" s="990"/>
      <c r="E446" s="991"/>
      <c r="F446" s="803"/>
      <c r="G446" s="858"/>
      <c r="H446" s="864"/>
      <c r="I446" s="865"/>
      <c r="J446" s="864"/>
      <c r="K446" s="1030"/>
      <c r="L446" s="1024"/>
      <c r="M446" s="729"/>
      <c r="N446" s="729"/>
      <c r="O446" s="729"/>
      <c r="P446" s="729"/>
      <c r="Q446" s="729"/>
      <c r="R446" s="729"/>
      <c r="S446" s="729"/>
      <c r="T446" s="729"/>
      <c r="U446" s="729"/>
    </row>
    <row r="447" spans="1:21" s="714" customFormat="1" ht="24" customHeight="1">
      <c r="A447" s="992" t="s">
        <v>1230</v>
      </c>
      <c r="B447" s="720" t="s">
        <v>1441</v>
      </c>
      <c r="C447" s="706"/>
      <c r="D447" s="990"/>
      <c r="E447" s="721"/>
      <c r="F447" s="722"/>
      <c r="G447" s="795"/>
      <c r="H447" s="796"/>
      <c r="I447" s="797"/>
      <c r="J447" s="796"/>
      <c r="K447" s="966">
        <f t="shared" si="84"/>
        <v>0</v>
      </c>
      <c r="L447" s="1024"/>
      <c r="M447" s="729"/>
      <c r="N447" s="729"/>
      <c r="O447" s="729"/>
      <c r="P447" s="729"/>
      <c r="Q447" s="729"/>
      <c r="R447" s="729"/>
      <c r="S447" s="729"/>
      <c r="T447" s="729"/>
      <c r="U447" s="729"/>
    </row>
    <row r="448" spans="1:21" s="714" customFormat="1" ht="24" customHeight="1">
      <c r="A448" s="995"/>
      <c r="B448" s="800" t="s">
        <v>1442</v>
      </c>
      <c r="C448" s="706"/>
      <c r="D448" s="990"/>
      <c r="E448" s="721">
        <v>650</v>
      </c>
      <c r="F448" s="722" t="s">
        <v>438</v>
      </c>
      <c r="G448" s="858">
        <v>10</v>
      </c>
      <c r="H448" s="796">
        <f>ROUND(E448*G448,)</f>
        <v>6500</v>
      </c>
      <c r="I448" s="797">
        <v>5</v>
      </c>
      <c r="J448" s="796">
        <f>ROUND(I448*E448,)</f>
        <v>3250</v>
      </c>
      <c r="K448" s="966">
        <f t="shared" si="84"/>
        <v>9750</v>
      </c>
      <c r="L448" s="1024"/>
      <c r="M448" s="729"/>
      <c r="N448" s="729"/>
      <c r="O448" s="729"/>
      <c r="P448" s="729"/>
      <c r="Q448" s="729"/>
      <c r="R448" s="729"/>
      <c r="S448" s="729"/>
      <c r="T448" s="729"/>
      <c r="U448" s="729"/>
    </row>
    <row r="449" spans="1:21" s="714" customFormat="1" ht="24" customHeight="1">
      <c r="A449" s="992" t="s">
        <v>1234</v>
      </c>
      <c r="B449" s="720" t="s">
        <v>950</v>
      </c>
      <c r="C449" s="706"/>
      <c r="D449" s="990"/>
      <c r="E449" s="721"/>
      <c r="F449" s="722"/>
      <c r="G449" s="795"/>
      <c r="H449" s="796"/>
      <c r="I449" s="797"/>
      <c r="J449" s="796"/>
      <c r="K449" s="966">
        <f t="shared" si="84"/>
        <v>0</v>
      </c>
      <c r="L449" s="1024"/>
      <c r="M449" s="729"/>
      <c r="N449" s="729"/>
      <c r="O449" s="729"/>
      <c r="P449" s="729"/>
      <c r="Q449" s="729"/>
      <c r="R449" s="729"/>
      <c r="S449" s="729"/>
      <c r="T449" s="729"/>
      <c r="U449" s="729"/>
    </row>
    <row r="450" spans="1:21" s="714" customFormat="1" ht="24" customHeight="1">
      <c r="A450" s="996"/>
      <c r="B450" s="720" t="s">
        <v>1201</v>
      </c>
      <c r="C450" s="706"/>
      <c r="D450" s="990"/>
      <c r="E450" s="917">
        <f>E448</f>
        <v>650</v>
      </c>
      <c r="F450" s="794" t="s">
        <v>438</v>
      </c>
      <c r="G450" s="806">
        <v>56</v>
      </c>
      <c r="H450" s="796">
        <f>ROUND(E450*G450,)</f>
        <v>36400</v>
      </c>
      <c r="I450" s="807">
        <v>26</v>
      </c>
      <c r="J450" s="796">
        <f t="shared" ref="J450" si="85">ROUND(E450*I450,)</f>
        <v>16900</v>
      </c>
      <c r="K450" s="966">
        <f t="shared" si="84"/>
        <v>53300</v>
      </c>
      <c r="L450" s="1718" t="s">
        <v>2974</v>
      </c>
      <c r="M450" s="729"/>
      <c r="N450" s="714">
        <v>169.2</v>
      </c>
      <c r="O450" s="714">
        <f>ROUND(N450/3,)</f>
        <v>56</v>
      </c>
      <c r="P450" s="729"/>
      <c r="Q450" s="729"/>
      <c r="R450" s="729"/>
      <c r="S450" s="729"/>
      <c r="T450" s="729"/>
      <c r="U450" s="729"/>
    </row>
    <row r="451" spans="1:21" s="714" customFormat="1" ht="24" customHeight="1">
      <c r="A451" s="996"/>
      <c r="B451" s="720" t="s">
        <v>1237</v>
      </c>
      <c r="C451" s="706"/>
      <c r="D451" s="990"/>
      <c r="E451" s="721">
        <v>1</v>
      </c>
      <c r="F451" s="722" t="s">
        <v>948</v>
      </c>
      <c r="G451" s="795">
        <f>SUM(H449:H450)*15%</f>
        <v>5460</v>
      </c>
      <c r="H451" s="796">
        <f>ROUND(E451*G451,)</f>
        <v>5460</v>
      </c>
      <c r="I451" s="797">
        <f>ROUND(G451*0.3,)</f>
        <v>1638</v>
      </c>
      <c r="J451" s="796">
        <f>ROUND(I451*E451,)</f>
        <v>1638</v>
      </c>
      <c r="K451" s="966">
        <f t="shared" si="84"/>
        <v>7098</v>
      </c>
      <c r="L451" s="1024"/>
      <c r="M451" s="729"/>
      <c r="N451" s="729"/>
      <c r="O451" s="729"/>
      <c r="P451" s="729"/>
      <c r="Q451" s="729"/>
      <c r="R451" s="729"/>
      <c r="S451" s="729"/>
      <c r="T451" s="729"/>
      <c r="U451" s="729"/>
    </row>
    <row r="452" spans="1:21" s="714" customFormat="1" ht="24" customHeight="1">
      <c r="A452" s="992" t="s">
        <v>1236</v>
      </c>
      <c r="B452" s="720" t="s">
        <v>1238</v>
      </c>
      <c r="C452" s="706"/>
      <c r="D452" s="990"/>
      <c r="E452" s="991"/>
      <c r="F452" s="803" t="s">
        <v>948</v>
      </c>
      <c r="G452" s="858"/>
      <c r="H452" s="864"/>
      <c r="I452" s="865"/>
      <c r="J452" s="864"/>
      <c r="K452" s="1030"/>
      <c r="L452" s="1024"/>
      <c r="M452" s="729"/>
      <c r="N452" s="729"/>
      <c r="O452" s="729"/>
      <c r="P452" s="729"/>
      <c r="Q452" s="729"/>
      <c r="R452" s="729"/>
      <c r="S452" s="729"/>
      <c r="T452" s="729"/>
      <c r="U452" s="729"/>
    </row>
    <row r="453" spans="1:21" s="714" customFormat="1" ht="24" customHeight="1">
      <c r="A453" s="992"/>
      <c r="B453" s="720" t="s">
        <v>957</v>
      </c>
      <c r="C453" s="706"/>
      <c r="D453" s="990"/>
      <c r="E453" s="991"/>
      <c r="F453" s="803"/>
      <c r="G453" s="858"/>
      <c r="H453" s="864"/>
      <c r="I453" s="865"/>
      <c r="J453" s="864"/>
      <c r="K453" s="1030"/>
      <c r="L453" s="1024"/>
      <c r="M453" s="729"/>
      <c r="N453" s="729"/>
      <c r="O453" s="729"/>
      <c r="P453" s="729"/>
      <c r="Q453" s="729"/>
      <c r="R453" s="729"/>
      <c r="S453" s="729"/>
      <c r="T453" s="729"/>
      <c r="U453" s="729"/>
    </row>
    <row r="454" spans="1:21" s="714" customFormat="1" ht="24" customHeight="1">
      <c r="A454" s="992"/>
      <c r="B454" s="720" t="s">
        <v>958</v>
      </c>
      <c r="C454" s="706"/>
      <c r="D454" s="990"/>
      <c r="E454" s="721"/>
      <c r="F454" s="722"/>
      <c r="G454" s="795"/>
      <c r="H454" s="796"/>
      <c r="I454" s="797"/>
      <c r="J454" s="796"/>
      <c r="K454" s="966"/>
      <c r="L454" s="1024"/>
      <c r="M454" s="729"/>
      <c r="N454" s="729"/>
      <c r="O454" s="729"/>
      <c r="P454" s="729"/>
      <c r="Q454" s="729"/>
      <c r="R454" s="729"/>
    </row>
    <row r="455" spans="1:21" s="714" customFormat="1" ht="24" customHeight="1">
      <c r="A455" s="995"/>
      <c r="B455" s="800"/>
      <c r="C455" s="706"/>
      <c r="D455" s="990"/>
      <c r="E455" s="721"/>
      <c r="F455" s="722"/>
      <c r="G455" s="858"/>
      <c r="H455" s="796"/>
      <c r="I455" s="797"/>
      <c r="J455" s="796"/>
      <c r="K455" s="966"/>
      <c r="L455" s="1024"/>
      <c r="M455" s="729"/>
      <c r="N455" s="729"/>
      <c r="O455" s="729"/>
      <c r="P455" s="729"/>
      <c r="Q455" s="729"/>
      <c r="R455" s="729"/>
    </row>
    <row r="456" spans="1:21" s="714" customFormat="1" ht="24" customHeight="1">
      <c r="A456" s="992"/>
      <c r="B456" s="720"/>
      <c r="C456" s="706"/>
      <c r="D456" s="990"/>
      <c r="E456" s="721"/>
      <c r="F456" s="722"/>
      <c r="G456" s="795"/>
      <c r="H456" s="796"/>
      <c r="I456" s="797"/>
      <c r="J456" s="796"/>
      <c r="K456" s="966"/>
      <c r="L456" s="1024"/>
      <c r="M456" s="729"/>
      <c r="N456" s="729"/>
      <c r="O456" s="729"/>
      <c r="P456" s="729"/>
      <c r="Q456" s="729"/>
      <c r="R456" s="729"/>
    </row>
    <row r="457" spans="1:21" s="714" customFormat="1" ht="24" customHeight="1">
      <c r="A457" s="996"/>
      <c r="B457" s="720"/>
      <c r="C457" s="706"/>
      <c r="D457" s="990"/>
      <c r="E457" s="917"/>
      <c r="F457" s="794"/>
      <c r="G457" s="806"/>
      <c r="H457" s="796"/>
      <c r="I457" s="807"/>
      <c r="J457" s="796"/>
      <c r="K457" s="966"/>
      <c r="L457" s="1718"/>
      <c r="M457" s="729"/>
      <c r="N457" s="729"/>
      <c r="O457" s="729"/>
      <c r="P457" s="729"/>
      <c r="Q457" s="729"/>
      <c r="R457" s="729"/>
    </row>
    <row r="458" spans="1:21" s="714" customFormat="1" ht="24" customHeight="1">
      <c r="A458" s="992"/>
      <c r="B458" s="720"/>
      <c r="C458" s="706"/>
      <c r="D458" s="990"/>
      <c r="E458" s="991"/>
      <c r="F458" s="803"/>
      <c r="G458" s="858"/>
      <c r="H458" s="864"/>
      <c r="I458" s="865"/>
      <c r="J458" s="864"/>
      <c r="K458" s="1030"/>
      <c r="L458" s="1024"/>
      <c r="M458" s="729"/>
      <c r="N458" s="729"/>
      <c r="O458" s="729"/>
      <c r="P458" s="729"/>
      <c r="Q458" s="729"/>
      <c r="R458" s="729"/>
    </row>
    <row r="459" spans="1:21" s="714" customFormat="1" ht="24" customHeight="1">
      <c r="A459" s="992"/>
      <c r="B459" s="720"/>
      <c r="C459" s="706"/>
      <c r="D459" s="990"/>
      <c r="E459" s="991"/>
      <c r="F459" s="803"/>
      <c r="G459" s="858"/>
      <c r="H459" s="864"/>
      <c r="I459" s="865"/>
      <c r="J459" s="864"/>
      <c r="K459" s="1030"/>
      <c r="L459" s="1024"/>
      <c r="M459" s="729"/>
      <c r="N459" s="729"/>
      <c r="O459" s="729"/>
      <c r="P459" s="729"/>
      <c r="Q459" s="729"/>
      <c r="R459" s="729"/>
    </row>
    <row r="460" spans="1:21" s="714" customFormat="1" ht="24" customHeight="1">
      <c r="A460" s="992"/>
      <c r="B460" s="720"/>
      <c r="C460" s="706"/>
      <c r="D460" s="990"/>
      <c r="E460" s="721"/>
      <c r="F460" s="722"/>
      <c r="G460" s="795"/>
      <c r="H460" s="796"/>
      <c r="I460" s="797"/>
      <c r="J460" s="796"/>
      <c r="K460" s="966"/>
      <c r="L460" s="1024"/>
      <c r="M460" s="729"/>
      <c r="N460" s="729"/>
      <c r="O460" s="729"/>
      <c r="P460" s="729"/>
      <c r="Q460" s="729"/>
      <c r="R460" s="729"/>
    </row>
    <row r="461" spans="1:21" s="714" customFormat="1" ht="24" customHeight="1">
      <c r="A461" s="995"/>
      <c r="B461" s="800"/>
      <c r="C461" s="706"/>
      <c r="D461" s="990"/>
      <c r="E461" s="721"/>
      <c r="F461" s="722"/>
      <c r="G461" s="858"/>
      <c r="H461" s="796"/>
      <c r="I461" s="797"/>
      <c r="J461" s="796"/>
      <c r="K461" s="966"/>
      <c r="L461" s="1024"/>
      <c r="M461" s="729"/>
      <c r="N461" s="729"/>
      <c r="O461" s="729"/>
      <c r="P461" s="729"/>
      <c r="Q461" s="729"/>
      <c r="R461" s="729"/>
    </row>
    <row r="462" spans="1:21" s="714" customFormat="1" ht="24" customHeight="1">
      <c r="A462" s="992"/>
      <c r="B462" s="720"/>
      <c r="C462" s="706"/>
      <c r="D462" s="990"/>
      <c r="E462" s="721"/>
      <c r="F462" s="722"/>
      <c r="G462" s="795"/>
      <c r="H462" s="796"/>
      <c r="I462" s="797"/>
      <c r="J462" s="796"/>
      <c r="K462" s="966"/>
      <c r="L462" s="1024"/>
      <c r="M462" s="729"/>
      <c r="N462" s="729"/>
      <c r="O462" s="729"/>
      <c r="P462" s="729"/>
      <c r="Q462" s="729"/>
      <c r="R462" s="729"/>
    </row>
    <row r="463" spans="1:21" s="714" customFormat="1" ht="24" customHeight="1">
      <c r="A463" s="996"/>
      <c r="B463" s="720"/>
      <c r="C463" s="706"/>
      <c r="D463" s="990"/>
      <c r="E463" s="917"/>
      <c r="F463" s="794"/>
      <c r="G463" s="806"/>
      <c r="H463" s="796"/>
      <c r="I463" s="807"/>
      <c r="J463" s="796"/>
      <c r="K463" s="966"/>
      <c r="L463" s="1718"/>
      <c r="M463" s="729"/>
      <c r="N463" s="729"/>
      <c r="O463" s="729"/>
      <c r="P463" s="729"/>
      <c r="Q463" s="729"/>
      <c r="R463" s="729"/>
    </row>
    <row r="464" spans="1:21" s="714" customFormat="1" ht="24" customHeight="1">
      <c r="A464" s="992"/>
      <c r="B464" s="720"/>
      <c r="C464" s="706"/>
      <c r="D464" s="990"/>
      <c r="E464" s="991"/>
      <c r="F464" s="803"/>
      <c r="G464" s="858"/>
      <c r="H464" s="864"/>
      <c r="I464" s="865"/>
      <c r="J464" s="864"/>
      <c r="K464" s="1030"/>
      <c r="L464" s="1024"/>
      <c r="M464" s="729"/>
      <c r="N464" s="729"/>
      <c r="O464" s="729"/>
      <c r="P464" s="729"/>
      <c r="Q464" s="729"/>
      <c r="R464" s="729"/>
    </row>
    <row r="465" spans="1:21" s="714" customFormat="1" ht="24" customHeight="1">
      <c r="A465" s="992"/>
      <c r="B465" s="720"/>
      <c r="C465" s="706"/>
      <c r="D465" s="990"/>
      <c r="E465" s="991"/>
      <c r="F465" s="803"/>
      <c r="G465" s="858"/>
      <c r="H465" s="864"/>
      <c r="I465" s="865"/>
      <c r="J465" s="864"/>
      <c r="K465" s="1030"/>
      <c r="L465" s="1024"/>
      <c r="M465" s="729"/>
      <c r="N465" s="729"/>
      <c r="O465" s="729"/>
      <c r="P465" s="729"/>
      <c r="Q465" s="729"/>
      <c r="R465" s="729"/>
    </row>
    <row r="466" spans="1:21" s="714" customFormat="1" ht="24" customHeight="1">
      <c r="A466" s="777"/>
      <c r="B466" s="2475" t="str">
        <f>"รวมราคารายการที่ "&amp;A443</f>
        <v>รวมราคารายการที่ 3.14</v>
      </c>
      <c r="C466" s="2476"/>
      <c r="D466" s="2477"/>
      <c r="E466" s="997"/>
      <c r="F466" s="777"/>
      <c r="G466" s="959"/>
      <c r="H466" s="960">
        <f>SUM(H444:H453)</f>
        <v>60040</v>
      </c>
      <c r="I466" s="959"/>
      <c r="J466" s="960">
        <f t="shared" ref="J466:K466" si="86">SUM(J444:J453)</f>
        <v>22388</v>
      </c>
      <c r="K466" s="960">
        <f t="shared" si="86"/>
        <v>82428</v>
      </c>
      <c r="L466" s="777"/>
      <c r="M466" s="729"/>
      <c r="N466" s="729"/>
      <c r="O466" s="729"/>
      <c r="P466" s="729"/>
      <c r="Q466" s="729"/>
      <c r="R466" s="729"/>
      <c r="S466" s="729"/>
      <c r="T466" s="729"/>
      <c r="U466" s="729"/>
    </row>
  </sheetData>
  <mergeCells count="23">
    <mergeCell ref="B411:D411"/>
    <mergeCell ref="B442:D442"/>
    <mergeCell ref="B466:D466"/>
    <mergeCell ref="B274:D274"/>
    <mergeCell ref="B283:D283"/>
    <mergeCell ref="B310:D310"/>
    <mergeCell ref="B346:D346"/>
    <mergeCell ref="B370:D370"/>
    <mergeCell ref="B387:D387"/>
    <mergeCell ref="B255:D255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94:D94"/>
    <mergeCell ref="B168:D168"/>
    <mergeCell ref="B226:D226"/>
    <mergeCell ref="B239:D239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4-อาคารสนับนุน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3D518-76CA-454F-BCA9-3914221589AB}">
  <sheetPr>
    <tabColor rgb="FF92D050"/>
  </sheetPr>
  <dimension ref="A1:U442"/>
  <sheetViews>
    <sheetView tabSelected="1" view="pageBreakPreview" zoomScale="70" zoomScaleNormal="10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952" customWidth="1"/>
    <col min="8" max="8" width="20.703125" style="952" customWidth="1"/>
    <col min="9" max="9" width="16.703125" style="952" customWidth="1"/>
    <col min="10" max="10" width="20.703125" style="952" customWidth="1"/>
    <col min="11" max="11" width="22.703125" style="952" customWidth="1"/>
    <col min="12" max="12" width="27" style="1" customWidth="1"/>
    <col min="13" max="96" width="7.703125" style="1" customWidth="1"/>
    <col min="97" max="16384" width="9" style="1"/>
  </cols>
  <sheetData>
    <row r="1" spans="1:12" ht="35.200000000000003" customHeight="1">
      <c r="A1" s="681"/>
      <c r="B1" s="30"/>
      <c r="C1" s="31"/>
      <c r="D1" s="31"/>
      <c r="E1" s="31"/>
      <c r="F1" s="7" t="s">
        <v>0</v>
      </c>
      <c r="G1" s="733"/>
      <c r="H1" s="734"/>
      <c r="I1" s="734"/>
      <c r="J1" s="735" t="s">
        <v>1</v>
      </c>
      <c r="K1" s="736"/>
      <c r="L1" s="9"/>
    </row>
    <row r="2" spans="1:12" ht="25.15" customHeight="1">
      <c r="A2" s="683" t="s">
        <v>2</v>
      </c>
      <c r="B2" s="33"/>
      <c r="C2" s="34"/>
      <c r="D2" s="11" t="s">
        <v>938</v>
      </c>
      <c r="E2" s="34"/>
      <c r="F2" s="12"/>
      <c r="G2" s="737"/>
      <c r="H2" s="737"/>
      <c r="I2" s="737"/>
      <c r="J2" s="738"/>
      <c r="K2" s="737"/>
      <c r="L2" s="14"/>
    </row>
    <row r="3" spans="1:12" ht="25.15" customHeight="1">
      <c r="A3" s="685" t="s">
        <v>22</v>
      </c>
      <c r="B3" s="35"/>
      <c r="C3" s="36"/>
      <c r="D3" s="37"/>
      <c r="E3" s="36"/>
      <c r="F3" s="15"/>
      <c r="G3" s="739"/>
      <c r="H3" s="739"/>
      <c r="I3" s="739"/>
      <c r="J3" s="740"/>
      <c r="K3" s="739"/>
      <c r="L3" s="39"/>
    </row>
    <row r="4" spans="1:12" ht="25.15" customHeight="1">
      <c r="A4" s="687"/>
      <c r="B4" s="35"/>
      <c r="C4" s="36"/>
      <c r="D4" s="41" t="s">
        <v>2970</v>
      </c>
      <c r="E4" s="36"/>
      <c r="F4" s="15"/>
      <c r="G4" s="739"/>
      <c r="H4" s="739"/>
      <c r="I4" s="739"/>
      <c r="J4" s="740"/>
      <c r="K4" s="739"/>
      <c r="L4" s="39"/>
    </row>
    <row r="5" spans="1:12" ht="25.15" customHeight="1">
      <c r="A5" s="685" t="s">
        <v>3</v>
      </c>
      <c r="B5" s="33"/>
      <c r="C5" s="34"/>
      <c r="D5" s="37" t="s">
        <v>21</v>
      </c>
      <c r="E5" s="32"/>
      <c r="F5" s="12"/>
      <c r="G5" s="741" t="s">
        <v>4</v>
      </c>
      <c r="H5" s="742"/>
      <c r="I5" s="739"/>
      <c r="J5" s="740"/>
      <c r="K5" s="743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744"/>
      <c r="H6" s="739"/>
      <c r="I6" s="739"/>
      <c r="J6" s="739"/>
      <c r="K6" s="739"/>
      <c r="L6" s="18"/>
    </row>
    <row r="7" spans="1:12" ht="26.2" customHeight="1">
      <c r="A7" s="6" t="s">
        <v>26</v>
      </c>
      <c r="B7" s="20"/>
      <c r="C7" s="20"/>
      <c r="D7" s="21"/>
      <c r="E7" s="20"/>
      <c r="F7" s="689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73" t="s">
        <v>12</v>
      </c>
      <c r="H9" s="2474"/>
      <c r="I9" s="2473" t="s">
        <v>13</v>
      </c>
      <c r="J9" s="2474"/>
      <c r="K9" s="2366" t="s">
        <v>14</v>
      </c>
      <c r="L9" s="248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677" t="s">
        <v>16</v>
      </c>
      <c r="H10" s="2365" t="s">
        <v>17</v>
      </c>
      <c r="I10" s="677" t="s">
        <v>16</v>
      </c>
      <c r="J10" s="2365" t="s">
        <v>17</v>
      </c>
      <c r="K10" s="2367" t="s">
        <v>18</v>
      </c>
      <c r="L10" s="2483"/>
    </row>
    <row r="11" spans="1:12" ht="24" customHeight="1">
      <c r="A11" s="690" t="s">
        <v>25</v>
      </c>
      <c r="B11" s="691" t="s">
        <v>1513</v>
      </c>
      <c r="C11" s="692"/>
      <c r="D11" s="693"/>
      <c r="E11" s="694"/>
      <c r="F11" s="695"/>
      <c r="G11" s="745"/>
      <c r="H11" s="746"/>
      <c r="I11" s="747"/>
      <c r="J11" s="746"/>
      <c r="K11" s="1081"/>
      <c r="L11" s="954"/>
    </row>
    <row r="12" spans="1:12" s="714" customFormat="1" ht="24" customHeight="1">
      <c r="A12" s="719">
        <f>A35</f>
        <v>3.1</v>
      </c>
      <c r="B12" s="754" t="str">
        <f>B35</f>
        <v>Distribution Board</v>
      </c>
      <c r="C12" s="717"/>
      <c r="D12" s="718"/>
      <c r="E12" s="708">
        <v>1</v>
      </c>
      <c r="F12" s="709" t="s">
        <v>19</v>
      </c>
      <c r="G12" s="710"/>
      <c r="H12" s="711">
        <f>H94</f>
        <v>331635</v>
      </c>
      <c r="I12" s="712"/>
      <c r="J12" s="711">
        <f>J94</f>
        <v>39060</v>
      </c>
      <c r="K12" s="711">
        <f>K94</f>
        <v>370695</v>
      </c>
      <c r="L12" s="753"/>
    </row>
    <row r="13" spans="1:12" s="714" customFormat="1" ht="24" customHeight="1">
      <c r="A13" s="719">
        <f>A95</f>
        <v>3.2</v>
      </c>
      <c r="B13" s="754" t="str">
        <f>B95</f>
        <v>Essential Distribution Board</v>
      </c>
      <c r="C13" s="717"/>
      <c r="D13" s="718"/>
      <c r="E13" s="708">
        <v>1</v>
      </c>
      <c r="F13" s="709" t="s">
        <v>19</v>
      </c>
      <c r="G13" s="710"/>
      <c r="H13" s="711">
        <f>H171</f>
        <v>212190</v>
      </c>
      <c r="I13" s="712"/>
      <c r="J13" s="711">
        <f>J171</f>
        <v>30060</v>
      </c>
      <c r="K13" s="711">
        <f>K171</f>
        <v>242250</v>
      </c>
      <c r="L13" s="753"/>
    </row>
    <row r="14" spans="1:12" s="714" customFormat="1" ht="24" customHeight="1">
      <c r="A14" s="719" t="str">
        <f>A172</f>
        <v>3.3</v>
      </c>
      <c r="B14" s="705" t="str">
        <f>B172</f>
        <v>แผงสวิทช์ย่อยและเซอร์กิต เบรคเกอร์ (Panelboard &amp; CB)</v>
      </c>
      <c r="C14" s="717"/>
      <c r="D14" s="718"/>
      <c r="E14" s="708">
        <v>1</v>
      </c>
      <c r="F14" s="709" t="s">
        <v>19</v>
      </c>
      <c r="G14" s="750"/>
      <c r="H14" s="751">
        <f>H220</f>
        <v>105848</v>
      </c>
      <c r="I14" s="752"/>
      <c r="J14" s="751">
        <f>J220</f>
        <v>12000</v>
      </c>
      <c r="K14" s="1022">
        <f>K220</f>
        <v>117848</v>
      </c>
      <c r="L14" s="954"/>
    </row>
    <row r="15" spans="1:12" s="714" customFormat="1" ht="24" customHeight="1">
      <c r="A15" s="719">
        <f>A221</f>
        <v>3.4</v>
      </c>
      <c r="B15" s="705" t="str">
        <f>B221</f>
        <v>สายไฟฟ้า (Cable &amp; Wire)</v>
      </c>
      <c r="C15" s="717"/>
      <c r="D15" s="718"/>
      <c r="E15" s="708">
        <v>1</v>
      </c>
      <c r="F15" s="709" t="s">
        <v>19</v>
      </c>
      <c r="G15" s="750"/>
      <c r="H15" s="751">
        <f>H233</f>
        <v>123522</v>
      </c>
      <c r="I15" s="752"/>
      <c r="J15" s="751">
        <f>J233</f>
        <v>80750</v>
      </c>
      <c r="K15" s="1022">
        <f>K233</f>
        <v>204272</v>
      </c>
      <c r="L15" s="954"/>
    </row>
    <row r="16" spans="1:12" s="714" customFormat="1" ht="24" customHeight="1">
      <c r="A16" s="719" t="str">
        <f>A234</f>
        <v>3.5</v>
      </c>
      <c r="B16" s="705" t="str">
        <f>B234</f>
        <v>รางเดินสายไฟฟ้า (Raceway)</v>
      </c>
      <c r="C16" s="717"/>
      <c r="D16" s="718"/>
      <c r="E16" s="708">
        <v>1</v>
      </c>
      <c r="F16" s="709" t="s">
        <v>19</v>
      </c>
      <c r="G16" s="750"/>
      <c r="H16" s="751">
        <f>H250</f>
        <v>100201</v>
      </c>
      <c r="I16" s="752"/>
      <c r="J16" s="751">
        <f>J250</f>
        <v>73240</v>
      </c>
      <c r="K16" s="1022">
        <f>K250</f>
        <v>173441</v>
      </c>
      <c r="L16" s="954"/>
    </row>
    <row r="17" spans="1:12" s="714" customFormat="1" ht="24" customHeight="1">
      <c r="A17" s="719" t="str">
        <f>A251</f>
        <v>3.6</v>
      </c>
      <c r="B17" s="705" t="str">
        <f>B251</f>
        <v>สวิทช์และเต้ารับ (Switch &amp; Outlet)</v>
      </c>
      <c r="C17" s="717"/>
      <c r="D17" s="718"/>
      <c r="E17" s="708">
        <v>1</v>
      </c>
      <c r="F17" s="709" t="s">
        <v>19</v>
      </c>
      <c r="G17" s="750"/>
      <c r="H17" s="751">
        <f>H266</f>
        <v>48852</v>
      </c>
      <c r="I17" s="752"/>
      <c r="J17" s="751">
        <f>J266</f>
        <v>10400</v>
      </c>
      <c r="K17" s="1022">
        <f>K266</f>
        <v>59252</v>
      </c>
      <c r="L17" s="954"/>
    </row>
    <row r="18" spans="1:12" s="714" customFormat="1" ht="24" customHeight="1">
      <c r="A18" s="704" t="str">
        <f>A267</f>
        <v>3.7</v>
      </c>
      <c r="B18" s="705" t="str">
        <f>B267</f>
        <v>ระบบควบคุมแสงสว่าง (Lighting Control System)</v>
      </c>
      <c r="C18" s="717"/>
      <c r="D18" s="718"/>
      <c r="E18" s="708">
        <v>1</v>
      </c>
      <c r="F18" s="709" t="s">
        <v>19</v>
      </c>
      <c r="G18" s="750"/>
      <c r="H18" s="751">
        <f>H274</f>
        <v>195560</v>
      </c>
      <c r="I18" s="752"/>
      <c r="J18" s="751">
        <f>J274</f>
        <v>9778</v>
      </c>
      <c r="K18" s="1022">
        <f>K274</f>
        <v>205338</v>
      </c>
      <c r="L18" s="954"/>
    </row>
    <row r="19" spans="1:12" s="714" customFormat="1" ht="24" customHeight="1">
      <c r="A19" s="719" t="str">
        <f>A275</f>
        <v>3.8</v>
      </c>
      <c r="B19" s="705" t="str">
        <f>B275</f>
        <v>โคมไฟฟ้า (Luminaire)</v>
      </c>
      <c r="C19" s="717"/>
      <c r="D19" s="718"/>
      <c r="E19" s="708">
        <v>1</v>
      </c>
      <c r="F19" s="709" t="s">
        <v>19</v>
      </c>
      <c r="G19" s="750"/>
      <c r="H19" s="751">
        <f>H298</f>
        <v>478960</v>
      </c>
      <c r="I19" s="752"/>
      <c r="J19" s="751">
        <f>J298</f>
        <v>68240</v>
      </c>
      <c r="K19" s="1022">
        <f>K298</f>
        <v>547200</v>
      </c>
      <c r="L19" s="954"/>
    </row>
    <row r="20" spans="1:12" s="714" customFormat="1" ht="24" customHeight="1">
      <c r="A20" s="719">
        <f>A299</f>
        <v>3.9</v>
      </c>
      <c r="B20" s="720" t="str">
        <f>B299</f>
        <v>ระบบสัญญาณแจ้งเหตุเพลิงไหม้ (Fire Alarm System)</v>
      </c>
      <c r="C20" s="717"/>
      <c r="D20" s="718"/>
      <c r="E20" s="708">
        <v>1</v>
      </c>
      <c r="F20" s="722" t="s">
        <v>19</v>
      </c>
      <c r="G20" s="767"/>
      <c r="H20" s="751">
        <f>H334</f>
        <v>1056619</v>
      </c>
      <c r="I20" s="752"/>
      <c r="J20" s="751">
        <f>J334</f>
        <v>130248</v>
      </c>
      <c r="K20" s="1022">
        <f>K334</f>
        <v>1186867</v>
      </c>
      <c r="L20" s="954"/>
    </row>
    <row r="21" spans="1:12" s="714" customFormat="1" ht="24" customHeight="1">
      <c r="A21" s="719" t="str">
        <f>A335</f>
        <v>3.10</v>
      </c>
      <c r="B21" s="720" t="str">
        <f>B335</f>
        <v>ระบบสายสื่อสารข้อมูล (Data Cabling System)</v>
      </c>
      <c r="C21" s="717"/>
      <c r="D21" s="718"/>
      <c r="E21" s="708">
        <v>1</v>
      </c>
      <c r="F21" s="722" t="s">
        <v>19</v>
      </c>
      <c r="G21" s="750"/>
      <c r="H21" s="751">
        <f>H355</f>
        <v>93760</v>
      </c>
      <c r="I21" s="752"/>
      <c r="J21" s="751">
        <f>J355</f>
        <v>16600</v>
      </c>
      <c r="K21" s="1022">
        <f>K355</f>
        <v>110360</v>
      </c>
      <c r="L21" s="954"/>
    </row>
    <row r="22" spans="1:12" s="714" customFormat="1" ht="24" customHeight="1">
      <c r="A22" s="768" t="str">
        <f>A356</f>
        <v>3.11</v>
      </c>
      <c r="B22" s="769" t="str">
        <f>B356</f>
        <v>ระบบเสียงและประกาศเรียก (Public Address System)</v>
      </c>
      <c r="C22" s="770"/>
      <c r="D22" s="771"/>
      <c r="E22" s="708">
        <v>1</v>
      </c>
      <c r="F22" s="709" t="s">
        <v>19</v>
      </c>
      <c r="G22" s="772"/>
      <c r="H22" s="773">
        <f>H370</f>
        <v>439208</v>
      </c>
      <c r="I22" s="774"/>
      <c r="J22" s="773">
        <f>J370</f>
        <v>187788</v>
      </c>
      <c r="K22" s="1019">
        <f>K370</f>
        <v>626996</v>
      </c>
      <c r="L22" s="954"/>
    </row>
    <row r="23" spans="1:12" s="714" customFormat="1" ht="24" customHeight="1">
      <c r="A23" s="719" t="str">
        <f>A371</f>
        <v>3.12</v>
      </c>
      <c r="B23" s="705" t="str">
        <f>B371</f>
        <v>ระบบควบคุมประตูอัตโนมัติ (Access Control System)</v>
      </c>
      <c r="C23" s="717"/>
      <c r="D23" s="718"/>
      <c r="E23" s="708">
        <v>1</v>
      </c>
      <c r="F23" s="709" t="s">
        <v>19</v>
      </c>
      <c r="G23" s="750"/>
      <c r="H23" s="751">
        <f>H394</f>
        <v>309396</v>
      </c>
      <c r="I23" s="752"/>
      <c r="J23" s="751">
        <f>J394</f>
        <v>12992</v>
      </c>
      <c r="K23" s="1022">
        <f>K394</f>
        <v>322388</v>
      </c>
      <c r="L23" s="954"/>
    </row>
    <row r="24" spans="1:12" s="714" customFormat="1" ht="24" customHeight="1">
      <c r="A24" s="719" t="str">
        <f>A395</f>
        <v>3.13</v>
      </c>
      <c r="B24" s="754" t="str">
        <f>B395</f>
        <v>ระบบบริหารจัดการอาคาร (Building Management System : BMS)</v>
      </c>
      <c r="C24" s="717"/>
      <c r="D24" s="718"/>
      <c r="E24" s="708">
        <v>1</v>
      </c>
      <c r="F24" s="709" t="s">
        <v>19</v>
      </c>
      <c r="G24" s="750"/>
      <c r="H24" s="751">
        <f>H394</f>
        <v>309396</v>
      </c>
      <c r="I24" s="949"/>
      <c r="J24" s="751">
        <f>J394</f>
        <v>12992</v>
      </c>
      <c r="K24" s="1022">
        <f>K394</f>
        <v>322388</v>
      </c>
      <c r="L24" s="954"/>
    </row>
    <row r="25" spans="1:12" s="714" customFormat="1" ht="24" customHeight="1">
      <c r="A25" s="719" t="str">
        <f>A419</f>
        <v>3.14</v>
      </c>
      <c r="B25" s="754" t="str">
        <f>B419</f>
        <v>ระบบแจ้งเหตุฉุกเฉิน (Panic Alarm System)</v>
      </c>
      <c r="C25" s="717"/>
      <c r="D25" s="718"/>
      <c r="E25" s="708">
        <v>1</v>
      </c>
      <c r="F25" s="709" t="s">
        <v>19</v>
      </c>
      <c r="G25" s="750"/>
      <c r="H25" s="751">
        <f>H442</f>
        <v>60040</v>
      </c>
      <c r="I25" s="949"/>
      <c r="J25" s="751">
        <f>J442</f>
        <v>22388</v>
      </c>
      <c r="K25" s="1022">
        <f>K442</f>
        <v>82428</v>
      </c>
      <c r="L25" s="954"/>
    </row>
    <row r="26" spans="1:12" s="714" customFormat="1" ht="24" customHeight="1">
      <c r="A26" s="719"/>
      <c r="B26" s="955"/>
      <c r="C26" s="717"/>
      <c r="D26" s="718"/>
      <c r="E26" s="721"/>
      <c r="F26" s="722"/>
      <c r="G26" s="750"/>
      <c r="H26" s="751"/>
      <c r="I26" s="949"/>
      <c r="J26" s="765"/>
      <c r="K26" s="1080"/>
      <c r="L26" s="954"/>
    </row>
    <row r="27" spans="1:12" s="714" customFormat="1" ht="24" customHeight="1">
      <c r="A27" s="719"/>
      <c r="B27" s="955"/>
      <c r="C27" s="717"/>
      <c r="D27" s="718"/>
      <c r="E27" s="721"/>
      <c r="F27" s="722"/>
      <c r="G27" s="750"/>
      <c r="H27" s="751"/>
      <c r="I27" s="949"/>
      <c r="J27" s="765"/>
      <c r="K27" s="1080"/>
      <c r="L27" s="954"/>
    </row>
    <row r="28" spans="1:12" s="714" customFormat="1" ht="24" customHeight="1">
      <c r="A28" s="719"/>
      <c r="B28" s="955"/>
      <c r="C28" s="717"/>
      <c r="D28" s="718"/>
      <c r="E28" s="721"/>
      <c r="F28" s="722"/>
      <c r="G28" s="750"/>
      <c r="H28" s="751"/>
      <c r="I28" s="949"/>
      <c r="J28" s="765"/>
      <c r="K28" s="1080"/>
      <c r="L28" s="954"/>
    </row>
    <row r="29" spans="1:12" s="714" customFormat="1" ht="24" customHeight="1">
      <c r="A29" s="719"/>
      <c r="B29" s="955"/>
      <c r="C29" s="717"/>
      <c r="D29" s="718"/>
      <c r="E29" s="721"/>
      <c r="F29" s="722"/>
      <c r="G29" s="750"/>
      <c r="H29" s="751"/>
      <c r="I29" s="949"/>
      <c r="J29" s="765"/>
      <c r="K29" s="1080"/>
      <c r="L29" s="954"/>
    </row>
    <row r="30" spans="1:12" s="714" customFormat="1" ht="24" customHeight="1">
      <c r="A30" s="719"/>
      <c r="B30" s="955"/>
      <c r="C30" s="717"/>
      <c r="D30" s="718"/>
      <c r="E30" s="721"/>
      <c r="F30" s="722"/>
      <c r="G30" s="750"/>
      <c r="H30" s="751"/>
      <c r="I30" s="949"/>
      <c r="J30" s="765"/>
      <c r="K30" s="1080"/>
      <c r="L30" s="954"/>
    </row>
    <row r="31" spans="1:12" s="714" customFormat="1" ht="24" customHeight="1">
      <c r="A31" s="719"/>
      <c r="B31" s="955"/>
      <c r="C31" s="717"/>
      <c r="D31" s="718"/>
      <c r="E31" s="721"/>
      <c r="F31" s="722"/>
      <c r="G31" s="750"/>
      <c r="H31" s="751"/>
      <c r="I31" s="949"/>
      <c r="J31" s="765"/>
      <c r="K31" s="1080"/>
      <c r="L31" s="954"/>
    </row>
    <row r="32" spans="1:12" s="714" customFormat="1" ht="24" customHeight="1">
      <c r="A32" s="719"/>
      <c r="B32" s="955"/>
      <c r="C32" s="717"/>
      <c r="D32" s="718"/>
      <c r="E32" s="721"/>
      <c r="F32" s="722"/>
      <c r="G32" s="750"/>
      <c r="H32" s="751"/>
      <c r="I32" s="949"/>
      <c r="J32" s="765"/>
      <c r="K32" s="1080"/>
      <c r="L32" s="954"/>
    </row>
    <row r="33" spans="1:18" s="714" customFormat="1" ht="24" customHeight="1">
      <c r="A33" s="719"/>
      <c r="B33" s="955"/>
      <c r="C33" s="717"/>
      <c r="D33" s="718"/>
      <c r="E33" s="721"/>
      <c r="F33" s="722"/>
      <c r="G33" s="750"/>
      <c r="H33" s="751"/>
      <c r="I33" s="949"/>
      <c r="J33" s="765"/>
      <c r="K33" s="1080"/>
      <c r="L33" s="954"/>
    </row>
    <row r="34" spans="1:18" s="714" customFormat="1" ht="24" customHeight="1">
      <c r="A34" s="775"/>
      <c r="B34" s="2475" t="str">
        <f>"รวมราคา"&amp;B11</f>
        <v>รวมราคางานระบบไฟฟ้าและสื่อสาร ชั้น 5</v>
      </c>
      <c r="C34" s="2476"/>
      <c r="D34" s="2477"/>
      <c r="E34" s="776"/>
      <c r="F34" s="777"/>
      <c r="G34" s="778"/>
      <c r="H34" s="779">
        <f>SUM(H11:H33)</f>
        <v>3865187</v>
      </c>
      <c r="I34" s="778"/>
      <c r="J34" s="779">
        <f>SUM(J11:J33)</f>
        <v>706536</v>
      </c>
      <c r="K34" s="779">
        <f>SUM(K11:K33)</f>
        <v>4571723</v>
      </c>
      <c r="L34" s="1006"/>
      <c r="M34" s="729"/>
      <c r="N34" s="729"/>
      <c r="O34" s="729"/>
      <c r="P34" s="729"/>
      <c r="Q34" s="729"/>
      <c r="R34" s="729"/>
    </row>
    <row r="35" spans="1:18" s="714" customFormat="1" ht="24" customHeight="1">
      <c r="A35" s="815">
        <v>3.1</v>
      </c>
      <c r="B35" s="816" t="s">
        <v>1050</v>
      </c>
      <c r="C35" s="859"/>
      <c r="D35" s="859"/>
      <c r="E35" s="851"/>
      <c r="F35" s="852"/>
      <c r="G35" s="853"/>
      <c r="H35" s="854"/>
      <c r="I35" s="855"/>
      <c r="J35" s="854"/>
      <c r="K35" s="855"/>
      <c r="L35" s="826"/>
    </row>
    <row r="36" spans="1:18" s="884" customFormat="1" ht="24" customHeight="1">
      <c r="A36" s="878" t="s">
        <v>941</v>
      </c>
      <c r="B36" s="879" t="s">
        <v>1077</v>
      </c>
      <c r="C36" s="880"/>
      <c r="D36" s="880"/>
      <c r="E36" s="881"/>
      <c r="F36" s="794"/>
      <c r="G36" s="795"/>
      <c r="H36" s="796"/>
      <c r="I36" s="797"/>
      <c r="J36" s="796"/>
      <c r="K36" s="797"/>
      <c r="L36" s="883"/>
    </row>
    <row r="37" spans="1:18" s="884" customFormat="1" ht="24" customHeight="1">
      <c r="A37" s="831" t="s">
        <v>943</v>
      </c>
      <c r="B37" s="720" t="s">
        <v>1053</v>
      </c>
      <c r="C37" s="792"/>
      <c r="D37" s="792"/>
      <c r="E37" s="793"/>
      <c r="F37" s="794"/>
      <c r="G37" s="795"/>
      <c r="H37" s="796"/>
      <c r="I37" s="797"/>
      <c r="J37" s="796"/>
      <c r="K37" s="797"/>
      <c r="L37" s="883"/>
    </row>
    <row r="38" spans="1:18" s="884" customFormat="1" ht="24" customHeight="1">
      <c r="A38" s="831"/>
      <c r="B38" s="720" t="s">
        <v>1054</v>
      </c>
      <c r="C38" s="792"/>
      <c r="D38" s="792"/>
      <c r="E38" s="793"/>
      <c r="F38" s="722" t="s">
        <v>240</v>
      </c>
      <c r="G38" s="795">
        <v>2400</v>
      </c>
      <c r="H38" s="796">
        <f t="shared" ref="H38:H53" si="0">ROUND(G38*E38,)</f>
        <v>0</v>
      </c>
      <c r="I38" s="797"/>
      <c r="J38" s="796"/>
      <c r="K38" s="799">
        <f t="shared" ref="K38:K53" si="1">H38+J38</f>
        <v>0</v>
      </c>
      <c r="L38" s="883"/>
    </row>
    <row r="39" spans="1:18" s="884" customFormat="1" ht="24" customHeight="1">
      <c r="A39" s="831"/>
      <c r="B39" s="720" t="s">
        <v>1055</v>
      </c>
      <c r="C39" s="792"/>
      <c r="D39" s="792"/>
      <c r="E39" s="793"/>
      <c r="F39" s="722" t="s">
        <v>240</v>
      </c>
      <c r="G39" s="795">
        <v>2400</v>
      </c>
      <c r="H39" s="796">
        <f t="shared" si="0"/>
        <v>0</v>
      </c>
      <c r="I39" s="797"/>
      <c r="J39" s="796"/>
      <c r="K39" s="799">
        <f t="shared" si="1"/>
        <v>0</v>
      </c>
      <c r="L39" s="883"/>
    </row>
    <row r="40" spans="1:18" s="884" customFormat="1" ht="24" customHeight="1">
      <c r="A40" s="831"/>
      <c r="B40" s="720" t="s">
        <v>1056</v>
      </c>
      <c r="C40" s="792"/>
      <c r="D40" s="792"/>
      <c r="E40" s="793">
        <v>1</v>
      </c>
      <c r="F40" s="722" t="s">
        <v>240</v>
      </c>
      <c r="G40" s="795">
        <v>2400</v>
      </c>
      <c r="H40" s="796">
        <f t="shared" si="0"/>
        <v>2400</v>
      </c>
      <c r="I40" s="797"/>
      <c r="J40" s="796"/>
      <c r="K40" s="799">
        <f t="shared" si="1"/>
        <v>2400</v>
      </c>
      <c r="L40" s="883"/>
    </row>
    <row r="41" spans="1:18" s="884" customFormat="1" ht="24" customHeight="1">
      <c r="A41" s="831"/>
      <c r="B41" s="720" t="s">
        <v>1057</v>
      </c>
      <c r="C41" s="792"/>
      <c r="D41" s="792"/>
      <c r="E41" s="793">
        <v>3</v>
      </c>
      <c r="F41" s="722" t="s">
        <v>240</v>
      </c>
      <c r="G41" s="795">
        <v>2400</v>
      </c>
      <c r="H41" s="796">
        <f t="shared" si="0"/>
        <v>7200</v>
      </c>
      <c r="I41" s="797"/>
      <c r="J41" s="796"/>
      <c r="K41" s="799">
        <f t="shared" si="1"/>
        <v>7200</v>
      </c>
      <c r="L41" s="883"/>
    </row>
    <row r="42" spans="1:18" s="884" customFormat="1" ht="24" customHeight="1">
      <c r="A42" s="831"/>
      <c r="B42" s="720" t="s">
        <v>1058</v>
      </c>
      <c r="C42" s="792"/>
      <c r="D42" s="792"/>
      <c r="E42" s="793">
        <v>2</v>
      </c>
      <c r="F42" s="722" t="s">
        <v>240</v>
      </c>
      <c r="G42" s="795">
        <v>2400</v>
      </c>
      <c r="H42" s="796">
        <f t="shared" si="0"/>
        <v>4800</v>
      </c>
      <c r="I42" s="797"/>
      <c r="J42" s="796"/>
      <c r="K42" s="799">
        <f t="shared" si="1"/>
        <v>4800</v>
      </c>
      <c r="L42" s="883"/>
    </row>
    <row r="43" spans="1:18" s="884" customFormat="1" ht="24" customHeight="1">
      <c r="A43" s="831"/>
      <c r="B43" s="720" t="s">
        <v>1059</v>
      </c>
      <c r="C43" s="792"/>
      <c r="D43" s="792"/>
      <c r="E43" s="793">
        <v>1</v>
      </c>
      <c r="F43" s="722" t="s">
        <v>240</v>
      </c>
      <c r="G43" s="795">
        <v>2600</v>
      </c>
      <c r="H43" s="796">
        <f t="shared" si="0"/>
        <v>2600</v>
      </c>
      <c r="I43" s="797"/>
      <c r="J43" s="796"/>
      <c r="K43" s="799">
        <f t="shared" si="1"/>
        <v>2600</v>
      </c>
      <c r="L43" s="883"/>
    </row>
    <row r="44" spans="1:18" s="884" customFormat="1" ht="24" customHeight="1">
      <c r="A44" s="831"/>
      <c r="B44" s="720" t="s">
        <v>1060</v>
      </c>
      <c r="C44" s="792"/>
      <c r="D44" s="792"/>
      <c r="E44" s="793">
        <v>2</v>
      </c>
      <c r="F44" s="722" t="s">
        <v>240</v>
      </c>
      <c r="G44" s="795">
        <v>3000</v>
      </c>
      <c r="H44" s="796">
        <f t="shared" si="0"/>
        <v>6000</v>
      </c>
      <c r="I44" s="797"/>
      <c r="J44" s="796"/>
      <c r="K44" s="799">
        <f t="shared" si="1"/>
        <v>6000</v>
      </c>
      <c r="L44" s="883"/>
    </row>
    <row r="45" spans="1:18" s="884" customFormat="1" ht="24" customHeight="1">
      <c r="A45" s="831"/>
      <c r="B45" s="720" t="s">
        <v>1061</v>
      </c>
      <c r="C45" s="792"/>
      <c r="D45" s="792"/>
      <c r="E45" s="793"/>
      <c r="F45" s="722" t="s">
        <v>240</v>
      </c>
      <c r="G45" s="795">
        <v>8600</v>
      </c>
      <c r="H45" s="796">
        <f t="shared" si="0"/>
        <v>0</v>
      </c>
      <c r="I45" s="797"/>
      <c r="J45" s="796"/>
      <c r="K45" s="799">
        <f t="shared" si="1"/>
        <v>0</v>
      </c>
      <c r="L45" s="883"/>
    </row>
    <row r="46" spans="1:18" s="884" customFormat="1" ht="24" customHeight="1">
      <c r="A46" s="831"/>
      <c r="B46" s="720" t="s">
        <v>1062</v>
      </c>
      <c r="C46" s="792"/>
      <c r="D46" s="792"/>
      <c r="E46" s="793"/>
      <c r="F46" s="722" t="s">
        <v>240</v>
      </c>
      <c r="G46" s="795">
        <v>8600</v>
      </c>
      <c r="H46" s="796">
        <f t="shared" si="0"/>
        <v>0</v>
      </c>
      <c r="I46" s="797"/>
      <c r="J46" s="796"/>
      <c r="K46" s="799">
        <f t="shared" si="1"/>
        <v>0</v>
      </c>
      <c r="L46" s="883"/>
    </row>
    <row r="47" spans="1:18" s="884" customFormat="1" ht="24" customHeight="1">
      <c r="A47" s="831"/>
      <c r="B47" s="720" t="s">
        <v>1063</v>
      </c>
      <c r="C47" s="792"/>
      <c r="D47" s="792"/>
      <c r="E47" s="793"/>
      <c r="F47" s="722" t="s">
        <v>240</v>
      </c>
      <c r="G47" s="795">
        <v>8600</v>
      </c>
      <c r="H47" s="796">
        <f t="shared" si="0"/>
        <v>0</v>
      </c>
      <c r="I47" s="797"/>
      <c r="J47" s="796"/>
      <c r="K47" s="799">
        <f t="shared" si="1"/>
        <v>0</v>
      </c>
      <c r="L47" s="883"/>
    </row>
    <row r="48" spans="1:18" s="884" customFormat="1" ht="24" customHeight="1">
      <c r="A48" s="831" t="s">
        <v>3088</v>
      </c>
      <c r="B48" s="720" t="s">
        <v>1001</v>
      </c>
      <c r="C48" s="792"/>
      <c r="D48" s="792"/>
      <c r="E48" s="793"/>
      <c r="F48" s="794"/>
      <c r="G48" s="795"/>
      <c r="H48" s="796">
        <f t="shared" si="0"/>
        <v>0</v>
      </c>
      <c r="I48" s="797"/>
      <c r="J48" s="796"/>
      <c r="K48" s="799">
        <f t="shared" si="1"/>
        <v>0</v>
      </c>
      <c r="L48" s="883"/>
    </row>
    <row r="49" spans="1:12" s="884" customFormat="1" ht="24" customHeight="1">
      <c r="A49" s="831"/>
      <c r="B49" s="720" t="s">
        <v>1064</v>
      </c>
      <c r="C49" s="792"/>
      <c r="D49" s="792"/>
      <c r="E49" s="793">
        <v>3</v>
      </c>
      <c r="F49" s="722" t="s">
        <v>240</v>
      </c>
      <c r="G49" s="795">
        <v>660</v>
      </c>
      <c r="H49" s="796">
        <f t="shared" si="0"/>
        <v>1980</v>
      </c>
      <c r="I49" s="797"/>
      <c r="J49" s="796"/>
      <c r="K49" s="799">
        <f t="shared" si="1"/>
        <v>1980</v>
      </c>
      <c r="L49" s="883"/>
    </row>
    <row r="50" spans="1:12" s="884" customFormat="1" ht="24" customHeight="1">
      <c r="A50" s="831"/>
      <c r="B50" s="720" t="s">
        <v>1003</v>
      </c>
      <c r="C50" s="792"/>
      <c r="D50" s="792"/>
      <c r="E50" s="793">
        <v>3</v>
      </c>
      <c r="F50" s="722" t="s">
        <v>240</v>
      </c>
      <c r="G50" s="795">
        <v>120</v>
      </c>
      <c r="H50" s="796">
        <f t="shared" si="0"/>
        <v>360</v>
      </c>
      <c r="I50" s="797"/>
      <c r="J50" s="796"/>
      <c r="K50" s="799">
        <f t="shared" si="1"/>
        <v>360</v>
      </c>
      <c r="L50" s="883"/>
    </row>
    <row r="51" spans="1:12" s="884" customFormat="1" ht="24" customHeight="1">
      <c r="A51" s="831"/>
      <c r="B51" s="720" t="s">
        <v>1004</v>
      </c>
      <c r="C51" s="792"/>
      <c r="D51" s="792"/>
      <c r="E51" s="793">
        <v>3</v>
      </c>
      <c r="F51" s="722" t="s">
        <v>240</v>
      </c>
      <c r="G51" s="795">
        <v>100</v>
      </c>
      <c r="H51" s="796">
        <f t="shared" si="0"/>
        <v>300</v>
      </c>
      <c r="I51" s="797"/>
      <c r="J51" s="796"/>
      <c r="K51" s="799">
        <f t="shared" si="1"/>
        <v>300</v>
      </c>
      <c r="L51" s="883"/>
    </row>
    <row r="52" spans="1:12" s="884" customFormat="1" ht="24" customHeight="1">
      <c r="A52" s="831"/>
      <c r="B52" s="720" t="s">
        <v>1065</v>
      </c>
      <c r="C52" s="792"/>
      <c r="D52" s="792"/>
      <c r="E52" s="793">
        <v>4</v>
      </c>
      <c r="F52" s="722" t="s">
        <v>240</v>
      </c>
      <c r="G52" s="795">
        <v>15435</v>
      </c>
      <c r="H52" s="796">
        <f t="shared" si="0"/>
        <v>61740</v>
      </c>
      <c r="I52" s="797"/>
      <c r="J52" s="796"/>
      <c r="K52" s="799">
        <f t="shared" si="1"/>
        <v>61740</v>
      </c>
      <c r="L52" s="883"/>
    </row>
    <row r="53" spans="1:12" s="884" customFormat="1" ht="24" customHeight="1">
      <c r="A53" s="831" t="s">
        <v>3089</v>
      </c>
      <c r="B53" s="720" t="s">
        <v>1066</v>
      </c>
      <c r="C53" s="792"/>
      <c r="D53" s="792"/>
      <c r="E53" s="793">
        <v>1</v>
      </c>
      <c r="F53" s="722" t="s">
        <v>948</v>
      </c>
      <c r="G53" s="795">
        <v>43400</v>
      </c>
      <c r="H53" s="796">
        <f t="shared" si="0"/>
        <v>43400</v>
      </c>
      <c r="I53" s="797">
        <f>G53*0.3</f>
        <v>13020</v>
      </c>
      <c r="J53" s="796">
        <f>ROUND(E53*I53,)</f>
        <v>13020</v>
      </c>
      <c r="K53" s="799">
        <f t="shared" si="1"/>
        <v>56420</v>
      </c>
      <c r="L53" s="883"/>
    </row>
    <row r="54" spans="1:12" s="884" customFormat="1" ht="24" customHeight="1">
      <c r="A54" s="878" t="s">
        <v>1394</v>
      </c>
      <c r="B54" s="879" t="s">
        <v>1078</v>
      </c>
      <c r="C54" s="880"/>
      <c r="D54" s="880"/>
      <c r="E54" s="881"/>
      <c r="F54" s="794"/>
      <c r="G54" s="795"/>
      <c r="H54" s="796"/>
      <c r="I54" s="797"/>
      <c r="J54" s="796"/>
      <c r="K54" s="797"/>
      <c r="L54" s="887"/>
    </row>
    <row r="55" spans="1:12" s="884" customFormat="1" ht="24" customHeight="1">
      <c r="A55" s="831" t="s">
        <v>3090</v>
      </c>
      <c r="B55" s="720" t="s">
        <v>1053</v>
      </c>
      <c r="C55" s="792"/>
      <c r="D55" s="792"/>
      <c r="E55" s="793"/>
      <c r="F55" s="794"/>
      <c r="G55" s="795"/>
      <c r="H55" s="796"/>
      <c r="I55" s="797"/>
      <c r="J55" s="796"/>
      <c r="K55" s="797"/>
      <c r="L55" s="887"/>
    </row>
    <row r="56" spans="1:12" s="884" customFormat="1" ht="24" customHeight="1">
      <c r="A56" s="831"/>
      <c r="B56" s="720" t="s">
        <v>1054</v>
      </c>
      <c r="C56" s="792"/>
      <c r="D56" s="792"/>
      <c r="E56" s="793"/>
      <c r="F56" s="722" t="s">
        <v>240</v>
      </c>
      <c r="G56" s="795">
        <v>2400</v>
      </c>
      <c r="H56" s="796">
        <f t="shared" ref="H56:H71" si="2">ROUND(G56*E56,)</f>
        <v>0</v>
      </c>
      <c r="I56" s="797"/>
      <c r="J56" s="796"/>
      <c r="K56" s="799">
        <f t="shared" ref="K56:K72" si="3">H56+J56</f>
        <v>0</v>
      </c>
      <c r="L56" s="883"/>
    </row>
    <row r="57" spans="1:12" s="884" customFormat="1" ht="24" customHeight="1">
      <c r="A57" s="831"/>
      <c r="B57" s="720" t="s">
        <v>1055</v>
      </c>
      <c r="C57" s="792"/>
      <c r="D57" s="792"/>
      <c r="E57" s="793"/>
      <c r="F57" s="722" t="s">
        <v>240</v>
      </c>
      <c r="G57" s="795">
        <v>2400</v>
      </c>
      <c r="H57" s="796">
        <f t="shared" si="2"/>
        <v>0</v>
      </c>
      <c r="I57" s="797"/>
      <c r="J57" s="796"/>
      <c r="K57" s="799">
        <f t="shared" si="3"/>
        <v>0</v>
      </c>
      <c r="L57" s="883"/>
    </row>
    <row r="58" spans="1:12" s="884" customFormat="1" ht="24" customHeight="1">
      <c r="A58" s="831"/>
      <c r="B58" s="720" t="s">
        <v>1056</v>
      </c>
      <c r="C58" s="792"/>
      <c r="D58" s="792"/>
      <c r="E58" s="793"/>
      <c r="F58" s="722" t="s">
        <v>240</v>
      </c>
      <c r="G58" s="795">
        <v>2400</v>
      </c>
      <c r="H58" s="796">
        <f t="shared" si="2"/>
        <v>0</v>
      </c>
      <c r="I58" s="797"/>
      <c r="J58" s="796"/>
      <c r="K58" s="799">
        <f t="shared" si="3"/>
        <v>0</v>
      </c>
      <c r="L58" s="883"/>
    </row>
    <row r="59" spans="1:12" s="884" customFormat="1" ht="24" customHeight="1">
      <c r="A59" s="831"/>
      <c r="B59" s="720" t="s">
        <v>1057</v>
      </c>
      <c r="C59" s="792"/>
      <c r="D59" s="792"/>
      <c r="E59" s="793">
        <v>3</v>
      </c>
      <c r="F59" s="722" t="s">
        <v>240</v>
      </c>
      <c r="G59" s="795">
        <v>2400</v>
      </c>
      <c r="H59" s="796">
        <f t="shared" si="2"/>
        <v>7200</v>
      </c>
      <c r="I59" s="797"/>
      <c r="J59" s="796"/>
      <c r="K59" s="799">
        <f t="shared" si="3"/>
        <v>7200</v>
      </c>
      <c r="L59" s="883"/>
    </row>
    <row r="60" spans="1:12" s="884" customFormat="1" ht="24" customHeight="1">
      <c r="A60" s="831"/>
      <c r="B60" s="720" t="s">
        <v>1058</v>
      </c>
      <c r="C60" s="792"/>
      <c r="D60" s="792"/>
      <c r="E60" s="793"/>
      <c r="F60" s="722" t="s">
        <v>240</v>
      </c>
      <c r="G60" s="795">
        <v>2400</v>
      </c>
      <c r="H60" s="796">
        <f t="shared" si="2"/>
        <v>0</v>
      </c>
      <c r="I60" s="797"/>
      <c r="J60" s="796"/>
      <c r="K60" s="799">
        <f t="shared" si="3"/>
        <v>0</v>
      </c>
      <c r="L60" s="883"/>
    </row>
    <row r="61" spans="1:12" s="884" customFormat="1" ht="24" customHeight="1">
      <c r="A61" s="831"/>
      <c r="B61" s="720" t="s">
        <v>1059</v>
      </c>
      <c r="C61" s="792"/>
      <c r="D61" s="792"/>
      <c r="E61" s="793"/>
      <c r="F61" s="722" t="s">
        <v>240</v>
      </c>
      <c r="G61" s="795">
        <v>2600</v>
      </c>
      <c r="H61" s="796">
        <f t="shared" si="2"/>
        <v>0</v>
      </c>
      <c r="I61" s="797"/>
      <c r="J61" s="796"/>
      <c r="K61" s="799">
        <f t="shared" si="3"/>
        <v>0</v>
      </c>
      <c r="L61" s="883"/>
    </row>
    <row r="62" spans="1:12" s="884" customFormat="1" ht="24" customHeight="1">
      <c r="A62" s="831"/>
      <c r="B62" s="720" t="s">
        <v>1060</v>
      </c>
      <c r="C62" s="792"/>
      <c r="D62" s="792"/>
      <c r="E62" s="793"/>
      <c r="F62" s="722" t="s">
        <v>240</v>
      </c>
      <c r="G62" s="795">
        <v>3000</v>
      </c>
      <c r="H62" s="796">
        <f t="shared" si="2"/>
        <v>0</v>
      </c>
      <c r="I62" s="797"/>
      <c r="J62" s="796"/>
      <c r="K62" s="799">
        <f t="shared" si="3"/>
        <v>0</v>
      </c>
      <c r="L62" s="883"/>
    </row>
    <row r="63" spans="1:12" s="884" customFormat="1" ht="24" customHeight="1">
      <c r="A63" s="831"/>
      <c r="B63" s="720" t="s">
        <v>1061</v>
      </c>
      <c r="C63" s="792"/>
      <c r="D63" s="792"/>
      <c r="E63" s="793">
        <v>1</v>
      </c>
      <c r="F63" s="722" t="s">
        <v>240</v>
      </c>
      <c r="G63" s="795">
        <v>8600</v>
      </c>
      <c r="H63" s="796">
        <f t="shared" si="2"/>
        <v>8600</v>
      </c>
      <c r="I63" s="797"/>
      <c r="J63" s="796"/>
      <c r="K63" s="799">
        <f t="shared" si="3"/>
        <v>8600</v>
      </c>
      <c r="L63" s="883"/>
    </row>
    <row r="64" spans="1:12" s="884" customFormat="1" ht="24" customHeight="1">
      <c r="A64" s="831"/>
      <c r="B64" s="720" t="s">
        <v>1062</v>
      </c>
      <c r="C64" s="792"/>
      <c r="D64" s="792"/>
      <c r="E64" s="793"/>
      <c r="F64" s="722" t="s">
        <v>240</v>
      </c>
      <c r="G64" s="795">
        <v>8600</v>
      </c>
      <c r="H64" s="796">
        <f t="shared" si="2"/>
        <v>0</v>
      </c>
      <c r="I64" s="797"/>
      <c r="J64" s="796"/>
      <c r="K64" s="799">
        <f t="shared" si="3"/>
        <v>0</v>
      </c>
      <c r="L64" s="883"/>
    </row>
    <row r="65" spans="1:12" s="884" customFormat="1" ht="24" customHeight="1">
      <c r="A65" s="831"/>
      <c r="B65" s="720" t="s">
        <v>1063</v>
      </c>
      <c r="C65" s="792"/>
      <c r="D65" s="792"/>
      <c r="E65" s="793"/>
      <c r="F65" s="722" t="s">
        <v>240</v>
      </c>
      <c r="G65" s="795">
        <v>8600</v>
      </c>
      <c r="H65" s="796">
        <f t="shared" si="2"/>
        <v>0</v>
      </c>
      <c r="I65" s="797"/>
      <c r="J65" s="796"/>
      <c r="K65" s="799">
        <f t="shared" si="3"/>
        <v>0</v>
      </c>
      <c r="L65" s="883"/>
    </row>
    <row r="66" spans="1:12" s="884" customFormat="1" ht="24" customHeight="1">
      <c r="A66" s="831" t="s">
        <v>3091</v>
      </c>
      <c r="B66" s="720" t="s">
        <v>1001</v>
      </c>
      <c r="C66" s="792"/>
      <c r="D66" s="792"/>
      <c r="E66" s="793"/>
      <c r="F66" s="794"/>
      <c r="G66" s="795"/>
      <c r="H66" s="796">
        <f t="shared" si="2"/>
        <v>0</v>
      </c>
      <c r="I66" s="797"/>
      <c r="J66" s="796"/>
      <c r="K66" s="799">
        <f t="shared" si="3"/>
        <v>0</v>
      </c>
      <c r="L66" s="883"/>
    </row>
    <row r="67" spans="1:12" s="884" customFormat="1" ht="24" customHeight="1">
      <c r="A67" s="831"/>
      <c r="B67" s="720" t="s">
        <v>1076</v>
      </c>
      <c r="C67" s="792"/>
      <c r="D67" s="792"/>
      <c r="E67" s="793">
        <v>3</v>
      </c>
      <c r="F67" s="722" t="s">
        <v>240</v>
      </c>
      <c r="G67" s="795">
        <v>660</v>
      </c>
      <c r="H67" s="796">
        <f t="shared" si="2"/>
        <v>1980</v>
      </c>
      <c r="I67" s="797"/>
      <c r="J67" s="796"/>
      <c r="K67" s="799">
        <f t="shared" si="3"/>
        <v>1980</v>
      </c>
      <c r="L67" s="887"/>
    </row>
    <row r="68" spans="1:12" s="884" customFormat="1" ht="24" customHeight="1">
      <c r="A68" s="831"/>
      <c r="B68" s="720" t="s">
        <v>1003</v>
      </c>
      <c r="C68" s="792"/>
      <c r="D68" s="792"/>
      <c r="E68" s="793">
        <v>3</v>
      </c>
      <c r="F68" s="722" t="s">
        <v>240</v>
      </c>
      <c r="G68" s="795">
        <v>120</v>
      </c>
      <c r="H68" s="796">
        <f t="shared" si="2"/>
        <v>360</v>
      </c>
      <c r="I68" s="797"/>
      <c r="J68" s="796"/>
      <c r="K68" s="799">
        <f t="shared" si="3"/>
        <v>360</v>
      </c>
      <c r="L68" s="887"/>
    </row>
    <row r="69" spans="1:12" s="884" customFormat="1" ht="24" customHeight="1">
      <c r="A69" s="831"/>
      <c r="B69" s="720" t="s">
        <v>1004</v>
      </c>
      <c r="C69" s="792"/>
      <c r="D69" s="792"/>
      <c r="E69" s="793">
        <v>3</v>
      </c>
      <c r="F69" s="722" t="s">
        <v>240</v>
      </c>
      <c r="G69" s="795">
        <v>100</v>
      </c>
      <c r="H69" s="796">
        <f t="shared" si="2"/>
        <v>300</v>
      </c>
      <c r="I69" s="797"/>
      <c r="J69" s="796"/>
      <c r="K69" s="799">
        <f t="shared" si="3"/>
        <v>300</v>
      </c>
      <c r="L69" s="887"/>
    </row>
    <row r="70" spans="1:12" s="884" customFormat="1" ht="24" customHeight="1">
      <c r="A70" s="831"/>
      <c r="B70" s="720" t="s">
        <v>1065</v>
      </c>
      <c r="C70" s="792"/>
      <c r="D70" s="792"/>
      <c r="E70" s="793">
        <v>1</v>
      </c>
      <c r="F70" s="722" t="s">
        <v>240</v>
      </c>
      <c r="G70" s="795">
        <v>15435</v>
      </c>
      <c r="H70" s="796">
        <f t="shared" si="2"/>
        <v>15435</v>
      </c>
      <c r="I70" s="797"/>
      <c r="J70" s="796"/>
      <c r="K70" s="799">
        <f t="shared" si="3"/>
        <v>15435</v>
      </c>
      <c r="L70" s="887"/>
    </row>
    <row r="71" spans="1:12" s="884" customFormat="1" ht="24" customHeight="1">
      <c r="A71" s="831" t="s">
        <v>3092</v>
      </c>
      <c r="B71" s="720" t="s">
        <v>1066</v>
      </c>
      <c r="C71" s="792"/>
      <c r="D71" s="792"/>
      <c r="E71" s="793">
        <v>1</v>
      </c>
      <c r="F71" s="722" t="s">
        <v>948</v>
      </c>
      <c r="G71" s="795">
        <v>43400</v>
      </c>
      <c r="H71" s="796">
        <f t="shared" si="2"/>
        <v>43400</v>
      </c>
      <c r="I71" s="797">
        <f>G71*0.3</f>
        <v>13020</v>
      </c>
      <c r="J71" s="796">
        <f>ROUND(E71*I71,)</f>
        <v>13020</v>
      </c>
      <c r="K71" s="799">
        <f t="shared" si="3"/>
        <v>56420</v>
      </c>
      <c r="L71" s="887"/>
    </row>
    <row r="72" spans="1:12" s="884" customFormat="1" ht="24" customHeight="1">
      <c r="A72" s="878" t="s">
        <v>3100</v>
      </c>
      <c r="B72" s="879" t="s">
        <v>1094</v>
      </c>
      <c r="C72" s="880"/>
      <c r="D72" s="880"/>
      <c r="E72" s="881"/>
      <c r="F72" s="794"/>
      <c r="G72" s="795"/>
      <c r="H72" s="796"/>
      <c r="I72" s="797"/>
      <c r="J72" s="796"/>
      <c r="K72" s="799">
        <f t="shared" si="3"/>
        <v>0</v>
      </c>
      <c r="L72" s="887"/>
    </row>
    <row r="73" spans="1:12" s="884" customFormat="1" ht="24" customHeight="1">
      <c r="A73" s="831" t="s">
        <v>3101</v>
      </c>
      <c r="B73" s="720" t="s">
        <v>1053</v>
      </c>
      <c r="C73" s="792"/>
      <c r="D73" s="792"/>
      <c r="E73" s="793"/>
      <c r="F73" s="794"/>
      <c r="G73" s="795"/>
      <c r="H73" s="796"/>
      <c r="I73" s="797"/>
      <c r="J73" s="796"/>
      <c r="K73" s="797"/>
      <c r="L73" s="887"/>
    </row>
    <row r="74" spans="1:12" s="884" customFormat="1" ht="24" customHeight="1">
      <c r="A74" s="831"/>
      <c r="B74" s="720" t="s">
        <v>1054</v>
      </c>
      <c r="C74" s="792"/>
      <c r="D74" s="792"/>
      <c r="E74" s="793"/>
      <c r="F74" s="722" t="s">
        <v>240</v>
      </c>
      <c r="G74" s="795">
        <v>2400</v>
      </c>
      <c r="H74" s="796">
        <f t="shared" ref="H74:H89" si="4">ROUND(G74*E74,)</f>
        <v>0</v>
      </c>
      <c r="I74" s="797"/>
      <c r="J74" s="796"/>
      <c r="K74" s="799">
        <f t="shared" ref="K74:K89" si="5">H74+J74</f>
        <v>0</v>
      </c>
      <c r="L74" s="883"/>
    </row>
    <row r="75" spans="1:12" s="884" customFormat="1" ht="24" customHeight="1">
      <c r="A75" s="831"/>
      <c r="B75" s="720" t="s">
        <v>1055</v>
      </c>
      <c r="C75" s="792"/>
      <c r="D75" s="792"/>
      <c r="E75" s="793"/>
      <c r="F75" s="722" t="s">
        <v>240</v>
      </c>
      <c r="G75" s="795">
        <v>2400</v>
      </c>
      <c r="H75" s="796">
        <f t="shared" si="4"/>
        <v>0</v>
      </c>
      <c r="I75" s="797"/>
      <c r="J75" s="796"/>
      <c r="K75" s="799">
        <f t="shared" si="5"/>
        <v>0</v>
      </c>
      <c r="L75" s="883"/>
    </row>
    <row r="76" spans="1:12" s="884" customFormat="1" ht="24" customHeight="1">
      <c r="A76" s="831"/>
      <c r="B76" s="720" t="s">
        <v>1056</v>
      </c>
      <c r="C76" s="792"/>
      <c r="D76" s="792"/>
      <c r="E76" s="793">
        <v>1</v>
      </c>
      <c r="F76" s="722" t="s">
        <v>240</v>
      </c>
      <c r="G76" s="795">
        <v>2400</v>
      </c>
      <c r="H76" s="796">
        <f t="shared" si="4"/>
        <v>2400</v>
      </c>
      <c r="I76" s="797"/>
      <c r="J76" s="796"/>
      <c r="K76" s="799">
        <f t="shared" si="5"/>
        <v>2400</v>
      </c>
      <c r="L76" s="883"/>
    </row>
    <row r="77" spans="1:12" s="884" customFormat="1" ht="24" customHeight="1">
      <c r="A77" s="831"/>
      <c r="B77" s="720" t="s">
        <v>1057</v>
      </c>
      <c r="C77" s="792"/>
      <c r="D77" s="792"/>
      <c r="E77" s="793"/>
      <c r="F77" s="722" t="s">
        <v>240</v>
      </c>
      <c r="G77" s="795">
        <v>2400</v>
      </c>
      <c r="H77" s="796">
        <f t="shared" si="4"/>
        <v>0</v>
      </c>
      <c r="I77" s="797"/>
      <c r="J77" s="796"/>
      <c r="K77" s="799">
        <f t="shared" si="5"/>
        <v>0</v>
      </c>
      <c r="L77" s="883"/>
    </row>
    <row r="78" spans="1:12" s="884" customFormat="1" ht="24" customHeight="1">
      <c r="A78" s="831"/>
      <c r="B78" s="720" t="s">
        <v>1058</v>
      </c>
      <c r="C78" s="792"/>
      <c r="D78" s="792"/>
      <c r="E78" s="793">
        <v>2</v>
      </c>
      <c r="F78" s="722" t="s">
        <v>240</v>
      </c>
      <c r="G78" s="795">
        <v>2400</v>
      </c>
      <c r="H78" s="796">
        <f t="shared" si="4"/>
        <v>4800</v>
      </c>
      <c r="I78" s="797"/>
      <c r="J78" s="796"/>
      <c r="K78" s="799">
        <f t="shared" si="5"/>
        <v>4800</v>
      </c>
      <c r="L78" s="883"/>
    </row>
    <row r="79" spans="1:12" s="884" customFormat="1" ht="24" customHeight="1">
      <c r="A79" s="831"/>
      <c r="B79" s="720" t="s">
        <v>1059</v>
      </c>
      <c r="C79" s="792"/>
      <c r="D79" s="792"/>
      <c r="E79" s="793">
        <v>1</v>
      </c>
      <c r="F79" s="722" t="s">
        <v>240</v>
      </c>
      <c r="G79" s="795">
        <v>2600</v>
      </c>
      <c r="H79" s="796">
        <f t="shared" si="4"/>
        <v>2600</v>
      </c>
      <c r="I79" s="797"/>
      <c r="J79" s="796"/>
      <c r="K79" s="799">
        <f t="shared" si="5"/>
        <v>2600</v>
      </c>
      <c r="L79" s="883"/>
    </row>
    <row r="80" spans="1:12" s="884" customFormat="1" ht="24" customHeight="1">
      <c r="A80" s="831"/>
      <c r="B80" s="720" t="s">
        <v>1060</v>
      </c>
      <c r="C80" s="792"/>
      <c r="D80" s="792"/>
      <c r="E80" s="793">
        <v>2</v>
      </c>
      <c r="F80" s="722" t="s">
        <v>240</v>
      </c>
      <c r="G80" s="795">
        <v>3000</v>
      </c>
      <c r="H80" s="796">
        <f t="shared" si="4"/>
        <v>6000</v>
      </c>
      <c r="I80" s="797"/>
      <c r="J80" s="796"/>
      <c r="K80" s="799">
        <f t="shared" si="5"/>
        <v>6000</v>
      </c>
      <c r="L80" s="883"/>
    </row>
    <row r="81" spans="1:17" s="884" customFormat="1" ht="24" customHeight="1">
      <c r="A81" s="831"/>
      <c r="B81" s="720" t="s">
        <v>1061</v>
      </c>
      <c r="C81" s="792"/>
      <c r="D81" s="792"/>
      <c r="E81" s="793"/>
      <c r="F81" s="722" t="s">
        <v>240</v>
      </c>
      <c r="G81" s="795">
        <v>8600</v>
      </c>
      <c r="H81" s="796">
        <f t="shared" si="4"/>
        <v>0</v>
      </c>
      <c r="I81" s="797"/>
      <c r="J81" s="796"/>
      <c r="K81" s="799">
        <f t="shared" si="5"/>
        <v>0</v>
      </c>
      <c r="L81" s="883"/>
    </row>
    <row r="82" spans="1:17" s="884" customFormat="1" ht="24" customHeight="1">
      <c r="A82" s="831"/>
      <c r="B82" s="720" t="s">
        <v>1062</v>
      </c>
      <c r="C82" s="792"/>
      <c r="D82" s="792"/>
      <c r="E82" s="793"/>
      <c r="F82" s="722" t="s">
        <v>240</v>
      </c>
      <c r="G82" s="795">
        <v>8600</v>
      </c>
      <c r="H82" s="796">
        <f t="shared" si="4"/>
        <v>0</v>
      </c>
      <c r="I82" s="797"/>
      <c r="J82" s="796"/>
      <c r="K82" s="799">
        <f t="shared" si="5"/>
        <v>0</v>
      </c>
      <c r="L82" s="883"/>
    </row>
    <row r="83" spans="1:17" s="884" customFormat="1" ht="24" customHeight="1">
      <c r="A83" s="831"/>
      <c r="B83" s="720" t="s">
        <v>1063</v>
      </c>
      <c r="C83" s="792"/>
      <c r="D83" s="792"/>
      <c r="E83" s="793"/>
      <c r="F83" s="722" t="s">
        <v>240</v>
      </c>
      <c r="G83" s="795">
        <v>8600</v>
      </c>
      <c r="H83" s="796">
        <f t="shared" si="4"/>
        <v>0</v>
      </c>
      <c r="I83" s="797"/>
      <c r="J83" s="796"/>
      <c r="K83" s="799">
        <f t="shared" si="5"/>
        <v>0</v>
      </c>
      <c r="L83" s="883"/>
    </row>
    <row r="84" spans="1:17" s="884" customFormat="1" ht="24" customHeight="1">
      <c r="A84" s="831" t="s">
        <v>3102</v>
      </c>
      <c r="B84" s="720" t="s">
        <v>1001</v>
      </c>
      <c r="C84" s="792"/>
      <c r="D84" s="792"/>
      <c r="E84" s="793"/>
      <c r="F84" s="794"/>
      <c r="G84" s="795"/>
      <c r="H84" s="796">
        <f t="shared" si="4"/>
        <v>0</v>
      </c>
      <c r="I84" s="797"/>
      <c r="J84" s="796"/>
      <c r="K84" s="799">
        <f t="shared" si="5"/>
        <v>0</v>
      </c>
      <c r="L84" s="883"/>
    </row>
    <row r="85" spans="1:17" s="884" customFormat="1" ht="24" customHeight="1">
      <c r="A85" s="831"/>
      <c r="B85" s="720" t="s">
        <v>1064</v>
      </c>
      <c r="C85" s="792"/>
      <c r="D85" s="792"/>
      <c r="E85" s="793">
        <v>3</v>
      </c>
      <c r="F85" s="722" t="s">
        <v>240</v>
      </c>
      <c r="G85" s="795">
        <v>660</v>
      </c>
      <c r="H85" s="796">
        <f t="shared" si="4"/>
        <v>1980</v>
      </c>
      <c r="I85" s="797"/>
      <c r="J85" s="796"/>
      <c r="K85" s="799">
        <f t="shared" si="5"/>
        <v>1980</v>
      </c>
      <c r="L85" s="887"/>
    </row>
    <row r="86" spans="1:17" s="884" customFormat="1" ht="24" customHeight="1">
      <c r="A86" s="831"/>
      <c r="B86" s="720" t="s">
        <v>1003</v>
      </c>
      <c r="C86" s="792"/>
      <c r="D86" s="792"/>
      <c r="E86" s="793">
        <v>3</v>
      </c>
      <c r="F86" s="722" t="s">
        <v>240</v>
      </c>
      <c r="G86" s="795">
        <v>120</v>
      </c>
      <c r="H86" s="796">
        <f t="shared" si="4"/>
        <v>360</v>
      </c>
      <c r="I86" s="797"/>
      <c r="J86" s="796"/>
      <c r="K86" s="799">
        <f t="shared" si="5"/>
        <v>360</v>
      </c>
      <c r="L86" s="887"/>
    </row>
    <row r="87" spans="1:17" s="884" customFormat="1" ht="24" customHeight="1">
      <c r="A87" s="831"/>
      <c r="B87" s="720" t="s">
        <v>1004</v>
      </c>
      <c r="C87" s="792"/>
      <c r="D87" s="792"/>
      <c r="E87" s="793">
        <v>3</v>
      </c>
      <c r="F87" s="722" t="s">
        <v>240</v>
      </c>
      <c r="G87" s="795">
        <v>100</v>
      </c>
      <c r="H87" s="796">
        <f t="shared" si="4"/>
        <v>300</v>
      </c>
      <c r="I87" s="797"/>
      <c r="J87" s="796"/>
      <c r="K87" s="799">
        <f t="shared" si="5"/>
        <v>300</v>
      </c>
      <c r="L87" s="887"/>
    </row>
    <row r="88" spans="1:17" s="884" customFormat="1" ht="24" customHeight="1">
      <c r="A88" s="831"/>
      <c r="B88" s="720" t="s">
        <v>1065</v>
      </c>
      <c r="C88" s="792"/>
      <c r="D88" s="792"/>
      <c r="E88" s="793">
        <v>4</v>
      </c>
      <c r="F88" s="722" t="s">
        <v>240</v>
      </c>
      <c r="G88" s="795">
        <v>15435</v>
      </c>
      <c r="H88" s="796">
        <f t="shared" si="4"/>
        <v>61740</v>
      </c>
      <c r="I88" s="797"/>
      <c r="J88" s="796"/>
      <c r="K88" s="799">
        <f t="shared" si="5"/>
        <v>61740</v>
      </c>
      <c r="L88" s="887"/>
    </row>
    <row r="89" spans="1:17" s="884" customFormat="1" ht="24" customHeight="1">
      <c r="A89" s="831" t="s">
        <v>3103</v>
      </c>
      <c r="B89" s="720" t="s">
        <v>1066</v>
      </c>
      <c r="C89" s="792"/>
      <c r="D89" s="792"/>
      <c r="E89" s="793">
        <v>1</v>
      </c>
      <c r="F89" s="722" t="s">
        <v>948</v>
      </c>
      <c r="G89" s="795">
        <v>43400</v>
      </c>
      <c r="H89" s="796">
        <f t="shared" si="4"/>
        <v>43400</v>
      </c>
      <c r="I89" s="797">
        <f>G89*0.3</f>
        <v>13020</v>
      </c>
      <c r="J89" s="796">
        <f>ROUND(E89*I89,)</f>
        <v>13020</v>
      </c>
      <c r="K89" s="799">
        <f t="shared" si="5"/>
        <v>56420</v>
      </c>
      <c r="L89" s="887"/>
    </row>
    <row r="90" spans="1:17" s="714" customFormat="1" ht="24" customHeight="1">
      <c r="A90" s="831"/>
      <c r="B90" s="720" t="s">
        <v>957</v>
      </c>
      <c r="C90" s="792"/>
      <c r="D90" s="792"/>
      <c r="E90" s="793"/>
      <c r="F90" s="794"/>
      <c r="G90" s="795"/>
      <c r="H90" s="796"/>
      <c r="I90" s="797"/>
      <c r="J90" s="864"/>
      <c r="K90" s="906"/>
      <c r="L90" s="964"/>
      <c r="M90" s="729"/>
      <c r="N90" s="729"/>
      <c r="O90" s="729"/>
      <c r="P90" s="729"/>
      <c r="Q90" s="729"/>
    </row>
    <row r="91" spans="1:17" s="714" customFormat="1" ht="24" customHeight="1">
      <c r="A91" s="719"/>
      <c r="B91" s="720" t="s">
        <v>1428</v>
      </c>
      <c r="C91" s="717"/>
      <c r="D91" s="718"/>
      <c r="E91" s="721"/>
      <c r="F91" s="722"/>
      <c r="G91" s="710"/>
      <c r="H91" s="711"/>
      <c r="I91" s="712"/>
      <c r="J91" s="957"/>
      <c r="K91" s="958"/>
      <c r="L91" s="954"/>
    </row>
    <row r="92" spans="1:17" s="714" customFormat="1" ht="24" customHeight="1">
      <c r="A92" s="719"/>
      <c r="B92" s="720" t="s">
        <v>1428</v>
      </c>
      <c r="C92" s="717"/>
      <c r="D92" s="718"/>
      <c r="E92" s="721"/>
      <c r="F92" s="722"/>
      <c r="G92" s="710"/>
      <c r="H92" s="711"/>
      <c r="I92" s="712"/>
      <c r="J92" s="957"/>
      <c r="K92" s="958"/>
      <c r="L92" s="954"/>
    </row>
    <row r="93" spans="1:17" s="714" customFormat="1" ht="24" customHeight="1">
      <c r="A93" s="719"/>
      <c r="B93" s="955"/>
      <c r="C93" s="717"/>
      <c r="D93" s="718"/>
      <c r="E93" s="721"/>
      <c r="F93" s="722"/>
      <c r="G93" s="710"/>
      <c r="H93" s="711"/>
      <c r="I93" s="956"/>
      <c r="J93" s="957"/>
      <c r="K93" s="958"/>
      <c r="L93" s="954"/>
    </row>
    <row r="94" spans="1:17" s="714" customFormat="1" ht="24" customHeight="1">
      <c r="A94" s="775"/>
      <c r="B94" s="2475" t="str">
        <f>"รวมราคารายการที่ "&amp;A35</f>
        <v>รวมราคารายการที่ 3.1</v>
      </c>
      <c r="C94" s="2476"/>
      <c r="D94" s="2477"/>
      <c r="E94" s="776"/>
      <c r="F94" s="777"/>
      <c r="G94" s="959"/>
      <c r="H94" s="960">
        <f>SUM(H35:H93)</f>
        <v>331635</v>
      </c>
      <c r="I94" s="959"/>
      <c r="J94" s="960">
        <f>SUM(J35:J93)</f>
        <v>39060</v>
      </c>
      <c r="K94" s="960">
        <f>SUM(K35:K93)</f>
        <v>370695</v>
      </c>
      <c r="L94" s="777"/>
      <c r="M94" s="729"/>
      <c r="N94" s="729"/>
      <c r="O94" s="729"/>
      <c r="P94" s="729"/>
      <c r="Q94" s="729"/>
    </row>
    <row r="95" spans="1:17" s="714" customFormat="1" ht="24" customHeight="1">
      <c r="A95" s="815">
        <v>3.2</v>
      </c>
      <c r="B95" s="816" t="s">
        <v>1103</v>
      </c>
      <c r="C95" s="859"/>
      <c r="D95" s="859"/>
      <c r="E95" s="851"/>
      <c r="F95" s="852"/>
      <c r="G95" s="853"/>
      <c r="H95" s="854"/>
      <c r="I95" s="855"/>
      <c r="J95" s="854"/>
      <c r="K95" s="855"/>
      <c r="L95" s="826"/>
    </row>
    <row r="96" spans="1:17" s="884" customFormat="1" ht="24" customHeight="1">
      <c r="A96" s="878" t="s">
        <v>960</v>
      </c>
      <c r="B96" s="894" t="s">
        <v>1115</v>
      </c>
      <c r="C96" s="895"/>
      <c r="D96" s="895"/>
      <c r="E96" s="896"/>
      <c r="F96" s="897"/>
      <c r="G96" s="858"/>
      <c r="H96" s="864"/>
      <c r="I96" s="865"/>
      <c r="J96" s="864"/>
      <c r="K96" s="799">
        <f t="shared" ref="K96:K159" si="6">H96+J96</f>
        <v>0</v>
      </c>
      <c r="L96" s="883"/>
    </row>
    <row r="97" spans="1:12" s="884" customFormat="1" ht="24" customHeight="1">
      <c r="A97" s="831" t="s">
        <v>3093</v>
      </c>
      <c r="B97" s="800" t="s">
        <v>1053</v>
      </c>
      <c r="C97" s="801"/>
      <c r="D97" s="801"/>
      <c r="E97" s="802"/>
      <c r="F97" s="867"/>
      <c r="G97" s="858"/>
      <c r="H97" s="864"/>
      <c r="I97" s="865"/>
      <c r="J97" s="864"/>
      <c r="K97" s="799">
        <f t="shared" si="6"/>
        <v>0</v>
      </c>
      <c r="L97" s="883"/>
    </row>
    <row r="98" spans="1:12" s="884" customFormat="1" ht="24" customHeight="1">
      <c r="A98" s="831"/>
      <c r="B98" s="720" t="s">
        <v>1054</v>
      </c>
      <c r="C98" s="792"/>
      <c r="D98" s="792"/>
      <c r="E98" s="793"/>
      <c r="F98" s="722" t="s">
        <v>240</v>
      </c>
      <c r="G98" s="795">
        <v>2400</v>
      </c>
      <c r="H98" s="796">
        <f t="shared" ref="H98:H119" si="7">ROUND(G98*E98,)</f>
        <v>0</v>
      </c>
      <c r="I98" s="797"/>
      <c r="J98" s="796"/>
      <c r="K98" s="799">
        <f t="shared" si="6"/>
        <v>0</v>
      </c>
      <c r="L98" s="883"/>
    </row>
    <row r="99" spans="1:12" s="884" customFormat="1" ht="24" customHeight="1">
      <c r="A99" s="831"/>
      <c r="B99" s="720" t="s">
        <v>1055</v>
      </c>
      <c r="C99" s="792"/>
      <c r="D99" s="792"/>
      <c r="E99" s="793">
        <v>1</v>
      </c>
      <c r="F99" s="722" t="s">
        <v>240</v>
      </c>
      <c r="G99" s="795">
        <v>2400</v>
      </c>
      <c r="H99" s="796">
        <f t="shared" si="7"/>
        <v>2400</v>
      </c>
      <c r="I99" s="797"/>
      <c r="J99" s="796"/>
      <c r="K99" s="799">
        <f t="shared" si="6"/>
        <v>2400</v>
      </c>
      <c r="L99" s="883"/>
    </row>
    <row r="100" spans="1:12" s="884" customFormat="1" ht="24" customHeight="1">
      <c r="A100" s="831"/>
      <c r="B100" s="720" t="s">
        <v>1056</v>
      </c>
      <c r="C100" s="792"/>
      <c r="D100" s="792"/>
      <c r="E100" s="793"/>
      <c r="F100" s="722" t="s">
        <v>240</v>
      </c>
      <c r="G100" s="795">
        <v>2400</v>
      </c>
      <c r="H100" s="796">
        <f t="shared" si="7"/>
        <v>0</v>
      </c>
      <c r="I100" s="797"/>
      <c r="J100" s="796"/>
      <c r="K100" s="799">
        <f t="shared" si="6"/>
        <v>0</v>
      </c>
      <c r="L100" s="883"/>
    </row>
    <row r="101" spans="1:12" s="884" customFormat="1" ht="24" customHeight="1">
      <c r="A101" s="831"/>
      <c r="B101" s="720" t="s">
        <v>1057</v>
      </c>
      <c r="C101" s="792"/>
      <c r="D101" s="792"/>
      <c r="E101" s="793"/>
      <c r="F101" s="722" t="s">
        <v>240</v>
      </c>
      <c r="G101" s="795">
        <v>2400</v>
      </c>
      <c r="H101" s="796">
        <f t="shared" si="7"/>
        <v>0</v>
      </c>
      <c r="I101" s="797"/>
      <c r="J101" s="796"/>
      <c r="K101" s="799">
        <f t="shared" si="6"/>
        <v>0</v>
      </c>
      <c r="L101" s="883"/>
    </row>
    <row r="102" spans="1:12" s="884" customFormat="1" ht="24" customHeight="1">
      <c r="A102" s="831"/>
      <c r="B102" s="720" t="s">
        <v>1058</v>
      </c>
      <c r="C102" s="792"/>
      <c r="D102" s="792"/>
      <c r="E102" s="793"/>
      <c r="F102" s="722" t="s">
        <v>240</v>
      </c>
      <c r="G102" s="795">
        <v>2400</v>
      </c>
      <c r="H102" s="796">
        <f t="shared" si="7"/>
        <v>0</v>
      </c>
      <c r="I102" s="797"/>
      <c r="J102" s="796"/>
      <c r="K102" s="799">
        <f t="shared" si="6"/>
        <v>0</v>
      </c>
      <c r="L102" s="883"/>
    </row>
    <row r="103" spans="1:12" s="884" customFormat="1" ht="24" customHeight="1">
      <c r="A103" s="831"/>
      <c r="B103" s="720" t="s">
        <v>1059</v>
      </c>
      <c r="C103" s="792"/>
      <c r="D103" s="792"/>
      <c r="E103" s="793"/>
      <c r="F103" s="722" t="s">
        <v>240</v>
      </c>
      <c r="G103" s="795">
        <v>2600</v>
      </c>
      <c r="H103" s="796">
        <f t="shared" si="7"/>
        <v>0</v>
      </c>
      <c r="I103" s="797"/>
      <c r="J103" s="796"/>
      <c r="K103" s="799">
        <f t="shared" si="6"/>
        <v>0</v>
      </c>
      <c r="L103" s="883"/>
    </row>
    <row r="104" spans="1:12" s="884" customFormat="1" ht="24" customHeight="1">
      <c r="A104" s="831"/>
      <c r="B104" s="720" t="s">
        <v>1060</v>
      </c>
      <c r="C104" s="792"/>
      <c r="D104" s="792"/>
      <c r="E104" s="793"/>
      <c r="F104" s="722" t="s">
        <v>240</v>
      </c>
      <c r="G104" s="795">
        <v>3000</v>
      </c>
      <c r="H104" s="796">
        <f t="shared" si="7"/>
        <v>0</v>
      </c>
      <c r="I104" s="797"/>
      <c r="J104" s="796"/>
      <c r="K104" s="799">
        <f t="shared" si="6"/>
        <v>0</v>
      </c>
      <c r="L104" s="883"/>
    </row>
    <row r="105" spans="1:12" s="884" customFormat="1" ht="24" customHeight="1">
      <c r="A105" s="831"/>
      <c r="B105" s="720" t="s">
        <v>1088</v>
      </c>
      <c r="C105" s="801"/>
      <c r="D105" s="801"/>
      <c r="E105" s="802"/>
      <c r="F105" s="803" t="s">
        <v>240</v>
      </c>
      <c r="G105" s="795">
        <v>5000</v>
      </c>
      <c r="H105" s="864">
        <f t="shared" si="7"/>
        <v>0</v>
      </c>
      <c r="I105" s="865"/>
      <c r="J105" s="864"/>
      <c r="K105" s="799">
        <f t="shared" si="6"/>
        <v>0</v>
      </c>
      <c r="L105" s="883"/>
    </row>
    <row r="106" spans="1:12" s="884" customFormat="1" ht="24" customHeight="1">
      <c r="A106" s="831"/>
      <c r="B106" s="720" t="s">
        <v>1105</v>
      </c>
      <c r="C106" s="801"/>
      <c r="D106" s="801"/>
      <c r="E106" s="802"/>
      <c r="F106" s="803" t="s">
        <v>240</v>
      </c>
      <c r="G106" s="795">
        <v>5700</v>
      </c>
      <c r="H106" s="864">
        <f t="shared" si="7"/>
        <v>0</v>
      </c>
      <c r="I106" s="865"/>
      <c r="J106" s="864"/>
      <c r="K106" s="799">
        <f t="shared" si="6"/>
        <v>0</v>
      </c>
      <c r="L106" s="883"/>
    </row>
    <row r="107" spans="1:12" s="884" customFormat="1" ht="24" customHeight="1">
      <c r="A107" s="831"/>
      <c r="B107" s="720" t="s">
        <v>1086</v>
      </c>
      <c r="C107" s="801"/>
      <c r="D107" s="801"/>
      <c r="E107" s="802"/>
      <c r="F107" s="803" t="s">
        <v>240</v>
      </c>
      <c r="G107" s="795">
        <v>5700</v>
      </c>
      <c r="H107" s="864">
        <f t="shared" si="7"/>
        <v>0</v>
      </c>
      <c r="I107" s="865"/>
      <c r="J107" s="864"/>
      <c r="K107" s="799">
        <f t="shared" si="6"/>
        <v>0</v>
      </c>
      <c r="L107" s="883"/>
    </row>
    <row r="108" spans="1:12" s="884" customFormat="1" ht="24" customHeight="1">
      <c r="A108" s="2396"/>
      <c r="B108" s="720" t="s">
        <v>1061</v>
      </c>
      <c r="C108" s="801"/>
      <c r="D108" s="801"/>
      <c r="E108" s="802"/>
      <c r="F108" s="803" t="s">
        <v>240</v>
      </c>
      <c r="G108" s="795">
        <v>8600</v>
      </c>
      <c r="H108" s="864">
        <f t="shared" si="7"/>
        <v>0</v>
      </c>
      <c r="I108" s="865"/>
      <c r="J108" s="864"/>
      <c r="K108" s="799">
        <f t="shared" si="6"/>
        <v>0</v>
      </c>
      <c r="L108" s="883"/>
    </row>
    <row r="109" spans="1:12" s="884" customFormat="1" ht="24" customHeight="1">
      <c r="A109" s="831"/>
      <c r="B109" s="720" t="s">
        <v>1062</v>
      </c>
      <c r="C109" s="801"/>
      <c r="D109" s="801"/>
      <c r="E109" s="802"/>
      <c r="F109" s="803" t="s">
        <v>240</v>
      </c>
      <c r="G109" s="795">
        <v>8600</v>
      </c>
      <c r="H109" s="864">
        <f t="shared" si="7"/>
        <v>0</v>
      </c>
      <c r="I109" s="865"/>
      <c r="J109" s="864"/>
      <c r="K109" s="799">
        <f t="shared" si="6"/>
        <v>0</v>
      </c>
      <c r="L109" s="883"/>
    </row>
    <row r="110" spans="1:12" s="884" customFormat="1" ht="24" customHeight="1">
      <c r="A110" s="831"/>
      <c r="B110" s="720" t="s">
        <v>1063</v>
      </c>
      <c r="C110" s="801"/>
      <c r="D110" s="801"/>
      <c r="E110" s="802"/>
      <c r="F110" s="803" t="s">
        <v>240</v>
      </c>
      <c r="G110" s="795">
        <v>11500</v>
      </c>
      <c r="H110" s="864">
        <f t="shared" si="7"/>
        <v>0</v>
      </c>
      <c r="I110" s="865"/>
      <c r="J110" s="864"/>
      <c r="K110" s="799">
        <f t="shared" si="6"/>
        <v>0</v>
      </c>
      <c r="L110" s="883"/>
    </row>
    <row r="111" spans="1:12" s="884" customFormat="1" ht="24" customHeight="1">
      <c r="A111" s="831"/>
      <c r="B111" s="720" t="s">
        <v>1106</v>
      </c>
      <c r="C111" s="801"/>
      <c r="D111" s="801"/>
      <c r="E111" s="802"/>
      <c r="F111" s="803" t="s">
        <v>240</v>
      </c>
      <c r="G111" s="795">
        <v>20200</v>
      </c>
      <c r="H111" s="864">
        <f t="shared" si="7"/>
        <v>0</v>
      </c>
      <c r="I111" s="865"/>
      <c r="J111" s="864"/>
      <c r="K111" s="799">
        <f t="shared" si="6"/>
        <v>0</v>
      </c>
      <c r="L111" s="883"/>
    </row>
    <row r="112" spans="1:12" s="884" customFormat="1" ht="24" customHeight="1">
      <c r="A112" s="831"/>
      <c r="B112" s="720" t="s">
        <v>1107</v>
      </c>
      <c r="C112" s="801"/>
      <c r="D112" s="801"/>
      <c r="E112" s="802"/>
      <c r="F112" s="803" t="s">
        <v>240</v>
      </c>
      <c r="G112" s="795">
        <v>20200</v>
      </c>
      <c r="H112" s="864">
        <f t="shared" si="7"/>
        <v>0</v>
      </c>
      <c r="I112" s="865"/>
      <c r="J112" s="864"/>
      <c r="K112" s="799">
        <f t="shared" si="6"/>
        <v>0</v>
      </c>
      <c r="L112" s="883"/>
    </row>
    <row r="113" spans="1:12" s="884" customFormat="1" ht="24" customHeight="1">
      <c r="A113" s="2396"/>
      <c r="B113" s="720" t="s">
        <v>1108</v>
      </c>
      <c r="C113" s="801"/>
      <c r="D113" s="801"/>
      <c r="E113" s="802"/>
      <c r="F113" s="803" t="s">
        <v>240</v>
      </c>
      <c r="G113" s="795">
        <v>20200</v>
      </c>
      <c r="H113" s="864">
        <f t="shared" si="7"/>
        <v>0</v>
      </c>
      <c r="I113" s="865"/>
      <c r="J113" s="864"/>
      <c r="K113" s="799">
        <f t="shared" si="6"/>
        <v>0</v>
      </c>
      <c r="L113" s="883"/>
    </row>
    <row r="114" spans="1:12" s="884" customFormat="1" ht="24" customHeight="1">
      <c r="A114" s="831" t="s">
        <v>3094</v>
      </c>
      <c r="B114" s="800" t="s">
        <v>1001</v>
      </c>
      <c r="C114" s="801"/>
      <c r="D114" s="801"/>
      <c r="E114" s="802"/>
      <c r="F114" s="867"/>
      <c r="G114" s="858"/>
      <c r="H114" s="864">
        <f t="shared" si="7"/>
        <v>0</v>
      </c>
      <c r="I114" s="865"/>
      <c r="J114" s="864"/>
      <c r="K114" s="799">
        <f t="shared" si="6"/>
        <v>0</v>
      </c>
      <c r="L114" s="887"/>
    </row>
    <row r="115" spans="1:12" s="884" customFormat="1" ht="24" customHeight="1">
      <c r="A115" s="878"/>
      <c r="B115" s="800" t="s">
        <v>1073</v>
      </c>
      <c r="C115" s="801"/>
      <c r="D115" s="801"/>
      <c r="E115" s="802">
        <v>3</v>
      </c>
      <c r="F115" s="803" t="s">
        <v>240</v>
      </c>
      <c r="G115" s="858">
        <v>600</v>
      </c>
      <c r="H115" s="864">
        <f t="shared" si="7"/>
        <v>1800</v>
      </c>
      <c r="I115" s="865"/>
      <c r="J115" s="864"/>
      <c r="K115" s="799">
        <f t="shared" si="6"/>
        <v>1800</v>
      </c>
      <c r="L115" s="887"/>
    </row>
    <row r="116" spans="1:12" s="884" customFormat="1" ht="24" customHeight="1">
      <c r="A116" s="831"/>
      <c r="B116" s="800" t="s">
        <v>1003</v>
      </c>
      <c r="C116" s="801"/>
      <c r="D116" s="801"/>
      <c r="E116" s="802">
        <v>3</v>
      </c>
      <c r="F116" s="803" t="s">
        <v>240</v>
      </c>
      <c r="G116" s="858">
        <v>120</v>
      </c>
      <c r="H116" s="864">
        <f t="shared" si="7"/>
        <v>360</v>
      </c>
      <c r="I116" s="865"/>
      <c r="J116" s="864"/>
      <c r="K116" s="799">
        <f t="shared" si="6"/>
        <v>360</v>
      </c>
      <c r="L116" s="883"/>
    </row>
    <row r="117" spans="1:12" s="884" customFormat="1" ht="24" customHeight="1">
      <c r="A117" s="831"/>
      <c r="B117" s="800" t="s">
        <v>1004</v>
      </c>
      <c r="C117" s="801"/>
      <c r="D117" s="801"/>
      <c r="E117" s="802">
        <v>3</v>
      </c>
      <c r="F117" s="803" t="s">
        <v>240</v>
      </c>
      <c r="G117" s="858">
        <v>100</v>
      </c>
      <c r="H117" s="864">
        <f t="shared" si="7"/>
        <v>300</v>
      </c>
      <c r="I117" s="865"/>
      <c r="J117" s="864"/>
      <c r="K117" s="799">
        <f t="shared" si="6"/>
        <v>300</v>
      </c>
      <c r="L117" s="883"/>
    </row>
    <row r="118" spans="1:12" s="884" customFormat="1" ht="24" customHeight="1">
      <c r="A118" s="831"/>
      <c r="B118" s="800" t="s">
        <v>1065</v>
      </c>
      <c r="C118" s="801"/>
      <c r="D118" s="801"/>
      <c r="E118" s="802">
        <v>1</v>
      </c>
      <c r="F118" s="803" t="s">
        <v>240</v>
      </c>
      <c r="G118" s="858">
        <v>15435</v>
      </c>
      <c r="H118" s="864">
        <f t="shared" si="7"/>
        <v>15435</v>
      </c>
      <c r="I118" s="865"/>
      <c r="J118" s="864"/>
      <c r="K118" s="799">
        <f t="shared" si="6"/>
        <v>15435</v>
      </c>
      <c r="L118" s="883"/>
    </row>
    <row r="119" spans="1:12" s="884" customFormat="1" ht="24" customHeight="1">
      <c r="A119" s="831" t="s">
        <v>3095</v>
      </c>
      <c r="B119" s="800" t="s">
        <v>1066</v>
      </c>
      <c r="C119" s="801"/>
      <c r="D119" s="801"/>
      <c r="E119" s="802">
        <v>1</v>
      </c>
      <c r="F119" s="803" t="s">
        <v>948</v>
      </c>
      <c r="G119" s="795">
        <v>33400</v>
      </c>
      <c r="H119" s="864">
        <f t="shared" si="7"/>
        <v>33400</v>
      </c>
      <c r="I119" s="865">
        <f>G119*0.3</f>
        <v>10020</v>
      </c>
      <c r="J119" s="864">
        <f>ROUND(E119*I119,)</f>
        <v>10020</v>
      </c>
      <c r="K119" s="799">
        <f t="shared" si="6"/>
        <v>43420</v>
      </c>
      <c r="L119" s="887"/>
    </row>
    <row r="120" spans="1:12" s="884" customFormat="1" ht="24" customHeight="1">
      <c r="A120" s="878" t="s">
        <v>962</v>
      </c>
      <c r="B120" s="894" t="s">
        <v>1116</v>
      </c>
      <c r="C120" s="895"/>
      <c r="D120" s="895"/>
      <c r="E120" s="896"/>
      <c r="F120" s="897"/>
      <c r="G120" s="858"/>
      <c r="H120" s="864"/>
      <c r="I120" s="865"/>
      <c r="J120" s="864"/>
      <c r="K120" s="799">
        <f t="shared" si="6"/>
        <v>0</v>
      </c>
      <c r="L120" s="887"/>
    </row>
    <row r="121" spans="1:12" s="884" customFormat="1" ht="24" customHeight="1">
      <c r="A121" s="831" t="s">
        <v>3096</v>
      </c>
      <c r="B121" s="800" t="s">
        <v>1053</v>
      </c>
      <c r="C121" s="801"/>
      <c r="D121" s="801"/>
      <c r="E121" s="802"/>
      <c r="F121" s="867"/>
      <c r="G121" s="858"/>
      <c r="H121" s="864"/>
      <c r="I121" s="865"/>
      <c r="J121" s="864"/>
      <c r="K121" s="799">
        <f t="shared" si="6"/>
        <v>0</v>
      </c>
      <c r="L121" s="883"/>
    </row>
    <row r="122" spans="1:12" s="884" customFormat="1" ht="24" customHeight="1">
      <c r="A122" s="831"/>
      <c r="B122" s="720" t="s">
        <v>1054</v>
      </c>
      <c r="C122" s="792"/>
      <c r="D122" s="792"/>
      <c r="E122" s="793">
        <v>1</v>
      </c>
      <c r="F122" s="722" t="s">
        <v>240</v>
      </c>
      <c r="G122" s="795">
        <v>2400</v>
      </c>
      <c r="H122" s="796">
        <f t="shared" ref="H122:H137" si="8">ROUND(G122*E122,)</f>
        <v>2400</v>
      </c>
      <c r="I122" s="797"/>
      <c r="J122" s="796"/>
      <c r="K122" s="799">
        <f t="shared" si="6"/>
        <v>2400</v>
      </c>
      <c r="L122" s="883"/>
    </row>
    <row r="123" spans="1:12" s="884" customFormat="1" ht="24" customHeight="1">
      <c r="A123" s="831"/>
      <c r="B123" s="720" t="s">
        <v>1055</v>
      </c>
      <c r="C123" s="792"/>
      <c r="D123" s="792"/>
      <c r="E123" s="793">
        <v>1</v>
      </c>
      <c r="F123" s="722" t="s">
        <v>240</v>
      </c>
      <c r="G123" s="795">
        <v>2400</v>
      </c>
      <c r="H123" s="796">
        <f t="shared" si="8"/>
        <v>2400</v>
      </c>
      <c r="I123" s="797"/>
      <c r="J123" s="796"/>
      <c r="K123" s="799">
        <f t="shared" si="6"/>
        <v>2400</v>
      </c>
      <c r="L123" s="883"/>
    </row>
    <row r="124" spans="1:12" s="884" customFormat="1" ht="24" customHeight="1">
      <c r="A124" s="831"/>
      <c r="B124" s="720" t="s">
        <v>1056</v>
      </c>
      <c r="C124" s="792"/>
      <c r="D124" s="792"/>
      <c r="E124" s="793"/>
      <c r="F124" s="722" t="s">
        <v>240</v>
      </c>
      <c r="G124" s="795">
        <v>2400</v>
      </c>
      <c r="H124" s="796">
        <f t="shared" si="8"/>
        <v>0</v>
      </c>
      <c r="I124" s="797"/>
      <c r="J124" s="796"/>
      <c r="K124" s="799">
        <f t="shared" si="6"/>
        <v>0</v>
      </c>
      <c r="L124" s="883"/>
    </row>
    <row r="125" spans="1:12" s="884" customFormat="1" ht="24" customHeight="1">
      <c r="A125" s="831"/>
      <c r="B125" s="720" t="s">
        <v>1057</v>
      </c>
      <c r="C125" s="792"/>
      <c r="D125" s="792"/>
      <c r="E125" s="793">
        <v>1</v>
      </c>
      <c r="F125" s="722" t="s">
        <v>240</v>
      </c>
      <c r="G125" s="795">
        <v>2400</v>
      </c>
      <c r="H125" s="796">
        <f t="shared" si="8"/>
        <v>2400</v>
      </c>
      <c r="I125" s="797"/>
      <c r="J125" s="796"/>
      <c r="K125" s="799">
        <f t="shared" si="6"/>
        <v>2400</v>
      </c>
      <c r="L125" s="883"/>
    </row>
    <row r="126" spans="1:12" s="884" customFormat="1" ht="24" customHeight="1">
      <c r="A126" s="831"/>
      <c r="B126" s="720" t="s">
        <v>1058</v>
      </c>
      <c r="C126" s="792"/>
      <c r="D126" s="792"/>
      <c r="E126" s="793"/>
      <c r="F126" s="722" t="s">
        <v>240</v>
      </c>
      <c r="G126" s="795">
        <v>2400</v>
      </c>
      <c r="H126" s="796">
        <f t="shared" si="8"/>
        <v>0</v>
      </c>
      <c r="I126" s="797"/>
      <c r="J126" s="796"/>
      <c r="K126" s="799">
        <f t="shared" si="6"/>
        <v>0</v>
      </c>
      <c r="L126" s="883"/>
    </row>
    <row r="127" spans="1:12" s="884" customFormat="1" ht="24" customHeight="1">
      <c r="A127" s="831"/>
      <c r="B127" s="720" t="s">
        <v>1059</v>
      </c>
      <c r="C127" s="792"/>
      <c r="D127" s="792"/>
      <c r="E127" s="793"/>
      <c r="F127" s="722" t="s">
        <v>240</v>
      </c>
      <c r="G127" s="795">
        <v>2600</v>
      </c>
      <c r="H127" s="796">
        <f t="shared" si="8"/>
        <v>0</v>
      </c>
      <c r="I127" s="797"/>
      <c r="J127" s="796"/>
      <c r="K127" s="799">
        <f t="shared" si="6"/>
        <v>0</v>
      </c>
      <c r="L127" s="887"/>
    </row>
    <row r="128" spans="1:12" s="884" customFormat="1" ht="24" customHeight="1">
      <c r="A128" s="831"/>
      <c r="B128" s="720" t="s">
        <v>1060</v>
      </c>
      <c r="C128" s="792"/>
      <c r="D128" s="792"/>
      <c r="E128" s="793"/>
      <c r="F128" s="722" t="s">
        <v>240</v>
      </c>
      <c r="G128" s="795">
        <v>3000</v>
      </c>
      <c r="H128" s="796">
        <f t="shared" si="8"/>
        <v>0</v>
      </c>
      <c r="I128" s="797"/>
      <c r="J128" s="796"/>
      <c r="K128" s="799">
        <f t="shared" si="6"/>
        <v>0</v>
      </c>
      <c r="L128" s="887"/>
    </row>
    <row r="129" spans="1:17" s="884" customFormat="1" ht="24" customHeight="1">
      <c r="A129" s="831"/>
      <c r="B129" s="720" t="s">
        <v>1088</v>
      </c>
      <c r="C129" s="801"/>
      <c r="D129" s="801"/>
      <c r="E129" s="802"/>
      <c r="F129" s="803" t="s">
        <v>240</v>
      </c>
      <c r="G129" s="795">
        <v>5000</v>
      </c>
      <c r="H129" s="864">
        <f t="shared" si="8"/>
        <v>0</v>
      </c>
      <c r="I129" s="865"/>
      <c r="J129" s="864"/>
      <c r="K129" s="799">
        <f t="shared" si="6"/>
        <v>0</v>
      </c>
      <c r="L129" s="887"/>
    </row>
    <row r="130" spans="1:17" s="884" customFormat="1" ht="24" customHeight="1">
      <c r="A130" s="831"/>
      <c r="B130" s="720" t="s">
        <v>1105</v>
      </c>
      <c r="C130" s="801"/>
      <c r="D130" s="801"/>
      <c r="E130" s="802"/>
      <c r="F130" s="803" t="s">
        <v>240</v>
      </c>
      <c r="G130" s="795">
        <v>5700</v>
      </c>
      <c r="H130" s="864">
        <f t="shared" si="8"/>
        <v>0</v>
      </c>
      <c r="I130" s="865"/>
      <c r="J130" s="864"/>
      <c r="K130" s="799">
        <f t="shared" si="6"/>
        <v>0</v>
      </c>
      <c r="L130" s="887"/>
    </row>
    <row r="131" spans="1:17" s="884" customFormat="1" ht="24" customHeight="1">
      <c r="A131" s="2396"/>
      <c r="B131" s="720" t="s">
        <v>1086</v>
      </c>
      <c r="C131" s="801"/>
      <c r="D131" s="801"/>
      <c r="E131" s="802"/>
      <c r="F131" s="803" t="s">
        <v>240</v>
      </c>
      <c r="G131" s="795">
        <v>5700</v>
      </c>
      <c r="H131" s="864">
        <f t="shared" si="8"/>
        <v>0</v>
      </c>
      <c r="I131" s="865"/>
      <c r="J131" s="864"/>
      <c r="K131" s="799">
        <f t="shared" si="6"/>
        <v>0</v>
      </c>
      <c r="L131" s="887"/>
    </row>
    <row r="132" spans="1:17" s="884" customFormat="1" ht="24" customHeight="1">
      <c r="A132" s="831"/>
      <c r="B132" s="720" t="s">
        <v>1061</v>
      </c>
      <c r="C132" s="801"/>
      <c r="D132" s="801"/>
      <c r="E132" s="802"/>
      <c r="F132" s="803" t="s">
        <v>240</v>
      </c>
      <c r="G132" s="795">
        <v>8600</v>
      </c>
      <c r="H132" s="864">
        <f t="shared" si="8"/>
        <v>0</v>
      </c>
      <c r="I132" s="865"/>
      <c r="J132" s="864"/>
      <c r="K132" s="799">
        <f t="shared" si="6"/>
        <v>0</v>
      </c>
      <c r="L132" s="887"/>
    </row>
    <row r="133" spans="1:17" s="884" customFormat="1" ht="24" customHeight="1">
      <c r="A133" s="831"/>
      <c r="B133" s="720" t="s">
        <v>1062</v>
      </c>
      <c r="C133" s="801"/>
      <c r="D133" s="801"/>
      <c r="E133" s="802"/>
      <c r="F133" s="803" t="s">
        <v>240</v>
      </c>
      <c r="G133" s="795">
        <v>8600</v>
      </c>
      <c r="H133" s="864">
        <f t="shared" si="8"/>
        <v>0</v>
      </c>
      <c r="I133" s="865"/>
      <c r="J133" s="864"/>
      <c r="K133" s="799">
        <f t="shared" si="6"/>
        <v>0</v>
      </c>
      <c r="L133" s="887"/>
    </row>
    <row r="134" spans="1:17" s="884" customFormat="1" ht="24" customHeight="1">
      <c r="A134" s="831"/>
      <c r="B134" s="720" t="s">
        <v>1063</v>
      </c>
      <c r="C134" s="801"/>
      <c r="D134" s="801"/>
      <c r="E134" s="802"/>
      <c r="F134" s="803" t="s">
        <v>240</v>
      </c>
      <c r="G134" s="795">
        <v>11500</v>
      </c>
      <c r="H134" s="864">
        <f t="shared" si="8"/>
        <v>0</v>
      </c>
      <c r="I134" s="865"/>
      <c r="J134" s="864"/>
      <c r="K134" s="799">
        <f t="shared" si="6"/>
        <v>0</v>
      </c>
      <c r="L134" s="887"/>
    </row>
    <row r="135" spans="1:17" s="884" customFormat="1" ht="24" customHeight="1">
      <c r="A135" s="831"/>
      <c r="B135" s="720" t="s">
        <v>1106</v>
      </c>
      <c r="C135" s="801"/>
      <c r="D135" s="801"/>
      <c r="E135" s="802"/>
      <c r="F135" s="803" t="s">
        <v>240</v>
      </c>
      <c r="G135" s="795">
        <v>20200</v>
      </c>
      <c r="H135" s="864">
        <f t="shared" si="8"/>
        <v>0</v>
      </c>
      <c r="I135" s="865"/>
      <c r="J135" s="864"/>
      <c r="K135" s="799">
        <f t="shared" si="6"/>
        <v>0</v>
      </c>
      <c r="L135" s="887"/>
    </row>
    <row r="136" spans="1:17" s="884" customFormat="1" ht="24" customHeight="1">
      <c r="A136" s="2396"/>
      <c r="B136" s="720" t="s">
        <v>1107</v>
      </c>
      <c r="C136" s="801"/>
      <c r="D136" s="801"/>
      <c r="E136" s="802"/>
      <c r="F136" s="803" t="s">
        <v>240</v>
      </c>
      <c r="G136" s="795">
        <v>20200</v>
      </c>
      <c r="H136" s="864">
        <f t="shared" si="8"/>
        <v>0</v>
      </c>
      <c r="I136" s="865"/>
      <c r="J136" s="864"/>
      <c r="K136" s="799">
        <f t="shared" si="6"/>
        <v>0</v>
      </c>
      <c r="L136" s="887"/>
    </row>
    <row r="137" spans="1:17" s="884" customFormat="1" ht="24" customHeight="1">
      <c r="A137" s="878"/>
      <c r="B137" s="720" t="s">
        <v>1108</v>
      </c>
      <c r="C137" s="801"/>
      <c r="D137" s="801"/>
      <c r="E137" s="802"/>
      <c r="F137" s="803" t="s">
        <v>240</v>
      </c>
      <c r="G137" s="795">
        <v>20200</v>
      </c>
      <c r="H137" s="864">
        <f t="shared" si="8"/>
        <v>0</v>
      </c>
      <c r="I137" s="865"/>
      <c r="J137" s="864"/>
      <c r="K137" s="799">
        <f t="shared" si="6"/>
        <v>0</v>
      </c>
      <c r="L137" s="887"/>
    </row>
    <row r="138" spans="1:17" s="884" customFormat="1" ht="24" customHeight="1">
      <c r="A138" s="831" t="s">
        <v>3097</v>
      </c>
      <c r="B138" s="800" t="s">
        <v>1001</v>
      </c>
      <c r="C138" s="801"/>
      <c r="D138" s="801"/>
      <c r="E138" s="802"/>
      <c r="F138" s="867"/>
      <c r="G138" s="858"/>
      <c r="H138" s="864"/>
      <c r="I138" s="865"/>
      <c r="J138" s="864"/>
      <c r="K138" s="799">
        <f t="shared" si="6"/>
        <v>0</v>
      </c>
      <c r="L138" s="887"/>
    </row>
    <row r="139" spans="1:17" s="884" customFormat="1" ht="24" customHeight="1">
      <c r="A139" s="831"/>
      <c r="B139" s="800" t="s">
        <v>1114</v>
      </c>
      <c r="C139" s="801"/>
      <c r="D139" s="801"/>
      <c r="E139" s="802">
        <v>3</v>
      </c>
      <c r="F139" s="803" t="s">
        <v>240</v>
      </c>
      <c r="G139" s="858">
        <v>600</v>
      </c>
      <c r="H139" s="864">
        <f t="shared" ref="H139:H143" si="9">ROUND(G139*E139,)</f>
        <v>1800</v>
      </c>
      <c r="I139" s="865"/>
      <c r="J139" s="864"/>
      <c r="K139" s="799">
        <f t="shared" si="6"/>
        <v>1800</v>
      </c>
      <c r="L139" s="887"/>
    </row>
    <row r="140" spans="1:17" s="884" customFormat="1" ht="24" customHeight="1">
      <c r="A140" s="831"/>
      <c r="B140" s="800" t="s">
        <v>1003</v>
      </c>
      <c r="C140" s="801"/>
      <c r="D140" s="801"/>
      <c r="E140" s="802">
        <v>3</v>
      </c>
      <c r="F140" s="803" t="s">
        <v>240</v>
      </c>
      <c r="G140" s="858">
        <v>120</v>
      </c>
      <c r="H140" s="864">
        <f t="shared" si="9"/>
        <v>360</v>
      </c>
      <c r="I140" s="865"/>
      <c r="J140" s="864"/>
      <c r="K140" s="799">
        <f t="shared" si="6"/>
        <v>360</v>
      </c>
      <c r="L140" s="887"/>
    </row>
    <row r="141" spans="1:17" s="884" customFormat="1" ht="24" customHeight="1">
      <c r="A141" s="2396"/>
      <c r="B141" s="800" t="s">
        <v>1004</v>
      </c>
      <c r="C141" s="801"/>
      <c r="D141" s="801"/>
      <c r="E141" s="802">
        <v>3</v>
      </c>
      <c r="F141" s="803" t="s">
        <v>240</v>
      </c>
      <c r="G141" s="858">
        <v>100</v>
      </c>
      <c r="H141" s="864">
        <f t="shared" si="9"/>
        <v>300</v>
      </c>
      <c r="I141" s="865"/>
      <c r="J141" s="864"/>
      <c r="K141" s="799">
        <f t="shared" si="6"/>
        <v>300</v>
      </c>
      <c r="L141" s="887"/>
    </row>
    <row r="142" spans="1:17" s="714" customFormat="1" ht="24" customHeight="1">
      <c r="A142" s="1422"/>
      <c r="B142" s="800" t="s">
        <v>1065</v>
      </c>
      <c r="C142" s="801"/>
      <c r="D142" s="801"/>
      <c r="E142" s="802">
        <v>1</v>
      </c>
      <c r="F142" s="803" t="s">
        <v>240</v>
      </c>
      <c r="G142" s="858">
        <v>15435</v>
      </c>
      <c r="H142" s="864">
        <f t="shared" si="9"/>
        <v>15435</v>
      </c>
      <c r="I142" s="865"/>
      <c r="J142" s="864"/>
      <c r="K142" s="799">
        <f t="shared" si="6"/>
        <v>15435</v>
      </c>
      <c r="L142" s="887"/>
      <c r="M142" s="729"/>
      <c r="N142" s="729"/>
      <c r="O142" s="729"/>
      <c r="P142" s="729"/>
      <c r="Q142" s="729"/>
    </row>
    <row r="143" spans="1:17" s="714" customFormat="1" ht="24" customHeight="1">
      <c r="A143" s="831" t="s">
        <v>3098</v>
      </c>
      <c r="B143" s="720" t="s">
        <v>1066</v>
      </c>
      <c r="C143" s="792"/>
      <c r="D143" s="792"/>
      <c r="E143" s="793">
        <v>1</v>
      </c>
      <c r="F143" s="722" t="s">
        <v>948</v>
      </c>
      <c r="G143" s="795">
        <v>33400</v>
      </c>
      <c r="H143" s="796">
        <f t="shared" si="9"/>
        <v>33400</v>
      </c>
      <c r="I143" s="797">
        <f>G143*0.3</f>
        <v>10020</v>
      </c>
      <c r="J143" s="796">
        <f>ROUND(E143*I143,)</f>
        <v>10020</v>
      </c>
      <c r="K143" s="799">
        <f t="shared" si="6"/>
        <v>43420</v>
      </c>
      <c r="L143" s="964"/>
      <c r="M143" s="729"/>
      <c r="N143" s="729"/>
      <c r="O143" s="729"/>
      <c r="P143" s="729"/>
      <c r="Q143" s="729"/>
    </row>
    <row r="144" spans="1:17" s="884" customFormat="1" ht="24" customHeight="1">
      <c r="A144" s="878" t="s">
        <v>1415</v>
      </c>
      <c r="B144" s="894" t="s">
        <v>1128</v>
      </c>
      <c r="C144" s="895"/>
      <c r="D144" s="895"/>
      <c r="E144" s="896"/>
      <c r="F144" s="897"/>
      <c r="G144" s="858"/>
      <c r="H144" s="864"/>
      <c r="I144" s="865"/>
      <c r="J144" s="864"/>
      <c r="K144" s="799">
        <f t="shared" si="6"/>
        <v>0</v>
      </c>
      <c r="L144" s="887"/>
    </row>
    <row r="145" spans="1:12" s="884" customFormat="1" ht="24" customHeight="1">
      <c r="A145" s="831" t="s">
        <v>3104</v>
      </c>
      <c r="B145" s="800" t="s">
        <v>1053</v>
      </c>
      <c r="C145" s="801"/>
      <c r="D145" s="801"/>
      <c r="E145" s="802"/>
      <c r="F145" s="867"/>
      <c r="G145" s="858"/>
      <c r="H145" s="864"/>
      <c r="I145" s="865"/>
      <c r="J145" s="864"/>
      <c r="K145" s="799">
        <f t="shared" si="6"/>
        <v>0</v>
      </c>
      <c r="L145" s="887"/>
    </row>
    <row r="146" spans="1:12" s="884" customFormat="1" ht="24" customHeight="1">
      <c r="A146" s="831"/>
      <c r="B146" s="720" t="s">
        <v>1055</v>
      </c>
      <c r="C146" s="792"/>
      <c r="D146" s="792"/>
      <c r="E146" s="793">
        <v>1</v>
      </c>
      <c r="F146" s="722" t="s">
        <v>240</v>
      </c>
      <c r="G146" s="795">
        <v>2400</v>
      </c>
      <c r="H146" s="796">
        <f t="shared" ref="H146:H166" si="10">ROUND(G146*E146,)</f>
        <v>2400</v>
      </c>
      <c r="I146" s="797"/>
      <c r="J146" s="796"/>
      <c r="K146" s="799">
        <f t="shared" si="6"/>
        <v>2400</v>
      </c>
      <c r="L146" s="883"/>
    </row>
    <row r="147" spans="1:12" s="884" customFormat="1" ht="24" customHeight="1">
      <c r="A147" s="831"/>
      <c r="B147" s="720" t="s">
        <v>1056</v>
      </c>
      <c r="C147" s="792"/>
      <c r="D147" s="792"/>
      <c r="E147" s="793"/>
      <c r="F147" s="722" t="s">
        <v>240</v>
      </c>
      <c r="G147" s="795">
        <v>2400</v>
      </c>
      <c r="H147" s="796">
        <f t="shared" si="10"/>
        <v>0</v>
      </c>
      <c r="I147" s="797"/>
      <c r="J147" s="796"/>
      <c r="K147" s="799">
        <f t="shared" si="6"/>
        <v>0</v>
      </c>
      <c r="L147" s="883"/>
    </row>
    <row r="148" spans="1:12" s="884" customFormat="1" ht="24" customHeight="1">
      <c r="A148" s="831"/>
      <c r="B148" s="720" t="s">
        <v>1057</v>
      </c>
      <c r="C148" s="792"/>
      <c r="D148" s="792"/>
      <c r="E148" s="793"/>
      <c r="F148" s="722" t="s">
        <v>240</v>
      </c>
      <c r="G148" s="795">
        <v>2400</v>
      </c>
      <c r="H148" s="796">
        <f t="shared" si="10"/>
        <v>0</v>
      </c>
      <c r="I148" s="797"/>
      <c r="J148" s="796"/>
      <c r="K148" s="799">
        <f t="shared" si="6"/>
        <v>0</v>
      </c>
      <c r="L148" s="883"/>
    </row>
    <row r="149" spans="1:12" s="884" customFormat="1" ht="24" customHeight="1">
      <c r="A149" s="831"/>
      <c r="B149" s="720" t="s">
        <v>1058</v>
      </c>
      <c r="C149" s="792"/>
      <c r="D149" s="792"/>
      <c r="E149" s="793"/>
      <c r="F149" s="722" t="s">
        <v>240</v>
      </c>
      <c r="G149" s="795">
        <v>2400</v>
      </c>
      <c r="H149" s="796">
        <f t="shared" si="10"/>
        <v>0</v>
      </c>
      <c r="I149" s="797"/>
      <c r="J149" s="796"/>
      <c r="K149" s="799">
        <f t="shared" si="6"/>
        <v>0</v>
      </c>
      <c r="L149" s="883"/>
    </row>
    <row r="150" spans="1:12" s="884" customFormat="1" ht="24" customHeight="1">
      <c r="A150" s="831"/>
      <c r="B150" s="720" t="s">
        <v>1059</v>
      </c>
      <c r="C150" s="792"/>
      <c r="D150" s="792"/>
      <c r="E150" s="793"/>
      <c r="F150" s="722" t="s">
        <v>240</v>
      </c>
      <c r="G150" s="795">
        <v>2600</v>
      </c>
      <c r="H150" s="796">
        <f t="shared" si="10"/>
        <v>0</v>
      </c>
      <c r="I150" s="797"/>
      <c r="J150" s="796"/>
      <c r="K150" s="799">
        <f t="shared" si="6"/>
        <v>0</v>
      </c>
      <c r="L150" s="883"/>
    </row>
    <row r="151" spans="1:12" s="884" customFormat="1" ht="24" customHeight="1">
      <c r="A151" s="831"/>
      <c r="B151" s="720" t="s">
        <v>1060</v>
      </c>
      <c r="C151" s="792"/>
      <c r="D151" s="792"/>
      <c r="E151" s="793"/>
      <c r="F151" s="722" t="s">
        <v>240</v>
      </c>
      <c r="G151" s="795">
        <v>3000</v>
      </c>
      <c r="H151" s="796">
        <f t="shared" si="10"/>
        <v>0</v>
      </c>
      <c r="I151" s="797"/>
      <c r="J151" s="796"/>
      <c r="K151" s="799">
        <f t="shared" si="6"/>
        <v>0</v>
      </c>
      <c r="L151" s="883"/>
    </row>
    <row r="152" spans="1:12" s="884" customFormat="1" ht="24" customHeight="1">
      <c r="A152" s="831"/>
      <c r="B152" s="720" t="s">
        <v>1088</v>
      </c>
      <c r="C152" s="801"/>
      <c r="D152" s="801"/>
      <c r="E152" s="802"/>
      <c r="F152" s="803" t="s">
        <v>240</v>
      </c>
      <c r="G152" s="858">
        <v>2400</v>
      </c>
      <c r="H152" s="864">
        <f t="shared" si="10"/>
        <v>0</v>
      </c>
      <c r="I152" s="865"/>
      <c r="J152" s="864"/>
      <c r="K152" s="799">
        <f t="shared" si="6"/>
        <v>0</v>
      </c>
      <c r="L152" s="887"/>
    </row>
    <row r="153" spans="1:12" s="884" customFormat="1" ht="24" customHeight="1">
      <c r="A153" s="831"/>
      <c r="B153" s="720" t="s">
        <v>1105</v>
      </c>
      <c r="C153" s="801"/>
      <c r="D153" s="801"/>
      <c r="E153" s="802"/>
      <c r="F153" s="803" t="s">
        <v>240</v>
      </c>
      <c r="G153" s="858">
        <v>2400</v>
      </c>
      <c r="H153" s="864">
        <f t="shared" si="10"/>
        <v>0</v>
      </c>
      <c r="I153" s="865"/>
      <c r="J153" s="864"/>
      <c r="K153" s="799">
        <f t="shared" si="6"/>
        <v>0</v>
      </c>
      <c r="L153" s="887"/>
    </row>
    <row r="154" spans="1:12" s="884" customFormat="1" ht="24" customHeight="1">
      <c r="A154" s="831"/>
      <c r="B154" s="720" t="s">
        <v>1086</v>
      </c>
      <c r="C154" s="801"/>
      <c r="D154" s="801"/>
      <c r="E154" s="802"/>
      <c r="F154" s="803" t="s">
        <v>240</v>
      </c>
      <c r="G154" s="858">
        <v>3000</v>
      </c>
      <c r="H154" s="864">
        <f t="shared" si="10"/>
        <v>0</v>
      </c>
      <c r="I154" s="865"/>
      <c r="J154" s="864"/>
      <c r="K154" s="799">
        <f t="shared" si="6"/>
        <v>0</v>
      </c>
      <c r="L154" s="887"/>
    </row>
    <row r="155" spans="1:12" s="884" customFormat="1" ht="24" customHeight="1">
      <c r="A155" s="831"/>
      <c r="B155" s="720" t="s">
        <v>1061</v>
      </c>
      <c r="C155" s="801"/>
      <c r="D155" s="801"/>
      <c r="E155" s="802"/>
      <c r="F155" s="803" t="s">
        <v>240</v>
      </c>
      <c r="G155" s="858">
        <v>5700</v>
      </c>
      <c r="H155" s="864">
        <f t="shared" si="10"/>
        <v>0</v>
      </c>
      <c r="I155" s="865"/>
      <c r="J155" s="864"/>
      <c r="K155" s="799">
        <f t="shared" si="6"/>
        <v>0</v>
      </c>
      <c r="L155" s="887"/>
    </row>
    <row r="156" spans="1:12" s="884" customFormat="1" ht="24" customHeight="1">
      <c r="A156" s="2396"/>
      <c r="B156" s="720" t="s">
        <v>1062</v>
      </c>
      <c r="C156" s="801"/>
      <c r="D156" s="801"/>
      <c r="E156" s="802"/>
      <c r="F156" s="803" t="s">
        <v>240</v>
      </c>
      <c r="G156" s="858">
        <v>5700</v>
      </c>
      <c r="H156" s="864">
        <f t="shared" si="10"/>
        <v>0</v>
      </c>
      <c r="I156" s="865"/>
      <c r="J156" s="864"/>
      <c r="K156" s="799">
        <f t="shared" si="6"/>
        <v>0</v>
      </c>
      <c r="L156" s="887"/>
    </row>
    <row r="157" spans="1:12" s="884" customFormat="1" ht="24" customHeight="1">
      <c r="A157" s="831"/>
      <c r="B157" s="720" t="s">
        <v>1063</v>
      </c>
      <c r="C157" s="801"/>
      <c r="D157" s="801"/>
      <c r="E157" s="802"/>
      <c r="F157" s="803" t="s">
        <v>240</v>
      </c>
      <c r="G157" s="858">
        <v>5700</v>
      </c>
      <c r="H157" s="864">
        <f t="shared" si="10"/>
        <v>0</v>
      </c>
      <c r="I157" s="865"/>
      <c r="J157" s="864"/>
      <c r="K157" s="799">
        <f t="shared" si="6"/>
        <v>0</v>
      </c>
      <c r="L157" s="887"/>
    </row>
    <row r="158" spans="1:12" s="884" customFormat="1" ht="24" customHeight="1">
      <c r="A158" s="831"/>
      <c r="B158" s="720" t="s">
        <v>1106</v>
      </c>
      <c r="C158" s="801"/>
      <c r="D158" s="801"/>
      <c r="E158" s="802"/>
      <c r="F158" s="803" t="s">
        <v>240</v>
      </c>
      <c r="G158" s="858">
        <v>5700</v>
      </c>
      <c r="H158" s="864">
        <f t="shared" si="10"/>
        <v>0</v>
      </c>
      <c r="I158" s="865"/>
      <c r="J158" s="864"/>
      <c r="K158" s="799">
        <f t="shared" si="6"/>
        <v>0</v>
      </c>
      <c r="L158" s="887"/>
    </row>
    <row r="159" spans="1:12" s="884" customFormat="1" ht="24" customHeight="1">
      <c r="A159" s="831"/>
      <c r="B159" s="720" t="s">
        <v>1107</v>
      </c>
      <c r="C159" s="801"/>
      <c r="D159" s="801"/>
      <c r="E159" s="802"/>
      <c r="F159" s="803" t="s">
        <v>240</v>
      </c>
      <c r="G159" s="858">
        <v>5700</v>
      </c>
      <c r="H159" s="864">
        <f t="shared" si="10"/>
        <v>0</v>
      </c>
      <c r="I159" s="865"/>
      <c r="J159" s="864"/>
      <c r="K159" s="799">
        <f t="shared" si="6"/>
        <v>0</v>
      </c>
      <c r="L159" s="887"/>
    </row>
    <row r="160" spans="1:12" s="884" customFormat="1" ht="24" customHeight="1">
      <c r="A160" s="831"/>
      <c r="B160" s="720" t="s">
        <v>1108</v>
      </c>
      <c r="C160" s="801"/>
      <c r="D160" s="801"/>
      <c r="E160" s="802"/>
      <c r="F160" s="803" t="s">
        <v>240</v>
      </c>
      <c r="G160" s="858">
        <v>5700</v>
      </c>
      <c r="H160" s="864">
        <f t="shared" si="10"/>
        <v>0</v>
      </c>
      <c r="I160" s="865"/>
      <c r="J160" s="864"/>
      <c r="K160" s="799">
        <f t="shared" ref="K160:K166" si="11">H160+J160</f>
        <v>0</v>
      </c>
      <c r="L160" s="887"/>
    </row>
    <row r="161" spans="1:18" s="884" customFormat="1" ht="24" customHeight="1">
      <c r="A161" s="831" t="s">
        <v>3105</v>
      </c>
      <c r="B161" s="800" t="s">
        <v>1001</v>
      </c>
      <c r="C161" s="801"/>
      <c r="D161" s="801"/>
      <c r="E161" s="802"/>
      <c r="F161" s="867"/>
      <c r="G161" s="858"/>
      <c r="H161" s="864">
        <f t="shared" si="10"/>
        <v>0</v>
      </c>
      <c r="I161" s="865"/>
      <c r="J161" s="864"/>
      <c r="K161" s="799">
        <f t="shared" si="11"/>
        <v>0</v>
      </c>
      <c r="L161" s="887"/>
    </row>
    <row r="162" spans="1:18" s="884" customFormat="1" ht="24" customHeight="1">
      <c r="A162" s="831"/>
      <c r="B162" s="800" t="s">
        <v>1073</v>
      </c>
      <c r="C162" s="801"/>
      <c r="D162" s="801"/>
      <c r="E162" s="802">
        <v>3</v>
      </c>
      <c r="F162" s="803" t="s">
        <v>240</v>
      </c>
      <c r="G162" s="858">
        <v>600</v>
      </c>
      <c r="H162" s="864">
        <f t="shared" si="10"/>
        <v>1800</v>
      </c>
      <c r="I162" s="865"/>
      <c r="J162" s="864"/>
      <c r="K162" s="799">
        <f t="shared" si="11"/>
        <v>1800</v>
      </c>
      <c r="L162" s="887"/>
    </row>
    <row r="163" spans="1:18" s="884" customFormat="1" ht="24" customHeight="1">
      <c r="A163" s="831"/>
      <c r="B163" s="800" t="s">
        <v>1003</v>
      </c>
      <c r="C163" s="801"/>
      <c r="D163" s="801"/>
      <c r="E163" s="802">
        <v>3</v>
      </c>
      <c r="F163" s="803" t="s">
        <v>240</v>
      </c>
      <c r="G163" s="858">
        <v>120</v>
      </c>
      <c r="H163" s="864">
        <f t="shared" si="10"/>
        <v>360</v>
      </c>
      <c r="I163" s="865"/>
      <c r="J163" s="864"/>
      <c r="K163" s="799">
        <f t="shared" si="11"/>
        <v>360</v>
      </c>
      <c r="L163" s="887"/>
    </row>
    <row r="164" spans="1:18" s="884" customFormat="1" ht="24" customHeight="1">
      <c r="A164" s="831"/>
      <c r="B164" s="800" t="s">
        <v>1004</v>
      </c>
      <c r="C164" s="801"/>
      <c r="D164" s="801"/>
      <c r="E164" s="802">
        <v>3</v>
      </c>
      <c r="F164" s="803" t="s">
        <v>240</v>
      </c>
      <c r="G164" s="858">
        <v>100</v>
      </c>
      <c r="H164" s="864">
        <f t="shared" si="10"/>
        <v>300</v>
      </c>
      <c r="I164" s="865"/>
      <c r="J164" s="864"/>
      <c r="K164" s="799">
        <f t="shared" si="11"/>
        <v>300</v>
      </c>
      <c r="L164" s="887"/>
    </row>
    <row r="165" spans="1:18" s="884" customFormat="1" ht="24" customHeight="1">
      <c r="A165" s="2396"/>
      <c r="B165" s="800" t="s">
        <v>1065</v>
      </c>
      <c r="C165" s="801"/>
      <c r="D165" s="801"/>
      <c r="E165" s="802">
        <v>4</v>
      </c>
      <c r="F165" s="803" t="s">
        <v>240</v>
      </c>
      <c r="G165" s="858">
        <v>15435</v>
      </c>
      <c r="H165" s="864">
        <f t="shared" si="10"/>
        <v>61740</v>
      </c>
      <c r="I165" s="865"/>
      <c r="J165" s="864"/>
      <c r="K165" s="799">
        <f t="shared" si="11"/>
        <v>61740</v>
      </c>
      <c r="L165" s="887"/>
    </row>
    <row r="166" spans="1:18" s="884" customFormat="1" ht="24" customHeight="1">
      <c r="A166" s="831" t="s">
        <v>3106</v>
      </c>
      <c r="B166" s="800" t="s">
        <v>1066</v>
      </c>
      <c r="C166" s="801"/>
      <c r="D166" s="801"/>
      <c r="E166" s="802">
        <v>1</v>
      </c>
      <c r="F166" s="803" t="s">
        <v>948</v>
      </c>
      <c r="G166" s="795">
        <v>33400</v>
      </c>
      <c r="H166" s="864">
        <f t="shared" si="10"/>
        <v>33400</v>
      </c>
      <c r="I166" s="865">
        <f>G166*0.3</f>
        <v>10020</v>
      </c>
      <c r="J166" s="864">
        <f>ROUND(E166*I166,)</f>
        <v>10020</v>
      </c>
      <c r="K166" s="799">
        <f t="shared" si="11"/>
        <v>43420</v>
      </c>
      <c r="L166" s="887"/>
    </row>
    <row r="167" spans="1:18" s="714" customFormat="1" ht="24" customHeight="1">
      <c r="A167" s="831"/>
      <c r="B167" s="720" t="s">
        <v>957</v>
      </c>
      <c r="C167" s="792"/>
      <c r="D167" s="792"/>
      <c r="E167" s="793"/>
      <c r="F167" s="794"/>
      <c r="G167" s="795"/>
      <c r="H167" s="796"/>
      <c r="I167" s="797"/>
      <c r="J167" s="864"/>
      <c r="K167" s="906"/>
      <c r="L167" s="964"/>
      <c r="M167" s="729"/>
      <c r="N167" s="729"/>
      <c r="O167" s="729"/>
      <c r="P167" s="729"/>
      <c r="Q167" s="729"/>
    </row>
    <row r="168" spans="1:18" s="714" customFormat="1" ht="24" customHeight="1">
      <c r="A168" s="719"/>
      <c r="B168" s="720" t="s">
        <v>1428</v>
      </c>
      <c r="C168" s="717"/>
      <c r="D168" s="718"/>
      <c r="E168" s="721"/>
      <c r="F168" s="722"/>
      <c r="G168" s="710"/>
      <c r="H168" s="711"/>
      <c r="I168" s="712"/>
      <c r="J168" s="957"/>
      <c r="K168" s="958"/>
      <c r="L168" s="954"/>
    </row>
    <row r="169" spans="1:18" s="714" customFormat="1" ht="24" customHeight="1">
      <c r="A169" s="719"/>
      <c r="B169" s="720" t="s">
        <v>1428</v>
      </c>
      <c r="C169" s="717"/>
      <c r="D169" s="718"/>
      <c r="E169" s="721"/>
      <c r="F169" s="722"/>
      <c r="G169" s="710"/>
      <c r="H169" s="711"/>
      <c r="I169" s="712"/>
      <c r="J169" s="957"/>
      <c r="K169" s="958"/>
      <c r="L169" s="954"/>
    </row>
    <row r="170" spans="1:18" s="714" customFormat="1" ht="24" customHeight="1">
      <c r="A170" s="719"/>
      <c r="B170" s="955"/>
      <c r="C170" s="717"/>
      <c r="D170" s="718"/>
      <c r="E170" s="721"/>
      <c r="F170" s="722"/>
      <c r="G170" s="710"/>
      <c r="H170" s="711"/>
      <c r="I170" s="956"/>
      <c r="J170" s="957"/>
      <c r="K170" s="958"/>
      <c r="L170" s="954"/>
    </row>
    <row r="171" spans="1:18" s="714" customFormat="1" ht="24" customHeight="1">
      <c r="A171" s="775"/>
      <c r="B171" s="2475" t="str">
        <f>"รวมราคารายการที่ "&amp;A95</f>
        <v>รวมราคารายการที่ 3.2</v>
      </c>
      <c r="C171" s="2476"/>
      <c r="D171" s="2477"/>
      <c r="E171" s="776"/>
      <c r="F171" s="777"/>
      <c r="G171" s="959"/>
      <c r="H171" s="960">
        <f>SUM(H95:H170)</f>
        <v>212190</v>
      </c>
      <c r="I171" s="959"/>
      <c r="J171" s="960">
        <f>SUM(J95:J170)</f>
        <v>30060</v>
      </c>
      <c r="K171" s="960">
        <f>SUM(K95:K170)</f>
        <v>242250</v>
      </c>
      <c r="L171" s="777"/>
      <c r="M171" s="729"/>
      <c r="N171" s="729"/>
      <c r="O171" s="729"/>
      <c r="P171" s="729"/>
      <c r="Q171" s="729"/>
    </row>
    <row r="172" spans="1:18" s="714" customFormat="1" ht="24" customHeight="1">
      <c r="A172" s="961" t="s">
        <v>1279</v>
      </c>
      <c r="B172" s="782" t="s">
        <v>1267</v>
      </c>
      <c r="C172" s="784"/>
      <c r="D172" s="784"/>
      <c r="E172" s="785"/>
      <c r="F172" s="786"/>
      <c r="G172" s="787"/>
      <c r="H172" s="788"/>
      <c r="I172" s="789"/>
      <c r="J172" s="788"/>
      <c r="K172" s="965"/>
      <c r="L172" s="1074"/>
      <c r="M172" s="729"/>
      <c r="N172" s="729"/>
      <c r="O172" s="729"/>
      <c r="P172" s="729"/>
      <c r="Q172" s="729"/>
      <c r="R172" s="729"/>
    </row>
    <row r="173" spans="1:18" s="714" customFormat="1" ht="24" customHeight="1">
      <c r="A173" s="911" t="s">
        <v>965</v>
      </c>
      <c r="B173" s="1043" t="s">
        <v>1389</v>
      </c>
      <c r="C173" s="859"/>
      <c r="D173" s="859"/>
      <c r="E173" s="851"/>
      <c r="F173" s="852"/>
      <c r="G173" s="853"/>
      <c r="H173" s="854"/>
      <c r="I173" s="855"/>
      <c r="J173" s="854"/>
      <c r="K173" s="1007"/>
      <c r="L173" s="1008"/>
      <c r="M173" s="729"/>
      <c r="N173" s="729"/>
      <c r="O173" s="729"/>
      <c r="P173" s="729"/>
      <c r="Q173" s="729"/>
    </row>
    <row r="174" spans="1:18" s="714" customFormat="1" ht="24" customHeight="1">
      <c r="A174" s="911"/>
      <c r="B174" s="800" t="s">
        <v>1514</v>
      </c>
      <c r="C174" s="859"/>
      <c r="D174" s="859"/>
      <c r="E174" s="851">
        <v>1</v>
      </c>
      <c r="F174" s="803" t="s">
        <v>240</v>
      </c>
      <c r="G174" s="853">
        <v>5800</v>
      </c>
      <c r="H174" s="864">
        <f t="shared" ref="H174:H181" si="12">ROUND(E174*G174,)</f>
        <v>5800</v>
      </c>
      <c r="I174" s="855">
        <v>1000</v>
      </c>
      <c r="J174" s="864">
        <f>ROUND(E174*I174,)</f>
        <v>1000</v>
      </c>
      <c r="K174" s="1030">
        <f t="shared" ref="K174:K214" si="13">H174+J174</f>
        <v>6800</v>
      </c>
      <c r="L174" s="1008"/>
      <c r="M174" s="729"/>
      <c r="N174" s="729"/>
      <c r="O174" s="729"/>
      <c r="P174" s="729"/>
      <c r="Q174" s="729"/>
    </row>
    <row r="175" spans="1:18" s="714" customFormat="1" ht="24" customHeight="1">
      <c r="A175" s="911"/>
      <c r="B175" s="800" t="s">
        <v>1271</v>
      </c>
      <c r="C175" s="801"/>
      <c r="D175" s="801"/>
      <c r="E175" s="802">
        <v>18</v>
      </c>
      <c r="F175" s="803" t="s">
        <v>240</v>
      </c>
      <c r="G175" s="858">
        <v>138</v>
      </c>
      <c r="H175" s="864">
        <f t="shared" si="12"/>
        <v>2484</v>
      </c>
      <c r="I175" s="865"/>
      <c r="J175" s="864"/>
      <c r="K175" s="1030">
        <f t="shared" si="13"/>
        <v>2484</v>
      </c>
      <c r="L175" s="1010"/>
      <c r="M175" s="729"/>
      <c r="N175" s="729"/>
      <c r="O175" s="729"/>
      <c r="P175" s="729"/>
      <c r="Q175" s="729"/>
    </row>
    <row r="176" spans="1:18" s="714" customFormat="1" ht="24" customHeight="1">
      <c r="A176" s="861"/>
      <c r="B176" s="800" t="s">
        <v>1397</v>
      </c>
      <c r="C176" s="801"/>
      <c r="D176" s="801"/>
      <c r="E176" s="802">
        <v>1</v>
      </c>
      <c r="F176" s="803" t="s">
        <v>240</v>
      </c>
      <c r="G176" s="858">
        <v>680</v>
      </c>
      <c r="H176" s="864">
        <f t="shared" si="12"/>
        <v>680</v>
      </c>
      <c r="I176" s="865"/>
      <c r="J176" s="864"/>
      <c r="K176" s="1030">
        <f t="shared" si="13"/>
        <v>680</v>
      </c>
      <c r="L176" s="1010"/>
      <c r="M176" s="729"/>
      <c r="N176" s="729"/>
      <c r="O176" s="729"/>
      <c r="P176" s="729"/>
    </row>
    <row r="177" spans="1:18" s="714" customFormat="1" ht="24" customHeight="1">
      <c r="A177" s="911"/>
      <c r="B177" s="800" t="s">
        <v>1515</v>
      </c>
      <c r="C177" s="859"/>
      <c r="D177" s="859"/>
      <c r="E177" s="851">
        <v>1</v>
      </c>
      <c r="F177" s="803" t="s">
        <v>240</v>
      </c>
      <c r="G177" s="858">
        <v>7000</v>
      </c>
      <c r="H177" s="796">
        <v>7000</v>
      </c>
      <c r="I177" s="797">
        <v>1500</v>
      </c>
      <c r="J177" s="796">
        <v>1500</v>
      </c>
      <c r="K177" s="1030">
        <f t="shared" si="13"/>
        <v>8500</v>
      </c>
      <c r="L177" s="1008"/>
      <c r="M177" s="729"/>
      <c r="N177" s="729"/>
      <c r="O177" s="729"/>
      <c r="P177" s="729"/>
      <c r="Q177" s="729"/>
    </row>
    <row r="178" spans="1:18" s="714" customFormat="1" ht="24" customHeight="1">
      <c r="A178" s="911"/>
      <c r="B178" s="800" t="s">
        <v>1271</v>
      </c>
      <c r="C178" s="801"/>
      <c r="D178" s="801"/>
      <c r="E178" s="802">
        <v>24</v>
      </c>
      <c r="F178" s="803" t="s">
        <v>240</v>
      </c>
      <c r="G178" s="858">
        <v>138</v>
      </c>
      <c r="H178" s="864">
        <f t="shared" ref="H178" si="14">ROUND(E178*G178,)</f>
        <v>3312</v>
      </c>
      <c r="I178" s="865"/>
      <c r="J178" s="864"/>
      <c r="K178" s="1030">
        <f t="shared" si="13"/>
        <v>3312</v>
      </c>
      <c r="L178" s="1010"/>
      <c r="M178" s="729"/>
      <c r="N178" s="729"/>
      <c r="O178" s="729"/>
      <c r="P178" s="729"/>
      <c r="Q178" s="729"/>
    </row>
    <row r="179" spans="1:18" s="884" customFormat="1" ht="24" customHeight="1">
      <c r="A179" s="1045"/>
      <c r="B179" s="800" t="s">
        <v>1516</v>
      </c>
      <c r="C179" s="859"/>
      <c r="D179" s="859"/>
      <c r="E179" s="851">
        <v>1</v>
      </c>
      <c r="F179" s="803" t="s">
        <v>240</v>
      </c>
      <c r="G179" s="853">
        <v>5800</v>
      </c>
      <c r="H179" s="864">
        <f t="shared" si="12"/>
        <v>5800</v>
      </c>
      <c r="I179" s="855">
        <v>1000</v>
      </c>
      <c r="J179" s="864">
        <f>ROUND(E179*I179,)</f>
        <v>1000</v>
      </c>
      <c r="K179" s="1030">
        <f t="shared" si="13"/>
        <v>6800</v>
      </c>
      <c r="L179" s="1075"/>
      <c r="M179" s="1027"/>
      <c r="N179" s="1027"/>
      <c r="O179" s="1027"/>
      <c r="P179" s="1027"/>
      <c r="Q179" s="1027"/>
    </row>
    <row r="180" spans="1:18" s="884" customFormat="1" ht="24" customHeight="1">
      <c r="A180" s="1045"/>
      <c r="B180" s="800" t="s">
        <v>1271</v>
      </c>
      <c r="C180" s="801"/>
      <c r="D180" s="801"/>
      <c r="E180" s="802">
        <v>18</v>
      </c>
      <c r="F180" s="803" t="s">
        <v>240</v>
      </c>
      <c r="G180" s="858">
        <v>138</v>
      </c>
      <c r="H180" s="864">
        <f t="shared" si="12"/>
        <v>2484</v>
      </c>
      <c r="I180" s="865"/>
      <c r="J180" s="864"/>
      <c r="K180" s="1030">
        <f t="shared" si="13"/>
        <v>2484</v>
      </c>
      <c r="L180" s="1076"/>
      <c r="M180" s="1027"/>
      <c r="N180" s="1027"/>
      <c r="O180" s="1027"/>
      <c r="P180" s="1027"/>
      <c r="Q180" s="1027"/>
    </row>
    <row r="181" spans="1:18" s="714" customFormat="1" ht="24" customHeight="1">
      <c r="A181" s="861"/>
      <c r="B181" s="800" t="s">
        <v>1397</v>
      </c>
      <c r="C181" s="801"/>
      <c r="D181" s="801"/>
      <c r="E181" s="802">
        <v>1</v>
      </c>
      <c r="F181" s="803" t="s">
        <v>240</v>
      </c>
      <c r="G181" s="858">
        <v>680</v>
      </c>
      <c r="H181" s="864">
        <f t="shared" si="12"/>
        <v>680</v>
      </c>
      <c r="I181" s="865"/>
      <c r="J181" s="864"/>
      <c r="K181" s="1030">
        <f t="shared" si="13"/>
        <v>680</v>
      </c>
      <c r="L181" s="1010"/>
      <c r="M181" s="729"/>
      <c r="N181" s="729"/>
      <c r="O181" s="729"/>
      <c r="P181" s="729"/>
    </row>
    <row r="182" spans="1:18" s="714" customFormat="1" ht="24" customHeight="1">
      <c r="A182" s="868" t="s">
        <v>969</v>
      </c>
      <c r="B182" s="1047" t="s">
        <v>1447</v>
      </c>
      <c r="C182" s="1048"/>
      <c r="D182" s="1048"/>
      <c r="E182" s="1049"/>
      <c r="F182" s="1050"/>
      <c r="G182" s="858"/>
      <c r="H182" s="864"/>
      <c r="I182" s="865"/>
      <c r="J182" s="864"/>
      <c r="K182" s="966"/>
      <c r="L182" s="1010"/>
      <c r="M182" s="729"/>
      <c r="N182" s="729"/>
      <c r="O182" s="729"/>
      <c r="P182" s="729"/>
      <c r="Q182" s="729"/>
      <c r="R182" s="729"/>
    </row>
    <row r="183" spans="1:18" s="714" customFormat="1" ht="24" customHeight="1">
      <c r="A183" s="911"/>
      <c r="B183" s="800" t="s">
        <v>1517</v>
      </c>
      <c r="C183" s="859"/>
      <c r="D183" s="859"/>
      <c r="E183" s="851">
        <v>1</v>
      </c>
      <c r="F183" s="803" t="s">
        <v>240</v>
      </c>
      <c r="G183" s="853">
        <v>5500</v>
      </c>
      <c r="H183" s="864">
        <f t="shared" ref="H183:H187" si="15">ROUND(E183*G183,)</f>
        <v>5500</v>
      </c>
      <c r="I183" s="855">
        <v>1000</v>
      </c>
      <c r="J183" s="864">
        <f>ROUND(E183*I183,)</f>
        <v>1000</v>
      </c>
      <c r="K183" s="1030">
        <f t="shared" si="13"/>
        <v>6500</v>
      </c>
      <c r="L183" s="1008"/>
      <c r="M183" s="729"/>
      <c r="N183" s="729"/>
      <c r="O183" s="729"/>
      <c r="P183" s="729"/>
      <c r="Q183" s="729"/>
    </row>
    <row r="184" spans="1:18" s="714" customFormat="1" ht="24" customHeight="1">
      <c r="A184" s="911"/>
      <c r="B184" s="800" t="s">
        <v>1518</v>
      </c>
      <c r="C184" s="859"/>
      <c r="D184" s="859"/>
      <c r="E184" s="851">
        <v>1</v>
      </c>
      <c r="F184" s="803" t="s">
        <v>240</v>
      </c>
      <c r="G184" s="858">
        <v>3000</v>
      </c>
      <c r="H184" s="796">
        <v>2400</v>
      </c>
      <c r="I184" s="797"/>
      <c r="J184" s="796">
        <v>0</v>
      </c>
      <c r="K184" s="1030">
        <f t="shared" si="13"/>
        <v>2400</v>
      </c>
      <c r="L184" s="1008"/>
      <c r="M184" s="729"/>
      <c r="N184" s="729"/>
      <c r="O184" s="729"/>
      <c r="P184" s="729"/>
      <c r="Q184" s="729"/>
    </row>
    <row r="185" spans="1:18" s="714" customFormat="1" ht="24" customHeight="1">
      <c r="A185" s="911"/>
      <c r="B185" s="800" t="s">
        <v>1271</v>
      </c>
      <c r="C185" s="801"/>
      <c r="D185" s="801"/>
      <c r="E185" s="802">
        <v>12</v>
      </c>
      <c r="F185" s="803" t="s">
        <v>240</v>
      </c>
      <c r="G185" s="858">
        <v>138</v>
      </c>
      <c r="H185" s="864">
        <f t="shared" si="15"/>
        <v>1656</v>
      </c>
      <c r="I185" s="865"/>
      <c r="J185" s="864"/>
      <c r="K185" s="1030">
        <f t="shared" si="13"/>
        <v>1656</v>
      </c>
      <c r="L185" s="1010"/>
      <c r="M185" s="729"/>
      <c r="N185" s="729"/>
      <c r="O185" s="729"/>
      <c r="P185" s="729"/>
      <c r="Q185" s="729"/>
    </row>
    <row r="186" spans="1:18" s="714" customFormat="1" ht="24" customHeight="1">
      <c r="A186" s="861"/>
      <c r="B186" s="800" t="s">
        <v>1392</v>
      </c>
      <c r="C186" s="801"/>
      <c r="D186" s="801"/>
      <c r="E186" s="802">
        <v>2</v>
      </c>
      <c r="F186" s="803" t="s">
        <v>240</v>
      </c>
      <c r="G186" s="858">
        <v>680</v>
      </c>
      <c r="H186" s="864">
        <f t="shared" si="15"/>
        <v>1360</v>
      </c>
      <c r="I186" s="865"/>
      <c r="J186" s="864"/>
      <c r="K186" s="1030">
        <f t="shared" si="13"/>
        <v>1360</v>
      </c>
      <c r="L186" s="1010"/>
      <c r="M186" s="729"/>
      <c r="N186" s="729"/>
      <c r="O186" s="729"/>
      <c r="P186" s="729"/>
    </row>
    <row r="187" spans="1:18" s="714" customFormat="1" ht="24" customHeight="1">
      <c r="A187" s="911"/>
      <c r="B187" s="800" t="s">
        <v>1519</v>
      </c>
      <c r="C187" s="859"/>
      <c r="D187" s="859"/>
      <c r="E187" s="851">
        <v>1</v>
      </c>
      <c r="F187" s="803" t="s">
        <v>240</v>
      </c>
      <c r="G187" s="853">
        <v>5500</v>
      </c>
      <c r="H187" s="864">
        <f t="shared" si="15"/>
        <v>5500</v>
      </c>
      <c r="I187" s="855">
        <v>1000</v>
      </c>
      <c r="J187" s="864">
        <f>ROUND(E187*I187,)</f>
        <v>1000</v>
      </c>
      <c r="K187" s="1030">
        <f t="shared" si="13"/>
        <v>6500</v>
      </c>
      <c r="L187" s="1008"/>
      <c r="M187" s="729"/>
      <c r="N187" s="729"/>
      <c r="O187" s="729"/>
      <c r="P187" s="729"/>
      <c r="Q187" s="729"/>
    </row>
    <row r="188" spans="1:18" s="714" customFormat="1" ht="24" customHeight="1">
      <c r="A188" s="911"/>
      <c r="B188" s="800" t="s">
        <v>1518</v>
      </c>
      <c r="C188" s="859"/>
      <c r="D188" s="859"/>
      <c r="E188" s="851">
        <v>1</v>
      </c>
      <c r="F188" s="803" t="s">
        <v>240</v>
      </c>
      <c r="G188" s="858">
        <v>3000</v>
      </c>
      <c r="H188" s="796">
        <v>2400</v>
      </c>
      <c r="I188" s="797"/>
      <c r="J188" s="796">
        <v>0</v>
      </c>
      <c r="K188" s="1030">
        <f t="shared" si="13"/>
        <v>2400</v>
      </c>
      <c r="L188" s="1008"/>
      <c r="M188" s="729"/>
      <c r="N188" s="729"/>
      <c r="O188" s="729"/>
      <c r="P188" s="729"/>
      <c r="Q188" s="729"/>
    </row>
    <row r="189" spans="1:18" s="714" customFormat="1" ht="24" customHeight="1">
      <c r="A189" s="911"/>
      <c r="B189" s="800" t="s">
        <v>1271</v>
      </c>
      <c r="C189" s="801"/>
      <c r="D189" s="801"/>
      <c r="E189" s="802">
        <v>12</v>
      </c>
      <c r="F189" s="803" t="s">
        <v>240</v>
      </c>
      <c r="G189" s="858">
        <v>138</v>
      </c>
      <c r="H189" s="864">
        <f t="shared" ref="H189:H192" si="16">ROUND(E189*G189,)</f>
        <v>1656</v>
      </c>
      <c r="I189" s="865"/>
      <c r="J189" s="864"/>
      <c r="K189" s="1030">
        <f t="shared" si="13"/>
        <v>1656</v>
      </c>
      <c r="L189" s="1010"/>
      <c r="M189" s="729"/>
      <c r="N189" s="729"/>
      <c r="O189" s="729"/>
      <c r="P189" s="729"/>
      <c r="Q189" s="729"/>
    </row>
    <row r="190" spans="1:18" s="714" customFormat="1" ht="24" customHeight="1">
      <c r="A190" s="861"/>
      <c r="B190" s="800" t="s">
        <v>1392</v>
      </c>
      <c r="C190" s="801"/>
      <c r="D190" s="801"/>
      <c r="E190" s="802">
        <v>1</v>
      </c>
      <c r="F190" s="803" t="s">
        <v>240</v>
      </c>
      <c r="G190" s="858">
        <v>680</v>
      </c>
      <c r="H190" s="864">
        <f t="shared" si="16"/>
        <v>680</v>
      </c>
      <c r="I190" s="865"/>
      <c r="J190" s="864"/>
      <c r="K190" s="1030">
        <f t="shared" si="13"/>
        <v>680</v>
      </c>
      <c r="L190" s="1010"/>
      <c r="M190" s="729"/>
      <c r="N190" s="729"/>
      <c r="O190" s="729"/>
      <c r="P190" s="729"/>
    </row>
    <row r="191" spans="1:18" s="714" customFormat="1" ht="24" customHeight="1">
      <c r="A191" s="861"/>
      <c r="B191" s="800" t="s">
        <v>1477</v>
      </c>
      <c r="C191" s="801"/>
      <c r="D191" s="801"/>
      <c r="E191" s="802">
        <v>1</v>
      </c>
      <c r="F191" s="803" t="s">
        <v>240</v>
      </c>
      <c r="G191" s="858">
        <v>680</v>
      </c>
      <c r="H191" s="864">
        <f t="shared" si="16"/>
        <v>680</v>
      </c>
      <c r="I191" s="865"/>
      <c r="J191" s="864"/>
      <c r="K191" s="966">
        <f t="shared" si="13"/>
        <v>680</v>
      </c>
      <c r="L191" s="1010"/>
      <c r="M191" s="729"/>
      <c r="N191" s="729"/>
      <c r="O191" s="729"/>
      <c r="P191" s="729"/>
    </row>
    <row r="192" spans="1:18" s="714" customFormat="1" ht="24" customHeight="1">
      <c r="A192" s="1025"/>
      <c r="B192" s="800" t="s">
        <v>1520</v>
      </c>
      <c r="C192" s="792"/>
      <c r="D192" s="792"/>
      <c r="E192" s="793">
        <v>1</v>
      </c>
      <c r="F192" s="803" t="s">
        <v>240</v>
      </c>
      <c r="G192" s="795">
        <v>5500</v>
      </c>
      <c r="H192" s="864">
        <f t="shared" si="16"/>
        <v>5500</v>
      </c>
      <c r="I192" s="797">
        <v>1000</v>
      </c>
      <c r="J192" s="864">
        <f>ROUND(E192*I192,)</f>
        <v>1000</v>
      </c>
      <c r="K192" s="966">
        <f t="shared" si="13"/>
        <v>6500</v>
      </c>
      <c r="L192" s="1010"/>
      <c r="M192" s="729"/>
      <c r="N192" s="729"/>
      <c r="O192" s="729"/>
      <c r="P192" s="729"/>
      <c r="Q192" s="729"/>
    </row>
    <row r="193" spans="1:17" s="714" customFormat="1" ht="24" customHeight="1">
      <c r="A193" s="1025"/>
      <c r="B193" s="800" t="s">
        <v>1518</v>
      </c>
      <c r="C193" s="792"/>
      <c r="D193" s="792"/>
      <c r="E193" s="793">
        <v>1</v>
      </c>
      <c r="F193" s="803" t="s">
        <v>240</v>
      </c>
      <c r="G193" s="858">
        <v>3000</v>
      </c>
      <c r="H193" s="796">
        <v>2400</v>
      </c>
      <c r="I193" s="797"/>
      <c r="J193" s="796">
        <v>0</v>
      </c>
      <c r="K193" s="966">
        <f t="shared" si="13"/>
        <v>2400</v>
      </c>
      <c r="L193" s="1010"/>
      <c r="M193" s="729"/>
      <c r="N193" s="729"/>
      <c r="O193" s="729"/>
      <c r="P193" s="729"/>
      <c r="Q193" s="729"/>
    </row>
    <row r="194" spans="1:17" s="714" customFormat="1" ht="24" customHeight="1">
      <c r="A194" s="1025"/>
      <c r="B194" s="800" t="s">
        <v>1271</v>
      </c>
      <c r="C194" s="801"/>
      <c r="D194" s="801"/>
      <c r="E194" s="802">
        <v>12</v>
      </c>
      <c r="F194" s="803" t="s">
        <v>240</v>
      </c>
      <c r="G194" s="858">
        <v>138</v>
      </c>
      <c r="H194" s="864">
        <f t="shared" ref="H194:H196" si="17">ROUND(E194*G194,)</f>
        <v>1656</v>
      </c>
      <c r="I194" s="865"/>
      <c r="J194" s="864"/>
      <c r="K194" s="966">
        <f t="shared" si="13"/>
        <v>1656</v>
      </c>
      <c r="L194" s="1010"/>
      <c r="M194" s="729"/>
      <c r="N194" s="729"/>
      <c r="O194" s="729"/>
      <c r="P194" s="729"/>
      <c r="Q194" s="729"/>
    </row>
    <row r="195" spans="1:17" s="714" customFormat="1" ht="24" customHeight="1">
      <c r="A195" s="861"/>
      <c r="B195" s="800" t="s">
        <v>1392</v>
      </c>
      <c r="C195" s="801"/>
      <c r="D195" s="801"/>
      <c r="E195" s="802">
        <v>2</v>
      </c>
      <c r="F195" s="803" t="s">
        <v>240</v>
      </c>
      <c r="G195" s="858">
        <v>680</v>
      </c>
      <c r="H195" s="864">
        <f t="shared" si="17"/>
        <v>1360</v>
      </c>
      <c r="I195" s="865"/>
      <c r="J195" s="864"/>
      <c r="K195" s="966">
        <f t="shared" si="13"/>
        <v>1360</v>
      </c>
      <c r="L195" s="1010"/>
      <c r="M195" s="729"/>
      <c r="N195" s="729"/>
      <c r="O195" s="729"/>
      <c r="P195" s="729"/>
    </row>
    <row r="196" spans="1:17" s="714" customFormat="1" ht="24" customHeight="1">
      <c r="A196" s="1025"/>
      <c r="B196" s="800" t="s">
        <v>1521</v>
      </c>
      <c r="C196" s="792"/>
      <c r="D196" s="792"/>
      <c r="E196" s="793">
        <v>1</v>
      </c>
      <c r="F196" s="803" t="s">
        <v>240</v>
      </c>
      <c r="G196" s="795">
        <v>5500</v>
      </c>
      <c r="H196" s="864">
        <f t="shared" si="17"/>
        <v>5500</v>
      </c>
      <c r="I196" s="797">
        <v>1000</v>
      </c>
      <c r="J196" s="864">
        <f>ROUND(E196*I196,)</f>
        <v>1000</v>
      </c>
      <c r="K196" s="966">
        <f t="shared" si="13"/>
        <v>6500</v>
      </c>
      <c r="L196" s="1010"/>
      <c r="M196" s="729"/>
      <c r="N196" s="729"/>
      <c r="O196" s="729"/>
      <c r="P196" s="729"/>
      <c r="Q196" s="729"/>
    </row>
    <row r="197" spans="1:17" s="714" customFormat="1" ht="24" customHeight="1">
      <c r="A197" s="1025"/>
      <c r="B197" s="800" t="s">
        <v>1518</v>
      </c>
      <c r="C197" s="792"/>
      <c r="D197" s="792"/>
      <c r="E197" s="793">
        <v>1</v>
      </c>
      <c r="F197" s="803" t="s">
        <v>240</v>
      </c>
      <c r="G197" s="858">
        <v>3000</v>
      </c>
      <c r="H197" s="796">
        <v>2400</v>
      </c>
      <c r="I197" s="797"/>
      <c r="J197" s="796">
        <v>0</v>
      </c>
      <c r="K197" s="966">
        <f t="shared" si="13"/>
        <v>2400</v>
      </c>
      <c r="L197" s="1010"/>
      <c r="M197" s="729"/>
      <c r="N197" s="729"/>
      <c r="O197" s="729"/>
      <c r="P197" s="729"/>
      <c r="Q197" s="729"/>
    </row>
    <row r="198" spans="1:17" s="714" customFormat="1" ht="24" customHeight="1">
      <c r="A198" s="1025"/>
      <c r="B198" s="800" t="s">
        <v>1271</v>
      </c>
      <c r="C198" s="801"/>
      <c r="D198" s="801"/>
      <c r="E198" s="802">
        <v>15</v>
      </c>
      <c r="F198" s="803" t="s">
        <v>240</v>
      </c>
      <c r="G198" s="858">
        <v>138</v>
      </c>
      <c r="H198" s="864">
        <f t="shared" ref="H198:H199" si="18">ROUND(E198*G198,)</f>
        <v>2070</v>
      </c>
      <c r="I198" s="865"/>
      <c r="J198" s="864"/>
      <c r="K198" s="966">
        <f t="shared" si="13"/>
        <v>2070</v>
      </c>
      <c r="L198" s="1010"/>
      <c r="M198" s="729"/>
      <c r="N198" s="729"/>
      <c r="O198" s="729"/>
      <c r="P198" s="729"/>
      <c r="Q198" s="729"/>
    </row>
    <row r="199" spans="1:17" s="714" customFormat="1" ht="24" customHeight="1">
      <c r="A199" s="861"/>
      <c r="B199" s="800" t="s">
        <v>1392</v>
      </c>
      <c r="C199" s="801"/>
      <c r="D199" s="801"/>
      <c r="E199" s="802">
        <v>1</v>
      </c>
      <c r="F199" s="803" t="s">
        <v>240</v>
      </c>
      <c r="G199" s="858">
        <v>680</v>
      </c>
      <c r="H199" s="864">
        <f t="shared" si="18"/>
        <v>680</v>
      </c>
      <c r="I199" s="865"/>
      <c r="J199" s="864"/>
      <c r="K199" s="966">
        <f t="shared" si="13"/>
        <v>680</v>
      </c>
      <c r="L199" s="1010"/>
      <c r="M199" s="729"/>
      <c r="N199" s="729"/>
      <c r="O199" s="729"/>
      <c r="P199" s="729"/>
    </row>
    <row r="200" spans="1:17" s="714" customFormat="1" ht="24" customHeight="1">
      <c r="A200" s="868"/>
      <c r="B200" s="800" t="s">
        <v>1522</v>
      </c>
      <c r="C200" s="801"/>
      <c r="D200" s="801"/>
      <c r="E200" s="802">
        <v>1</v>
      </c>
      <c r="F200" s="803" t="s">
        <v>240</v>
      </c>
      <c r="G200" s="858">
        <v>4800</v>
      </c>
      <c r="H200" s="796">
        <v>4800</v>
      </c>
      <c r="I200" s="797">
        <v>1500</v>
      </c>
      <c r="J200" s="796">
        <v>1500</v>
      </c>
      <c r="K200" s="1030">
        <f t="shared" si="13"/>
        <v>6300</v>
      </c>
      <c r="L200" s="1010"/>
      <c r="M200" s="729"/>
      <c r="N200" s="729"/>
      <c r="O200" s="729"/>
      <c r="P200" s="729"/>
      <c r="Q200" s="729"/>
    </row>
    <row r="201" spans="1:17" s="714" customFormat="1" ht="24" customHeight="1">
      <c r="A201" s="868"/>
      <c r="B201" s="800" t="s">
        <v>1396</v>
      </c>
      <c r="C201" s="801"/>
      <c r="D201" s="801"/>
      <c r="E201" s="802">
        <v>1</v>
      </c>
      <c r="F201" s="803" t="s">
        <v>240</v>
      </c>
      <c r="G201" s="858">
        <v>3000</v>
      </c>
      <c r="H201" s="864">
        <f t="shared" ref="H201:H214" si="19">ROUND(E201*G201,)</f>
        <v>3000</v>
      </c>
      <c r="I201" s="865"/>
      <c r="J201" s="864"/>
      <c r="K201" s="1030">
        <f t="shared" si="13"/>
        <v>3000</v>
      </c>
      <c r="L201" s="1010"/>
      <c r="M201" s="729"/>
      <c r="N201" s="729"/>
      <c r="O201" s="729"/>
      <c r="P201" s="729"/>
      <c r="Q201" s="729"/>
    </row>
    <row r="202" spans="1:17" s="714" customFormat="1" ht="24" customHeight="1">
      <c r="A202" s="868"/>
      <c r="B202" s="800" t="s">
        <v>1271</v>
      </c>
      <c r="C202" s="801"/>
      <c r="D202" s="801"/>
      <c r="E202" s="802">
        <v>12</v>
      </c>
      <c r="F202" s="803" t="s">
        <v>240</v>
      </c>
      <c r="G202" s="858">
        <v>138</v>
      </c>
      <c r="H202" s="864">
        <f t="shared" si="19"/>
        <v>1656</v>
      </c>
      <c r="I202" s="865"/>
      <c r="J202" s="864"/>
      <c r="K202" s="1030">
        <f t="shared" si="13"/>
        <v>1656</v>
      </c>
      <c r="L202" s="1010"/>
      <c r="M202" s="729"/>
      <c r="N202" s="729"/>
      <c r="O202" s="729"/>
      <c r="P202" s="729"/>
      <c r="Q202" s="729"/>
    </row>
    <row r="203" spans="1:17" s="714" customFormat="1" ht="24" customHeight="1">
      <c r="A203" s="868"/>
      <c r="B203" s="800" t="s">
        <v>1391</v>
      </c>
      <c r="C203" s="801"/>
      <c r="D203" s="801"/>
      <c r="E203" s="802">
        <v>1</v>
      </c>
      <c r="F203" s="803" t="s">
        <v>240</v>
      </c>
      <c r="G203" s="858">
        <v>138</v>
      </c>
      <c r="H203" s="864">
        <f t="shared" si="19"/>
        <v>138</v>
      </c>
      <c r="I203" s="865"/>
      <c r="J203" s="864"/>
      <c r="K203" s="1030">
        <f t="shared" si="13"/>
        <v>138</v>
      </c>
      <c r="L203" s="1010"/>
      <c r="M203" s="729"/>
      <c r="N203" s="729"/>
      <c r="O203" s="729"/>
      <c r="P203" s="729"/>
      <c r="Q203" s="729"/>
    </row>
    <row r="204" spans="1:17" s="714" customFormat="1" ht="24" customHeight="1">
      <c r="A204" s="861"/>
      <c r="B204" s="800" t="s">
        <v>1273</v>
      </c>
      <c r="C204" s="801"/>
      <c r="D204" s="801"/>
      <c r="E204" s="802">
        <v>2</v>
      </c>
      <c r="F204" s="803" t="s">
        <v>240</v>
      </c>
      <c r="G204" s="858">
        <v>1288</v>
      </c>
      <c r="H204" s="864">
        <f t="shared" si="19"/>
        <v>2576</v>
      </c>
      <c r="I204" s="865"/>
      <c r="J204" s="864"/>
      <c r="K204" s="1030">
        <f t="shared" si="13"/>
        <v>2576</v>
      </c>
      <c r="L204" s="1010"/>
      <c r="M204" s="729"/>
      <c r="N204" s="729"/>
      <c r="O204" s="729"/>
      <c r="P204" s="729"/>
    </row>
    <row r="205" spans="1:17" s="714" customFormat="1" ht="24" customHeight="1">
      <c r="A205" s="868"/>
      <c r="B205" s="800" t="s">
        <v>1523</v>
      </c>
      <c r="C205" s="801"/>
      <c r="D205" s="801"/>
      <c r="E205" s="802">
        <v>1</v>
      </c>
      <c r="F205" s="803" t="s">
        <v>240</v>
      </c>
      <c r="G205" s="858">
        <v>4800</v>
      </c>
      <c r="H205" s="796">
        <v>4800</v>
      </c>
      <c r="I205" s="797">
        <v>1500</v>
      </c>
      <c r="J205" s="796">
        <v>1500</v>
      </c>
      <c r="K205" s="1030">
        <f t="shared" si="13"/>
        <v>6300</v>
      </c>
      <c r="L205" s="1010"/>
      <c r="M205" s="729"/>
      <c r="N205" s="729"/>
      <c r="O205" s="729"/>
      <c r="P205" s="729"/>
      <c r="Q205" s="729"/>
    </row>
    <row r="206" spans="1:17" s="714" customFormat="1" ht="24" customHeight="1">
      <c r="A206" s="868"/>
      <c r="B206" s="800" t="s">
        <v>1396</v>
      </c>
      <c r="C206" s="801"/>
      <c r="D206" s="801"/>
      <c r="E206" s="802">
        <v>1</v>
      </c>
      <c r="F206" s="803" t="s">
        <v>240</v>
      </c>
      <c r="G206" s="858">
        <v>3000</v>
      </c>
      <c r="H206" s="864">
        <f t="shared" ref="H206:H209" si="20">ROUND(E206*G206,)</f>
        <v>3000</v>
      </c>
      <c r="I206" s="865"/>
      <c r="J206" s="864"/>
      <c r="K206" s="1030">
        <f t="shared" si="13"/>
        <v>3000</v>
      </c>
      <c r="L206" s="1010"/>
      <c r="M206" s="729"/>
      <c r="N206" s="729"/>
      <c r="O206" s="729"/>
      <c r="P206" s="729"/>
      <c r="Q206" s="729"/>
    </row>
    <row r="207" spans="1:17" s="714" customFormat="1" ht="24" customHeight="1">
      <c r="A207" s="868"/>
      <c r="B207" s="800" t="s">
        <v>1271</v>
      </c>
      <c r="C207" s="801"/>
      <c r="D207" s="801"/>
      <c r="E207" s="802">
        <v>15</v>
      </c>
      <c r="F207" s="803" t="s">
        <v>240</v>
      </c>
      <c r="G207" s="858">
        <v>138</v>
      </c>
      <c r="H207" s="864">
        <f t="shared" si="20"/>
        <v>2070</v>
      </c>
      <c r="I207" s="865"/>
      <c r="J207" s="864"/>
      <c r="K207" s="1030">
        <f t="shared" si="13"/>
        <v>2070</v>
      </c>
      <c r="L207" s="1010"/>
      <c r="M207" s="729"/>
      <c r="N207" s="729"/>
      <c r="O207" s="729"/>
      <c r="P207" s="729"/>
      <c r="Q207" s="729"/>
    </row>
    <row r="208" spans="1:17" s="714" customFormat="1" ht="24" customHeight="1">
      <c r="A208" s="868"/>
      <c r="B208" s="800" t="s">
        <v>1391</v>
      </c>
      <c r="C208" s="801"/>
      <c r="D208" s="801"/>
      <c r="E208" s="802"/>
      <c r="F208" s="803" t="s">
        <v>240</v>
      </c>
      <c r="G208" s="858">
        <v>138</v>
      </c>
      <c r="H208" s="864">
        <f t="shared" si="20"/>
        <v>0</v>
      </c>
      <c r="I208" s="865"/>
      <c r="J208" s="864"/>
      <c r="K208" s="1030">
        <f t="shared" si="13"/>
        <v>0</v>
      </c>
      <c r="L208" s="1010"/>
      <c r="M208" s="729"/>
      <c r="N208" s="729"/>
      <c r="O208" s="729"/>
      <c r="P208" s="729"/>
      <c r="Q208" s="729"/>
    </row>
    <row r="209" spans="1:18" s="714" customFormat="1" ht="24" customHeight="1">
      <c r="A209" s="861"/>
      <c r="B209" s="800" t="s">
        <v>1273</v>
      </c>
      <c r="C209" s="801"/>
      <c r="D209" s="801"/>
      <c r="E209" s="802"/>
      <c r="F209" s="803" t="s">
        <v>240</v>
      </c>
      <c r="G209" s="858">
        <v>1288</v>
      </c>
      <c r="H209" s="864">
        <f t="shared" si="20"/>
        <v>0</v>
      </c>
      <c r="I209" s="865"/>
      <c r="J209" s="864"/>
      <c r="K209" s="1030">
        <f t="shared" si="13"/>
        <v>0</v>
      </c>
      <c r="L209" s="1010"/>
      <c r="M209" s="729"/>
      <c r="N209" s="729"/>
      <c r="O209" s="729"/>
      <c r="P209" s="729"/>
    </row>
    <row r="210" spans="1:18" s="714" customFormat="1" ht="24" customHeight="1">
      <c r="A210" s="868"/>
      <c r="B210" s="800" t="s">
        <v>1524</v>
      </c>
      <c r="C210" s="801"/>
      <c r="D210" s="801"/>
      <c r="E210" s="802">
        <v>1</v>
      </c>
      <c r="F210" s="803" t="s">
        <v>240</v>
      </c>
      <c r="G210" s="858">
        <v>4800</v>
      </c>
      <c r="H210" s="796">
        <v>4800</v>
      </c>
      <c r="I210" s="797">
        <v>1500</v>
      </c>
      <c r="J210" s="796">
        <v>1500</v>
      </c>
      <c r="K210" s="1030">
        <f t="shared" si="13"/>
        <v>6300</v>
      </c>
      <c r="L210" s="1010"/>
      <c r="M210" s="729"/>
      <c r="N210" s="729"/>
      <c r="O210" s="729"/>
      <c r="P210" s="729"/>
      <c r="Q210" s="729"/>
    </row>
    <row r="211" spans="1:18" s="714" customFormat="1" ht="24" customHeight="1">
      <c r="A211" s="868"/>
      <c r="B211" s="800" t="s">
        <v>1396</v>
      </c>
      <c r="C211" s="801"/>
      <c r="D211" s="801"/>
      <c r="E211" s="802">
        <v>1</v>
      </c>
      <c r="F211" s="803" t="s">
        <v>240</v>
      </c>
      <c r="G211" s="858">
        <v>3000</v>
      </c>
      <c r="H211" s="864">
        <f t="shared" si="19"/>
        <v>3000</v>
      </c>
      <c r="I211" s="865"/>
      <c r="J211" s="864"/>
      <c r="K211" s="1030">
        <f t="shared" si="13"/>
        <v>3000</v>
      </c>
      <c r="L211" s="1010"/>
      <c r="M211" s="729"/>
      <c r="N211" s="729"/>
      <c r="O211" s="729"/>
      <c r="P211" s="729"/>
      <c r="Q211" s="729"/>
    </row>
    <row r="212" spans="1:18" s="714" customFormat="1" ht="24" customHeight="1">
      <c r="A212" s="868"/>
      <c r="B212" s="800" t="s">
        <v>1271</v>
      </c>
      <c r="C212" s="801"/>
      <c r="D212" s="801"/>
      <c r="E212" s="802">
        <v>12</v>
      </c>
      <c r="F212" s="803" t="s">
        <v>240</v>
      </c>
      <c r="G212" s="858">
        <v>138</v>
      </c>
      <c r="H212" s="864">
        <f t="shared" si="19"/>
        <v>1656</v>
      </c>
      <c r="I212" s="865"/>
      <c r="J212" s="864"/>
      <c r="K212" s="1030">
        <f t="shared" si="13"/>
        <v>1656</v>
      </c>
      <c r="L212" s="1010"/>
      <c r="M212" s="729"/>
      <c r="N212" s="729"/>
      <c r="O212" s="729"/>
      <c r="P212" s="729"/>
      <c r="Q212" s="729"/>
    </row>
    <row r="213" spans="1:18" s="714" customFormat="1" ht="24" customHeight="1">
      <c r="A213" s="868"/>
      <c r="B213" s="800" t="s">
        <v>1391</v>
      </c>
      <c r="C213" s="801"/>
      <c r="D213" s="801"/>
      <c r="E213" s="802">
        <v>1</v>
      </c>
      <c r="F213" s="803" t="s">
        <v>240</v>
      </c>
      <c r="G213" s="858">
        <v>138</v>
      </c>
      <c r="H213" s="864">
        <f t="shared" si="19"/>
        <v>138</v>
      </c>
      <c r="I213" s="865"/>
      <c r="J213" s="864"/>
      <c r="K213" s="1030">
        <f t="shared" si="13"/>
        <v>138</v>
      </c>
      <c r="L213" s="1010"/>
      <c r="M213" s="729"/>
      <c r="N213" s="729"/>
      <c r="O213" s="729"/>
      <c r="P213" s="729"/>
      <c r="Q213" s="729"/>
    </row>
    <row r="214" spans="1:18" s="714" customFormat="1" ht="24" customHeight="1">
      <c r="A214" s="861"/>
      <c r="B214" s="800" t="s">
        <v>1273</v>
      </c>
      <c r="C214" s="801"/>
      <c r="D214" s="801"/>
      <c r="E214" s="802">
        <v>2</v>
      </c>
      <c r="F214" s="803" t="s">
        <v>240</v>
      </c>
      <c r="G214" s="858">
        <v>1288</v>
      </c>
      <c r="H214" s="864">
        <f t="shared" si="19"/>
        <v>2576</v>
      </c>
      <c r="I214" s="865"/>
      <c r="J214" s="864"/>
      <c r="K214" s="1030">
        <f t="shared" si="13"/>
        <v>2576</v>
      </c>
      <c r="L214" s="1010"/>
      <c r="M214" s="729"/>
      <c r="N214" s="729"/>
      <c r="O214" s="729"/>
      <c r="P214" s="729"/>
    </row>
    <row r="215" spans="1:18" s="714" customFormat="1" ht="24" customHeight="1">
      <c r="A215" s="831"/>
      <c r="B215" s="720" t="s">
        <v>957</v>
      </c>
      <c r="C215" s="792"/>
      <c r="D215" s="792"/>
      <c r="E215" s="793"/>
      <c r="F215" s="794"/>
      <c r="G215" s="795"/>
      <c r="H215" s="796"/>
      <c r="I215" s="797"/>
      <c r="J215" s="796"/>
      <c r="K215" s="1014"/>
      <c r="L215" s="1010"/>
      <c r="M215" s="729"/>
      <c r="N215" s="729"/>
      <c r="O215" s="729"/>
      <c r="P215" s="729"/>
      <c r="Q215" s="729"/>
      <c r="R215" s="729"/>
    </row>
    <row r="216" spans="1:18" s="714" customFormat="1" ht="24" customHeight="1">
      <c r="A216" s="831"/>
      <c r="B216" s="720" t="s">
        <v>958</v>
      </c>
      <c r="C216" s="717"/>
      <c r="D216" s="717"/>
      <c r="E216" s="917"/>
      <c r="F216" s="916"/>
      <c r="G216" s="806"/>
      <c r="H216" s="918"/>
      <c r="I216" s="807"/>
      <c r="J216" s="919"/>
      <c r="K216" s="968"/>
      <c r="L216" s="919"/>
      <c r="M216" s="729"/>
      <c r="N216" s="729"/>
      <c r="O216" s="729"/>
      <c r="P216" s="729"/>
    </row>
    <row r="217" spans="1:18" s="714" customFormat="1" ht="24" customHeight="1">
      <c r="A217" s="831"/>
      <c r="B217" s="720" t="s">
        <v>958</v>
      </c>
      <c r="C217" s="717"/>
      <c r="D217" s="717"/>
      <c r="E217" s="917"/>
      <c r="F217" s="916"/>
      <c r="G217" s="806"/>
      <c r="H217" s="918"/>
      <c r="I217" s="807"/>
      <c r="J217" s="919"/>
      <c r="K217" s="968"/>
      <c r="L217" s="919"/>
      <c r="M217" s="729"/>
      <c r="N217" s="729"/>
      <c r="O217" s="729"/>
      <c r="P217" s="729"/>
    </row>
    <row r="218" spans="1:18" s="714" customFormat="1" ht="24" customHeight="1">
      <c r="A218" s="921"/>
      <c r="B218" s="1073"/>
      <c r="C218" s="761"/>
      <c r="D218" s="761"/>
      <c r="E218" s="923"/>
      <c r="F218" s="924"/>
      <c r="G218" s="925"/>
      <c r="H218" s="926"/>
      <c r="I218" s="927"/>
      <c r="J218" s="928"/>
      <c r="K218" s="1072"/>
      <c r="L218" s="928"/>
      <c r="M218" s="729"/>
      <c r="N218" s="729"/>
      <c r="O218" s="729"/>
      <c r="P218" s="729"/>
    </row>
    <row r="219" spans="1:18" s="714" customFormat="1" ht="24" customHeight="1">
      <c r="A219" s="921"/>
      <c r="B219" s="922"/>
      <c r="C219" s="761"/>
      <c r="D219" s="761"/>
      <c r="E219" s="923"/>
      <c r="F219" s="924"/>
      <c r="G219" s="925"/>
      <c r="H219" s="926"/>
      <c r="I219" s="927"/>
      <c r="J219" s="928"/>
      <c r="K219" s="1072"/>
      <c r="L219" s="928"/>
      <c r="M219" s="729"/>
      <c r="N219" s="729"/>
      <c r="O219" s="729"/>
      <c r="P219" s="729"/>
    </row>
    <row r="220" spans="1:18" s="714" customFormat="1" ht="24" customHeight="1">
      <c r="A220" s="775"/>
      <c r="B220" s="2475" t="str">
        <f>"รวมราคารายการที่ "&amp;A172</f>
        <v>รวมราคารายการที่ 3.3</v>
      </c>
      <c r="C220" s="2476"/>
      <c r="D220" s="2477"/>
      <c r="E220" s="776"/>
      <c r="F220" s="777"/>
      <c r="G220" s="778"/>
      <c r="H220" s="779">
        <f>SUM(H172:H215)</f>
        <v>105848</v>
      </c>
      <c r="I220" s="778"/>
      <c r="J220" s="779">
        <f t="shared" ref="J220:K220" si="21">SUM(J172:J215)</f>
        <v>12000</v>
      </c>
      <c r="K220" s="779">
        <f t="shared" si="21"/>
        <v>117848</v>
      </c>
      <c r="L220" s="1006"/>
      <c r="M220" s="729"/>
      <c r="N220" s="729"/>
      <c r="O220" s="729"/>
      <c r="P220" s="729"/>
      <c r="Q220" s="729"/>
      <c r="R220" s="729"/>
    </row>
    <row r="221" spans="1:18" s="714" customFormat="1" ht="24" customHeight="1">
      <c r="A221" s="1029">
        <v>3.4</v>
      </c>
      <c r="B221" s="816" t="s">
        <v>1159</v>
      </c>
      <c r="C221" s="770"/>
      <c r="D221" s="770"/>
      <c r="E221" s="930"/>
      <c r="F221" s="931"/>
      <c r="G221" s="932"/>
      <c r="H221" s="854"/>
      <c r="I221" s="934"/>
      <c r="J221" s="854"/>
      <c r="K221" s="1013"/>
      <c r="L221" s="935"/>
      <c r="M221" s="729"/>
      <c r="N221" s="729"/>
      <c r="O221" s="729"/>
      <c r="P221" s="729"/>
      <c r="Q221" s="729"/>
      <c r="R221" s="729"/>
    </row>
    <row r="222" spans="1:18" s="714" customFormat="1" ht="24" customHeight="1">
      <c r="A222" s="831" t="s">
        <v>971</v>
      </c>
      <c r="B222" s="720" t="s">
        <v>1410</v>
      </c>
      <c r="C222" s="717"/>
      <c r="D222" s="717"/>
      <c r="E222" s="917"/>
      <c r="F222" s="916"/>
      <c r="G222" s="806"/>
      <c r="H222" s="796"/>
      <c r="I222" s="807"/>
      <c r="J222" s="796"/>
      <c r="K222" s="968"/>
      <c r="L222" s="919"/>
      <c r="M222" s="729"/>
      <c r="N222" s="729"/>
      <c r="O222" s="729"/>
      <c r="P222" s="729"/>
      <c r="Q222" s="729"/>
      <c r="R222" s="729"/>
    </row>
    <row r="223" spans="1:18" s="714" customFormat="1" ht="24" customHeight="1">
      <c r="A223" s="831"/>
      <c r="B223" s="720" t="s">
        <v>1277</v>
      </c>
      <c r="C223" s="717"/>
      <c r="D223" s="717"/>
      <c r="E223" s="805">
        <v>3105</v>
      </c>
      <c r="F223" s="794" t="s">
        <v>438</v>
      </c>
      <c r="G223" s="806">
        <v>9</v>
      </c>
      <c r="H223" s="796">
        <f t="shared" ref="H223:H230" si="22">ROUND(E223*G223,)</f>
        <v>27945</v>
      </c>
      <c r="I223" s="807">
        <v>7</v>
      </c>
      <c r="J223" s="796">
        <f t="shared" ref="J223:J230" si="23">ROUND(E223*I223,)</f>
        <v>21735</v>
      </c>
      <c r="K223" s="1030">
        <f t="shared" ref="K223:K226" si="24">H223+J223</f>
        <v>49680</v>
      </c>
      <c r="L223" s="1718" t="s">
        <v>2974</v>
      </c>
      <c r="M223" s="729"/>
      <c r="N223" s="714">
        <v>912.1</v>
      </c>
      <c r="O223" s="714">
        <f>ROUND(N223/100,)</f>
        <v>9</v>
      </c>
      <c r="P223" s="729"/>
      <c r="Q223" s="729"/>
      <c r="R223" s="729"/>
    </row>
    <row r="224" spans="1:18" s="714" customFormat="1" ht="24" customHeight="1">
      <c r="A224" s="831"/>
      <c r="B224" s="720" t="s">
        <v>1166</v>
      </c>
      <c r="C224" s="717"/>
      <c r="D224" s="717"/>
      <c r="E224" s="805">
        <v>4805</v>
      </c>
      <c r="F224" s="794" t="s">
        <v>438</v>
      </c>
      <c r="G224" s="806">
        <v>14</v>
      </c>
      <c r="H224" s="796">
        <f t="shared" si="22"/>
        <v>67270</v>
      </c>
      <c r="I224" s="807">
        <v>10</v>
      </c>
      <c r="J224" s="796">
        <f t="shared" si="23"/>
        <v>48050</v>
      </c>
      <c r="K224" s="1030">
        <f t="shared" si="24"/>
        <v>115320</v>
      </c>
      <c r="L224" s="1718" t="s">
        <v>2974</v>
      </c>
      <c r="M224" s="729"/>
      <c r="N224" s="714">
        <v>1375.8</v>
      </c>
      <c r="O224" s="714">
        <f>ROUND(N224/100,)</f>
        <v>14</v>
      </c>
      <c r="P224" s="729"/>
      <c r="Q224" s="729"/>
      <c r="R224" s="729"/>
    </row>
    <row r="225" spans="1:18" s="714" customFormat="1" ht="24" customHeight="1">
      <c r="A225" s="831"/>
      <c r="B225" s="720" t="s">
        <v>1167</v>
      </c>
      <c r="C225" s="792"/>
      <c r="D225" s="792"/>
      <c r="E225" s="805"/>
      <c r="F225" s="794" t="s">
        <v>438</v>
      </c>
      <c r="G225" s="806">
        <v>23</v>
      </c>
      <c r="H225" s="796">
        <f t="shared" si="22"/>
        <v>0</v>
      </c>
      <c r="I225" s="797">
        <v>12</v>
      </c>
      <c r="J225" s="796">
        <f t="shared" si="23"/>
        <v>0</v>
      </c>
      <c r="K225" s="1030">
        <f t="shared" si="24"/>
        <v>0</v>
      </c>
      <c r="L225" s="1718" t="s">
        <v>2974</v>
      </c>
      <c r="N225" s="714">
        <v>2264.1999999999998</v>
      </c>
      <c r="O225" s="714">
        <f t="shared" ref="O225:O226" si="25">ROUND(N225/100,)</f>
        <v>23</v>
      </c>
    </row>
    <row r="226" spans="1:18" s="714" customFormat="1" ht="24" customHeight="1">
      <c r="A226" s="831"/>
      <c r="B226" s="720" t="s">
        <v>1168</v>
      </c>
      <c r="C226" s="792"/>
      <c r="D226" s="792"/>
      <c r="E226" s="805">
        <v>575</v>
      </c>
      <c r="F226" s="794" t="s">
        <v>438</v>
      </c>
      <c r="G226" s="806">
        <v>39</v>
      </c>
      <c r="H226" s="796">
        <f t="shared" si="22"/>
        <v>22425</v>
      </c>
      <c r="I226" s="797">
        <v>16</v>
      </c>
      <c r="J226" s="796">
        <f t="shared" si="23"/>
        <v>9200</v>
      </c>
      <c r="K226" s="1030">
        <f t="shared" si="24"/>
        <v>31625</v>
      </c>
      <c r="L226" s="1718" t="s">
        <v>2974</v>
      </c>
      <c r="N226" s="714">
        <v>3944.2</v>
      </c>
      <c r="O226" s="714">
        <f t="shared" si="25"/>
        <v>39</v>
      </c>
    </row>
    <row r="227" spans="1:18" s="714" customFormat="1" ht="24" customHeight="1">
      <c r="A227" s="831" t="s">
        <v>975</v>
      </c>
      <c r="B227" s="720" t="s">
        <v>1276</v>
      </c>
      <c r="C227" s="717"/>
      <c r="D227" s="717"/>
      <c r="E227" s="967"/>
      <c r="F227" s="916"/>
      <c r="G227" s="806"/>
      <c r="H227" s="796">
        <f t="shared" si="22"/>
        <v>0</v>
      </c>
      <c r="I227" s="807"/>
      <c r="J227" s="796">
        <f t="shared" si="23"/>
        <v>0</v>
      </c>
      <c r="K227" s="968"/>
      <c r="L227" s="919"/>
      <c r="M227" s="729"/>
      <c r="N227" s="729"/>
      <c r="O227" s="729"/>
      <c r="P227" s="729"/>
      <c r="Q227" s="729"/>
      <c r="R227" s="729"/>
    </row>
    <row r="228" spans="1:18" s="714" customFormat="1" ht="24" customHeight="1">
      <c r="A228" s="831"/>
      <c r="B228" s="720" t="s">
        <v>1277</v>
      </c>
      <c r="C228" s="717"/>
      <c r="D228" s="717"/>
      <c r="E228" s="805"/>
      <c r="F228" s="794" t="s">
        <v>438</v>
      </c>
      <c r="G228" s="806">
        <v>41</v>
      </c>
      <c r="H228" s="796">
        <f t="shared" si="22"/>
        <v>0</v>
      </c>
      <c r="I228" s="807">
        <v>12</v>
      </c>
      <c r="J228" s="796">
        <f t="shared" si="23"/>
        <v>0</v>
      </c>
      <c r="K228" s="1014">
        <f t="shared" ref="K228:K230" si="26">H228+J228</f>
        <v>0</v>
      </c>
      <c r="L228" s="919"/>
      <c r="M228" s="729"/>
      <c r="N228" s="729"/>
      <c r="O228" s="729"/>
      <c r="P228" s="729"/>
      <c r="Q228" s="729"/>
      <c r="R228" s="729"/>
    </row>
    <row r="229" spans="1:18" s="714" customFormat="1" ht="24" customHeight="1">
      <c r="A229" s="831"/>
      <c r="B229" s="720" t="s">
        <v>1166</v>
      </c>
      <c r="C229" s="792"/>
      <c r="D229" s="792"/>
      <c r="E229" s="805"/>
      <c r="F229" s="794" t="s">
        <v>438</v>
      </c>
      <c r="G229" s="806">
        <v>50</v>
      </c>
      <c r="H229" s="796">
        <f t="shared" si="22"/>
        <v>0</v>
      </c>
      <c r="I229" s="797">
        <v>14</v>
      </c>
      <c r="J229" s="796">
        <f t="shared" si="23"/>
        <v>0</v>
      </c>
      <c r="K229" s="1030">
        <f t="shared" si="26"/>
        <v>0</v>
      </c>
      <c r="L229" s="915"/>
    </row>
    <row r="230" spans="1:18" s="714" customFormat="1" ht="24" customHeight="1">
      <c r="A230" s="856"/>
      <c r="B230" s="720" t="s">
        <v>1278</v>
      </c>
      <c r="C230" s="717"/>
      <c r="D230" s="717"/>
      <c r="E230" s="805">
        <v>1</v>
      </c>
      <c r="F230" s="794" t="s">
        <v>948</v>
      </c>
      <c r="G230" s="806">
        <f>ROUND(SUM(H223:H229)*0.05,)</f>
        <v>5882</v>
      </c>
      <c r="H230" s="796">
        <f t="shared" si="22"/>
        <v>5882</v>
      </c>
      <c r="I230" s="807">
        <f>ROUND(G230*0.3,)</f>
        <v>1765</v>
      </c>
      <c r="J230" s="796">
        <f t="shared" si="23"/>
        <v>1765</v>
      </c>
      <c r="K230" s="1030">
        <f t="shared" si="26"/>
        <v>7647</v>
      </c>
      <c r="L230" s="919"/>
      <c r="M230" s="729"/>
      <c r="N230" s="729"/>
      <c r="O230" s="729"/>
      <c r="P230" s="729"/>
      <c r="Q230" s="729"/>
      <c r="R230" s="729"/>
    </row>
    <row r="231" spans="1:18" s="714" customFormat="1" ht="24" customHeight="1">
      <c r="A231" s="831"/>
      <c r="B231" s="720" t="s">
        <v>957</v>
      </c>
      <c r="C231" s="717"/>
      <c r="D231" s="717"/>
      <c r="E231" s="967"/>
      <c r="F231" s="916"/>
      <c r="G231" s="806"/>
      <c r="H231" s="918"/>
      <c r="I231" s="807"/>
      <c r="J231" s="919"/>
      <c r="K231" s="968"/>
      <c r="L231" s="919"/>
      <c r="M231" s="729"/>
      <c r="N231" s="729"/>
      <c r="O231" s="729"/>
      <c r="P231" s="729"/>
      <c r="Q231" s="729"/>
      <c r="R231" s="729"/>
    </row>
    <row r="232" spans="1:18" s="714" customFormat="1" ht="24" customHeight="1">
      <c r="A232" s="831"/>
      <c r="B232" s="720" t="s">
        <v>958</v>
      </c>
      <c r="C232" s="717"/>
      <c r="D232" s="717"/>
      <c r="E232" s="917"/>
      <c r="F232" s="916"/>
      <c r="G232" s="806"/>
      <c r="H232" s="918"/>
      <c r="I232" s="807"/>
      <c r="J232" s="919"/>
      <c r="K232" s="968"/>
      <c r="L232" s="919"/>
      <c r="M232" s="729"/>
      <c r="N232" s="729"/>
      <c r="O232" s="729"/>
      <c r="P232" s="729"/>
    </row>
    <row r="233" spans="1:18" s="714" customFormat="1" ht="24" customHeight="1">
      <c r="A233" s="775"/>
      <c r="B233" s="2475" t="str">
        <f>"รวมราคารายการที่ "&amp;A221</f>
        <v>รวมราคารายการที่ 3.4</v>
      </c>
      <c r="C233" s="2476"/>
      <c r="D233" s="2477"/>
      <c r="E233" s="776"/>
      <c r="F233" s="777"/>
      <c r="G233" s="778"/>
      <c r="H233" s="779">
        <f>SUM(H221:H232)</f>
        <v>123522</v>
      </c>
      <c r="I233" s="778"/>
      <c r="J233" s="779">
        <f t="shared" ref="J233:K233" si="27">SUM(J221:J232)</f>
        <v>80750</v>
      </c>
      <c r="K233" s="779">
        <f t="shared" si="27"/>
        <v>204272</v>
      </c>
      <c r="L233" s="1006"/>
      <c r="M233" s="729"/>
      <c r="N233" s="729"/>
      <c r="O233" s="729"/>
      <c r="P233" s="729"/>
      <c r="Q233" s="729"/>
      <c r="R233" s="729"/>
    </row>
    <row r="234" spans="1:18" s="714" customFormat="1" ht="24" customHeight="1">
      <c r="A234" s="911" t="s">
        <v>1290</v>
      </c>
      <c r="B234" s="816" t="s">
        <v>1181</v>
      </c>
      <c r="C234" s="770"/>
      <c r="D234" s="770"/>
      <c r="E234" s="930"/>
      <c r="F234" s="931"/>
      <c r="G234" s="932"/>
      <c r="H234" s="933"/>
      <c r="I234" s="934"/>
      <c r="J234" s="935"/>
      <c r="K234" s="1013"/>
      <c r="L234" s="935"/>
      <c r="M234" s="729"/>
      <c r="N234" s="729"/>
      <c r="O234" s="729"/>
      <c r="P234" s="729"/>
      <c r="Q234" s="729"/>
      <c r="R234" s="729"/>
    </row>
    <row r="235" spans="1:18" s="714" customFormat="1" ht="24" customHeight="1">
      <c r="A235" s="831" t="s">
        <v>991</v>
      </c>
      <c r="B235" s="720" t="s">
        <v>1280</v>
      </c>
      <c r="C235" s="717"/>
      <c r="D235" s="717"/>
      <c r="E235" s="917"/>
      <c r="F235" s="916"/>
      <c r="G235" s="806"/>
      <c r="H235" s="796">
        <f t="shared" ref="H235:H246" si="28">ROUND(E235*G235,)</f>
        <v>0</v>
      </c>
      <c r="I235" s="807"/>
      <c r="J235" s="796">
        <f t="shared" ref="J235:J246" si="29">ROUND(E235*I235,)</f>
        <v>0</v>
      </c>
      <c r="K235" s="968"/>
      <c r="L235" s="919"/>
      <c r="M235" s="729"/>
      <c r="N235" s="729"/>
      <c r="O235" s="729"/>
      <c r="P235" s="729"/>
      <c r="Q235" s="729"/>
      <c r="R235" s="729"/>
    </row>
    <row r="236" spans="1:18" s="714" customFormat="1" ht="24" customHeight="1">
      <c r="A236" s="831"/>
      <c r="B236" s="720" t="s">
        <v>1201</v>
      </c>
      <c r="C236" s="717"/>
      <c r="D236" s="717"/>
      <c r="E236" s="917">
        <v>2540</v>
      </c>
      <c r="F236" s="794" t="s">
        <v>438</v>
      </c>
      <c r="G236" s="806">
        <v>27</v>
      </c>
      <c r="H236" s="796">
        <f t="shared" si="28"/>
        <v>68580</v>
      </c>
      <c r="I236" s="807">
        <v>22</v>
      </c>
      <c r="J236" s="796">
        <f t="shared" si="29"/>
        <v>55880</v>
      </c>
      <c r="K236" s="1030">
        <f t="shared" ref="K236:K240" si="30">H236+J236</f>
        <v>124460</v>
      </c>
      <c r="L236" s="1718" t="s">
        <v>2974</v>
      </c>
      <c r="M236" s="729"/>
      <c r="N236" s="714">
        <v>79.8</v>
      </c>
      <c r="O236" s="714">
        <f>ROUND(N236/3,)</f>
        <v>27</v>
      </c>
      <c r="P236" s="729"/>
      <c r="Q236" s="729"/>
      <c r="R236" s="729"/>
    </row>
    <row r="237" spans="1:18" s="714" customFormat="1" ht="24" customHeight="1">
      <c r="A237" s="831"/>
      <c r="B237" s="720" t="s">
        <v>1184</v>
      </c>
      <c r="C237" s="717"/>
      <c r="D237" s="717"/>
      <c r="E237" s="917">
        <v>60</v>
      </c>
      <c r="F237" s="794" t="s">
        <v>438</v>
      </c>
      <c r="G237" s="806">
        <v>38</v>
      </c>
      <c r="H237" s="796">
        <f t="shared" si="28"/>
        <v>2280</v>
      </c>
      <c r="I237" s="807">
        <v>28</v>
      </c>
      <c r="J237" s="796">
        <f t="shared" si="29"/>
        <v>1680</v>
      </c>
      <c r="K237" s="1030">
        <f t="shared" si="30"/>
        <v>3960</v>
      </c>
      <c r="L237" s="1718" t="s">
        <v>2974</v>
      </c>
      <c r="M237" s="729"/>
      <c r="N237" s="729">
        <v>115.2</v>
      </c>
      <c r="O237" s="714">
        <f>ROUND(N237/3,)</f>
        <v>38</v>
      </c>
      <c r="P237" s="729"/>
    </row>
    <row r="238" spans="1:18" s="714" customFormat="1" ht="24" customHeight="1">
      <c r="A238" s="831"/>
      <c r="B238" s="720" t="s">
        <v>1185</v>
      </c>
      <c r="C238" s="717"/>
      <c r="D238" s="717"/>
      <c r="E238" s="917">
        <v>115</v>
      </c>
      <c r="F238" s="794" t="s">
        <v>438</v>
      </c>
      <c r="G238" s="806">
        <v>55</v>
      </c>
      <c r="H238" s="796">
        <f t="shared" si="28"/>
        <v>6325</v>
      </c>
      <c r="I238" s="807">
        <v>28</v>
      </c>
      <c r="J238" s="796">
        <f t="shared" si="29"/>
        <v>3220</v>
      </c>
      <c r="K238" s="1030">
        <f t="shared" si="30"/>
        <v>9545</v>
      </c>
      <c r="L238" s="1718" t="s">
        <v>2974</v>
      </c>
      <c r="M238" s="729"/>
      <c r="N238" s="729">
        <v>163.80000000000001</v>
      </c>
      <c r="O238" s="714">
        <f>ROUND(N238/3,)</f>
        <v>55</v>
      </c>
      <c r="P238" s="729"/>
      <c r="Q238" s="729"/>
    </row>
    <row r="239" spans="1:18" s="714" customFormat="1" ht="24" customHeight="1">
      <c r="A239" s="831"/>
      <c r="B239" s="720" t="s">
        <v>1186</v>
      </c>
      <c r="C239" s="717"/>
      <c r="D239" s="717"/>
      <c r="E239" s="917"/>
      <c r="F239" s="794" t="s">
        <v>438</v>
      </c>
      <c r="G239" s="806">
        <v>95</v>
      </c>
      <c r="H239" s="796">
        <f t="shared" si="28"/>
        <v>0</v>
      </c>
      <c r="I239" s="807">
        <v>32</v>
      </c>
      <c r="J239" s="796">
        <f t="shared" si="29"/>
        <v>0</v>
      </c>
      <c r="K239" s="1030">
        <f t="shared" si="30"/>
        <v>0</v>
      </c>
      <c r="L239" s="1718" t="s">
        <v>2974</v>
      </c>
      <c r="M239" s="729"/>
      <c r="N239" s="729">
        <v>285.60000000000002</v>
      </c>
      <c r="O239" s="714">
        <f>ROUND(N239/3,)</f>
        <v>95</v>
      </c>
      <c r="P239" s="729"/>
      <c r="Q239" s="729"/>
    </row>
    <row r="240" spans="1:18" s="714" customFormat="1" ht="24" customHeight="1">
      <c r="A240" s="831"/>
      <c r="B240" s="720" t="s">
        <v>952</v>
      </c>
      <c r="C240" s="717"/>
      <c r="D240" s="717"/>
      <c r="E240" s="917">
        <v>1</v>
      </c>
      <c r="F240" s="916" t="s">
        <v>948</v>
      </c>
      <c r="G240" s="806">
        <f>SUM(H236:H239)*15%</f>
        <v>11577.75</v>
      </c>
      <c r="H240" s="796">
        <f t="shared" si="28"/>
        <v>11578</v>
      </c>
      <c r="I240" s="807">
        <f>G240*0.3</f>
        <v>3473.3249999999998</v>
      </c>
      <c r="J240" s="796">
        <f t="shared" si="29"/>
        <v>3473</v>
      </c>
      <c r="K240" s="1030">
        <f t="shared" si="30"/>
        <v>15051</v>
      </c>
      <c r="L240" s="920"/>
      <c r="M240" s="729"/>
      <c r="N240" s="729"/>
      <c r="O240" s="729"/>
      <c r="P240" s="729"/>
      <c r="Q240" s="729"/>
      <c r="R240" s="729"/>
    </row>
    <row r="241" spans="1:18" s="714" customFormat="1" ht="24" customHeight="1">
      <c r="A241" s="831" t="s">
        <v>1020</v>
      </c>
      <c r="B241" s="720" t="s">
        <v>950</v>
      </c>
      <c r="C241" s="717"/>
      <c r="D241" s="717"/>
      <c r="E241" s="917"/>
      <c r="F241" s="916"/>
      <c r="G241" s="806"/>
      <c r="H241" s="796">
        <f t="shared" si="28"/>
        <v>0</v>
      </c>
      <c r="I241" s="807"/>
      <c r="J241" s="796">
        <f t="shared" si="29"/>
        <v>0</v>
      </c>
      <c r="K241" s="968"/>
      <c r="L241" s="920"/>
      <c r="M241" s="729"/>
      <c r="N241" s="729"/>
      <c r="O241" s="729"/>
      <c r="P241" s="729"/>
      <c r="Q241" s="729"/>
      <c r="R241" s="729"/>
    </row>
    <row r="242" spans="1:18" s="714" customFormat="1" ht="24" customHeight="1">
      <c r="A242" s="831"/>
      <c r="B242" s="720" t="s">
        <v>1201</v>
      </c>
      <c r="C242" s="717"/>
      <c r="D242" s="717"/>
      <c r="E242" s="917"/>
      <c r="F242" s="794" t="s">
        <v>438</v>
      </c>
      <c r="G242" s="806">
        <v>56</v>
      </c>
      <c r="H242" s="796">
        <f t="shared" si="28"/>
        <v>0</v>
      </c>
      <c r="I242" s="807">
        <v>26</v>
      </c>
      <c r="J242" s="796">
        <f t="shared" si="29"/>
        <v>0</v>
      </c>
      <c r="K242" s="1014">
        <f t="shared" ref="K242:K246" si="31">H242+J242</f>
        <v>0</v>
      </c>
      <c r="L242" s="1718" t="s">
        <v>2974</v>
      </c>
      <c r="M242" s="729"/>
      <c r="N242" s="714">
        <v>169.2</v>
      </c>
      <c r="O242" s="714">
        <f>ROUND(N242/3,)</f>
        <v>56</v>
      </c>
      <c r="P242" s="729"/>
      <c r="Q242" s="729"/>
      <c r="R242" s="729"/>
    </row>
    <row r="243" spans="1:18" s="714" customFormat="1" ht="24" customHeight="1">
      <c r="A243" s="831"/>
      <c r="B243" s="720" t="s">
        <v>1185</v>
      </c>
      <c r="C243" s="717"/>
      <c r="D243" s="717"/>
      <c r="E243" s="917"/>
      <c r="F243" s="794" t="s">
        <v>438</v>
      </c>
      <c r="G243" s="806">
        <v>101</v>
      </c>
      <c r="H243" s="796">
        <f t="shared" si="28"/>
        <v>0</v>
      </c>
      <c r="I243" s="807">
        <v>32</v>
      </c>
      <c r="J243" s="796">
        <f t="shared" si="29"/>
        <v>0</v>
      </c>
      <c r="K243" s="966">
        <f t="shared" si="31"/>
        <v>0</v>
      </c>
      <c r="L243" s="1718" t="s">
        <v>2974</v>
      </c>
      <c r="M243" s="729"/>
      <c r="N243" s="729">
        <v>303.60000000000002</v>
      </c>
      <c r="O243" s="714">
        <f>ROUND(N243/3,)</f>
        <v>101</v>
      </c>
      <c r="P243" s="729"/>
      <c r="Q243" s="729"/>
      <c r="R243" s="729"/>
    </row>
    <row r="244" spans="1:18" s="714" customFormat="1" ht="24" customHeight="1">
      <c r="A244" s="831"/>
      <c r="B244" s="720" t="s">
        <v>952</v>
      </c>
      <c r="C244" s="717"/>
      <c r="D244" s="717"/>
      <c r="E244" s="917">
        <v>1</v>
      </c>
      <c r="F244" s="916" t="s">
        <v>948</v>
      </c>
      <c r="G244" s="806">
        <f>SUM(H242:H243)*15%</f>
        <v>0</v>
      </c>
      <c r="H244" s="796">
        <f t="shared" si="28"/>
        <v>0</v>
      </c>
      <c r="I244" s="797">
        <f>ROUND(G244*0.3,)</f>
        <v>0</v>
      </c>
      <c r="J244" s="796">
        <f t="shared" si="29"/>
        <v>0</v>
      </c>
      <c r="K244" s="966">
        <f t="shared" si="31"/>
        <v>0</v>
      </c>
      <c r="L244" s="919"/>
      <c r="M244" s="729"/>
      <c r="N244" s="729"/>
      <c r="O244" s="729"/>
      <c r="P244" s="729"/>
      <c r="Q244" s="729"/>
      <c r="R244" s="729"/>
    </row>
    <row r="245" spans="1:18" s="714" customFormat="1" ht="24" customHeight="1">
      <c r="A245" s="831" t="s">
        <v>1578</v>
      </c>
      <c r="B245" s="720" t="s">
        <v>1281</v>
      </c>
      <c r="C245" s="717"/>
      <c r="D245" s="717"/>
      <c r="E245" s="917"/>
      <c r="F245" s="916"/>
      <c r="G245" s="806"/>
      <c r="H245" s="796">
        <f t="shared" si="28"/>
        <v>0</v>
      </c>
      <c r="I245" s="807"/>
      <c r="J245" s="796">
        <f t="shared" si="29"/>
        <v>0</v>
      </c>
      <c r="K245" s="966">
        <f t="shared" si="31"/>
        <v>0</v>
      </c>
      <c r="L245" s="919"/>
      <c r="M245" s="729"/>
      <c r="N245" s="729"/>
      <c r="O245" s="729"/>
      <c r="P245" s="729"/>
      <c r="Q245" s="729"/>
      <c r="R245" s="729"/>
    </row>
    <row r="246" spans="1:18" s="714" customFormat="1" ht="24" customHeight="1">
      <c r="A246" s="831"/>
      <c r="B246" s="720" t="s">
        <v>1201</v>
      </c>
      <c r="C246" s="717"/>
      <c r="D246" s="717"/>
      <c r="E246" s="917">
        <v>817</v>
      </c>
      <c r="F246" s="794" t="s">
        <v>438</v>
      </c>
      <c r="G246" s="806">
        <v>14</v>
      </c>
      <c r="H246" s="796">
        <f t="shared" si="28"/>
        <v>11438</v>
      </c>
      <c r="I246" s="807">
        <v>11</v>
      </c>
      <c r="J246" s="796">
        <f t="shared" si="29"/>
        <v>8987</v>
      </c>
      <c r="K246" s="966">
        <f t="shared" si="31"/>
        <v>20425</v>
      </c>
      <c r="L246" s="919"/>
      <c r="M246" s="729"/>
      <c r="N246" s="729"/>
      <c r="O246" s="729"/>
      <c r="P246" s="729"/>
      <c r="Q246" s="729"/>
      <c r="R246" s="729"/>
    </row>
    <row r="247" spans="1:18" s="714" customFormat="1" ht="24" customHeight="1">
      <c r="A247" s="831"/>
      <c r="B247" s="720" t="s">
        <v>957</v>
      </c>
      <c r="C247" s="717"/>
      <c r="D247" s="717"/>
      <c r="E247" s="917"/>
      <c r="F247" s="916"/>
      <c r="G247" s="806"/>
      <c r="H247" s="918"/>
      <c r="I247" s="807"/>
      <c r="J247" s="919"/>
      <c r="K247" s="968"/>
      <c r="L247" s="919"/>
      <c r="M247" s="729"/>
      <c r="N247" s="729"/>
      <c r="O247" s="729"/>
      <c r="P247" s="729"/>
      <c r="Q247" s="729"/>
      <c r="R247" s="729"/>
    </row>
    <row r="248" spans="1:18" s="714" customFormat="1" ht="24" customHeight="1">
      <c r="A248" s="831"/>
      <c r="B248" s="720" t="s">
        <v>958</v>
      </c>
      <c r="C248" s="717"/>
      <c r="D248" s="717"/>
      <c r="E248" s="917"/>
      <c r="F248" s="916"/>
      <c r="G248" s="806"/>
      <c r="H248" s="918"/>
      <c r="I248" s="807"/>
      <c r="J248" s="919"/>
      <c r="K248" s="968"/>
      <c r="L248" s="919"/>
      <c r="M248" s="729"/>
      <c r="N248" s="729"/>
      <c r="O248" s="729"/>
      <c r="P248" s="729"/>
      <c r="Q248" s="729"/>
      <c r="R248" s="729"/>
    </row>
    <row r="249" spans="1:18" s="714" customFormat="1" ht="24" customHeight="1">
      <c r="A249" s="921"/>
      <c r="B249" s="705" t="s">
        <v>958</v>
      </c>
      <c r="C249" s="761"/>
      <c r="D249" s="761"/>
      <c r="E249" s="923"/>
      <c r="F249" s="924"/>
      <c r="G249" s="925"/>
      <c r="H249" s="926"/>
      <c r="I249" s="927"/>
      <c r="J249" s="928"/>
      <c r="K249" s="1072"/>
      <c r="L249" s="928"/>
      <c r="M249" s="729"/>
      <c r="N249" s="729"/>
      <c r="O249" s="729"/>
      <c r="P249" s="729"/>
      <c r="Q249" s="729"/>
      <c r="R249" s="729"/>
    </row>
    <row r="250" spans="1:18" s="714" customFormat="1" ht="24" customHeight="1">
      <c r="A250" s="775"/>
      <c r="B250" s="2475" t="str">
        <f>"รวมราคารายการที่ "&amp;A234</f>
        <v>รวมราคารายการที่ 3.5</v>
      </c>
      <c r="C250" s="2476"/>
      <c r="D250" s="2477"/>
      <c r="E250" s="776"/>
      <c r="F250" s="777"/>
      <c r="G250" s="778"/>
      <c r="H250" s="779">
        <f>SUM(H235:H249)</f>
        <v>100201</v>
      </c>
      <c r="I250" s="778"/>
      <c r="J250" s="779">
        <f>SUM(J235:J249)</f>
        <v>73240</v>
      </c>
      <c r="K250" s="779">
        <f>SUM(K235:K249)</f>
        <v>173441</v>
      </c>
      <c r="L250" s="1006"/>
      <c r="M250" s="729"/>
      <c r="N250" s="729"/>
      <c r="O250" s="729"/>
      <c r="P250" s="729"/>
      <c r="Q250" s="729"/>
      <c r="R250" s="729"/>
    </row>
    <row r="251" spans="1:18" s="714" customFormat="1" ht="24" customHeight="1">
      <c r="A251" s="911" t="s">
        <v>1293</v>
      </c>
      <c r="B251" s="816" t="s">
        <v>1283</v>
      </c>
      <c r="C251" s="770"/>
      <c r="D251" s="770"/>
      <c r="E251" s="930"/>
      <c r="F251" s="931"/>
      <c r="G251" s="932"/>
      <c r="H251" s="933"/>
      <c r="I251" s="934"/>
      <c r="J251" s="935"/>
      <c r="K251" s="1013"/>
      <c r="L251" s="935"/>
      <c r="M251" s="729"/>
      <c r="N251" s="729"/>
      <c r="O251" s="729"/>
      <c r="P251" s="729"/>
      <c r="Q251" s="729"/>
      <c r="R251" s="729"/>
    </row>
    <row r="252" spans="1:18" s="714" customFormat="1" ht="24" customHeight="1">
      <c r="A252" s="831" t="s">
        <v>1032</v>
      </c>
      <c r="B252" s="720" t="s">
        <v>1283</v>
      </c>
      <c r="C252" s="717"/>
      <c r="D252" s="717"/>
      <c r="E252" s="917"/>
      <c r="F252" s="916"/>
      <c r="G252" s="806"/>
      <c r="H252" s="918"/>
      <c r="I252" s="807"/>
      <c r="J252" s="919"/>
      <c r="K252" s="968"/>
      <c r="L252" s="919"/>
      <c r="M252" s="729"/>
      <c r="N252" s="729"/>
      <c r="O252" s="729"/>
      <c r="P252" s="729"/>
      <c r="Q252" s="729"/>
      <c r="R252" s="729"/>
    </row>
    <row r="253" spans="1:18" s="714" customFormat="1" ht="24" customHeight="1">
      <c r="A253" s="831"/>
      <c r="B253" s="720" t="s">
        <v>1284</v>
      </c>
      <c r="C253" s="717"/>
      <c r="D253" s="717"/>
      <c r="E253" s="917">
        <v>27</v>
      </c>
      <c r="F253" s="722" t="s">
        <v>240</v>
      </c>
      <c r="G253" s="806">
        <v>90</v>
      </c>
      <c r="H253" s="796">
        <f t="shared" ref="H253:H262" si="32">ROUND(E253*G253,)</f>
        <v>2430</v>
      </c>
      <c r="I253" s="807">
        <v>80</v>
      </c>
      <c r="J253" s="796">
        <f t="shared" ref="J253:J262" si="33">ROUND(E253*I253,)</f>
        <v>2160</v>
      </c>
      <c r="K253" s="1030">
        <f t="shared" ref="K253:K262" si="34">H253+J253</f>
        <v>4590</v>
      </c>
      <c r="L253" s="919"/>
      <c r="M253" s="729"/>
      <c r="N253" s="729"/>
      <c r="O253" s="729"/>
      <c r="P253" s="729"/>
      <c r="Q253" s="729"/>
      <c r="R253" s="729"/>
    </row>
    <row r="254" spans="1:18" s="714" customFormat="1" ht="24" customHeight="1">
      <c r="A254" s="831"/>
      <c r="B254" s="705" t="s">
        <v>1418</v>
      </c>
      <c r="C254" s="717"/>
      <c r="D254" s="717"/>
      <c r="E254" s="967"/>
      <c r="F254" s="709" t="s">
        <v>240</v>
      </c>
      <c r="G254" s="806">
        <v>130</v>
      </c>
      <c r="H254" s="796">
        <f t="shared" si="32"/>
        <v>0</v>
      </c>
      <c r="I254" s="807">
        <v>90</v>
      </c>
      <c r="J254" s="796">
        <f t="shared" si="33"/>
        <v>0</v>
      </c>
      <c r="K254" s="1030">
        <f t="shared" si="34"/>
        <v>0</v>
      </c>
      <c r="L254" s="919"/>
    </row>
    <row r="255" spans="1:18" s="714" customFormat="1" ht="24" customHeight="1">
      <c r="A255" s="831"/>
      <c r="B255" s="720" t="s">
        <v>1285</v>
      </c>
      <c r="C255" s="717"/>
      <c r="D255" s="717"/>
      <c r="E255" s="917"/>
      <c r="F255" s="722" t="s">
        <v>240</v>
      </c>
      <c r="G255" s="806">
        <v>162</v>
      </c>
      <c r="H255" s="796">
        <f t="shared" si="32"/>
        <v>0</v>
      </c>
      <c r="I255" s="807">
        <v>90</v>
      </c>
      <c r="J255" s="796">
        <f t="shared" si="33"/>
        <v>0</v>
      </c>
      <c r="K255" s="1030">
        <f t="shared" si="34"/>
        <v>0</v>
      </c>
      <c r="L255" s="919"/>
      <c r="M255" s="729"/>
      <c r="N255" s="729"/>
      <c r="O255" s="729"/>
      <c r="P255" s="729"/>
      <c r="Q255" s="729"/>
      <c r="R255" s="729"/>
    </row>
    <row r="256" spans="1:18" s="714" customFormat="1" ht="24" customHeight="1">
      <c r="A256" s="831"/>
      <c r="B256" s="720" t="s">
        <v>1286</v>
      </c>
      <c r="C256" s="717"/>
      <c r="D256" s="717"/>
      <c r="E256" s="917">
        <v>26</v>
      </c>
      <c r="F256" s="722" t="s">
        <v>240</v>
      </c>
      <c r="G256" s="806">
        <v>197</v>
      </c>
      <c r="H256" s="796">
        <f t="shared" si="32"/>
        <v>5122</v>
      </c>
      <c r="I256" s="807">
        <v>90</v>
      </c>
      <c r="J256" s="796">
        <f t="shared" si="33"/>
        <v>2340</v>
      </c>
      <c r="K256" s="1030">
        <f t="shared" si="34"/>
        <v>7462</v>
      </c>
      <c r="L256" s="919"/>
      <c r="M256" s="729"/>
      <c r="N256" s="729"/>
      <c r="O256" s="729"/>
      <c r="P256" s="729"/>
      <c r="Q256" s="729"/>
      <c r="R256" s="729"/>
    </row>
    <row r="257" spans="1:19" s="714" customFormat="1" ht="24" customHeight="1">
      <c r="A257" s="831"/>
      <c r="B257" s="705" t="s">
        <v>1287</v>
      </c>
      <c r="C257" s="717"/>
      <c r="D257" s="717"/>
      <c r="E257" s="967"/>
      <c r="F257" s="709" t="s">
        <v>240</v>
      </c>
      <c r="G257" s="806">
        <v>1500</v>
      </c>
      <c r="H257" s="796">
        <f t="shared" si="32"/>
        <v>0</v>
      </c>
      <c r="I257" s="807">
        <v>265</v>
      </c>
      <c r="J257" s="796">
        <f t="shared" si="33"/>
        <v>0</v>
      </c>
      <c r="K257" s="1030">
        <f t="shared" si="34"/>
        <v>0</v>
      </c>
      <c r="L257" s="919"/>
    </row>
    <row r="258" spans="1:19" s="714" customFormat="1" ht="24" customHeight="1">
      <c r="A258" s="831"/>
      <c r="B258" s="720" t="s">
        <v>1288</v>
      </c>
      <c r="C258" s="717"/>
      <c r="D258" s="717"/>
      <c r="E258" s="917"/>
      <c r="F258" s="722" t="s">
        <v>240</v>
      </c>
      <c r="G258" s="806">
        <v>320</v>
      </c>
      <c r="H258" s="796">
        <f t="shared" si="32"/>
        <v>0</v>
      </c>
      <c r="I258" s="807">
        <v>200</v>
      </c>
      <c r="J258" s="796">
        <f t="shared" si="33"/>
        <v>0</v>
      </c>
      <c r="K258" s="1030">
        <f t="shared" si="34"/>
        <v>0</v>
      </c>
      <c r="L258" s="919"/>
      <c r="M258" s="729"/>
      <c r="N258" s="729"/>
      <c r="O258" s="729"/>
      <c r="P258" s="729"/>
      <c r="Q258" s="729"/>
    </row>
    <row r="259" spans="1:19" s="714" customFormat="1" ht="24" customHeight="1">
      <c r="A259" s="831" t="s">
        <v>1598</v>
      </c>
      <c r="B259" s="720" t="s">
        <v>1289</v>
      </c>
      <c r="C259" s="717"/>
      <c r="D259" s="717"/>
      <c r="E259" s="917">
        <v>10</v>
      </c>
      <c r="F259" s="722" t="s">
        <v>240</v>
      </c>
      <c r="G259" s="806">
        <v>130</v>
      </c>
      <c r="H259" s="796">
        <f t="shared" si="32"/>
        <v>1300</v>
      </c>
      <c r="I259" s="807">
        <v>90</v>
      </c>
      <c r="J259" s="796">
        <f t="shared" si="33"/>
        <v>900</v>
      </c>
      <c r="K259" s="1030">
        <f t="shared" si="34"/>
        <v>2200</v>
      </c>
      <c r="L259" s="919"/>
      <c r="M259" s="729"/>
      <c r="N259" s="729"/>
      <c r="O259" s="729"/>
      <c r="P259" s="729"/>
      <c r="Q259" s="729"/>
      <c r="R259" s="729"/>
    </row>
    <row r="260" spans="1:19" s="714" customFormat="1" ht="24" customHeight="1">
      <c r="A260" s="831" t="s">
        <v>1601</v>
      </c>
      <c r="B260" s="720" t="s">
        <v>1419</v>
      </c>
      <c r="C260" s="717"/>
      <c r="D260" s="717"/>
      <c r="E260" s="917"/>
      <c r="F260" s="722" t="s">
        <v>240</v>
      </c>
      <c r="G260" s="806">
        <v>150</v>
      </c>
      <c r="H260" s="796">
        <f t="shared" si="32"/>
        <v>0</v>
      </c>
      <c r="I260" s="807">
        <v>90</v>
      </c>
      <c r="J260" s="796">
        <f t="shared" si="33"/>
        <v>0</v>
      </c>
      <c r="K260" s="1030">
        <f t="shared" si="34"/>
        <v>0</v>
      </c>
      <c r="L260" s="919"/>
      <c r="M260" s="729"/>
      <c r="N260" s="729"/>
      <c r="O260" s="729"/>
      <c r="P260" s="729"/>
      <c r="Q260" s="729"/>
      <c r="R260" s="729"/>
      <c r="S260" s="729"/>
    </row>
    <row r="261" spans="1:19" s="714" customFormat="1" ht="24" customHeight="1">
      <c r="A261" s="831"/>
      <c r="B261" s="720" t="s">
        <v>1420</v>
      </c>
      <c r="C261" s="717"/>
      <c r="D261" s="717"/>
      <c r="E261" s="917">
        <v>2</v>
      </c>
      <c r="F261" s="722" t="s">
        <v>240</v>
      </c>
      <c r="G261" s="806">
        <v>4000</v>
      </c>
      <c r="H261" s="796">
        <f t="shared" si="32"/>
        <v>8000</v>
      </c>
      <c r="I261" s="807">
        <v>500</v>
      </c>
      <c r="J261" s="914">
        <f t="shared" si="33"/>
        <v>1000</v>
      </c>
      <c r="K261" s="1030">
        <f t="shared" si="34"/>
        <v>9000</v>
      </c>
      <c r="L261" s="919"/>
      <c r="M261" s="729"/>
      <c r="N261" s="729"/>
      <c r="O261" s="729"/>
      <c r="P261" s="729"/>
      <c r="Q261" s="729"/>
      <c r="R261" s="729"/>
      <c r="S261" s="729"/>
    </row>
    <row r="262" spans="1:19" s="714" customFormat="1" ht="24" customHeight="1">
      <c r="A262" s="831"/>
      <c r="B262" s="720" t="s">
        <v>1457</v>
      </c>
      <c r="C262" s="717"/>
      <c r="D262" s="717"/>
      <c r="E262" s="917">
        <v>4</v>
      </c>
      <c r="F262" s="722" t="s">
        <v>240</v>
      </c>
      <c r="G262" s="806">
        <v>8000</v>
      </c>
      <c r="H262" s="796">
        <f t="shared" si="32"/>
        <v>32000</v>
      </c>
      <c r="I262" s="807">
        <v>1000</v>
      </c>
      <c r="J262" s="914">
        <f t="shared" si="33"/>
        <v>4000</v>
      </c>
      <c r="K262" s="1030">
        <f t="shared" si="34"/>
        <v>36000</v>
      </c>
      <c r="L262" s="919"/>
      <c r="M262" s="729"/>
      <c r="N262" s="729"/>
      <c r="O262" s="729"/>
      <c r="P262" s="729"/>
      <c r="Q262" s="729"/>
      <c r="R262" s="729"/>
      <c r="S262" s="729"/>
    </row>
    <row r="263" spans="1:19" s="714" customFormat="1" ht="24" customHeight="1">
      <c r="A263" s="831"/>
      <c r="B263" s="720" t="s">
        <v>957</v>
      </c>
      <c r="C263" s="717"/>
      <c r="D263" s="717"/>
      <c r="E263" s="917"/>
      <c r="F263" s="916"/>
      <c r="G263" s="806"/>
      <c r="H263" s="918"/>
      <c r="I263" s="807"/>
      <c r="J263" s="919"/>
      <c r="K263" s="968"/>
      <c r="L263" s="919"/>
      <c r="M263" s="729"/>
      <c r="N263" s="729"/>
      <c r="O263" s="729"/>
      <c r="P263" s="729"/>
      <c r="Q263" s="729"/>
      <c r="R263" s="729"/>
    </row>
    <row r="264" spans="1:19" s="714" customFormat="1" ht="24" customHeight="1">
      <c r="A264" s="831"/>
      <c r="B264" s="720" t="s">
        <v>958</v>
      </c>
      <c r="C264" s="717"/>
      <c r="D264" s="717"/>
      <c r="E264" s="917"/>
      <c r="F264" s="916"/>
      <c r="G264" s="806"/>
      <c r="H264" s="918"/>
      <c r="I264" s="807"/>
      <c r="J264" s="919"/>
      <c r="K264" s="968"/>
      <c r="L264" s="919"/>
      <c r="M264" s="729"/>
      <c r="N264" s="729"/>
      <c r="O264" s="729"/>
      <c r="P264" s="729"/>
      <c r="Q264" s="729"/>
      <c r="R264" s="729"/>
    </row>
    <row r="265" spans="1:19" s="714" customFormat="1" ht="24" customHeight="1">
      <c r="A265" s="921"/>
      <c r="B265" s="705" t="s">
        <v>958</v>
      </c>
      <c r="C265" s="761"/>
      <c r="D265" s="761"/>
      <c r="E265" s="923"/>
      <c r="F265" s="924"/>
      <c r="G265" s="925"/>
      <c r="H265" s="926"/>
      <c r="I265" s="927"/>
      <c r="J265" s="928"/>
      <c r="K265" s="1072"/>
      <c r="L265" s="928"/>
      <c r="M265" s="729"/>
      <c r="N265" s="729"/>
      <c r="O265" s="729"/>
      <c r="P265" s="729"/>
      <c r="Q265" s="729"/>
      <c r="R265" s="729"/>
    </row>
    <row r="266" spans="1:19" s="714" customFormat="1" ht="24" customHeight="1">
      <c r="A266" s="775"/>
      <c r="B266" s="2475" t="str">
        <f>"รวมราคารายการที่ "&amp;A251</f>
        <v>รวมราคารายการที่ 3.6</v>
      </c>
      <c r="C266" s="2476"/>
      <c r="D266" s="2477"/>
      <c r="E266" s="776"/>
      <c r="F266" s="777"/>
      <c r="G266" s="778"/>
      <c r="H266" s="779">
        <f>SUM(H252:H265)</f>
        <v>48852</v>
      </c>
      <c r="I266" s="778"/>
      <c r="J266" s="779">
        <f>SUM(J252:J265)</f>
        <v>10400</v>
      </c>
      <c r="K266" s="779">
        <f>SUM(K252:K265)</f>
        <v>59252</v>
      </c>
      <c r="L266" s="1006"/>
      <c r="M266" s="729"/>
      <c r="N266" s="729"/>
      <c r="O266" s="729"/>
      <c r="P266" s="729"/>
      <c r="Q266" s="729"/>
      <c r="R266" s="729"/>
    </row>
    <row r="267" spans="1:19" s="714" customFormat="1" ht="24" customHeight="1">
      <c r="A267" s="969" t="s">
        <v>1317</v>
      </c>
      <c r="B267" s="1015" t="s">
        <v>1197</v>
      </c>
      <c r="C267" s="770"/>
      <c r="D267" s="770"/>
      <c r="E267" s="930"/>
      <c r="F267" s="709"/>
      <c r="G267" s="932"/>
      <c r="H267" s="854"/>
      <c r="I267" s="934"/>
      <c r="J267" s="854"/>
      <c r="K267" s="1007"/>
      <c r="L267" s="935"/>
      <c r="M267" s="729"/>
      <c r="N267" s="729"/>
      <c r="O267" s="729"/>
      <c r="P267" s="729"/>
      <c r="Q267" s="729"/>
      <c r="R267" s="729"/>
    </row>
    <row r="268" spans="1:19" s="714" customFormat="1" ht="24" customHeight="1">
      <c r="A268" s="791" t="s">
        <v>1051</v>
      </c>
      <c r="B268" s="972" t="s">
        <v>1291</v>
      </c>
      <c r="C268" s="717"/>
      <c r="D268" s="717"/>
      <c r="E268" s="917"/>
      <c r="F268" s="722"/>
      <c r="G268" s="806"/>
      <c r="H268" s="796"/>
      <c r="I268" s="807"/>
      <c r="J268" s="796"/>
      <c r="K268" s="1014"/>
      <c r="L268" s="919"/>
      <c r="M268" s="729"/>
      <c r="N268" s="729"/>
      <c r="O268" s="729"/>
      <c r="P268" s="729"/>
      <c r="Q268" s="729"/>
      <c r="R268" s="729"/>
    </row>
    <row r="269" spans="1:19" s="714" customFormat="1" ht="24" customHeight="1">
      <c r="A269" s="704"/>
      <c r="B269" s="972" t="s">
        <v>1525</v>
      </c>
      <c r="C269" s="717"/>
      <c r="D269" s="717"/>
      <c r="E269" s="917">
        <v>1</v>
      </c>
      <c r="F269" s="722" t="s">
        <v>240</v>
      </c>
      <c r="G269" s="806">
        <f>72000+20280+5500</f>
        <v>97780</v>
      </c>
      <c r="H269" s="796">
        <f t="shared" ref="H269:H270" si="35">ROUND(E269*G269,)</f>
        <v>97780</v>
      </c>
      <c r="I269" s="807">
        <f t="shared" ref="I269:I270" si="36">G269*0.05</f>
        <v>4889</v>
      </c>
      <c r="J269" s="796">
        <f t="shared" ref="J269:J270" si="37">ROUND(E269*I269,)</f>
        <v>4889</v>
      </c>
      <c r="K269" s="1030">
        <f t="shared" ref="K269:K270" si="38">H269+J269</f>
        <v>102669</v>
      </c>
      <c r="L269" s="919"/>
      <c r="M269" s="729"/>
      <c r="N269" s="729"/>
      <c r="O269" s="729"/>
      <c r="P269" s="729"/>
      <c r="Q269" s="729"/>
      <c r="R269" s="729"/>
    </row>
    <row r="270" spans="1:19" s="714" customFormat="1" ht="24" customHeight="1">
      <c r="A270" s="704"/>
      <c r="B270" s="972" t="s">
        <v>1526</v>
      </c>
      <c r="C270" s="717"/>
      <c r="D270" s="717"/>
      <c r="E270" s="917">
        <v>1</v>
      </c>
      <c r="F270" s="722" t="s">
        <v>240</v>
      </c>
      <c r="G270" s="806">
        <f>72000+20280+5500</f>
        <v>97780</v>
      </c>
      <c r="H270" s="796">
        <f t="shared" si="35"/>
        <v>97780</v>
      </c>
      <c r="I270" s="807">
        <f t="shared" si="36"/>
        <v>4889</v>
      </c>
      <c r="J270" s="796">
        <f t="shared" si="37"/>
        <v>4889</v>
      </c>
      <c r="K270" s="1030">
        <f t="shared" si="38"/>
        <v>102669</v>
      </c>
      <c r="L270" s="919"/>
      <c r="M270" s="729"/>
      <c r="N270" s="729"/>
      <c r="O270" s="729"/>
      <c r="P270" s="729"/>
      <c r="Q270" s="729"/>
      <c r="R270" s="729"/>
    </row>
    <row r="271" spans="1:19" s="714" customFormat="1" ht="24" customHeight="1">
      <c r="A271" s="704"/>
      <c r="B271" s="972" t="s">
        <v>957</v>
      </c>
      <c r="C271" s="717"/>
      <c r="D271" s="717"/>
      <c r="E271" s="917"/>
      <c r="F271" s="916"/>
      <c r="G271" s="806"/>
      <c r="H271" s="918"/>
      <c r="I271" s="807"/>
      <c r="J271" s="919"/>
      <c r="K271" s="968"/>
      <c r="L271" s="919"/>
      <c r="M271" s="729"/>
      <c r="N271" s="729"/>
      <c r="O271" s="729"/>
      <c r="P271" s="729"/>
      <c r="Q271" s="729"/>
      <c r="R271" s="729"/>
    </row>
    <row r="272" spans="1:19" s="714" customFormat="1" ht="24" customHeight="1">
      <c r="A272" s="921"/>
      <c r="B272" s="972" t="s">
        <v>958</v>
      </c>
      <c r="C272" s="761"/>
      <c r="D272" s="761"/>
      <c r="E272" s="923"/>
      <c r="F272" s="924"/>
      <c r="G272" s="925"/>
      <c r="H272" s="926"/>
      <c r="I272" s="927"/>
      <c r="J272" s="928"/>
      <c r="K272" s="1072"/>
      <c r="L272" s="928"/>
      <c r="M272" s="729"/>
      <c r="N272" s="729"/>
      <c r="O272" s="729"/>
      <c r="P272" s="729"/>
      <c r="Q272" s="729"/>
      <c r="R272" s="729"/>
    </row>
    <row r="273" spans="1:18" s="714" customFormat="1" ht="24" customHeight="1">
      <c r="A273" s="704"/>
      <c r="B273" s="972" t="s">
        <v>958</v>
      </c>
      <c r="C273" s="717"/>
      <c r="D273" s="717"/>
      <c r="E273" s="917"/>
      <c r="F273" s="916"/>
      <c r="G273" s="806"/>
      <c r="H273" s="918"/>
      <c r="I273" s="807"/>
      <c r="J273" s="919"/>
      <c r="K273" s="968"/>
      <c r="L273" s="919"/>
      <c r="M273" s="729"/>
      <c r="N273" s="729"/>
      <c r="O273" s="729"/>
      <c r="P273" s="729"/>
      <c r="Q273" s="729"/>
      <c r="R273" s="729"/>
    </row>
    <row r="274" spans="1:18" s="714" customFormat="1" ht="24" customHeight="1">
      <c r="A274" s="775"/>
      <c r="B274" s="2475" t="str">
        <f>"รวมราคารายการที่ "&amp;A267</f>
        <v>รวมราคารายการที่ 3.7</v>
      </c>
      <c r="C274" s="2476"/>
      <c r="D274" s="2477"/>
      <c r="E274" s="776"/>
      <c r="F274" s="777"/>
      <c r="G274" s="778"/>
      <c r="H274" s="779">
        <f>SUM(H267:H273)</f>
        <v>195560</v>
      </c>
      <c r="I274" s="778"/>
      <c r="J274" s="779">
        <f>SUM(J267:J273)</f>
        <v>9778</v>
      </c>
      <c r="K274" s="779">
        <f>SUM(K267:K273)</f>
        <v>205338</v>
      </c>
      <c r="L274" s="1006"/>
      <c r="M274" s="729"/>
      <c r="N274" s="729"/>
      <c r="O274" s="729"/>
      <c r="P274" s="729"/>
      <c r="Q274" s="729"/>
      <c r="R274" s="729"/>
    </row>
    <row r="275" spans="1:18" s="714" customFormat="1" ht="24" customHeight="1">
      <c r="A275" s="911" t="s">
        <v>1339</v>
      </c>
      <c r="B275" s="816" t="s">
        <v>1294</v>
      </c>
      <c r="C275" s="770"/>
      <c r="D275" s="770"/>
      <c r="E275" s="930"/>
      <c r="F275" s="709"/>
      <c r="G275" s="932"/>
      <c r="H275" s="796"/>
      <c r="I275" s="934"/>
      <c r="J275" s="796"/>
      <c r="K275" s="1014"/>
      <c r="L275" s="935"/>
      <c r="M275" s="729"/>
      <c r="N275" s="729"/>
      <c r="O275" s="729"/>
      <c r="P275" s="729"/>
      <c r="Q275" s="729"/>
      <c r="R275" s="729"/>
    </row>
    <row r="276" spans="1:18" s="714" customFormat="1" ht="24" customHeight="1">
      <c r="A276" s="861"/>
      <c r="B276" s="756" t="s">
        <v>1295</v>
      </c>
      <c r="C276" s="717"/>
      <c r="D276" s="717"/>
      <c r="E276" s="942">
        <v>37</v>
      </c>
      <c r="F276" s="759" t="s">
        <v>240</v>
      </c>
      <c r="G276" s="752">
        <v>420</v>
      </c>
      <c r="H276" s="864">
        <f t="shared" ref="H276:H297" si="39">ROUND(E276*G276,)</f>
        <v>15540</v>
      </c>
      <c r="I276" s="949">
        <v>115</v>
      </c>
      <c r="J276" s="864">
        <f t="shared" ref="J276:J297" si="40">ROUND(E276*I276,)</f>
        <v>4255</v>
      </c>
      <c r="K276" s="1030">
        <f t="shared" ref="K276:K297" si="41">H276+J276</f>
        <v>19795</v>
      </c>
      <c r="L276" s="973"/>
      <c r="M276" s="729"/>
      <c r="N276" s="729"/>
      <c r="O276" s="729"/>
      <c r="P276" s="729"/>
    </row>
    <row r="277" spans="1:18" s="714" customFormat="1" ht="24" customHeight="1">
      <c r="A277" s="861"/>
      <c r="B277" s="756" t="s">
        <v>1296</v>
      </c>
      <c r="C277" s="717"/>
      <c r="D277" s="717"/>
      <c r="E277" s="942">
        <v>13</v>
      </c>
      <c r="F277" s="759" t="s">
        <v>240</v>
      </c>
      <c r="G277" s="752">
        <v>500</v>
      </c>
      <c r="H277" s="864">
        <f t="shared" si="39"/>
        <v>6500</v>
      </c>
      <c r="I277" s="949">
        <v>115</v>
      </c>
      <c r="J277" s="864">
        <f t="shared" si="40"/>
        <v>1495</v>
      </c>
      <c r="K277" s="1030">
        <f t="shared" si="41"/>
        <v>7995</v>
      </c>
      <c r="L277" s="973"/>
      <c r="M277" s="729"/>
      <c r="N277" s="729"/>
      <c r="O277" s="729"/>
      <c r="P277" s="729"/>
    </row>
    <row r="278" spans="1:18" s="714" customFormat="1" ht="24" customHeight="1">
      <c r="A278" s="861"/>
      <c r="B278" s="756" t="s">
        <v>1297</v>
      </c>
      <c r="C278" s="717"/>
      <c r="D278" s="717"/>
      <c r="E278" s="942">
        <v>28</v>
      </c>
      <c r="F278" s="759" t="s">
        <v>240</v>
      </c>
      <c r="G278" s="752">
        <v>550</v>
      </c>
      <c r="H278" s="864">
        <f t="shared" si="39"/>
        <v>15400</v>
      </c>
      <c r="I278" s="949">
        <v>115</v>
      </c>
      <c r="J278" s="864">
        <f t="shared" si="40"/>
        <v>3220</v>
      </c>
      <c r="K278" s="1030">
        <f t="shared" si="41"/>
        <v>18620</v>
      </c>
      <c r="L278" s="973"/>
      <c r="M278" s="729"/>
      <c r="N278" s="729"/>
      <c r="O278" s="729"/>
      <c r="P278" s="729"/>
    </row>
    <row r="279" spans="1:18" s="714" customFormat="1" ht="24" customHeight="1">
      <c r="A279" s="861"/>
      <c r="B279" s="756" t="s">
        <v>1298</v>
      </c>
      <c r="C279" s="717"/>
      <c r="D279" s="717"/>
      <c r="E279" s="942"/>
      <c r="F279" s="759" t="s">
        <v>240</v>
      </c>
      <c r="G279" s="752">
        <v>750</v>
      </c>
      <c r="H279" s="864">
        <f t="shared" si="39"/>
        <v>0</v>
      </c>
      <c r="I279" s="949">
        <v>135</v>
      </c>
      <c r="J279" s="864">
        <f t="shared" si="40"/>
        <v>0</v>
      </c>
      <c r="K279" s="1030">
        <f t="shared" si="41"/>
        <v>0</v>
      </c>
      <c r="L279" s="973"/>
      <c r="M279" s="729"/>
      <c r="N279" s="729"/>
      <c r="O279" s="729"/>
      <c r="P279" s="729"/>
    </row>
    <row r="280" spans="1:18" s="714" customFormat="1" ht="24" customHeight="1">
      <c r="A280" s="861"/>
      <c r="B280" s="756" t="s">
        <v>1299</v>
      </c>
      <c r="C280" s="717"/>
      <c r="D280" s="717"/>
      <c r="E280" s="942">
        <v>38</v>
      </c>
      <c r="F280" s="759" t="s">
        <v>240</v>
      </c>
      <c r="G280" s="806">
        <v>2090</v>
      </c>
      <c r="H280" s="864">
        <f t="shared" si="39"/>
        <v>79420</v>
      </c>
      <c r="I280" s="807">
        <v>135</v>
      </c>
      <c r="J280" s="864">
        <f t="shared" si="40"/>
        <v>5130</v>
      </c>
      <c r="K280" s="1030">
        <f t="shared" si="41"/>
        <v>84550</v>
      </c>
      <c r="L280" s="973"/>
      <c r="M280" s="729"/>
      <c r="N280" s="729"/>
      <c r="O280" s="729"/>
      <c r="P280" s="729"/>
    </row>
    <row r="281" spans="1:18" s="714" customFormat="1" ht="24" customHeight="1">
      <c r="A281" s="861"/>
      <c r="B281" s="756" t="s">
        <v>1300</v>
      </c>
      <c r="C281" s="717"/>
      <c r="D281" s="717"/>
      <c r="E281" s="942"/>
      <c r="F281" s="759" t="s">
        <v>240</v>
      </c>
      <c r="G281" s="806">
        <v>650</v>
      </c>
      <c r="H281" s="864">
        <f t="shared" si="39"/>
        <v>0</v>
      </c>
      <c r="I281" s="807">
        <v>20</v>
      </c>
      <c r="J281" s="864">
        <f t="shared" si="40"/>
        <v>0</v>
      </c>
      <c r="K281" s="1030">
        <f t="shared" si="41"/>
        <v>0</v>
      </c>
      <c r="L281" s="973"/>
      <c r="M281" s="729"/>
      <c r="N281" s="729"/>
      <c r="O281" s="729"/>
      <c r="P281" s="729"/>
    </row>
    <row r="282" spans="1:18" s="714" customFormat="1" ht="24" customHeight="1">
      <c r="A282" s="861"/>
      <c r="B282" s="756" t="s">
        <v>1301</v>
      </c>
      <c r="C282" s="717"/>
      <c r="D282" s="717"/>
      <c r="E282" s="942"/>
      <c r="F282" s="759" t="s">
        <v>240</v>
      </c>
      <c r="G282" s="806">
        <v>1200</v>
      </c>
      <c r="H282" s="864">
        <f t="shared" si="39"/>
        <v>0</v>
      </c>
      <c r="I282" s="807">
        <v>135</v>
      </c>
      <c r="J282" s="864">
        <f t="shared" si="40"/>
        <v>0</v>
      </c>
      <c r="K282" s="1030">
        <f t="shared" si="41"/>
        <v>0</v>
      </c>
      <c r="L282" s="973"/>
      <c r="M282" s="729"/>
      <c r="N282" s="729"/>
      <c r="O282" s="729"/>
      <c r="P282" s="729"/>
    </row>
    <row r="283" spans="1:18" s="714" customFormat="1" ht="24" customHeight="1">
      <c r="A283" s="861"/>
      <c r="B283" s="756" t="s">
        <v>1302</v>
      </c>
      <c r="C283" s="717"/>
      <c r="D283" s="717"/>
      <c r="E283" s="942"/>
      <c r="F283" s="759" t="s">
        <v>240</v>
      </c>
      <c r="G283" s="806">
        <v>1200</v>
      </c>
      <c r="H283" s="864">
        <f t="shared" si="39"/>
        <v>0</v>
      </c>
      <c r="I283" s="807">
        <v>135</v>
      </c>
      <c r="J283" s="864">
        <f t="shared" si="40"/>
        <v>0</v>
      </c>
      <c r="K283" s="1030">
        <f t="shared" si="41"/>
        <v>0</v>
      </c>
      <c r="L283" s="973"/>
      <c r="M283" s="729"/>
      <c r="N283" s="729"/>
      <c r="O283" s="729"/>
      <c r="P283" s="729"/>
    </row>
    <row r="284" spans="1:18" s="714" customFormat="1" ht="24" customHeight="1">
      <c r="A284" s="861"/>
      <c r="B284" s="756" t="s">
        <v>1303</v>
      </c>
      <c r="C284" s="717"/>
      <c r="D284" s="717"/>
      <c r="E284" s="942"/>
      <c r="F284" s="759" t="s">
        <v>240</v>
      </c>
      <c r="G284" s="806">
        <v>1200</v>
      </c>
      <c r="H284" s="796">
        <f t="shared" si="39"/>
        <v>0</v>
      </c>
      <c r="I284" s="807">
        <v>135</v>
      </c>
      <c r="J284" s="864">
        <f t="shared" si="40"/>
        <v>0</v>
      </c>
      <c r="K284" s="1030">
        <f t="shared" si="41"/>
        <v>0</v>
      </c>
      <c r="L284" s="973"/>
      <c r="M284" s="729"/>
      <c r="N284" s="729"/>
      <c r="O284" s="729"/>
      <c r="P284" s="729"/>
    </row>
    <row r="285" spans="1:18" s="714" customFormat="1" ht="24" customHeight="1">
      <c r="A285" s="861"/>
      <c r="B285" s="756" t="s">
        <v>1304</v>
      </c>
      <c r="C285" s="717"/>
      <c r="D285" s="717"/>
      <c r="E285" s="942"/>
      <c r="F285" s="759" t="s">
        <v>240</v>
      </c>
      <c r="G285" s="806">
        <v>1200</v>
      </c>
      <c r="H285" s="796">
        <f t="shared" si="39"/>
        <v>0</v>
      </c>
      <c r="I285" s="807">
        <v>135</v>
      </c>
      <c r="J285" s="864">
        <f t="shared" si="40"/>
        <v>0</v>
      </c>
      <c r="K285" s="1030">
        <f t="shared" si="41"/>
        <v>0</v>
      </c>
      <c r="L285" s="973"/>
      <c r="M285" s="729"/>
      <c r="N285" s="729"/>
      <c r="O285" s="729"/>
      <c r="P285" s="729"/>
    </row>
    <row r="286" spans="1:18" s="714" customFormat="1" ht="24" customHeight="1">
      <c r="A286" s="861"/>
      <c r="B286" s="756" t="s">
        <v>1305</v>
      </c>
      <c r="C286" s="717"/>
      <c r="D286" s="717"/>
      <c r="E286" s="942">
        <f>33+3+44</f>
        <v>80</v>
      </c>
      <c r="F286" s="759" t="s">
        <v>240</v>
      </c>
      <c r="G286" s="806">
        <v>1200</v>
      </c>
      <c r="H286" s="796">
        <f t="shared" si="39"/>
        <v>96000</v>
      </c>
      <c r="I286" s="807">
        <v>135</v>
      </c>
      <c r="J286" s="864">
        <f t="shared" si="40"/>
        <v>10800</v>
      </c>
      <c r="K286" s="1030">
        <f t="shared" si="41"/>
        <v>106800</v>
      </c>
      <c r="L286" s="973"/>
      <c r="M286" s="729"/>
      <c r="N286" s="729"/>
      <c r="O286" s="729"/>
      <c r="P286" s="729"/>
    </row>
    <row r="287" spans="1:18" s="714" customFormat="1" ht="24" customHeight="1">
      <c r="A287" s="861"/>
      <c r="B287" s="800" t="s">
        <v>1306</v>
      </c>
      <c r="C287" s="717"/>
      <c r="D287" s="717"/>
      <c r="E287" s="942"/>
      <c r="F287" s="803" t="s">
        <v>240</v>
      </c>
      <c r="G287" s="806">
        <v>1860</v>
      </c>
      <c r="H287" s="796">
        <f t="shared" si="39"/>
        <v>0</v>
      </c>
      <c r="I287" s="807">
        <v>135</v>
      </c>
      <c r="J287" s="796">
        <f t="shared" si="40"/>
        <v>0</v>
      </c>
      <c r="K287" s="966">
        <f t="shared" si="41"/>
        <v>0</v>
      </c>
      <c r="L287" s="973"/>
      <c r="M287" s="729"/>
      <c r="N287" s="729"/>
      <c r="O287" s="729"/>
      <c r="P287" s="729"/>
    </row>
    <row r="288" spans="1:18" s="714" customFormat="1" ht="24" customHeight="1">
      <c r="A288" s="861"/>
      <c r="B288" s="800" t="s">
        <v>1307</v>
      </c>
      <c r="C288" s="717"/>
      <c r="D288" s="717"/>
      <c r="E288" s="942"/>
      <c r="F288" s="803" t="s">
        <v>240</v>
      </c>
      <c r="G288" s="806">
        <v>1860</v>
      </c>
      <c r="H288" s="796">
        <f t="shared" si="39"/>
        <v>0</v>
      </c>
      <c r="I288" s="807">
        <v>135</v>
      </c>
      <c r="J288" s="796">
        <f t="shared" si="40"/>
        <v>0</v>
      </c>
      <c r="K288" s="966">
        <f t="shared" si="41"/>
        <v>0</v>
      </c>
      <c r="L288" s="973"/>
      <c r="M288" s="729"/>
      <c r="N288" s="729"/>
      <c r="O288" s="729"/>
      <c r="P288" s="729"/>
    </row>
    <row r="289" spans="1:18" s="714" customFormat="1" ht="24" customHeight="1">
      <c r="A289" s="861"/>
      <c r="B289" s="800" t="s">
        <v>1308</v>
      </c>
      <c r="C289" s="717"/>
      <c r="D289" s="717"/>
      <c r="E289" s="942"/>
      <c r="F289" s="803" t="s">
        <v>240</v>
      </c>
      <c r="G289" s="806">
        <v>1250</v>
      </c>
      <c r="H289" s="796">
        <f t="shared" si="39"/>
        <v>0</v>
      </c>
      <c r="I289" s="807">
        <v>135</v>
      </c>
      <c r="J289" s="864">
        <f t="shared" si="40"/>
        <v>0</v>
      </c>
      <c r="K289" s="966">
        <f t="shared" si="41"/>
        <v>0</v>
      </c>
      <c r="L289" s="973"/>
      <c r="M289" s="729"/>
      <c r="N289" s="729"/>
      <c r="O289" s="729"/>
      <c r="P289" s="729"/>
    </row>
    <row r="290" spans="1:18" s="714" customFormat="1" ht="24" customHeight="1">
      <c r="A290" s="861"/>
      <c r="B290" s="800" t="s">
        <v>1309</v>
      </c>
      <c r="C290" s="717"/>
      <c r="D290" s="717"/>
      <c r="E290" s="942"/>
      <c r="F290" s="803" t="s">
        <v>240</v>
      </c>
      <c r="G290" s="806">
        <v>1860</v>
      </c>
      <c r="H290" s="796">
        <f t="shared" si="39"/>
        <v>0</v>
      </c>
      <c r="I290" s="807">
        <v>135</v>
      </c>
      <c r="J290" s="796">
        <f t="shared" si="40"/>
        <v>0</v>
      </c>
      <c r="K290" s="966">
        <f t="shared" si="41"/>
        <v>0</v>
      </c>
      <c r="L290" s="973"/>
      <c r="M290" s="729"/>
      <c r="N290" s="729"/>
      <c r="O290" s="729"/>
      <c r="P290" s="729"/>
    </row>
    <row r="291" spans="1:18" s="714" customFormat="1" ht="24" customHeight="1">
      <c r="A291" s="861"/>
      <c r="B291" s="800" t="s">
        <v>1310</v>
      </c>
      <c r="C291" s="717"/>
      <c r="D291" s="717"/>
      <c r="E291" s="942"/>
      <c r="F291" s="803" t="s">
        <v>240</v>
      </c>
      <c r="G291" s="806">
        <v>1200</v>
      </c>
      <c r="H291" s="796">
        <f t="shared" si="39"/>
        <v>0</v>
      </c>
      <c r="I291" s="807">
        <v>135</v>
      </c>
      <c r="J291" s="864">
        <f t="shared" si="40"/>
        <v>0</v>
      </c>
      <c r="K291" s="966">
        <f t="shared" si="41"/>
        <v>0</v>
      </c>
      <c r="L291" s="973"/>
      <c r="M291" s="729"/>
      <c r="N291" s="729"/>
      <c r="O291" s="729"/>
      <c r="P291" s="729"/>
    </row>
    <row r="292" spans="1:18" s="714" customFormat="1" ht="24" customHeight="1">
      <c r="A292" s="861"/>
      <c r="B292" s="800" t="s">
        <v>1311</v>
      </c>
      <c r="C292" s="717"/>
      <c r="D292" s="717"/>
      <c r="E292" s="942">
        <v>156</v>
      </c>
      <c r="F292" s="803" t="s">
        <v>240</v>
      </c>
      <c r="G292" s="806">
        <v>1200</v>
      </c>
      <c r="H292" s="796">
        <f t="shared" si="39"/>
        <v>187200</v>
      </c>
      <c r="I292" s="807">
        <v>135</v>
      </c>
      <c r="J292" s="864">
        <f t="shared" si="40"/>
        <v>21060</v>
      </c>
      <c r="K292" s="966">
        <f t="shared" si="41"/>
        <v>208260</v>
      </c>
      <c r="L292" s="973"/>
      <c r="M292" s="729"/>
      <c r="N292" s="729"/>
      <c r="O292" s="729"/>
      <c r="P292" s="729"/>
    </row>
    <row r="293" spans="1:18" s="714" customFormat="1" ht="24" customHeight="1">
      <c r="A293" s="861"/>
      <c r="B293" s="800" t="s">
        <v>1312</v>
      </c>
      <c r="C293" s="757"/>
      <c r="D293" s="757"/>
      <c r="E293" s="942">
        <v>10</v>
      </c>
      <c r="F293" s="803" t="s">
        <v>240</v>
      </c>
      <c r="G293" s="752">
        <v>1830</v>
      </c>
      <c r="H293" s="864">
        <f t="shared" si="39"/>
        <v>18300</v>
      </c>
      <c r="I293" s="949">
        <v>500</v>
      </c>
      <c r="J293" s="864">
        <f t="shared" si="40"/>
        <v>5000</v>
      </c>
      <c r="K293" s="966">
        <f t="shared" si="41"/>
        <v>23300</v>
      </c>
      <c r="L293" s="973"/>
      <c r="M293" s="729"/>
      <c r="N293" s="729"/>
      <c r="O293" s="729"/>
      <c r="P293" s="729"/>
    </row>
    <row r="294" spans="1:18" s="714" customFormat="1" ht="24" customHeight="1">
      <c r="A294" s="861"/>
      <c r="B294" s="800" t="s">
        <v>1313</v>
      </c>
      <c r="C294" s="757"/>
      <c r="D294" s="757"/>
      <c r="E294" s="942">
        <v>6</v>
      </c>
      <c r="F294" s="803" t="s">
        <v>240</v>
      </c>
      <c r="G294" s="752">
        <v>1620</v>
      </c>
      <c r="H294" s="864">
        <f t="shared" si="39"/>
        <v>9720</v>
      </c>
      <c r="I294" s="949">
        <v>500</v>
      </c>
      <c r="J294" s="864">
        <f t="shared" si="40"/>
        <v>3000</v>
      </c>
      <c r="K294" s="966">
        <f t="shared" si="41"/>
        <v>12720</v>
      </c>
      <c r="L294" s="973"/>
      <c r="M294" s="729"/>
      <c r="N294" s="729"/>
      <c r="O294" s="729"/>
      <c r="P294" s="729"/>
    </row>
    <row r="295" spans="1:18" s="714" customFormat="1" ht="24" customHeight="1">
      <c r="A295" s="861"/>
      <c r="B295" s="800" t="s">
        <v>1314</v>
      </c>
      <c r="C295" s="757"/>
      <c r="D295" s="757"/>
      <c r="E295" s="942">
        <v>26</v>
      </c>
      <c r="F295" s="803" t="s">
        <v>240</v>
      </c>
      <c r="G295" s="752">
        <v>920</v>
      </c>
      <c r="H295" s="864">
        <f t="shared" si="39"/>
        <v>23920</v>
      </c>
      <c r="I295" s="949">
        <v>250</v>
      </c>
      <c r="J295" s="864">
        <f t="shared" si="40"/>
        <v>6500</v>
      </c>
      <c r="K295" s="966">
        <f t="shared" si="41"/>
        <v>30420</v>
      </c>
      <c r="L295" s="973"/>
      <c r="M295" s="729"/>
      <c r="N295" s="729"/>
      <c r="O295" s="729"/>
      <c r="P295" s="729"/>
    </row>
    <row r="296" spans="1:18" s="714" customFormat="1" ht="24" customHeight="1">
      <c r="A296" s="861"/>
      <c r="B296" s="756" t="s">
        <v>1315</v>
      </c>
      <c r="C296" s="757"/>
      <c r="D296" s="757"/>
      <c r="E296" s="942">
        <v>2</v>
      </c>
      <c r="F296" s="759" t="s">
        <v>240</v>
      </c>
      <c r="G296" s="752">
        <v>2180</v>
      </c>
      <c r="H296" s="864">
        <f t="shared" si="39"/>
        <v>4360</v>
      </c>
      <c r="I296" s="949">
        <v>500</v>
      </c>
      <c r="J296" s="864">
        <f t="shared" si="40"/>
        <v>1000</v>
      </c>
      <c r="K296" s="1030">
        <f t="shared" si="41"/>
        <v>5360</v>
      </c>
      <c r="L296" s="973"/>
      <c r="M296" s="729"/>
      <c r="N296" s="729"/>
      <c r="O296" s="729"/>
      <c r="P296" s="729"/>
    </row>
    <row r="297" spans="1:18" s="714" customFormat="1" ht="24" customHeight="1">
      <c r="A297" s="861"/>
      <c r="B297" s="705" t="s">
        <v>1316</v>
      </c>
      <c r="C297" s="717"/>
      <c r="D297" s="717"/>
      <c r="E297" s="942">
        <v>1</v>
      </c>
      <c r="F297" s="759" t="s">
        <v>948</v>
      </c>
      <c r="G297" s="752">
        <f>SUM(H275:H295)*5%</f>
        <v>22600</v>
      </c>
      <c r="H297" s="864">
        <f t="shared" si="39"/>
        <v>22600</v>
      </c>
      <c r="I297" s="949">
        <f>G297*0.3</f>
        <v>6780</v>
      </c>
      <c r="J297" s="864">
        <f t="shared" si="40"/>
        <v>6780</v>
      </c>
      <c r="K297" s="1030">
        <f t="shared" si="41"/>
        <v>29380</v>
      </c>
      <c r="L297" s="973"/>
      <c r="M297" s="729"/>
      <c r="N297" s="729"/>
      <c r="O297" s="729"/>
      <c r="P297" s="729"/>
    </row>
    <row r="298" spans="1:18" s="714" customFormat="1" ht="24" customHeight="1">
      <c r="A298" s="775"/>
      <c r="B298" s="2475" t="str">
        <f>"รวมราคารายการที่ "&amp;A275</f>
        <v>รวมราคารายการที่ 3.8</v>
      </c>
      <c r="C298" s="2476"/>
      <c r="D298" s="2477"/>
      <c r="E298" s="776"/>
      <c r="F298" s="777"/>
      <c r="G298" s="778"/>
      <c r="H298" s="779">
        <f>SUM(H275:H297)</f>
        <v>478960</v>
      </c>
      <c r="I298" s="778"/>
      <c r="J298" s="779">
        <f>SUM(J275:J297)</f>
        <v>68240</v>
      </c>
      <c r="K298" s="779">
        <f>SUM(K275:K297)</f>
        <v>547200</v>
      </c>
      <c r="L298" s="1006"/>
      <c r="M298" s="729"/>
      <c r="N298" s="729"/>
      <c r="O298" s="729"/>
      <c r="P298" s="729"/>
      <c r="Q298" s="729"/>
      <c r="R298" s="729"/>
    </row>
    <row r="299" spans="1:18" s="714" customFormat="1" ht="24" customHeight="1">
      <c r="A299" s="911">
        <v>3.9</v>
      </c>
      <c r="B299" s="816" t="s">
        <v>1225</v>
      </c>
      <c r="C299" s="770"/>
      <c r="D299" s="770"/>
      <c r="E299" s="930"/>
      <c r="F299" s="931"/>
      <c r="G299" s="932"/>
      <c r="H299" s="933"/>
      <c r="I299" s="934"/>
      <c r="J299" s="935"/>
      <c r="K299" s="1013"/>
      <c r="L299" s="935"/>
      <c r="M299" s="729"/>
      <c r="N299" s="729"/>
      <c r="O299" s="729"/>
      <c r="P299" s="729"/>
      <c r="Q299" s="729"/>
      <c r="R299" s="729"/>
    </row>
    <row r="300" spans="1:18" s="714" customFormat="1" ht="24" customHeight="1">
      <c r="A300" s="856" t="s">
        <v>1136</v>
      </c>
      <c r="B300" s="720" t="s">
        <v>1318</v>
      </c>
      <c r="C300" s="717"/>
      <c r="D300" s="717"/>
      <c r="E300" s="917">
        <v>2</v>
      </c>
      <c r="F300" s="722" t="s">
        <v>240</v>
      </c>
      <c r="G300" s="806">
        <f>30000+13500</f>
        <v>43500</v>
      </c>
      <c r="H300" s="796">
        <f t="shared" ref="H300:H331" si="42">ROUND(E300*G300,)</f>
        <v>87000</v>
      </c>
      <c r="I300" s="807">
        <f>G300*0.1</f>
        <v>4350</v>
      </c>
      <c r="J300" s="796">
        <f t="shared" ref="J300:J331" si="43">ROUND(E300*I300,)</f>
        <v>8700</v>
      </c>
      <c r="K300" s="1030">
        <f t="shared" ref="K300:K331" si="44">H300+J300</f>
        <v>95700</v>
      </c>
      <c r="L300" s="919"/>
      <c r="M300" s="729"/>
      <c r="N300" s="729"/>
      <c r="O300" s="729"/>
      <c r="P300" s="729"/>
      <c r="Q300" s="729"/>
      <c r="R300" s="729"/>
    </row>
    <row r="301" spans="1:18" s="714" customFormat="1" ht="24" customHeight="1">
      <c r="A301" s="856" t="s">
        <v>1144</v>
      </c>
      <c r="B301" s="720" t="s">
        <v>1319</v>
      </c>
      <c r="C301" s="717"/>
      <c r="D301" s="717"/>
      <c r="E301" s="917">
        <v>6</v>
      </c>
      <c r="F301" s="722" t="s">
        <v>240</v>
      </c>
      <c r="G301" s="806">
        <v>1850</v>
      </c>
      <c r="H301" s="796">
        <f t="shared" si="42"/>
        <v>11100</v>
      </c>
      <c r="I301" s="807">
        <v>250</v>
      </c>
      <c r="J301" s="796">
        <f t="shared" si="43"/>
        <v>1500</v>
      </c>
      <c r="K301" s="1030">
        <f t="shared" si="44"/>
        <v>12600</v>
      </c>
      <c r="L301" s="919"/>
      <c r="M301" s="729"/>
      <c r="N301" s="729"/>
      <c r="O301" s="729"/>
      <c r="P301" s="729"/>
      <c r="Q301" s="729"/>
      <c r="R301" s="729"/>
    </row>
    <row r="302" spans="1:18" s="714" customFormat="1" ht="24" customHeight="1">
      <c r="A302" s="856" t="s">
        <v>1146</v>
      </c>
      <c r="B302" s="720" t="s">
        <v>1320</v>
      </c>
      <c r="C302" s="717"/>
      <c r="D302" s="717"/>
      <c r="E302" s="917">
        <v>6</v>
      </c>
      <c r="F302" s="722" t="s">
        <v>240</v>
      </c>
      <c r="G302" s="806">
        <v>1850</v>
      </c>
      <c r="H302" s="796">
        <f t="shared" si="42"/>
        <v>11100</v>
      </c>
      <c r="I302" s="807">
        <v>250</v>
      </c>
      <c r="J302" s="796">
        <f t="shared" si="43"/>
        <v>1500</v>
      </c>
      <c r="K302" s="1030">
        <f t="shared" si="44"/>
        <v>12600</v>
      </c>
      <c r="L302" s="919"/>
      <c r="M302" s="729"/>
      <c r="N302" s="729"/>
      <c r="O302" s="729"/>
      <c r="P302" s="729"/>
      <c r="Q302" s="729"/>
      <c r="R302" s="729"/>
    </row>
    <row r="303" spans="1:18" s="714" customFormat="1" ht="24" customHeight="1">
      <c r="A303" s="856" t="s">
        <v>1156</v>
      </c>
      <c r="B303" s="720" t="s">
        <v>1321</v>
      </c>
      <c r="C303" s="717"/>
      <c r="D303" s="717"/>
      <c r="E303" s="917">
        <v>6</v>
      </c>
      <c r="F303" s="722" t="s">
        <v>240</v>
      </c>
      <c r="G303" s="806">
        <v>1850</v>
      </c>
      <c r="H303" s="796">
        <f t="shared" si="42"/>
        <v>11100</v>
      </c>
      <c r="I303" s="807">
        <v>250</v>
      </c>
      <c r="J303" s="796">
        <f t="shared" si="43"/>
        <v>1500</v>
      </c>
      <c r="K303" s="1030">
        <f t="shared" si="44"/>
        <v>12600</v>
      </c>
      <c r="L303" s="919"/>
      <c r="M303" s="729"/>
      <c r="N303" s="729"/>
      <c r="O303" s="729"/>
      <c r="P303" s="729"/>
      <c r="Q303" s="729"/>
      <c r="R303" s="729"/>
    </row>
    <row r="304" spans="1:18" s="714" customFormat="1" ht="24" customHeight="1">
      <c r="A304" s="856" t="s">
        <v>1429</v>
      </c>
      <c r="B304" s="720" t="s">
        <v>1322</v>
      </c>
      <c r="C304" s="717"/>
      <c r="D304" s="717"/>
      <c r="E304" s="917">
        <v>6</v>
      </c>
      <c r="F304" s="722" t="s">
        <v>240</v>
      </c>
      <c r="G304" s="806">
        <v>1850</v>
      </c>
      <c r="H304" s="796">
        <f t="shared" si="42"/>
        <v>11100</v>
      </c>
      <c r="I304" s="807">
        <v>250</v>
      </c>
      <c r="J304" s="796">
        <f t="shared" si="43"/>
        <v>1500</v>
      </c>
      <c r="K304" s="1030">
        <f t="shared" si="44"/>
        <v>12600</v>
      </c>
      <c r="L304" s="919"/>
      <c r="M304" s="729"/>
      <c r="N304" s="729"/>
      <c r="O304" s="729"/>
      <c r="P304" s="729"/>
      <c r="Q304" s="729"/>
      <c r="R304" s="729"/>
    </row>
    <row r="305" spans="1:18" s="714" customFormat="1" ht="24" customHeight="1">
      <c r="A305" s="856" t="s">
        <v>1486</v>
      </c>
      <c r="B305" s="720" t="s">
        <v>1323</v>
      </c>
      <c r="C305" s="717"/>
      <c r="D305" s="717"/>
      <c r="E305" s="917"/>
      <c r="F305" s="722" t="s">
        <v>240</v>
      </c>
      <c r="G305" s="806">
        <v>1850</v>
      </c>
      <c r="H305" s="796">
        <f t="shared" si="42"/>
        <v>0</v>
      </c>
      <c r="I305" s="807">
        <v>250</v>
      </c>
      <c r="J305" s="796">
        <f t="shared" si="43"/>
        <v>0</v>
      </c>
      <c r="K305" s="1030">
        <f t="shared" si="44"/>
        <v>0</v>
      </c>
      <c r="L305" s="919"/>
      <c r="M305" s="729"/>
      <c r="N305" s="729"/>
      <c r="O305" s="729"/>
      <c r="P305" s="729"/>
      <c r="Q305" s="729"/>
      <c r="R305" s="729"/>
    </row>
    <row r="306" spans="1:18" s="714" customFormat="1" ht="24" customHeight="1">
      <c r="A306" s="856" t="s">
        <v>1432</v>
      </c>
      <c r="B306" s="720" t="s">
        <v>1324</v>
      </c>
      <c r="C306" s="717"/>
      <c r="D306" s="717"/>
      <c r="E306" s="917">
        <v>2</v>
      </c>
      <c r="F306" s="722" t="s">
        <v>240</v>
      </c>
      <c r="G306" s="806">
        <v>2750</v>
      </c>
      <c r="H306" s="796">
        <f t="shared" si="42"/>
        <v>5500</v>
      </c>
      <c r="I306" s="807">
        <v>250</v>
      </c>
      <c r="J306" s="796">
        <f t="shared" si="43"/>
        <v>500</v>
      </c>
      <c r="K306" s="966">
        <f t="shared" si="44"/>
        <v>6000</v>
      </c>
      <c r="L306" s="919"/>
      <c r="M306" s="729"/>
      <c r="N306" s="729"/>
      <c r="O306" s="729"/>
      <c r="P306" s="729"/>
      <c r="Q306" s="729"/>
      <c r="R306" s="729"/>
    </row>
    <row r="307" spans="1:18" s="714" customFormat="1" ht="24" customHeight="1">
      <c r="A307" s="856" t="s">
        <v>1433</v>
      </c>
      <c r="B307" s="720" t="s">
        <v>1325</v>
      </c>
      <c r="C307" s="717"/>
      <c r="D307" s="717"/>
      <c r="E307" s="917">
        <v>2</v>
      </c>
      <c r="F307" s="722" t="s">
        <v>240</v>
      </c>
      <c r="G307" s="806">
        <v>2750</v>
      </c>
      <c r="H307" s="796">
        <f t="shared" si="42"/>
        <v>5500</v>
      </c>
      <c r="I307" s="807">
        <v>250</v>
      </c>
      <c r="J307" s="796">
        <f t="shared" si="43"/>
        <v>500</v>
      </c>
      <c r="K307" s="966">
        <f t="shared" si="44"/>
        <v>6000</v>
      </c>
      <c r="L307" s="919"/>
      <c r="M307" s="729"/>
      <c r="N307" s="729"/>
      <c r="O307" s="729"/>
      <c r="P307" s="729"/>
      <c r="Q307" s="729"/>
      <c r="R307" s="729"/>
    </row>
    <row r="308" spans="1:18" s="714" customFormat="1" ht="24" customHeight="1">
      <c r="A308" s="856" t="s">
        <v>3070</v>
      </c>
      <c r="B308" s="720" t="s">
        <v>1326</v>
      </c>
      <c r="C308" s="717"/>
      <c r="D308" s="717"/>
      <c r="E308" s="917">
        <v>2</v>
      </c>
      <c r="F308" s="722" t="s">
        <v>240</v>
      </c>
      <c r="G308" s="806">
        <v>2750</v>
      </c>
      <c r="H308" s="796">
        <f t="shared" si="42"/>
        <v>5500</v>
      </c>
      <c r="I308" s="807">
        <v>250</v>
      </c>
      <c r="J308" s="796">
        <f t="shared" si="43"/>
        <v>500</v>
      </c>
      <c r="K308" s="966">
        <f t="shared" si="44"/>
        <v>6000</v>
      </c>
      <c r="L308" s="919"/>
      <c r="M308" s="729"/>
      <c r="N308" s="729"/>
      <c r="O308" s="729"/>
      <c r="P308" s="729"/>
      <c r="Q308" s="729"/>
      <c r="R308" s="729"/>
    </row>
    <row r="309" spans="1:18" s="714" customFormat="1" ht="24" customHeight="1">
      <c r="A309" s="856" t="s">
        <v>3071</v>
      </c>
      <c r="B309" s="720" t="s">
        <v>1327</v>
      </c>
      <c r="C309" s="717"/>
      <c r="D309" s="717"/>
      <c r="E309" s="917">
        <v>2</v>
      </c>
      <c r="F309" s="722" t="s">
        <v>240</v>
      </c>
      <c r="G309" s="806">
        <v>2750</v>
      </c>
      <c r="H309" s="796">
        <f t="shared" si="42"/>
        <v>5500</v>
      </c>
      <c r="I309" s="807">
        <v>250</v>
      </c>
      <c r="J309" s="796">
        <f t="shared" si="43"/>
        <v>500</v>
      </c>
      <c r="K309" s="966">
        <f t="shared" si="44"/>
        <v>6000</v>
      </c>
      <c r="L309" s="919"/>
      <c r="M309" s="729"/>
      <c r="N309" s="729"/>
      <c r="O309" s="729"/>
      <c r="P309" s="729"/>
      <c r="Q309" s="729"/>
      <c r="R309" s="729"/>
    </row>
    <row r="310" spans="1:18" s="714" customFormat="1" ht="24" customHeight="1">
      <c r="A310" s="856" t="s">
        <v>3072</v>
      </c>
      <c r="B310" s="720" t="s">
        <v>1328</v>
      </c>
      <c r="C310" s="717"/>
      <c r="D310" s="717"/>
      <c r="E310" s="917">
        <v>2</v>
      </c>
      <c r="F310" s="722" t="s">
        <v>240</v>
      </c>
      <c r="G310" s="806">
        <v>2750</v>
      </c>
      <c r="H310" s="796">
        <f t="shared" si="42"/>
        <v>5500</v>
      </c>
      <c r="I310" s="807">
        <v>250</v>
      </c>
      <c r="J310" s="796">
        <f t="shared" si="43"/>
        <v>500</v>
      </c>
      <c r="K310" s="966">
        <f t="shared" si="44"/>
        <v>6000</v>
      </c>
      <c r="L310" s="919"/>
      <c r="M310" s="729"/>
      <c r="N310" s="729"/>
      <c r="O310" s="729"/>
      <c r="P310" s="729"/>
      <c r="Q310" s="729"/>
      <c r="R310" s="729"/>
    </row>
    <row r="311" spans="1:18" s="714" customFormat="1" ht="24" customHeight="1">
      <c r="A311" s="856" t="s">
        <v>3073</v>
      </c>
      <c r="B311" s="720" t="s">
        <v>1329</v>
      </c>
      <c r="C311" s="717"/>
      <c r="D311" s="717"/>
      <c r="E311" s="917">
        <v>10</v>
      </c>
      <c r="F311" s="722" t="s">
        <v>240</v>
      </c>
      <c r="G311" s="806">
        <v>2750</v>
      </c>
      <c r="H311" s="796">
        <f t="shared" si="42"/>
        <v>27500</v>
      </c>
      <c r="I311" s="807">
        <v>250</v>
      </c>
      <c r="J311" s="796">
        <f t="shared" si="43"/>
        <v>2500</v>
      </c>
      <c r="K311" s="966">
        <f t="shared" si="44"/>
        <v>30000</v>
      </c>
      <c r="L311" s="919"/>
      <c r="M311" s="729"/>
      <c r="N311" s="729"/>
      <c r="O311" s="729"/>
      <c r="P311" s="729"/>
      <c r="Q311" s="729"/>
      <c r="R311" s="729"/>
    </row>
    <row r="312" spans="1:18" s="714" customFormat="1" ht="24" customHeight="1">
      <c r="A312" s="856" t="s">
        <v>3074</v>
      </c>
      <c r="B312" s="720" t="s">
        <v>1330</v>
      </c>
      <c r="C312" s="717"/>
      <c r="D312" s="717"/>
      <c r="E312" s="917">
        <v>4</v>
      </c>
      <c r="F312" s="722" t="s">
        <v>240</v>
      </c>
      <c r="G312" s="806">
        <v>2250</v>
      </c>
      <c r="H312" s="796">
        <f t="shared" si="42"/>
        <v>9000</v>
      </c>
      <c r="I312" s="807">
        <v>250</v>
      </c>
      <c r="J312" s="796">
        <f t="shared" si="43"/>
        <v>1000</v>
      </c>
      <c r="K312" s="966">
        <f t="shared" si="44"/>
        <v>10000</v>
      </c>
      <c r="L312" s="919"/>
      <c r="M312" s="729"/>
      <c r="N312" s="729"/>
      <c r="O312" s="729"/>
      <c r="P312" s="729"/>
      <c r="Q312" s="729"/>
      <c r="R312" s="729"/>
    </row>
    <row r="313" spans="1:18" s="714" customFormat="1" ht="24" customHeight="1">
      <c r="A313" s="856" t="s">
        <v>3075</v>
      </c>
      <c r="B313" s="720" t="s">
        <v>1331</v>
      </c>
      <c r="C313" s="717"/>
      <c r="D313" s="717"/>
      <c r="E313" s="917">
        <v>151</v>
      </c>
      <c r="F313" s="722" t="s">
        <v>240</v>
      </c>
      <c r="G313" s="806">
        <f>3300+300</f>
        <v>3600</v>
      </c>
      <c r="H313" s="796">
        <f t="shared" si="42"/>
        <v>543600</v>
      </c>
      <c r="I313" s="807">
        <v>200</v>
      </c>
      <c r="J313" s="796">
        <f t="shared" si="43"/>
        <v>30200</v>
      </c>
      <c r="K313" s="966">
        <f t="shared" si="44"/>
        <v>573800</v>
      </c>
      <c r="L313" s="919"/>
      <c r="M313" s="729"/>
      <c r="N313" s="729"/>
      <c r="O313" s="729"/>
      <c r="P313" s="729"/>
      <c r="Q313" s="729"/>
      <c r="R313" s="729"/>
    </row>
    <row r="314" spans="1:18" s="714" customFormat="1" ht="24" customHeight="1">
      <c r="A314" s="856" t="s">
        <v>3076</v>
      </c>
      <c r="B314" s="720" t="s">
        <v>1332</v>
      </c>
      <c r="C314" s="717"/>
      <c r="D314" s="717"/>
      <c r="E314" s="917">
        <v>6</v>
      </c>
      <c r="F314" s="722" t="s">
        <v>240</v>
      </c>
      <c r="G314" s="806">
        <v>5000</v>
      </c>
      <c r="H314" s="796">
        <f t="shared" si="42"/>
        <v>30000</v>
      </c>
      <c r="I314" s="807">
        <v>500</v>
      </c>
      <c r="J314" s="796">
        <f t="shared" si="43"/>
        <v>3000</v>
      </c>
      <c r="K314" s="966">
        <f t="shared" si="44"/>
        <v>33000</v>
      </c>
      <c r="L314" s="919"/>
      <c r="M314" s="729"/>
      <c r="N314" s="729"/>
      <c r="O314" s="729"/>
      <c r="P314" s="729"/>
      <c r="Q314" s="729"/>
      <c r="R314" s="729"/>
    </row>
    <row r="315" spans="1:18" s="714" customFormat="1" ht="24" customHeight="1">
      <c r="A315" s="856" t="s">
        <v>3077</v>
      </c>
      <c r="B315" s="720" t="s">
        <v>1333</v>
      </c>
      <c r="C315" s="717"/>
      <c r="D315" s="717"/>
      <c r="E315" s="917">
        <v>8</v>
      </c>
      <c r="F315" s="722" t="s">
        <v>240</v>
      </c>
      <c r="G315" s="806">
        <v>350</v>
      </c>
      <c r="H315" s="796">
        <f t="shared" si="42"/>
        <v>2800</v>
      </c>
      <c r="I315" s="807">
        <v>200</v>
      </c>
      <c r="J315" s="796">
        <f t="shared" si="43"/>
        <v>1600</v>
      </c>
      <c r="K315" s="966">
        <f t="shared" si="44"/>
        <v>4400</v>
      </c>
      <c r="L315" s="919"/>
      <c r="M315" s="729"/>
      <c r="N315" s="729"/>
      <c r="O315" s="729"/>
      <c r="P315" s="729"/>
      <c r="Q315" s="729"/>
      <c r="R315" s="729"/>
    </row>
    <row r="316" spans="1:18" s="714" customFormat="1" ht="24" customHeight="1">
      <c r="A316" s="856" t="s">
        <v>3078</v>
      </c>
      <c r="B316" s="720" t="s">
        <v>1334</v>
      </c>
      <c r="C316" s="717"/>
      <c r="D316" s="717"/>
      <c r="E316" s="917">
        <v>6</v>
      </c>
      <c r="F316" s="722" t="s">
        <v>240</v>
      </c>
      <c r="G316" s="806">
        <v>4200</v>
      </c>
      <c r="H316" s="796">
        <f t="shared" si="42"/>
        <v>25200</v>
      </c>
      <c r="I316" s="807">
        <v>200</v>
      </c>
      <c r="J316" s="796">
        <f t="shared" si="43"/>
        <v>1200</v>
      </c>
      <c r="K316" s="1030">
        <f t="shared" si="44"/>
        <v>26400</v>
      </c>
      <c r="L316" s="919"/>
      <c r="M316" s="729"/>
      <c r="N316" s="729"/>
      <c r="O316" s="729"/>
      <c r="P316" s="729"/>
      <c r="Q316" s="729"/>
      <c r="R316" s="729"/>
    </row>
    <row r="317" spans="1:18" s="714" customFormat="1" ht="24" customHeight="1">
      <c r="A317" s="856" t="s">
        <v>3079</v>
      </c>
      <c r="B317" s="720" t="s">
        <v>1335</v>
      </c>
      <c r="C317" s="717"/>
      <c r="D317" s="717"/>
      <c r="E317" s="917">
        <v>19</v>
      </c>
      <c r="F317" s="722" t="s">
        <v>240</v>
      </c>
      <c r="G317" s="806">
        <v>2200</v>
      </c>
      <c r="H317" s="796">
        <f t="shared" si="42"/>
        <v>41800</v>
      </c>
      <c r="I317" s="807">
        <v>200</v>
      </c>
      <c r="J317" s="796">
        <f t="shared" si="43"/>
        <v>3800</v>
      </c>
      <c r="K317" s="1030">
        <f t="shared" si="44"/>
        <v>45600</v>
      </c>
      <c r="L317" s="919"/>
      <c r="M317" s="729"/>
      <c r="N317" s="729"/>
      <c r="O317" s="729"/>
      <c r="P317" s="729"/>
      <c r="Q317" s="729"/>
      <c r="R317" s="729"/>
    </row>
    <row r="318" spans="1:18" s="714" customFormat="1" ht="24" customHeight="1">
      <c r="A318" s="856" t="s">
        <v>3080</v>
      </c>
      <c r="B318" s="720" t="s">
        <v>1336</v>
      </c>
      <c r="C318" s="717"/>
      <c r="D318" s="717"/>
      <c r="E318" s="917">
        <v>2</v>
      </c>
      <c r="F318" s="722" t="s">
        <v>240</v>
      </c>
      <c r="G318" s="806">
        <v>5000</v>
      </c>
      <c r="H318" s="796">
        <f t="shared" si="42"/>
        <v>10000</v>
      </c>
      <c r="I318" s="807">
        <v>500</v>
      </c>
      <c r="J318" s="796">
        <f t="shared" si="43"/>
        <v>1000</v>
      </c>
      <c r="K318" s="1030">
        <f t="shared" si="44"/>
        <v>11000</v>
      </c>
      <c r="L318" s="919"/>
      <c r="M318" s="729"/>
      <c r="N318" s="729"/>
      <c r="O318" s="729"/>
      <c r="P318" s="729"/>
      <c r="Q318" s="729"/>
      <c r="R318" s="729"/>
    </row>
    <row r="319" spans="1:18" s="714" customFormat="1" ht="24" customHeight="1">
      <c r="A319" s="856" t="s">
        <v>3081</v>
      </c>
      <c r="B319" s="720" t="s">
        <v>1159</v>
      </c>
      <c r="C319" s="717"/>
      <c r="D319" s="717"/>
      <c r="E319" s="917"/>
      <c r="F319" s="916"/>
      <c r="G319" s="806"/>
      <c r="H319" s="796">
        <f t="shared" si="42"/>
        <v>0</v>
      </c>
      <c r="I319" s="807"/>
      <c r="J319" s="796">
        <f t="shared" si="43"/>
        <v>0</v>
      </c>
      <c r="K319" s="1030">
        <f t="shared" si="44"/>
        <v>0</v>
      </c>
      <c r="L319" s="919"/>
      <c r="M319" s="729"/>
      <c r="N319" s="729"/>
      <c r="O319" s="729"/>
      <c r="P319" s="729"/>
      <c r="Q319" s="729"/>
      <c r="R319" s="729"/>
    </row>
    <row r="320" spans="1:18" s="714" customFormat="1" ht="24" customHeight="1">
      <c r="A320" s="831"/>
      <c r="B320" s="720" t="s">
        <v>1337</v>
      </c>
      <c r="C320" s="717"/>
      <c r="D320" s="717"/>
      <c r="E320" s="917">
        <v>814</v>
      </c>
      <c r="F320" s="794" t="s">
        <v>438</v>
      </c>
      <c r="G320" s="806">
        <v>82</v>
      </c>
      <c r="H320" s="796">
        <f t="shared" si="42"/>
        <v>66748</v>
      </c>
      <c r="I320" s="807">
        <v>12</v>
      </c>
      <c r="J320" s="796">
        <f t="shared" si="43"/>
        <v>9768</v>
      </c>
      <c r="K320" s="1030">
        <f t="shared" si="44"/>
        <v>76516</v>
      </c>
      <c r="L320" s="919"/>
      <c r="M320" s="729"/>
      <c r="N320" s="729"/>
      <c r="O320" s="729"/>
      <c r="P320" s="729"/>
      <c r="Q320" s="729"/>
      <c r="R320" s="729"/>
    </row>
    <row r="321" spans="1:18" s="714" customFormat="1" ht="24" customHeight="1">
      <c r="A321" s="831"/>
      <c r="B321" s="720" t="s">
        <v>2920</v>
      </c>
      <c r="C321" s="717"/>
      <c r="D321" s="717"/>
      <c r="E321" s="917">
        <v>646</v>
      </c>
      <c r="F321" s="794" t="s">
        <v>438</v>
      </c>
      <c r="G321" s="806">
        <v>6</v>
      </c>
      <c r="H321" s="796">
        <f t="shared" si="42"/>
        <v>3876</v>
      </c>
      <c r="I321" s="807">
        <v>6</v>
      </c>
      <c r="J321" s="796">
        <f t="shared" si="43"/>
        <v>3876</v>
      </c>
      <c r="K321" s="1030">
        <f t="shared" si="44"/>
        <v>7752</v>
      </c>
      <c r="L321" s="919"/>
      <c r="M321" s="729"/>
      <c r="N321" s="729"/>
      <c r="O321" s="729"/>
      <c r="P321" s="729"/>
      <c r="Q321" s="729"/>
      <c r="R321" s="729"/>
    </row>
    <row r="322" spans="1:18" s="714" customFormat="1" ht="24" customHeight="1">
      <c r="A322" s="831"/>
      <c r="B322" s="720" t="s">
        <v>2921</v>
      </c>
      <c r="C322" s="717"/>
      <c r="D322" s="717"/>
      <c r="E322" s="917">
        <v>488</v>
      </c>
      <c r="F322" s="794" t="s">
        <v>438</v>
      </c>
      <c r="G322" s="806">
        <v>18</v>
      </c>
      <c r="H322" s="796">
        <f t="shared" si="42"/>
        <v>8784</v>
      </c>
      <c r="I322" s="807">
        <v>8</v>
      </c>
      <c r="J322" s="796">
        <f t="shared" si="43"/>
        <v>3904</v>
      </c>
      <c r="K322" s="1030">
        <f t="shared" si="44"/>
        <v>12688</v>
      </c>
      <c r="L322" s="919"/>
      <c r="M322" s="729"/>
      <c r="N322" s="729"/>
      <c r="O322" s="729"/>
      <c r="P322" s="729"/>
      <c r="Q322" s="729"/>
      <c r="R322" s="729"/>
    </row>
    <row r="323" spans="1:18" s="714" customFormat="1" ht="24" customHeight="1">
      <c r="A323" s="831"/>
      <c r="B323" s="720" t="s">
        <v>1338</v>
      </c>
      <c r="C323" s="717"/>
      <c r="D323" s="717"/>
      <c r="E323" s="917">
        <v>1</v>
      </c>
      <c r="F323" s="916" t="s">
        <v>948</v>
      </c>
      <c r="G323" s="806">
        <f>ROUND(SUM(H320:H322)*5%,)</f>
        <v>3970</v>
      </c>
      <c r="H323" s="796">
        <f t="shared" si="42"/>
        <v>3970</v>
      </c>
      <c r="I323" s="797">
        <f>ROUND(G323*0.3,)</f>
        <v>1191</v>
      </c>
      <c r="J323" s="796">
        <f t="shared" si="43"/>
        <v>1191</v>
      </c>
      <c r="K323" s="1030">
        <f t="shared" si="44"/>
        <v>5161</v>
      </c>
      <c r="L323" s="919"/>
      <c r="M323" s="729"/>
      <c r="N323" s="729"/>
      <c r="O323" s="729"/>
      <c r="P323" s="729"/>
      <c r="Q323" s="729"/>
      <c r="R323" s="729"/>
    </row>
    <row r="324" spans="1:18" s="714" customFormat="1" ht="24" customHeight="1">
      <c r="A324" s="856" t="s">
        <v>3082</v>
      </c>
      <c r="B324" s="720" t="s">
        <v>1357</v>
      </c>
      <c r="C324" s="717"/>
      <c r="D324" s="717"/>
      <c r="E324" s="942"/>
      <c r="F324" s="916"/>
      <c r="G324" s="806"/>
      <c r="H324" s="796"/>
      <c r="I324" s="807"/>
      <c r="J324" s="796"/>
      <c r="K324" s="914"/>
      <c r="L324" s="919"/>
      <c r="M324" s="729"/>
      <c r="N324" s="729"/>
      <c r="O324" s="729"/>
      <c r="P324" s="729"/>
    </row>
    <row r="325" spans="1:18" s="714" customFormat="1" ht="24" customHeight="1">
      <c r="A325" s="831"/>
      <c r="B325" s="720" t="s">
        <v>1201</v>
      </c>
      <c r="C325" s="717"/>
      <c r="D325" s="717"/>
      <c r="E325" s="917">
        <v>323</v>
      </c>
      <c r="F325" s="794" t="s">
        <v>438</v>
      </c>
      <c r="G325" s="806">
        <v>27</v>
      </c>
      <c r="H325" s="796">
        <f t="shared" ref="H325:H326" si="45">ROUND(E325*G325,)</f>
        <v>8721</v>
      </c>
      <c r="I325" s="807">
        <v>22</v>
      </c>
      <c r="J325" s="796">
        <f t="shared" ref="J325:J326" si="46">ROUND(E325*I325,)</f>
        <v>7106</v>
      </c>
      <c r="K325" s="1030">
        <f t="shared" ref="K325:K326" si="47">H325+J325</f>
        <v>15827</v>
      </c>
      <c r="L325" s="1718" t="s">
        <v>2974</v>
      </c>
      <c r="M325" s="729"/>
      <c r="N325" s="714">
        <v>79.8</v>
      </c>
      <c r="O325" s="714">
        <f>ROUND(N325/3,)</f>
        <v>27</v>
      </c>
      <c r="P325" s="729"/>
    </row>
    <row r="326" spans="1:18" s="714" customFormat="1" ht="24" customHeight="1">
      <c r="A326" s="831"/>
      <c r="B326" s="720" t="s">
        <v>1237</v>
      </c>
      <c r="C326" s="717"/>
      <c r="D326" s="717"/>
      <c r="E326" s="917">
        <v>1</v>
      </c>
      <c r="F326" s="916" t="s">
        <v>948</v>
      </c>
      <c r="G326" s="806">
        <f>ROUND(SUM(H325:H325)*15%,)</f>
        <v>1308</v>
      </c>
      <c r="H326" s="796">
        <f t="shared" si="45"/>
        <v>1308</v>
      </c>
      <c r="I326" s="807">
        <f>ROUND(G326*0.3,)</f>
        <v>392</v>
      </c>
      <c r="J326" s="796">
        <f t="shared" si="46"/>
        <v>392</v>
      </c>
      <c r="K326" s="914">
        <f t="shared" si="47"/>
        <v>1700</v>
      </c>
      <c r="L326" s="919"/>
      <c r="M326" s="729"/>
      <c r="N326" s="729"/>
      <c r="O326" s="729"/>
      <c r="P326" s="729"/>
    </row>
    <row r="327" spans="1:18" s="714" customFormat="1" ht="24" customHeight="1">
      <c r="A327" s="856" t="s">
        <v>3083</v>
      </c>
      <c r="B327" s="720" t="s">
        <v>950</v>
      </c>
      <c r="C327" s="717"/>
      <c r="D327" s="717"/>
      <c r="E327" s="917"/>
      <c r="F327" s="916"/>
      <c r="G327" s="806"/>
      <c r="H327" s="796">
        <f t="shared" si="42"/>
        <v>0</v>
      </c>
      <c r="I327" s="807"/>
      <c r="J327" s="796">
        <f t="shared" si="43"/>
        <v>0</v>
      </c>
      <c r="K327" s="1030">
        <f t="shared" si="44"/>
        <v>0</v>
      </c>
      <c r="L327" s="919"/>
      <c r="M327" s="729"/>
      <c r="N327" s="729"/>
      <c r="O327" s="729"/>
      <c r="P327" s="729"/>
      <c r="Q327" s="729"/>
      <c r="R327" s="729"/>
    </row>
    <row r="328" spans="1:18" s="714" customFormat="1" ht="24" customHeight="1">
      <c r="A328" s="831"/>
      <c r="B328" s="720" t="s">
        <v>1184</v>
      </c>
      <c r="C328" s="717"/>
      <c r="D328" s="717"/>
      <c r="E328" s="917">
        <v>1302</v>
      </c>
      <c r="F328" s="794" t="s">
        <v>438</v>
      </c>
      <c r="G328" s="806">
        <v>75</v>
      </c>
      <c r="H328" s="796">
        <f t="shared" si="42"/>
        <v>97650</v>
      </c>
      <c r="I328" s="807">
        <v>28</v>
      </c>
      <c r="J328" s="796">
        <f t="shared" si="43"/>
        <v>36456</v>
      </c>
      <c r="K328" s="1030">
        <f t="shared" si="44"/>
        <v>134106</v>
      </c>
      <c r="L328" s="1718" t="s">
        <v>2974</v>
      </c>
      <c r="M328" s="729"/>
      <c r="N328" s="714">
        <v>225</v>
      </c>
      <c r="O328" s="714">
        <f>ROUND(N328/3,)</f>
        <v>75</v>
      </c>
      <c r="P328" s="729"/>
      <c r="Q328" s="729"/>
      <c r="R328" s="729"/>
    </row>
    <row r="329" spans="1:18" s="714" customFormat="1" ht="24" customHeight="1">
      <c r="A329" s="831"/>
      <c r="B329" s="720" t="s">
        <v>952</v>
      </c>
      <c r="C329" s="717"/>
      <c r="D329" s="717"/>
      <c r="E329" s="917">
        <v>1</v>
      </c>
      <c r="F329" s="916" t="s">
        <v>948</v>
      </c>
      <c r="G329" s="806">
        <f>ROUND(SUM(H328:H328)*15%,)</f>
        <v>14648</v>
      </c>
      <c r="H329" s="796">
        <f t="shared" si="42"/>
        <v>14648</v>
      </c>
      <c r="I329" s="797">
        <f>ROUND(G329*0.3,)</f>
        <v>4394</v>
      </c>
      <c r="J329" s="796">
        <f t="shared" si="43"/>
        <v>4394</v>
      </c>
      <c r="K329" s="1030">
        <f t="shared" si="44"/>
        <v>19042</v>
      </c>
      <c r="L329" s="919"/>
      <c r="M329" s="729"/>
      <c r="N329" s="729"/>
      <c r="O329" s="729"/>
      <c r="P329" s="729"/>
      <c r="Q329" s="729"/>
      <c r="R329" s="729"/>
    </row>
    <row r="330" spans="1:18" s="714" customFormat="1" ht="24" customHeight="1">
      <c r="A330" s="856" t="s">
        <v>3084</v>
      </c>
      <c r="B330" s="720" t="s">
        <v>1281</v>
      </c>
      <c r="C330" s="717"/>
      <c r="D330" s="717"/>
      <c r="E330" s="917"/>
      <c r="F330" s="916"/>
      <c r="G330" s="806"/>
      <c r="H330" s="796">
        <f t="shared" si="42"/>
        <v>0</v>
      </c>
      <c r="I330" s="807"/>
      <c r="J330" s="796">
        <f t="shared" si="43"/>
        <v>0</v>
      </c>
      <c r="K330" s="1030">
        <f t="shared" si="44"/>
        <v>0</v>
      </c>
      <c r="L330" s="919"/>
      <c r="M330" s="729"/>
      <c r="N330" s="729"/>
      <c r="O330" s="729"/>
      <c r="P330" s="729"/>
      <c r="Q330" s="729"/>
      <c r="R330" s="729"/>
    </row>
    <row r="331" spans="1:18" s="714" customFormat="1" ht="24" customHeight="1">
      <c r="A331" s="831"/>
      <c r="B331" s="720" t="s">
        <v>1201</v>
      </c>
      <c r="C331" s="717"/>
      <c r="D331" s="717"/>
      <c r="E331" s="917">
        <v>151</v>
      </c>
      <c r="F331" s="794" t="s">
        <v>438</v>
      </c>
      <c r="G331" s="806">
        <v>14</v>
      </c>
      <c r="H331" s="796">
        <f t="shared" si="42"/>
        <v>2114</v>
      </c>
      <c r="I331" s="807">
        <v>11</v>
      </c>
      <c r="J331" s="796">
        <f t="shared" si="43"/>
        <v>1661</v>
      </c>
      <c r="K331" s="1030">
        <f t="shared" si="44"/>
        <v>3775</v>
      </c>
      <c r="L331" s="919"/>
      <c r="M331" s="729"/>
      <c r="N331" s="729"/>
      <c r="O331" s="729"/>
      <c r="P331" s="729"/>
      <c r="Q331" s="729"/>
      <c r="R331" s="729"/>
    </row>
    <row r="332" spans="1:18" s="714" customFormat="1" ht="24" customHeight="1">
      <c r="A332" s="831"/>
      <c r="B332" s="720" t="s">
        <v>957</v>
      </c>
      <c r="C332" s="717"/>
      <c r="D332" s="717"/>
      <c r="E332" s="917"/>
      <c r="F332" s="916"/>
      <c r="G332" s="806"/>
      <c r="H332" s="918"/>
      <c r="I332" s="807"/>
      <c r="J332" s="919"/>
      <c r="K332" s="968"/>
      <c r="L332" s="919"/>
      <c r="M332" s="729"/>
      <c r="N332" s="729"/>
      <c r="O332" s="729"/>
      <c r="P332" s="729"/>
      <c r="Q332" s="729"/>
      <c r="R332" s="729"/>
    </row>
    <row r="333" spans="1:18" s="714" customFormat="1" ht="24" customHeight="1">
      <c r="A333" s="831"/>
      <c r="B333" s="720" t="s">
        <v>1239</v>
      </c>
      <c r="C333" s="717"/>
      <c r="D333" s="717"/>
      <c r="E333" s="917"/>
      <c r="F333" s="916"/>
      <c r="G333" s="806"/>
      <c r="H333" s="918"/>
      <c r="I333" s="807"/>
      <c r="J333" s="919"/>
      <c r="K333" s="968"/>
      <c r="L333" s="919"/>
      <c r="M333" s="729"/>
      <c r="N333" s="729"/>
      <c r="O333" s="729"/>
      <c r="P333" s="729"/>
      <c r="Q333" s="729"/>
      <c r="R333" s="729"/>
    </row>
    <row r="334" spans="1:18" s="714" customFormat="1" ht="24" customHeight="1">
      <c r="A334" s="775"/>
      <c r="B334" s="2475" t="str">
        <f>"รวมราคารายการที่ "&amp;A299</f>
        <v>รวมราคารายการที่ 3.9</v>
      </c>
      <c r="C334" s="2476"/>
      <c r="D334" s="2477"/>
      <c r="E334" s="776"/>
      <c r="F334" s="777"/>
      <c r="G334" s="778"/>
      <c r="H334" s="779">
        <f>SUM(H300:H333)</f>
        <v>1056619</v>
      </c>
      <c r="I334" s="778"/>
      <c r="J334" s="779">
        <f>SUM(J300:J333)</f>
        <v>130248</v>
      </c>
      <c r="K334" s="779">
        <f>SUM(K300:K333)</f>
        <v>1186867</v>
      </c>
      <c r="L334" s="1006"/>
      <c r="M334" s="729"/>
      <c r="N334" s="729"/>
      <c r="O334" s="729"/>
      <c r="P334" s="729"/>
      <c r="Q334" s="729"/>
      <c r="R334" s="729"/>
    </row>
    <row r="335" spans="1:18" s="714" customFormat="1" ht="24" customHeight="1">
      <c r="A335" s="911" t="s">
        <v>1158</v>
      </c>
      <c r="B335" s="816" t="s">
        <v>1241</v>
      </c>
      <c r="C335" s="770"/>
      <c r="D335" s="770"/>
      <c r="E335" s="930"/>
      <c r="F335" s="939"/>
      <c r="G335" s="932"/>
      <c r="H335" s="933"/>
      <c r="I335" s="934"/>
      <c r="J335" s="935"/>
      <c r="K335" s="1013"/>
      <c r="L335" s="935"/>
      <c r="M335" s="729"/>
      <c r="N335" s="729"/>
      <c r="O335" s="729"/>
      <c r="P335" s="729"/>
      <c r="Q335" s="729"/>
      <c r="R335" s="729"/>
    </row>
    <row r="336" spans="1:18" s="714" customFormat="1" ht="24" customHeight="1">
      <c r="A336" s="831" t="s">
        <v>1160</v>
      </c>
      <c r="B336" s="720" t="s">
        <v>1423</v>
      </c>
      <c r="C336" s="717"/>
      <c r="D336" s="717"/>
      <c r="E336" s="917"/>
      <c r="F336" s="722" t="s">
        <v>240</v>
      </c>
      <c r="G336" s="806">
        <v>200</v>
      </c>
      <c r="H336" s="796">
        <f t="shared" ref="H336" si="48">ROUND(E336*G336,)</f>
        <v>0</v>
      </c>
      <c r="I336" s="807">
        <v>90</v>
      </c>
      <c r="J336" s="796">
        <f t="shared" ref="J336" si="49">ROUND(E336*I336,)</f>
        <v>0</v>
      </c>
      <c r="K336" s="1014">
        <f t="shared" ref="K336" si="50">H336+J336</f>
        <v>0</v>
      </c>
      <c r="L336" s="920"/>
      <c r="M336" s="729"/>
      <c r="N336" s="729"/>
      <c r="O336" s="729"/>
      <c r="P336" s="729"/>
      <c r="Q336" s="729"/>
      <c r="R336" s="729"/>
    </row>
    <row r="337" spans="1:18" s="714" customFormat="1" ht="24" customHeight="1">
      <c r="A337" s="831" t="s">
        <v>1362</v>
      </c>
      <c r="B337" s="720" t="s">
        <v>1527</v>
      </c>
      <c r="C337" s="717"/>
      <c r="D337" s="717"/>
      <c r="E337" s="917"/>
      <c r="F337" s="940"/>
      <c r="G337" s="806"/>
      <c r="H337" s="796"/>
      <c r="I337" s="807"/>
      <c r="J337" s="796"/>
      <c r="K337" s="1014"/>
      <c r="L337" s="920"/>
      <c r="M337" s="729"/>
      <c r="N337" s="729"/>
      <c r="O337" s="729"/>
      <c r="P337" s="729"/>
      <c r="Q337" s="729"/>
      <c r="R337" s="729"/>
    </row>
    <row r="338" spans="1:18" s="714" customFormat="1" ht="24" customHeight="1">
      <c r="A338" s="831"/>
      <c r="B338" s="720" t="s">
        <v>1244</v>
      </c>
      <c r="C338" s="717"/>
      <c r="D338" s="717"/>
      <c r="E338" s="917">
        <v>2</v>
      </c>
      <c r="F338" s="940" t="s">
        <v>240</v>
      </c>
      <c r="G338" s="806">
        <v>27500</v>
      </c>
      <c r="H338" s="796">
        <f t="shared" ref="H338:H342" si="51">ROUND(E338*G338,)</f>
        <v>55000</v>
      </c>
      <c r="I338" s="807">
        <f>CEILING(G338*0.3,100)</f>
        <v>8300</v>
      </c>
      <c r="J338" s="796">
        <f t="shared" ref="J338:J340" si="52">ROUND(E338*I338,)</f>
        <v>16600</v>
      </c>
      <c r="K338" s="1030">
        <f t="shared" ref="K338:K354" si="53">H338+J338</f>
        <v>71600</v>
      </c>
      <c r="L338" s="920"/>
      <c r="M338" s="729"/>
      <c r="N338" s="729"/>
      <c r="O338" s="729"/>
      <c r="P338" s="729"/>
      <c r="Q338" s="729"/>
      <c r="R338" s="729"/>
    </row>
    <row r="339" spans="1:18" s="714" customFormat="1" ht="24" customHeight="1">
      <c r="A339" s="831"/>
      <c r="B339" s="720" t="s">
        <v>1245</v>
      </c>
      <c r="C339" s="717"/>
      <c r="D339" s="717"/>
      <c r="E339" s="917">
        <v>2</v>
      </c>
      <c r="F339" s="940" t="s">
        <v>240</v>
      </c>
      <c r="G339" s="806">
        <v>3000</v>
      </c>
      <c r="H339" s="796">
        <f t="shared" si="51"/>
        <v>6000</v>
      </c>
      <c r="I339" s="807"/>
      <c r="J339" s="796">
        <f t="shared" si="52"/>
        <v>0</v>
      </c>
      <c r="K339" s="1030">
        <f t="shared" si="53"/>
        <v>6000</v>
      </c>
      <c r="L339" s="920"/>
      <c r="M339" s="729"/>
      <c r="N339" s="729"/>
      <c r="O339" s="729"/>
      <c r="P339" s="729"/>
      <c r="Q339" s="729"/>
      <c r="R339" s="729"/>
    </row>
    <row r="340" spans="1:18" s="714" customFormat="1" ht="24" customHeight="1">
      <c r="A340" s="831"/>
      <c r="B340" s="720" t="s">
        <v>1425</v>
      </c>
      <c r="C340" s="717"/>
      <c r="D340" s="717"/>
      <c r="E340" s="917">
        <v>2</v>
      </c>
      <c r="F340" s="940" t="s">
        <v>240</v>
      </c>
      <c r="G340" s="806">
        <v>5700</v>
      </c>
      <c r="H340" s="796">
        <f t="shared" si="51"/>
        <v>11400</v>
      </c>
      <c r="I340" s="807"/>
      <c r="J340" s="796">
        <f t="shared" si="52"/>
        <v>0</v>
      </c>
      <c r="K340" s="1030">
        <f t="shared" si="53"/>
        <v>11400</v>
      </c>
      <c r="L340" s="920"/>
      <c r="M340" s="729"/>
      <c r="N340" s="729"/>
      <c r="O340" s="729"/>
      <c r="P340" s="729"/>
      <c r="Q340" s="729"/>
      <c r="R340" s="729"/>
    </row>
    <row r="341" spans="1:18" s="714" customFormat="1" ht="24" customHeight="1">
      <c r="A341" s="831"/>
      <c r="B341" s="720" t="s">
        <v>1246</v>
      </c>
      <c r="C341" s="717"/>
      <c r="D341" s="717"/>
      <c r="E341" s="917">
        <f>E338*24</f>
        <v>48</v>
      </c>
      <c r="F341" s="940" t="s">
        <v>240</v>
      </c>
      <c r="G341" s="806">
        <v>255</v>
      </c>
      <c r="H341" s="796">
        <f t="shared" si="51"/>
        <v>12240</v>
      </c>
      <c r="I341" s="807"/>
      <c r="J341" s="796"/>
      <c r="K341" s="1030">
        <f t="shared" si="53"/>
        <v>12240</v>
      </c>
      <c r="L341" s="920"/>
      <c r="M341" s="729"/>
      <c r="N341" s="729"/>
      <c r="O341" s="729"/>
      <c r="P341" s="729"/>
      <c r="Q341" s="729"/>
      <c r="R341" s="729"/>
    </row>
    <row r="342" spans="1:18" s="714" customFormat="1" ht="24" customHeight="1">
      <c r="A342" s="831"/>
      <c r="B342" s="720" t="s">
        <v>1426</v>
      </c>
      <c r="C342" s="717"/>
      <c r="D342" s="717"/>
      <c r="E342" s="917">
        <f>E339*24</f>
        <v>48</v>
      </c>
      <c r="F342" s="940" t="s">
        <v>240</v>
      </c>
      <c r="G342" s="806">
        <v>190</v>
      </c>
      <c r="H342" s="796">
        <f t="shared" si="51"/>
        <v>9120</v>
      </c>
      <c r="I342" s="807"/>
      <c r="J342" s="796"/>
      <c r="K342" s="1030">
        <f t="shared" si="53"/>
        <v>9120</v>
      </c>
      <c r="L342" s="920"/>
      <c r="M342" s="729"/>
      <c r="N342" s="729"/>
      <c r="O342" s="729"/>
      <c r="P342" s="729"/>
      <c r="Q342" s="729"/>
      <c r="R342" s="729"/>
    </row>
    <row r="343" spans="1:18" s="714" customFormat="1" ht="24" customHeight="1">
      <c r="A343" s="831" t="s">
        <v>1366</v>
      </c>
      <c r="B343" s="720" t="s">
        <v>1248</v>
      </c>
      <c r="C343" s="717"/>
      <c r="D343" s="717"/>
      <c r="E343" s="917"/>
      <c r="F343" s="941"/>
      <c r="G343" s="806"/>
      <c r="H343" s="918"/>
      <c r="I343" s="807"/>
      <c r="J343" s="919"/>
      <c r="K343" s="1030">
        <f t="shared" si="53"/>
        <v>0</v>
      </c>
      <c r="L343" s="920"/>
      <c r="M343" s="729"/>
      <c r="N343" s="729"/>
      <c r="O343" s="729"/>
      <c r="P343" s="729"/>
      <c r="Q343" s="729"/>
      <c r="R343" s="729"/>
    </row>
    <row r="344" spans="1:18" s="714" customFormat="1" ht="24" customHeight="1">
      <c r="A344" s="831" t="s">
        <v>3099</v>
      </c>
      <c r="B344" s="720" t="s">
        <v>1378</v>
      </c>
      <c r="C344" s="717"/>
      <c r="D344" s="717"/>
      <c r="E344" s="917"/>
      <c r="F344" s="941"/>
      <c r="G344" s="806"/>
      <c r="H344" s="918"/>
      <c r="I344" s="807"/>
      <c r="J344" s="919"/>
      <c r="K344" s="1030">
        <f t="shared" si="53"/>
        <v>0</v>
      </c>
      <c r="L344" s="920"/>
      <c r="M344" s="729"/>
      <c r="N344" s="729"/>
      <c r="O344" s="729"/>
      <c r="P344" s="729"/>
      <c r="Q344" s="729"/>
      <c r="R344" s="729"/>
    </row>
    <row r="345" spans="1:18" s="714" customFormat="1" ht="24" customHeight="1">
      <c r="A345" s="831"/>
      <c r="B345" s="720" t="s">
        <v>1385</v>
      </c>
      <c r="C345" s="717"/>
      <c r="D345" s="717"/>
      <c r="E345" s="917">
        <f>E336*50</f>
        <v>0</v>
      </c>
      <c r="F345" s="794" t="s">
        <v>438</v>
      </c>
      <c r="G345" s="806">
        <v>24</v>
      </c>
      <c r="H345" s="796">
        <f t="shared" ref="H345" si="54">ROUND(G345*E345,)</f>
        <v>0</v>
      </c>
      <c r="I345" s="807">
        <v>5</v>
      </c>
      <c r="J345" s="796">
        <f t="shared" ref="J345:J346" si="55">ROUND(E345*I345,)</f>
        <v>0</v>
      </c>
      <c r="K345" s="1030">
        <f t="shared" si="53"/>
        <v>0</v>
      </c>
      <c r="L345" s="920"/>
      <c r="M345" s="729"/>
      <c r="N345" s="729"/>
      <c r="O345" s="729"/>
      <c r="P345" s="729"/>
      <c r="Q345" s="729"/>
      <c r="R345" s="729"/>
    </row>
    <row r="346" spans="1:18" s="714" customFormat="1" ht="24" customHeight="1">
      <c r="A346" s="831"/>
      <c r="B346" s="720" t="s">
        <v>1338</v>
      </c>
      <c r="C346" s="717"/>
      <c r="D346" s="717"/>
      <c r="E346" s="917">
        <v>1</v>
      </c>
      <c r="F346" s="916" t="s">
        <v>948</v>
      </c>
      <c r="G346" s="806">
        <f>SUM(H344:H345)*5%</f>
        <v>0</v>
      </c>
      <c r="H346" s="796">
        <f t="shared" ref="H346" si="56">ROUND(E346*G346,)</f>
        <v>0</v>
      </c>
      <c r="I346" s="807">
        <f>G346*0.3</f>
        <v>0</v>
      </c>
      <c r="J346" s="796">
        <f t="shared" si="55"/>
        <v>0</v>
      </c>
      <c r="K346" s="1030">
        <f t="shared" si="53"/>
        <v>0</v>
      </c>
      <c r="L346" s="920"/>
      <c r="M346" s="729"/>
      <c r="N346" s="729"/>
      <c r="O346" s="729"/>
      <c r="P346" s="729"/>
      <c r="Q346" s="729"/>
      <c r="R346" s="729"/>
    </row>
    <row r="347" spans="1:18" s="714" customFormat="1" ht="24" customHeight="1">
      <c r="A347" s="831" t="s">
        <v>3024</v>
      </c>
      <c r="B347" s="720" t="s">
        <v>1357</v>
      </c>
      <c r="C347" s="717"/>
      <c r="D347" s="717"/>
      <c r="E347" s="917"/>
      <c r="F347" s="941"/>
      <c r="G347" s="806"/>
      <c r="H347" s="918"/>
      <c r="I347" s="807"/>
      <c r="J347" s="919"/>
      <c r="K347" s="1030">
        <f t="shared" si="53"/>
        <v>0</v>
      </c>
      <c r="L347" s="920"/>
      <c r="M347" s="729"/>
      <c r="N347" s="729"/>
      <c r="O347" s="729"/>
      <c r="P347" s="729"/>
      <c r="Q347" s="729"/>
      <c r="R347" s="729"/>
    </row>
    <row r="348" spans="1:18" s="714" customFormat="1" ht="24" customHeight="1">
      <c r="A348" s="831"/>
      <c r="B348" s="720" t="s">
        <v>1201</v>
      </c>
      <c r="C348" s="717"/>
      <c r="D348" s="717"/>
      <c r="E348" s="917">
        <f>E345-E351</f>
        <v>0</v>
      </c>
      <c r="F348" s="794" t="s">
        <v>438</v>
      </c>
      <c r="G348" s="806">
        <v>27</v>
      </c>
      <c r="H348" s="796">
        <f t="shared" ref="H348:H349" si="57">ROUND(G348*E348,)</f>
        <v>0</v>
      </c>
      <c r="I348" s="807">
        <v>22</v>
      </c>
      <c r="J348" s="796">
        <f t="shared" ref="J348:J349" si="58">ROUND(E348*I348,)</f>
        <v>0</v>
      </c>
      <c r="K348" s="1030">
        <f t="shared" si="53"/>
        <v>0</v>
      </c>
      <c r="L348" s="1718" t="s">
        <v>2974</v>
      </c>
      <c r="M348" s="729"/>
      <c r="N348" s="714">
        <v>79.8</v>
      </c>
      <c r="O348" s="714">
        <f>ROUND(N348/3,)</f>
        <v>27</v>
      </c>
      <c r="P348" s="729"/>
      <c r="Q348" s="729"/>
      <c r="R348" s="729"/>
    </row>
    <row r="349" spans="1:18" s="714" customFormat="1" ht="24" customHeight="1">
      <c r="A349" s="831"/>
      <c r="B349" s="720" t="s">
        <v>1237</v>
      </c>
      <c r="C349" s="717"/>
      <c r="D349" s="717"/>
      <c r="E349" s="917">
        <v>1</v>
      </c>
      <c r="F349" s="941" t="s">
        <v>948</v>
      </c>
      <c r="G349" s="806">
        <f>SUM(H348:H348)*15%</f>
        <v>0</v>
      </c>
      <c r="H349" s="796">
        <f t="shared" si="57"/>
        <v>0</v>
      </c>
      <c r="I349" s="807">
        <f>G349*0.3</f>
        <v>0</v>
      </c>
      <c r="J349" s="796">
        <f t="shared" si="58"/>
        <v>0</v>
      </c>
      <c r="K349" s="1030">
        <f t="shared" si="53"/>
        <v>0</v>
      </c>
      <c r="L349" s="920"/>
      <c r="M349" s="729"/>
      <c r="N349" s="729"/>
      <c r="O349" s="729"/>
      <c r="P349" s="729"/>
      <c r="Q349" s="729"/>
      <c r="R349" s="729"/>
    </row>
    <row r="350" spans="1:18" s="714" customFormat="1" ht="24" customHeight="1">
      <c r="A350" s="831" t="s">
        <v>1369</v>
      </c>
      <c r="B350" s="720" t="s">
        <v>950</v>
      </c>
      <c r="C350" s="717"/>
      <c r="D350" s="717"/>
      <c r="E350" s="917"/>
      <c r="F350" s="941"/>
      <c r="G350" s="806"/>
      <c r="H350" s="918"/>
      <c r="I350" s="807"/>
      <c r="J350" s="919"/>
      <c r="K350" s="1030">
        <f t="shared" si="53"/>
        <v>0</v>
      </c>
      <c r="L350" s="920"/>
      <c r="M350" s="729"/>
      <c r="N350" s="729"/>
      <c r="O350" s="729"/>
      <c r="P350" s="729"/>
      <c r="Q350" s="729"/>
      <c r="R350" s="729"/>
    </row>
    <row r="351" spans="1:18" s="714" customFormat="1" ht="24" customHeight="1">
      <c r="A351" s="831"/>
      <c r="B351" s="720" t="s">
        <v>1201</v>
      </c>
      <c r="C351" s="717"/>
      <c r="D351" s="717"/>
      <c r="E351" s="917">
        <f>E336*3</f>
        <v>0</v>
      </c>
      <c r="F351" s="794" t="s">
        <v>438</v>
      </c>
      <c r="G351" s="806">
        <v>56</v>
      </c>
      <c r="H351" s="796">
        <f t="shared" ref="H351:H352" si="59">ROUND(G351*E351,)</f>
        <v>0</v>
      </c>
      <c r="I351" s="807">
        <v>26</v>
      </c>
      <c r="J351" s="796">
        <f t="shared" ref="J351:J352" si="60">ROUND(E351*I351,)</f>
        <v>0</v>
      </c>
      <c r="K351" s="1030">
        <f t="shared" si="53"/>
        <v>0</v>
      </c>
      <c r="L351" s="1718" t="s">
        <v>2974</v>
      </c>
      <c r="M351" s="729"/>
      <c r="N351" s="714">
        <v>169.2</v>
      </c>
      <c r="O351" s="714">
        <f>ROUND(N351/3,)</f>
        <v>56</v>
      </c>
      <c r="P351" s="729"/>
      <c r="Q351" s="729"/>
      <c r="R351" s="729"/>
    </row>
    <row r="352" spans="1:18" s="714" customFormat="1" ht="24" customHeight="1">
      <c r="A352" s="831"/>
      <c r="B352" s="720" t="s">
        <v>1237</v>
      </c>
      <c r="C352" s="717"/>
      <c r="D352" s="717"/>
      <c r="E352" s="917">
        <v>1</v>
      </c>
      <c r="F352" s="794" t="s">
        <v>948</v>
      </c>
      <c r="G352" s="806">
        <f>SUM(H351:H351)*15%</f>
        <v>0</v>
      </c>
      <c r="H352" s="796">
        <f t="shared" si="59"/>
        <v>0</v>
      </c>
      <c r="I352" s="807">
        <f>G352*0.3</f>
        <v>0</v>
      </c>
      <c r="J352" s="796">
        <f t="shared" si="60"/>
        <v>0</v>
      </c>
      <c r="K352" s="1030">
        <f t="shared" si="53"/>
        <v>0</v>
      </c>
      <c r="L352" s="920"/>
      <c r="M352" s="729"/>
      <c r="N352" s="729"/>
      <c r="O352" s="729"/>
      <c r="P352" s="729"/>
      <c r="Q352" s="729"/>
      <c r="R352" s="729"/>
    </row>
    <row r="353" spans="1:18" s="714" customFormat="1" ht="24" customHeight="1">
      <c r="A353" s="831"/>
      <c r="B353" s="720" t="s">
        <v>957</v>
      </c>
      <c r="C353" s="717"/>
      <c r="D353" s="717"/>
      <c r="E353" s="917"/>
      <c r="F353" s="794"/>
      <c r="G353" s="806"/>
      <c r="H353" s="796"/>
      <c r="I353" s="807"/>
      <c r="J353" s="796"/>
      <c r="K353" s="1030">
        <f t="shared" si="53"/>
        <v>0</v>
      </c>
      <c r="L353" s="920"/>
      <c r="M353" s="729"/>
      <c r="N353" s="729"/>
      <c r="O353" s="729"/>
      <c r="P353" s="729"/>
      <c r="Q353" s="729"/>
      <c r="R353" s="729"/>
    </row>
    <row r="354" spans="1:18" s="714" customFormat="1" ht="24" customHeight="1">
      <c r="A354" s="831"/>
      <c r="B354" s="720" t="s">
        <v>1239</v>
      </c>
      <c r="C354" s="717"/>
      <c r="D354" s="717"/>
      <c r="E354" s="917"/>
      <c r="F354" s="916"/>
      <c r="G354" s="806"/>
      <c r="H354" s="918"/>
      <c r="I354" s="807"/>
      <c r="J354" s="919"/>
      <c r="K354" s="1030">
        <f t="shared" si="53"/>
        <v>0</v>
      </c>
      <c r="L354" s="919"/>
      <c r="M354" s="729"/>
      <c r="N354" s="729"/>
      <c r="O354" s="729"/>
      <c r="P354" s="729"/>
      <c r="Q354" s="729"/>
      <c r="R354" s="729"/>
    </row>
    <row r="355" spans="1:18" s="714" customFormat="1" ht="24" customHeight="1">
      <c r="A355" s="775"/>
      <c r="B355" s="2475" t="str">
        <f>"รวมราคารายการที่ "&amp;A335</f>
        <v>รวมราคารายการที่ 3.10</v>
      </c>
      <c r="C355" s="2476"/>
      <c r="D355" s="2477"/>
      <c r="E355" s="776"/>
      <c r="F355" s="777"/>
      <c r="G355" s="778"/>
      <c r="H355" s="779">
        <f>SUM(H336:H353)</f>
        <v>93760</v>
      </c>
      <c r="I355" s="778"/>
      <c r="J355" s="779">
        <f>SUM(J336:J353)</f>
        <v>16600</v>
      </c>
      <c r="K355" s="779">
        <f>SUM(K336:K353)</f>
        <v>110360</v>
      </c>
      <c r="L355" s="1006"/>
      <c r="M355" s="729"/>
      <c r="N355" s="729"/>
      <c r="O355" s="729"/>
      <c r="P355" s="729"/>
      <c r="Q355" s="729"/>
      <c r="R355" s="729"/>
    </row>
    <row r="356" spans="1:18" s="714" customFormat="1" ht="24" customHeight="1">
      <c r="A356" s="911" t="s">
        <v>1180</v>
      </c>
      <c r="B356" s="816" t="s">
        <v>1257</v>
      </c>
      <c r="C356" s="770"/>
      <c r="D356" s="770"/>
      <c r="E356" s="930"/>
      <c r="F356" s="939"/>
      <c r="G356" s="932"/>
      <c r="H356" s="933"/>
      <c r="I356" s="934"/>
      <c r="J356" s="935"/>
      <c r="K356" s="1013"/>
      <c r="L356" s="935"/>
      <c r="M356" s="729"/>
      <c r="N356" s="729"/>
      <c r="O356" s="729"/>
      <c r="P356" s="729"/>
      <c r="Q356" s="729"/>
      <c r="R356" s="729"/>
    </row>
    <row r="357" spans="1:18" s="714" customFormat="1" ht="24" customHeight="1">
      <c r="A357" s="856" t="s">
        <v>1082</v>
      </c>
      <c r="B357" s="720" t="s">
        <v>1341</v>
      </c>
      <c r="C357" s="717"/>
      <c r="D357" s="717"/>
      <c r="E357" s="917">
        <v>121</v>
      </c>
      <c r="F357" s="722" t="s">
        <v>240</v>
      </c>
      <c r="G357" s="806">
        <v>900</v>
      </c>
      <c r="H357" s="796">
        <f t="shared" ref="H357:H368" si="61">ROUND(G357*E357,)</f>
        <v>108900</v>
      </c>
      <c r="I357" s="807">
        <v>140</v>
      </c>
      <c r="J357" s="796">
        <f t="shared" ref="J357:J368" si="62">ROUND(E357*I357,)</f>
        <v>16940</v>
      </c>
      <c r="K357" s="1030">
        <f t="shared" ref="K357:K368" si="63">H357+J357</f>
        <v>125840</v>
      </c>
      <c r="L357" s="919"/>
      <c r="M357" s="729"/>
      <c r="N357" s="729"/>
      <c r="O357" s="729"/>
      <c r="P357" s="729"/>
      <c r="Q357" s="729"/>
      <c r="R357" s="729"/>
    </row>
    <row r="358" spans="1:18" s="714" customFormat="1" ht="24" customHeight="1">
      <c r="A358" s="856" t="s">
        <v>1377</v>
      </c>
      <c r="B358" s="720" t="s">
        <v>1343</v>
      </c>
      <c r="C358" s="717"/>
      <c r="D358" s="717"/>
      <c r="E358" s="917">
        <v>2</v>
      </c>
      <c r="F358" s="722" t="s">
        <v>240</v>
      </c>
      <c r="G358" s="806">
        <v>3800</v>
      </c>
      <c r="H358" s="796">
        <f t="shared" si="61"/>
        <v>7600</v>
      </c>
      <c r="I358" s="807">
        <v>200</v>
      </c>
      <c r="J358" s="796">
        <f t="shared" si="62"/>
        <v>400</v>
      </c>
      <c r="K358" s="1030">
        <f t="shared" si="63"/>
        <v>8000</v>
      </c>
      <c r="L358" s="919"/>
      <c r="M358" s="729"/>
      <c r="N358" s="729"/>
      <c r="O358" s="729"/>
      <c r="P358" s="729"/>
      <c r="Q358" s="729"/>
      <c r="R358" s="729"/>
    </row>
    <row r="359" spans="1:18" s="714" customFormat="1" ht="24" customHeight="1">
      <c r="A359" s="856" t="s">
        <v>1380</v>
      </c>
      <c r="B359" s="720" t="s">
        <v>1344</v>
      </c>
      <c r="C359" s="717"/>
      <c r="D359" s="717"/>
      <c r="E359" s="917">
        <v>2</v>
      </c>
      <c r="F359" s="722" t="s">
        <v>240</v>
      </c>
      <c r="G359" s="806">
        <v>5000</v>
      </c>
      <c r="H359" s="796">
        <f t="shared" si="61"/>
        <v>10000</v>
      </c>
      <c r="I359" s="807">
        <f>G359*0.1</f>
        <v>500</v>
      </c>
      <c r="J359" s="796">
        <f t="shared" si="62"/>
        <v>1000</v>
      </c>
      <c r="K359" s="1030">
        <f t="shared" si="63"/>
        <v>11000</v>
      </c>
      <c r="L359" s="919"/>
      <c r="M359" s="729"/>
      <c r="N359" s="729"/>
      <c r="O359" s="729"/>
      <c r="P359" s="729"/>
      <c r="Q359" s="729"/>
      <c r="R359" s="729"/>
    </row>
    <row r="360" spans="1:18" s="714" customFormat="1" ht="24" customHeight="1">
      <c r="A360" s="856" t="s">
        <v>1210</v>
      </c>
      <c r="B360" s="720" t="s">
        <v>1159</v>
      </c>
      <c r="C360" s="717"/>
      <c r="D360" s="717"/>
      <c r="E360" s="917"/>
      <c r="F360" s="916"/>
      <c r="G360" s="806"/>
      <c r="H360" s="796">
        <f t="shared" si="61"/>
        <v>0</v>
      </c>
      <c r="I360" s="807"/>
      <c r="J360" s="796">
        <f t="shared" si="62"/>
        <v>0</v>
      </c>
      <c r="K360" s="1030">
        <f t="shared" si="63"/>
        <v>0</v>
      </c>
      <c r="L360" s="919"/>
      <c r="M360" s="729"/>
      <c r="N360" s="729"/>
      <c r="O360" s="729"/>
      <c r="P360" s="729"/>
      <c r="Q360" s="729"/>
      <c r="R360" s="729"/>
    </row>
    <row r="361" spans="1:18" s="714" customFormat="1" ht="24" customHeight="1">
      <c r="A361" s="831"/>
      <c r="B361" s="800" t="s">
        <v>1430</v>
      </c>
      <c r="C361" s="757"/>
      <c r="D361" s="757"/>
      <c r="E361" s="917">
        <f>E357*30</f>
        <v>3630</v>
      </c>
      <c r="F361" s="794" t="s">
        <v>438</v>
      </c>
      <c r="G361" s="806">
        <v>32</v>
      </c>
      <c r="H361" s="796">
        <f t="shared" si="61"/>
        <v>116160</v>
      </c>
      <c r="I361" s="807">
        <v>11</v>
      </c>
      <c r="J361" s="796">
        <f t="shared" si="62"/>
        <v>39930</v>
      </c>
      <c r="K361" s="1030">
        <f t="shared" si="63"/>
        <v>156090</v>
      </c>
      <c r="L361" s="1718" t="s">
        <v>2974</v>
      </c>
      <c r="M361" s="729"/>
      <c r="N361" s="714">
        <v>3183</v>
      </c>
      <c r="O361" s="714">
        <f>ROUND(N361/100,)</f>
        <v>32</v>
      </c>
      <c r="P361" s="729"/>
      <c r="Q361" s="729"/>
      <c r="R361" s="729"/>
    </row>
    <row r="362" spans="1:18" s="714" customFormat="1" ht="24" customHeight="1">
      <c r="A362" s="831"/>
      <c r="B362" s="800" t="s">
        <v>1431</v>
      </c>
      <c r="C362" s="757"/>
      <c r="D362" s="757"/>
      <c r="E362" s="917">
        <f>E357*10</f>
        <v>1210</v>
      </c>
      <c r="F362" s="794" t="s">
        <v>438</v>
      </c>
      <c r="G362" s="806">
        <v>40</v>
      </c>
      <c r="H362" s="796">
        <f t="shared" si="61"/>
        <v>48400</v>
      </c>
      <c r="I362" s="807">
        <v>12</v>
      </c>
      <c r="J362" s="796">
        <f t="shared" si="62"/>
        <v>14520</v>
      </c>
      <c r="K362" s="1030">
        <f t="shared" si="63"/>
        <v>62920</v>
      </c>
      <c r="L362" s="1718" t="s">
        <v>2974</v>
      </c>
      <c r="M362" s="729"/>
      <c r="N362" s="714">
        <v>4039</v>
      </c>
      <c r="O362" s="714">
        <f>ROUND(N362/100,)</f>
        <v>40</v>
      </c>
      <c r="P362" s="729"/>
      <c r="Q362" s="729"/>
      <c r="R362" s="729"/>
    </row>
    <row r="363" spans="1:18" s="714" customFormat="1" ht="24" customHeight="1">
      <c r="A363" s="831"/>
      <c r="B363" s="720" t="s">
        <v>1338</v>
      </c>
      <c r="C363" s="717"/>
      <c r="D363" s="717"/>
      <c r="E363" s="917">
        <v>1</v>
      </c>
      <c r="F363" s="916" t="s">
        <v>948</v>
      </c>
      <c r="G363" s="806">
        <f>SUM(H360:H362)*5%</f>
        <v>8228</v>
      </c>
      <c r="H363" s="796">
        <f t="shared" ref="H363" si="64">ROUND(E363*G363,)</f>
        <v>8228</v>
      </c>
      <c r="I363" s="797">
        <f>ROUND(G363*0.3,)</f>
        <v>2468</v>
      </c>
      <c r="J363" s="796">
        <f t="shared" si="62"/>
        <v>2468</v>
      </c>
      <c r="K363" s="1030">
        <f t="shared" si="63"/>
        <v>10696</v>
      </c>
      <c r="L363" s="919"/>
      <c r="M363" s="729"/>
      <c r="N363" s="729"/>
      <c r="O363" s="729"/>
      <c r="P363" s="729"/>
      <c r="Q363" s="729"/>
      <c r="R363" s="729"/>
    </row>
    <row r="364" spans="1:18" s="714" customFormat="1" ht="24" customHeight="1">
      <c r="A364" s="856" t="s">
        <v>1212</v>
      </c>
      <c r="B364" s="720" t="s">
        <v>1357</v>
      </c>
      <c r="C364" s="717"/>
      <c r="D364" s="717"/>
      <c r="E364" s="917"/>
      <c r="F364" s="916"/>
      <c r="G364" s="806"/>
      <c r="H364" s="796">
        <f t="shared" si="61"/>
        <v>0</v>
      </c>
      <c r="I364" s="807"/>
      <c r="J364" s="796">
        <f t="shared" si="62"/>
        <v>0</v>
      </c>
      <c r="K364" s="1030">
        <f t="shared" si="63"/>
        <v>0</v>
      </c>
      <c r="L364" s="919"/>
      <c r="M364" s="729"/>
      <c r="N364" s="729"/>
      <c r="O364" s="729"/>
      <c r="P364" s="729"/>
      <c r="Q364" s="729"/>
      <c r="R364" s="729"/>
    </row>
    <row r="365" spans="1:18" s="714" customFormat="1" ht="24" customHeight="1">
      <c r="A365" s="831"/>
      <c r="B365" s="720" t="s">
        <v>1201</v>
      </c>
      <c r="C365" s="717"/>
      <c r="D365" s="717"/>
      <c r="E365" s="917">
        <v>4840</v>
      </c>
      <c r="F365" s="794" t="s">
        <v>438</v>
      </c>
      <c r="G365" s="806">
        <v>25</v>
      </c>
      <c r="H365" s="796">
        <f t="shared" si="61"/>
        <v>121000</v>
      </c>
      <c r="I365" s="807">
        <v>22</v>
      </c>
      <c r="J365" s="796">
        <f t="shared" si="62"/>
        <v>106480</v>
      </c>
      <c r="K365" s="1030">
        <f t="shared" si="63"/>
        <v>227480</v>
      </c>
      <c r="L365" s="1718" t="s">
        <v>2974</v>
      </c>
      <c r="M365" s="729"/>
      <c r="N365" s="714">
        <v>79.8</v>
      </c>
      <c r="O365" s="714">
        <f>ROUND(N365/3,)</f>
        <v>27</v>
      </c>
      <c r="P365" s="729"/>
      <c r="Q365" s="729"/>
      <c r="R365" s="729"/>
    </row>
    <row r="366" spans="1:18" s="714" customFormat="1" ht="24" customHeight="1">
      <c r="A366" s="831"/>
      <c r="B366" s="720" t="s">
        <v>1237</v>
      </c>
      <c r="C366" s="717"/>
      <c r="D366" s="717"/>
      <c r="E366" s="917">
        <v>1</v>
      </c>
      <c r="F366" s="941" t="s">
        <v>948</v>
      </c>
      <c r="G366" s="806">
        <f>SUM(H365:H365)*15%</f>
        <v>18150</v>
      </c>
      <c r="H366" s="796">
        <f t="shared" si="61"/>
        <v>18150</v>
      </c>
      <c r="I366" s="807">
        <f>G366*0.3</f>
        <v>5445</v>
      </c>
      <c r="J366" s="796">
        <f t="shared" si="62"/>
        <v>5445</v>
      </c>
      <c r="K366" s="1030">
        <f t="shared" si="63"/>
        <v>23595</v>
      </c>
      <c r="L366" s="1718"/>
      <c r="M366" s="729"/>
      <c r="P366" s="729"/>
      <c r="Q366" s="729"/>
      <c r="R366" s="729"/>
    </row>
    <row r="367" spans="1:18" s="714" customFormat="1" ht="24" customHeight="1">
      <c r="A367" s="831" t="s">
        <v>1214</v>
      </c>
      <c r="B367" s="720" t="s">
        <v>1281</v>
      </c>
      <c r="C367" s="717"/>
      <c r="D367" s="717"/>
      <c r="E367" s="917"/>
      <c r="F367" s="916"/>
      <c r="G367" s="806"/>
      <c r="H367" s="796">
        <f t="shared" si="61"/>
        <v>0</v>
      </c>
      <c r="I367" s="807"/>
      <c r="J367" s="796">
        <f t="shared" si="62"/>
        <v>0</v>
      </c>
      <c r="K367" s="1030">
        <f t="shared" si="63"/>
        <v>0</v>
      </c>
      <c r="L367" s="919"/>
      <c r="M367" s="729"/>
      <c r="N367" s="729"/>
      <c r="O367" s="729"/>
      <c r="P367" s="729"/>
      <c r="Q367" s="729"/>
      <c r="R367" s="729"/>
    </row>
    <row r="368" spans="1:18" s="714" customFormat="1" ht="24" customHeight="1">
      <c r="A368" s="831"/>
      <c r="B368" s="720" t="s">
        <v>1201</v>
      </c>
      <c r="C368" s="717"/>
      <c r="D368" s="717"/>
      <c r="E368" s="917">
        <v>55</v>
      </c>
      <c r="F368" s="794" t="s">
        <v>438</v>
      </c>
      <c r="G368" s="806">
        <v>14</v>
      </c>
      <c r="H368" s="796">
        <f t="shared" si="61"/>
        <v>770</v>
      </c>
      <c r="I368" s="807">
        <v>11</v>
      </c>
      <c r="J368" s="796">
        <f t="shared" si="62"/>
        <v>605</v>
      </c>
      <c r="K368" s="1030">
        <f t="shared" si="63"/>
        <v>1375</v>
      </c>
      <c r="L368" s="919"/>
      <c r="M368" s="729"/>
      <c r="N368" s="729"/>
      <c r="O368" s="729"/>
      <c r="P368" s="729"/>
      <c r="Q368" s="729"/>
      <c r="R368" s="729"/>
    </row>
    <row r="369" spans="1:21" s="714" customFormat="1" ht="24" customHeight="1">
      <c r="A369" s="831"/>
      <c r="B369" s="720" t="s">
        <v>957</v>
      </c>
      <c r="C369" s="717"/>
      <c r="D369" s="717"/>
      <c r="E369" s="917"/>
      <c r="F369" s="916"/>
      <c r="G369" s="806"/>
      <c r="H369" s="918"/>
      <c r="I369" s="807"/>
      <c r="J369" s="919"/>
      <c r="K369" s="968"/>
      <c r="L369" s="919"/>
      <c r="M369" s="729"/>
      <c r="N369" s="729"/>
      <c r="O369" s="729"/>
      <c r="P369" s="729"/>
    </row>
    <row r="370" spans="1:21" s="714" customFormat="1" ht="24" customHeight="1">
      <c r="A370" s="775"/>
      <c r="B370" s="2475" t="str">
        <f>"รวมราคารายการที่ "&amp;A356</f>
        <v>รวมราคารายการที่ 3.11</v>
      </c>
      <c r="C370" s="2476"/>
      <c r="D370" s="2477"/>
      <c r="E370" s="776"/>
      <c r="F370" s="777"/>
      <c r="G370" s="778"/>
      <c r="H370" s="779">
        <f>SUM(H357:H368)</f>
        <v>439208</v>
      </c>
      <c r="I370" s="778"/>
      <c r="J370" s="779">
        <f>SUM(J357:J368)</f>
        <v>187788</v>
      </c>
      <c r="K370" s="779">
        <f>SUM(K357:K368)</f>
        <v>626996</v>
      </c>
      <c r="L370" s="1006"/>
      <c r="M370" s="729"/>
      <c r="N370" s="729"/>
      <c r="O370" s="729"/>
      <c r="P370" s="729"/>
      <c r="Q370" s="729"/>
      <c r="R370" s="729"/>
    </row>
    <row r="371" spans="1:21" s="714" customFormat="1" ht="24" customHeight="1">
      <c r="A371" s="911" t="s">
        <v>1196</v>
      </c>
      <c r="B371" s="816" t="s">
        <v>1347</v>
      </c>
      <c r="C371" s="770"/>
      <c r="D371" s="770"/>
      <c r="E371" s="930"/>
      <c r="F371" s="931"/>
      <c r="G371" s="932"/>
      <c r="H371" s="933"/>
      <c r="I371" s="934"/>
      <c r="J371" s="935"/>
      <c r="K371" s="1013"/>
      <c r="L371" s="935"/>
      <c r="M371" s="729"/>
      <c r="N371" s="729"/>
      <c r="O371" s="729"/>
      <c r="P371" s="729"/>
      <c r="Q371" s="729"/>
      <c r="R371" s="729"/>
    </row>
    <row r="372" spans="1:21" s="714" customFormat="1" ht="24" customHeight="1">
      <c r="A372" s="992" t="s">
        <v>1198</v>
      </c>
      <c r="B372" s="720" t="s">
        <v>3030</v>
      </c>
      <c r="C372" s="706"/>
      <c r="D372" s="990"/>
      <c r="E372" s="721"/>
      <c r="F372" s="722"/>
      <c r="G372" s="1402"/>
      <c r="H372" s="914"/>
      <c r="I372" s="807"/>
      <c r="J372" s="796"/>
      <c r="K372" s="797"/>
      <c r="L372" s="830"/>
      <c r="M372" s="729"/>
      <c r="N372" s="729"/>
      <c r="O372" s="729"/>
      <c r="P372" s="729"/>
      <c r="Q372" s="729"/>
      <c r="R372" s="729"/>
      <c r="S372" s="729"/>
      <c r="T372" s="729"/>
      <c r="U372" s="729"/>
    </row>
    <row r="373" spans="1:21" s="714" customFormat="1" ht="24" customHeight="1">
      <c r="A373" s="992"/>
      <c r="B373" s="720" t="s">
        <v>3022</v>
      </c>
      <c r="C373" s="706"/>
      <c r="D373" s="990"/>
      <c r="E373" s="721">
        <v>2</v>
      </c>
      <c r="F373" s="722" t="s">
        <v>240</v>
      </c>
      <c r="G373" s="994">
        <v>28700</v>
      </c>
      <c r="H373" s="864">
        <f>ROUND(E373*G373,)</f>
        <v>57400</v>
      </c>
      <c r="I373" s="865">
        <f>G373*0.01</f>
        <v>287</v>
      </c>
      <c r="J373" s="864">
        <f>ROUND(I373*E373,)</f>
        <v>574</v>
      </c>
      <c r="K373" s="865">
        <f>H373+J373</f>
        <v>57974</v>
      </c>
      <c r="L373" s="830"/>
      <c r="M373" s="729"/>
      <c r="N373" s="729"/>
      <c r="O373" s="729"/>
      <c r="P373" s="729"/>
      <c r="Q373" s="729"/>
      <c r="R373" s="729"/>
      <c r="S373" s="729"/>
      <c r="T373" s="729"/>
      <c r="U373" s="729"/>
    </row>
    <row r="374" spans="1:21" s="714" customFormat="1" ht="24" customHeight="1">
      <c r="A374" s="992"/>
      <c r="B374" s="720" t="s">
        <v>1616</v>
      </c>
      <c r="C374" s="706"/>
      <c r="D374" s="990"/>
      <c r="E374" s="721">
        <v>2</v>
      </c>
      <c r="F374" s="722" t="s">
        <v>240</v>
      </c>
      <c r="G374" s="994">
        <v>25000</v>
      </c>
      <c r="H374" s="864">
        <f>ROUND(E374*G374,)</f>
        <v>50000</v>
      </c>
      <c r="I374" s="865">
        <f>ROUND(G374*0.01,)</f>
        <v>250</v>
      </c>
      <c r="J374" s="864">
        <f>ROUND(I374*E374,)</f>
        <v>500</v>
      </c>
      <c r="K374" s="865">
        <f>H374+J374</f>
        <v>50500</v>
      </c>
      <c r="L374" s="830"/>
      <c r="M374" s="729"/>
      <c r="N374" s="729"/>
      <c r="O374" s="729"/>
      <c r="P374" s="729"/>
      <c r="Q374" s="729"/>
      <c r="R374" s="729"/>
      <c r="S374" s="729"/>
      <c r="T374" s="729"/>
      <c r="U374" s="729"/>
    </row>
    <row r="375" spans="1:21" s="714" customFormat="1" ht="24" customHeight="1">
      <c r="A375" s="993"/>
      <c r="B375" s="720" t="s">
        <v>1375</v>
      </c>
      <c r="C375" s="706"/>
      <c r="D375" s="990"/>
      <c r="E375" s="721">
        <v>48</v>
      </c>
      <c r="F375" s="722" t="s">
        <v>240</v>
      </c>
      <c r="G375" s="994">
        <v>400</v>
      </c>
      <c r="H375" s="864">
        <f>ROUND(E375*G375,)</f>
        <v>19200</v>
      </c>
      <c r="I375" s="865">
        <f>ROUND(G375*0.01,)</f>
        <v>4</v>
      </c>
      <c r="J375" s="864">
        <f>ROUND(I375*E375,)</f>
        <v>192</v>
      </c>
      <c r="K375" s="865">
        <f>H375+J375</f>
        <v>19392</v>
      </c>
      <c r="L375" s="830"/>
      <c r="M375" s="729"/>
      <c r="N375" s="729"/>
      <c r="O375" s="729"/>
      <c r="P375" s="729"/>
      <c r="Q375" s="729"/>
      <c r="R375" s="729"/>
      <c r="S375" s="729"/>
      <c r="T375" s="729"/>
      <c r="U375" s="729"/>
    </row>
    <row r="376" spans="1:21" s="714" customFormat="1" ht="24" customHeight="1">
      <c r="A376" s="993"/>
      <c r="B376" s="720" t="s">
        <v>3023</v>
      </c>
      <c r="C376" s="706"/>
      <c r="D376" s="990"/>
      <c r="E376" s="721"/>
      <c r="F376" s="722" t="s">
        <v>240</v>
      </c>
      <c r="G376" s="994"/>
      <c r="H376" s="914"/>
      <c r="I376" s="797"/>
      <c r="J376" s="796"/>
      <c r="K376" s="797"/>
      <c r="L376" s="830"/>
      <c r="M376" s="729"/>
      <c r="N376" s="729"/>
      <c r="O376" s="729"/>
      <c r="P376" s="729"/>
      <c r="Q376" s="729"/>
      <c r="R376" s="729"/>
      <c r="S376" s="729"/>
      <c r="T376" s="729"/>
      <c r="U376" s="729"/>
    </row>
    <row r="377" spans="1:21" s="714" customFormat="1" ht="24" customHeight="1">
      <c r="A377" s="1138"/>
      <c r="B377" s="720" t="s">
        <v>1618</v>
      </c>
      <c r="C377" s="706"/>
      <c r="D377" s="990"/>
      <c r="E377" s="721"/>
      <c r="F377" s="722" t="s">
        <v>240</v>
      </c>
      <c r="G377" s="994"/>
      <c r="H377" s="914"/>
      <c r="I377" s="797"/>
      <c r="J377" s="796"/>
      <c r="K377" s="797"/>
      <c r="L377" s="988"/>
      <c r="M377" s="729"/>
      <c r="N377" s="729"/>
      <c r="O377" s="729"/>
      <c r="P377" s="729"/>
      <c r="Q377" s="729"/>
      <c r="R377" s="729"/>
      <c r="S377" s="729"/>
      <c r="T377" s="729"/>
      <c r="U377" s="729"/>
    </row>
    <row r="378" spans="1:21" s="714" customFormat="1" ht="24" customHeight="1">
      <c r="A378" s="1138"/>
      <c r="B378" s="720"/>
      <c r="C378" s="706"/>
      <c r="D378" s="716"/>
      <c r="E378" s="721"/>
      <c r="F378" s="722"/>
      <c r="G378" s="827"/>
      <c r="H378" s="914"/>
      <c r="I378" s="797"/>
      <c r="J378" s="914"/>
      <c r="K378" s="797"/>
      <c r="L378" s="1023"/>
      <c r="M378" s="729"/>
      <c r="N378" s="729"/>
      <c r="O378" s="729"/>
      <c r="P378" s="729"/>
      <c r="Q378" s="729"/>
      <c r="R378" s="729"/>
      <c r="S378" s="729"/>
      <c r="T378" s="729"/>
      <c r="U378" s="729"/>
    </row>
    <row r="379" spans="1:21" s="714" customFormat="1" ht="24" customHeight="1">
      <c r="A379" s="856" t="s">
        <v>1200</v>
      </c>
      <c r="B379" s="720" t="s">
        <v>1348</v>
      </c>
      <c r="C379" s="717"/>
      <c r="D379" s="717"/>
      <c r="E379" s="917"/>
      <c r="F379" s="916"/>
      <c r="G379" s="806"/>
      <c r="H379" s="918"/>
      <c r="I379" s="807"/>
      <c r="J379" s="919"/>
      <c r="K379" s="968"/>
      <c r="L379" s="919"/>
      <c r="M379" s="729"/>
      <c r="N379" s="729"/>
      <c r="O379" s="729"/>
      <c r="P379" s="729"/>
      <c r="Q379" s="729"/>
      <c r="R379" s="729"/>
    </row>
    <row r="380" spans="1:21" s="714" customFormat="1" ht="24" customHeight="1">
      <c r="A380" s="831"/>
      <c r="B380" s="720" t="s">
        <v>1487</v>
      </c>
      <c r="C380" s="717"/>
      <c r="D380" s="717"/>
      <c r="E380" s="917">
        <v>2</v>
      </c>
      <c r="F380" s="722" t="s">
        <v>240</v>
      </c>
      <c r="G380" s="806">
        <f>(28000+6600+14500)*0.95</f>
        <v>46645</v>
      </c>
      <c r="H380" s="918">
        <f t="shared" ref="H380:H385" si="65">ROUND(E380*G380,)</f>
        <v>93290</v>
      </c>
      <c r="I380" s="807">
        <v>5000</v>
      </c>
      <c r="J380" s="919">
        <f>ROUND(E380*I380,)</f>
        <v>10000</v>
      </c>
      <c r="K380" s="1030">
        <f t="shared" ref="K380:K391" si="66">H380+J380</f>
        <v>103290</v>
      </c>
      <c r="L380" s="919"/>
      <c r="M380" s="729"/>
      <c r="N380" s="729"/>
      <c r="O380" s="729"/>
      <c r="P380" s="729"/>
      <c r="Q380" s="729"/>
      <c r="R380" s="729"/>
    </row>
    <row r="381" spans="1:21" s="714" customFormat="1" ht="24" customHeight="1">
      <c r="A381" s="831"/>
      <c r="B381" s="720" t="s">
        <v>1350</v>
      </c>
      <c r="C381" s="717"/>
      <c r="D381" s="717"/>
      <c r="E381" s="917">
        <v>2</v>
      </c>
      <c r="F381" s="722" t="s">
        <v>240</v>
      </c>
      <c r="G381" s="806">
        <f>22500*0.95</f>
        <v>21375</v>
      </c>
      <c r="H381" s="918">
        <f t="shared" si="65"/>
        <v>42750</v>
      </c>
      <c r="I381" s="807" t="s">
        <v>1351</v>
      </c>
      <c r="J381" s="919"/>
      <c r="K381" s="1030">
        <f t="shared" si="66"/>
        <v>42750</v>
      </c>
      <c r="L381" s="919"/>
      <c r="M381" s="729"/>
      <c r="N381" s="729"/>
      <c r="O381" s="729"/>
      <c r="P381" s="729"/>
      <c r="Q381" s="729"/>
      <c r="R381" s="729"/>
    </row>
    <row r="382" spans="1:21" s="714" customFormat="1" ht="24" customHeight="1">
      <c r="A382" s="831"/>
      <c r="B382" s="720" t="s">
        <v>1352</v>
      </c>
      <c r="C382" s="717"/>
      <c r="D382" s="717"/>
      <c r="E382" s="917">
        <v>4</v>
      </c>
      <c r="F382" s="722" t="s">
        <v>240</v>
      </c>
      <c r="G382" s="806">
        <f>9500*0.95</f>
        <v>9025</v>
      </c>
      <c r="H382" s="918">
        <f t="shared" si="65"/>
        <v>36100</v>
      </c>
      <c r="I382" s="807" t="s">
        <v>1351</v>
      </c>
      <c r="J382" s="919"/>
      <c r="K382" s="966">
        <f t="shared" si="66"/>
        <v>36100</v>
      </c>
      <c r="L382" s="919"/>
      <c r="M382" s="729"/>
      <c r="N382" s="729"/>
      <c r="O382" s="729"/>
      <c r="P382" s="729"/>
      <c r="Q382" s="729"/>
      <c r="R382" s="729"/>
    </row>
    <row r="383" spans="1:21" s="714" customFormat="1" ht="24" customHeight="1">
      <c r="A383" s="831"/>
      <c r="B383" s="720" t="s">
        <v>1353</v>
      </c>
      <c r="C383" s="717"/>
      <c r="D383" s="717"/>
      <c r="E383" s="917">
        <v>2</v>
      </c>
      <c r="F383" s="722" t="s">
        <v>240</v>
      </c>
      <c r="G383" s="806">
        <f>2100*0.95</f>
        <v>1995</v>
      </c>
      <c r="H383" s="918">
        <f t="shared" si="65"/>
        <v>3990</v>
      </c>
      <c r="I383" s="807" t="s">
        <v>1351</v>
      </c>
      <c r="J383" s="919"/>
      <c r="K383" s="966">
        <f t="shared" si="66"/>
        <v>3990</v>
      </c>
      <c r="L383" s="919"/>
      <c r="M383" s="729"/>
      <c r="N383" s="729"/>
      <c r="O383" s="729"/>
      <c r="P383" s="729"/>
      <c r="Q383" s="729"/>
      <c r="R383" s="729"/>
    </row>
    <row r="384" spans="1:21" s="714" customFormat="1" ht="24" customHeight="1">
      <c r="A384" s="831"/>
      <c r="B384" s="720" t="s">
        <v>1354</v>
      </c>
      <c r="C384" s="717"/>
      <c r="D384" s="717"/>
      <c r="E384" s="917">
        <v>2</v>
      </c>
      <c r="F384" s="722" t="s">
        <v>240</v>
      </c>
      <c r="G384" s="806">
        <f>ROUND(450*0.95,)</f>
        <v>428</v>
      </c>
      <c r="H384" s="918">
        <f t="shared" si="65"/>
        <v>856</v>
      </c>
      <c r="I384" s="807" t="s">
        <v>1351</v>
      </c>
      <c r="J384" s="919"/>
      <c r="K384" s="966">
        <f t="shared" si="66"/>
        <v>856</v>
      </c>
      <c r="L384" s="919"/>
      <c r="M384" s="729"/>
      <c r="N384" s="729"/>
      <c r="O384" s="729"/>
      <c r="P384" s="729"/>
      <c r="Q384" s="729"/>
      <c r="R384" s="729"/>
    </row>
    <row r="385" spans="1:21" s="714" customFormat="1" ht="24" customHeight="1">
      <c r="A385" s="831"/>
      <c r="B385" s="720" t="s">
        <v>1355</v>
      </c>
      <c r="C385" s="717"/>
      <c r="D385" s="717"/>
      <c r="E385" s="917">
        <v>2</v>
      </c>
      <c r="F385" s="722" t="s">
        <v>240</v>
      </c>
      <c r="G385" s="806">
        <f>ROUND(850*0.95,)</f>
        <v>808</v>
      </c>
      <c r="H385" s="918">
        <f t="shared" si="65"/>
        <v>1616</v>
      </c>
      <c r="I385" s="807" t="s">
        <v>1351</v>
      </c>
      <c r="J385" s="919"/>
      <c r="K385" s="966">
        <f t="shared" si="66"/>
        <v>1616</v>
      </c>
      <c r="L385" s="919"/>
      <c r="M385" s="729"/>
      <c r="N385" s="729"/>
      <c r="O385" s="729"/>
      <c r="P385" s="729"/>
      <c r="Q385" s="729"/>
      <c r="R385" s="729"/>
    </row>
    <row r="386" spans="1:21" s="714" customFormat="1" ht="24" customHeight="1">
      <c r="A386" s="856" t="s">
        <v>1440</v>
      </c>
      <c r="B386" s="720" t="s">
        <v>1159</v>
      </c>
      <c r="C386" s="717"/>
      <c r="D386" s="717"/>
      <c r="E386" s="917"/>
      <c r="F386" s="916"/>
      <c r="G386" s="806"/>
      <c r="H386" s="918"/>
      <c r="I386" s="807"/>
      <c r="J386" s="919"/>
      <c r="K386" s="966">
        <f t="shared" si="66"/>
        <v>0</v>
      </c>
      <c r="L386" s="919"/>
      <c r="M386" s="729"/>
      <c r="N386" s="729"/>
      <c r="O386" s="729"/>
      <c r="P386" s="729"/>
      <c r="Q386" s="729"/>
      <c r="R386" s="729"/>
    </row>
    <row r="387" spans="1:21" s="714" customFormat="1" ht="24" customHeight="1">
      <c r="A387" s="831"/>
      <c r="B387" s="720" t="s">
        <v>1356</v>
      </c>
      <c r="C387" s="717"/>
      <c r="D387" s="717"/>
      <c r="E387" s="917">
        <f>E380*30</f>
        <v>60</v>
      </c>
      <c r="F387" s="794" t="s">
        <v>438</v>
      </c>
      <c r="G387" s="806">
        <v>37</v>
      </c>
      <c r="H387" s="918">
        <f>ROUND(E387*G387,)</f>
        <v>2220</v>
      </c>
      <c r="I387" s="807">
        <v>5</v>
      </c>
      <c r="J387" s="919">
        <f>ROUND(E387*I387,)</f>
        <v>300</v>
      </c>
      <c r="K387" s="966">
        <f t="shared" si="66"/>
        <v>2520</v>
      </c>
      <c r="L387" s="919"/>
      <c r="M387" s="729"/>
      <c r="N387" s="729"/>
      <c r="O387" s="729"/>
      <c r="P387" s="729"/>
      <c r="Q387" s="729"/>
      <c r="R387" s="729"/>
    </row>
    <row r="388" spans="1:21" s="714" customFormat="1" ht="24" customHeight="1">
      <c r="A388" s="831"/>
      <c r="B388" s="720" t="s">
        <v>1338</v>
      </c>
      <c r="C388" s="717"/>
      <c r="D388" s="717"/>
      <c r="E388" s="917">
        <v>1</v>
      </c>
      <c r="F388" s="916" t="s">
        <v>948</v>
      </c>
      <c r="G388" s="806">
        <f>SUM(H387)*5%</f>
        <v>111</v>
      </c>
      <c r="H388" s="796">
        <f t="shared" ref="H388" si="67">ROUND(E388*G388,)</f>
        <v>111</v>
      </c>
      <c r="I388" s="797">
        <f>ROUND(G388*0.3,)</f>
        <v>33</v>
      </c>
      <c r="J388" s="796">
        <f t="shared" ref="J388" si="68">ROUND(E388*I388,)</f>
        <v>33</v>
      </c>
      <c r="K388" s="966">
        <f t="shared" si="66"/>
        <v>144</v>
      </c>
      <c r="L388" s="919"/>
      <c r="M388" s="729"/>
      <c r="N388" s="729"/>
      <c r="O388" s="729"/>
      <c r="P388" s="729"/>
      <c r="Q388" s="729"/>
      <c r="R388" s="729"/>
    </row>
    <row r="389" spans="1:21" s="714" customFormat="1" ht="24" customHeight="1">
      <c r="A389" s="856" t="s">
        <v>2984</v>
      </c>
      <c r="B389" s="720" t="s">
        <v>1357</v>
      </c>
      <c r="C389" s="717"/>
      <c r="D389" s="717"/>
      <c r="E389" s="917"/>
      <c r="F389" s="916"/>
      <c r="G389" s="806"/>
      <c r="H389" s="918"/>
      <c r="I389" s="807"/>
      <c r="J389" s="919"/>
      <c r="K389" s="966">
        <f t="shared" si="66"/>
        <v>0</v>
      </c>
      <c r="L389" s="919"/>
      <c r="M389" s="729"/>
      <c r="N389" s="729"/>
      <c r="O389" s="729"/>
      <c r="P389" s="729"/>
      <c r="Q389" s="729"/>
      <c r="R389" s="729"/>
    </row>
    <row r="390" spans="1:21" s="714" customFormat="1" ht="24" customHeight="1">
      <c r="A390" s="831"/>
      <c r="B390" s="720" t="s">
        <v>1201</v>
      </c>
      <c r="C390" s="717"/>
      <c r="D390" s="717"/>
      <c r="E390" s="917">
        <f>E387</f>
        <v>60</v>
      </c>
      <c r="F390" s="794" t="s">
        <v>438</v>
      </c>
      <c r="G390" s="806">
        <v>27</v>
      </c>
      <c r="H390" s="796">
        <f t="shared" ref="H390:H391" si="69">ROUND(G390*E390,)</f>
        <v>1620</v>
      </c>
      <c r="I390" s="807">
        <v>22</v>
      </c>
      <c r="J390" s="796">
        <f>ROUND(E390*I390,)</f>
        <v>1320</v>
      </c>
      <c r="K390" s="1030">
        <f t="shared" si="66"/>
        <v>2940</v>
      </c>
      <c r="L390" s="1718" t="s">
        <v>2974</v>
      </c>
      <c r="M390" s="729"/>
      <c r="N390" s="714">
        <v>79.8</v>
      </c>
      <c r="O390" s="714">
        <f>ROUND(N390/3,)</f>
        <v>27</v>
      </c>
      <c r="P390" s="729"/>
      <c r="Q390" s="729"/>
      <c r="R390" s="729"/>
    </row>
    <row r="391" spans="1:21" s="714" customFormat="1" ht="24" customHeight="1">
      <c r="A391" s="831"/>
      <c r="B391" s="720" t="s">
        <v>1237</v>
      </c>
      <c r="C391" s="717"/>
      <c r="D391" s="717"/>
      <c r="E391" s="917">
        <v>1</v>
      </c>
      <c r="F391" s="916" t="s">
        <v>948</v>
      </c>
      <c r="G391" s="806">
        <f>H390*15%</f>
        <v>243</v>
      </c>
      <c r="H391" s="796">
        <f t="shared" si="69"/>
        <v>243</v>
      </c>
      <c r="I391" s="797">
        <f>ROUND(G391*0.3,)</f>
        <v>73</v>
      </c>
      <c r="J391" s="796">
        <f t="shared" ref="J391" si="70">ROUND(E391*I391,)</f>
        <v>73</v>
      </c>
      <c r="K391" s="1030">
        <f t="shared" si="66"/>
        <v>316</v>
      </c>
      <c r="L391" s="919"/>
      <c r="M391" s="729"/>
      <c r="N391" s="729"/>
      <c r="O391" s="729"/>
      <c r="P391" s="729"/>
      <c r="Q391" s="729"/>
      <c r="R391" s="729"/>
    </row>
    <row r="392" spans="1:21" s="714" customFormat="1" ht="24" customHeight="1">
      <c r="A392" s="831"/>
      <c r="B392" s="720" t="s">
        <v>957</v>
      </c>
      <c r="C392" s="717"/>
      <c r="D392" s="717"/>
      <c r="E392" s="917"/>
      <c r="F392" s="916"/>
      <c r="G392" s="806"/>
      <c r="H392" s="918"/>
      <c r="I392" s="807"/>
      <c r="J392" s="919"/>
      <c r="K392" s="968"/>
      <c r="L392" s="919"/>
      <c r="M392" s="729"/>
      <c r="N392" s="729"/>
      <c r="O392" s="729"/>
      <c r="P392" s="729"/>
      <c r="Q392" s="729"/>
      <c r="R392" s="729"/>
    </row>
    <row r="393" spans="1:21" s="714" customFormat="1" ht="24" customHeight="1">
      <c r="A393" s="2353"/>
      <c r="B393" s="1012"/>
      <c r="C393" s="2368"/>
      <c r="D393" s="2368"/>
      <c r="E393" s="2354"/>
      <c r="F393" s="2355"/>
      <c r="G393" s="2356"/>
      <c r="H393" s="2357"/>
      <c r="I393" s="2358"/>
      <c r="J393" s="2359"/>
      <c r="K393" s="2359"/>
      <c r="L393" s="2359"/>
      <c r="M393" s="729"/>
      <c r="N393" s="729"/>
      <c r="O393" s="729"/>
      <c r="P393" s="729"/>
      <c r="Q393" s="729"/>
      <c r="R393" s="729"/>
    </row>
    <row r="394" spans="1:21" s="714" customFormat="1" ht="24" customHeight="1">
      <c r="A394" s="775"/>
      <c r="B394" s="2475" t="str">
        <f>"รวมราคารายการที่ "&amp;A371</f>
        <v>รวมราคารายการที่ 3.12</v>
      </c>
      <c r="C394" s="2476"/>
      <c r="D394" s="2477"/>
      <c r="E394" s="776"/>
      <c r="F394" s="777"/>
      <c r="G394" s="778"/>
      <c r="H394" s="779">
        <f>SUM(H371:H392)</f>
        <v>309396</v>
      </c>
      <c r="I394" s="778"/>
      <c r="J394" s="779">
        <f t="shared" ref="J394:K394" si="71">SUM(J371:J392)</f>
        <v>12992</v>
      </c>
      <c r="K394" s="779">
        <f t="shared" si="71"/>
        <v>322388</v>
      </c>
      <c r="L394" s="1006"/>
    </row>
    <row r="395" spans="1:21" s="714" customFormat="1" ht="21.3">
      <c r="A395" s="899" t="s">
        <v>1202</v>
      </c>
      <c r="B395" s="900" t="s">
        <v>1358</v>
      </c>
      <c r="C395" s="943"/>
      <c r="D395" s="943"/>
      <c r="E395" s="944"/>
      <c r="F395" s="978"/>
      <c r="G395" s="774"/>
      <c r="H395" s="773"/>
      <c r="I395" s="946"/>
      <c r="J395" s="947"/>
      <c r="K395" s="1019"/>
      <c r="L395" s="947"/>
    </row>
    <row r="396" spans="1:21" s="714" customFormat="1" ht="24" customHeight="1">
      <c r="A396" s="992" t="s">
        <v>1204</v>
      </c>
      <c r="B396" s="720" t="s">
        <v>3030</v>
      </c>
      <c r="C396" s="706"/>
      <c r="D396" s="990"/>
      <c r="E396" s="721"/>
      <c r="F396" s="722"/>
      <c r="G396" s="1402"/>
      <c r="H396" s="914"/>
      <c r="I396" s="807"/>
      <c r="J396" s="796"/>
      <c r="K396" s="797"/>
      <c r="L396" s="830"/>
      <c r="M396" s="729"/>
      <c r="N396" s="729"/>
      <c r="O396" s="729"/>
      <c r="P396" s="729"/>
      <c r="Q396" s="729"/>
      <c r="R396" s="729"/>
      <c r="S396" s="729"/>
      <c r="T396" s="729"/>
      <c r="U396" s="729"/>
    </row>
    <row r="397" spans="1:21" s="714" customFormat="1" ht="24" customHeight="1">
      <c r="A397" s="992"/>
      <c r="B397" s="720" t="s">
        <v>3022</v>
      </c>
      <c r="C397" s="706"/>
      <c r="D397" s="990"/>
      <c r="E397" s="721">
        <v>2</v>
      </c>
      <c r="F397" s="722" t="s">
        <v>240</v>
      </c>
      <c r="G397" s="994">
        <v>28700</v>
      </c>
      <c r="H397" s="864">
        <f>ROUND(E397*G397,)</f>
        <v>57400</v>
      </c>
      <c r="I397" s="865">
        <f>G397*0.01</f>
        <v>287</v>
      </c>
      <c r="J397" s="864">
        <f>ROUND(I397*E397,)</f>
        <v>574</v>
      </c>
      <c r="K397" s="865">
        <f>H397+J397</f>
        <v>57974</v>
      </c>
      <c r="L397" s="830"/>
      <c r="M397" s="729"/>
      <c r="N397" s="729"/>
      <c r="O397" s="729"/>
      <c r="P397" s="729"/>
      <c r="Q397" s="729"/>
      <c r="R397" s="729"/>
      <c r="S397" s="729"/>
      <c r="T397" s="729"/>
      <c r="U397" s="729"/>
    </row>
    <row r="398" spans="1:21" s="714" customFormat="1" ht="24" customHeight="1">
      <c r="A398" s="992"/>
      <c r="B398" s="720" t="s">
        <v>1616</v>
      </c>
      <c r="C398" s="706"/>
      <c r="D398" s="990"/>
      <c r="E398" s="721">
        <v>2</v>
      </c>
      <c r="F398" s="722" t="s">
        <v>240</v>
      </c>
      <c r="G398" s="994">
        <v>25000</v>
      </c>
      <c r="H398" s="864">
        <f>ROUND(E398*G398,)</f>
        <v>50000</v>
      </c>
      <c r="I398" s="865">
        <f>ROUND(G398*0.01,)</f>
        <v>250</v>
      </c>
      <c r="J398" s="864">
        <f>ROUND(I398*E398,)</f>
        <v>500</v>
      </c>
      <c r="K398" s="865">
        <f>H398+J398</f>
        <v>50500</v>
      </c>
      <c r="L398" s="830"/>
      <c r="M398" s="729"/>
      <c r="N398" s="729"/>
      <c r="O398" s="729"/>
      <c r="P398" s="729"/>
      <c r="Q398" s="729"/>
      <c r="R398" s="729"/>
      <c r="S398" s="729"/>
      <c r="T398" s="729"/>
      <c r="U398" s="729"/>
    </row>
    <row r="399" spans="1:21" s="714" customFormat="1" ht="24" customHeight="1">
      <c r="A399" s="993"/>
      <c r="B399" s="720" t="s">
        <v>1375</v>
      </c>
      <c r="C399" s="706"/>
      <c r="D399" s="990"/>
      <c r="E399" s="721">
        <v>48</v>
      </c>
      <c r="F399" s="722" t="s">
        <v>240</v>
      </c>
      <c r="G399" s="994">
        <v>400</v>
      </c>
      <c r="H399" s="864">
        <f>ROUND(E399*G399,)</f>
        <v>19200</v>
      </c>
      <c r="I399" s="865">
        <f>ROUND(G399*0.01,)</f>
        <v>4</v>
      </c>
      <c r="J399" s="864">
        <f>ROUND(I399*E399,)</f>
        <v>192</v>
      </c>
      <c r="K399" s="865">
        <f>H399+J399</f>
        <v>19392</v>
      </c>
      <c r="L399" s="830"/>
      <c r="M399" s="729"/>
      <c r="N399" s="729"/>
      <c r="O399" s="729"/>
      <c r="P399" s="729"/>
      <c r="Q399" s="729"/>
      <c r="R399" s="729"/>
      <c r="S399" s="729"/>
      <c r="T399" s="729"/>
      <c r="U399" s="729"/>
    </row>
    <row r="400" spans="1:21" s="714" customFormat="1" ht="24" customHeight="1">
      <c r="A400" s="993"/>
      <c r="B400" s="720" t="s">
        <v>3023</v>
      </c>
      <c r="C400" s="706"/>
      <c r="D400" s="990"/>
      <c r="E400" s="721"/>
      <c r="F400" s="722" t="s">
        <v>240</v>
      </c>
      <c r="G400" s="994"/>
      <c r="H400" s="914"/>
      <c r="I400" s="797"/>
      <c r="J400" s="796"/>
      <c r="K400" s="797"/>
      <c r="L400" s="830"/>
      <c r="M400" s="729"/>
      <c r="N400" s="729"/>
      <c r="O400" s="729"/>
      <c r="P400" s="729"/>
      <c r="Q400" s="729"/>
      <c r="R400" s="729"/>
      <c r="S400" s="729"/>
      <c r="T400" s="729"/>
      <c r="U400" s="729"/>
    </row>
    <row r="401" spans="1:21" s="714" customFormat="1" ht="24" customHeight="1">
      <c r="A401" s="1138"/>
      <c r="B401" s="720" t="s">
        <v>1618</v>
      </c>
      <c r="C401" s="706"/>
      <c r="D401" s="990"/>
      <c r="E401" s="721"/>
      <c r="F401" s="722" t="s">
        <v>240</v>
      </c>
      <c r="G401" s="994"/>
      <c r="H401" s="914"/>
      <c r="I401" s="797"/>
      <c r="J401" s="796"/>
      <c r="K401" s="797"/>
      <c r="L401" s="988"/>
      <c r="M401" s="729"/>
      <c r="N401" s="729"/>
      <c r="O401" s="729"/>
      <c r="P401" s="729"/>
      <c r="Q401" s="729"/>
      <c r="R401" s="729"/>
      <c r="S401" s="729"/>
      <c r="T401" s="729"/>
      <c r="U401" s="729"/>
    </row>
    <row r="402" spans="1:21" s="714" customFormat="1" ht="21.3">
      <c r="A402" s="976" t="s">
        <v>1206</v>
      </c>
      <c r="B402" s="800" t="s">
        <v>1359</v>
      </c>
      <c r="C402" s="757"/>
      <c r="D402" s="757"/>
      <c r="E402" s="979"/>
      <c r="F402" s="980"/>
      <c r="G402" s="752"/>
      <c r="H402" s="864"/>
      <c r="I402" s="949"/>
      <c r="J402" s="864"/>
      <c r="K402" s="966"/>
      <c r="L402" s="973"/>
    </row>
    <row r="403" spans="1:21" s="714" customFormat="1" ht="21.3">
      <c r="A403" s="861"/>
      <c r="B403" s="800" t="s">
        <v>1528</v>
      </c>
      <c r="C403" s="757"/>
      <c r="D403" s="757"/>
      <c r="E403" s="942">
        <v>1</v>
      </c>
      <c r="F403" s="803" t="s">
        <v>240</v>
      </c>
      <c r="G403" s="752">
        <f>40590+10000+33400</f>
        <v>83990</v>
      </c>
      <c r="H403" s="751">
        <f t="shared" ref="H403:H404" si="72">ROUND(E403*G403,)</f>
        <v>83990</v>
      </c>
      <c r="I403" s="949">
        <f>G403*0.1</f>
        <v>8399</v>
      </c>
      <c r="J403" s="973">
        <f>ROUND(E403*I403,)</f>
        <v>8399</v>
      </c>
      <c r="K403" s="1030">
        <f t="shared" ref="K403:K414" si="73">H403+J403</f>
        <v>92389</v>
      </c>
      <c r="L403" s="973"/>
    </row>
    <row r="404" spans="1:21" s="714" customFormat="1" ht="21.3">
      <c r="A404" s="861"/>
      <c r="B404" s="800" t="s">
        <v>1529</v>
      </c>
      <c r="C404" s="757"/>
      <c r="D404" s="757"/>
      <c r="E404" s="942">
        <v>1</v>
      </c>
      <c r="F404" s="803" t="s">
        <v>240</v>
      </c>
      <c r="G404" s="752">
        <v>228010</v>
      </c>
      <c r="H404" s="751">
        <f t="shared" si="72"/>
        <v>228010</v>
      </c>
      <c r="I404" s="949">
        <f t="shared" ref="I404" si="74">G404*0.1</f>
        <v>22801</v>
      </c>
      <c r="J404" s="973">
        <f t="shared" ref="J404" si="75">ROUND(E404*I404,)</f>
        <v>22801</v>
      </c>
      <c r="K404" s="1030">
        <f t="shared" si="73"/>
        <v>250811</v>
      </c>
      <c r="L404" s="973"/>
    </row>
    <row r="405" spans="1:21" s="714" customFormat="1" ht="21.3">
      <c r="A405" s="976" t="s">
        <v>1208</v>
      </c>
      <c r="B405" s="800" t="s">
        <v>1363</v>
      </c>
      <c r="C405" s="757"/>
      <c r="D405" s="757"/>
      <c r="E405" s="979"/>
      <c r="F405" s="980"/>
      <c r="G405" s="752"/>
      <c r="H405" s="864"/>
      <c r="I405" s="949"/>
      <c r="J405" s="864"/>
      <c r="K405" s="1030">
        <f t="shared" si="73"/>
        <v>0</v>
      </c>
      <c r="L405" s="973"/>
    </row>
    <row r="406" spans="1:21" s="714" customFormat="1" ht="21.3">
      <c r="A406" s="861"/>
      <c r="B406" s="800" t="s">
        <v>1530</v>
      </c>
      <c r="C406" s="757"/>
      <c r="D406" s="757"/>
      <c r="E406" s="942">
        <v>5</v>
      </c>
      <c r="F406" s="803" t="s">
        <v>240</v>
      </c>
      <c r="G406" s="752">
        <v>3500</v>
      </c>
      <c r="H406" s="751">
        <f t="shared" ref="H406:H407" si="76">ROUND(E406*G406,)</f>
        <v>17500</v>
      </c>
      <c r="I406" s="949">
        <f t="shared" ref="I406:I407" si="77">G406*0.1</f>
        <v>350</v>
      </c>
      <c r="J406" s="973">
        <f t="shared" ref="J406:J407" si="78">ROUND(E406*I406,)</f>
        <v>1750</v>
      </c>
      <c r="K406" s="1030">
        <f t="shared" si="73"/>
        <v>19250</v>
      </c>
      <c r="L406" s="973"/>
    </row>
    <row r="407" spans="1:21" s="714" customFormat="1" ht="21.3">
      <c r="A407" s="861"/>
      <c r="B407" s="800" t="s">
        <v>1531</v>
      </c>
      <c r="C407" s="757"/>
      <c r="D407" s="757"/>
      <c r="E407" s="942">
        <v>5</v>
      </c>
      <c r="F407" s="803" t="s">
        <v>240</v>
      </c>
      <c r="G407" s="752">
        <v>3500</v>
      </c>
      <c r="H407" s="751">
        <f t="shared" si="76"/>
        <v>17500</v>
      </c>
      <c r="I407" s="949">
        <f t="shared" si="77"/>
        <v>350</v>
      </c>
      <c r="J407" s="973">
        <f t="shared" si="78"/>
        <v>1750</v>
      </c>
      <c r="K407" s="1030">
        <f t="shared" si="73"/>
        <v>19250</v>
      </c>
      <c r="L407" s="973"/>
    </row>
    <row r="408" spans="1:21">
      <c r="A408" s="976" t="s">
        <v>3057</v>
      </c>
      <c r="B408" s="800" t="s">
        <v>1159</v>
      </c>
      <c r="C408" s="757"/>
      <c r="D408" s="757"/>
      <c r="E408" s="942"/>
      <c r="F408" s="948"/>
      <c r="G408" s="752"/>
      <c r="H408" s="751"/>
      <c r="I408" s="949"/>
      <c r="J408" s="973"/>
      <c r="K408" s="1030">
        <f t="shared" si="73"/>
        <v>0</v>
      </c>
      <c r="L408" s="973"/>
    </row>
    <row r="409" spans="1:21">
      <c r="A409" s="861"/>
      <c r="B409" s="800" t="s">
        <v>1367</v>
      </c>
      <c r="C409" s="757"/>
      <c r="D409" s="757"/>
      <c r="E409" s="942">
        <v>440</v>
      </c>
      <c r="F409" s="867" t="s">
        <v>438</v>
      </c>
      <c r="G409" s="752">
        <v>103</v>
      </c>
      <c r="H409" s="751">
        <f>ROUND(E409*G409,)</f>
        <v>45320</v>
      </c>
      <c r="I409" s="949">
        <v>21</v>
      </c>
      <c r="J409" s="973">
        <f>ROUND(E409*I409,)</f>
        <v>9240</v>
      </c>
      <c r="K409" s="1030">
        <f t="shared" si="73"/>
        <v>54560</v>
      </c>
      <c r="L409" s="973"/>
    </row>
    <row r="410" spans="1:21">
      <c r="A410" s="861"/>
      <c r="B410" s="800" t="s">
        <v>1368</v>
      </c>
      <c r="C410" s="757"/>
      <c r="D410" s="757"/>
      <c r="E410" s="942">
        <v>20</v>
      </c>
      <c r="F410" s="867" t="s">
        <v>438</v>
      </c>
      <c r="G410" s="752">
        <v>139</v>
      </c>
      <c r="H410" s="751">
        <f>ROUND(E410*G410,)</f>
        <v>2780</v>
      </c>
      <c r="I410" s="949">
        <v>21</v>
      </c>
      <c r="J410" s="973">
        <f>ROUND(E410*I410,)</f>
        <v>420</v>
      </c>
      <c r="K410" s="966">
        <f t="shared" si="73"/>
        <v>3200</v>
      </c>
      <c r="L410" s="973"/>
    </row>
    <row r="411" spans="1:21">
      <c r="A411" s="861"/>
      <c r="B411" s="800" t="s">
        <v>1338</v>
      </c>
      <c r="C411" s="757"/>
      <c r="D411" s="757"/>
      <c r="E411" s="942">
        <v>1</v>
      </c>
      <c r="F411" s="948" t="s">
        <v>948</v>
      </c>
      <c r="G411" s="752">
        <f>SUM(H409:H410)*5%</f>
        <v>2405</v>
      </c>
      <c r="H411" s="864">
        <f>ROUND(E411*G411,)</f>
        <v>2405</v>
      </c>
      <c r="I411" s="797">
        <f>ROUND(G411*0.3,)</f>
        <v>722</v>
      </c>
      <c r="J411" s="864">
        <f>ROUND(E411*I411,)</f>
        <v>722</v>
      </c>
      <c r="K411" s="966">
        <f t="shared" si="73"/>
        <v>3127</v>
      </c>
      <c r="L411" s="973"/>
    </row>
    <row r="412" spans="1:21">
      <c r="A412" s="861" t="s">
        <v>3058</v>
      </c>
      <c r="B412" s="800" t="s">
        <v>1252</v>
      </c>
      <c r="C412" s="757"/>
      <c r="D412" s="757"/>
      <c r="E412" s="942"/>
      <c r="F412" s="948"/>
      <c r="G412" s="752"/>
      <c r="H412" s="864"/>
      <c r="I412" s="949"/>
      <c r="J412" s="864"/>
      <c r="K412" s="966">
        <f t="shared" si="73"/>
        <v>0</v>
      </c>
      <c r="L412" s="985"/>
    </row>
    <row r="413" spans="1:21">
      <c r="A413" s="861"/>
      <c r="B413" s="800" t="s">
        <v>1193</v>
      </c>
      <c r="C413" s="757"/>
      <c r="D413" s="757"/>
      <c r="E413" s="942">
        <v>262</v>
      </c>
      <c r="F413" s="867" t="s">
        <v>438</v>
      </c>
      <c r="G413" s="752">
        <v>316</v>
      </c>
      <c r="H413" s="864">
        <f>ROUND(E413*G413,)</f>
        <v>82792</v>
      </c>
      <c r="I413" s="949">
        <v>50</v>
      </c>
      <c r="J413" s="864">
        <f>ROUND(E413*I413,)</f>
        <v>13100</v>
      </c>
      <c r="K413" s="966">
        <f t="shared" si="73"/>
        <v>95892</v>
      </c>
      <c r="L413" s="985"/>
    </row>
    <row r="414" spans="1:21">
      <c r="A414" s="861"/>
      <c r="B414" s="800" t="s">
        <v>1237</v>
      </c>
      <c r="C414" s="757"/>
      <c r="D414" s="757"/>
      <c r="E414" s="942">
        <v>1</v>
      </c>
      <c r="F414" s="948" t="s">
        <v>948</v>
      </c>
      <c r="G414" s="752">
        <f>ROUND(SUM(H413)*15%,)</f>
        <v>12419</v>
      </c>
      <c r="H414" s="864">
        <f>ROUND(G414*E414,)</f>
        <v>12419</v>
      </c>
      <c r="I414" s="797">
        <f>ROUND(G414*0.3,)</f>
        <v>3726</v>
      </c>
      <c r="J414" s="864">
        <f>ROUND(E414*I414,)</f>
        <v>3726</v>
      </c>
      <c r="K414" s="966">
        <f t="shared" si="73"/>
        <v>16145</v>
      </c>
      <c r="L414" s="985"/>
    </row>
    <row r="415" spans="1:21">
      <c r="A415" s="889"/>
      <c r="B415" s="756" t="s">
        <v>957</v>
      </c>
      <c r="C415" s="974"/>
      <c r="D415" s="974"/>
      <c r="E415" s="1040"/>
      <c r="F415" s="1041"/>
      <c r="G415" s="766"/>
      <c r="H415" s="765"/>
      <c r="I415" s="975"/>
      <c r="J415" s="1042"/>
      <c r="K415" s="1080"/>
      <c r="L415" s="1042"/>
    </row>
    <row r="416" spans="1:21">
      <c r="A416" s="2280"/>
      <c r="B416" s="2281"/>
      <c r="C416" s="2351"/>
      <c r="D416" s="2351"/>
      <c r="E416" s="2282"/>
      <c r="F416" s="2283"/>
      <c r="G416" s="2284"/>
      <c r="H416" s="2285"/>
      <c r="I416" s="2286"/>
      <c r="J416" s="2287"/>
      <c r="K416" s="2287"/>
      <c r="L416" s="2287"/>
    </row>
    <row r="417" spans="1:21">
      <c r="A417" s="2280"/>
      <c r="B417" s="2281"/>
      <c r="C417" s="2351"/>
      <c r="D417" s="2351"/>
      <c r="E417" s="2282"/>
      <c r="F417" s="2283"/>
      <c r="G417" s="2284"/>
      <c r="H417" s="2285"/>
      <c r="I417" s="2286"/>
      <c r="J417" s="2287"/>
      <c r="K417" s="2287"/>
      <c r="L417" s="2287"/>
    </row>
    <row r="418" spans="1:21">
      <c r="A418" s="775"/>
      <c r="B418" s="2475" t="str">
        <f>"รวมราคารายการที่ "&amp;A395</f>
        <v>รวมราคารายการที่ 3.13</v>
      </c>
      <c r="C418" s="2476"/>
      <c r="D418" s="2477"/>
      <c r="E418" s="776"/>
      <c r="F418" s="777"/>
      <c r="G418" s="778"/>
      <c r="H418" s="779">
        <f>SUM(H395:H415)</f>
        <v>619316</v>
      </c>
      <c r="I418" s="778"/>
      <c r="J418" s="779">
        <f t="shared" ref="J418:K418" si="79">SUM(J395:J415)</f>
        <v>63174</v>
      </c>
      <c r="K418" s="779">
        <f t="shared" si="79"/>
        <v>682490</v>
      </c>
      <c r="L418" s="1006"/>
    </row>
    <row r="419" spans="1:21" s="714" customFormat="1" ht="24" customHeight="1">
      <c r="A419" s="986" t="s">
        <v>1224</v>
      </c>
      <c r="B419" s="816" t="s">
        <v>1370</v>
      </c>
      <c r="C419" s="987"/>
      <c r="D419" s="707"/>
      <c r="E419" s="708"/>
      <c r="F419" s="709"/>
      <c r="G419" s="853"/>
      <c r="H419" s="854"/>
      <c r="I419" s="855"/>
      <c r="J419" s="854"/>
      <c r="K419" s="1007"/>
      <c r="L419" s="1023"/>
      <c r="M419" s="729"/>
      <c r="N419" s="729"/>
      <c r="O419" s="729"/>
      <c r="P419" s="729"/>
      <c r="Q419" s="729"/>
      <c r="R419" s="729"/>
      <c r="S419" s="729"/>
      <c r="T419" s="729"/>
      <c r="U419" s="729"/>
    </row>
    <row r="420" spans="1:21" s="714" customFormat="1" ht="24" customHeight="1">
      <c r="A420" s="989" t="s">
        <v>1226</v>
      </c>
      <c r="B420" s="720" t="s">
        <v>1438</v>
      </c>
      <c r="C420" s="706"/>
      <c r="D420" s="990"/>
      <c r="E420" s="991">
        <v>2</v>
      </c>
      <c r="F420" s="803" t="s">
        <v>240</v>
      </c>
      <c r="G420" s="858">
        <v>3200</v>
      </c>
      <c r="H420" s="864">
        <f>ROUND(E420*G420,)</f>
        <v>6400</v>
      </c>
      <c r="I420" s="865">
        <v>150</v>
      </c>
      <c r="J420" s="864">
        <f>ROUND(I420*E420,)</f>
        <v>300</v>
      </c>
      <c r="K420" s="1030">
        <f t="shared" ref="K420:K426" si="80">H420+J420</f>
        <v>6700</v>
      </c>
      <c r="L420" s="1024"/>
      <c r="M420" s="729"/>
      <c r="N420" s="729"/>
      <c r="O420" s="729"/>
      <c r="P420" s="729"/>
      <c r="Q420" s="729"/>
      <c r="R420" s="729"/>
      <c r="S420" s="729"/>
      <c r="T420" s="729"/>
      <c r="U420" s="729"/>
    </row>
    <row r="421" spans="1:21" s="714" customFormat="1" ht="24" customHeight="1">
      <c r="A421" s="992" t="s">
        <v>1228</v>
      </c>
      <c r="B421" s="720" t="s">
        <v>1439</v>
      </c>
      <c r="C421" s="706"/>
      <c r="D421" s="990"/>
      <c r="E421" s="991">
        <v>2</v>
      </c>
      <c r="F421" s="803" t="s">
        <v>240</v>
      </c>
      <c r="G421" s="858">
        <v>2640</v>
      </c>
      <c r="H421" s="864">
        <f>ROUND(E421*G421,)</f>
        <v>5280</v>
      </c>
      <c r="I421" s="865">
        <v>150</v>
      </c>
      <c r="J421" s="864">
        <f>ROUND(I421*E421,)</f>
        <v>300</v>
      </c>
      <c r="K421" s="1030">
        <f t="shared" si="80"/>
        <v>5580</v>
      </c>
      <c r="L421" s="1024"/>
      <c r="M421" s="729"/>
      <c r="N421" s="729"/>
      <c r="O421" s="729"/>
      <c r="P421" s="729"/>
      <c r="Q421" s="729"/>
      <c r="R421" s="729"/>
      <c r="S421" s="729"/>
      <c r="T421" s="729"/>
      <c r="U421" s="729"/>
    </row>
    <row r="422" spans="1:21" s="714" customFormat="1" ht="24" customHeight="1">
      <c r="A422" s="992" t="s">
        <v>1230</v>
      </c>
      <c r="B422" s="720" t="s">
        <v>1441</v>
      </c>
      <c r="C422" s="706"/>
      <c r="D422" s="990"/>
      <c r="E422" s="721"/>
      <c r="F422" s="722"/>
      <c r="G422" s="795"/>
      <c r="H422" s="796"/>
      <c r="I422" s="797"/>
      <c r="J422" s="796"/>
      <c r="K422" s="1030">
        <f t="shared" si="80"/>
        <v>0</v>
      </c>
      <c r="L422" s="1024"/>
      <c r="M422" s="729"/>
      <c r="N422" s="729"/>
      <c r="O422" s="729"/>
      <c r="P422" s="729"/>
      <c r="Q422" s="729"/>
      <c r="R422" s="729"/>
      <c r="S422" s="729"/>
      <c r="T422" s="729"/>
      <c r="U422" s="729"/>
    </row>
    <row r="423" spans="1:21" s="714" customFormat="1" ht="24" customHeight="1">
      <c r="A423" s="995"/>
      <c r="B423" s="800" t="s">
        <v>1442</v>
      </c>
      <c r="C423" s="706"/>
      <c r="D423" s="990"/>
      <c r="E423" s="721">
        <v>650</v>
      </c>
      <c r="F423" s="722" t="s">
        <v>438</v>
      </c>
      <c r="G423" s="858">
        <v>10</v>
      </c>
      <c r="H423" s="796">
        <f>ROUND(E423*G423,)</f>
        <v>6500</v>
      </c>
      <c r="I423" s="797">
        <v>5</v>
      </c>
      <c r="J423" s="796">
        <f>ROUND(I423*E423,)</f>
        <v>3250</v>
      </c>
      <c r="K423" s="1030">
        <f t="shared" si="80"/>
        <v>9750</v>
      </c>
      <c r="L423" s="1024"/>
      <c r="M423" s="729"/>
      <c r="N423" s="729"/>
      <c r="O423" s="729"/>
      <c r="P423" s="729"/>
      <c r="Q423" s="729"/>
      <c r="R423" s="729"/>
      <c r="S423" s="729"/>
      <c r="T423" s="729"/>
      <c r="U423" s="729"/>
    </row>
    <row r="424" spans="1:21" s="714" customFormat="1" ht="24" customHeight="1">
      <c r="A424" s="992" t="s">
        <v>1234</v>
      </c>
      <c r="B424" s="720" t="s">
        <v>950</v>
      </c>
      <c r="C424" s="706"/>
      <c r="D424" s="990"/>
      <c r="E424" s="721"/>
      <c r="F424" s="722"/>
      <c r="G424" s="795"/>
      <c r="H424" s="796"/>
      <c r="I424" s="797"/>
      <c r="J424" s="796"/>
      <c r="K424" s="1030">
        <f t="shared" si="80"/>
        <v>0</v>
      </c>
      <c r="L424" s="1024"/>
      <c r="M424" s="729"/>
      <c r="N424" s="729"/>
      <c r="O424" s="729"/>
      <c r="P424" s="729"/>
      <c r="Q424" s="729"/>
      <c r="R424" s="729"/>
      <c r="S424" s="729"/>
      <c r="T424" s="729"/>
      <c r="U424" s="729"/>
    </row>
    <row r="425" spans="1:21" s="714" customFormat="1" ht="24" customHeight="1">
      <c r="A425" s="996"/>
      <c r="B425" s="720" t="s">
        <v>1201</v>
      </c>
      <c r="C425" s="706"/>
      <c r="D425" s="990"/>
      <c r="E425" s="917">
        <f>E423</f>
        <v>650</v>
      </c>
      <c r="F425" s="794" t="s">
        <v>438</v>
      </c>
      <c r="G425" s="806">
        <v>56</v>
      </c>
      <c r="H425" s="796">
        <f>ROUND(E425*G425,)</f>
        <v>36400</v>
      </c>
      <c r="I425" s="807">
        <v>26</v>
      </c>
      <c r="J425" s="796">
        <f t="shared" ref="J425" si="81">ROUND(E425*I425,)</f>
        <v>16900</v>
      </c>
      <c r="K425" s="1030">
        <f t="shared" si="80"/>
        <v>53300</v>
      </c>
      <c r="L425" s="1718" t="s">
        <v>2974</v>
      </c>
      <c r="M425" s="729"/>
      <c r="N425" s="714">
        <v>169.2</v>
      </c>
      <c r="O425" s="714">
        <f>ROUND(N425/3,)</f>
        <v>56</v>
      </c>
      <c r="P425" s="729"/>
      <c r="Q425" s="729"/>
      <c r="R425" s="729"/>
      <c r="S425" s="729"/>
      <c r="T425" s="729"/>
      <c r="U425" s="729"/>
    </row>
    <row r="426" spans="1:21" s="714" customFormat="1" ht="24" customHeight="1">
      <c r="A426" s="996"/>
      <c r="B426" s="720" t="s">
        <v>1237</v>
      </c>
      <c r="C426" s="706"/>
      <c r="D426" s="990"/>
      <c r="E426" s="721">
        <v>1</v>
      </c>
      <c r="F426" s="722" t="s">
        <v>948</v>
      </c>
      <c r="G426" s="795">
        <f>SUM(H424:H425)*15%</f>
        <v>5460</v>
      </c>
      <c r="H426" s="796">
        <f>ROUND(E426*G426,)</f>
        <v>5460</v>
      </c>
      <c r="I426" s="797">
        <f>ROUND(G426*0.3,)</f>
        <v>1638</v>
      </c>
      <c r="J426" s="796">
        <f>ROUND(I426*E426,)</f>
        <v>1638</v>
      </c>
      <c r="K426" s="1030">
        <f t="shared" si="80"/>
        <v>7098</v>
      </c>
      <c r="L426" s="1024"/>
      <c r="M426" s="729"/>
      <c r="N426" s="729"/>
      <c r="O426" s="729"/>
      <c r="P426" s="729"/>
      <c r="Q426" s="729"/>
      <c r="R426" s="729"/>
      <c r="S426" s="729"/>
      <c r="T426" s="729"/>
      <c r="U426" s="729"/>
    </row>
    <row r="427" spans="1:21" s="714" customFormat="1" ht="24" customHeight="1">
      <c r="A427" s="992" t="s">
        <v>1236</v>
      </c>
      <c r="B427" s="720" t="s">
        <v>1238</v>
      </c>
      <c r="C427" s="706"/>
      <c r="D427" s="990"/>
      <c r="E427" s="721"/>
      <c r="F427" s="722" t="s">
        <v>948</v>
      </c>
      <c r="G427" s="795"/>
      <c r="H427" s="796"/>
      <c r="I427" s="1039"/>
      <c r="J427" s="796"/>
      <c r="K427" s="1014"/>
      <c r="L427" s="1024"/>
      <c r="M427" s="729"/>
      <c r="N427" s="729"/>
      <c r="O427" s="729"/>
      <c r="P427" s="729"/>
      <c r="Q427" s="729"/>
      <c r="R427" s="729"/>
      <c r="S427" s="729"/>
      <c r="T427" s="729"/>
      <c r="U427" s="729"/>
    </row>
    <row r="428" spans="1:21" s="714" customFormat="1" ht="24" customHeight="1">
      <c r="A428" s="992"/>
      <c r="B428" s="720" t="s">
        <v>957</v>
      </c>
      <c r="C428" s="706"/>
      <c r="D428" s="990"/>
      <c r="E428" s="721"/>
      <c r="F428" s="722"/>
      <c r="G428" s="795"/>
      <c r="H428" s="796"/>
      <c r="I428" s="1039"/>
      <c r="J428" s="796"/>
      <c r="K428" s="1014"/>
      <c r="L428" s="1024"/>
      <c r="M428" s="729"/>
      <c r="N428" s="729"/>
      <c r="O428" s="729"/>
      <c r="P428" s="729"/>
      <c r="Q428" s="729"/>
      <c r="R428" s="729"/>
      <c r="S428" s="729"/>
      <c r="T428" s="729"/>
      <c r="U428" s="729"/>
    </row>
    <row r="429" spans="1:21" s="714" customFormat="1" ht="24" customHeight="1">
      <c r="A429" s="831"/>
      <c r="B429" s="720" t="s">
        <v>958</v>
      </c>
      <c r="C429" s="717"/>
      <c r="D429" s="717"/>
      <c r="E429" s="917"/>
      <c r="F429" s="916"/>
      <c r="G429" s="806"/>
      <c r="H429" s="918"/>
      <c r="I429" s="807"/>
      <c r="J429" s="919"/>
      <c r="K429" s="968"/>
      <c r="L429" s="919"/>
      <c r="M429" s="729"/>
      <c r="N429" s="729"/>
      <c r="O429" s="729"/>
      <c r="P429" s="729"/>
      <c r="Q429" s="729"/>
      <c r="R429" s="729"/>
    </row>
    <row r="430" spans="1:21" s="714" customFormat="1" ht="24" customHeight="1">
      <c r="A430" s="831"/>
      <c r="B430" s="720" t="s">
        <v>958</v>
      </c>
      <c r="C430" s="717"/>
      <c r="D430" s="990"/>
      <c r="E430" s="917"/>
      <c r="F430" s="916"/>
      <c r="G430" s="806"/>
      <c r="H430" s="918"/>
      <c r="I430" s="807"/>
      <c r="J430" s="919"/>
      <c r="K430" s="968"/>
      <c r="L430" s="919"/>
      <c r="M430" s="729"/>
      <c r="N430" s="729"/>
      <c r="O430" s="729"/>
      <c r="P430" s="729"/>
      <c r="Q430" s="729"/>
      <c r="R430" s="729"/>
    </row>
    <row r="431" spans="1:21" s="714" customFormat="1" ht="24" customHeight="1">
      <c r="A431" s="831"/>
      <c r="B431" s="720"/>
      <c r="C431" s="717"/>
      <c r="D431" s="990"/>
      <c r="E431" s="1141"/>
      <c r="F431" s="941"/>
      <c r="G431" s="806"/>
      <c r="H431" s="918"/>
      <c r="I431" s="806"/>
      <c r="J431" s="919"/>
      <c r="K431" s="968"/>
      <c r="L431" s="919"/>
      <c r="M431" s="729"/>
      <c r="N431" s="729"/>
      <c r="O431" s="729"/>
      <c r="P431" s="729"/>
      <c r="Q431" s="729"/>
      <c r="R431" s="729"/>
    </row>
    <row r="432" spans="1:21" s="714" customFormat="1" ht="24" customHeight="1">
      <c r="A432" s="831"/>
      <c r="B432" s="720"/>
      <c r="C432" s="717"/>
      <c r="D432" s="990"/>
      <c r="E432" s="1141"/>
      <c r="F432" s="941"/>
      <c r="G432" s="806"/>
      <c r="H432" s="918"/>
      <c r="I432" s="806"/>
      <c r="J432" s="919"/>
      <c r="K432" s="968"/>
      <c r="L432" s="919"/>
      <c r="M432" s="729"/>
      <c r="N432" s="729"/>
      <c r="O432" s="729"/>
      <c r="P432" s="729"/>
      <c r="Q432" s="729"/>
      <c r="R432" s="729"/>
    </row>
    <row r="433" spans="1:21" s="714" customFormat="1" ht="24" customHeight="1">
      <c r="A433" s="831"/>
      <c r="B433" s="720"/>
      <c r="C433" s="717"/>
      <c r="D433" s="990"/>
      <c r="E433" s="1141"/>
      <c r="F433" s="941"/>
      <c r="G433" s="806"/>
      <c r="H433" s="918"/>
      <c r="I433" s="806"/>
      <c r="J433" s="919"/>
      <c r="K433" s="968"/>
      <c r="L433" s="919"/>
      <c r="M433" s="729"/>
      <c r="N433" s="729"/>
      <c r="O433" s="729"/>
      <c r="P433" s="729"/>
      <c r="Q433" s="729"/>
      <c r="R433" s="729"/>
    </row>
    <row r="434" spans="1:21" s="714" customFormat="1" ht="24" customHeight="1">
      <c r="A434" s="831"/>
      <c r="B434" s="720"/>
      <c r="C434" s="717"/>
      <c r="D434" s="990"/>
      <c r="E434" s="1141"/>
      <c r="F434" s="941"/>
      <c r="G434" s="806"/>
      <c r="H434" s="918"/>
      <c r="I434" s="806"/>
      <c r="J434" s="919"/>
      <c r="K434" s="968"/>
      <c r="L434" s="919"/>
      <c r="M434" s="729"/>
      <c r="N434" s="729"/>
      <c r="O434" s="729"/>
      <c r="P434" s="729"/>
      <c r="Q434" s="729"/>
      <c r="R434" s="729"/>
    </row>
    <row r="435" spans="1:21" s="714" customFormat="1" ht="24" customHeight="1">
      <c r="A435" s="831"/>
      <c r="B435" s="720"/>
      <c r="C435" s="717"/>
      <c r="D435" s="990"/>
      <c r="E435" s="1141"/>
      <c r="F435" s="941"/>
      <c r="G435" s="806"/>
      <c r="H435" s="918"/>
      <c r="I435" s="806"/>
      <c r="J435" s="919"/>
      <c r="K435" s="968"/>
      <c r="L435" s="919"/>
      <c r="M435" s="729"/>
      <c r="N435" s="729"/>
      <c r="O435" s="729"/>
      <c r="P435" s="729"/>
      <c r="Q435" s="729"/>
      <c r="R435" s="729"/>
    </row>
    <row r="436" spans="1:21" s="714" customFormat="1" ht="24" customHeight="1">
      <c r="A436" s="831"/>
      <c r="B436" s="720"/>
      <c r="C436" s="717"/>
      <c r="D436" s="990"/>
      <c r="E436" s="1141"/>
      <c r="F436" s="941"/>
      <c r="G436" s="806"/>
      <c r="H436" s="918"/>
      <c r="I436" s="806"/>
      <c r="J436" s="919"/>
      <c r="K436" s="968"/>
      <c r="L436" s="919"/>
      <c r="M436" s="729"/>
      <c r="N436" s="729"/>
      <c r="O436" s="729"/>
      <c r="P436" s="729"/>
      <c r="Q436" s="729"/>
      <c r="R436" s="729"/>
    </row>
    <row r="437" spans="1:21" s="714" customFormat="1" ht="24" customHeight="1">
      <c r="A437" s="831"/>
      <c r="B437" s="720"/>
      <c r="C437" s="717"/>
      <c r="D437" s="990"/>
      <c r="E437" s="1141"/>
      <c r="F437" s="941"/>
      <c r="G437" s="806"/>
      <c r="H437" s="918"/>
      <c r="I437" s="806"/>
      <c r="J437" s="919"/>
      <c r="K437" s="968"/>
      <c r="L437" s="919"/>
      <c r="M437" s="729"/>
      <c r="N437" s="729"/>
      <c r="O437" s="729"/>
      <c r="P437" s="729"/>
      <c r="Q437" s="729"/>
      <c r="R437" s="729"/>
    </row>
    <row r="438" spans="1:21" s="714" customFormat="1" ht="24" customHeight="1">
      <c r="A438" s="831"/>
      <c r="B438" s="720"/>
      <c r="C438" s="717"/>
      <c r="D438" s="990"/>
      <c r="E438" s="1141"/>
      <c r="F438" s="941"/>
      <c r="G438" s="806"/>
      <c r="H438" s="918"/>
      <c r="I438" s="806"/>
      <c r="J438" s="919"/>
      <c r="K438" s="968"/>
      <c r="L438" s="919"/>
      <c r="M438" s="729"/>
      <c r="N438" s="729"/>
      <c r="O438" s="729"/>
      <c r="P438" s="729"/>
      <c r="Q438" s="729"/>
      <c r="R438" s="729"/>
    </row>
    <row r="439" spans="1:21" s="714" customFormat="1" ht="24" customHeight="1">
      <c r="A439" s="831"/>
      <c r="B439" s="720"/>
      <c r="C439" s="717"/>
      <c r="D439" s="990"/>
      <c r="E439" s="1141"/>
      <c r="F439" s="941"/>
      <c r="G439" s="806"/>
      <c r="H439" s="918"/>
      <c r="I439" s="806"/>
      <c r="J439" s="919"/>
      <c r="K439" s="968"/>
      <c r="L439" s="919"/>
      <c r="M439" s="729"/>
      <c r="N439" s="729"/>
      <c r="O439" s="729"/>
      <c r="P439" s="729"/>
      <c r="Q439" s="729"/>
      <c r="R439" s="729"/>
    </row>
    <row r="440" spans="1:21" s="714" customFormat="1" ht="24" customHeight="1">
      <c r="A440" s="831"/>
      <c r="B440" s="720"/>
      <c r="C440" s="717"/>
      <c r="D440" s="990"/>
      <c r="E440" s="1141"/>
      <c r="F440" s="941"/>
      <c r="G440" s="806"/>
      <c r="H440" s="918"/>
      <c r="I440" s="806"/>
      <c r="J440" s="919"/>
      <c r="K440" s="968"/>
      <c r="L440" s="919"/>
      <c r="M440" s="729"/>
      <c r="N440" s="729"/>
      <c r="O440" s="729"/>
      <c r="P440" s="729"/>
      <c r="Q440" s="729"/>
      <c r="R440" s="729"/>
    </row>
    <row r="441" spans="1:21" s="714" customFormat="1" ht="24" customHeight="1">
      <c r="A441" s="992"/>
      <c r="B441" s="720"/>
      <c r="C441" s="706"/>
      <c r="D441" s="990"/>
      <c r="E441" s="721"/>
      <c r="F441" s="722"/>
      <c r="G441" s="795"/>
      <c r="H441" s="796"/>
      <c r="I441" s="1039"/>
      <c r="J441" s="796"/>
      <c r="K441" s="1014"/>
      <c r="L441" s="1024"/>
      <c r="M441" s="729"/>
      <c r="N441" s="729"/>
      <c r="O441" s="729"/>
      <c r="P441" s="729"/>
      <c r="Q441" s="729"/>
      <c r="R441" s="729"/>
      <c r="S441" s="729"/>
      <c r="T441" s="729"/>
      <c r="U441" s="729"/>
    </row>
    <row r="442" spans="1:21" s="714" customFormat="1" ht="24" customHeight="1">
      <c r="A442" s="777"/>
      <c r="B442" s="2475" t="str">
        <f>"รวมราคารายการที่ "&amp;A419</f>
        <v>รวมราคารายการที่ 3.14</v>
      </c>
      <c r="C442" s="2476"/>
      <c r="D442" s="2477"/>
      <c r="E442" s="997"/>
      <c r="F442" s="777"/>
      <c r="G442" s="778"/>
      <c r="H442" s="779">
        <f>SUM(H420:H441)</f>
        <v>60040</v>
      </c>
      <c r="I442" s="778"/>
      <c r="J442" s="779">
        <f t="shared" ref="J442:K442" si="82">SUM(J420:J441)</f>
        <v>22388</v>
      </c>
      <c r="K442" s="779">
        <f t="shared" si="82"/>
        <v>82428</v>
      </c>
      <c r="L442" s="1006"/>
      <c r="M442" s="729"/>
      <c r="N442" s="729"/>
      <c r="O442" s="729"/>
      <c r="P442" s="729"/>
      <c r="Q442" s="729"/>
      <c r="R442" s="729"/>
      <c r="S442" s="729"/>
      <c r="T442" s="729"/>
      <c r="U442" s="729"/>
    </row>
  </sheetData>
  <mergeCells count="23">
    <mergeCell ref="B394:D394"/>
    <mergeCell ref="B418:D418"/>
    <mergeCell ref="B442:D442"/>
    <mergeCell ref="B266:D266"/>
    <mergeCell ref="B274:D274"/>
    <mergeCell ref="B298:D298"/>
    <mergeCell ref="B334:D334"/>
    <mergeCell ref="B355:D355"/>
    <mergeCell ref="B370:D370"/>
    <mergeCell ref="B250:D250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94:D94"/>
    <mergeCell ref="B171:D171"/>
    <mergeCell ref="B220:D220"/>
    <mergeCell ref="B233:D233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5-อาคารสนับนุน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F6B12-9E4D-4AED-8314-B798F9DD3BD0}">
  <sheetPr>
    <tabColor rgb="FF92D050"/>
  </sheetPr>
  <dimension ref="A1:U538"/>
  <sheetViews>
    <sheetView tabSelected="1" view="pageBreakPreview" topLeftCell="A364" zoomScale="70" zoomScaleNormal="10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7.1171875" style="1" customWidth="1"/>
    <col min="13" max="97" width="7.703125" style="1" customWidth="1"/>
    <col min="98" max="16384" width="9" style="1"/>
  </cols>
  <sheetData>
    <row r="1" spans="1:12" ht="35.200000000000003" customHeight="1">
      <c r="A1" s="681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683" t="s">
        <v>2</v>
      </c>
      <c r="B2" s="33"/>
      <c r="C2" s="34"/>
      <c r="D2" s="11" t="s">
        <v>938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685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687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685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6.2" customHeight="1">
      <c r="A7" s="6" t="s">
        <v>26</v>
      </c>
      <c r="B7" s="20"/>
      <c r="C7" s="20"/>
      <c r="D7" s="21"/>
      <c r="E7" s="20"/>
      <c r="F7" s="689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362" t="s">
        <v>14</v>
      </c>
      <c r="L9" s="248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364" t="s">
        <v>17</v>
      </c>
      <c r="I10" s="28" t="s">
        <v>16</v>
      </c>
      <c r="J10" s="2364" t="s">
        <v>17</v>
      </c>
      <c r="K10" s="2363" t="s">
        <v>18</v>
      </c>
      <c r="L10" s="2483"/>
    </row>
    <row r="11" spans="1:12" ht="24" customHeight="1">
      <c r="A11" s="2399" t="s">
        <v>25</v>
      </c>
      <c r="B11" s="691" t="s">
        <v>1532</v>
      </c>
      <c r="C11" s="692"/>
      <c r="D11" s="693"/>
      <c r="E11" s="694"/>
      <c r="F11" s="695"/>
      <c r="G11" s="696"/>
      <c r="H11" s="697"/>
      <c r="I11" s="698"/>
      <c r="J11" s="697"/>
      <c r="K11" s="998"/>
      <c r="L11" s="954"/>
    </row>
    <row r="12" spans="1:12" s="714" customFormat="1" ht="24" customHeight="1">
      <c r="A12" s="719">
        <f>A35</f>
        <v>3.1</v>
      </c>
      <c r="B12" s="754" t="str">
        <f>B35</f>
        <v>Distribution Board</v>
      </c>
      <c r="C12" s="717"/>
      <c r="D12" s="718"/>
      <c r="E12" s="708">
        <v>1</v>
      </c>
      <c r="F12" s="709" t="s">
        <v>19</v>
      </c>
      <c r="G12" s="710"/>
      <c r="H12" s="711">
        <f>H149</f>
        <v>609600</v>
      </c>
      <c r="I12" s="712"/>
      <c r="J12" s="711">
        <f>J149</f>
        <v>78120</v>
      </c>
      <c r="K12" s="711">
        <f>K149</f>
        <v>687720</v>
      </c>
      <c r="L12" s="753"/>
    </row>
    <row r="13" spans="1:12" s="714" customFormat="1" ht="24" customHeight="1">
      <c r="A13" s="719">
        <f>A150</f>
        <v>3.2</v>
      </c>
      <c r="B13" s="754" t="str">
        <f>B150</f>
        <v>Essential Distribution Board</v>
      </c>
      <c r="C13" s="717"/>
      <c r="D13" s="718"/>
      <c r="E13" s="708">
        <v>1</v>
      </c>
      <c r="F13" s="709" t="s">
        <v>19</v>
      </c>
      <c r="G13" s="710"/>
      <c r="H13" s="711">
        <f>H250</f>
        <v>314590</v>
      </c>
      <c r="I13" s="712"/>
      <c r="J13" s="711">
        <f>J250</f>
        <v>40080</v>
      </c>
      <c r="K13" s="711">
        <f>K250</f>
        <v>354670</v>
      </c>
      <c r="L13" s="753"/>
    </row>
    <row r="14" spans="1:12" s="714" customFormat="1" ht="24" customHeight="1">
      <c r="A14" s="719" t="str">
        <f>A251</f>
        <v>3.3</v>
      </c>
      <c r="B14" s="705" t="str">
        <f>B251</f>
        <v>แผงสวิทช์ย่อยและเซอร์กิต เบรคเกอร์ (Panelboard &amp; CB)</v>
      </c>
      <c r="C14" s="717"/>
      <c r="D14" s="718"/>
      <c r="E14" s="708">
        <v>1</v>
      </c>
      <c r="F14" s="709" t="s">
        <v>19</v>
      </c>
      <c r="G14" s="710"/>
      <c r="H14" s="711">
        <f>H307</f>
        <v>125336</v>
      </c>
      <c r="I14" s="712"/>
      <c r="J14" s="711">
        <f>J307</f>
        <v>15000</v>
      </c>
      <c r="K14" s="999">
        <f>K307</f>
        <v>140336</v>
      </c>
      <c r="L14" s="954"/>
    </row>
    <row r="15" spans="1:12" s="714" customFormat="1" ht="24" customHeight="1">
      <c r="A15" s="719">
        <f>A308</f>
        <v>3.4</v>
      </c>
      <c r="B15" s="705" t="str">
        <f>B308</f>
        <v>สายไฟฟ้า (Cable &amp; Wire)</v>
      </c>
      <c r="C15" s="717"/>
      <c r="D15" s="718"/>
      <c r="E15" s="708">
        <v>1</v>
      </c>
      <c r="F15" s="709" t="s">
        <v>19</v>
      </c>
      <c r="G15" s="710"/>
      <c r="H15" s="711">
        <f>H322</f>
        <v>121039</v>
      </c>
      <c r="I15" s="712"/>
      <c r="J15" s="711">
        <f>J322</f>
        <v>82404</v>
      </c>
      <c r="K15" s="999">
        <f>K322</f>
        <v>203443</v>
      </c>
      <c r="L15" s="954"/>
    </row>
    <row r="16" spans="1:12" s="714" customFormat="1" ht="24" customHeight="1">
      <c r="A16" s="719" t="str">
        <f>A323</f>
        <v>3.5</v>
      </c>
      <c r="B16" s="705" t="str">
        <f>B323</f>
        <v>รางเดินสายไฟฟ้า (Raceway)</v>
      </c>
      <c r="C16" s="717"/>
      <c r="D16" s="718"/>
      <c r="E16" s="708">
        <v>1</v>
      </c>
      <c r="F16" s="709" t="s">
        <v>19</v>
      </c>
      <c r="G16" s="710"/>
      <c r="H16" s="711">
        <f>H338</f>
        <v>103243</v>
      </c>
      <c r="I16" s="712"/>
      <c r="J16" s="711">
        <f>J338</f>
        <v>76440</v>
      </c>
      <c r="K16" s="999">
        <f>K338</f>
        <v>179683</v>
      </c>
      <c r="L16" s="954"/>
    </row>
    <row r="17" spans="1:12" s="714" customFormat="1" ht="24" customHeight="1">
      <c r="A17" s="719" t="str">
        <f>A339</f>
        <v>3.6</v>
      </c>
      <c r="B17" s="705" t="str">
        <f>B339</f>
        <v>สวิทช์และเต้ารับ (Switch &amp; Outlet)</v>
      </c>
      <c r="C17" s="717"/>
      <c r="D17" s="718"/>
      <c r="E17" s="708">
        <v>1</v>
      </c>
      <c r="F17" s="709" t="s">
        <v>19</v>
      </c>
      <c r="G17" s="710"/>
      <c r="H17" s="711">
        <f>H355</f>
        <v>49933</v>
      </c>
      <c r="I17" s="712"/>
      <c r="J17" s="711">
        <f>J355</f>
        <v>11080</v>
      </c>
      <c r="K17" s="999">
        <f>K355</f>
        <v>61013</v>
      </c>
      <c r="L17" s="954"/>
    </row>
    <row r="18" spans="1:12" s="714" customFormat="1" ht="24" customHeight="1">
      <c r="A18" s="704" t="str">
        <f>A356</f>
        <v>3.7</v>
      </c>
      <c r="B18" s="705" t="str">
        <f>B356</f>
        <v>ระบบควบคุมแสงสว่าง (Lighting Control System)</v>
      </c>
      <c r="C18" s="717"/>
      <c r="D18" s="718"/>
      <c r="E18" s="708">
        <v>1</v>
      </c>
      <c r="F18" s="709" t="s">
        <v>19</v>
      </c>
      <c r="G18" s="710"/>
      <c r="H18" s="711">
        <f>H364</f>
        <v>195560</v>
      </c>
      <c r="I18" s="712"/>
      <c r="J18" s="711">
        <f>J364</f>
        <v>9778</v>
      </c>
      <c r="K18" s="999">
        <f>K364</f>
        <v>205338</v>
      </c>
      <c r="L18" s="954"/>
    </row>
    <row r="19" spans="1:12" s="714" customFormat="1" ht="24" customHeight="1">
      <c r="A19" s="719" t="str">
        <f>A365</f>
        <v>3.8</v>
      </c>
      <c r="B19" s="705" t="str">
        <f>B365</f>
        <v>โคมไฟฟ้า (Luminaire)</v>
      </c>
      <c r="C19" s="717"/>
      <c r="D19" s="718"/>
      <c r="E19" s="708">
        <v>1</v>
      </c>
      <c r="F19" s="709" t="s">
        <v>19</v>
      </c>
      <c r="G19" s="710"/>
      <c r="H19" s="711">
        <f>H394</f>
        <v>527953</v>
      </c>
      <c r="I19" s="712"/>
      <c r="J19" s="711">
        <f>J394</f>
        <v>77505</v>
      </c>
      <c r="K19" s="999">
        <f>K394</f>
        <v>605458</v>
      </c>
      <c r="L19" s="954"/>
    </row>
    <row r="20" spans="1:12" s="714" customFormat="1" ht="24" customHeight="1">
      <c r="A20" s="719">
        <f>A395</f>
        <v>3.9</v>
      </c>
      <c r="B20" s="720" t="str">
        <f>B395</f>
        <v>ระบบสัญญาณแจ้งเหตุเพลิงไหม้ (Fire Alarm System)</v>
      </c>
      <c r="C20" s="717"/>
      <c r="D20" s="718"/>
      <c r="E20" s="708">
        <v>1</v>
      </c>
      <c r="F20" s="722" t="s">
        <v>19</v>
      </c>
      <c r="G20" s="723"/>
      <c r="H20" s="711">
        <f>H434</f>
        <v>1081367</v>
      </c>
      <c r="I20" s="712"/>
      <c r="J20" s="711">
        <f>J434</f>
        <v>131675</v>
      </c>
      <c r="K20" s="999">
        <f>K434</f>
        <v>1213042</v>
      </c>
      <c r="L20" s="954"/>
    </row>
    <row r="21" spans="1:12" s="714" customFormat="1" ht="24" customHeight="1">
      <c r="A21" s="719" t="str">
        <f>A435</f>
        <v>3.10</v>
      </c>
      <c r="B21" s="720" t="str">
        <f>B435</f>
        <v>ระบบสายสื่อสารข้อมูล (Data Cabling System)</v>
      </c>
      <c r="C21" s="717"/>
      <c r="D21" s="718"/>
      <c r="E21" s="708">
        <v>1</v>
      </c>
      <c r="F21" s="722" t="s">
        <v>19</v>
      </c>
      <c r="G21" s="710"/>
      <c r="H21" s="711">
        <f>H458</f>
        <v>398790</v>
      </c>
      <c r="I21" s="712"/>
      <c r="J21" s="711">
        <f>J458</f>
        <v>166997</v>
      </c>
      <c r="K21" s="999">
        <f>K458</f>
        <v>565787</v>
      </c>
      <c r="L21" s="954"/>
    </row>
    <row r="22" spans="1:12" s="714" customFormat="1" ht="24" customHeight="1">
      <c r="A22" s="768" t="str">
        <f>A459</f>
        <v>3.11</v>
      </c>
      <c r="B22" s="769" t="str">
        <f>B459</f>
        <v>ระบบเสียงและประกาศเรียก (Public Address System)</v>
      </c>
      <c r="C22" s="770"/>
      <c r="D22" s="771"/>
      <c r="E22" s="708">
        <v>1</v>
      </c>
      <c r="F22" s="709" t="s">
        <v>19</v>
      </c>
      <c r="G22" s="1000"/>
      <c r="H22" s="1001">
        <f>H475</f>
        <v>439630</v>
      </c>
      <c r="I22" s="1002"/>
      <c r="J22" s="1001">
        <f>J475</f>
        <v>183607</v>
      </c>
      <c r="K22" s="1003">
        <f>K475</f>
        <v>623237</v>
      </c>
      <c r="L22" s="954"/>
    </row>
    <row r="23" spans="1:12" s="714" customFormat="1" ht="24" customHeight="1">
      <c r="A23" s="719" t="str">
        <f>A476</f>
        <v>3.12</v>
      </c>
      <c r="B23" s="705" t="str">
        <f>B476</f>
        <v>ระบบควบคุมประตูอัตโนมัติ (Access Control System)</v>
      </c>
      <c r="C23" s="717"/>
      <c r="D23" s="718"/>
      <c r="E23" s="708">
        <v>1</v>
      </c>
      <c r="F23" s="709" t="s">
        <v>19</v>
      </c>
      <c r="G23" s="710"/>
      <c r="H23" s="711">
        <f>H501</f>
        <v>327917</v>
      </c>
      <c r="I23" s="712"/>
      <c r="J23" s="711">
        <f>J501</f>
        <v>20616</v>
      </c>
      <c r="K23" s="999">
        <f>K501</f>
        <v>348533</v>
      </c>
      <c r="L23" s="954"/>
    </row>
    <row r="24" spans="1:12" s="714" customFormat="1" ht="24" customHeight="1">
      <c r="A24" s="719" t="str">
        <f>A502</f>
        <v>3.13</v>
      </c>
      <c r="B24" s="754" t="str">
        <f>B502</f>
        <v>ระบบบริหารจัดการอาคาร (Building Management System : BMS)</v>
      </c>
      <c r="C24" s="717"/>
      <c r="D24" s="718"/>
      <c r="E24" s="708">
        <v>1</v>
      </c>
      <c r="F24" s="709" t="s">
        <v>19</v>
      </c>
      <c r="G24" s="710"/>
      <c r="H24" s="711">
        <f>H525</f>
        <v>619316</v>
      </c>
      <c r="I24" s="956"/>
      <c r="J24" s="711">
        <f>J525</f>
        <v>63174</v>
      </c>
      <c r="K24" s="999">
        <f>K525</f>
        <v>682490</v>
      </c>
      <c r="L24" s="954"/>
    </row>
    <row r="25" spans="1:12" s="714" customFormat="1" ht="24" customHeight="1">
      <c r="A25" s="719" t="str">
        <f>A526</f>
        <v>3.14</v>
      </c>
      <c r="B25" s="754" t="str">
        <f>B526</f>
        <v>ระบบแจ้งเหตุฉุกเฉิน (Panic Alarm System)</v>
      </c>
      <c r="C25" s="717"/>
      <c r="D25" s="718"/>
      <c r="E25" s="708">
        <v>1</v>
      </c>
      <c r="F25" s="709" t="s">
        <v>19</v>
      </c>
      <c r="G25" s="710"/>
      <c r="H25" s="711">
        <f>H538</f>
        <v>60040</v>
      </c>
      <c r="I25" s="956"/>
      <c r="J25" s="711">
        <f>J538</f>
        <v>22388</v>
      </c>
      <c r="K25" s="999">
        <f>K538</f>
        <v>82428</v>
      </c>
      <c r="L25" s="954"/>
    </row>
    <row r="26" spans="1:12" s="714" customFormat="1" ht="24" customHeight="1">
      <c r="A26" s="719"/>
      <c r="B26" s="955"/>
      <c r="C26" s="717"/>
      <c r="D26" s="718"/>
      <c r="E26" s="721"/>
      <c r="F26" s="722"/>
      <c r="G26" s="710"/>
      <c r="H26" s="711"/>
      <c r="I26" s="956"/>
      <c r="J26" s="957"/>
      <c r="K26" s="1005"/>
      <c r="L26" s="954"/>
    </row>
    <row r="27" spans="1:12" s="714" customFormat="1" ht="24" customHeight="1">
      <c r="A27" s="719"/>
      <c r="B27" s="955"/>
      <c r="C27" s="717"/>
      <c r="D27" s="718"/>
      <c r="E27" s="721"/>
      <c r="F27" s="722"/>
      <c r="G27" s="710"/>
      <c r="H27" s="711"/>
      <c r="I27" s="956"/>
      <c r="J27" s="957"/>
      <c r="K27" s="1005"/>
      <c r="L27" s="954"/>
    </row>
    <row r="28" spans="1:12" s="714" customFormat="1" ht="24" customHeight="1">
      <c r="A28" s="719"/>
      <c r="B28" s="955"/>
      <c r="C28" s="717"/>
      <c r="D28" s="718"/>
      <c r="E28" s="721"/>
      <c r="F28" s="722"/>
      <c r="G28" s="710"/>
      <c r="H28" s="711"/>
      <c r="I28" s="956"/>
      <c r="J28" s="957"/>
      <c r="K28" s="1005"/>
      <c r="L28" s="954"/>
    </row>
    <row r="29" spans="1:12" s="714" customFormat="1" ht="24" customHeight="1">
      <c r="A29" s="719"/>
      <c r="B29" s="955"/>
      <c r="C29" s="717"/>
      <c r="D29" s="718"/>
      <c r="E29" s="721"/>
      <c r="F29" s="722"/>
      <c r="G29" s="710"/>
      <c r="H29" s="711"/>
      <c r="I29" s="956"/>
      <c r="J29" s="957"/>
      <c r="K29" s="1005"/>
      <c r="L29" s="954"/>
    </row>
    <row r="30" spans="1:12" s="714" customFormat="1" ht="24" customHeight="1">
      <c r="A30" s="719"/>
      <c r="B30" s="955"/>
      <c r="C30" s="717"/>
      <c r="D30" s="718"/>
      <c r="E30" s="721"/>
      <c r="F30" s="722"/>
      <c r="G30" s="710"/>
      <c r="H30" s="711"/>
      <c r="I30" s="956"/>
      <c r="J30" s="957"/>
      <c r="K30" s="1005"/>
      <c r="L30" s="954"/>
    </row>
    <row r="31" spans="1:12" s="714" customFormat="1" ht="24" customHeight="1">
      <c r="A31" s="719"/>
      <c r="B31" s="955"/>
      <c r="C31" s="717"/>
      <c r="D31" s="718"/>
      <c r="E31" s="721"/>
      <c r="F31" s="722"/>
      <c r="G31" s="710"/>
      <c r="H31" s="711"/>
      <c r="I31" s="956"/>
      <c r="J31" s="957"/>
      <c r="K31" s="1005"/>
      <c r="L31" s="954"/>
    </row>
    <row r="32" spans="1:12" s="714" customFormat="1" ht="24" customHeight="1">
      <c r="A32" s="719"/>
      <c r="B32" s="955"/>
      <c r="C32" s="717"/>
      <c r="D32" s="718"/>
      <c r="E32" s="721"/>
      <c r="F32" s="722"/>
      <c r="G32" s="710"/>
      <c r="H32" s="711"/>
      <c r="I32" s="956"/>
      <c r="J32" s="957"/>
      <c r="K32" s="1005"/>
      <c r="L32" s="954"/>
    </row>
    <row r="33" spans="1:19" s="714" customFormat="1" ht="24" customHeight="1">
      <c r="A33" s="719"/>
      <c r="B33" s="955"/>
      <c r="C33" s="717"/>
      <c r="D33" s="718"/>
      <c r="E33" s="721"/>
      <c r="F33" s="722"/>
      <c r="G33" s="710"/>
      <c r="H33" s="711"/>
      <c r="I33" s="956"/>
      <c r="J33" s="957"/>
      <c r="K33" s="1005"/>
      <c r="L33" s="954"/>
    </row>
    <row r="34" spans="1:19" s="714" customFormat="1" ht="24" customHeight="1">
      <c r="A34" s="775"/>
      <c r="B34" s="2475" t="str">
        <f>"รวมราคา"&amp;B11</f>
        <v>รวมราคางานระบบไฟฟ้าและสื่อสาร ชั้น 6</v>
      </c>
      <c r="C34" s="2476"/>
      <c r="D34" s="2477"/>
      <c r="E34" s="776"/>
      <c r="F34" s="777"/>
      <c r="G34" s="959"/>
      <c r="H34" s="960">
        <f>SUM(H11:H33)</f>
        <v>4974314</v>
      </c>
      <c r="I34" s="959"/>
      <c r="J34" s="960">
        <f>SUM(J11:J33)</f>
        <v>978864</v>
      </c>
      <c r="K34" s="960">
        <f>SUM(K11:K33)</f>
        <v>5953178</v>
      </c>
      <c r="L34" s="1006"/>
      <c r="M34" s="729"/>
      <c r="N34" s="729"/>
      <c r="O34" s="729"/>
      <c r="P34" s="729"/>
      <c r="Q34" s="729"/>
      <c r="R34" s="729"/>
      <c r="S34" s="729"/>
    </row>
    <row r="35" spans="1:19" s="714" customFormat="1" ht="24" customHeight="1">
      <c r="A35" s="815">
        <v>3.1</v>
      </c>
      <c r="B35" s="816" t="s">
        <v>1050</v>
      </c>
      <c r="C35" s="859"/>
      <c r="D35" s="859"/>
      <c r="E35" s="851"/>
      <c r="F35" s="852"/>
      <c r="G35" s="853"/>
      <c r="H35" s="854"/>
      <c r="I35" s="855"/>
      <c r="J35" s="854"/>
      <c r="K35" s="855"/>
      <c r="L35" s="826"/>
    </row>
    <row r="36" spans="1:19" s="884" customFormat="1" ht="24" customHeight="1">
      <c r="A36" s="878" t="s">
        <v>941</v>
      </c>
      <c r="B36" s="879" t="s">
        <v>1079</v>
      </c>
      <c r="C36" s="880"/>
      <c r="D36" s="880"/>
      <c r="E36" s="881"/>
      <c r="F36" s="794"/>
      <c r="G36" s="795"/>
      <c r="H36" s="796"/>
      <c r="I36" s="797"/>
      <c r="J36" s="796"/>
      <c r="K36" s="797"/>
      <c r="L36" s="883"/>
    </row>
    <row r="37" spans="1:19" s="884" customFormat="1" ht="24" customHeight="1">
      <c r="A37" s="831" t="s">
        <v>943</v>
      </c>
      <c r="B37" s="720" t="s">
        <v>1053</v>
      </c>
      <c r="C37" s="792"/>
      <c r="D37" s="792"/>
      <c r="E37" s="793"/>
      <c r="F37" s="794"/>
      <c r="G37" s="795"/>
      <c r="H37" s="796"/>
      <c r="I37" s="797"/>
      <c r="J37" s="796"/>
      <c r="K37" s="797"/>
      <c r="L37" s="883"/>
    </row>
    <row r="38" spans="1:19" s="884" customFormat="1" ht="24" customHeight="1">
      <c r="A38" s="831"/>
      <c r="B38" s="720" t="s">
        <v>1054</v>
      </c>
      <c r="C38" s="792"/>
      <c r="D38" s="792"/>
      <c r="E38" s="793"/>
      <c r="F38" s="722" t="s">
        <v>240</v>
      </c>
      <c r="G38" s="795">
        <v>2400</v>
      </c>
      <c r="H38" s="796">
        <f t="shared" ref="H38:H53" si="0">ROUND(G38*E38,)</f>
        <v>0</v>
      </c>
      <c r="I38" s="797"/>
      <c r="J38" s="796"/>
      <c r="K38" s="799">
        <f t="shared" ref="K38:K53" si="1">H38+J38</f>
        <v>0</v>
      </c>
      <c r="L38" s="883"/>
    </row>
    <row r="39" spans="1:19" s="884" customFormat="1" ht="24" customHeight="1">
      <c r="A39" s="831"/>
      <c r="B39" s="720" t="s">
        <v>1055</v>
      </c>
      <c r="C39" s="792"/>
      <c r="D39" s="792"/>
      <c r="E39" s="793"/>
      <c r="F39" s="722" t="s">
        <v>240</v>
      </c>
      <c r="G39" s="795">
        <v>2400</v>
      </c>
      <c r="H39" s="796">
        <f t="shared" si="0"/>
        <v>0</v>
      </c>
      <c r="I39" s="797"/>
      <c r="J39" s="796"/>
      <c r="K39" s="799">
        <f t="shared" si="1"/>
        <v>0</v>
      </c>
      <c r="L39" s="883"/>
    </row>
    <row r="40" spans="1:19" s="884" customFormat="1" ht="24" customHeight="1">
      <c r="A40" s="831"/>
      <c r="B40" s="720" t="s">
        <v>1056</v>
      </c>
      <c r="C40" s="792"/>
      <c r="D40" s="792"/>
      <c r="E40" s="793">
        <v>1</v>
      </c>
      <c r="F40" s="722" t="s">
        <v>240</v>
      </c>
      <c r="G40" s="795">
        <v>2400</v>
      </c>
      <c r="H40" s="796">
        <f t="shared" si="0"/>
        <v>2400</v>
      </c>
      <c r="I40" s="797"/>
      <c r="J40" s="796"/>
      <c r="K40" s="799">
        <f t="shared" si="1"/>
        <v>2400</v>
      </c>
      <c r="L40" s="883"/>
    </row>
    <row r="41" spans="1:19" s="884" customFormat="1" ht="24" customHeight="1">
      <c r="A41" s="831"/>
      <c r="B41" s="720" t="s">
        <v>1057</v>
      </c>
      <c r="C41" s="792"/>
      <c r="D41" s="792"/>
      <c r="E41" s="793"/>
      <c r="F41" s="722" t="s">
        <v>240</v>
      </c>
      <c r="G41" s="795">
        <v>2400</v>
      </c>
      <c r="H41" s="796">
        <f t="shared" si="0"/>
        <v>0</v>
      </c>
      <c r="I41" s="797"/>
      <c r="J41" s="796"/>
      <c r="K41" s="799">
        <f t="shared" si="1"/>
        <v>0</v>
      </c>
      <c r="L41" s="883"/>
    </row>
    <row r="42" spans="1:19" s="884" customFormat="1" ht="24" customHeight="1">
      <c r="A42" s="831"/>
      <c r="B42" s="720" t="s">
        <v>1058</v>
      </c>
      <c r="C42" s="792"/>
      <c r="D42" s="792"/>
      <c r="E42" s="793">
        <v>2</v>
      </c>
      <c r="F42" s="722" t="s">
        <v>240</v>
      </c>
      <c r="G42" s="795">
        <v>2400</v>
      </c>
      <c r="H42" s="796">
        <f t="shared" si="0"/>
        <v>4800</v>
      </c>
      <c r="I42" s="797"/>
      <c r="J42" s="796"/>
      <c r="K42" s="799">
        <f t="shared" si="1"/>
        <v>4800</v>
      </c>
      <c r="L42" s="883"/>
    </row>
    <row r="43" spans="1:19" s="884" customFormat="1" ht="24" customHeight="1">
      <c r="A43" s="831"/>
      <c r="B43" s="720" t="s">
        <v>1059</v>
      </c>
      <c r="C43" s="792"/>
      <c r="D43" s="792"/>
      <c r="E43" s="793">
        <v>2</v>
      </c>
      <c r="F43" s="722" t="s">
        <v>240</v>
      </c>
      <c r="G43" s="795">
        <v>2600</v>
      </c>
      <c r="H43" s="796">
        <f t="shared" si="0"/>
        <v>5200</v>
      </c>
      <c r="I43" s="797"/>
      <c r="J43" s="796"/>
      <c r="K43" s="799">
        <f t="shared" si="1"/>
        <v>5200</v>
      </c>
      <c r="L43" s="883"/>
    </row>
    <row r="44" spans="1:19" s="884" customFormat="1" ht="24" customHeight="1">
      <c r="A44" s="831"/>
      <c r="B44" s="720" t="s">
        <v>1060</v>
      </c>
      <c r="C44" s="792"/>
      <c r="D44" s="792"/>
      <c r="E44" s="793">
        <v>1</v>
      </c>
      <c r="F44" s="722" t="s">
        <v>240</v>
      </c>
      <c r="G44" s="795">
        <v>3000</v>
      </c>
      <c r="H44" s="796">
        <f t="shared" si="0"/>
        <v>3000</v>
      </c>
      <c r="I44" s="797"/>
      <c r="J44" s="796"/>
      <c r="K44" s="799">
        <f t="shared" si="1"/>
        <v>3000</v>
      </c>
      <c r="L44" s="883"/>
    </row>
    <row r="45" spans="1:19" s="884" customFormat="1" ht="24" customHeight="1">
      <c r="A45" s="831"/>
      <c r="B45" s="720" t="s">
        <v>1061</v>
      </c>
      <c r="C45" s="792"/>
      <c r="D45" s="792"/>
      <c r="E45" s="793"/>
      <c r="F45" s="722" t="s">
        <v>240</v>
      </c>
      <c r="G45" s="795">
        <v>8600</v>
      </c>
      <c r="H45" s="796">
        <f t="shared" si="0"/>
        <v>0</v>
      </c>
      <c r="I45" s="797"/>
      <c r="J45" s="796"/>
      <c r="K45" s="799">
        <f t="shared" si="1"/>
        <v>0</v>
      </c>
      <c r="L45" s="883"/>
    </row>
    <row r="46" spans="1:19" s="884" customFormat="1" ht="24" customHeight="1">
      <c r="A46" s="831"/>
      <c r="B46" s="720" t="s">
        <v>1062</v>
      </c>
      <c r="C46" s="792"/>
      <c r="D46" s="792"/>
      <c r="E46" s="793"/>
      <c r="F46" s="722" t="s">
        <v>240</v>
      </c>
      <c r="G46" s="795">
        <v>8600</v>
      </c>
      <c r="H46" s="796">
        <f t="shared" si="0"/>
        <v>0</v>
      </c>
      <c r="I46" s="797"/>
      <c r="J46" s="796"/>
      <c r="K46" s="799">
        <f t="shared" si="1"/>
        <v>0</v>
      </c>
      <c r="L46" s="883"/>
    </row>
    <row r="47" spans="1:19" s="884" customFormat="1" ht="24" customHeight="1">
      <c r="A47" s="831"/>
      <c r="B47" s="720" t="s">
        <v>1063</v>
      </c>
      <c r="C47" s="792"/>
      <c r="D47" s="792"/>
      <c r="E47" s="793"/>
      <c r="F47" s="722" t="s">
        <v>240</v>
      </c>
      <c r="G47" s="795">
        <v>8600</v>
      </c>
      <c r="H47" s="796">
        <f t="shared" si="0"/>
        <v>0</v>
      </c>
      <c r="I47" s="797"/>
      <c r="J47" s="796"/>
      <c r="K47" s="799">
        <f t="shared" si="1"/>
        <v>0</v>
      </c>
      <c r="L47" s="883"/>
    </row>
    <row r="48" spans="1:19" s="884" customFormat="1" ht="24" customHeight="1">
      <c r="A48" s="831" t="s">
        <v>3088</v>
      </c>
      <c r="B48" s="720" t="s">
        <v>1001</v>
      </c>
      <c r="C48" s="792"/>
      <c r="D48" s="792"/>
      <c r="E48" s="793"/>
      <c r="F48" s="794"/>
      <c r="G48" s="795"/>
      <c r="H48" s="796">
        <f t="shared" si="0"/>
        <v>0</v>
      </c>
      <c r="I48" s="797"/>
      <c r="J48" s="796"/>
      <c r="K48" s="799">
        <f t="shared" si="1"/>
        <v>0</v>
      </c>
      <c r="L48" s="883"/>
    </row>
    <row r="49" spans="1:12" s="884" customFormat="1" ht="24" customHeight="1">
      <c r="A49" s="831"/>
      <c r="B49" s="720" t="s">
        <v>1064</v>
      </c>
      <c r="C49" s="792"/>
      <c r="D49" s="792"/>
      <c r="E49" s="793">
        <v>3</v>
      </c>
      <c r="F49" s="722" t="s">
        <v>240</v>
      </c>
      <c r="G49" s="795">
        <v>660</v>
      </c>
      <c r="H49" s="796">
        <f t="shared" si="0"/>
        <v>1980</v>
      </c>
      <c r="I49" s="797"/>
      <c r="J49" s="796"/>
      <c r="K49" s="799">
        <f t="shared" si="1"/>
        <v>1980</v>
      </c>
      <c r="L49" s="883"/>
    </row>
    <row r="50" spans="1:12" s="884" customFormat="1" ht="24" customHeight="1">
      <c r="A50" s="831"/>
      <c r="B50" s="720" t="s">
        <v>1003</v>
      </c>
      <c r="C50" s="792"/>
      <c r="D50" s="792"/>
      <c r="E50" s="793">
        <v>3</v>
      </c>
      <c r="F50" s="722" t="s">
        <v>240</v>
      </c>
      <c r="G50" s="795">
        <v>120</v>
      </c>
      <c r="H50" s="796">
        <f t="shared" si="0"/>
        <v>360</v>
      </c>
      <c r="I50" s="797"/>
      <c r="J50" s="796"/>
      <c r="K50" s="799">
        <f t="shared" si="1"/>
        <v>360</v>
      </c>
      <c r="L50" s="883"/>
    </row>
    <row r="51" spans="1:12" s="884" customFormat="1" ht="24" customHeight="1">
      <c r="A51" s="831"/>
      <c r="B51" s="720" t="s">
        <v>1004</v>
      </c>
      <c r="C51" s="792"/>
      <c r="D51" s="792"/>
      <c r="E51" s="793">
        <v>3</v>
      </c>
      <c r="F51" s="722" t="s">
        <v>240</v>
      </c>
      <c r="G51" s="795">
        <v>100</v>
      </c>
      <c r="H51" s="796">
        <f t="shared" si="0"/>
        <v>300</v>
      </c>
      <c r="I51" s="797"/>
      <c r="J51" s="796"/>
      <c r="K51" s="799">
        <f t="shared" si="1"/>
        <v>300</v>
      </c>
      <c r="L51" s="883"/>
    </row>
    <row r="52" spans="1:12" s="884" customFormat="1" ht="24" customHeight="1">
      <c r="A52" s="831"/>
      <c r="B52" s="720" t="s">
        <v>1065</v>
      </c>
      <c r="C52" s="792"/>
      <c r="D52" s="792"/>
      <c r="E52" s="793">
        <v>4</v>
      </c>
      <c r="F52" s="722" t="s">
        <v>240</v>
      </c>
      <c r="G52" s="795">
        <v>15435</v>
      </c>
      <c r="H52" s="796">
        <f t="shared" si="0"/>
        <v>61740</v>
      </c>
      <c r="I52" s="797"/>
      <c r="J52" s="796"/>
      <c r="K52" s="799">
        <f t="shared" si="1"/>
        <v>61740</v>
      </c>
      <c r="L52" s="883"/>
    </row>
    <row r="53" spans="1:12" s="884" customFormat="1" ht="24" customHeight="1">
      <c r="A53" s="831" t="s">
        <v>3089</v>
      </c>
      <c r="B53" s="720" t="s">
        <v>1066</v>
      </c>
      <c r="C53" s="792"/>
      <c r="D53" s="792"/>
      <c r="E53" s="793">
        <v>1</v>
      </c>
      <c r="F53" s="722" t="s">
        <v>948</v>
      </c>
      <c r="G53" s="795">
        <v>43400</v>
      </c>
      <c r="H53" s="796">
        <f t="shared" si="0"/>
        <v>43400</v>
      </c>
      <c r="I53" s="797">
        <f>G53*0.3</f>
        <v>13020</v>
      </c>
      <c r="J53" s="796">
        <f>ROUND(E53*I53,)</f>
        <v>13020</v>
      </c>
      <c r="K53" s="799">
        <f t="shared" si="1"/>
        <v>56420</v>
      </c>
      <c r="L53" s="883"/>
    </row>
    <row r="54" spans="1:12" s="884" customFormat="1" ht="24" customHeight="1">
      <c r="A54" s="878" t="s">
        <v>1394</v>
      </c>
      <c r="B54" s="879" t="s">
        <v>1080</v>
      </c>
      <c r="C54" s="880"/>
      <c r="D54" s="880"/>
      <c r="E54" s="881"/>
      <c r="F54" s="794"/>
      <c r="G54" s="795"/>
      <c r="H54" s="796"/>
      <c r="I54" s="797"/>
      <c r="J54" s="796"/>
      <c r="K54" s="797"/>
      <c r="L54" s="887"/>
    </row>
    <row r="55" spans="1:12" s="884" customFormat="1" ht="24" customHeight="1">
      <c r="A55" s="831" t="s">
        <v>3090</v>
      </c>
      <c r="B55" s="720" t="s">
        <v>1053</v>
      </c>
      <c r="C55" s="792"/>
      <c r="D55" s="792"/>
      <c r="E55" s="793"/>
      <c r="F55" s="794"/>
      <c r="G55" s="795"/>
      <c r="H55" s="796"/>
      <c r="I55" s="797"/>
      <c r="J55" s="796"/>
      <c r="K55" s="797"/>
      <c r="L55" s="887"/>
    </row>
    <row r="56" spans="1:12" s="884" customFormat="1" ht="24" customHeight="1">
      <c r="A56" s="831"/>
      <c r="B56" s="720" t="s">
        <v>1054</v>
      </c>
      <c r="C56" s="792"/>
      <c r="D56" s="792"/>
      <c r="E56" s="793"/>
      <c r="F56" s="722" t="s">
        <v>240</v>
      </c>
      <c r="G56" s="795">
        <v>2400</v>
      </c>
      <c r="H56" s="796">
        <f t="shared" ref="H56:H71" si="2">ROUND(G56*E56,)</f>
        <v>0</v>
      </c>
      <c r="I56" s="797"/>
      <c r="J56" s="796"/>
      <c r="K56" s="799">
        <f t="shared" ref="K56:K71" si="3">H56+J56</f>
        <v>0</v>
      </c>
      <c r="L56" s="883"/>
    </row>
    <row r="57" spans="1:12" s="884" customFormat="1" ht="24" customHeight="1">
      <c r="A57" s="831"/>
      <c r="B57" s="720" t="s">
        <v>1055</v>
      </c>
      <c r="C57" s="792"/>
      <c r="D57" s="792"/>
      <c r="E57" s="793"/>
      <c r="F57" s="722" t="s">
        <v>240</v>
      </c>
      <c r="G57" s="795">
        <v>2400</v>
      </c>
      <c r="H57" s="796">
        <f t="shared" si="2"/>
        <v>0</v>
      </c>
      <c r="I57" s="797"/>
      <c r="J57" s="796"/>
      <c r="K57" s="799">
        <f t="shared" si="3"/>
        <v>0</v>
      </c>
      <c r="L57" s="883"/>
    </row>
    <row r="58" spans="1:12" s="884" customFormat="1" ht="24" customHeight="1">
      <c r="A58" s="831"/>
      <c r="B58" s="720" t="s">
        <v>1056</v>
      </c>
      <c r="C58" s="792"/>
      <c r="D58" s="792"/>
      <c r="E58" s="793"/>
      <c r="F58" s="722" t="s">
        <v>240</v>
      </c>
      <c r="G58" s="795">
        <v>2400</v>
      </c>
      <c r="H58" s="796">
        <f t="shared" si="2"/>
        <v>0</v>
      </c>
      <c r="I58" s="797"/>
      <c r="J58" s="796"/>
      <c r="K58" s="799">
        <f t="shared" si="3"/>
        <v>0</v>
      </c>
      <c r="L58" s="883"/>
    </row>
    <row r="59" spans="1:12" s="884" customFormat="1" ht="24" customHeight="1">
      <c r="A59" s="831"/>
      <c r="B59" s="720" t="s">
        <v>1057</v>
      </c>
      <c r="C59" s="792"/>
      <c r="D59" s="792"/>
      <c r="E59" s="793">
        <v>3</v>
      </c>
      <c r="F59" s="722" t="s">
        <v>240</v>
      </c>
      <c r="G59" s="795">
        <v>2400</v>
      </c>
      <c r="H59" s="796">
        <f t="shared" si="2"/>
        <v>7200</v>
      </c>
      <c r="I59" s="797"/>
      <c r="J59" s="796"/>
      <c r="K59" s="799">
        <f t="shared" si="3"/>
        <v>7200</v>
      </c>
      <c r="L59" s="883"/>
    </row>
    <row r="60" spans="1:12" s="884" customFormat="1" ht="24" customHeight="1">
      <c r="A60" s="831"/>
      <c r="B60" s="720" t="s">
        <v>1058</v>
      </c>
      <c r="C60" s="792"/>
      <c r="D60" s="792"/>
      <c r="E60" s="793"/>
      <c r="F60" s="722" t="s">
        <v>240</v>
      </c>
      <c r="G60" s="795">
        <v>2400</v>
      </c>
      <c r="H60" s="796">
        <f t="shared" si="2"/>
        <v>0</v>
      </c>
      <c r="I60" s="797"/>
      <c r="J60" s="796"/>
      <c r="K60" s="799">
        <f t="shared" si="3"/>
        <v>0</v>
      </c>
      <c r="L60" s="883"/>
    </row>
    <row r="61" spans="1:12" s="884" customFormat="1" ht="24" customHeight="1">
      <c r="A61" s="831"/>
      <c r="B61" s="720" t="s">
        <v>1059</v>
      </c>
      <c r="C61" s="792"/>
      <c r="D61" s="792"/>
      <c r="E61" s="793"/>
      <c r="F61" s="722" t="s">
        <v>240</v>
      </c>
      <c r="G61" s="795">
        <v>2600</v>
      </c>
      <c r="H61" s="796">
        <f t="shared" si="2"/>
        <v>0</v>
      </c>
      <c r="I61" s="797"/>
      <c r="J61" s="796"/>
      <c r="K61" s="799">
        <f t="shared" si="3"/>
        <v>0</v>
      </c>
      <c r="L61" s="883"/>
    </row>
    <row r="62" spans="1:12" s="884" customFormat="1" ht="24" customHeight="1">
      <c r="A62" s="831"/>
      <c r="B62" s="720" t="s">
        <v>1060</v>
      </c>
      <c r="C62" s="792"/>
      <c r="D62" s="792"/>
      <c r="E62" s="793"/>
      <c r="F62" s="722" t="s">
        <v>240</v>
      </c>
      <c r="G62" s="795">
        <v>3000</v>
      </c>
      <c r="H62" s="796">
        <f t="shared" si="2"/>
        <v>0</v>
      </c>
      <c r="I62" s="797"/>
      <c r="J62" s="796"/>
      <c r="K62" s="799">
        <f t="shared" si="3"/>
        <v>0</v>
      </c>
      <c r="L62" s="883"/>
    </row>
    <row r="63" spans="1:12" s="884" customFormat="1" ht="24" customHeight="1">
      <c r="A63" s="831"/>
      <c r="B63" s="720" t="s">
        <v>1061</v>
      </c>
      <c r="C63" s="792"/>
      <c r="D63" s="792"/>
      <c r="E63" s="793">
        <v>2</v>
      </c>
      <c r="F63" s="722" t="s">
        <v>240</v>
      </c>
      <c r="G63" s="795">
        <v>8600</v>
      </c>
      <c r="H63" s="796">
        <f t="shared" si="2"/>
        <v>17200</v>
      </c>
      <c r="I63" s="797"/>
      <c r="J63" s="796"/>
      <c r="K63" s="799">
        <f t="shared" si="3"/>
        <v>17200</v>
      </c>
      <c r="L63" s="883"/>
    </row>
    <row r="64" spans="1:12" s="884" customFormat="1" ht="24" customHeight="1">
      <c r="A64" s="831"/>
      <c r="B64" s="720" t="s">
        <v>1062</v>
      </c>
      <c r="C64" s="792"/>
      <c r="D64" s="792"/>
      <c r="E64" s="793"/>
      <c r="F64" s="722" t="s">
        <v>240</v>
      </c>
      <c r="G64" s="795">
        <v>8600</v>
      </c>
      <c r="H64" s="796">
        <f t="shared" si="2"/>
        <v>0</v>
      </c>
      <c r="I64" s="797"/>
      <c r="J64" s="796"/>
      <c r="K64" s="799">
        <f t="shared" si="3"/>
        <v>0</v>
      </c>
      <c r="L64" s="883"/>
    </row>
    <row r="65" spans="1:12" s="884" customFormat="1" ht="24" customHeight="1">
      <c r="A65" s="831"/>
      <c r="B65" s="720" t="s">
        <v>1063</v>
      </c>
      <c r="C65" s="792"/>
      <c r="D65" s="792"/>
      <c r="E65" s="793"/>
      <c r="F65" s="722" t="s">
        <v>240</v>
      </c>
      <c r="G65" s="795">
        <v>8600</v>
      </c>
      <c r="H65" s="796">
        <f t="shared" si="2"/>
        <v>0</v>
      </c>
      <c r="I65" s="797"/>
      <c r="J65" s="796"/>
      <c r="K65" s="799">
        <f t="shared" si="3"/>
        <v>0</v>
      </c>
      <c r="L65" s="883"/>
    </row>
    <row r="66" spans="1:12" s="884" customFormat="1" ht="24" customHeight="1">
      <c r="A66" s="831" t="s">
        <v>3091</v>
      </c>
      <c r="B66" s="720" t="s">
        <v>1001</v>
      </c>
      <c r="C66" s="792"/>
      <c r="D66" s="792"/>
      <c r="E66" s="793"/>
      <c r="F66" s="794"/>
      <c r="G66" s="795"/>
      <c r="H66" s="796">
        <f t="shared" si="2"/>
        <v>0</v>
      </c>
      <c r="I66" s="797"/>
      <c r="J66" s="796"/>
      <c r="K66" s="799">
        <f t="shared" si="3"/>
        <v>0</v>
      </c>
      <c r="L66" s="883"/>
    </row>
    <row r="67" spans="1:12" s="884" customFormat="1" ht="24" customHeight="1">
      <c r="A67" s="831"/>
      <c r="B67" s="720" t="s">
        <v>1073</v>
      </c>
      <c r="C67" s="792"/>
      <c r="D67" s="792"/>
      <c r="E67" s="793">
        <v>3</v>
      </c>
      <c r="F67" s="722" t="s">
        <v>240</v>
      </c>
      <c r="G67" s="795">
        <v>660</v>
      </c>
      <c r="H67" s="796">
        <f t="shared" si="2"/>
        <v>1980</v>
      </c>
      <c r="I67" s="797"/>
      <c r="J67" s="796"/>
      <c r="K67" s="799">
        <f t="shared" si="3"/>
        <v>1980</v>
      </c>
      <c r="L67" s="887"/>
    </row>
    <row r="68" spans="1:12" s="884" customFormat="1" ht="24" customHeight="1">
      <c r="A68" s="831"/>
      <c r="B68" s="720" t="s">
        <v>1003</v>
      </c>
      <c r="C68" s="792"/>
      <c r="D68" s="792"/>
      <c r="E68" s="793">
        <v>3</v>
      </c>
      <c r="F68" s="722" t="s">
        <v>240</v>
      </c>
      <c r="G68" s="795">
        <v>120</v>
      </c>
      <c r="H68" s="796">
        <f t="shared" si="2"/>
        <v>360</v>
      </c>
      <c r="I68" s="797"/>
      <c r="J68" s="796"/>
      <c r="K68" s="799">
        <f t="shared" si="3"/>
        <v>360</v>
      </c>
      <c r="L68" s="887"/>
    </row>
    <row r="69" spans="1:12" s="884" customFormat="1" ht="24" customHeight="1">
      <c r="A69" s="831"/>
      <c r="B69" s="720" t="s">
        <v>1004</v>
      </c>
      <c r="C69" s="792"/>
      <c r="D69" s="792"/>
      <c r="E69" s="793">
        <v>3</v>
      </c>
      <c r="F69" s="722" t="s">
        <v>240</v>
      </c>
      <c r="G69" s="795">
        <v>100</v>
      </c>
      <c r="H69" s="796">
        <f t="shared" si="2"/>
        <v>300</v>
      </c>
      <c r="I69" s="797"/>
      <c r="J69" s="796"/>
      <c r="K69" s="799">
        <f t="shared" si="3"/>
        <v>300</v>
      </c>
      <c r="L69" s="887"/>
    </row>
    <row r="70" spans="1:12" s="884" customFormat="1" ht="24" customHeight="1">
      <c r="A70" s="831"/>
      <c r="B70" s="720" t="s">
        <v>1065</v>
      </c>
      <c r="C70" s="792"/>
      <c r="D70" s="792"/>
      <c r="E70" s="793">
        <v>1</v>
      </c>
      <c r="F70" s="722" t="s">
        <v>240</v>
      </c>
      <c r="G70" s="795">
        <v>15435</v>
      </c>
      <c r="H70" s="796">
        <f t="shared" si="2"/>
        <v>15435</v>
      </c>
      <c r="I70" s="797"/>
      <c r="J70" s="796"/>
      <c r="K70" s="799">
        <f t="shared" si="3"/>
        <v>15435</v>
      </c>
      <c r="L70" s="887"/>
    </row>
    <row r="71" spans="1:12" s="884" customFormat="1" ht="24" customHeight="1">
      <c r="A71" s="831" t="s">
        <v>3092</v>
      </c>
      <c r="B71" s="720" t="s">
        <v>1066</v>
      </c>
      <c r="C71" s="792"/>
      <c r="D71" s="792"/>
      <c r="E71" s="793">
        <v>1</v>
      </c>
      <c r="F71" s="722" t="s">
        <v>948</v>
      </c>
      <c r="G71" s="795">
        <v>43400</v>
      </c>
      <c r="H71" s="796">
        <f t="shared" si="2"/>
        <v>43400</v>
      </c>
      <c r="I71" s="797">
        <f>G71*0.3</f>
        <v>13020</v>
      </c>
      <c r="J71" s="796">
        <f>ROUND(E71*I71,)</f>
        <v>13020</v>
      </c>
      <c r="K71" s="799">
        <f t="shared" si="3"/>
        <v>56420</v>
      </c>
      <c r="L71" s="887"/>
    </row>
    <row r="72" spans="1:12" s="884" customFormat="1" ht="24" customHeight="1">
      <c r="A72" s="878" t="s">
        <v>3100</v>
      </c>
      <c r="B72" s="879" t="s">
        <v>1081</v>
      </c>
      <c r="C72" s="880"/>
      <c r="D72" s="880"/>
      <c r="E72" s="881"/>
      <c r="F72" s="794"/>
      <c r="G72" s="795"/>
      <c r="H72" s="796"/>
      <c r="I72" s="797"/>
      <c r="J72" s="796"/>
      <c r="K72" s="797"/>
      <c r="L72" s="887"/>
    </row>
    <row r="73" spans="1:12" s="884" customFormat="1" ht="24" customHeight="1">
      <c r="A73" s="831" t="s">
        <v>3101</v>
      </c>
      <c r="B73" s="720" t="s">
        <v>1053</v>
      </c>
      <c r="C73" s="792"/>
      <c r="D73" s="792"/>
      <c r="E73" s="793"/>
      <c r="F73" s="794"/>
      <c r="G73" s="795"/>
      <c r="H73" s="796"/>
      <c r="I73" s="797"/>
      <c r="J73" s="796"/>
      <c r="K73" s="797"/>
      <c r="L73" s="887"/>
    </row>
    <row r="74" spans="1:12" s="884" customFormat="1" ht="24" customHeight="1">
      <c r="A74" s="831"/>
      <c r="B74" s="720" t="s">
        <v>1054</v>
      </c>
      <c r="C74" s="792"/>
      <c r="D74" s="792"/>
      <c r="E74" s="793"/>
      <c r="F74" s="722" t="s">
        <v>240</v>
      </c>
      <c r="G74" s="795">
        <v>2400</v>
      </c>
      <c r="H74" s="796">
        <f t="shared" ref="H74:H89" si="4">ROUND(G74*E74,)</f>
        <v>0</v>
      </c>
      <c r="I74" s="797"/>
      <c r="J74" s="796"/>
      <c r="K74" s="799">
        <f t="shared" ref="K74:K90" si="5">H74+J74</f>
        <v>0</v>
      </c>
      <c r="L74" s="883"/>
    </row>
    <row r="75" spans="1:12" s="884" customFormat="1" ht="24" customHeight="1">
      <c r="A75" s="831"/>
      <c r="B75" s="720" t="s">
        <v>1055</v>
      </c>
      <c r="C75" s="792"/>
      <c r="D75" s="792"/>
      <c r="E75" s="793">
        <v>1</v>
      </c>
      <c r="F75" s="722" t="s">
        <v>240</v>
      </c>
      <c r="G75" s="795">
        <v>2400</v>
      </c>
      <c r="H75" s="796">
        <f t="shared" si="4"/>
        <v>2400</v>
      </c>
      <c r="I75" s="797"/>
      <c r="J75" s="796"/>
      <c r="K75" s="799">
        <f t="shared" si="5"/>
        <v>2400</v>
      </c>
      <c r="L75" s="883"/>
    </row>
    <row r="76" spans="1:12" s="884" customFormat="1" ht="24" customHeight="1">
      <c r="A76" s="831"/>
      <c r="B76" s="720" t="s">
        <v>1056</v>
      </c>
      <c r="C76" s="792"/>
      <c r="D76" s="792"/>
      <c r="E76" s="793">
        <v>2</v>
      </c>
      <c r="F76" s="722" t="s">
        <v>240</v>
      </c>
      <c r="G76" s="795">
        <v>2400</v>
      </c>
      <c r="H76" s="796">
        <f t="shared" si="4"/>
        <v>4800</v>
      </c>
      <c r="I76" s="797"/>
      <c r="J76" s="796"/>
      <c r="K76" s="799">
        <f t="shared" si="5"/>
        <v>4800</v>
      </c>
      <c r="L76" s="883"/>
    </row>
    <row r="77" spans="1:12" s="884" customFormat="1" ht="24" customHeight="1">
      <c r="A77" s="831"/>
      <c r="B77" s="720" t="s">
        <v>1057</v>
      </c>
      <c r="C77" s="792"/>
      <c r="D77" s="792"/>
      <c r="E77" s="793"/>
      <c r="F77" s="722" t="s">
        <v>240</v>
      </c>
      <c r="G77" s="795">
        <v>2400</v>
      </c>
      <c r="H77" s="796">
        <f t="shared" si="4"/>
        <v>0</v>
      </c>
      <c r="I77" s="797"/>
      <c r="J77" s="796"/>
      <c r="K77" s="799">
        <f t="shared" si="5"/>
        <v>0</v>
      </c>
      <c r="L77" s="883"/>
    </row>
    <row r="78" spans="1:12" s="884" customFormat="1" ht="24" customHeight="1">
      <c r="A78" s="831"/>
      <c r="B78" s="720" t="s">
        <v>1058</v>
      </c>
      <c r="C78" s="792"/>
      <c r="D78" s="792"/>
      <c r="E78" s="793"/>
      <c r="F78" s="722" t="s">
        <v>240</v>
      </c>
      <c r="G78" s="795">
        <v>2400</v>
      </c>
      <c r="H78" s="796">
        <f t="shared" si="4"/>
        <v>0</v>
      </c>
      <c r="I78" s="797"/>
      <c r="J78" s="796"/>
      <c r="K78" s="799">
        <f t="shared" si="5"/>
        <v>0</v>
      </c>
      <c r="L78" s="883"/>
    </row>
    <row r="79" spans="1:12" s="884" customFormat="1" ht="24" customHeight="1">
      <c r="A79" s="831"/>
      <c r="B79" s="720" t="s">
        <v>1059</v>
      </c>
      <c r="C79" s="792"/>
      <c r="D79" s="792"/>
      <c r="E79" s="793">
        <v>1</v>
      </c>
      <c r="F79" s="722" t="s">
        <v>240</v>
      </c>
      <c r="G79" s="795">
        <v>2600</v>
      </c>
      <c r="H79" s="796">
        <f t="shared" si="4"/>
        <v>2600</v>
      </c>
      <c r="I79" s="797"/>
      <c r="J79" s="796"/>
      <c r="K79" s="799">
        <f t="shared" si="5"/>
        <v>2600</v>
      </c>
      <c r="L79" s="883"/>
    </row>
    <row r="80" spans="1:12" s="884" customFormat="1" ht="24" customHeight="1">
      <c r="A80" s="831"/>
      <c r="B80" s="720" t="s">
        <v>1060</v>
      </c>
      <c r="C80" s="792"/>
      <c r="D80" s="792"/>
      <c r="E80" s="793"/>
      <c r="F80" s="722" t="s">
        <v>240</v>
      </c>
      <c r="G80" s="795">
        <v>3000</v>
      </c>
      <c r="H80" s="796">
        <f t="shared" si="4"/>
        <v>0</v>
      </c>
      <c r="I80" s="797"/>
      <c r="J80" s="796"/>
      <c r="K80" s="799">
        <f t="shared" si="5"/>
        <v>0</v>
      </c>
      <c r="L80" s="883"/>
    </row>
    <row r="81" spans="1:12" s="884" customFormat="1" ht="24" customHeight="1">
      <c r="A81" s="831"/>
      <c r="B81" s="720" t="s">
        <v>1061</v>
      </c>
      <c r="C81" s="792"/>
      <c r="D81" s="792"/>
      <c r="E81" s="793"/>
      <c r="F81" s="722" t="s">
        <v>240</v>
      </c>
      <c r="G81" s="795">
        <v>8600</v>
      </c>
      <c r="H81" s="796">
        <f t="shared" si="4"/>
        <v>0</v>
      </c>
      <c r="I81" s="797"/>
      <c r="J81" s="796"/>
      <c r="K81" s="799">
        <f t="shared" si="5"/>
        <v>0</v>
      </c>
      <c r="L81" s="883"/>
    </row>
    <row r="82" spans="1:12" s="884" customFormat="1" ht="24" customHeight="1">
      <c r="A82" s="831"/>
      <c r="B82" s="720" t="s">
        <v>1062</v>
      </c>
      <c r="C82" s="792"/>
      <c r="D82" s="792"/>
      <c r="E82" s="793"/>
      <c r="F82" s="722" t="s">
        <v>240</v>
      </c>
      <c r="G82" s="795">
        <v>8600</v>
      </c>
      <c r="H82" s="796">
        <f t="shared" si="4"/>
        <v>0</v>
      </c>
      <c r="I82" s="797"/>
      <c r="J82" s="796"/>
      <c r="K82" s="799">
        <f t="shared" si="5"/>
        <v>0</v>
      </c>
      <c r="L82" s="883"/>
    </row>
    <row r="83" spans="1:12" s="884" customFormat="1" ht="24" customHeight="1">
      <c r="A83" s="831"/>
      <c r="B83" s="720" t="s">
        <v>1063</v>
      </c>
      <c r="C83" s="792"/>
      <c r="D83" s="792"/>
      <c r="E83" s="793"/>
      <c r="F83" s="722" t="s">
        <v>240</v>
      </c>
      <c r="G83" s="795">
        <v>8600</v>
      </c>
      <c r="H83" s="796">
        <f t="shared" si="4"/>
        <v>0</v>
      </c>
      <c r="I83" s="797"/>
      <c r="J83" s="796"/>
      <c r="K83" s="799">
        <f t="shared" si="5"/>
        <v>0</v>
      </c>
      <c r="L83" s="883"/>
    </row>
    <row r="84" spans="1:12" s="884" customFormat="1" ht="24" customHeight="1">
      <c r="A84" s="831" t="s">
        <v>3102</v>
      </c>
      <c r="B84" s="720" t="s">
        <v>1001</v>
      </c>
      <c r="C84" s="792"/>
      <c r="D84" s="792"/>
      <c r="E84" s="793"/>
      <c r="F84" s="794"/>
      <c r="G84" s="795"/>
      <c r="H84" s="796">
        <f t="shared" si="4"/>
        <v>0</v>
      </c>
      <c r="I84" s="797"/>
      <c r="J84" s="796"/>
      <c r="K84" s="799">
        <f t="shared" si="5"/>
        <v>0</v>
      </c>
      <c r="L84" s="883"/>
    </row>
    <row r="85" spans="1:12" s="884" customFormat="1" ht="24" customHeight="1">
      <c r="A85" s="831"/>
      <c r="B85" s="720" t="s">
        <v>1073</v>
      </c>
      <c r="C85" s="792"/>
      <c r="D85" s="792"/>
      <c r="E85" s="793">
        <v>3</v>
      </c>
      <c r="F85" s="722" t="s">
        <v>240</v>
      </c>
      <c r="G85" s="795">
        <v>660</v>
      </c>
      <c r="H85" s="796">
        <f t="shared" si="4"/>
        <v>1980</v>
      </c>
      <c r="I85" s="797"/>
      <c r="J85" s="796"/>
      <c r="K85" s="799">
        <f t="shared" si="5"/>
        <v>1980</v>
      </c>
      <c r="L85" s="887"/>
    </row>
    <row r="86" spans="1:12" s="884" customFormat="1" ht="24" customHeight="1">
      <c r="A86" s="831"/>
      <c r="B86" s="720" t="s">
        <v>1003</v>
      </c>
      <c r="C86" s="792"/>
      <c r="D86" s="792"/>
      <c r="E86" s="793">
        <v>3</v>
      </c>
      <c r="F86" s="722" t="s">
        <v>240</v>
      </c>
      <c r="G86" s="795">
        <v>120</v>
      </c>
      <c r="H86" s="796">
        <f t="shared" si="4"/>
        <v>360</v>
      </c>
      <c r="I86" s="797"/>
      <c r="J86" s="796"/>
      <c r="K86" s="799">
        <f t="shared" si="5"/>
        <v>360</v>
      </c>
      <c r="L86" s="887"/>
    </row>
    <row r="87" spans="1:12" s="884" customFormat="1" ht="24" customHeight="1">
      <c r="A87" s="831"/>
      <c r="B87" s="720" t="s">
        <v>1004</v>
      </c>
      <c r="C87" s="792"/>
      <c r="D87" s="792"/>
      <c r="E87" s="793">
        <v>3</v>
      </c>
      <c r="F87" s="722" t="s">
        <v>240</v>
      </c>
      <c r="G87" s="795">
        <v>100</v>
      </c>
      <c r="H87" s="796">
        <f t="shared" si="4"/>
        <v>300</v>
      </c>
      <c r="I87" s="797"/>
      <c r="J87" s="796"/>
      <c r="K87" s="799">
        <f t="shared" si="5"/>
        <v>300</v>
      </c>
      <c r="L87" s="887"/>
    </row>
    <row r="88" spans="1:12" s="884" customFormat="1" ht="24" customHeight="1">
      <c r="A88" s="831"/>
      <c r="B88" s="720" t="s">
        <v>1065</v>
      </c>
      <c r="C88" s="792"/>
      <c r="D88" s="792"/>
      <c r="E88" s="793">
        <v>2</v>
      </c>
      <c r="F88" s="722" t="s">
        <v>240</v>
      </c>
      <c r="G88" s="795">
        <v>15435</v>
      </c>
      <c r="H88" s="796">
        <f t="shared" si="4"/>
        <v>30870</v>
      </c>
      <c r="I88" s="797"/>
      <c r="J88" s="796"/>
      <c r="K88" s="799">
        <f t="shared" si="5"/>
        <v>30870</v>
      </c>
      <c r="L88" s="887"/>
    </row>
    <row r="89" spans="1:12" s="884" customFormat="1" ht="24" customHeight="1">
      <c r="A89" s="831" t="s">
        <v>3103</v>
      </c>
      <c r="B89" s="720" t="s">
        <v>1066</v>
      </c>
      <c r="C89" s="792"/>
      <c r="D89" s="792"/>
      <c r="E89" s="793">
        <v>1</v>
      </c>
      <c r="F89" s="722" t="s">
        <v>948</v>
      </c>
      <c r="G89" s="795">
        <v>43400</v>
      </c>
      <c r="H89" s="796">
        <f t="shared" si="4"/>
        <v>43400</v>
      </c>
      <c r="I89" s="797">
        <f>G89*0.3</f>
        <v>13020</v>
      </c>
      <c r="J89" s="796">
        <f>ROUND(E89*I89,)</f>
        <v>13020</v>
      </c>
      <c r="K89" s="799">
        <f t="shared" si="5"/>
        <v>56420</v>
      </c>
      <c r="L89" s="887"/>
    </row>
    <row r="90" spans="1:12" s="884" customFormat="1" ht="24" customHeight="1">
      <c r="A90" s="878" t="s">
        <v>3107</v>
      </c>
      <c r="B90" s="879" t="s">
        <v>1095</v>
      </c>
      <c r="C90" s="880"/>
      <c r="D90" s="880"/>
      <c r="E90" s="881"/>
      <c r="F90" s="794"/>
      <c r="G90" s="795"/>
      <c r="H90" s="796"/>
      <c r="I90" s="797"/>
      <c r="J90" s="796"/>
      <c r="K90" s="799">
        <f t="shared" si="5"/>
        <v>0</v>
      </c>
      <c r="L90" s="887"/>
    </row>
    <row r="91" spans="1:12" s="884" customFormat="1" ht="24" customHeight="1">
      <c r="A91" s="831" t="s">
        <v>3108</v>
      </c>
      <c r="B91" s="720" t="s">
        <v>1053</v>
      </c>
      <c r="C91" s="792"/>
      <c r="D91" s="792"/>
      <c r="E91" s="793"/>
      <c r="F91" s="794"/>
      <c r="G91" s="795"/>
      <c r="H91" s="796"/>
      <c r="I91" s="797"/>
      <c r="J91" s="796"/>
      <c r="K91" s="797"/>
      <c r="L91" s="887"/>
    </row>
    <row r="92" spans="1:12" s="884" customFormat="1" ht="24" customHeight="1">
      <c r="A92" s="831"/>
      <c r="B92" s="720" t="s">
        <v>1054</v>
      </c>
      <c r="C92" s="792"/>
      <c r="D92" s="792"/>
      <c r="E92" s="793"/>
      <c r="F92" s="722" t="s">
        <v>240</v>
      </c>
      <c r="G92" s="795">
        <v>2400</v>
      </c>
      <c r="H92" s="796">
        <f t="shared" ref="H92:H107" si="6">ROUND(G92*E92,)</f>
        <v>0</v>
      </c>
      <c r="I92" s="797"/>
      <c r="J92" s="796"/>
      <c r="K92" s="799">
        <f t="shared" ref="K92:K108" si="7">H92+J92</f>
        <v>0</v>
      </c>
      <c r="L92" s="883"/>
    </row>
    <row r="93" spans="1:12" s="884" customFormat="1" ht="24" customHeight="1">
      <c r="A93" s="831"/>
      <c r="B93" s="720" t="s">
        <v>1055</v>
      </c>
      <c r="C93" s="792"/>
      <c r="D93" s="792"/>
      <c r="E93" s="793">
        <v>1</v>
      </c>
      <c r="F93" s="722" t="s">
        <v>240</v>
      </c>
      <c r="G93" s="795">
        <v>2400</v>
      </c>
      <c r="H93" s="796">
        <f t="shared" si="6"/>
        <v>2400</v>
      </c>
      <c r="I93" s="797"/>
      <c r="J93" s="796"/>
      <c r="K93" s="799">
        <f t="shared" si="7"/>
        <v>2400</v>
      </c>
      <c r="L93" s="883"/>
    </row>
    <row r="94" spans="1:12" s="884" customFormat="1" ht="24" customHeight="1">
      <c r="A94" s="831"/>
      <c r="B94" s="720" t="s">
        <v>1056</v>
      </c>
      <c r="C94" s="792"/>
      <c r="D94" s="792"/>
      <c r="E94" s="793">
        <v>3</v>
      </c>
      <c r="F94" s="722" t="s">
        <v>240</v>
      </c>
      <c r="G94" s="795">
        <v>2400</v>
      </c>
      <c r="H94" s="796">
        <f t="shared" si="6"/>
        <v>7200</v>
      </c>
      <c r="I94" s="797"/>
      <c r="J94" s="796"/>
      <c r="K94" s="799">
        <f t="shared" si="7"/>
        <v>7200</v>
      </c>
      <c r="L94" s="883"/>
    </row>
    <row r="95" spans="1:12" s="884" customFormat="1" ht="24" customHeight="1">
      <c r="A95" s="831"/>
      <c r="B95" s="720" t="s">
        <v>1057</v>
      </c>
      <c r="C95" s="792"/>
      <c r="D95" s="792"/>
      <c r="E95" s="793"/>
      <c r="F95" s="722" t="s">
        <v>240</v>
      </c>
      <c r="G95" s="795">
        <v>2400</v>
      </c>
      <c r="H95" s="796">
        <f t="shared" si="6"/>
        <v>0</v>
      </c>
      <c r="I95" s="797"/>
      <c r="J95" s="796"/>
      <c r="K95" s="799">
        <f t="shared" si="7"/>
        <v>0</v>
      </c>
      <c r="L95" s="883"/>
    </row>
    <row r="96" spans="1:12" s="884" customFormat="1" ht="24" customHeight="1">
      <c r="A96" s="831"/>
      <c r="B96" s="720" t="s">
        <v>1058</v>
      </c>
      <c r="C96" s="792"/>
      <c r="D96" s="792"/>
      <c r="E96" s="793">
        <v>2</v>
      </c>
      <c r="F96" s="722" t="s">
        <v>240</v>
      </c>
      <c r="G96" s="795">
        <v>2400</v>
      </c>
      <c r="H96" s="796">
        <f t="shared" si="6"/>
        <v>4800</v>
      </c>
      <c r="I96" s="797"/>
      <c r="J96" s="796"/>
      <c r="K96" s="799">
        <f t="shared" si="7"/>
        <v>4800</v>
      </c>
      <c r="L96" s="883"/>
    </row>
    <row r="97" spans="1:12" s="884" customFormat="1" ht="24" customHeight="1">
      <c r="A97" s="831"/>
      <c r="B97" s="720" t="s">
        <v>1059</v>
      </c>
      <c r="C97" s="792"/>
      <c r="D97" s="792"/>
      <c r="E97" s="793">
        <v>1</v>
      </c>
      <c r="F97" s="722" t="s">
        <v>240</v>
      </c>
      <c r="G97" s="795">
        <v>2600</v>
      </c>
      <c r="H97" s="796">
        <f t="shared" si="6"/>
        <v>2600</v>
      </c>
      <c r="I97" s="797"/>
      <c r="J97" s="796"/>
      <c r="K97" s="799">
        <f t="shared" si="7"/>
        <v>2600</v>
      </c>
      <c r="L97" s="883"/>
    </row>
    <row r="98" spans="1:12" s="884" customFormat="1" ht="24" customHeight="1">
      <c r="A98" s="831"/>
      <c r="B98" s="720" t="s">
        <v>1060</v>
      </c>
      <c r="C98" s="792"/>
      <c r="D98" s="792"/>
      <c r="E98" s="793"/>
      <c r="F98" s="722" t="s">
        <v>240</v>
      </c>
      <c r="G98" s="795">
        <v>3000</v>
      </c>
      <c r="H98" s="796">
        <f t="shared" si="6"/>
        <v>0</v>
      </c>
      <c r="I98" s="797"/>
      <c r="J98" s="796"/>
      <c r="K98" s="799">
        <f t="shared" si="7"/>
        <v>0</v>
      </c>
      <c r="L98" s="883"/>
    </row>
    <row r="99" spans="1:12" s="884" customFormat="1" ht="24" customHeight="1">
      <c r="A99" s="831"/>
      <c r="B99" s="720" t="s">
        <v>1061</v>
      </c>
      <c r="C99" s="792"/>
      <c r="D99" s="792"/>
      <c r="E99" s="793"/>
      <c r="F99" s="722" t="s">
        <v>240</v>
      </c>
      <c r="G99" s="795">
        <v>8600</v>
      </c>
      <c r="H99" s="796">
        <f t="shared" si="6"/>
        <v>0</v>
      </c>
      <c r="I99" s="797"/>
      <c r="J99" s="796"/>
      <c r="K99" s="799">
        <f t="shared" si="7"/>
        <v>0</v>
      </c>
      <c r="L99" s="883"/>
    </row>
    <row r="100" spans="1:12" s="884" customFormat="1" ht="24" customHeight="1">
      <c r="A100" s="831"/>
      <c r="B100" s="720" t="s">
        <v>1062</v>
      </c>
      <c r="C100" s="792"/>
      <c r="D100" s="792"/>
      <c r="E100" s="793"/>
      <c r="F100" s="722" t="s">
        <v>240</v>
      </c>
      <c r="G100" s="795">
        <v>8600</v>
      </c>
      <c r="H100" s="796">
        <f t="shared" si="6"/>
        <v>0</v>
      </c>
      <c r="I100" s="797"/>
      <c r="J100" s="796"/>
      <c r="K100" s="799">
        <f t="shared" si="7"/>
        <v>0</v>
      </c>
      <c r="L100" s="883"/>
    </row>
    <row r="101" spans="1:12" s="884" customFormat="1" ht="24" customHeight="1">
      <c r="A101" s="831"/>
      <c r="B101" s="720" t="s">
        <v>1063</v>
      </c>
      <c r="C101" s="792"/>
      <c r="D101" s="792"/>
      <c r="E101" s="793"/>
      <c r="F101" s="722" t="s">
        <v>240</v>
      </c>
      <c r="G101" s="795">
        <v>8600</v>
      </c>
      <c r="H101" s="796">
        <f t="shared" si="6"/>
        <v>0</v>
      </c>
      <c r="I101" s="797"/>
      <c r="J101" s="796"/>
      <c r="K101" s="799">
        <f t="shared" si="7"/>
        <v>0</v>
      </c>
      <c r="L101" s="883"/>
    </row>
    <row r="102" spans="1:12" s="884" customFormat="1" ht="24" customHeight="1">
      <c r="A102" s="831" t="s">
        <v>3109</v>
      </c>
      <c r="B102" s="720" t="s">
        <v>1001</v>
      </c>
      <c r="C102" s="792"/>
      <c r="D102" s="792"/>
      <c r="E102" s="793"/>
      <c r="F102" s="794"/>
      <c r="G102" s="795"/>
      <c r="H102" s="796">
        <f t="shared" si="6"/>
        <v>0</v>
      </c>
      <c r="I102" s="797"/>
      <c r="J102" s="796"/>
      <c r="K102" s="799">
        <f t="shared" si="7"/>
        <v>0</v>
      </c>
      <c r="L102" s="883"/>
    </row>
    <row r="103" spans="1:12" s="884" customFormat="1" ht="24" customHeight="1">
      <c r="A103" s="831"/>
      <c r="B103" s="720" t="s">
        <v>1064</v>
      </c>
      <c r="C103" s="792"/>
      <c r="D103" s="792"/>
      <c r="E103" s="793">
        <v>3</v>
      </c>
      <c r="F103" s="722" t="s">
        <v>240</v>
      </c>
      <c r="G103" s="795">
        <v>660</v>
      </c>
      <c r="H103" s="796">
        <f t="shared" si="6"/>
        <v>1980</v>
      </c>
      <c r="I103" s="797"/>
      <c r="J103" s="796"/>
      <c r="K103" s="799">
        <f t="shared" si="7"/>
        <v>1980</v>
      </c>
      <c r="L103" s="887"/>
    </row>
    <row r="104" spans="1:12" s="884" customFormat="1" ht="24" customHeight="1">
      <c r="A104" s="831"/>
      <c r="B104" s="720" t="s">
        <v>1003</v>
      </c>
      <c r="C104" s="792"/>
      <c r="D104" s="792"/>
      <c r="E104" s="793">
        <v>3</v>
      </c>
      <c r="F104" s="722" t="s">
        <v>240</v>
      </c>
      <c r="G104" s="795">
        <v>120</v>
      </c>
      <c r="H104" s="796">
        <f t="shared" si="6"/>
        <v>360</v>
      </c>
      <c r="I104" s="797"/>
      <c r="J104" s="796"/>
      <c r="K104" s="799">
        <f t="shared" si="7"/>
        <v>360</v>
      </c>
      <c r="L104" s="887"/>
    </row>
    <row r="105" spans="1:12" s="884" customFormat="1" ht="24" customHeight="1">
      <c r="A105" s="831"/>
      <c r="B105" s="720" t="s">
        <v>1004</v>
      </c>
      <c r="C105" s="792"/>
      <c r="D105" s="792"/>
      <c r="E105" s="793">
        <v>3</v>
      </c>
      <c r="F105" s="722" t="s">
        <v>240</v>
      </c>
      <c r="G105" s="795">
        <v>100</v>
      </c>
      <c r="H105" s="796">
        <f t="shared" si="6"/>
        <v>300</v>
      </c>
      <c r="I105" s="797"/>
      <c r="J105" s="796"/>
      <c r="K105" s="799">
        <f t="shared" si="7"/>
        <v>300</v>
      </c>
      <c r="L105" s="887"/>
    </row>
    <row r="106" spans="1:12" s="884" customFormat="1" ht="24" customHeight="1">
      <c r="A106" s="831"/>
      <c r="B106" s="720" t="s">
        <v>1065</v>
      </c>
      <c r="C106" s="792"/>
      <c r="D106" s="792"/>
      <c r="E106" s="793">
        <v>5</v>
      </c>
      <c r="F106" s="722" t="s">
        <v>240</v>
      </c>
      <c r="G106" s="795">
        <v>15435</v>
      </c>
      <c r="H106" s="796">
        <f t="shared" si="6"/>
        <v>77175</v>
      </c>
      <c r="I106" s="797"/>
      <c r="J106" s="796"/>
      <c r="K106" s="799">
        <f t="shared" si="7"/>
        <v>77175</v>
      </c>
      <c r="L106" s="887"/>
    </row>
    <row r="107" spans="1:12" s="884" customFormat="1" ht="24" customHeight="1">
      <c r="A107" s="831" t="s">
        <v>3110</v>
      </c>
      <c r="B107" s="720" t="s">
        <v>1066</v>
      </c>
      <c r="C107" s="792"/>
      <c r="D107" s="792"/>
      <c r="E107" s="793">
        <v>1</v>
      </c>
      <c r="F107" s="722" t="s">
        <v>948</v>
      </c>
      <c r="G107" s="795">
        <v>43400</v>
      </c>
      <c r="H107" s="796">
        <f t="shared" si="6"/>
        <v>43400</v>
      </c>
      <c r="I107" s="797">
        <f>G107*0.3</f>
        <v>13020</v>
      </c>
      <c r="J107" s="796">
        <f>ROUND(E107*I107,)</f>
        <v>13020</v>
      </c>
      <c r="K107" s="799">
        <f t="shared" si="7"/>
        <v>56420</v>
      </c>
      <c r="L107" s="887"/>
    </row>
    <row r="108" spans="1:12" s="884" customFormat="1" ht="24" customHeight="1">
      <c r="A108" s="878" t="s">
        <v>949</v>
      </c>
      <c r="B108" s="879" t="s">
        <v>1096</v>
      </c>
      <c r="C108" s="880"/>
      <c r="D108" s="792"/>
      <c r="E108" s="793"/>
      <c r="F108" s="794"/>
      <c r="G108" s="795"/>
      <c r="H108" s="796"/>
      <c r="I108" s="797"/>
      <c r="J108" s="796"/>
      <c r="K108" s="799">
        <f t="shared" si="7"/>
        <v>0</v>
      </c>
      <c r="L108" s="887"/>
    </row>
    <row r="109" spans="1:12" s="884" customFormat="1" ht="24" customHeight="1">
      <c r="A109" s="831" t="s">
        <v>3111</v>
      </c>
      <c r="B109" s="720" t="s">
        <v>1053</v>
      </c>
      <c r="C109" s="792"/>
      <c r="D109" s="792"/>
      <c r="E109" s="793"/>
      <c r="F109" s="794"/>
      <c r="G109" s="795"/>
      <c r="H109" s="796"/>
      <c r="I109" s="797"/>
      <c r="J109" s="796"/>
      <c r="K109" s="797"/>
      <c r="L109" s="887"/>
    </row>
    <row r="110" spans="1:12" s="884" customFormat="1" ht="24" customHeight="1">
      <c r="A110" s="831"/>
      <c r="B110" s="720" t="s">
        <v>1054</v>
      </c>
      <c r="C110" s="792"/>
      <c r="D110" s="792"/>
      <c r="E110" s="793"/>
      <c r="F110" s="722" t="s">
        <v>240</v>
      </c>
      <c r="G110" s="795">
        <v>2400</v>
      </c>
      <c r="H110" s="796">
        <f t="shared" ref="H110:H125" si="8">ROUND(G110*E110,)</f>
        <v>0</v>
      </c>
      <c r="I110" s="797"/>
      <c r="J110" s="796"/>
      <c r="K110" s="799">
        <f t="shared" ref="K110:K126" si="9">H110+J110</f>
        <v>0</v>
      </c>
      <c r="L110" s="883"/>
    </row>
    <row r="111" spans="1:12" s="884" customFormat="1" ht="24" customHeight="1">
      <c r="A111" s="831"/>
      <c r="B111" s="720" t="s">
        <v>1055</v>
      </c>
      <c r="C111" s="792"/>
      <c r="D111" s="792"/>
      <c r="E111" s="793"/>
      <c r="F111" s="722" t="s">
        <v>240</v>
      </c>
      <c r="G111" s="795">
        <v>2400</v>
      </c>
      <c r="H111" s="796">
        <f t="shared" si="8"/>
        <v>0</v>
      </c>
      <c r="I111" s="797"/>
      <c r="J111" s="796"/>
      <c r="K111" s="799">
        <f t="shared" si="9"/>
        <v>0</v>
      </c>
      <c r="L111" s="883"/>
    </row>
    <row r="112" spans="1:12" s="884" customFormat="1" ht="24" customHeight="1">
      <c r="A112" s="831"/>
      <c r="B112" s="720" t="s">
        <v>1056</v>
      </c>
      <c r="C112" s="792"/>
      <c r="D112" s="792"/>
      <c r="E112" s="793">
        <v>1</v>
      </c>
      <c r="F112" s="722" t="s">
        <v>240</v>
      </c>
      <c r="G112" s="795">
        <v>2400</v>
      </c>
      <c r="H112" s="796">
        <f t="shared" si="8"/>
        <v>2400</v>
      </c>
      <c r="I112" s="797"/>
      <c r="J112" s="796"/>
      <c r="K112" s="799">
        <f t="shared" si="9"/>
        <v>2400</v>
      </c>
      <c r="L112" s="883"/>
    </row>
    <row r="113" spans="1:12" s="884" customFormat="1" ht="24" customHeight="1">
      <c r="A113" s="831"/>
      <c r="B113" s="720" t="s">
        <v>1057</v>
      </c>
      <c r="C113" s="792"/>
      <c r="D113" s="792"/>
      <c r="E113" s="793">
        <v>1</v>
      </c>
      <c r="F113" s="722" t="s">
        <v>240</v>
      </c>
      <c r="G113" s="795">
        <v>2400</v>
      </c>
      <c r="H113" s="796">
        <f t="shared" si="8"/>
        <v>2400</v>
      </c>
      <c r="I113" s="797"/>
      <c r="J113" s="796"/>
      <c r="K113" s="799">
        <f t="shared" si="9"/>
        <v>2400</v>
      </c>
      <c r="L113" s="883"/>
    </row>
    <row r="114" spans="1:12" s="884" customFormat="1" ht="24" customHeight="1">
      <c r="A114" s="831"/>
      <c r="B114" s="720" t="s">
        <v>1058</v>
      </c>
      <c r="C114" s="792"/>
      <c r="D114" s="792"/>
      <c r="E114" s="793"/>
      <c r="F114" s="722" t="s">
        <v>240</v>
      </c>
      <c r="G114" s="795">
        <v>2400</v>
      </c>
      <c r="H114" s="796">
        <f t="shared" si="8"/>
        <v>0</v>
      </c>
      <c r="I114" s="797"/>
      <c r="J114" s="796"/>
      <c r="K114" s="799">
        <f t="shared" si="9"/>
        <v>0</v>
      </c>
      <c r="L114" s="883"/>
    </row>
    <row r="115" spans="1:12" s="884" customFormat="1" ht="24" customHeight="1">
      <c r="A115" s="831"/>
      <c r="B115" s="720" t="s">
        <v>1059</v>
      </c>
      <c r="C115" s="792"/>
      <c r="D115" s="792"/>
      <c r="E115" s="793"/>
      <c r="F115" s="722" t="s">
        <v>240</v>
      </c>
      <c r="G115" s="795">
        <v>2600</v>
      </c>
      <c r="H115" s="796">
        <f t="shared" si="8"/>
        <v>0</v>
      </c>
      <c r="I115" s="797"/>
      <c r="J115" s="796"/>
      <c r="K115" s="799">
        <f t="shared" si="9"/>
        <v>0</v>
      </c>
      <c r="L115" s="883"/>
    </row>
    <row r="116" spans="1:12" s="884" customFormat="1" ht="24" customHeight="1">
      <c r="A116" s="831"/>
      <c r="B116" s="720" t="s">
        <v>1060</v>
      </c>
      <c r="C116" s="792"/>
      <c r="D116" s="792"/>
      <c r="E116" s="793">
        <v>1</v>
      </c>
      <c r="F116" s="722" t="s">
        <v>240</v>
      </c>
      <c r="G116" s="795">
        <v>3000</v>
      </c>
      <c r="H116" s="796">
        <f t="shared" si="8"/>
        <v>3000</v>
      </c>
      <c r="I116" s="797"/>
      <c r="J116" s="796"/>
      <c r="K116" s="799">
        <f t="shared" si="9"/>
        <v>3000</v>
      </c>
      <c r="L116" s="883"/>
    </row>
    <row r="117" spans="1:12" s="884" customFormat="1" ht="24" customHeight="1">
      <c r="A117" s="831"/>
      <c r="B117" s="720" t="s">
        <v>1061</v>
      </c>
      <c r="C117" s="792"/>
      <c r="D117" s="792"/>
      <c r="E117" s="793"/>
      <c r="F117" s="722" t="s">
        <v>240</v>
      </c>
      <c r="G117" s="795">
        <v>8600</v>
      </c>
      <c r="H117" s="796">
        <f t="shared" si="8"/>
        <v>0</v>
      </c>
      <c r="I117" s="797"/>
      <c r="J117" s="796"/>
      <c r="K117" s="799">
        <f t="shared" si="9"/>
        <v>0</v>
      </c>
      <c r="L117" s="883"/>
    </row>
    <row r="118" spans="1:12" s="884" customFormat="1" ht="24" customHeight="1">
      <c r="A118" s="831"/>
      <c r="B118" s="720" t="s">
        <v>1062</v>
      </c>
      <c r="C118" s="792"/>
      <c r="D118" s="792"/>
      <c r="E118" s="793"/>
      <c r="F118" s="722" t="s">
        <v>240</v>
      </c>
      <c r="G118" s="795">
        <v>8600</v>
      </c>
      <c r="H118" s="796">
        <f t="shared" si="8"/>
        <v>0</v>
      </c>
      <c r="I118" s="797"/>
      <c r="J118" s="796"/>
      <c r="K118" s="799">
        <f t="shared" si="9"/>
        <v>0</v>
      </c>
      <c r="L118" s="883"/>
    </row>
    <row r="119" spans="1:12" s="884" customFormat="1" ht="24" customHeight="1">
      <c r="A119" s="831"/>
      <c r="B119" s="720" t="s">
        <v>1063</v>
      </c>
      <c r="C119" s="792"/>
      <c r="D119" s="792"/>
      <c r="E119" s="793"/>
      <c r="F119" s="722" t="s">
        <v>240</v>
      </c>
      <c r="G119" s="795">
        <v>8600</v>
      </c>
      <c r="H119" s="796">
        <f t="shared" si="8"/>
        <v>0</v>
      </c>
      <c r="I119" s="797"/>
      <c r="J119" s="796"/>
      <c r="K119" s="799">
        <f t="shared" si="9"/>
        <v>0</v>
      </c>
      <c r="L119" s="883"/>
    </row>
    <row r="120" spans="1:12" s="884" customFormat="1" ht="24" customHeight="1">
      <c r="A120" s="831" t="s">
        <v>3112</v>
      </c>
      <c r="B120" s="720" t="s">
        <v>1001</v>
      </c>
      <c r="C120" s="792"/>
      <c r="D120" s="792"/>
      <c r="E120" s="793"/>
      <c r="F120" s="794"/>
      <c r="G120" s="795"/>
      <c r="H120" s="796">
        <f t="shared" si="8"/>
        <v>0</v>
      </c>
      <c r="I120" s="797"/>
      <c r="J120" s="796"/>
      <c r="K120" s="799">
        <f t="shared" si="9"/>
        <v>0</v>
      </c>
      <c r="L120" s="883"/>
    </row>
    <row r="121" spans="1:12" s="884" customFormat="1" ht="24" customHeight="1">
      <c r="A121" s="831"/>
      <c r="B121" s="720" t="s">
        <v>1073</v>
      </c>
      <c r="C121" s="792"/>
      <c r="D121" s="792"/>
      <c r="E121" s="793">
        <v>3</v>
      </c>
      <c r="F121" s="722" t="s">
        <v>240</v>
      </c>
      <c r="G121" s="795">
        <v>660</v>
      </c>
      <c r="H121" s="796">
        <f t="shared" si="8"/>
        <v>1980</v>
      </c>
      <c r="I121" s="797"/>
      <c r="J121" s="796"/>
      <c r="K121" s="799">
        <f t="shared" si="9"/>
        <v>1980</v>
      </c>
      <c r="L121" s="887"/>
    </row>
    <row r="122" spans="1:12" s="884" customFormat="1" ht="24" customHeight="1">
      <c r="A122" s="831"/>
      <c r="B122" s="720" t="s">
        <v>1003</v>
      </c>
      <c r="C122" s="792"/>
      <c r="D122" s="792"/>
      <c r="E122" s="793">
        <v>3</v>
      </c>
      <c r="F122" s="722" t="s">
        <v>240</v>
      </c>
      <c r="G122" s="795">
        <v>120</v>
      </c>
      <c r="H122" s="796">
        <f t="shared" si="8"/>
        <v>360</v>
      </c>
      <c r="I122" s="797"/>
      <c r="J122" s="796"/>
      <c r="K122" s="799">
        <f t="shared" si="9"/>
        <v>360</v>
      </c>
      <c r="L122" s="887"/>
    </row>
    <row r="123" spans="1:12" s="884" customFormat="1" ht="24" customHeight="1">
      <c r="A123" s="831"/>
      <c r="B123" s="720" t="s">
        <v>1004</v>
      </c>
      <c r="C123" s="792"/>
      <c r="D123" s="792"/>
      <c r="E123" s="793">
        <v>3</v>
      </c>
      <c r="F123" s="722" t="s">
        <v>240</v>
      </c>
      <c r="G123" s="795">
        <v>100</v>
      </c>
      <c r="H123" s="796">
        <f t="shared" si="8"/>
        <v>300</v>
      </c>
      <c r="I123" s="797"/>
      <c r="J123" s="796"/>
      <c r="K123" s="799">
        <f t="shared" si="9"/>
        <v>300</v>
      </c>
      <c r="L123" s="887"/>
    </row>
    <row r="124" spans="1:12" s="884" customFormat="1" ht="24" customHeight="1">
      <c r="A124" s="831"/>
      <c r="B124" s="720" t="s">
        <v>1065</v>
      </c>
      <c r="C124" s="792"/>
      <c r="D124" s="792"/>
      <c r="E124" s="793">
        <v>1</v>
      </c>
      <c r="F124" s="722" t="s">
        <v>240</v>
      </c>
      <c r="G124" s="795">
        <v>15435</v>
      </c>
      <c r="H124" s="796">
        <f t="shared" si="8"/>
        <v>15435</v>
      </c>
      <c r="I124" s="797"/>
      <c r="J124" s="796"/>
      <c r="K124" s="799">
        <f t="shared" si="9"/>
        <v>15435</v>
      </c>
      <c r="L124" s="887"/>
    </row>
    <row r="125" spans="1:12" s="884" customFormat="1" ht="24" customHeight="1">
      <c r="A125" s="831" t="s">
        <v>3113</v>
      </c>
      <c r="B125" s="720" t="s">
        <v>1066</v>
      </c>
      <c r="C125" s="792"/>
      <c r="D125" s="792"/>
      <c r="E125" s="793">
        <v>1</v>
      </c>
      <c r="F125" s="722" t="s">
        <v>948</v>
      </c>
      <c r="G125" s="795">
        <v>43400</v>
      </c>
      <c r="H125" s="796">
        <f t="shared" si="8"/>
        <v>43400</v>
      </c>
      <c r="I125" s="797">
        <f>G125*0.3</f>
        <v>13020</v>
      </c>
      <c r="J125" s="796">
        <f>ROUND(E125*I125,)</f>
        <v>13020</v>
      </c>
      <c r="K125" s="799">
        <f t="shared" si="9"/>
        <v>56420</v>
      </c>
      <c r="L125" s="887"/>
    </row>
    <row r="126" spans="1:12" s="884" customFormat="1" ht="24" customHeight="1">
      <c r="A126" s="878" t="s">
        <v>953</v>
      </c>
      <c r="B126" s="879" t="s">
        <v>1097</v>
      </c>
      <c r="C126" s="880"/>
      <c r="D126" s="792"/>
      <c r="E126" s="793"/>
      <c r="F126" s="794"/>
      <c r="G126" s="795"/>
      <c r="H126" s="796"/>
      <c r="I126" s="797"/>
      <c r="J126" s="796"/>
      <c r="K126" s="799">
        <f t="shared" si="9"/>
        <v>0</v>
      </c>
      <c r="L126" s="887"/>
    </row>
    <row r="127" spans="1:12" s="884" customFormat="1" ht="24" customHeight="1">
      <c r="A127" s="831" t="s">
        <v>3114</v>
      </c>
      <c r="B127" s="720" t="s">
        <v>1053</v>
      </c>
      <c r="C127" s="792"/>
      <c r="D127" s="792"/>
      <c r="E127" s="793"/>
      <c r="F127" s="794"/>
      <c r="G127" s="795"/>
      <c r="H127" s="796"/>
      <c r="I127" s="797"/>
      <c r="J127" s="796"/>
      <c r="K127" s="797"/>
      <c r="L127" s="887"/>
    </row>
    <row r="128" spans="1:12" s="884" customFormat="1" ht="24" customHeight="1">
      <c r="A128" s="831"/>
      <c r="B128" s="720" t="s">
        <v>1098</v>
      </c>
      <c r="C128" s="792"/>
      <c r="D128" s="792"/>
      <c r="E128" s="793">
        <v>2</v>
      </c>
      <c r="F128" s="722" t="s">
        <v>240</v>
      </c>
      <c r="G128" s="795">
        <v>2400</v>
      </c>
      <c r="H128" s="796">
        <f t="shared" ref="H128:H144" si="10">ROUND(G128*E128,)</f>
        <v>4800</v>
      </c>
      <c r="I128" s="797"/>
      <c r="J128" s="796"/>
      <c r="K128" s="799">
        <f t="shared" ref="K128:K144" si="11">H128+J128</f>
        <v>4800</v>
      </c>
      <c r="L128" s="883"/>
    </row>
    <row r="129" spans="1:12" s="884" customFormat="1" ht="24" customHeight="1">
      <c r="A129" s="831"/>
      <c r="B129" s="720" t="s">
        <v>1054</v>
      </c>
      <c r="C129" s="792"/>
      <c r="D129" s="792"/>
      <c r="E129" s="793"/>
      <c r="F129" s="722" t="s">
        <v>240</v>
      </c>
      <c r="G129" s="795">
        <v>2400</v>
      </c>
      <c r="H129" s="796">
        <f t="shared" si="10"/>
        <v>0</v>
      </c>
      <c r="I129" s="797"/>
      <c r="J129" s="796"/>
      <c r="K129" s="799">
        <f t="shared" si="11"/>
        <v>0</v>
      </c>
      <c r="L129" s="883"/>
    </row>
    <row r="130" spans="1:12" s="884" customFormat="1" ht="24" customHeight="1">
      <c r="A130" s="831"/>
      <c r="B130" s="720" t="s">
        <v>1055</v>
      </c>
      <c r="C130" s="792"/>
      <c r="D130" s="792"/>
      <c r="E130" s="793"/>
      <c r="F130" s="722" t="s">
        <v>240</v>
      </c>
      <c r="G130" s="795">
        <v>2400</v>
      </c>
      <c r="H130" s="796">
        <f t="shared" si="10"/>
        <v>0</v>
      </c>
      <c r="I130" s="797"/>
      <c r="J130" s="796"/>
      <c r="K130" s="799">
        <f t="shared" si="11"/>
        <v>0</v>
      </c>
      <c r="L130" s="883"/>
    </row>
    <row r="131" spans="1:12" s="884" customFormat="1" ht="24" customHeight="1">
      <c r="A131" s="831"/>
      <c r="B131" s="720" t="s">
        <v>1056</v>
      </c>
      <c r="C131" s="792"/>
      <c r="D131" s="792"/>
      <c r="E131" s="793">
        <v>2</v>
      </c>
      <c r="F131" s="722" t="s">
        <v>240</v>
      </c>
      <c r="G131" s="795">
        <v>2400</v>
      </c>
      <c r="H131" s="796">
        <f t="shared" si="10"/>
        <v>4800</v>
      </c>
      <c r="I131" s="797"/>
      <c r="J131" s="796"/>
      <c r="K131" s="799">
        <f t="shared" si="11"/>
        <v>4800</v>
      </c>
      <c r="L131" s="883"/>
    </row>
    <row r="132" spans="1:12" s="884" customFormat="1" ht="24" customHeight="1">
      <c r="A132" s="831"/>
      <c r="B132" s="720" t="s">
        <v>1057</v>
      </c>
      <c r="C132" s="792"/>
      <c r="D132" s="792"/>
      <c r="E132" s="793"/>
      <c r="F132" s="722" t="s">
        <v>240</v>
      </c>
      <c r="G132" s="795">
        <v>2400</v>
      </c>
      <c r="H132" s="796">
        <f t="shared" si="10"/>
        <v>0</v>
      </c>
      <c r="I132" s="797"/>
      <c r="J132" s="796"/>
      <c r="K132" s="799">
        <f t="shared" si="11"/>
        <v>0</v>
      </c>
      <c r="L132" s="883"/>
    </row>
    <row r="133" spans="1:12" s="884" customFormat="1" ht="24" customHeight="1">
      <c r="A133" s="831"/>
      <c r="B133" s="720" t="s">
        <v>1058</v>
      </c>
      <c r="C133" s="792"/>
      <c r="D133" s="792"/>
      <c r="E133" s="793">
        <v>1</v>
      </c>
      <c r="F133" s="722" t="s">
        <v>240</v>
      </c>
      <c r="G133" s="795">
        <v>2400</v>
      </c>
      <c r="H133" s="796">
        <f t="shared" si="10"/>
        <v>2400</v>
      </c>
      <c r="I133" s="797"/>
      <c r="J133" s="796"/>
      <c r="K133" s="799">
        <f t="shared" si="11"/>
        <v>2400</v>
      </c>
      <c r="L133" s="883"/>
    </row>
    <row r="134" spans="1:12" s="884" customFormat="1" ht="24" customHeight="1">
      <c r="A134" s="831"/>
      <c r="B134" s="720" t="s">
        <v>1059</v>
      </c>
      <c r="C134" s="792"/>
      <c r="D134" s="792"/>
      <c r="E134" s="793"/>
      <c r="F134" s="722" t="s">
        <v>240</v>
      </c>
      <c r="G134" s="795">
        <v>2600</v>
      </c>
      <c r="H134" s="796">
        <f t="shared" si="10"/>
        <v>0</v>
      </c>
      <c r="I134" s="797"/>
      <c r="J134" s="796"/>
      <c r="K134" s="799">
        <f t="shared" si="11"/>
        <v>0</v>
      </c>
      <c r="L134" s="883"/>
    </row>
    <row r="135" spans="1:12" s="884" customFormat="1" ht="24" customHeight="1">
      <c r="A135" s="831"/>
      <c r="B135" s="720" t="s">
        <v>1060</v>
      </c>
      <c r="C135" s="792"/>
      <c r="D135" s="792"/>
      <c r="E135" s="793"/>
      <c r="F135" s="722" t="s">
        <v>240</v>
      </c>
      <c r="G135" s="795">
        <v>3000</v>
      </c>
      <c r="H135" s="796">
        <f t="shared" si="10"/>
        <v>0</v>
      </c>
      <c r="I135" s="797"/>
      <c r="J135" s="796"/>
      <c r="K135" s="799">
        <f t="shared" si="11"/>
        <v>0</v>
      </c>
      <c r="L135" s="883"/>
    </row>
    <row r="136" spans="1:12" s="884" customFormat="1" ht="24" customHeight="1">
      <c r="A136" s="831"/>
      <c r="B136" s="720" t="s">
        <v>1061</v>
      </c>
      <c r="C136" s="792"/>
      <c r="D136" s="792"/>
      <c r="E136" s="793"/>
      <c r="F136" s="722" t="s">
        <v>240</v>
      </c>
      <c r="G136" s="795">
        <v>8600</v>
      </c>
      <c r="H136" s="796">
        <f t="shared" si="10"/>
        <v>0</v>
      </c>
      <c r="I136" s="797"/>
      <c r="J136" s="796"/>
      <c r="K136" s="799">
        <f t="shared" si="11"/>
        <v>0</v>
      </c>
      <c r="L136" s="883"/>
    </row>
    <row r="137" spans="1:12" s="884" customFormat="1" ht="24" customHeight="1">
      <c r="A137" s="831"/>
      <c r="B137" s="720" t="s">
        <v>1062</v>
      </c>
      <c r="C137" s="792"/>
      <c r="D137" s="792"/>
      <c r="E137" s="793"/>
      <c r="F137" s="722" t="s">
        <v>240</v>
      </c>
      <c r="G137" s="795">
        <v>8600</v>
      </c>
      <c r="H137" s="796">
        <f t="shared" si="10"/>
        <v>0</v>
      </c>
      <c r="I137" s="797"/>
      <c r="J137" s="796"/>
      <c r="K137" s="799">
        <f t="shared" si="11"/>
        <v>0</v>
      </c>
      <c r="L137" s="883"/>
    </row>
    <row r="138" spans="1:12" s="884" customFormat="1" ht="24" customHeight="1">
      <c r="A138" s="2396"/>
      <c r="B138" s="720" t="s">
        <v>1063</v>
      </c>
      <c r="C138" s="792"/>
      <c r="D138" s="792"/>
      <c r="E138" s="793"/>
      <c r="F138" s="722" t="s">
        <v>240</v>
      </c>
      <c r="G138" s="795">
        <v>8600</v>
      </c>
      <c r="H138" s="796">
        <f t="shared" si="10"/>
        <v>0</v>
      </c>
      <c r="I138" s="797"/>
      <c r="J138" s="796"/>
      <c r="K138" s="799">
        <f t="shared" si="11"/>
        <v>0</v>
      </c>
      <c r="L138" s="883"/>
    </row>
    <row r="139" spans="1:12" s="884" customFormat="1" ht="24" customHeight="1">
      <c r="A139" s="831" t="s">
        <v>3115</v>
      </c>
      <c r="B139" s="720" t="s">
        <v>1001</v>
      </c>
      <c r="C139" s="792"/>
      <c r="D139" s="792"/>
      <c r="E139" s="793"/>
      <c r="F139" s="794"/>
      <c r="G139" s="795"/>
      <c r="H139" s="796">
        <f t="shared" si="10"/>
        <v>0</v>
      </c>
      <c r="I139" s="797"/>
      <c r="J139" s="796"/>
      <c r="K139" s="799">
        <f t="shared" si="11"/>
        <v>0</v>
      </c>
      <c r="L139" s="887"/>
    </row>
    <row r="140" spans="1:12" s="884" customFormat="1" ht="24" customHeight="1">
      <c r="A140" s="831"/>
      <c r="B140" s="720" t="s">
        <v>1073</v>
      </c>
      <c r="C140" s="792"/>
      <c r="D140" s="792"/>
      <c r="E140" s="793">
        <v>3</v>
      </c>
      <c r="F140" s="722" t="s">
        <v>240</v>
      </c>
      <c r="G140" s="795">
        <v>660</v>
      </c>
      <c r="H140" s="796">
        <f t="shared" si="10"/>
        <v>1980</v>
      </c>
      <c r="I140" s="797"/>
      <c r="J140" s="796"/>
      <c r="K140" s="799">
        <f t="shared" si="11"/>
        <v>1980</v>
      </c>
      <c r="L140" s="887"/>
    </row>
    <row r="141" spans="1:12" s="884" customFormat="1" ht="24" customHeight="1">
      <c r="A141" s="831"/>
      <c r="B141" s="720" t="s">
        <v>1003</v>
      </c>
      <c r="C141" s="792"/>
      <c r="D141" s="792"/>
      <c r="E141" s="793">
        <v>3</v>
      </c>
      <c r="F141" s="722" t="s">
        <v>240</v>
      </c>
      <c r="G141" s="795">
        <v>120</v>
      </c>
      <c r="H141" s="796">
        <f t="shared" si="10"/>
        <v>360</v>
      </c>
      <c r="I141" s="797"/>
      <c r="J141" s="796"/>
      <c r="K141" s="799">
        <f t="shared" si="11"/>
        <v>360</v>
      </c>
      <c r="L141" s="887"/>
    </row>
    <row r="142" spans="1:12" s="884" customFormat="1" ht="24" customHeight="1">
      <c r="A142" s="831"/>
      <c r="B142" s="720" t="s">
        <v>1004</v>
      </c>
      <c r="C142" s="792"/>
      <c r="D142" s="792"/>
      <c r="E142" s="793">
        <v>3</v>
      </c>
      <c r="F142" s="722" t="s">
        <v>240</v>
      </c>
      <c r="G142" s="795">
        <v>100</v>
      </c>
      <c r="H142" s="796">
        <f t="shared" si="10"/>
        <v>300</v>
      </c>
      <c r="I142" s="797"/>
      <c r="J142" s="796"/>
      <c r="K142" s="799">
        <f t="shared" si="11"/>
        <v>300</v>
      </c>
      <c r="L142" s="887"/>
    </row>
    <row r="143" spans="1:12" s="884" customFormat="1" ht="24" customHeight="1">
      <c r="A143" s="831"/>
      <c r="B143" s="720" t="s">
        <v>1065</v>
      </c>
      <c r="C143" s="792"/>
      <c r="D143" s="792"/>
      <c r="E143" s="793">
        <v>3</v>
      </c>
      <c r="F143" s="722" t="s">
        <v>240</v>
      </c>
      <c r="G143" s="795">
        <v>15435</v>
      </c>
      <c r="H143" s="796">
        <f t="shared" si="10"/>
        <v>46305</v>
      </c>
      <c r="I143" s="797"/>
      <c r="J143" s="796"/>
      <c r="K143" s="799">
        <f t="shared" si="11"/>
        <v>46305</v>
      </c>
      <c r="L143" s="887"/>
    </row>
    <row r="144" spans="1:12" s="714" customFormat="1" ht="24" customHeight="1">
      <c r="A144" s="831" t="s">
        <v>3116</v>
      </c>
      <c r="B144" s="720" t="s">
        <v>1066</v>
      </c>
      <c r="C144" s="792"/>
      <c r="D144" s="792"/>
      <c r="E144" s="793">
        <v>1</v>
      </c>
      <c r="F144" s="722" t="s">
        <v>948</v>
      </c>
      <c r="G144" s="795">
        <v>43400</v>
      </c>
      <c r="H144" s="796">
        <f t="shared" si="10"/>
        <v>43400</v>
      </c>
      <c r="I144" s="797">
        <f>G144*0.3</f>
        <v>13020</v>
      </c>
      <c r="J144" s="796">
        <f>ROUND(E144*I144,)</f>
        <v>13020</v>
      </c>
      <c r="K144" s="799">
        <f t="shared" si="11"/>
        <v>56420</v>
      </c>
      <c r="L144" s="954"/>
    </row>
    <row r="145" spans="1:17" s="714" customFormat="1" ht="24" customHeight="1">
      <c r="A145" s="831"/>
      <c r="B145" s="720" t="s">
        <v>957</v>
      </c>
      <c r="C145" s="792"/>
      <c r="D145" s="792"/>
      <c r="E145" s="793"/>
      <c r="F145" s="794"/>
      <c r="G145" s="795"/>
      <c r="H145" s="796"/>
      <c r="I145" s="797"/>
      <c r="J145" s="864"/>
      <c r="K145" s="906"/>
      <c r="L145" s="964"/>
      <c r="M145" s="729"/>
      <c r="N145" s="729"/>
      <c r="O145" s="729"/>
      <c r="P145" s="729"/>
      <c r="Q145" s="729"/>
    </row>
    <row r="146" spans="1:17" s="714" customFormat="1" ht="24" customHeight="1">
      <c r="A146" s="719"/>
      <c r="B146" s="720" t="s">
        <v>1428</v>
      </c>
      <c r="C146" s="717"/>
      <c r="D146" s="718"/>
      <c r="E146" s="721"/>
      <c r="F146" s="722"/>
      <c r="G146" s="710"/>
      <c r="H146" s="711"/>
      <c r="I146" s="712"/>
      <c r="J146" s="957"/>
      <c r="K146" s="958"/>
      <c r="L146" s="954"/>
    </row>
    <row r="147" spans="1:17" s="714" customFormat="1" ht="24" customHeight="1">
      <c r="A147" s="719"/>
      <c r="B147" s="720" t="s">
        <v>1428</v>
      </c>
      <c r="C147" s="717"/>
      <c r="D147" s="718"/>
      <c r="E147" s="721"/>
      <c r="F147" s="722"/>
      <c r="G147" s="710"/>
      <c r="H147" s="711"/>
      <c r="I147" s="712"/>
      <c r="J147" s="957"/>
      <c r="K147" s="958"/>
      <c r="L147" s="954"/>
    </row>
    <row r="148" spans="1:17" s="714" customFormat="1" ht="24" customHeight="1">
      <c r="A148" s="719"/>
      <c r="B148" s="955"/>
      <c r="C148" s="717"/>
      <c r="D148" s="718"/>
      <c r="E148" s="721"/>
      <c r="F148" s="722"/>
      <c r="G148" s="710"/>
      <c r="H148" s="711"/>
      <c r="I148" s="956"/>
      <c r="J148" s="957"/>
      <c r="K148" s="958"/>
      <c r="L148" s="954"/>
    </row>
    <row r="149" spans="1:17" s="714" customFormat="1" ht="24" customHeight="1">
      <c r="A149" s="775"/>
      <c r="B149" s="2475" t="str">
        <f>"รวมราคารายการที่ "&amp;A35</f>
        <v>รวมราคารายการที่ 3.1</v>
      </c>
      <c r="C149" s="2476"/>
      <c r="D149" s="2477"/>
      <c r="E149" s="776"/>
      <c r="F149" s="777"/>
      <c r="G149" s="959"/>
      <c r="H149" s="960">
        <f>SUM(H35:H148)</f>
        <v>609600</v>
      </c>
      <c r="I149" s="959"/>
      <c r="J149" s="960">
        <f>SUM(J35:J148)</f>
        <v>78120</v>
      </c>
      <c r="K149" s="960">
        <f>SUM(K35:K148)</f>
        <v>687720</v>
      </c>
      <c r="L149" s="777"/>
      <c r="M149" s="729"/>
      <c r="N149" s="729"/>
      <c r="O149" s="729"/>
      <c r="P149" s="729"/>
      <c r="Q149" s="729"/>
    </row>
    <row r="150" spans="1:17" s="714" customFormat="1" ht="24" customHeight="1">
      <c r="A150" s="815">
        <v>3.2</v>
      </c>
      <c r="B150" s="816" t="s">
        <v>1103</v>
      </c>
      <c r="C150" s="859"/>
      <c r="D150" s="859"/>
      <c r="E150" s="851"/>
      <c r="F150" s="852"/>
      <c r="G150" s="853"/>
      <c r="H150" s="854"/>
      <c r="I150" s="855"/>
      <c r="J150" s="854"/>
      <c r="K150" s="855"/>
      <c r="L150" s="826"/>
    </row>
    <row r="151" spans="1:17" s="884" customFormat="1" ht="24" customHeight="1">
      <c r="A151" s="878" t="s">
        <v>960</v>
      </c>
      <c r="B151" s="894" t="s">
        <v>1117</v>
      </c>
      <c r="C151" s="895"/>
      <c r="D151" s="895"/>
      <c r="E151" s="896"/>
      <c r="F151" s="897"/>
      <c r="G151" s="858"/>
      <c r="H151" s="864"/>
      <c r="I151" s="865"/>
      <c r="J151" s="864"/>
      <c r="K151" s="799">
        <f t="shared" ref="K151:K214" si="12">H151+J151</f>
        <v>0</v>
      </c>
      <c r="L151" s="883"/>
    </row>
    <row r="152" spans="1:17" s="884" customFormat="1" ht="24" customHeight="1">
      <c r="A152" s="831" t="s">
        <v>3093</v>
      </c>
      <c r="B152" s="800" t="s">
        <v>1053</v>
      </c>
      <c r="C152" s="801"/>
      <c r="D152" s="801"/>
      <c r="E152" s="802"/>
      <c r="F152" s="867"/>
      <c r="G152" s="858"/>
      <c r="H152" s="864"/>
      <c r="I152" s="865"/>
      <c r="J152" s="864"/>
      <c r="K152" s="799">
        <f t="shared" si="12"/>
        <v>0</v>
      </c>
      <c r="L152" s="883"/>
    </row>
    <row r="153" spans="1:17" s="884" customFormat="1" ht="24" customHeight="1">
      <c r="A153" s="831"/>
      <c r="B153" s="720" t="s">
        <v>1055</v>
      </c>
      <c r="C153" s="792"/>
      <c r="D153" s="792"/>
      <c r="E153" s="793">
        <v>1</v>
      </c>
      <c r="F153" s="722" t="s">
        <v>240</v>
      </c>
      <c r="G153" s="795">
        <v>2400</v>
      </c>
      <c r="H153" s="796">
        <f t="shared" ref="H153:H173" si="13">ROUND(G153*E153,)</f>
        <v>2400</v>
      </c>
      <c r="I153" s="797"/>
      <c r="J153" s="796"/>
      <c r="K153" s="799">
        <f t="shared" si="12"/>
        <v>2400</v>
      </c>
      <c r="L153" s="883"/>
    </row>
    <row r="154" spans="1:17" s="884" customFormat="1" ht="24" customHeight="1">
      <c r="A154" s="831"/>
      <c r="B154" s="720" t="s">
        <v>1056</v>
      </c>
      <c r="C154" s="792"/>
      <c r="D154" s="792"/>
      <c r="E154" s="793"/>
      <c r="F154" s="722" t="s">
        <v>240</v>
      </c>
      <c r="G154" s="795">
        <v>2400</v>
      </c>
      <c r="H154" s="796">
        <f t="shared" si="13"/>
        <v>0</v>
      </c>
      <c r="I154" s="797"/>
      <c r="J154" s="796"/>
      <c r="K154" s="799">
        <f t="shared" si="12"/>
        <v>0</v>
      </c>
      <c r="L154" s="883"/>
    </row>
    <row r="155" spans="1:17" s="884" customFormat="1" ht="24" customHeight="1">
      <c r="A155" s="831"/>
      <c r="B155" s="720" t="s">
        <v>1057</v>
      </c>
      <c r="C155" s="792"/>
      <c r="D155" s="792"/>
      <c r="E155" s="793"/>
      <c r="F155" s="722" t="s">
        <v>240</v>
      </c>
      <c r="G155" s="795">
        <v>2400</v>
      </c>
      <c r="H155" s="796">
        <f t="shared" si="13"/>
        <v>0</v>
      </c>
      <c r="I155" s="797"/>
      <c r="J155" s="796"/>
      <c r="K155" s="799">
        <f t="shared" si="12"/>
        <v>0</v>
      </c>
      <c r="L155" s="883"/>
    </row>
    <row r="156" spans="1:17" s="884" customFormat="1" ht="24" customHeight="1">
      <c r="A156" s="831"/>
      <c r="B156" s="720" t="s">
        <v>1058</v>
      </c>
      <c r="C156" s="792"/>
      <c r="D156" s="792"/>
      <c r="E156" s="793"/>
      <c r="F156" s="722" t="s">
        <v>240</v>
      </c>
      <c r="G156" s="795">
        <v>2400</v>
      </c>
      <c r="H156" s="796">
        <f t="shared" si="13"/>
        <v>0</v>
      </c>
      <c r="I156" s="797"/>
      <c r="J156" s="796"/>
      <c r="K156" s="799">
        <f t="shared" si="12"/>
        <v>0</v>
      </c>
      <c r="L156" s="883"/>
    </row>
    <row r="157" spans="1:17" s="884" customFormat="1" ht="24" customHeight="1">
      <c r="A157" s="831"/>
      <c r="B157" s="720" t="s">
        <v>1059</v>
      </c>
      <c r="C157" s="792"/>
      <c r="D157" s="792"/>
      <c r="E157" s="793"/>
      <c r="F157" s="722" t="s">
        <v>240</v>
      </c>
      <c r="G157" s="795">
        <v>2600</v>
      </c>
      <c r="H157" s="796">
        <f t="shared" si="13"/>
        <v>0</v>
      </c>
      <c r="I157" s="797"/>
      <c r="J157" s="796"/>
      <c r="K157" s="799">
        <f t="shared" si="12"/>
        <v>0</v>
      </c>
      <c r="L157" s="883"/>
    </row>
    <row r="158" spans="1:17" s="884" customFormat="1" ht="24" customHeight="1">
      <c r="A158" s="831"/>
      <c r="B158" s="720" t="s">
        <v>1060</v>
      </c>
      <c r="C158" s="792"/>
      <c r="D158" s="792"/>
      <c r="E158" s="793"/>
      <c r="F158" s="722" t="s">
        <v>240</v>
      </c>
      <c r="G158" s="795">
        <v>3000</v>
      </c>
      <c r="H158" s="796">
        <f t="shared" si="13"/>
        <v>0</v>
      </c>
      <c r="I158" s="797"/>
      <c r="J158" s="796"/>
      <c r="K158" s="799">
        <f t="shared" si="12"/>
        <v>0</v>
      </c>
      <c r="L158" s="883"/>
    </row>
    <row r="159" spans="1:17" s="884" customFormat="1" ht="24" customHeight="1">
      <c r="A159" s="831"/>
      <c r="B159" s="720" t="s">
        <v>1088</v>
      </c>
      <c r="C159" s="801"/>
      <c r="D159" s="801"/>
      <c r="E159" s="802"/>
      <c r="F159" s="803" t="s">
        <v>240</v>
      </c>
      <c r="G159" s="795">
        <v>5000</v>
      </c>
      <c r="H159" s="864">
        <f t="shared" si="13"/>
        <v>0</v>
      </c>
      <c r="I159" s="865"/>
      <c r="J159" s="864"/>
      <c r="K159" s="799">
        <f t="shared" si="12"/>
        <v>0</v>
      </c>
      <c r="L159" s="883"/>
    </row>
    <row r="160" spans="1:17" s="884" customFormat="1" ht="24" customHeight="1">
      <c r="A160" s="831"/>
      <c r="B160" s="720" t="s">
        <v>1105</v>
      </c>
      <c r="C160" s="801"/>
      <c r="D160" s="801"/>
      <c r="E160" s="802"/>
      <c r="F160" s="803" t="s">
        <v>240</v>
      </c>
      <c r="G160" s="795">
        <v>5700</v>
      </c>
      <c r="H160" s="864">
        <f t="shared" si="13"/>
        <v>0</v>
      </c>
      <c r="I160" s="865"/>
      <c r="J160" s="864"/>
      <c r="K160" s="799">
        <f t="shared" si="12"/>
        <v>0</v>
      </c>
      <c r="L160" s="883"/>
    </row>
    <row r="161" spans="1:12" s="884" customFormat="1" ht="24" customHeight="1">
      <c r="A161" s="831"/>
      <c r="B161" s="720" t="s">
        <v>1086</v>
      </c>
      <c r="C161" s="801"/>
      <c r="D161" s="801"/>
      <c r="E161" s="802"/>
      <c r="F161" s="803" t="s">
        <v>240</v>
      </c>
      <c r="G161" s="795">
        <v>5700</v>
      </c>
      <c r="H161" s="864">
        <f t="shared" si="13"/>
        <v>0</v>
      </c>
      <c r="I161" s="865"/>
      <c r="J161" s="864"/>
      <c r="K161" s="799">
        <f t="shared" si="12"/>
        <v>0</v>
      </c>
      <c r="L161" s="883"/>
    </row>
    <row r="162" spans="1:12" s="884" customFormat="1" ht="24" customHeight="1">
      <c r="A162" s="831"/>
      <c r="B162" s="720" t="s">
        <v>1061</v>
      </c>
      <c r="C162" s="801"/>
      <c r="D162" s="801"/>
      <c r="E162" s="802"/>
      <c r="F162" s="803" t="s">
        <v>240</v>
      </c>
      <c r="G162" s="795">
        <v>8600</v>
      </c>
      <c r="H162" s="864">
        <f t="shared" si="13"/>
        <v>0</v>
      </c>
      <c r="I162" s="865"/>
      <c r="J162" s="864"/>
      <c r="K162" s="799">
        <f t="shared" si="12"/>
        <v>0</v>
      </c>
      <c r="L162" s="883"/>
    </row>
    <row r="163" spans="1:12" s="884" customFormat="1" ht="24" customHeight="1">
      <c r="A163" s="2396"/>
      <c r="B163" s="720" t="s">
        <v>1062</v>
      </c>
      <c r="C163" s="801"/>
      <c r="D163" s="801"/>
      <c r="E163" s="802"/>
      <c r="F163" s="803" t="s">
        <v>240</v>
      </c>
      <c r="G163" s="795">
        <v>8600</v>
      </c>
      <c r="H163" s="864">
        <f t="shared" si="13"/>
        <v>0</v>
      </c>
      <c r="I163" s="865"/>
      <c r="J163" s="864"/>
      <c r="K163" s="799">
        <f t="shared" si="12"/>
        <v>0</v>
      </c>
      <c r="L163" s="883"/>
    </row>
    <row r="164" spans="1:12" s="884" customFormat="1" ht="24" customHeight="1">
      <c r="A164" s="831"/>
      <c r="B164" s="720" t="s">
        <v>1063</v>
      </c>
      <c r="C164" s="801"/>
      <c r="D164" s="801"/>
      <c r="E164" s="802"/>
      <c r="F164" s="803" t="s">
        <v>240</v>
      </c>
      <c r="G164" s="795">
        <v>11500</v>
      </c>
      <c r="H164" s="864">
        <f t="shared" si="13"/>
        <v>0</v>
      </c>
      <c r="I164" s="865"/>
      <c r="J164" s="864"/>
      <c r="K164" s="799">
        <f t="shared" si="12"/>
        <v>0</v>
      </c>
      <c r="L164" s="883"/>
    </row>
    <row r="165" spans="1:12" s="884" customFormat="1" ht="24" customHeight="1">
      <c r="A165" s="831"/>
      <c r="B165" s="720" t="s">
        <v>1106</v>
      </c>
      <c r="C165" s="801"/>
      <c r="D165" s="801"/>
      <c r="E165" s="802"/>
      <c r="F165" s="803" t="s">
        <v>240</v>
      </c>
      <c r="G165" s="795">
        <v>20200</v>
      </c>
      <c r="H165" s="864">
        <f t="shared" si="13"/>
        <v>0</v>
      </c>
      <c r="I165" s="865"/>
      <c r="J165" s="864"/>
      <c r="K165" s="799">
        <f t="shared" si="12"/>
        <v>0</v>
      </c>
      <c r="L165" s="883"/>
    </row>
    <row r="166" spans="1:12" s="884" customFormat="1" ht="24" customHeight="1">
      <c r="A166" s="831"/>
      <c r="B166" s="720" t="s">
        <v>1107</v>
      </c>
      <c r="C166" s="801"/>
      <c r="D166" s="801"/>
      <c r="E166" s="802"/>
      <c r="F166" s="803" t="s">
        <v>240</v>
      </c>
      <c r="G166" s="795">
        <v>20200</v>
      </c>
      <c r="H166" s="864">
        <f t="shared" si="13"/>
        <v>0</v>
      </c>
      <c r="I166" s="865"/>
      <c r="J166" s="864"/>
      <c r="K166" s="799">
        <f t="shared" si="12"/>
        <v>0</v>
      </c>
      <c r="L166" s="883"/>
    </row>
    <row r="167" spans="1:12" s="884" customFormat="1" ht="24" customHeight="1">
      <c r="A167" s="831"/>
      <c r="B167" s="720" t="s">
        <v>1108</v>
      </c>
      <c r="C167" s="801"/>
      <c r="D167" s="801"/>
      <c r="E167" s="802"/>
      <c r="F167" s="803" t="s">
        <v>240</v>
      </c>
      <c r="G167" s="795">
        <v>20200</v>
      </c>
      <c r="H167" s="864">
        <f t="shared" si="13"/>
        <v>0</v>
      </c>
      <c r="I167" s="865"/>
      <c r="J167" s="864"/>
      <c r="K167" s="799">
        <f t="shared" si="12"/>
        <v>0</v>
      </c>
      <c r="L167" s="883"/>
    </row>
    <row r="168" spans="1:12" s="884" customFormat="1" ht="24" customHeight="1">
      <c r="A168" s="831" t="s">
        <v>3094</v>
      </c>
      <c r="B168" s="800" t="s">
        <v>1001</v>
      </c>
      <c r="C168" s="801"/>
      <c r="D168" s="801"/>
      <c r="E168" s="802"/>
      <c r="F168" s="867"/>
      <c r="G168" s="858"/>
      <c r="H168" s="864">
        <f t="shared" si="13"/>
        <v>0</v>
      </c>
      <c r="I168" s="865"/>
      <c r="J168" s="864"/>
      <c r="K168" s="799">
        <f t="shared" si="12"/>
        <v>0</v>
      </c>
      <c r="L168" s="883"/>
    </row>
    <row r="169" spans="1:12" s="884" customFormat="1" ht="24" customHeight="1">
      <c r="A169" s="878"/>
      <c r="B169" s="800" t="s">
        <v>1073</v>
      </c>
      <c r="C169" s="801"/>
      <c r="D169" s="801"/>
      <c r="E169" s="802">
        <v>3</v>
      </c>
      <c r="F169" s="803" t="s">
        <v>240</v>
      </c>
      <c r="G169" s="858">
        <v>600</v>
      </c>
      <c r="H169" s="864">
        <f t="shared" si="13"/>
        <v>1800</v>
      </c>
      <c r="I169" s="865"/>
      <c r="J169" s="864"/>
      <c r="K169" s="799">
        <f t="shared" si="12"/>
        <v>1800</v>
      </c>
      <c r="L169" s="887"/>
    </row>
    <row r="170" spans="1:12" s="884" customFormat="1" ht="24" customHeight="1">
      <c r="A170" s="831"/>
      <c r="B170" s="800" t="s">
        <v>1003</v>
      </c>
      <c r="C170" s="801"/>
      <c r="D170" s="801"/>
      <c r="E170" s="802">
        <v>3</v>
      </c>
      <c r="F170" s="803" t="s">
        <v>240</v>
      </c>
      <c r="G170" s="858">
        <v>120</v>
      </c>
      <c r="H170" s="864">
        <f t="shared" si="13"/>
        <v>360</v>
      </c>
      <c r="I170" s="865"/>
      <c r="J170" s="864"/>
      <c r="K170" s="799">
        <f t="shared" si="12"/>
        <v>360</v>
      </c>
      <c r="L170" s="887"/>
    </row>
    <row r="171" spans="1:12" s="884" customFormat="1" ht="24" customHeight="1">
      <c r="A171" s="831"/>
      <c r="B171" s="800" t="s">
        <v>1004</v>
      </c>
      <c r="C171" s="801"/>
      <c r="D171" s="801"/>
      <c r="E171" s="802">
        <v>3</v>
      </c>
      <c r="F171" s="803" t="s">
        <v>240</v>
      </c>
      <c r="G171" s="858">
        <v>100</v>
      </c>
      <c r="H171" s="864">
        <f t="shared" si="13"/>
        <v>300</v>
      </c>
      <c r="I171" s="865"/>
      <c r="J171" s="864"/>
      <c r="K171" s="799">
        <f t="shared" si="12"/>
        <v>300</v>
      </c>
      <c r="L171" s="883"/>
    </row>
    <row r="172" spans="1:12" s="884" customFormat="1" ht="24" customHeight="1">
      <c r="A172" s="831"/>
      <c r="B172" s="800" t="s">
        <v>1065</v>
      </c>
      <c r="C172" s="801"/>
      <c r="D172" s="801"/>
      <c r="E172" s="802">
        <v>4</v>
      </c>
      <c r="F172" s="803" t="s">
        <v>240</v>
      </c>
      <c r="G172" s="858">
        <v>15435</v>
      </c>
      <c r="H172" s="864">
        <f t="shared" si="13"/>
        <v>61740</v>
      </c>
      <c r="I172" s="865"/>
      <c r="J172" s="864"/>
      <c r="K172" s="799">
        <f t="shared" si="12"/>
        <v>61740</v>
      </c>
      <c r="L172" s="883"/>
    </row>
    <row r="173" spans="1:12" s="884" customFormat="1" ht="24" customHeight="1">
      <c r="A173" s="831" t="s">
        <v>3095</v>
      </c>
      <c r="B173" s="800" t="s">
        <v>1066</v>
      </c>
      <c r="C173" s="801"/>
      <c r="D173" s="801"/>
      <c r="E173" s="802">
        <v>1</v>
      </c>
      <c r="F173" s="803" t="s">
        <v>948</v>
      </c>
      <c r="G173" s="795">
        <v>33400</v>
      </c>
      <c r="H173" s="864">
        <f t="shared" si="13"/>
        <v>33400</v>
      </c>
      <c r="I173" s="865">
        <f>G173*0.3</f>
        <v>10020</v>
      </c>
      <c r="J173" s="864">
        <f>ROUND(E173*I173,)</f>
        <v>10020</v>
      </c>
      <c r="K173" s="799">
        <f t="shared" si="12"/>
        <v>43420</v>
      </c>
      <c r="L173" s="883"/>
    </row>
    <row r="174" spans="1:12" s="884" customFormat="1" ht="24" customHeight="1">
      <c r="A174" s="878" t="s">
        <v>962</v>
      </c>
      <c r="B174" s="894" t="s">
        <v>1118</v>
      </c>
      <c r="C174" s="895"/>
      <c r="D174" s="895"/>
      <c r="E174" s="896"/>
      <c r="F174" s="897"/>
      <c r="G174" s="858"/>
      <c r="H174" s="864"/>
      <c r="I174" s="865"/>
      <c r="J174" s="864"/>
      <c r="K174" s="799">
        <f t="shared" si="12"/>
        <v>0</v>
      </c>
      <c r="L174" s="887"/>
    </row>
    <row r="175" spans="1:12" s="884" customFormat="1" ht="24" customHeight="1">
      <c r="A175" s="831" t="s">
        <v>3096</v>
      </c>
      <c r="B175" s="800" t="s">
        <v>1053</v>
      </c>
      <c r="C175" s="801"/>
      <c r="D175" s="801"/>
      <c r="E175" s="802"/>
      <c r="F175" s="867"/>
      <c r="G175" s="858"/>
      <c r="H175" s="864"/>
      <c r="I175" s="865"/>
      <c r="J175" s="864"/>
      <c r="K175" s="799">
        <f t="shared" si="12"/>
        <v>0</v>
      </c>
      <c r="L175" s="887"/>
    </row>
    <row r="176" spans="1:12" s="884" customFormat="1" ht="24" customHeight="1">
      <c r="A176" s="2396"/>
      <c r="B176" s="720" t="s">
        <v>1054</v>
      </c>
      <c r="C176" s="792"/>
      <c r="D176" s="792"/>
      <c r="E176" s="793">
        <v>1</v>
      </c>
      <c r="F176" s="722" t="s">
        <v>240</v>
      </c>
      <c r="G176" s="795">
        <v>2400</v>
      </c>
      <c r="H176" s="796">
        <f t="shared" ref="H176:H197" si="14">ROUND(G176*E176,)</f>
        <v>2400</v>
      </c>
      <c r="I176" s="797"/>
      <c r="J176" s="796"/>
      <c r="K176" s="799">
        <f t="shared" si="12"/>
        <v>2400</v>
      </c>
      <c r="L176" s="883"/>
    </row>
    <row r="177" spans="1:12" s="884" customFormat="1" ht="24" customHeight="1">
      <c r="A177" s="831"/>
      <c r="B177" s="720" t="s">
        <v>1055</v>
      </c>
      <c r="C177" s="792"/>
      <c r="D177" s="792"/>
      <c r="E177" s="793">
        <v>1</v>
      </c>
      <c r="F177" s="722" t="s">
        <v>240</v>
      </c>
      <c r="G177" s="795">
        <v>2400</v>
      </c>
      <c r="H177" s="796">
        <f t="shared" si="14"/>
        <v>2400</v>
      </c>
      <c r="I177" s="797"/>
      <c r="J177" s="796"/>
      <c r="K177" s="799">
        <f t="shared" si="12"/>
        <v>2400</v>
      </c>
      <c r="L177" s="883"/>
    </row>
    <row r="178" spans="1:12" s="884" customFormat="1" ht="24" customHeight="1">
      <c r="A178" s="831"/>
      <c r="B178" s="720" t="s">
        <v>1056</v>
      </c>
      <c r="C178" s="792"/>
      <c r="D178" s="792"/>
      <c r="E178" s="793"/>
      <c r="F178" s="722" t="s">
        <v>240</v>
      </c>
      <c r="G178" s="795">
        <v>2400</v>
      </c>
      <c r="H178" s="796">
        <f t="shared" si="14"/>
        <v>0</v>
      </c>
      <c r="I178" s="797"/>
      <c r="J178" s="796"/>
      <c r="K178" s="799">
        <f t="shared" si="12"/>
        <v>0</v>
      </c>
      <c r="L178" s="883"/>
    </row>
    <row r="179" spans="1:12" s="884" customFormat="1" ht="24" customHeight="1">
      <c r="A179" s="831"/>
      <c r="B179" s="720" t="s">
        <v>1057</v>
      </c>
      <c r="C179" s="792"/>
      <c r="D179" s="792"/>
      <c r="E179" s="793">
        <v>1</v>
      </c>
      <c r="F179" s="722" t="s">
        <v>240</v>
      </c>
      <c r="G179" s="795">
        <v>2400</v>
      </c>
      <c r="H179" s="796">
        <f t="shared" si="14"/>
        <v>2400</v>
      </c>
      <c r="I179" s="797"/>
      <c r="J179" s="796"/>
      <c r="K179" s="799">
        <f t="shared" si="12"/>
        <v>2400</v>
      </c>
      <c r="L179" s="883"/>
    </row>
    <row r="180" spans="1:12" s="884" customFormat="1" ht="24" customHeight="1">
      <c r="A180" s="831"/>
      <c r="B180" s="720" t="s">
        <v>1058</v>
      </c>
      <c r="C180" s="792"/>
      <c r="D180" s="792"/>
      <c r="E180" s="793"/>
      <c r="F180" s="722" t="s">
        <v>240</v>
      </c>
      <c r="G180" s="795">
        <v>2400</v>
      </c>
      <c r="H180" s="796">
        <f t="shared" si="14"/>
        <v>0</v>
      </c>
      <c r="I180" s="797"/>
      <c r="J180" s="796"/>
      <c r="K180" s="799">
        <f t="shared" si="12"/>
        <v>0</v>
      </c>
      <c r="L180" s="883"/>
    </row>
    <row r="181" spans="1:12" s="884" customFormat="1" ht="24" customHeight="1">
      <c r="A181" s="831"/>
      <c r="B181" s="720" t="s">
        <v>1059</v>
      </c>
      <c r="C181" s="792"/>
      <c r="D181" s="792"/>
      <c r="E181" s="793"/>
      <c r="F181" s="722" t="s">
        <v>240</v>
      </c>
      <c r="G181" s="795">
        <v>2600</v>
      </c>
      <c r="H181" s="796">
        <f t="shared" si="14"/>
        <v>0</v>
      </c>
      <c r="I181" s="797"/>
      <c r="J181" s="796"/>
      <c r="K181" s="799">
        <f t="shared" si="12"/>
        <v>0</v>
      </c>
      <c r="L181" s="883"/>
    </row>
    <row r="182" spans="1:12" s="884" customFormat="1" ht="24" customHeight="1">
      <c r="A182" s="831"/>
      <c r="B182" s="720" t="s">
        <v>1060</v>
      </c>
      <c r="C182" s="792"/>
      <c r="D182" s="792"/>
      <c r="E182" s="793"/>
      <c r="F182" s="722" t="s">
        <v>240</v>
      </c>
      <c r="G182" s="795">
        <v>3000</v>
      </c>
      <c r="H182" s="796">
        <f t="shared" si="14"/>
        <v>0</v>
      </c>
      <c r="I182" s="797"/>
      <c r="J182" s="796"/>
      <c r="K182" s="799">
        <f t="shared" si="12"/>
        <v>0</v>
      </c>
      <c r="L182" s="887"/>
    </row>
    <row r="183" spans="1:12" s="884" customFormat="1" ht="24" customHeight="1">
      <c r="A183" s="831"/>
      <c r="B183" s="720" t="s">
        <v>1088</v>
      </c>
      <c r="C183" s="801"/>
      <c r="D183" s="801"/>
      <c r="E183" s="802"/>
      <c r="F183" s="803" t="s">
        <v>240</v>
      </c>
      <c r="G183" s="795">
        <v>5000</v>
      </c>
      <c r="H183" s="864">
        <f t="shared" si="14"/>
        <v>0</v>
      </c>
      <c r="I183" s="865"/>
      <c r="J183" s="864"/>
      <c r="K183" s="799">
        <f t="shared" si="12"/>
        <v>0</v>
      </c>
      <c r="L183" s="887"/>
    </row>
    <row r="184" spans="1:12" s="884" customFormat="1" ht="24" customHeight="1">
      <c r="A184" s="831"/>
      <c r="B184" s="720" t="s">
        <v>1105</v>
      </c>
      <c r="C184" s="801"/>
      <c r="D184" s="801"/>
      <c r="E184" s="802"/>
      <c r="F184" s="803" t="s">
        <v>240</v>
      </c>
      <c r="G184" s="795">
        <v>5700</v>
      </c>
      <c r="H184" s="864">
        <f t="shared" si="14"/>
        <v>0</v>
      </c>
      <c r="I184" s="865"/>
      <c r="J184" s="864"/>
      <c r="K184" s="799">
        <f t="shared" si="12"/>
        <v>0</v>
      </c>
      <c r="L184" s="887"/>
    </row>
    <row r="185" spans="1:12" s="884" customFormat="1" ht="24" customHeight="1">
      <c r="A185" s="831"/>
      <c r="B185" s="720" t="s">
        <v>1086</v>
      </c>
      <c r="C185" s="801"/>
      <c r="D185" s="801"/>
      <c r="E185" s="802"/>
      <c r="F185" s="803" t="s">
        <v>240</v>
      </c>
      <c r="G185" s="795">
        <v>5700</v>
      </c>
      <c r="H185" s="864">
        <f t="shared" si="14"/>
        <v>0</v>
      </c>
      <c r="I185" s="865"/>
      <c r="J185" s="864"/>
      <c r="K185" s="799">
        <f t="shared" si="12"/>
        <v>0</v>
      </c>
      <c r="L185" s="887"/>
    </row>
    <row r="186" spans="1:12" s="884" customFormat="1" ht="24" customHeight="1">
      <c r="A186" s="2396"/>
      <c r="B186" s="720" t="s">
        <v>1061</v>
      </c>
      <c r="C186" s="801"/>
      <c r="D186" s="801"/>
      <c r="E186" s="802"/>
      <c r="F186" s="803" t="s">
        <v>240</v>
      </c>
      <c r="G186" s="795">
        <v>8600</v>
      </c>
      <c r="H186" s="864">
        <f t="shared" si="14"/>
        <v>0</v>
      </c>
      <c r="I186" s="865"/>
      <c r="J186" s="864"/>
      <c r="K186" s="799">
        <f t="shared" si="12"/>
        <v>0</v>
      </c>
      <c r="L186" s="887"/>
    </row>
    <row r="187" spans="1:12" s="884" customFormat="1" ht="24" customHeight="1">
      <c r="A187" s="831"/>
      <c r="B187" s="720" t="s">
        <v>1062</v>
      </c>
      <c r="C187" s="801"/>
      <c r="D187" s="801"/>
      <c r="E187" s="802"/>
      <c r="F187" s="803" t="s">
        <v>240</v>
      </c>
      <c r="G187" s="795">
        <v>8600</v>
      </c>
      <c r="H187" s="864">
        <f t="shared" si="14"/>
        <v>0</v>
      </c>
      <c r="I187" s="865"/>
      <c r="J187" s="864"/>
      <c r="K187" s="799">
        <f t="shared" si="12"/>
        <v>0</v>
      </c>
      <c r="L187" s="887"/>
    </row>
    <row r="188" spans="1:12" s="884" customFormat="1" ht="24" customHeight="1">
      <c r="A188" s="831"/>
      <c r="B188" s="720" t="s">
        <v>1063</v>
      </c>
      <c r="C188" s="801"/>
      <c r="D188" s="801"/>
      <c r="E188" s="802"/>
      <c r="F188" s="803" t="s">
        <v>240</v>
      </c>
      <c r="G188" s="795">
        <v>11500</v>
      </c>
      <c r="H188" s="864">
        <f t="shared" si="14"/>
        <v>0</v>
      </c>
      <c r="I188" s="865"/>
      <c r="J188" s="864"/>
      <c r="K188" s="799">
        <f t="shared" si="12"/>
        <v>0</v>
      </c>
      <c r="L188" s="887"/>
    </row>
    <row r="189" spans="1:12" s="884" customFormat="1" ht="24" customHeight="1">
      <c r="A189" s="831"/>
      <c r="B189" s="720" t="s">
        <v>1106</v>
      </c>
      <c r="C189" s="801"/>
      <c r="D189" s="801"/>
      <c r="E189" s="802"/>
      <c r="F189" s="803" t="s">
        <v>240</v>
      </c>
      <c r="G189" s="795">
        <v>20200</v>
      </c>
      <c r="H189" s="864">
        <f t="shared" si="14"/>
        <v>0</v>
      </c>
      <c r="I189" s="865"/>
      <c r="J189" s="864"/>
      <c r="K189" s="799">
        <f t="shared" si="12"/>
        <v>0</v>
      </c>
      <c r="L189" s="887"/>
    </row>
    <row r="190" spans="1:12" s="884" customFormat="1" ht="24" customHeight="1">
      <c r="A190" s="831"/>
      <c r="B190" s="720" t="s">
        <v>1107</v>
      </c>
      <c r="C190" s="801"/>
      <c r="D190" s="801"/>
      <c r="E190" s="802"/>
      <c r="F190" s="803" t="s">
        <v>240</v>
      </c>
      <c r="G190" s="795">
        <v>20200</v>
      </c>
      <c r="H190" s="864">
        <f t="shared" si="14"/>
        <v>0</v>
      </c>
      <c r="I190" s="865"/>
      <c r="J190" s="864"/>
      <c r="K190" s="799">
        <f t="shared" si="12"/>
        <v>0</v>
      </c>
      <c r="L190" s="887"/>
    </row>
    <row r="191" spans="1:12" s="884" customFormat="1" ht="24" customHeight="1">
      <c r="A191" s="2396"/>
      <c r="B191" s="720" t="s">
        <v>1108</v>
      </c>
      <c r="C191" s="801"/>
      <c r="D191" s="801"/>
      <c r="E191" s="802"/>
      <c r="F191" s="803" t="s">
        <v>240</v>
      </c>
      <c r="G191" s="795">
        <v>20200</v>
      </c>
      <c r="H191" s="864">
        <f t="shared" si="14"/>
        <v>0</v>
      </c>
      <c r="I191" s="865"/>
      <c r="J191" s="864"/>
      <c r="K191" s="799">
        <f t="shared" si="12"/>
        <v>0</v>
      </c>
      <c r="L191" s="887"/>
    </row>
    <row r="192" spans="1:12" s="884" customFormat="1" ht="24" customHeight="1">
      <c r="A192" s="831" t="s">
        <v>3097</v>
      </c>
      <c r="B192" s="800" t="s">
        <v>1001</v>
      </c>
      <c r="C192" s="801"/>
      <c r="D192" s="801"/>
      <c r="E192" s="802"/>
      <c r="F192" s="867"/>
      <c r="G192" s="858"/>
      <c r="H192" s="864">
        <f t="shared" si="14"/>
        <v>0</v>
      </c>
      <c r="I192" s="865"/>
      <c r="J192" s="864"/>
      <c r="K192" s="799">
        <f t="shared" si="12"/>
        <v>0</v>
      </c>
      <c r="L192" s="887"/>
    </row>
    <row r="193" spans="1:17" s="884" customFormat="1" ht="24" customHeight="1">
      <c r="A193" s="831"/>
      <c r="B193" s="800" t="s">
        <v>1114</v>
      </c>
      <c r="C193" s="801"/>
      <c r="D193" s="801"/>
      <c r="E193" s="802">
        <v>3</v>
      </c>
      <c r="F193" s="803" t="s">
        <v>240</v>
      </c>
      <c r="G193" s="858">
        <v>600</v>
      </c>
      <c r="H193" s="864">
        <f t="shared" si="14"/>
        <v>1800</v>
      </c>
      <c r="I193" s="865"/>
      <c r="J193" s="864"/>
      <c r="K193" s="799">
        <f t="shared" si="12"/>
        <v>1800</v>
      </c>
      <c r="L193" s="887"/>
    </row>
    <row r="194" spans="1:17" s="884" customFormat="1" ht="24" customHeight="1">
      <c r="A194" s="831"/>
      <c r="B194" s="800" t="s">
        <v>1003</v>
      </c>
      <c r="C194" s="801"/>
      <c r="D194" s="801"/>
      <c r="E194" s="802">
        <v>3</v>
      </c>
      <c r="F194" s="803" t="s">
        <v>240</v>
      </c>
      <c r="G194" s="858">
        <v>120</v>
      </c>
      <c r="H194" s="864">
        <f t="shared" si="14"/>
        <v>360</v>
      </c>
      <c r="I194" s="865"/>
      <c r="J194" s="864"/>
      <c r="K194" s="799">
        <f t="shared" si="12"/>
        <v>360</v>
      </c>
      <c r="L194" s="887"/>
    </row>
    <row r="195" spans="1:17" s="884" customFormat="1" ht="24" customHeight="1">
      <c r="A195" s="2396"/>
      <c r="B195" s="800" t="s">
        <v>1004</v>
      </c>
      <c r="C195" s="801"/>
      <c r="D195" s="801"/>
      <c r="E195" s="802">
        <v>3</v>
      </c>
      <c r="F195" s="803" t="s">
        <v>240</v>
      </c>
      <c r="G195" s="858">
        <v>100</v>
      </c>
      <c r="H195" s="864">
        <f t="shared" si="14"/>
        <v>300</v>
      </c>
      <c r="I195" s="865"/>
      <c r="J195" s="864"/>
      <c r="K195" s="799">
        <f t="shared" si="12"/>
        <v>300</v>
      </c>
      <c r="L195" s="887"/>
    </row>
    <row r="196" spans="1:17" s="884" customFormat="1" ht="24" customHeight="1">
      <c r="A196" s="1422"/>
      <c r="B196" s="800" t="s">
        <v>1065</v>
      </c>
      <c r="C196" s="801"/>
      <c r="D196" s="801"/>
      <c r="E196" s="802">
        <v>1</v>
      </c>
      <c r="F196" s="803" t="s">
        <v>240</v>
      </c>
      <c r="G196" s="858">
        <v>15435</v>
      </c>
      <c r="H196" s="864">
        <f t="shared" si="14"/>
        <v>15435</v>
      </c>
      <c r="I196" s="865"/>
      <c r="J196" s="864"/>
      <c r="K196" s="799">
        <f t="shared" si="12"/>
        <v>15435</v>
      </c>
      <c r="L196" s="887"/>
    </row>
    <row r="197" spans="1:17" s="714" customFormat="1" ht="24" customHeight="1">
      <c r="A197" s="831" t="s">
        <v>3098</v>
      </c>
      <c r="B197" s="800" t="s">
        <v>1066</v>
      </c>
      <c r="C197" s="801"/>
      <c r="D197" s="801"/>
      <c r="E197" s="802">
        <v>1</v>
      </c>
      <c r="F197" s="803" t="s">
        <v>948</v>
      </c>
      <c r="G197" s="795">
        <v>33400</v>
      </c>
      <c r="H197" s="864">
        <f t="shared" si="14"/>
        <v>33400</v>
      </c>
      <c r="I197" s="865">
        <f>G197*0.3</f>
        <v>10020</v>
      </c>
      <c r="J197" s="864">
        <f>ROUND(E197*I197,)</f>
        <v>10020</v>
      </c>
      <c r="K197" s="799">
        <f t="shared" si="12"/>
        <v>43420</v>
      </c>
      <c r="L197" s="887"/>
      <c r="M197" s="729"/>
      <c r="N197" s="729"/>
      <c r="O197" s="729"/>
      <c r="P197" s="729"/>
      <c r="Q197" s="729"/>
    </row>
    <row r="198" spans="1:17" s="884" customFormat="1" ht="24" customHeight="1">
      <c r="A198" s="878" t="s">
        <v>1415</v>
      </c>
      <c r="B198" s="894" t="s">
        <v>1129</v>
      </c>
      <c r="C198" s="895"/>
      <c r="D198" s="895"/>
      <c r="E198" s="896"/>
      <c r="F198" s="897"/>
      <c r="G198" s="858"/>
      <c r="H198" s="864"/>
      <c r="I198" s="865"/>
      <c r="J198" s="864"/>
      <c r="K198" s="799">
        <f t="shared" si="12"/>
        <v>0</v>
      </c>
      <c r="L198" s="887"/>
    </row>
    <row r="199" spans="1:17" s="884" customFormat="1" ht="24" customHeight="1">
      <c r="A199" s="831" t="s">
        <v>3104</v>
      </c>
      <c r="B199" s="800" t="s">
        <v>1053</v>
      </c>
      <c r="C199" s="801"/>
      <c r="D199" s="801"/>
      <c r="E199" s="802"/>
      <c r="F199" s="867"/>
      <c r="G199" s="858"/>
      <c r="H199" s="864"/>
      <c r="I199" s="865"/>
      <c r="J199" s="864"/>
      <c r="K199" s="799">
        <f t="shared" si="12"/>
        <v>0</v>
      </c>
      <c r="L199" s="887"/>
    </row>
    <row r="200" spans="1:17" s="884" customFormat="1" ht="24" customHeight="1">
      <c r="A200" s="831"/>
      <c r="B200" s="720" t="s">
        <v>1055</v>
      </c>
      <c r="C200" s="792"/>
      <c r="D200" s="792"/>
      <c r="E200" s="793">
        <v>1</v>
      </c>
      <c r="F200" s="722" t="s">
        <v>240</v>
      </c>
      <c r="G200" s="795">
        <v>2400</v>
      </c>
      <c r="H200" s="796">
        <f t="shared" ref="H200:H220" si="15">ROUND(G200*E200,)</f>
        <v>2400</v>
      </c>
      <c r="I200" s="797"/>
      <c r="J200" s="796"/>
      <c r="K200" s="799">
        <f t="shared" si="12"/>
        <v>2400</v>
      </c>
      <c r="L200" s="883"/>
    </row>
    <row r="201" spans="1:17" s="884" customFormat="1" ht="24" customHeight="1">
      <c r="A201" s="831"/>
      <c r="B201" s="720" t="s">
        <v>1056</v>
      </c>
      <c r="C201" s="792"/>
      <c r="D201" s="792"/>
      <c r="E201" s="793"/>
      <c r="F201" s="722" t="s">
        <v>240</v>
      </c>
      <c r="G201" s="795">
        <v>2400</v>
      </c>
      <c r="H201" s="796">
        <f t="shared" si="15"/>
        <v>0</v>
      </c>
      <c r="I201" s="797"/>
      <c r="J201" s="796"/>
      <c r="K201" s="799">
        <f t="shared" si="12"/>
        <v>0</v>
      </c>
      <c r="L201" s="883"/>
    </row>
    <row r="202" spans="1:17" s="884" customFormat="1" ht="24" customHeight="1">
      <c r="A202" s="831"/>
      <c r="B202" s="720" t="s">
        <v>1057</v>
      </c>
      <c r="C202" s="792"/>
      <c r="D202" s="792"/>
      <c r="E202" s="793"/>
      <c r="F202" s="722" t="s">
        <v>240</v>
      </c>
      <c r="G202" s="795">
        <v>2400</v>
      </c>
      <c r="H202" s="796">
        <f t="shared" si="15"/>
        <v>0</v>
      </c>
      <c r="I202" s="797"/>
      <c r="J202" s="796"/>
      <c r="K202" s="799">
        <f t="shared" si="12"/>
        <v>0</v>
      </c>
      <c r="L202" s="883"/>
    </row>
    <row r="203" spans="1:17" s="884" customFormat="1" ht="24" customHeight="1">
      <c r="A203" s="831"/>
      <c r="B203" s="720" t="s">
        <v>1058</v>
      </c>
      <c r="C203" s="792"/>
      <c r="D203" s="792"/>
      <c r="E203" s="793"/>
      <c r="F203" s="722" t="s">
        <v>240</v>
      </c>
      <c r="G203" s="795">
        <v>2400</v>
      </c>
      <c r="H203" s="796">
        <f t="shared" si="15"/>
        <v>0</v>
      </c>
      <c r="I203" s="797"/>
      <c r="J203" s="796"/>
      <c r="K203" s="799">
        <f t="shared" si="12"/>
        <v>0</v>
      </c>
      <c r="L203" s="883"/>
    </row>
    <row r="204" spans="1:17" s="884" customFormat="1" ht="24" customHeight="1">
      <c r="A204" s="831"/>
      <c r="B204" s="720" t="s">
        <v>1059</v>
      </c>
      <c r="C204" s="792"/>
      <c r="D204" s="792"/>
      <c r="E204" s="793"/>
      <c r="F204" s="722" t="s">
        <v>240</v>
      </c>
      <c r="G204" s="795">
        <v>2600</v>
      </c>
      <c r="H204" s="796">
        <f t="shared" si="15"/>
        <v>0</v>
      </c>
      <c r="I204" s="797"/>
      <c r="J204" s="796"/>
      <c r="K204" s="799">
        <f t="shared" si="12"/>
        <v>0</v>
      </c>
      <c r="L204" s="883"/>
    </row>
    <row r="205" spans="1:17" s="884" customFormat="1" ht="24" customHeight="1">
      <c r="A205" s="831"/>
      <c r="B205" s="720" t="s">
        <v>1060</v>
      </c>
      <c r="C205" s="792"/>
      <c r="D205" s="792"/>
      <c r="E205" s="793"/>
      <c r="F205" s="722" t="s">
        <v>240</v>
      </c>
      <c r="G205" s="795">
        <v>3000</v>
      </c>
      <c r="H205" s="796">
        <f t="shared" si="15"/>
        <v>0</v>
      </c>
      <c r="I205" s="797"/>
      <c r="J205" s="796"/>
      <c r="K205" s="799">
        <f t="shared" si="12"/>
        <v>0</v>
      </c>
      <c r="L205" s="883"/>
    </row>
    <row r="206" spans="1:17" s="884" customFormat="1" ht="24" customHeight="1">
      <c r="A206" s="831"/>
      <c r="B206" s="720" t="s">
        <v>1088</v>
      </c>
      <c r="C206" s="801"/>
      <c r="D206" s="801"/>
      <c r="E206" s="802"/>
      <c r="F206" s="803" t="s">
        <v>240</v>
      </c>
      <c r="G206" s="858">
        <v>2400</v>
      </c>
      <c r="H206" s="864">
        <f t="shared" si="15"/>
        <v>0</v>
      </c>
      <c r="I206" s="865"/>
      <c r="J206" s="864"/>
      <c r="K206" s="799">
        <f t="shared" si="12"/>
        <v>0</v>
      </c>
      <c r="L206" s="887"/>
    </row>
    <row r="207" spans="1:17" s="884" customFormat="1" ht="24" customHeight="1">
      <c r="A207" s="831"/>
      <c r="B207" s="720" t="s">
        <v>1105</v>
      </c>
      <c r="C207" s="801"/>
      <c r="D207" s="801"/>
      <c r="E207" s="802"/>
      <c r="F207" s="803" t="s">
        <v>240</v>
      </c>
      <c r="G207" s="858">
        <v>2400</v>
      </c>
      <c r="H207" s="864">
        <f t="shared" si="15"/>
        <v>0</v>
      </c>
      <c r="I207" s="865"/>
      <c r="J207" s="864"/>
      <c r="K207" s="799">
        <f t="shared" si="12"/>
        <v>0</v>
      </c>
      <c r="L207" s="887"/>
    </row>
    <row r="208" spans="1:17" s="884" customFormat="1" ht="24" customHeight="1">
      <c r="A208" s="831"/>
      <c r="B208" s="720" t="s">
        <v>1086</v>
      </c>
      <c r="C208" s="801"/>
      <c r="D208" s="801"/>
      <c r="E208" s="802"/>
      <c r="F208" s="803" t="s">
        <v>240</v>
      </c>
      <c r="G208" s="858">
        <v>3000</v>
      </c>
      <c r="H208" s="864">
        <f t="shared" si="15"/>
        <v>0</v>
      </c>
      <c r="I208" s="865"/>
      <c r="J208" s="864"/>
      <c r="K208" s="799">
        <f t="shared" si="12"/>
        <v>0</v>
      </c>
      <c r="L208" s="887"/>
    </row>
    <row r="209" spans="1:12" s="884" customFormat="1" ht="24" customHeight="1">
      <c r="A209" s="831"/>
      <c r="B209" s="720" t="s">
        <v>1061</v>
      </c>
      <c r="C209" s="801"/>
      <c r="D209" s="801"/>
      <c r="E209" s="802"/>
      <c r="F209" s="803" t="s">
        <v>240</v>
      </c>
      <c r="G209" s="858">
        <v>5700</v>
      </c>
      <c r="H209" s="864">
        <f t="shared" si="15"/>
        <v>0</v>
      </c>
      <c r="I209" s="865"/>
      <c r="J209" s="864"/>
      <c r="K209" s="799">
        <f t="shared" si="12"/>
        <v>0</v>
      </c>
      <c r="L209" s="887"/>
    </row>
    <row r="210" spans="1:12" s="884" customFormat="1" ht="24" customHeight="1">
      <c r="A210" s="2396"/>
      <c r="B210" s="720" t="s">
        <v>1062</v>
      </c>
      <c r="C210" s="801"/>
      <c r="D210" s="801"/>
      <c r="E210" s="802"/>
      <c r="F210" s="803" t="s">
        <v>240</v>
      </c>
      <c r="G210" s="858">
        <v>5700</v>
      </c>
      <c r="H210" s="864">
        <f t="shared" si="15"/>
        <v>0</v>
      </c>
      <c r="I210" s="865"/>
      <c r="J210" s="864"/>
      <c r="K210" s="799">
        <f t="shared" si="12"/>
        <v>0</v>
      </c>
      <c r="L210" s="887"/>
    </row>
    <row r="211" spans="1:12" s="884" customFormat="1" ht="24" customHeight="1">
      <c r="A211" s="831"/>
      <c r="B211" s="720" t="s">
        <v>1063</v>
      </c>
      <c r="C211" s="801"/>
      <c r="D211" s="801"/>
      <c r="E211" s="802"/>
      <c r="F211" s="803" t="s">
        <v>240</v>
      </c>
      <c r="G211" s="858">
        <v>5700</v>
      </c>
      <c r="H211" s="864">
        <f t="shared" si="15"/>
        <v>0</v>
      </c>
      <c r="I211" s="865"/>
      <c r="J211" s="864"/>
      <c r="K211" s="799">
        <f t="shared" si="12"/>
        <v>0</v>
      </c>
      <c r="L211" s="887"/>
    </row>
    <row r="212" spans="1:12" s="884" customFormat="1" ht="24" customHeight="1">
      <c r="A212" s="831"/>
      <c r="B212" s="720" t="s">
        <v>1106</v>
      </c>
      <c r="C212" s="801"/>
      <c r="D212" s="801"/>
      <c r="E212" s="802"/>
      <c r="F212" s="803" t="s">
        <v>240</v>
      </c>
      <c r="G212" s="858">
        <v>5700</v>
      </c>
      <c r="H212" s="864">
        <f t="shared" si="15"/>
        <v>0</v>
      </c>
      <c r="I212" s="865"/>
      <c r="J212" s="864"/>
      <c r="K212" s="799">
        <f t="shared" si="12"/>
        <v>0</v>
      </c>
      <c r="L212" s="887"/>
    </row>
    <row r="213" spans="1:12" s="884" customFormat="1" ht="24" customHeight="1">
      <c r="A213" s="831"/>
      <c r="B213" s="720" t="s">
        <v>1107</v>
      </c>
      <c r="C213" s="801"/>
      <c r="D213" s="801"/>
      <c r="E213" s="802"/>
      <c r="F213" s="803" t="s">
        <v>240</v>
      </c>
      <c r="G213" s="858">
        <v>5700</v>
      </c>
      <c r="H213" s="864">
        <f t="shared" si="15"/>
        <v>0</v>
      </c>
      <c r="I213" s="865"/>
      <c r="J213" s="864"/>
      <c r="K213" s="799">
        <f t="shared" si="12"/>
        <v>0</v>
      </c>
      <c r="L213" s="887"/>
    </row>
    <row r="214" spans="1:12" s="884" customFormat="1" ht="24" customHeight="1">
      <c r="A214" s="831"/>
      <c r="B214" s="720" t="s">
        <v>1108</v>
      </c>
      <c r="C214" s="801"/>
      <c r="D214" s="801"/>
      <c r="E214" s="802"/>
      <c r="F214" s="803" t="s">
        <v>240</v>
      </c>
      <c r="G214" s="858">
        <v>5700</v>
      </c>
      <c r="H214" s="864">
        <f t="shared" si="15"/>
        <v>0</v>
      </c>
      <c r="I214" s="865"/>
      <c r="J214" s="864"/>
      <c r="K214" s="799">
        <f t="shared" si="12"/>
        <v>0</v>
      </c>
      <c r="L214" s="887"/>
    </row>
    <row r="215" spans="1:12" s="884" customFormat="1" ht="24" customHeight="1">
      <c r="A215" s="831" t="s">
        <v>3105</v>
      </c>
      <c r="B215" s="800" t="s">
        <v>1001</v>
      </c>
      <c r="C215" s="801"/>
      <c r="D215" s="801"/>
      <c r="E215" s="802"/>
      <c r="F215" s="867"/>
      <c r="G215" s="858"/>
      <c r="H215" s="864">
        <f t="shared" si="15"/>
        <v>0</v>
      </c>
      <c r="I215" s="865"/>
      <c r="J215" s="864"/>
      <c r="K215" s="799">
        <f t="shared" ref="K215:K244" si="16">H215+J215</f>
        <v>0</v>
      </c>
      <c r="L215" s="887"/>
    </row>
    <row r="216" spans="1:12" s="884" customFormat="1" ht="24" customHeight="1">
      <c r="A216" s="831"/>
      <c r="B216" s="800" t="s">
        <v>1073</v>
      </c>
      <c r="C216" s="801"/>
      <c r="D216" s="801"/>
      <c r="E216" s="802">
        <v>3</v>
      </c>
      <c r="F216" s="803" t="s">
        <v>240</v>
      </c>
      <c r="G216" s="858">
        <v>600</v>
      </c>
      <c r="H216" s="864">
        <f t="shared" si="15"/>
        <v>1800</v>
      </c>
      <c r="I216" s="865"/>
      <c r="J216" s="864"/>
      <c r="K216" s="799">
        <f t="shared" si="16"/>
        <v>1800</v>
      </c>
      <c r="L216" s="887"/>
    </row>
    <row r="217" spans="1:12" s="884" customFormat="1" ht="24" customHeight="1">
      <c r="A217" s="831"/>
      <c r="B217" s="800" t="s">
        <v>1003</v>
      </c>
      <c r="C217" s="801"/>
      <c r="D217" s="801"/>
      <c r="E217" s="802">
        <v>3</v>
      </c>
      <c r="F217" s="803" t="s">
        <v>240</v>
      </c>
      <c r="G217" s="858">
        <v>120</v>
      </c>
      <c r="H217" s="864">
        <f t="shared" si="15"/>
        <v>360</v>
      </c>
      <c r="I217" s="865"/>
      <c r="J217" s="864"/>
      <c r="K217" s="799">
        <f t="shared" si="16"/>
        <v>360</v>
      </c>
      <c r="L217" s="887"/>
    </row>
    <row r="218" spans="1:12" s="884" customFormat="1" ht="24" customHeight="1">
      <c r="A218" s="831"/>
      <c r="B218" s="800" t="s">
        <v>1004</v>
      </c>
      <c r="C218" s="801"/>
      <c r="D218" s="801"/>
      <c r="E218" s="802">
        <v>3</v>
      </c>
      <c r="F218" s="803" t="s">
        <v>240</v>
      </c>
      <c r="G218" s="858">
        <v>100</v>
      </c>
      <c r="H218" s="864">
        <f t="shared" si="15"/>
        <v>300</v>
      </c>
      <c r="I218" s="865"/>
      <c r="J218" s="864"/>
      <c r="K218" s="799">
        <f t="shared" si="16"/>
        <v>300</v>
      </c>
      <c r="L218" s="887"/>
    </row>
    <row r="219" spans="1:12" s="884" customFormat="1" ht="24" customHeight="1">
      <c r="A219" s="2396"/>
      <c r="B219" s="800" t="s">
        <v>1065</v>
      </c>
      <c r="C219" s="801"/>
      <c r="D219" s="801"/>
      <c r="E219" s="802">
        <v>4</v>
      </c>
      <c r="F219" s="803" t="s">
        <v>240</v>
      </c>
      <c r="G219" s="858">
        <v>15435</v>
      </c>
      <c r="H219" s="864">
        <f t="shared" si="15"/>
        <v>61740</v>
      </c>
      <c r="I219" s="865"/>
      <c r="J219" s="864"/>
      <c r="K219" s="799">
        <f t="shared" si="16"/>
        <v>61740</v>
      </c>
      <c r="L219" s="887"/>
    </row>
    <row r="220" spans="1:12" s="884" customFormat="1" ht="24" customHeight="1">
      <c r="A220" s="831" t="s">
        <v>3106</v>
      </c>
      <c r="B220" s="800" t="s">
        <v>1066</v>
      </c>
      <c r="C220" s="801"/>
      <c r="D220" s="801"/>
      <c r="E220" s="802">
        <v>1</v>
      </c>
      <c r="F220" s="803" t="s">
        <v>948</v>
      </c>
      <c r="G220" s="795">
        <v>33400</v>
      </c>
      <c r="H220" s="864">
        <f t="shared" si="15"/>
        <v>33400</v>
      </c>
      <c r="I220" s="865">
        <f>G220*0.3</f>
        <v>10020</v>
      </c>
      <c r="J220" s="864">
        <f>ROUND(E220*I220,)</f>
        <v>10020</v>
      </c>
      <c r="K220" s="799">
        <f t="shared" si="16"/>
        <v>43420</v>
      </c>
      <c r="L220" s="887"/>
    </row>
    <row r="221" spans="1:12" s="884" customFormat="1" ht="24" customHeight="1">
      <c r="A221" s="878" t="s">
        <v>3117</v>
      </c>
      <c r="B221" s="894" t="s">
        <v>1130</v>
      </c>
      <c r="C221" s="895"/>
      <c r="D221" s="895"/>
      <c r="E221" s="896"/>
      <c r="F221" s="897"/>
      <c r="G221" s="858"/>
      <c r="H221" s="864"/>
      <c r="I221" s="865"/>
      <c r="J221" s="864"/>
      <c r="K221" s="799">
        <f t="shared" si="16"/>
        <v>0</v>
      </c>
      <c r="L221" s="887"/>
    </row>
    <row r="222" spans="1:12" s="884" customFormat="1" ht="24" customHeight="1">
      <c r="A222" s="831" t="s">
        <v>3118</v>
      </c>
      <c r="B222" s="800" t="s">
        <v>1053</v>
      </c>
      <c r="C222" s="801"/>
      <c r="D222" s="801"/>
      <c r="E222" s="802"/>
      <c r="F222" s="867"/>
      <c r="G222" s="858"/>
      <c r="H222" s="864"/>
      <c r="I222" s="865"/>
      <c r="J222" s="864"/>
      <c r="K222" s="799">
        <f t="shared" si="16"/>
        <v>0</v>
      </c>
      <c r="L222" s="887"/>
    </row>
    <row r="223" spans="1:12" s="884" customFormat="1" ht="24" customHeight="1">
      <c r="A223" s="831"/>
      <c r="B223" s="720" t="s">
        <v>1054</v>
      </c>
      <c r="C223" s="792"/>
      <c r="D223" s="792"/>
      <c r="E223" s="793">
        <v>1</v>
      </c>
      <c r="F223" s="722" t="s">
        <v>240</v>
      </c>
      <c r="G223" s="795">
        <v>2400</v>
      </c>
      <c r="H223" s="796">
        <f t="shared" ref="H223:H244" si="17">ROUND(G223*E223,)</f>
        <v>2400</v>
      </c>
      <c r="I223" s="797"/>
      <c r="J223" s="796"/>
      <c r="K223" s="799">
        <f t="shared" si="16"/>
        <v>2400</v>
      </c>
      <c r="L223" s="883"/>
    </row>
    <row r="224" spans="1:12" s="884" customFormat="1" ht="24" customHeight="1">
      <c r="A224" s="831"/>
      <c r="B224" s="720" t="s">
        <v>1055</v>
      </c>
      <c r="C224" s="792"/>
      <c r="D224" s="792"/>
      <c r="E224" s="793">
        <v>1</v>
      </c>
      <c r="F224" s="722" t="s">
        <v>240</v>
      </c>
      <c r="G224" s="795">
        <v>2400</v>
      </c>
      <c r="H224" s="796">
        <f t="shared" si="17"/>
        <v>2400</v>
      </c>
      <c r="I224" s="797"/>
      <c r="J224" s="796"/>
      <c r="K224" s="799">
        <f t="shared" si="16"/>
        <v>2400</v>
      </c>
      <c r="L224" s="883"/>
    </row>
    <row r="225" spans="1:12" s="884" customFormat="1" ht="24" customHeight="1">
      <c r="A225" s="831"/>
      <c r="B225" s="720" t="s">
        <v>1056</v>
      </c>
      <c r="C225" s="792"/>
      <c r="D225" s="792"/>
      <c r="E225" s="793"/>
      <c r="F225" s="722" t="s">
        <v>240</v>
      </c>
      <c r="G225" s="795">
        <v>2400</v>
      </c>
      <c r="H225" s="796">
        <f t="shared" si="17"/>
        <v>0</v>
      </c>
      <c r="I225" s="797"/>
      <c r="J225" s="796"/>
      <c r="K225" s="799">
        <f t="shared" si="16"/>
        <v>0</v>
      </c>
      <c r="L225" s="883"/>
    </row>
    <row r="226" spans="1:12" s="884" customFormat="1" ht="24" customHeight="1">
      <c r="A226" s="831"/>
      <c r="B226" s="720" t="s">
        <v>1057</v>
      </c>
      <c r="C226" s="792"/>
      <c r="D226" s="792"/>
      <c r="E226" s="793"/>
      <c r="F226" s="722" t="s">
        <v>240</v>
      </c>
      <c r="G226" s="795">
        <v>2400</v>
      </c>
      <c r="H226" s="796">
        <f t="shared" si="17"/>
        <v>0</v>
      </c>
      <c r="I226" s="797"/>
      <c r="J226" s="796"/>
      <c r="K226" s="799">
        <f t="shared" si="16"/>
        <v>0</v>
      </c>
      <c r="L226" s="883"/>
    </row>
    <row r="227" spans="1:12" s="884" customFormat="1" ht="24" customHeight="1">
      <c r="A227" s="831"/>
      <c r="B227" s="720" t="s">
        <v>1058</v>
      </c>
      <c r="C227" s="792"/>
      <c r="D227" s="792"/>
      <c r="E227" s="793"/>
      <c r="F227" s="722" t="s">
        <v>240</v>
      </c>
      <c r="G227" s="795">
        <v>2400</v>
      </c>
      <c r="H227" s="796">
        <f t="shared" si="17"/>
        <v>0</v>
      </c>
      <c r="I227" s="797"/>
      <c r="J227" s="796"/>
      <c r="K227" s="799">
        <f t="shared" si="16"/>
        <v>0</v>
      </c>
      <c r="L227" s="883"/>
    </row>
    <row r="228" spans="1:12" s="884" customFormat="1" ht="24" customHeight="1">
      <c r="A228" s="831"/>
      <c r="B228" s="720" t="s">
        <v>1059</v>
      </c>
      <c r="C228" s="792"/>
      <c r="D228" s="792"/>
      <c r="E228" s="793"/>
      <c r="F228" s="722" t="s">
        <v>240</v>
      </c>
      <c r="G228" s="795">
        <v>2600</v>
      </c>
      <c r="H228" s="796">
        <f t="shared" si="17"/>
        <v>0</v>
      </c>
      <c r="I228" s="797"/>
      <c r="J228" s="796"/>
      <c r="K228" s="799">
        <f t="shared" si="16"/>
        <v>0</v>
      </c>
      <c r="L228" s="883"/>
    </row>
    <row r="229" spans="1:12" s="884" customFormat="1" ht="24" customHeight="1">
      <c r="A229" s="831"/>
      <c r="B229" s="720" t="s">
        <v>1060</v>
      </c>
      <c r="C229" s="792"/>
      <c r="D229" s="792"/>
      <c r="E229" s="793"/>
      <c r="F229" s="722" t="s">
        <v>240</v>
      </c>
      <c r="G229" s="795">
        <v>3000</v>
      </c>
      <c r="H229" s="796">
        <f t="shared" si="17"/>
        <v>0</v>
      </c>
      <c r="I229" s="797"/>
      <c r="J229" s="796"/>
      <c r="K229" s="799">
        <f t="shared" si="16"/>
        <v>0</v>
      </c>
      <c r="L229" s="887"/>
    </row>
    <row r="230" spans="1:12" s="884" customFormat="1" ht="24" customHeight="1">
      <c r="A230" s="831"/>
      <c r="B230" s="720" t="s">
        <v>1088</v>
      </c>
      <c r="C230" s="801"/>
      <c r="D230" s="801"/>
      <c r="E230" s="802"/>
      <c r="F230" s="803" t="s">
        <v>240</v>
      </c>
      <c r="G230" s="858">
        <v>2400</v>
      </c>
      <c r="H230" s="864">
        <f t="shared" si="17"/>
        <v>0</v>
      </c>
      <c r="I230" s="865"/>
      <c r="J230" s="864"/>
      <c r="K230" s="799">
        <f t="shared" si="16"/>
        <v>0</v>
      </c>
      <c r="L230" s="887"/>
    </row>
    <row r="231" spans="1:12" s="884" customFormat="1" ht="24" customHeight="1">
      <c r="A231" s="831"/>
      <c r="B231" s="720" t="s">
        <v>1105</v>
      </c>
      <c r="C231" s="801"/>
      <c r="D231" s="801"/>
      <c r="E231" s="802"/>
      <c r="F231" s="803" t="s">
        <v>240</v>
      </c>
      <c r="G231" s="858">
        <v>2400</v>
      </c>
      <c r="H231" s="864">
        <f t="shared" si="17"/>
        <v>0</v>
      </c>
      <c r="I231" s="865"/>
      <c r="J231" s="864"/>
      <c r="K231" s="799">
        <f t="shared" si="16"/>
        <v>0</v>
      </c>
      <c r="L231" s="887"/>
    </row>
    <row r="232" spans="1:12" s="884" customFormat="1" ht="24" customHeight="1">
      <c r="A232" s="831"/>
      <c r="B232" s="720" t="s">
        <v>1086</v>
      </c>
      <c r="C232" s="801"/>
      <c r="D232" s="801"/>
      <c r="E232" s="802"/>
      <c r="F232" s="803" t="s">
        <v>240</v>
      </c>
      <c r="G232" s="858">
        <v>3000</v>
      </c>
      <c r="H232" s="864">
        <f t="shared" si="17"/>
        <v>0</v>
      </c>
      <c r="I232" s="865"/>
      <c r="J232" s="864"/>
      <c r="K232" s="799">
        <f t="shared" si="16"/>
        <v>0</v>
      </c>
      <c r="L232" s="887"/>
    </row>
    <row r="233" spans="1:12" s="884" customFormat="1" ht="24" customHeight="1">
      <c r="A233" s="2396"/>
      <c r="B233" s="720" t="s">
        <v>1061</v>
      </c>
      <c r="C233" s="801"/>
      <c r="D233" s="801"/>
      <c r="E233" s="802"/>
      <c r="F233" s="803" t="s">
        <v>240</v>
      </c>
      <c r="G233" s="858">
        <v>5700</v>
      </c>
      <c r="H233" s="864">
        <f t="shared" si="17"/>
        <v>0</v>
      </c>
      <c r="I233" s="865"/>
      <c r="J233" s="864"/>
      <c r="K233" s="799">
        <f t="shared" si="16"/>
        <v>0</v>
      </c>
      <c r="L233" s="887"/>
    </row>
    <row r="234" spans="1:12" s="884" customFormat="1" ht="24" customHeight="1">
      <c r="A234" s="831"/>
      <c r="B234" s="720" t="s">
        <v>1062</v>
      </c>
      <c r="C234" s="801"/>
      <c r="D234" s="801"/>
      <c r="E234" s="802"/>
      <c r="F234" s="803" t="s">
        <v>240</v>
      </c>
      <c r="G234" s="858">
        <v>5700</v>
      </c>
      <c r="H234" s="864">
        <f t="shared" si="17"/>
        <v>0</v>
      </c>
      <c r="I234" s="865"/>
      <c r="J234" s="864"/>
      <c r="K234" s="799">
        <f t="shared" si="16"/>
        <v>0</v>
      </c>
      <c r="L234" s="887"/>
    </row>
    <row r="235" spans="1:12" s="884" customFormat="1" ht="24" customHeight="1">
      <c r="A235" s="831"/>
      <c r="B235" s="720" t="s">
        <v>1063</v>
      </c>
      <c r="C235" s="801"/>
      <c r="D235" s="801"/>
      <c r="E235" s="802"/>
      <c r="F235" s="803" t="s">
        <v>240</v>
      </c>
      <c r="G235" s="858">
        <v>5700</v>
      </c>
      <c r="H235" s="864">
        <f t="shared" si="17"/>
        <v>0</v>
      </c>
      <c r="I235" s="865"/>
      <c r="J235" s="864"/>
      <c r="K235" s="799">
        <f t="shared" si="16"/>
        <v>0</v>
      </c>
      <c r="L235" s="887"/>
    </row>
    <row r="236" spans="1:12" s="884" customFormat="1" ht="24" customHeight="1">
      <c r="A236" s="831"/>
      <c r="B236" s="720" t="s">
        <v>1106</v>
      </c>
      <c r="C236" s="801"/>
      <c r="D236" s="801"/>
      <c r="E236" s="802"/>
      <c r="F236" s="803" t="s">
        <v>240</v>
      </c>
      <c r="G236" s="858">
        <v>5700</v>
      </c>
      <c r="H236" s="864">
        <f t="shared" si="17"/>
        <v>0</v>
      </c>
      <c r="I236" s="865"/>
      <c r="J236" s="864"/>
      <c r="K236" s="799">
        <f t="shared" si="16"/>
        <v>0</v>
      </c>
      <c r="L236" s="887"/>
    </row>
    <row r="237" spans="1:12" s="884" customFormat="1" ht="24" customHeight="1">
      <c r="A237" s="831"/>
      <c r="B237" s="720" t="s">
        <v>1107</v>
      </c>
      <c r="C237" s="801"/>
      <c r="D237" s="801"/>
      <c r="E237" s="802"/>
      <c r="F237" s="803" t="s">
        <v>240</v>
      </c>
      <c r="G237" s="858">
        <v>5700</v>
      </c>
      <c r="H237" s="864">
        <f t="shared" si="17"/>
        <v>0</v>
      </c>
      <c r="I237" s="865"/>
      <c r="J237" s="864"/>
      <c r="K237" s="799">
        <f t="shared" si="16"/>
        <v>0</v>
      </c>
      <c r="L237" s="887"/>
    </row>
    <row r="238" spans="1:12" s="884" customFormat="1" ht="24" customHeight="1">
      <c r="A238" s="2396"/>
      <c r="B238" s="720" t="s">
        <v>1108</v>
      </c>
      <c r="C238" s="801"/>
      <c r="D238" s="801"/>
      <c r="E238" s="802"/>
      <c r="F238" s="803" t="s">
        <v>240</v>
      </c>
      <c r="G238" s="858">
        <v>5700</v>
      </c>
      <c r="H238" s="864">
        <f t="shared" si="17"/>
        <v>0</v>
      </c>
      <c r="I238" s="865"/>
      <c r="J238" s="864"/>
      <c r="K238" s="799">
        <f t="shared" si="16"/>
        <v>0</v>
      </c>
      <c r="L238" s="887"/>
    </row>
    <row r="239" spans="1:12" s="884" customFormat="1" ht="24" customHeight="1">
      <c r="A239" s="831" t="s">
        <v>3119</v>
      </c>
      <c r="B239" s="800" t="s">
        <v>1001</v>
      </c>
      <c r="C239" s="801"/>
      <c r="D239" s="801"/>
      <c r="E239" s="802"/>
      <c r="F239" s="867"/>
      <c r="G239" s="858"/>
      <c r="H239" s="864">
        <f t="shared" si="17"/>
        <v>0</v>
      </c>
      <c r="I239" s="865"/>
      <c r="J239" s="864"/>
      <c r="K239" s="799">
        <f t="shared" si="16"/>
        <v>0</v>
      </c>
      <c r="L239" s="887"/>
    </row>
    <row r="240" spans="1:12" s="884" customFormat="1" ht="24" customHeight="1">
      <c r="A240" s="831"/>
      <c r="B240" s="800" t="s">
        <v>1111</v>
      </c>
      <c r="C240" s="801"/>
      <c r="D240" s="801"/>
      <c r="E240" s="802">
        <v>3</v>
      </c>
      <c r="F240" s="803" t="s">
        <v>240</v>
      </c>
      <c r="G240" s="858">
        <v>600</v>
      </c>
      <c r="H240" s="864">
        <f t="shared" si="17"/>
        <v>1800</v>
      </c>
      <c r="I240" s="865"/>
      <c r="J240" s="864"/>
      <c r="K240" s="799">
        <f t="shared" si="16"/>
        <v>1800</v>
      </c>
      <c r="L240" s="887"/>
    </row>
    <row r="241" spans="1:19" s="884" customFormat="1" ht="24" customHeight="1">
      <c r="A241" s="831"/>
      <c r="B241" s="800" t="s">
        <v>1003</v>
      </c>
      <c r="C241" s="801"/>
      <c r="D241" s="801"/>
      <c r="E241" s="802">
        <v>3</v>
      </c>
      <c r="F241" s="803" t="s">
        <v>240</v>
      </c>
      <c r="G241" s="858">
        <v>120</v>
      </c>
      <c r="H241" s="864">
        <f t="shared" si="17"/>
        <v>360</v>
      </c>
      <c r="I241" s="865"/>
      <c r="J241" s="864"/>
      <c r="K241" s="799">
        <f t="shared" si="16"/>
        <v>360</v>
      </c>
      <c r="L241" s="887"/>
    </row>
    <row r="242" spans="1:19" s="884" customFormat="1" ht="24" customHeight="1">
      <c r="A242" s="831"/>
      <c r="B242" s="800" t="s">
        <v>1004</v>
      </c>
      <c r="C242" s="801"/>
      <c r="D242" s="801"/>
      <c r="E242" s="802">
        <v>3</v>
      </c>
      <c r="F242" s="803" t="s">
        <v>240</v>
      </c>
      <c r="G242" s="858">
        <v>100</v>
      </c>
      <c r="H242" s="864">
        <f t="shared" si="17"/>
        <v>300</v>
      </c>
      <c r="I242" s="865"/>
      <c r="J242" s="864"/>
      <c r="K242" s="799">
        <f t="shared" si="16"/>
        <v>300</v>
      </c>
      <c r="L242" s="887"/>
    </row>
    <row r="243" spans="1:19" s="884" customFormat="1" ht="24" customHeight="1">
      <c r="A243" s="2396"/>
      <c r="B243" s="800" t="s">
        <v>1065</v>
      </c>
      <c r="C243" s="801"/>
      <c r="D243" s="801"/>
      <c r="E243" s="802">
        <v>1</v>
      </c>
      <c r="F243" s="803" t="s">
        <v>240</v>
      </c>
      <c r="G243" s="858">
        <v>15435</v>
      </c>
      <c r="H243" s="864">
        <f t="shared" si="17"/>
        <v>15435</v>
      </c>
      <c r="I243" s="865"/>
      <c r="J243" s="864"/>
      <c r="K243" s="799">
        <f t="shared" si="16"/>
        <v>15435</v>
      </c>
      <c r="L243" s="887"/>
    </row>
    <row r="244" spans="1:19" s="714" customFormat="1" ht="24" customHeight="1">
      <c r="A244" s="831" t="s">
        <v>3120</v>
      </c>
      <c r="B244" s="800" t="s">
        <v>1066</v>
      </c>
      <c r="C244" s="801"/>
      <c r="D244" s="801"/>
      <c r="E244" s="802">
        <v>1</v>
      </c>
      <c r="F244" s="803" t="s">
        <v>948</v>
      </c>
      <c r="G244" s="795">
        <v>33400</v>
      </c>
      <c r="H244" s="864">
        <f t="shared" si="17"/>
        <v>33400</v>
      </c>
      <c r="I244" s="865">
        <f>G244*0.3</f>
        <v>10020</v>
      </c>
      <c r="J244" s="864">
        <f>ROUND(E244*I244,)</f>
        <v>10020</v>
      </c>
      <c r="K244" s="799">
        <f t="shared" si="16"/>
        <v>43420</v>
      </c>
      <c r="L244" s="964"/>
      <c r="M244" s="729"/>
      <c r="N244" s="729"/>
      <c r="O244" s="729"/>
      <c r="P244" s="729"/>
      <c r="Q244" s="729"/>
    </row>
    <row r="245" spans="1:19" s="714" customFormat="1" ht="24" customHeight="1">
      <c r="A245" s="831"/>
      <c r="B245" s="720" t="s">
        <v>957</v>
      </c>
      <c r="C245" s="792"/>
      <c r="D245" s="792"/>
      <c r="E245" s="793"/>
      <c r="F245" s="794"/>
      <c r="G245" s="795"/>
      <c r="H245" s="796"/>
      <c r="I245" s="797"/>
      <c r="J245" s="864"/>
      <c r="K245" s="906"/>
      <c r="L245" s="964"/>
      <c r="M245" s="729"/>
      <c r="N245" s="729"/>
      <c r="O245" s="729"/>
      <c r="P245" s="729"/>
      <c r="Q245" s="729"/>
    </row>
    <row r="246" spans="1:19" s="714" customFormat="1" ht="24" customHeight="1">
      <c r="A246" s="719"/>
      <c r="B246" s="720" t="s">
        <v>1428</v>
      </c>
      <c r="C246" s="717"/>
      <c r="D246" s="718"/>
      <c r="E246" s="721"/>
      <c r="F246" s="722"/>
      <c r="G246" s="710"/>
      <c r="H246" s="711"/>
      <c r="I246" s="712"/>
      <c r="J246" s="957"/>
      <c r="K246" s="958"/>
      <c r="L246" s="954"/>
    </row>
    <row r="247" spans="1:19" s="714" customFormat="1" ht="24" customHeight="1">
      <c r="A247" s="719"/>
      <c r="B247" s="720" t="s">
        <v>1428</v>
      </c>
      <c r="C247" s="717"/>
      <c r="D247" s="718"/>
      <c r="E247" s="721"/>
      <c r="F247" s="722"/>
      <c r="G247" s="710"/>
      <c r="H247" s="711"/>
      <c r="I247" s="712"/>
      <c r="J247" s="957"/>
      <c r="K247" s="958"/>
      <c r="L247" s="954"/>
    </row>
    <row r="248" spans="1:19" s="714" customFormat="1" ht="24" customHeight="1">
      <c r="A248" s="719"/>
      <c r="B248" s="955"/>
      <c r="C248" s="717"/>
      <c r="D248" s="718"/>
      <c r="E248" s="721"/>
      <c r="F248" s="722"/>
      <c r="G248" s="710"/>
      <c r="H248" s="711"/>
      <c r="I248" s="712"/>
      <c r="J248" s="957"/>
      <c r="K248" s="958"/>
      <c r="L248" s="954"/>
    </row>
    <row r="249" spans="1:19" s="714" customFormat="1" ht="24" customHeight="1">
      <c r="A249" s="719"/>
      <c r="B249" s="955"/>
      <c r="C249" s="717"/>
      <c r="D249" s="718"/>
      <c r="E249" s="721"/>
      <c r="F249" s="722"/>
      <c r="G249" s="710"/>
      <c r="H249" s="711"/>
      <c r="I249" s="956"/>
      <c r="J249" s="957"/>
      <c r="K249" s="958"/>
      <c r="L249" s="954"/>
    </row>
    <row r="250" spans="1:19" s="714" customFormat="1" ht="24" customHeight="1">
      <c r="A250" s="775"/>
      <c r="B250" s="2475" t="str">
        <f>"รวมราคารายการที่ "&amp;A150</f>
        <v>รวมราคารายการที่ 3.2</v>
      </c>
      <c r="C250" s="2476"/>
      <c r="D250" s="2477"/>
      <c r="E250" s="776"/>
      <c r="F250" s="777"/>
      <c r="G250" s="959"/>
      <c r="H250" s="960">
        <f>SUM(H150:H249)</f>
        <v>314590</v>
      </c>
      <c r="I250" s="959"/>
      <c r="J250" s="960">
        <f>SUM(J150:J249)</f>
        <v>40080</v>
      </c>
      <c r="K250" s="960">
        <f>SUM(K150:K249)</f>
        <v>354670</v>
      </c>
      <c r="L250" s="777"/>
      <c r="M250" s="729"/>
      <c r="N250" s="729"/>
      <c r="O250" s="729"/>
      <c r="P250" s="729"/>
      <c r="Q250" s="729"/>
    </row>
    <row r="251" spans="1:19" s="714" customFormat="1" ht="24" customHeight="1">
      <c r="A251" s="961" t="s">
        <v>1279</v>
      </c>
      <c r="B251" s="782" t="s">
        <v>1267</v>
      </c>
      <c r="C251" s="784"/>
      <c r="D251" s="784"/>
      <c r="E251" s="785"/>
      <c r="F251" s="786"/>
      <c r="G251" s="787"/>
      <c r="H251" s="788"/>
      <c r="I251" s="789"/>
      <c r="J251" s="788"/>
      <c r="K251" s="965"/>
      <c r="L251" s="1074"/>
      <c r="M251" s="729"/>
      <c r="N251" s="729"/>
      <c r="O251" s="729"/>
      <c r="P251" s="729"/>
      <c r="Q251" s="729"/>
      <c r="R251" s="729"/>
      <c r="S251" s="729"/>
    </row>
    <row r="252" spans="1:19" s="714" customFormat="1" ht="24" customHeight="1">
      <c r="A252" s="911" t="s">
        <v>965</v>
      </c>
      <c r="B252" s="1043" t="s">
        <v>1389</v>
      </c>
      <c r="C252" s="859"/>
      <c r="D252" s="859"/>
      <c r="E252" s="851"/>
      <c r="F252" s="852"/>
      <c r="G252" s="853"/>
      <c r="H252" s="854"/>
      <c r="I252" s="855"/>
      <c r="J252" s="854"/>
      <c r="K252" s="1007"/>
      <c r="L252" s="1008"/>
      <c r="M252" s="729"/>
      <c r="N252" s="729"/>
      <c r="O252" s="729"/>
      <c r="P252" s="729"/>
      <c r="Q252" s="729"/>
    </row>
    <row r="253" spans="1:19" s="714" customFormat="1" ht="24" customHeight="1">
      <c r="A253" s="911"/>
      <c r="B253" s="800" t="s">
        <v>1533</v>
      </c>
      <c r="C253" s="859"/>
      <c r="D253" s="859"/>
      <c r="E253" s="851">
        <v>1</v>
      </c>
      <c r="F253" s="803" t="s">
        <v>240</v>
      </c>
      <c r="G253" s="853">
        <v>5500</v>
      </c>
      <c r="H253" s="864">
        <f t="shared" ref="H253:H262" si="18">ROUND(E253*G253,)</f>
        <v>5500</v>
      </c>
      <c r="I253" s="855">
        <v>1000</v>
      </c>
      <c r="J253" s="864">
        <f>ROUND(E253*I253,)</f>
        <v>1000</v>
      </c>
      <c r="K253" s="966">
        <f t="shared" ref="K253:K262" si="19">H253+J253</f>
        <v>6500</v>
      </c>
      <c r="L253" s="1008"/>
      <c r="M253" s="729"/>
      <c r="N253" s="729"/>
      <c r="O253" s="729"/>
      <c r="P253" s="729"/>
      <c r="Q253" s="729"/>
    </row>
    <row r="254" spans="1:19" s="714" customFormat="1" ht="24" customHeight="1">
      <c r="A254" s="911"/>
      <c r="B254" s="800" t="s">
        <v>1271</v>
      </c>
      <c r="C254" s="801"/>
      <c r="D254" s="801"/>
      <c r="E254" s="802">
        <v>12</v>
      </c>
      <c r="F254" s="803" t="s">
        <v>240</v>
      </c>
      <c r="G254" s="858">
        <v>138</v>
      </c>
      <c r="H254" s="864">
        <f t="shared" si="18"/>
        <v>1656</v>
      </c>
      <c r="I254" s="865"/>
      <c r="J254" s="864"/>
      <c r="K254" s="966">
        <f t="shared" si="19"/>
        <v>1656</v>
      </c>
      <c r="L254" s="1010"/>
      <c r="M254" s="729"/>
      <c r="N254" s="729"/>
      <c r="O254" s="729"/>
      <c r="P254" s="729"/>
      <c r="Q254" s="729"/>
    </row>
    <row r="255" spans="1:19" s="714" customFormat="1" ht="24" customHeight="1">
      <c r="A255" s="861"/>
      <c r="B255" s="800" t="s">
        <v>1397</v>
      </c>
      <c r="C255" s="801"/>
      <c r="D255" s="801"/>
      <c r="E255" s="802">
        <v>1</v>
      </c>
      <c r="F255" s="803" t="s">
        <v>240</v>
      </c>
      <c r="G255" s="858">
        <v>680</v>
      </c>
      <c r="H255" s="864">
        <f t="shared" si="18"/>
        <v>680</v>
      </c>
      <c r="I255" s="865"/>
      <c r="J255" s="864"/>
      <c r="K255" s="966">
        <f t="shared" si="19"/>
        <v>680</v>
      </c>
      <c r="L255" s="1010"/>
      <c r="M255" s="729"/>
      <c r="N255" s="729"/>
      <c r="O255" s="729"/>
      <c r="P255" s="729"/>
    </row>
    <row r="256" spans="1:19" s="714" customFormat="1" ht="24" customHeight="1">
      <c r="A256" s="911"/>
      <c r="B256" s="800" t="s">
        <v>1534</v>
      </c>
      <c r="C256" s="859"/>
      <c r="D256" s="859"/>
      <c r="E256" s="851">
        <v>1</v>
      </c>
      <c r="F256" s="803" t="s">
        <v>240</v>
      </c>
      <c r="G256" s="858">
        <v>7000</v>
      </c>
      <c r="H256" s="796">
        <v>7000</v>
      </c>
      <c r="I256" s="797">
        <v>1500</v>
      </c>
      <c r="J256" s="796">
        <v>1500</v>
      </c>
      <c r="K256" s="966">
        <f t="shared" si="19"/>
        <v>8500</v>
      </c>
      <c r="L256" s="1008"/>
      <c r="M256" s="729"/>
      <c r="N256" s="729"/>
      <c r="O256" s="729"/>
      <c r="P256" s="729"/>
      <c r="Q256" s="729"/>
    </row>
    <row r="257" spans="1:19" s="714" customFormat="1" ht="24" customHeight="1">
      <c r="A257" s="911"/>
      <c r="B257" s="800" t="s">
        <v>1271</v>
      </c>
      <c r="C257" s="801"/>
      <c r="D257" s="801"/>
      <c r="E257" s="802">
        <v>24</v>
      </c>
      <c r="F257" s="803" t="s">
        <v>240</v>
      </c>
      <c r="G257" s="858">
        <v>138</v>
      </c>
      <c r="H257" s="864">
        <f t="shared" ref="H257" si="20">ROUND(E257*G257,)</f>
        <v>3312</v>
      </c>
      <c r="I257" s="865"/>
      <c r="J257" s="864"/>
      <c r="K257" s="966">
        <f t="shared" si="19"/>
        <v>3312</v>
      </c>
      <c r="L257" s="1010"/>
      <c r="M257" s="729"/>
      <c r="N257" s="729"/>
      <c r="O257" s="729"/>
      <c r="P257" s="729"/>
      <c r="Q257" s="729"/>
    </row>
    <row r="258" spans="1:19" s="884" customFormat="1" ht="24" customHeight="1">
      <c r="A258" s="911"/>
      <c r="B258" s="800" t="s">
        <v>1535</v>
      </c>
      <c r="C258" s="859"/>
      <c r="D258" s="859"/>
      <c r="E258" s="851">
        <v>1</v>
      </c>
      <c r="F258" s="803" t="s">
        <v>240</v>
      </c>
      <c r="G258" s="853">
        <v>5500</v>
      </c>
      <c r="H258" s="864">
        <f t="shared" si="18"/>
        <v>5500</v>
      </c>
      <c r="I258" s="855">
        <v>1000</v>
      </c>
      <c r="J258" s="864">
        <f>ROUND(E258*I258,)</f>
        <v>1000</v>
      </c>
      <c r="K258" s="966">
        <f t="shared" si="19"/>
        <v>6500</v>
      </c>
      <c r="L258" s="1075"/>
      <c r="M258" s="1027"/>
      <c r="N258" s="1027"/>
      <c r="O258" s="1027"/>
      <c r="P258" s="1027"/>
      <c r="Q258" s="1027"/>
    </row>
    <row r="259" spans="1:19" s="884" customFormat="1" ht="24" customHeight="1">
      <c r="A259" s="911"/>
      <c r="B259" s="800" t="s">
        <v>1271</v>
      </c>
      <c r="C259" s="801"/>
      <c r="D259" s="801"/>
      <c r="E259" s="802">
        <v>9</v>
      </c>
      <c r="F259" s="803" t="s">
        <v>240</v>
      </c>
      <c r="G259" s="858">
        <v>138</v>
      </c>
      <c r="H259" s="864">
        <f t="shared" si="18"/>
        <v>1242</v>
      </c>
      <c r="I259" s="865"/>
      <c r="J259" s="864"/>
      <c r="K259" s="966">
        <f t="shared" si="19"/>
        <v>1242</v>
      </c>
      <c r="L259" s="1076"/>
      <c r="M259" s="1027"/>
      <c r="N259" s="1027"/>
      <c r="O259" s="1027"/>
      <c r="P259" s="1027"/>
      <c r="Q259" s="1027"/>
    </row>
    <row r="260" spans="1:19" s="714" customFormat="1" ht="24" customHeight="1">
      <c r="A260" s="861"/>
      <c r="B260" s="800" t="s">
        <v>1397</v>
      </c>
      <c r="C260" s="801"/>
      <c r="D260" s="801"/>
      <c r="E260" s="802">
        <v>1</v>
      </c>
      <c r="F260" s="803" t="s">
        <v>240</v>
      </c>
      <c r="G260" s="858">
        <v>680</v>
      </c>
      <c r="H260" s="864">
        <f t="shared" si="18"/>
        <v>680</v>
      </c>
      <c r="I260" s="865"/>
      <c r="J260" s="864"/>
      <c r="K260" s="966">
        <f t="shared" si="19"/>
        <v>680</v>
      </c>
      <c r="L260" s="1010"/>
      <c r="M260" s="729"/>
      <c r="N260" s="729"/>
      <c r="O260" s="729"/>
      <c r="P260" s="729"/>
    </row>
    <row r="261" spans="1:19" s="714" customFormat="1" ht="24" customHeight="1">
      <c r="A261" s="911"/>
      <c r="B261" s="800" t="s">
        <v>1536</v>
      </c>
      <c r="C261" s="859"/>
      <c r="D261" s="859"/>
      <c r="E261" s="851">
        <v>1</v>
      </c>
      <c r="F261" s="803" t="s">
        <v>240</v>
      </c>
      <c r="G261" s="853">
        <v>5500</v>
      </c>
      <c r="H261" s="864">
        <f t="shared" si="18"/>
        <v>5500</v>
      </c>
      <c r="I261" s="855">
        <v>1000</v>
      </c>
      <c r="J261" s="864">
        <f>ROUND(E261*I261,)</f>
        <v>1000</v>
      </c>
      <c r="K261" s="966">
        <f t="shared" si="19"/>
        <v>6500</v>
      </c>
      <c r="L261" s="1008"/>
      <c r="M261" s="729"/>
      <c r="N261" s="729"/>
      <c r="O261" s="729"/>
      <c r="P261" s="729"/>
      <c r="Q261" s="729"/>
    </row>
    <row r="262" spans="1:19" s="714" customFormat="1" ht="24" customHeight="1">
      <c r="A262" s="911"/>
      <c r="B262" s="800" t="s">
        <v>1271</v>
      </c>
      <c r="C262" s="801"/>
      <c r="D262" s="801"/>
      <c r="E262" s="802">
        <v>12</v>
      </c>
      <c r="F262" s="803" t="s">
        <v>240</v>
      </c>
      <c r="G262" s="858">
        <v>138</v>
      </c>
      <c r="H262" s="864">
        <f t="shared" si="18"/>
        <v>1656</v>
      </c>
      <c r="I262" s="865"/>
      <c r="J262" s="864"/>
      <c r="K262" s="966">
        <f t="shared" si="19"/>
        <v>1656</v>
      </c>
      <c r="L262" s="1010"/>
      <c r="M262" s="729"/>
      <c r="N262" s="729"/>
      <c r="O262" s="729"/>
      <c r="P262" s="729"/>
      <c r="Q262" s="729"/>
    </row>
    <row r="263" spans="1:19" s="714" customFormat="1" ht="24" customHeight="1">
      <c r="A263" s="868" t="s">
        <v>969</v>
      </c>
      <c r="B263" s="1047" t="s">
        <v>1447</v>
      </c>
      <c r="C263" s="1048"/>
      <c r="D263" s="1048"/>
      <c r="E263" s="1049"/>
      <c r="F263" s="1050"/>
      <c r="G263" s="1084"/>
      <c r="H263" s="1085"/>
      <c r="I263" s="1086"/>
      <c r="J263" s="1085"/>
      <c r="K263" s="1087"/>
      <c r="L263" s="1010"/>
      <c r="M263" s="729"/>
      <c r="N263" s="729"/>
      <c r="O263" s="729"/>
      <c r="P263" s="729"/>
      <c r="Q263" s="729"/>
      <c r="R263" s="729"/>
      <c r="S263" s="729"/>
    </row>
    <row r="264" spans="1:19" s="714" customFormat="1" ht="24" customHeight="1">
      <c r="A264" s="911"/>
      <c r="B264" s="800" t="s">
        <v>1537</v>
      </c>
      <c r="C264" s="859"/>
      <c r="D264" s="859"/>
      <c r="E264" s="851">
        <v>1</v>
      </c>
      <c r="F264" s="803" t="s">
        <v>240</v>
      </c>
      <c r="G264" s="853">
        <v>5500</v>
      </c>
      <c r="H264" s="864">
        <f t="shared" ref="H264:H268" si="21">ROUND(E264*G264,)</f>
        <v>5500</v>
      </c>
      <c r="I264" s="855">
        <v>1000</v>
      </c>
      <c r="J264" s="864">
        <f>ROUND(E264*I264,)</f>
        <v>1000</v>
      </c>
      <c r="K264" s="966">
        <f t="shared" ref="K264:K302" si="22">H264+J264</f>
        <v>6500</v>
      </c>
      <c r="L264" s="1008"/>
      <c r="M264" s="729"/>
      <c r="N264" s="729"/>
      <c r="O264" s="729"/>
      <c r="P264" s="729"/>
      <c r="Q264" s="729"/>
    </row>
    <row r="265" spans="1:19" s="714" customFormat="1" ht="24" customHeight="1">
      <c r="A265" s="911"/>
      <c r="B265" s="800" t="s">
        <v>1538</v>
      </c>
      <c r="C265" s="859"/>
      <c r="D265" s="859"/>
      <c r="E265" s="851">
        <v>1</v>
      </c>
      <c r="F265" s="803" t="s">
        <v>240</v>
      </c>
      <c r="G265" s="858">
        <v>3000</v>
      </c>
      <c r="H265" s="796">
        <v>2400</v>
      </c>
      <c r="I265" s="797"/>
      <c r="J265" s="796">
        <v>0</v>
      </c>
      <c r="K265" s="966">
        <f t="shared" si="22"/>
        <v>2400</v>
      </c>
      <c r="L265" s="1008"/>
      <c r="M265" s="729"/>
      <c r="N265" s="729"/>
      <c r="O265" s="729"/>
      <c r="P265" s="729"/>
      <c r="Q265" s="729"/>
    </row>
    <row r="266" spans="1:19" s="714" customFormat="1" ht="24" customHeight="1">
      <c r="A266" s="911"/>
      <c r="B266" s="800" t="s">
        <v>1271</v>
      </c>
      <c r="C266" s="801"/>
      <c r="D266" s="801"/>
      <c r="E266" s="802">
        <v>12</v>
      </c>
      <c r="F266" s="803" t="s">
        <v>240</v>
      </c>
      <c r="G266" s="858">
        <v>138</v>
      </c>
      <c r="H266" s="864">
        <f t="shared" si="21"/>
        <v>1656</v>
      </c>
      <c r="I266" s="865"/>
      <c r="J266" s="864"/>
      <c r="K266" s="966">
        <f t="shared" si="22"/>
        <v>1656</v>
      </c>
      <c r="L266" s="1010"/>
      <c r="M266" s="729"/>
      <c r="N266" s="729"/>
      <c r="O266" s="729"/>
      <c r="P266" s="729"/>
      <c r="Q266" s="729"/>
    </row>
    <row r="267" spans="1:19" s="714" customFormat="1" ht="24" customHeight="1">
      <c r="A267" s="861"/>
      <c r="B267" s="800" t="s">
        <v>1392</v>
      </c>
      <c r="C267" s="801"/>
      <c r="D267" s="801"/>
      <c r="E267" s="802">
        <v>2</v>
      </c>
      <c r="F267" s="803" t="s">
        <v>240</v>
      </c>
      <c r="G267" s="858">
        <v>680</v>
      </c>
      <c r="H267" s="864">
        <f t="shared" si="21"/>
        <v>1360</v>
      </c>
      <c r="I267" s="865"/>
      <c r="J267" s="864"/>
      <c r="K267" s="966">
        <f t="shared" si="22"/>
        <v>1360</v>
      </c>
      <c r="L267" s="1010"/>
      <c r="M267" s="729"/>
      <c r="N267" s="729"/>
      <c r="O267" s="729"/>
      <c r="P267" s="729"/>
    </row>
    <row r="268" spans="1:19" s="714" customFormat="1" ht="24" customHeight="1">
      <c r="A268" s="911"/>
      <c r="B268" s="800" t="s">
        <v>1539</v>
      </c>
      <c r="C268" s="859"/>
      <c r="D268" s="859"/>
      <c r="E268" s="851">
        <v>1</v>
      </c>
      <c r="F268" s="803" t="s">
        <v>240</v>
      </c>
      <c r="G268" s="853">
        <v>5500</v>
      </c>
      <c r="H268" s="864">
        <f t="shared" si="21"/>
        <v>5500</v>
      </c>
      <c r="I268" s="855">
        <v>1000</v>
      </c>
      <c r="J268" s="864">
        <f>ROUND(E268*I268,)</f>
        <v>1000</v>
      </c>
      <c r="K268" s="966">
        <f t="shared" si="22"/>
        <v>6500</v>
      </c>
      <c r="L268" s="1008"/>
      <c r="M268" s="729"/>
      <c r="N268" s="729"/>
      <c r="O268" s="729"/>
      <c r="P268" s="729"/>
      <c r="Q268" s="729"/>
    </row>
    <row r="269" spans="1:19" s="714" customFormat="1" ht="24" customHeight="1">
      <c r="A269" s="911"/>
      <c r="B269" s="800" t="s">
        <v>1538</v>
      </c>
      <c r="C269" s="859"/>
      <c r="D269" s="859"/>
      <c r="E269" s="851">
        <v>1</v>
      </c>
      <c r="F269" s="803" t="s">
        <v>240</v>
      </c>
      <c r="G269" s="858">
        <v>3000</v>
      </c>
      <c r="H269" s="796">
        <v>2400</v>
      </c>
      <c r="I269" s="797"/>
      <c r="J269" s="796">
        <v>0</v>
      </c>
      <c r="K269" s="966">
        <f t="shared" si="22"/>
        <v>2400</v>
      </c>
      <c r="L269" s="1008"/>
      <c r="M269" s="729"/>
      <c r="N269" s="729"/>
      <c r="O269" s="729"/>
      <c r="P269" s="729"/>
      <c r="Q269" s="729"/>
    </row>
    <row r="270" spans="1:19" s="714" customFormat="1" ht="24" customHeight="1">
      <c r="A270" s="911"/>
      <c r="B270" s="800" t="s">
        <v>1271</v>
      </c>
      <c r="C270" s="801"/>
      <c r="D270" s="801"/>
      <c r="E270" s="802">
        <v>12</v>
      </c>
      <c r="F270" s="803" t="s">
        <v>240</v>
      </c>
      <c r="G270" s="858">
        <v>138</v>
      </c>
      <c r="H270" s="864">
        <f t="shared" ref="H270:H272" si="23">ROUND(E270*G270,)</f>
        <v>1656</v>
      </c>
      <c r="I270" s="865"/>
      <c r="J270" s="864"/>
      <c r="K270" s="966">
        <f t="shared" si="22"/>
        <v>1656</v>
      </c>
      <c r="L270" s="1010"/>
      <c r="M270" s="729"/>
      <c r="N270" s="729"/>
      <c r="O270" s="729"/>
      <c r="P270" s="729"/>
      <c r="Q270" s="729"/>
    </row>
    <row r="271" spans="1:19" s="714" customFormat="1" ht="24" customHeight="1">
      <c r="A271" s="861"/>
      <c r="B271" s="800" t="s">
        <v>1392</v>
      </c>
      <c r="C271" s="801"/>
      <c r="D271" s="801"/>
      <c r="E271" s="802">
        <v>2</v>
      </c>
      <c r="F271" s="803" t="s">
        <v>240</v>
      </c>
      <c r="G271" s="858">
        <v>680</v>
      </c>
      <c r="H271" s="864">
        <f t="shared" si="23"/>
        <v>1360</v>
      </c>
      <c r="I271" s="865"/>
      <c r="J271" s="864"/>
      <c r="K271" s="966">
        <f t="shared" si="22"/>
        <v>1360</v>
      </c>
      <c r="L271" s="1010"/>
      <c r="M271" s="729"/>
      <c r="N271" s="729"/>
      <c r="O271" s="729"/>
      <c r="P271" s="729"/>
    </row>
    <row r="272" spans="1:19" s="714" customFormat="1" ht="24" customHeight="1">
      <c r="A272" s="911"/>
      <c r="B272" s="800" t="s">
        <v>1540</v>
      </c>
      <c r="C272" s="859"/>
      <c r="D272" s="859"/>
      <c r="E272" s="851">
        <v>1</v>
      </c>
      <c r="F272" s="803" t="s">
        <v>240</v>
      </c>
      <c r="G272" s="853">
        <v>5500</v>
      </c>
      <c r="H272" s="864">
        <f t="shared" si="23"/>
        <v>5500</v>
      </c>
      <c r="I272" s="855">
        <v>1000</v>
      </c>
      <c r="J272" s="864">
        <f>ROUND(E272*I272,)</f>
        <v>1000</v>
      </c>
      <c r="K272" s="966">
        <f t="shared" si="22"/>
        <v>6500</v>
      </c>
      <c r="L272" s="1008"/>
      <c r="M272" s="729"/>
      <c r="N272" s="729"/>
      <c r="O272" s="729"/>
      <c r="P272" s="729"/>
      <c r="Q272" s="729"/>
    </row>
    <row r="273" spans="1:17" s="714" customFormat="1" ht="24" customHeight="1">
      <c r="A273" s="911"/>
      <c r="B273" s="800" t="s">
        <v>1408</v>
      </c>
      <c r="C273" s="859"/>
      <c r="D273" s="859"/>
      <c r="E273" s="851">
        <v>1</v>
      </c>
      <c r="F273" s="803" t="s">
        <v>240</v>
      </c>
      <c r="G273" s="858">
        <v>2400</v>
      </c>
      <c r="H273" s="796">
        <v>2400</v>
      </c>
      <c r="I273" s="797"/>
      <c r="J273" s="796">
        <v>0</v>
      </c>
      <c r="K273" s="966">
        <f t="shared" si="22"/>
        <v>2400</v>
      </c>
      <c r="L273" s="1008"/>
      <c r="M273" s="729"/>
      <c r="N273" s="729"/>
      <c r="O273" s="729"/>
      <c r="P273" s="729"/>
      <c r="Q273" s="729"/>
    </row>
    <row r="274" spans="1:17" s="714" customFormat="1" ht="24" customHeight="1">
      <c r="A274" s="911"/>
      <c r="B274" s="800" t="s">
        <v>1271</v>
      </c>
      <c r="C274" s="801"/>
      <c r="D274" s="801"/>
      <c r="E274" s="802">
        <v>9</v>
      </c>
      <c r="F274" s="803" t="s">
        <v>240</v>
      </c>
      <c r="G274" s="858">
        <v>138</v>
      </c>
      <c r="H274" s="864">
        <f t="shared" ref="H274:H276" si="24">ROUND(E274*G274,)</f>
        <v>1242</v>
      </c>
      <c r="I274" s="865"/>
      <c r="J274" s="864"/>
      <c r="K274" s="966">
        <f t="shared" si="22"/>
        <v>1242</v>
      </c>
      <c r="L274" s="1010"/>
      <c r="M274" s="729"/>
      <c r="N274" s="729"/>
      <c r="O274" s="729"/>
      <c r="P274" s="729"/>
      <c r="Q274" s="729"/>
    </row>
    <row r="275" spans="1:17" s="714" customFormat="1" ht="24" customHeight="1">
      <c r="A275" s="861"/>
      <c r="B275" s="800" t="s">
        <v>1397</v>
      </c>
      <c r="C275" s="801"/>
      <c r="D275" s="801"/>
      <c r="E275" s="802"/>
      <c r="F275" s="803" t="s">
        <v>240</v>
      </c>
      <c r="G275" s="858">
        <v>680</v>
      </c>
      <c r="H275" s="864">
        <f t="shared" si="24"/>
        <v>0</v>
      </c>
      <c r="I275" s="865"/>
      <c r="J275" s="864"/>
      <c r="K275" s="966">
        <f t="shared" si="22"/>
        <v>0</v>
      </c>
      <c r="L275" s="1010"/>
      <c r="M275" s="729"/>
      <c r="N275" s="729"/>
      <c r="O275" s="729"/>
      <c r="P275" s="729"/>
    </row>
    <row r="276" spans="1:17" s="714" customFormat="1" ht="24" customHeight="1">
      <c r="A276" s="911"/>
      <c r="B276" s="800" t="s">
        <v>1541</v>
      </c>
      <c r="C276" s="859"/>
      <c r="D276" s="859"/>
      <c r="E276" s="851">
        <v>1</v>
      </c>
      <c r="F276" s="803" t="s">
        <v>240</v>
      </c>
      <c r="G276" s="853">
        <v>5500</v>
      </c>
      <c r="H276" s="864">
        <f t="shared" si="24"/>
        <v>5500</v>
      </c>
      <c r="I276" s="855">
        <v>1000</v>
      </c>
      <c r="J276" s="864">
        <f>ROUND(E276*I276,)</f>
        <v>1000</v>
      </c>
      <c r="K276" s="966">
        <f t="shared" si="22"/>
        <v>6500</v>
      </c>
      <c r="L276" s="1008"/>
      <c r="M276" s="729"/>
      <c r="N276" s="729"/>
      <c r="O276" s="729"/>
      <c r="P276" s="729"/>
      <c r="Q276" s="729"/>
    </row>
    <row r="277" spans="1:17" s="714" customFormat="1" ht="24" customHeight="1">
      <c r="A277" s="911"/>
      <c r="B277" s="800" t="s">
        <v>1408</v>
      </c>
      <c r="C277" s="859"/>
      <c r="D277" s="859"/>
      <c r="E277" s="851">
        <v>1</v>
      </c>
      <c r="F277" s="803" t="s">
        <v>240</v>
      </c>
      <c r="G277" s="858">
        <v>2400</v>
      </c>
      <c r="H277" s="796">
        <v>2400</v>
      </c>
      <c r="I277" s="797"/>
      <c r="J277" s="796">
        <v>0</v>
      </c>
      <c r="K277" s="966">
        <f t="shared" si="22"/>
        <v>2400</v>
      </c>
      <c r="L277" s="1008"/>
      <c r="M277" s="729"/>
      <c r="N277" s="729"/>
      <c r="O277" s="729"/>
      <c r="P277" s="729"/>
      <c r="Q277" s="729"/>
    </row>
    <row r="278" spans="1:17" s="714" customFormat="1" ht="24" customHeight="1">
      <c r="A278" s="911"/>
      <c r="B278" s="800" t="s">
        <v>1271</v>
      </c>
      <c r="C278" s="801"/>
      <c r="D278" s="801"/>
      <c r="E278" s="802">
        <v>9</v>
      </c>
      <c r="F278" s="803" t="s">
        <v>240</v>
      </c>
      <c r="G278" s="858">
        <v>138</v>
      </c>
      <c r="H278" s="864">
        <f t="shared" ref="H278:H280" si="25">ROUND(E278*G278,)</f>
        <v>1242</v>
      </c>
      <c r="I278" s="865"/>
      <c r="J278" s="864"/>
      <c r="K278" s="966">
        <f t="shared" si="22"/>
        <v>1242</v>
      </c>
      <c r="L278" s="1010"/>
      <c r="M278" s="729"/>
      <c r="N278" s="729"/>
      <c r="O278" s="729"/>
      <c r="P278" s="729"/>
      <c r="Q278" s="729"/>
    </row>
    <row r="279" spans="1:17" s="714" customFormat="1" ht="24" customHeight="1">
      <c r="A279" s="861"/>
      <c r="B279" s="800" t="s">
        <v>1397</v>
      </c>
      <c r="C279" s="801"/>
      <c r="D279" s="801"/>
      <c r="E279" s="802"/>
      <c r="F279" s="803" t="s">
        <v>240</v>
      </c>
      <c r="G279" s="858">
        <v>680</v>
      </c>
      <c r="H279" s="864">
        <f t="shared" si="25"/>
        <v>0</v>
      </c>
      <c r="I279" s="865"/>
      <c r="J279" s="864"/>
      <c r="K279" s="966">
        <f t="shared" si="22"/>
        <v>0</v>
      </c>
      <c r="L279" s="1010"/>
      <c r="M279" s="729"/>
      <c r="N279" s="729"/>
      <c r="O279" s="729"/>
      <c r="P279" s="729"/>
    </row>
    <row r="280" spans="1:17" s="714" customFormat="1" ht="24" customHeight="1">
      <c r="A280" s="911"/>
      <c r="B280" s="800" t="s">
        <v>1542</v>
      </c>
      <c r="C280" s="859"/>
      <c r="D280" s="859"/>
      <c r="E280" s="851">
        <v>1</v>
      </c>
      <c r="F280" s="803" t="s">
        <v>240</v>
      </c>
      <c r="G280" s="853">
        <v>5500</v>
      </c>
      <c r="H280" s="864">
        <f t="shared" si="25"/>
        <v>5500</v>
      </c>
      <c r="I280" s="855">
        <v>1000</v>
      </c>
      <c r="J280" s="864">
        <f>ROUND(E280*I280,)</f>
        <v>1000</v>
      </c>
      <c r="K280" s="966">
        <f t="shared" si="22"/>
        <v>6500</v>
      </c>
      <c r="L280" s="1008"/>
      <c r="M280" s="729"/>
      <c r="N280" s="729"/>
      <c r="O280" s="729"/>
      <c r="P280" s="729"/>
      <c r="Q280" s="729"/>
    </row>
    <row r="281" spans="1:17" s="714" customFormat="1" ht="24" customHeight="1">
      <c r="A281" s="911"/>
      <c r="B281" s="800" t="s">
        <v>1476</v>
      </c>
      <c r="C281" s="859"/>
      <c r="D281" s="859"/>
      <c r="E281" s="851">
        <v>1</v>
      </c>
      <c r="F281" s="803" t="s">
        <v>240</v>
      </c>
      <c r="G281" s="858">
        <v>2400</v>
      </c>
      <c r="H281" s="796">
        <v>2400</v>
      </c>
      <c r="I281" s="797"/>
      <c r="J281" s="796">
        <v>0</v>
      </c>
      <c r="K281" s="966">
        <f t="shared" si="22"/>
        <v>2400</v>
      </c>
      <c r="L281" s="1008"/>
      <c r="M281" s="729"/>
      <c r="N281" s="729"/>
      <c r="O281" s="729"/>
      <c r="P281" s="729"/>
      <c r="Q281" s="729"/>
    </row>
    <row r="282" spans="1:17" s="714" customFormat="1" ht="24" customHeight="1">
      <c r="A282" s="911"/>
      <c r="B282" s="800" t="s">
        <v>1271</v>
      </c>
      <c r="C282" s="801"/>
      <c r="D282" s="801"/>
      <c r="E282" s="802">
        <v>9</v>
      </c>
      <c r="F282" s="803" t="s">
        <v>240</v>
      </c>
      <c r="G282" s="858">
        <v>138</v>
      </c>
      <c r="H282" s="864">
        <f t="shared" ref="H282:H283" si="26">ROUND(E282*G282,)</f>
        <v>1242</v>
      </c>
      <c r="I282" s="865"/>
      <c r="J282" s="864"/>
      <c r="K282" s="966">
        <f t="shared" si="22"/>
        <v>1242</v>
      </c>
      <c r="L282" s="1010"/>
      <c r="M282" s="729"/>
      <c r="N282" s="729"/>
      <c r="O282" s="729"/>
      <c r="P282" s="729"/>
      <c r="Q282" s="729"/>
    </row>
    <row r="283" spans="1:17" s="714" customFormat="1" ht="24" customHeight="1">
      <c r="A283" s="861"/>
      <c r="B283" s="800" t="s">
        <v>1397</v>
      </c>
      <c r="C283" s="801"/>
      <c r="D283" s="801"/>
      <c r="E283" s="802"/>
      <c r="F283" s="803" t="s">
        <v>240</v>
      </c>
      <c r="G283" s="858">
        <v>680</v>
      </c>
      <c r="H283" s="864">
        <f t="shared" si="26"/>
        <v>0</v>
      </c>
      <c r="I283" s="865"/>
      <c r="J283" s="864"/>
      <c r="K283" s="966">
        <f t="shared" si="22"/>
        <v>0</v>
      </c>
      <c r="L283" s="1010"/>
      <c r="M283" s="729"/>
      <c r="N283" s="729"/>
      <c r="O283" s="729"/>
      <c r="P283" s="729"/>
    </row>
    <row r="284" spans="1:17" s="714" customFormat="1" ht="24" customHeight="1">
      <c r="A284" s="868"/>
      <c r="B284" s="800" t="s">
        <v>1543</v>
      </c>
      <c r="C284" s="801"/>
      <c r="D284" s="801"/>
      <c r="E284" s="802">
        <v>1</v>
      </c>
      <c r="F284" s="803" t="s">
        <v>240</v>
      </c>
      <c r="G284" s="858">
        <v>4800</v>
      </c>
      <c r="H284" s="796">
        <v>4800</v>
      </c>
      <c r="I284" s="797">
        <v>1500</v>
      </c>
      <c r="J284" s="796">
        <v>1500</v>
      </c>
      <c r="K284" s="966">
        <f t="shared" si="22"/>
        <v>6300</v>
      </c>
      <c r="L284" s="1010"/>
      <c r="M284" s="729"/>
      <c r="N284" s="729"/>
      <c r="O284" s="729"/>
      <c r="P284" s="729"/>
      <c r="Q284" s="729"/>
    </row>
    <row r="285" spans="1:17" s="714" customFormat="1" ht="24" customHeight="1">
      <c r="A285" s="868"/>
      <c r="B285" s="800" t="s">
        <v>1396</v>
      </c>
      <c r="C285" s="801"/>
      <c r="D285" s="801"/>
      <c r="E285" s="802">
        <v>1</v>
      </c>
      <c r="F285" s="803" t="s">
        <v>240</v>
      </c>
      <c r="G285" s="858">
        <v>3000</v>
      </c>
      <c r="H285" s="864">
        <f t="shared" ref="H285:H288" si="27">ROUND(E285*G285,)</f>
        <v>3000</v>
      </c>
      <c r="I285" s="865"/>
      <c r="J285" s="864"/>
      <c r="K285" s="966">
        <f t="shared" si="22"/>
        <v>3000</v>
      </c>
      <c r="L285" s="1010"/>
      <c r="M285" s="729"/>
      <c r="N285" s="729"/>
      <c r="O285" s="729"/>
      <c r="P285" s="729"/>
      <c r="Q285" s="729"/>
    </row>
    <row r="286" spans="1:17" s="714" customFormat="1" ht="24" customHeight="1">
      <c r="A286" s="868"/>
      <c r="B286" s="800" t="s">
        <v>1271</v>
      </c>
      <c r="C286" s="801"/>
      <c r="D286" s="801"/>
      <c r="E286" s="802">
        <v>12</v>
      </c>
      <c r="F286" s="803" t="s">
        <v>240</v>
      </c>
      <c r="G286" s="858">
        <v>138</v>
      </c>
      <c r="H286" s="864">
        <f t="shared" si="27"/>
        <v>1656</v>
      </c>
      <c r="I286" s="865"/>
      <c r="J286" s="864"/>
      <c r="K286" s="966">
        <f t="shared" si="22"/>
        <v>1656</v>
      </c>
      <c r="L286" s="1010"/>
      <c r="M286" s="729"/>
      <c r="N286" s="729"/>
      <c r="O286" s="729"/>
      <c r="P286" s="729"/>
      <c r="Q286" s="729"/>
    </row>
    <row r="287" spans="1:17" s="714" customFormat="1" ht="24" customHeight="1">
      <c r="A287" s="868"/>
      <c r="B287" s="800" t="s">
        <v>1391</v>
      </c>
      <c r="C287" s="801"/>
      <c r="D287" s="801"/>
      <c r="E287" s="802">
        <v>1</v>
      </c>
      <c r="F287" s="803" t="s">
        <v>240</v>
      </c>
      <c r="G287" s="858">
        <v>138</v>
      </c>
      <c r="H287" s="864">
        <f t="shared" si="27"/>
        <v>138</v>
      </c>
      <c r="I287" s="865"/>
      <c r="J287" s="864"/>
      <c r="K287" s="966">
        <f t="shared" si="22"/>
        <v>138</v>
      </c>
      <c r="L287" s="1010"/>
      <c r="M287" s="729"/>
      <c r="N287" s="729"/>
      <c r="O287" s="729"/>
      <c r="P287" s="729"/>
      <c r="Q287" s="729"/>
    </row>
    <row r="288" spans="1:17" s="714" customFormat="1" ht="24" customHeight="1">
      <c r="A288" s="861"/>
      <c r="B288" s="800" t="s">
        <v>1273</v>
      </c>
      <c r="C288" s="801"/>
      <c r="D288" s="801"/>
      <c r="E288" s="802">
        <v>2</v>
      </c>
      <c r="F288" s="803" t="s">
        <v>240</v>
      </c>
      <c r="G288" s="858">
        <v>1288</v>
      </c>
      <c r="H288" s="864">
        <f t="shared" si="27"/>
        <v>2576</v>
      </c>
      <c r="I288" s="865"/>
      <c r="J288" s="864"/>
      <c r="K288" s="966">
        <f t="shared" si="22"/>
        <v>2576</v>
      </c>
      <c r="L288" s="1010"/>
      <c r="M288" s="729"/>
      <c r="N288" s="729"/>
      <c r="O288" s="729"/>
      <c r="P288" s="729"/>
    </row>
    <row r="289" spans="1:19" s="714" customFormat="1" ht="24" customHeight="1">
      <c r="A289" s="868"/>
      <c r="B289" s="800" t="s">
        <v>1544</v>
      </c>
      <c r="C289" s="801"/>
      <c r="D289" s="801"/>
      <c r="E289" s="802">
        <v>1</v>
      </c>
      <c r="F289" s="803" t="s">
        <v>240</v>
      </c>
      <c r="G289" s="858">
        <v>4800</v>
      </c>
      <c r="H289" s="796">
        <v>4800</v>
      </c>
      <c r="I289" s="797">
        <v>1500</v>
      </c>
      <c r="J289" s="796">
        <v>1500</v>
      </c>
      <c r="K289" s="966">
        <f t="shared" si="22"/>
        <v>6300</v>
      </c>
      <c r="L289" s="1010"/>
      <c r="M289" s="729"/>
      <c r="N289" s="729"/>
      <c r="O289" s="729"/>
      <c r="P289" s="729"/>
      <c r="Q289" s="729"/>
    </row>
    <row r="290" spans="1:19" s="714" customFormat="1" ht="24" customHeight="1">
      <c r="A290" s="868"/>
      <c r="B290" s="800" t="s">
        <v>1396</v>
      </c>
      <c r="C290" s="801"/>
      <c r="D290" s="801"/>
      <c r="E290" s="802">
        <v>1</v>
      </c>
      <c r="F290" s="803" t="s">
        <v>240</v>
      </c>
      <c r="G290" s="858">
        <v>3000</v>
      </c>
      <c r="H290" s="864">
        <f t="shared" ref="H290:H293" si="28">ROUND(E290*G290,)</f>
        <v>3000</v>
      </c>
      <c r="I290" s="865"/>
      <c r="J290" s="864"/>
      <c r="K290" s="966">
        <f t="shared" si="22"/>
        <v>3000</v>
      </c>
      <c r="L290" s="1010"/>
      <c r="M290" s="729"/>
      <c r="N290" s="729"/>
      <c r="O290" s="729"/>
      <c r="P290" s="729"/>
      <c r="Q290" s="729"/>
    </row>
    <row r="291" spans="1:19" s="714" customFormat="1" ht="24" customHeight="1">
      <c r="A291" s="868"/>
      <c r="B291" s="800" t="s">
        <v>1271</v>
      </c>
      <c r="C291" s="801"/>
      <c r="D291" s="801"/>
      <c r="E291" s="802">
        <v>15</v>
      </c>
      <c r="F291" s="803" t="s">
        <v>240</v>
      </c>
      <c r="G291" s="858">
        <v>138</v>
      </c>
      <c r="H291" s="864">
        <f t="shared" si="28"/>
        <v>2070</v>
      </c>
      <c r="I291" s="865"/>
      <c r="J291" s="864"/>
      <c r="K291" s="966">
        <f t="shared" si="22"/>
        <v>2070</v>
      </c>
      <c r="L291" s="1010"/>
      <c r="M291" s="729"/>
      <c r="N291" s="729"/>
      <c r="O291" s="729"/>
      <c r="P291" s="729"/>
      <c r="Q291" s="729"/>
    </row>
    <row r="292" spans="1:19" s="714" customFormat="1" ht="24" customHeight="1">
      <c r="A292" s="868"/>
      <c r="B292" s="800" t="s">
        <v>1391</v>
      </c>
      <c r="C292" s="801"/>
      <c r="D292" s="801"/>
      <c r="E292" s="802"/>
      <c r="F292" s="803" t="s">
        <v>240</v>
      </c>
      <c r="G292" s="858">
        <v>138</v>
      </c>
      <c r="H292" s="864">
        <f t="shared" si="28"/>
        <v>0</v>
      </c>
      <c r="I292" s="865"/>
      <c r="J292" s="864"/>
      <c r="K292" s="966">
        <f t="shared" si="22"/>
        <v>0</v>
      </c>
      <c r="L292" s="1010"/>
      <c r="M292" s="729"/>
      <c r="N292" s="729"/>
      <c r="O292" s="729"/>
      <c r="P292" s="729"/>
      <c r="Q292" s="729"/>
    </row>
    <row r="293" spans="1:19" s="714" customFormat="1" ht="24" customHeight="1">
      <c r="A293" s="861"/>
      <c r="B293" s="800" t="s">
        <v>1273</v>
      </c>
      <c r="C293" s="801"/>
      <c r="D293" s="801"/>
      <c r="E293" s="802"/>
      <c r="F293" s="803" t="s">
        <v>240</v>
      </c>
      <c r="G293" s="858">
        <v>1288</v>
      </c>
      <c r="H293" s="864">
        <f t="shared" si="28"/>
        <v>0</v>
      </c>
      <c r="I293" s="865"/>
      <c r="J293" s="864"/>
      <c r="K293" s="966">
        <f t="shared" si="22"/>
        <v>0</v>
      </c>
      <c r="L293" s="1010"/>
      <c r="M293" s="729"/>
      <c r="N293" s="729"/>
      <c r="O293" s="729"/>
      <c r="P293" s="729"/>
    </row>
    <row r="294" spans="1:19" s="714" customFormat="1" ht="24" customHeight="1">
      <c r="A294" s="868"/>
      <c r="B294" s="800" t="s">
        <v>1545</v>
      </c>
      <c r="C294" s="801"/>
      <c r="D294" s="801"/>
      <c r="E294" s="802">
        <v>1</v>
      </c>
      <c r="F294" s="803" t="s">
        <v>240</v>
      </c>
      <c r="G294" s="858">
        <v>4800</v>
      </c>
      <c r="H294" s="796">
        <v>4800</v>
      </c>
      <c r="I294" s="797">
        <v>1500</v>
      </c>
      <c r="J294" s="796">
        <v>1500</v>
      </c>
      <c r="K294" s="966">
        <f t="shared" si="22"/>
        <v>6300</v>
      </c>
      <c r="L294" s="1010"/>
      <c r="M294" s="729"/>
      <c r="N294" s="729"/>
      <c r="O294" s="729"/>
      <c r="P294" s="729"/>
      <c r="Q294" s="729"/>
    </row>
    <row r="295" spans="1:19" s="714" customFormat="1" ht="24" customHeight="1">
      <c r="A295" s="868"/>
      <c r="B295" s="800" t="s">
        <v>1396</v>
      </c>
      <c r="C295" s="801"/>
      <c r="D295" s="801"/>
      <c r="E295" s="802">
        <v>1</v>
      </c>
      <c r="F295" s="803" t="s">
        <v>240</v>
      </c>
      <c r="G295" s="858">
        <v>3000</v>
      </c>
      <c r="H295" s="864">
        <f t="shared" ref="H295:H299" si="29">ROUND(E295*G295,)</f>
        <v>3000</v>
      </c>
      <c r="I295" s="865"/>
      <c r="J295" s="864"/>
      <c r="K295" s="966">
        <f t="shared" si="22"/>
        <v>3000</v>
      </c>
      <c r="L295" s="1010"/>
      <c r="M295" s="729"/>
      <c r="N295" s="729"/>
      <c r="O295" s="729"/>
      <c r="P295" s="729"/>
      <c r="Q295" s="729"/>
    </row>
    <row r="296" spans="1:19" s="714" customFormat="1" ht="24" customHeight="1">
      <c r="A296" s="868"/>
      <c r="B296" s="800" t="s">
        <v>1271</v>
      </c>
      <c r="C296" s="801"/>
      <c r="D296" s="801"/>
      <c r="E296" s="802">
        <v>12</v>
      </c>
      <c r="F296" s="803" t="s">
        <v>240</v>
      </c>
      <c r="G296" s="858">
        <v>138</v>
      </c>
      <c r="H296" s="864">
        <f t="shared" si="29"/>
        <v>1656</v>
      </c>
      <c r="I296" s="865"/>
      <c r="J296" s="864"/>
      <c r="K296" s="966">
        <f t="shared" si="22"/>
        <v>1656</v>
      </c>
      <c r="L296" s="1010"/>
      <c r="M296" s="729"/>
      <c r="N296" s="729"/>
      <c r="O296" s="729"/>
      <c r="P296" s="729"/>
      <c r="Q296" s="729"/>
    </row>
    <row r="297" spans="1:19" s="714" customFormat="1" ht="24" customHeight="1">
      <c r="A297" s="868"/>
      <c r="B297" s="800" t="s">
        <v>1391</v>
      </c>
      <c r="C297" s="801"/>
      <c r="D297" s="801"/>
      <c r="E297" s="802">
        <v>1</v>
      </c>
      <c r="F297" s="803" t="s">
        <v>240</v>
      </c>
      <c r="G297" s="858">
        <v>138</v>
      </c>
      <c r="H297" s="864">
        <f t="shared" si="29"/>
        <v>138</v>
      </c>
      <c r="I297" s="865"/>
      <c r="J297" s="864"/>
      <c r="K297" s="966">
        <f t="shared" si="22"/>
        <v>138</v>
      </c>
      <c r="L297" s="1010"/>
      <c r="M297" s="729"/>
      <c r="N297" s="729"/>
      <c r="O297" s="729"/>
      <c r="P297" s="729"/>
      <c r="Q297" s="729"/>
    </row>
    <row r="298" spans="1:19" s="714" customFormat="1" ht="24" customHeight="1">
      <c r="A298" s="861"/>
      <c r="B298" s="800" t="s">
        <v>1273</v>
      </c>
      <c r="C298" s="801"/>
      <c r="D298" s="801"/>
      <c r="E298" s="802">
        <v>2</v>
      </c>
      <c r="F298" s="803" t="s">
        <v>240</v>
      </c>
      <c r="G298" s="858">
        <v>1288</v>
      </c>
      <c r="H298" s="864">
        <f t="shared" si="29"/>
        <v>2576</v>
      </c>
      <c r="I298" s="865"/>
      <c r="J298" s="864"/>
      <c r="K298" s="966">
        <f t="shared" si="22"/>
        <v>2576</v>
      </c>
      <c r="L298" s="1010"/>
      <c r="M298" s="729"/>
      <c r="N298" s="729"/>
      <c r="O298" s="729"/>
      <c r="P298" s="729"/>
    </row>
    <row r="299" spans="1:19" s="714" customFormat="1" ht="24" customHeight="1">
      <c r="A299" s="911"/>
      <c r="B299" s="800" t="s">
        <v>1546</v>
      </c>
      <c r="C299" s="859"/>
      <c r="D299" s="859"/>
      <c r="E299" s="851">
        <v>1</v>
      </c>
      <c r="F299" s="803" t="s">
        <v>240</v>
      </c>
      <c r="G299" s="853">
        <v>5500</v>
      </c>
      <c r="H299" s="864">
        <f t="shared" si="29"/>
        <v>5500</v>
      </c>
      <c r="I299" s="855">
        <v>1000</v>
      </c>
      <c r="J299" s="864">
        <f>ROUND(E299*I299,)</f>
        <v>1000</v>
      </c>
      <c r="K299" s="966">
        <f t="shared" si="22"/>
        <v>6500</v>
      </c>
      <c r="L299" s="1008"/>
      <c r="M299" s="729"/>
      <c r="N299" s="729"/>
      <c r="O299" s="729"/>
      <c r="P299" s="729"/>
      <c r="Q299" s="729"/>
    </row>
    <row r="300" spans="1:19" s="714" customFormat="1" ht="24" customHeight="1">
      <c r="A300" s="911"/>
      <c r="B300" s="800" t="s">
        <v>1480</v>
      </c>
      <c r="C300" s="859"/>
      <c r="D300" s="859"/>
      <c r="E300" s="851">
        <v>1</v>
      </c>
      <c r="F300" s="803" t="s">
        <v>240</v>
      </c>
      <c r="G300" s="858">
        <v>2400</v>
      </c>
      <c r="H300" s="796">
        <v>2400</v>
      </c>
      <c r="I300" s="797"/>
      <c r="J300" s="796">
        <v>0</v>
      </c>
      <c r="K300" s="966">
        <f t="shared" si="22"/>
        <v>2400</v>
      </c>
      <c r="L300" s="1008"/>
      <c r="M300" s="729"/>
      <c r="N300" s="729"/>
      <c r="O300" s="729"/>
      <c r="P300" s="729"/>
      <c r="Q300" s="729"/>
    </row>
    <row r="301" spans="1:19" s="714" customFormat="1" ht="24" customHeight="1">
      <c r="A301" s="911"/>
      <c r="B301" s="800" t="s">
        <v>1271</v>
      </c>
      <c r="C301" s="801"/>
      <c r="D301" s="801"/>
      <c r="E301" s="802">
        <v>9</v>
      </c>
      <c r="F301" s="803" t="s">
        <v>240</v>
      </c>
      <c r="G301" s="858">
        <v>138</v>
      </c>
      <c r="H301" s="864">
        <f t="shared" ref="H301:H302" si="30">ROUND(E301*G301,)</f>
        <v>1242</v>
      </c>
      <c r="I301" s="865"/>
      <c r="J301" s="864"/>
      <c r="K301" s="966">
        <f t="shared" si="22"/>
        <v>1242</v>
      </c>
      <c r="L301" s="1010"/>
      <c r="M301" s="729"/>
      <c r="N301" s="729"/>
      <c r="O301" s="729"/>
      <c r="P301" s="729"/>
      <c r="Q301" s="729"/>
    </row>
    <row r="302" spans="1:19" s="714" customFormat="1" ht="24" customHeight="1">
      <c r="A302" s="861"/>
      <c r="B302" s="800" t="s">
        <v>1477</v>
      </c>
      <c r="C302" s="801"/>
      <c r="D302" s="801"/>
      <c r="E302" s="802"/>
      <c r="F302" s="803" t="s">
        <v>240</v>
      </c>
      <c r="G302" s="858">
        <v>680</v>
      </c>
      <c r="H302" s="864">
        <f t="shared" si="30"/>
        <v>0</v>
      </c>
      <c r="I302" s="865"/>
      <c r="J302" s="864"/>
      <c r="K302" s="966">
        <f t="shared" si="22"/>
        <v>0</v>
      </c>
      <c r="L302" s="1010"/>
      <c r="M302" s="729"/>
      <c r="N302" s="729"/>
      <c r="O302" s="729"/>
      <c r="P302" s="729"/>
    </row>
    <row r="303" spans="1:19" s="714" customFormat="1" ht="24" customHeight="1">
      <c r="A303" s="831"/>
      <c r="B303" s="720" t="s">
        <v>957</v>
      </c>
      <c r="C303" s="792"/>
      <c r="D303" s="792"/>
      <c r="E303" s="793"/>
      <c r="F303" s="794"/>
      <c r="G303" s="795"/>
      <c r="H303" s="796"/>
      <c r="I303" s="797"/>
      <c r="J303" s="796"/>
      <c r="K303" s="1014"/>
      <c r="L303" s="1010"/>
      <c r="M303" s="729"/>
      <c r="N303" s="729"/>
      <c r="O303" s="729"/>
      <c r="P303" s="729"/>
      <c r="Q303" s="729"/>
      <c r="R303" s="729"/>
      <c r="S303" s="729"/>
    </row>
    <row r="304" spans="1:19" s="714" customFormat="1" ht="24" customHeight="1">
      <c r="A304" s="921"/>
      <c r="B304" s="705" t="s">
        <v>958</v>
      </c>
      <c r="C304" s="809"/>
      <c r="D304" s="809"/>
      <c r="E304" s="869"/>
      <c r="F304" s="870"/>
      <c r="G304" s="871"/>
      <c r="H304" s="872"/>
      <c r="I304" s="873"/>
      <c r="J304" s="872"/>
      <c r="K304" s="1071"/>
      <c r="L304" s="1077"/>
      <c r="M304" s="729"/>
      <c r="N304" s="729"/>
      <c r="O304" s="729"/>
      <c r="P304" s="729"/>
      <c r="Q304" s="729"/>
      <c r="R304" s="729"/>
      <c r="S304" s="729"/>
    </row>
    <row r="305" spans="1:19" s="714" customFormat="1" ht="24" customHeight="1">
      <c r="A305" s="921"/>
      <c r="B305" s="705" t="s">
        <v>958</v>
      </c>
      <c r="C305" s="761"/>
      <c r="D305" s="761"/>
      <c r="E305" s="923"/>
      <c r="F305" s="924"/>
      <c r="G305" s="925"/>
      <c r="H305" s="926"/>
      <c r="I305" s="927"/>
      <c r="J305" s="928"/>
      <c r="K305" s="1072"/>
      <c r="L305" s="928"/>
      <c r="M305" s="729"/>
      <c r="N305" s="729"/>
      <c r="O305" s="729"/>
      <c r="P305" s="729"/>
      <c r="Q305" s="729"/>
      <c r="R305" s="729"/>
      <c r="S305" s="729"/>
    </row>
    <row r="306" spans="1:19" s="714" customFormat="1" ht="24" customHeight="1">
      <c r="A306" s="921"/>
      <c r="B306" s="922"/>
      <c r="C306" s="761"/>
      <c r="D306" s="761"/>
      <c r="E306" s="923"/>
      <c r="F306" s="924"/>
      <c r="G306" s="925"/>
      <c r="H306" s="926"/>
      <c r="I306" s="927"/>
      <c r="J306" s="928"/>
      <c r="K306" s="1072"/>
      <c r="L306" s="928"/>
      <c r="M306" s="729"/>
      <c r="N306" s="729"/>
      <c r="O306" s="729"/>
      <c r="P306" s="729"/>
      <c r="Q306" s="729"/>
      <c r="R306" s="729"/>
      <c r="S306" s="729"/>
    </row>
    <row r="307" spans="1:19" s="714" customFormat="1" ht="24" customHeight="1">
      <c r="A307" s="775"/>
      <c r="B307" s="2475" t="str">
        <f>"รวมราคารายการที่ "&amp;A251</f>
        <v>รวมราคารายการที่ 3.3</v>
      </c>
      <c r="C307" s="2476"/>
      <c r="D307" s="2477"/>
      <c r="E307" s="776"/>
      <c r="F307" s="777"/>
      <c r="G307" s="959"/>
      <c r="H307" s="960">
        <f>SUM(H251:H304)</f>
        <v>125336</v>
      </c>
      <c r="I307" s="959"/>
      <c r="J307" s="960">
        <f t="shared" ref="J307:K307" si="31">SUM(J251:J304)</f>
        <v>15000</v>
      </c>
      <c r="K307" s="960">
        <f t="shared" si="31"/>
        <v>140336</v>
      </c>
      <c r="L307" s="1006"/>
      <c r="M307" s="729"/>
      <c r="N307" s="729"/>
      <c r="O307" s="729"/>
      <c r="P307" s="729"/>
      <c r="Q307" s="729"/>
      <c r="R307" s="729"/>
      <c r="S307" s="729"/>
    </row>
    <row r="308" spans="1:19" s="714" customFormat="1" ht="24" customHeight="1">
      <c r="A308" s="1029">
        <v>3.4</v>
      </c>
      <c r="B308" s="816" t="s">
        <v>1159</v>
      </c>
      <c r="C308" s="770"/>
      <c r="D308" s="770"/>
      <c r="E308" s="930"/>
      <c r="F308" s="931"/>
      <c r="G308" s="932"/>
      <c r="H308" s="854">
        <f t="shared" ref="H308:H317" si="32">ROUND(E308*G308,)</f>
        <v>0</v>
      </c>
      <c r="I308" s="934"/>
      <c r="J308" s="854">
        <f t="shared" ref="J308:J317" si="33">ROUND(E308*I308,)</f>
        <v>0</v>
      </c>
      <c r="K308" s="1013"/>
      <c r="L308" s="935"/>
      <c r="M308" s="729"/>
      <c r="N308" s="729"/>
      <c r="O308" s="729"/>
      <c r="P308" s="729"/>
      <c r="Q308" s="729"/>
      <c r="R308" s="729"/>
      <c r="S308" s="729"/>
    </row>
    <row r="309" spans="1:19" s="714" customFormat="1" ht="24" customHeight="1">
      <c r="A309" s="831" t="s">
        <v>971</v>
      </c>
      <c r="B309" s="720" t="s">
        <v>1410</v>
      </c>
      <c r="C309" s="717"/>
      <c r="D309" s="717"/>
      <c r="E309" s="967"/>
      <c r="F309" s="916"/>
      <c r="G309" s="806"/>
      <c r="H309" s="796">
        <f t="shared" si="32"/>
        <v>0</v>
      </c>
      <c r="I309" s="807"/>
      <c r="J309" s="796">
        <f t="shared" si="33"/>
        <v>0</v>
      </c>
      <c r="K309" s="968"/>
      <c r="L309" s="919"/>
      <c r="M309" s="729"/>
      <c r="N309" s="729"/>
      <c r="O309" s="729"/>
      <c r="P309" s="729"/>
      <c r="Q309" s="729"/>
      <c r="R309" s="729"/>
      <c r="S309" s="729"/>
    </row>
    <row r="310" spans="1:19" s="714" customFormat="1" ht="24" customHeight="1">
      <c r="A310" s="831"/>
      <c r="B310" s="720" t="s">
        <v>1277</v>
      </c>
      <c r="C310" s="717"/>
      <c r="D310" s="717"/>
      <c r="E310" s="805">
        <v>3105</v>
      </c>
      <c r="F310" s="794" t="s">
        <v>438</v>
      </c>
      <c r="G310" s="806">
        <v>9</v>
      </c>
      <c r="H310" s="796">
        <f t="shared" si="32"/>
        <v>27945</v>
      </c>
      <c r="I310" s="807">
        <v>7</v>
      </c>
      <c r="J310" s="796">
        <f t="shared" si="33"/>
        <v>21735</v>
      </c>
      <c r="K310" s="966">
        <f t="shared" ref="K310:K313" si="34">H310+J310</f>
        <v>49680</v>
      </c>
      <c r="L310" s="1718" t="s">
        <v>2974</v>
      </c>
      <c r="M310" s="729"/>
      <c r="N310" s="714">
        <v>912.1</v>
      </c>
      <c r="O310" s="714">
        <f>ROUND(N310/100,)</f>
        <v>9</v>
      </c>
      <c r="P310" s="729"/>
      <c r="Q310" s="729"/>
      <c r="R310" s="729"/>
      <c r="S310" s="729"/>
    </row>
    <row r="311" spans="1:19" s="714" customFormat="1" ht="24" customHeight="1">
      <c r="A311" s="831"/>
      <c r="B311" s="720" t="s">
        <v>1166</v>
      </c>
      <c r="C311" s="717"/>
      <c r="D311" s="717"/>
      <c r="E311" s="805">
        <v>5430</v>
      </c>
      <c r="F311" s="794" t="s">
        <v>438</v>
      </c>
      <c r="G311" s="806">
        <v>14</v>
      </c>
      <c r="H311" s="796">
        <f t="shared" si="32"/>
        <v>76020</v>
      </c>
      <c r="I311" s="807">
        <v>10</v>
      </c>
      <c r="J311" s="796">
        <f t="shared" si="33"/>
        <v>54300</v>
      </c>
      <c r="K311" s="966">
        <f t="shared" si="34"/>
        <v>130320</v>
      </c>
      <c r="L311" s="1718" t="s">
        <v>2974</v>
      </c>
      <c r="M311" s="729"/>
      <c r="N311" s="714">
        <v>1375.8</v>
      </c>
      <c r="O311" s="714">
        <f>ROUND(N311/100,)</f>
        <v>14</v>
      </c>
      <c r="P311" s="729"/>
      <c r="Q311" s="729"/>
      <c r="R311" s="729"/>
      <c r="S311" s="729"/>
    </row>
    <row r="312" spans="1:19" s="714" customFormat="1" ht="24" customHeight="1">
      <c r="A312" s="831"/>
      <c r="B312" s="720" t="s">
        <v>1167</v>
      </c>
      <c r="C312" s="792"/>
      <c r="D312" s="792"/>
      <c r="E312" s="805"/>
      <c r="F312" s="794" t="s">
        <v>438</v>
      </c>
      <c r="G312" s="806">
        <v>23</v>
      </c>
      <c r="H312" s="796">
        <f t="shared" si="32"/>
        <v>0</v>
      </c>
      <c r="I312" s="797">
        <v>12</v>
      </c>
      <c r="J312" s="796">
        <f t="shared" si="33"/>
        <v>0</v>
      </c>
      <c r="K312" s="1014">
        <f t="shared" si="34"/>
        <v>0</v>
      </c>
      <c r="L312" s="1718" t="s">
        <v>2974</v>
      </c>
      <c r="N312" s="714">
        <v>2264.1999999999998</v>
      </c>
      <c r="O312" s="714">
        <f t="shared" ref="O312:O313" si="35">ROUND(N312/100,)</f>
        <v>23</v>
      </c>
    </row>
    <row r="313" spans="1:19" s="714" customFormat="1" ht="24" customHeight="1">
      <c r="A313" s="831"/>
      <c r="B313" s="720" t="s">
        <v>1168</v>
      </c>
      <c r="C313" s="792"/>
      <c r="D313" s="792"/>
      <c r="E313" s="805">
        <v>290</v>
      </c>
      <c r="F313" s="794" t="s">
        <v>438</v>
      </c>
      <c r="G313" s="806">
        <v>39</v>
      </c>
      <c r="H313" s="796">
        <f t="shared" si="32"/>
        <v>11310</v>
      </c>
      <c r="I313" s="797">
        <v>16</v>
      </c>
      <c r="J313" s="796">
        <f t="shared" si="33"/>
        <v>4640</v>
      </c>
      <c r="K313" s="966">
        <f t="shared" si="34"/>
        <v>15950</v>
      </c>
      <c r="L313" s="1718" t="s">
        <v>2974</v>
      </c>
      <c r="N313" s="714">
        <v>3944.2</v>
      </c>
      <c r="O313" s="714">
        <f t="shared" si="35"/>
        <v>39</v>
      </c>
    </row>
    <row r="314" spans="1:19" s="714" customFormat="1" ht="24" customHeight="1">
      <c r="A314" s="831" t="s">
        <v>975</v>
      </c>
      <c r="B314" s="720" t="s">
        <v>1276</v>
      </c>
      <c r="C314" s="717"/>
      <c r="D314" s="717"/>
      <c r="E314" s="967"/>
      <c r="F314" s="916"/>
      <c r="G314" s="806"/>
      <c r="H314" s="796">
        <f t="shared" si="32"/>
        <v>0</v>
      </c>
      <c r="I314" s="807"/>
      <c r="J314" s="796">
        <f t="shared" si="33"/>
        <v>0</v>
      </c>
      <c r="K314" s="968"/>
      <c r="L314" s="919"/>
      <c r="M314" s="729"/>
      <c r="N314" s="729"/>
      <c r="O314" s="729"/>
      <c r="P314" s="729"/>
      <c r="Q314" s="729"/>
      <c r="R314" s="729"/>
      <c r="S314" s="729"/>
    </row>
    <row r="315" spans="1:19" s="714" customFormat="1" ht="24" customHeight="1">
      <c r="A315" s="831"/>
      <c r="B315" s="720" t="s">
        <v>1277</v>
      </c>
      <c r="C315" s="717"/>
      <c r="D315" s="717"/>
      <c r="E315" s="805"/>
      <c r="F315" s="794" t="s">
        <v>438</v>
      </c>
      <c r="G315" s="806">
        <v>41</v>
      </c>
      <c r="H315" s="796">
        <f t="shared" si="32"/>
        <v>0</v>
      </c>
      <c r="I315" s="807">
        <v>12</v>
      </c>
      <c r="J315" s="796">
        <f t="shared" si="33"/>
        <v>0</v>
      </c>
      <c r="K315" s="1014">
        <f t="shared" ref="K315:K317" si="36">H315+J315</f>
        <v>0</v>
      </c>
      <c r="L315" s="919"/>
      <c r="M315" s="729"/>
      <c r="N315" s="729"/>
      <c r="O315" s="729"/>
      <c r="P315" s="729"/>
      <c r="Q315" s="729"/>
      <c r="R315" s="729"/>
      <c r="S315" s="729"/>
    </row>
    <row r="316" spans="1:19" s="714" customFormat="1" ht="24" customHeight="1">
      <c r="A316" s="831"/>
      <c r="B316" s="720" t="s">
        <v>1166</v>
      </c>
      <c r="C316" s="792"/>
      <c r="D316" s="792"/>
      <c r="E316" s="805"/>
      <c r="F316" s="794" t="s">
        <v>438</v>
      </c>
      <c r="G316" s="806">
        <v>50</v>
      </c>
      <c r="H316" s="796">
        <f t="shared" si="32"/>
        <v>0</v>
      </c>
      <c r="I316" s="797">
        <v>14</v>
      </c>
      <c r="J316" s="796">
        <f t="shared" si="33"/>
        <v>0</v>
      </c>
      <c r="K316" s="966">
        <f t="shared" si="36"/>
        <v>0</v>
      </c>
      <c r="L316" s="915"/>
    </row>
    <row r="317" spans="1:19" s="714" customFormat="1" ht="24" customHeight="1">
      <c r="A317" s="856"/>
      <c r="B317" s="720" t="s">
        <v>1278</v>
      </c>
      <c r="C317" s="717"/>
      <c r="D317" s="717"/>
      <c r="E317" s="805">
        <v>1</v>
      </c>
      <c r="F317" s="794" t="s">
        <v>948</v>
      </c>
      <c r="G317" s="806">
        <f>ROUND(SUM(H310:H316)*0.05,)</f>
        <v>5764</v>
      </c>
      <c r="H317" s="796">
        <f t="shared" si="32"/>
        <v>5764</v>
      </c>
      <c r="I317" s="807">
        <f>ROUND(G317*0.3,)</f>
        <v>1729</v>
      </c>
      <c r="J317" s="796">
        <f t="shared" si="33"/>
        <v>1729</v>
      </c>
      <c r="K317" s="966">
        <f t="shared" si="36"/>
        <v>7493</v>
      </c>
      <c r="L317" s="919"/>
      <c r="M317" s="729"/>
      <c r="N317" s="729"/>
      <c r="O317" s="729"/>
      <c r="P317" s="729"/>
      <c r="Q317" s="729"/>
      <c r="R317" s="729"/>
      <c r="S317" s="729"/>
    </row>
    <row r="318" spans="1:19" s="714" customFormat="1" ht="24" customHeight="1">
      <c r="A318" s="831"/>
      <c r="B318" s="720" t="s">
        <v>957</v>
      </c>
      <c r="C318" s="717"/>
      <c r="D318" s="717"/>
      <c r="E318" s="967"/>
      <c r="F318" s="916"/>
      <c r="G318" s="806"/>
      <c r="H318" s="918"/>
      <c r="I318" s="807"/>
      <c r="J318" s="919"/>
      <c r="K318" s="968"/>
      <c r="L318" s="919"/>
      <c r="M318" s="729"/>
      <c r="N318" s="729"/>
      <c r="O318" s="729"/>
      <c r="P318" s="729"/>
      <c r="Q318" s="729"/>
      <c r="R318" s="729"/>
      <c r="S318" s="729"/>
    </row>
    <row r="319" spans="1:19" s="714" customFormat="1" ht="24" customHeight="1">
      <c r="A319" s="921"/>
      <c r="B319" s="705" t="s">
        <v>958</v>
      </c>
      <c r="C319" s="761"/>
      <c r="D319" s="761"/>
      <c r="E319" s="923"/>
      <c r="F319" s="924"/>
      <c r="G319" s="925"/>
      <c r="H319" s="926"/>
      <c r="I319" s="927"/>
      <c r="J319" s="928"/>
      <c r="K319" s="1072"/>
      <c r="L319" s="928"/>
      <c r="M319" s="729"/>
      <c r="N319" s="729"/>
      <c r="O319" s="729"/>
      <c r="P319" s="729"/>
      <c r="Q319" s="729"/>
      <c r="R319" s="729"/>
      <c r="S319" s="729"/>
    </row>
    <row r="320" spans="1:19" s="714" customFormat="1" ht="24" customHeight="1">
      <c r="A320" s="921"/>
      <c r="B320" s="705" t="s">
        <v>958</v>
      </c>
      <c r="C320" s="761"/>
      <c r="D320" s="761"/>
      <c r="E320" s="923"/>
      <c r="F320" s="924"/>
      <c r="G320" s="925"/>
      <c r="H320" s="926"/>
      <c r="I320" s="927"/>
      <c r="J320" s="928"/>
      <c r="K320" s="1072"/>
      <c r="L320" s="928"/>
      <c r="M320" s="729"/>
      <c r="N320" s="729"/>
      <c r="O320" s="729"/>
      <c r="P320" s="729"/>
      <c r="Q320" s="729"/>
      <c r="R320" s="729"/>
      <c r="S320" s="729"/>
    </row>
    <row r="321" spans="1:19" s="714" customFormat="1" ht="24" customHeight="1">
      <c r="A321" s="921"/>
      <c r="B321" s="922"/>
      <c r="C321" s="761"/>
      <c r="D321" s="761"/>
      <c r="E321" s="923"/>
      <c r="F321" s="924"/>
      <c r="G321" s="925"/>
      <c r="H321" s="926"/>
      <c r="I321" s="927"/>
      <c r="J321" s="928"/>
      <c r="K321" s="1072"/>
      <c r="L321" s="928"/>
      <c r="M321" s="729"/>
      <c r="N321" s="729"/>
      <c r="O321" s="729"/>
      <c r="P321" s="729"/>
      <c r="Q321" s="729"/>
      <c r="R321" s="729"/>
      <c r="S321" s="729"/>
    </row>
    <row r="322" spans="1:19" s="714" customFormat="1" ht="24" customHeight="1">
      <c r="A322" s="775"/>
      <c r="B322" s="2475" t="str">
        <f>"รวมราคารายการที่ "&amp;A308</f>
        <v>รวมราคารายการที่ 3.4</v>
      </c>
      <c r="C322" s="2476"/>
      <c r="D322" s="2477"/>
      <c r="E322" s="776"/>
      <c r="F322" s="777"/>
      <c r="G322" s="959"/>
      <c r="H322" s="960">
        <f>SUM(H308:H319)</f>
        <v>121039</v>
      </c>
      <c r="I322" s="959"/>
      <c r="J322" s="960">
        <f t="shared" ref="J322:K322" si="37">SUM(J308:J319)</f>
        <v>82404</v>
      </c>
      <c r="K322" s="960">
        <f t="shared" si="37"/>
        <v>203443</v>
      </c>
      <c r="L322" s="1006"/>
      <c r="M322" s="729"/>
      <c r="N322" s="729"/>
      <c r="O322" s="729"/>
      <c r="P322" s="729"/>
      <c r="Q322" s="729"/>
      <c r="R322" s="729"/>
      <c r="S322" s="729"/>
    </row>
    <row r="323" spans="1:19" s="714" customFormat="1" ht="24" customHeight="1">
      <c r="A323" s="911" t="s">
        <v>1290</v>
      </c>
      <c r="B323" s="816" t="s">
        <v>1181</v>
      </c>
      <c r="C323" s="770"/>
      <c r="D323" s="770"/>
      <c r="E323" s="930"/>
      <c r="F323" s="931"/>
      <c r="G323" s="932"/>
      <c r="H323" s="933"/>
      <c r="I323" s="934"/>
      <c r="J323" s="935"/>
      <c r="K323" s="1013"/>
      <c r="L323" s="935"/>
      <c r="M323" s="729"/>
      <c r="N323" s="729"/>
      <c r="O323" s="729"/>
      <c r="P323" s="729"/>
      <c r="Q323" s="729"/>
      <c r="R323" s="729"/>
      <c r="S323" s="729"/>
    </row>
    <row r="324" spans="1:19" s="714" customFormat="1" ht="24" customHeight="1">
      <c r="A324" s="831" t="s">
        <v>991</v>
      </c>
      <c r="B324" s="720" t="s">
        <v>1280</v>
      </c>
      <c r="C324" s="717"/>
      <c r="D324" s="717"/>
      <c r="E324" s="917"/>
      <c r="F324" s="916"/>
      <c r="G324" s="806"/>
      <c r="H324" s="796">
        <f t="shared" ref="H324:H335" si="38">ROUND(E324*G324,)</f>
        <v>0</v>
      </c>
      <c r="I324" s="807"/>
      <c r="J324" s="796">
        <f t="shared" ref="J324:J335" si="39">ROUND(E324*I324,)</f>
        <v>0</v>
      </c>
      <c r="K324" s="968"/>
      <c r="L324" s="919"/>
      <c r="M324" s="729"/>
      <c r="N324" s="729"/>
      <c r="O324" s="729"/>
      <c r="P324" s="729"/>
      <c r="Q324" s="729"/>
      <c r="R324" s="729"/>
      <c r="S324" s="729"/>
    </row>
    <row r="325" spans="1:19" s="714" customFormat="1" ht="24" customHeight="1">
      <c r="A325" s="831"/>
      <c r="B325" s="720" t="s">
        <v>1201</v>
      </c>
      <c r="C325" s="717"/>
      <c r="D325" s="717"/>
      <c r="E325" s="917">
        <v>2750</v>
      </c>
      <c r="F325" s="794" t="s">
        <v>438</v>
      </c>
      <c r="G325" s="806">
        <v>27</v>
      </c>
      <c r="H325" s="796">
        <f t="shared" si="38"/>
        <v>74250</v>
      </c>
      <c r="I325" s="807">
        <v>22</v>
      </c>
      <c r="J325" s="796">
        <f t="shared" si="39"/>
        <v>60500</v>
      </c>
      <c r="K325" s="966">
        <f t="shared" ref="K325:K329" si="40">H325+J325</f>
        <v>134750</v>
      </c>
      <c r="L325" s="1718" t="s">
        <v>2974</v>
      </c>
      <c r="M325" s="729"/>
      <c r="N325" s="714">
        <v>79.8</v>
      </c>
      <c r="O325" s="714">
        <f>ROUND(N325/3,)</f>
        <v>27</v>
      </c>
      <c r="P325" s="729"/>
      <c r="Q325" s="729"/>
      <c r="R325" s="729"/>
      <c r="S325" s="729"/>
    </row>
    <row r="326" spans="1:19" s="714" customFormat="1" ht="24" customHeight="1">
      <c r="A326" s="831"/>
      <c r="B326" s="720" t="s">
        <v>1184</v>
      </c>
      <c r="C326" s="717"/>
      <c r="D326" s="717"/>
      <c r="E326" s="917">
        <v>60</v>
      </c>
      <c r="F326" s="794" t="s">
        <v>438</v>
      </c>
      <c r="G326" s="806">
        <v>38</v>
      </c>
      <c r="H326" s="796">
        <f t="shared" si="38"/>
        <v>2280</v>
      </c>
      <c r="I326" s="807">
        <v>28</v>
      </c>
      <c r="J326" s="796">
        <f t="shared" si="39"/>
        <v>1680</v>
      </c>
      <c r="K326" s="966">
        <f t="shared" si="40"/>
        <v>3960</v>
      </c>
      <c r="L326" s="1718" t="s">
        <v>2974</v>
      </c>
      <c r="M326" s="729"/>
      <c r="N326" s="729">
        <v>115.2</v>
      </c>
      <c r="O326" s="714">
        <f>ROUND(N326/3,)</f>
        <v>38</v>
      </c>
      <c r="P326" s="729"/>
    </row>
    <row r="327" spans="1:19" s="714" customFormat="1" ht="24" customHeight="1">
      <c r="A327" s="831"/>
      <c r="B327" s="720" t="s">
        <v>1185</v>
      </c>
      <c r="C327" s="717"/>
      <c r="D327" s="717"/>
      <c r="E327" s="917">
        <v>60</v>
      </c>
      <c r="F327" s="794" t="s">
        <v>438</v>
      </c>
      <c r="G327" s="806">
        <v>55</v>
      </c>
      <c r="H327" s="796">
        <f t="shared" si="38"/>
        <v>3300</v>
      </c>
      <c r="I327" s="807">
        <v>28</v>
      </c>
      <c r="J327" s="796">
        <f t="shared" si="39"/>
        <v>1680</v>
      </c>
      <c r="K327" s="966">
        <f t="shared" si="40"/>
        <v>4980</v>
      </c>
      <c r="L327" s="1718" t="s">
        <v>2974</v>
      </c>
      <c r="M327" s="729"/>
      <c r="N327" s="729">
        <v>163.80000000000001</v>
      </c>
      <c r="O327" s="714">
        <f>ROUND(N327/3,)</f>
        <v>55</v>
      </c>
      <c r="P327" s="729"/>
      <c r="Q327" s="729"/>
    </row>
    <row r="328" spans="1:19" s="714" customFormat="1" ht="24" customHeight="1">
      <c r="A328" s="831"/>
      <c r="B328" s="720" t="s">
        <v>1186</v>
      </c>
      <c r="C328" s="717"/>
      <c r="D328" s="717"/>
      <c r="E328" s="917"/>
      <c r="F328" s="794" t="s">
        <v>438</v>
      </c>
      <c r="G328" s="806">
        <v>95</v>
      </c>
      <c r="H328" s="796">
        <f t="shared" si="38"/>
        <v>0</v>
      </c>
      <c r="I328" s="807">
        <v>32</v>
      </c>
      <c r="J328" s="796">
        <f t="shared" si="39"/>
        <v>0</v>
      </c>
      <c r="K328" s="1014">
        <f t="shared" si="40"/>
        <v>0</v>
      </c>
      <c r="L328" s="1718" t="s">
        <v>2974</v>
      </c>
      <c r="M328" s="729"/>
      <c r="N328" s="729">
        <v>285.60000000000002</v>
      </c>
      <c r="O328" s="714">
        <f>ROUND(N328/3,)</f>
        <v>95</v>
      </c>
      <c r="P328" s="729"/>
      <c r="Q328" s="729"/>
    </row>
    <row r="329" spans="1:19" s="714" customFormat="1" ht="24" customHeight="1">
      <c r="A329" s="831"/>
      <c r="B329" s="720" t="s">
        <v>952</v>
      </c>
      <c r="C329" s="717"/>
      <c r="D329" s="717"/>
      <c r="E329" s="917">
        <v>1</v>
      </c>
      <c r="F329" s="916" t="s">
        <v>948</v>
      </c>
      <c r="G329" s="806">
        <f>ROUND(SUM(H325:H328)*15%,)</f>
        <v>11975</v>
      </c>
      <c r="H329" s="796">
        <f t="shared" si="38"/>
        <v>11975</v>
      </c>
      <c r="I329" s="797">
        <f>ROUND(G329*0.3,)</f>
        <v>3593</v>
      </c>
      <c r="J329" s="796">
        <f t="shared" si="39"/>
        <v>3593</v>
      </c>
      <c r="K329" s="966">
        <f t="shared" si="40"/>
        <v>15568</v>
      </c>
      <c r="L329" s="920"/>
      <c r="M329" s="729"/>
      <c r="N329" s="729"/>
      <c r="O329" s="729"/>
      <c r="P329" s="729"/>
      <c r="Q329" s="729"/>
      <c r="R329" s="729"/>
      <c r="S329" s="729"/>
    </row>
    <row r="330" spans="1:19" s="714" customFormat="1" ht="24" customHeight="1">
      <c r="A330" s="831" t="s">
        <v>1020</v>
      </c>
      <c r="B330" s="720" t="s">
        <v>950</v>
      </c>
      <c r="C330" s="717"/>
      <c r="D330" s="717"/>
      <c r="E330" s="917"/>
      <c r="F330" s="916"/>
      <c r="G330" s="806"/>
      <c r="H330" s="796">
        <f t="shared" si="38"/>
        <v>0</v>
      </c>
      <c r="I330" s="807"/>
      <c r="J330" s="796">
        <f t="shared" si="39"/>
        <v>0</v>
      </c>
      <c r="K330" s="968"/>
      <c r="L330" s="920"/>
      <c r="M330" s="729"/>
      <c r="N330" s="729"/>
      <c r="O330" s="729"/>
      <c r="P330" s="729"/>
      <c r="Q330" s="729"/>
      <c r="R330" s="729"/>
      <c r="S330" s="729"/>
    </row>
    <row r="331" spans="1:19" s="714" customFormat="1" ht="24" customHeight="1">
      <c r="A331" s="831"/>
      <c r="B331" s="720" t="s">
        <v>1201</v>
      </c>
      <c r="C331" s="717"/>
      <c r="D331" s="717"/>
      <c r="E331" s="917"/>
      <c r="F331" s="794" t="s">
        <v>438</v>
      </c>
      <c r="G331" s="806">
        <v>56</v>
      </c>
      <c r="H331" s="796">
        <f t="shared" si="38"/>
        <v>0</v>
      </c>
      <c r="I331" s="807">
        <v>26</v>
      </c>
      <c r="J331" s="796">
        <f t="shared" si="39"/>
        <v>0</v>
      </c>
      <c r="K331" s="1014">
        <f t="shared" ref="K331:K333" si="41">H331+J331</f>
        <v>0</v>
      </c>
      <c r="L331" s="1718" t="s">
        <v>2974</v>
      </c>
      <c r="M331" s="729"/>
      <c r="N331" s="714">
        <v>169.2</v>
      </c>
      <c r="O331" s="714">
        <f>ROUND(N331/3,)</f>
        <v>56</v>
      </c>
      <c r="P331" s="729"/>
      <c r="Q331" s="729"/>
      <c r="R331" s="729"/>
      <c r="S331" s="729"/>
    </row>
    <row r="332" spans="1:19" s="714" customFormat="1" ht="24" customHeight="1">
      <c r="A332" s="831"/>
      <c r="B332" s="720" t="s">
        <v>1185</v>
      </c>
      <c r="C332" s="717"/>
      <c r="D332" s="717"/>
      <c r="E332" s="917"/>
      <c r="F332" s="794" t="s">
        <v>438</v>
      </c>
      <c r="G332" s="806">
        <v>101</v>
      </c>
      <c r="H332" s="796">
        <f t="shared" si="38"/>
        <v>0</v>
      </c>
      <c r="I332" s="807">
        <v>32</v>
      </c>
      <c r="J332" s="796">
        <f t="shared" si="39"/>
        <v>0</v>
      </c>
      <c r="K332" s="966">
        <f t="shared" si="41"/>
        <v>0</v>
      </c>
      <c r="L332" s="1718" t="s">
        <v>2974</v>
      </c>
      <c r="M332" s="729"/>
      <c r="N332" s="729">
        <v>303.60000000000002</v>
      </c>
      <c r="O332" s="714">
        <f>ROUND(N332/3,)</f>
        <v>101</v>
      </c>
      <c r="P332" s="729"/>
      <c r="Q332" s="729"/>
      <c r="R332" s="729"/>
      <c r="S332" s="729"/>
    </row>
    <row r="333" spans="1:19" s="714" customFormat="1" ht="24" customHeight="1">
      <c r="A333" s="831"/>
      <c r="B333" s="720" t="s">
        <v>952</v>
      </c>
      <c r="C333" s="717"/>
      <c r="D333" s="717"/>
      <c r="E333" s="917">
        <v>1</v>
      </c>
      <c r="F333" s="916" t="s">
        <v>948</v>
      </c>
      <c r="G333" s="806">
        <f>ROUND(SUM(H331:H332)*15%,)</f>
        <v>0</v>
      </c>
      <c r="H333" s="796">
        <f t="shared" si="38"/>
        <v>0</v>
      </c>
      <c r="I333" s="797">
        <f>ROUND(G333*0.3,)</f>
        <v>0</v>
      </c>
      <c r="J333" s="796">
        <f t="shared" si="39"/>
        <v>0</v>
      </c>
      <c r="K333" s="966">
        <f t="shared" si="41"/>
        <v>0</v>
      </c>
      <c r="L333" s="919"/>
      <c r="M333" s="729"/>
      <c r="N333" s="729"/>
      <c r="O333" s="729"/>
      <c r="P333" s="729"/>
      <c r="Q333" s="729"/>
      <c r="R333" s="729"/>
      <c r="S333" s="729"/>
    </row>
    <row r="334" spans="1:19" s="714" customFormat="1" ht="24" customHeight="1">
      <c r="A334" s="831" t="s">
        <v>1578</v>
      </c>
      <c r="B334" s="720" t="s">
        <v>1281</v>
      </c>
      <c r="C334" s="717"/>
      <c r="D334" s="717"/>
      <c r="E334" s="917"/>
      <c r="F334" s="916"/>
      <c r="G334" s="806"/>
      <c r="H334" s="796">
        <f t="shared" si="38"/>
        <v>0</v>
      </c>
      <c r="I334" s="807"/>
      <c r="J334" s="796">
        <f t="shared" si="39"/>
        <v>0</v>
      </c>
      <c r="K334" s="968"/>
      <c r="L334" s="919"/>
      <c r="M334" s="729"/>
      <c r="N334" s="729"/>
      <c r="O334" s="729"/>
      <c r="P334" s="729"/>
      <c r="Q334" s="729"/>
      <c r="R334" s="729"/>
      <c r="S334" s="729"/>
    </row>
    <row r="335" spans="1:19" s="714" customFormat="1" ht="24" customHeight="1">
      <c r="A335" s="831"/>
      <c r="B335" s="720" t="s">
        <v>1201</v>
      </c>
      <c r="C335" s="717"/>
      <c r="D335" s="717"/>
      <c r="E335" s="917">
        <v>817</v>
      </c>
      <c r="F335" s="794" t="s">
        <v>438</v>
      </c>
      <c r="G335" s="806">
        <v>14</v>
      </c>
      <c r="H335" s="796">
        <f t="shared" si="38"/>
        <v>11438</v>
      </c>
      <c r="I335" s="807">
        <v>11</v>
      </c>
      <c r="J335" s="796">
        <f t="shared" si="39"/>
        <v>8987</v>
      </c>
      <c r="K335" s="966">
        <f t="shared" ref="K335" si="42">H335+J335</f>
        <v>20425</v>
      </c>
      <c r="L335" s="919"/>
      <c r="M335" s="729"/>
      <c r="N335" s="729"/>
      <c r="O335" s="729"/>
      <c r="P335" s="729"/>
      <c r="Q335" s="729"/>
      <c r="R335" s="729"/>
      <c r="S335" s="729"/>
    </row>
    <row r="336" spans="1:19" s="714" customFormat="1" ht="24" customHeight="1">
      <c r="A336" s="831"/>
      <c r="B336" s="720" t="s">
        <v>957</v>
      </c>
      <c r="C336" s="717"/>
      <c r="D336" s="717"/>
      <c r="E336" s="917"/>
      <c r="F336" s="916"/>
      <c r="G336" s="806"/>
      <c r="H336" s="918"/>
      <c r="I336" s="807"/>
      <c r="J336" s="919"/>
      <c r="K336" s="968"/>
      <c r="L336" s="919"/>
      <c r="M336" s="729"/>
      <c r="N336" s="729"/>
      <c r="O336" s="729"/>
      <c r="P336" s="729"/>
      <c r="Q336" s="729"/>
      <c r="R336" s="729"/>
      <c r="S336" s="729"/>
    </row>
    <row r="337" spans="1:19" s="714" customFormat="1" ht="24" customHeight="1">
      <c r="A337" s="831"/>
      <c r="B337" s="720" t="s">
        <v>958</v>
      </c>
      <c r="C337" s="717"/>
      <c r="D337" s="717"/>
      <c r="E337" s="917"/>
      <c r="F337" s="916"/>
      <c r="G337" s="806"/>
      <c r="H337" s="918"/>
      <c r="I337" s="807"/>
      <c r="J337" s="919"/>
      <c r="K337" s="968"/>
      <c r="L337" s="919"/>
      <c r="M337" s="729"/>
      <c r="N337" s="729"/>
      <c r="O337" s="729"/>
      <c r="P337" s="729"/>
      <c r="Q337" s="729"/>
      <c r="R337" s="729"/>
      <c r="S337" s="729"/>
    </row>
    <row r="338" spans="1:19" s="714" customFormat="1" ht="24" customHeight="1">
      <c r="A338" s="775"/>
      <c r="B338" s="2475" t="str">
        <f>"รวมราคารายการที่ "&amp;A323</f>
        <v>รวมราคารายการที่ 3.5</v>
      </c>
      <c r="C338" s="2476"/>
      <c r="D338" s="2477"/>
      <c r="E338" s="776"/>
      <c r="F338" s="777"/>
      <c r="G338" s="959"/>
      <c r="H338" s="960">
        <f>SUM(H324:H337)</f>
        <v>103243</v>
      </c>
      <c r="I338" s="959"/>
      <c r="J338" s="960">
        <f t="shared" ref="J338:K338" si="43">SUM(J324:J337)</f>
        <v>76440</v>
      </c>
      <c r="K338" s="960">
        <f t="shared" si="43"/>
        <v>179683</v>
      </c>
      <c r="L338" s="1006"/>
      <c r="M338" s="729"/>
      <c r="N338" s="729"/>
      <c r="O338" s="729"/>
      <c r="P338" s="729"/>
      <c r="Q338" s="729"/>
      <c r="R338" s="729"/>
      <c r="S338" s="729"/>
    </row>
    <row r="339" spans="1:19" s="714" customFormat="1" ht="24" customHeight="1">
      <c r="A339" s="911" t="s">
        <v>1293</v>
      </c>
      <c r="B339" s="816" t="s">
        <v>1283</v>
      </c>
      <c r="C339" s="770"/>
      <c r="D339" s="770"/>
      <c r="E339" s="930"/>
      <c r="F339" s="931"/>
      <c r="G339" s="932"/>
      <c r="H339" s="933"/>
      <c r="I339" s="934"/>
      <c r="J339" s="935"/>
      <c r="K339" s="1013"/>
      <c r="L339" s="935"/>
      <c r="M339" s="729"/>
      <c r="N339" s="729"/>
      <c r="O339" s="729"/>
      <c r="P339" s="729"/>
      <c r="Q339" s="729"/>
      <c r="R339" s="729"/>
      <c r="S339" s="729"/>
    </row>
    <row r="340" spans="1:19" s="714" customFormat="1" ht="24" customHeight="1">
      <c r="A340" s="831" t="s">
        <v>1032</v>
      </c>
      <c r="B340" s="720" t="s">
        <v>1283</v>
      </c>
      <c r="C340" s="717"/>
      <c r="D340" s="717"/>
      <c r="E340" s="917"/>
      <c r="F340" s="916"/>
      <c r="G340" s="806"/>
      <c r="H340" s="918"/>
      <c r="I340" s="807"/>
      <c r="J340" s="919"/>
      <c r="K340" s="968"/>
      <c r="L340" s="919"/>
      <c r="M340" s="729"/>
      <c r="N340" s="729"/>
      <c r="O340" s="729"/>
      <c r="P340" s="729"/>
      <c r="Q340" s="729"/>
      <c r="R340" s="729"/>
      <c r="S340" s="729"/>
    </row>
    <row r="341" spans="1:19" s="714" customFormat="1" ht="24" customHeight="1">
      <c r="A341" s="831"/>
      <c r="B341" s="720" t="s">
        <v>1284</v>
      </c>
      <c r="C341" s="717"/>
      <c r="D341" s="717"/>
      <c r="E341" s="917">
        <v>31</v>
      </c>
      <c r="F341" s="722" t="s">
        <v>240</v>
      </c>
      <c r="G341" s="806">
        <v>90</v>
      </c>
      <c r="H341" s="796">
        <f t="shared" ref="H341:H350" si="44">ROUND(E341*G341,)</f>
        <v>2790</v>
      </c>
      <c r="I341" s="807">
        <v>80</v>
      </c>
      <c r="J341" s="796">
        <f t="shared" ref="J341:J350" si="45">ROUND(E341*I341,)</f>
        <v>2480</v>
      </c>
      <c r="K341" s="966">
        <f t="shared" ref="K341:K350" si="46">H341+J341</f>
        <v>5270</v>
      </c>
      <c r="L341" s="919"/>
      <c r="M341" s="729"/>
      <c r="N341" s="729"/>
      <c r="O341" s="729"/>
      <c r="P341" s="729"/>
      <c r="Q341" s="729"/>
      <c r="R341" s="729"/>
      <c r="S341" s="729"/>
    </row>
    <row r="342" spans="1:19" s="714" customFormat="1" ht="24" customHeight="1">
      <c r="A342" s="831"/>
      <c r="B342" s="705" t="s">
        <v>1418</v>
      </c>
      <c r="C342" s="717"/>
      <c r="D342" s="717"/>
      <c r="E342" s="967"/>
      <c r="F342" s="709" t="s">
        <v>240</v>
      </c>
      <c r="G342" s="806">
        <v>130</v>
      </c>
      <c r="H342" s="796">
        <f t="shared" si="44"/>
        <v>0</v>
      </c>
      <c r="I342" s="807">
        <v>90</v>
      </c>
      <c r="J342" s="796">
        <f t="shared" si="45"/>
        <v>0</v>
      </c>
      <c r="K342" s="1014">
        <f t="shared" si="46"/>
        <v>0</v>
      </c>
      <c r="L342" s="919"/>
    </row>
    <row r="343" spans="1:19" s="714" customFormat="1" ht="24" customHeight="1">
      <c r="A343" s="831"/>
      <c r="B343" s="720" t="s">
        <v>1285</v>
      </c>
      <c r="C343" s="717"/>
      <c r="D343" s="717"/>
      <c r="E343" s="917"/>
      <c r="F343" s="722" t="s">
        <v>240</v>
      </c>
      <c r="G343" s="806">
        <v>162</v>
      </c>
      <c r="H343" s="796">
        <f t="shared" si="44"/>
        <v>0</v>
      </c>
      <c r="I343" s="807">
        <v>90</v>
      </c>
      <c r="J343" s="796">
        <f t="shared" si="45"/>
        <v>0</v>
      </c>
      <c r="K343" s="1014">
        <f t="shared" si="46"/>
        <v>0</v>
      </c>
      <c r="L343" s="919"/>
      <c r="M343" s="729"/>
      <c r="N343" s="729"/>
      <c r="O343" s="729"/>
      <c r="P343" s="729"/>
      <c r="Q343" s="729"/>
      <c r="R343" s="729"/>
      <c r="S343" s="729"/>
    </row>
    <row r="344" spans="1:19" s="714" customFormat="1" ht="24" customHeight="1">
      <c r="A344" s="831"/>
      <c r="B344" s="720" t="s">
        <v>1286</v>
      </c>
      <c r="C344" s="717"/>
      <c r="D344" s="717"/>
      <c r="E344" s="917">
        <v>29</v>
      </c>
      <c r="F344" s="722" t="s">
        <v>240</v>
      </c>
      <c r="G344" s="806">
        <v>197</v>
      </c>
      <c r="H344" s="796">
        <f t="shared" si="44"/>
        <v>5713</v>
      </c>
      <c r="I344" s="807">
        <v>90</v>
      </c>
      <c r="J344" s="796">
        <f t="shared" si="45"/>
        <v>2610</v>
      </c>
      <c r="K344" s="966">
        <f t="shared" si="46"/>
        <v>8323</v>
      </c>
      <c r="L344" s="919"/>
      <c r="M344" s="729"/>
      <c r="N344" s="729"/>
      <c r="O344" s="729"/>
      <c r="P344" s="729"/>
      <c r="Q344" s="729"/>
      <c r="R344" s="729"/>
      <c r="S344" s="729"/>
    </row>
    <row r="345" spans="1:19" s="714" customFormat="1" ht="24" customHeight="1">
      <c r="A345" s="831"/>
      <c r="B345" s="705" t="s">
        <v>1287</v>
      </c>
      <c r="C345" s="717"/>
      <c r="D345" s="717"/>
      <c r="E345" s="967"/>
      <c r="F345" s="709" t="s">
        <v>240</v>
      </c>
      <c r="G345" s="806">
        <v>1500</v>
      </c>
      <c r="H345" s="796">
        <f t="shared" si="44"/>
        <v>0</v>
      </c>
      <c r="I345" s="807">
        <v>265</v>
      </c>
      <c r="J345" s="796">
        <f t="shared" si="45"/>
        <v>0</v>
      </c>
      <c r="K345" s="968">
        <f t="shared" si="46"/>
        <v>0</v>
      </c>
      <c r="L345" s="919"/>
    </row>
    <row r="346" spans="1:19" s="714" customFormat="1" ht="24" customHeight="1">
      <c r="A346" s="831"/>
      <c r="B346" s="720" t="s">
        <v>1288</v>
      </c>
      <c r="C346" s="717"/>
      <c r="D346" s="717"/>
      <c r="E346" s="917"/>
      <c r="F346" s="722" t="s">
        <v>240</v>
      </c>
      <c r="G346" s="806">
        <v>320</v>
      </c>
      <c r="H346" s="796">
        <f t="shared" si="44"/>
        <v>0</v>
      </c>
      <c r="I346" s="807">
        <v>200</v>
      </c>
      <c r="J346" s="796">
        <f t="shared" si="45"/>
        <v>0</v>
      </c>
      <c r="K346" s="1014">
        <f t="shared" si="46"/>
        <v>0</v>
      </c>
      <c r="L346" s="919"/>
      <c r="M346" s="729"/>
      <c r="N346" s="729"/>
      <c r="O346" s="729"/>
      <c r="P346" s="729"/>
      <c r="Q346" s="729"/>
    </row>
    <row r="347" spans="1:19" s="714" customFormat="1" ht="24" customHeight="1">
      <c r="A347" s="831" t="s">
        <v>1598</v>
      </c>
      <c r="B347" s="720" t="s">
        <v>1289</v>
      </c>
      <c r="C347" s="717"/>
      <c r="D347" s="717"/>
      <c r="E347" s="917">
        <v>11</v>
      </c>
      <c r="F347" s="722" t="s">
        <v>240</v>
      </c>
      <c r="G347" s="806">
        <v>130</v>
      </c>
      <c r="H347" s="796">
        <f t="shared" si="44"/>
        <v>1430</v>
      </c>
      <c r="I347" s="807">
        <v>90</v>
      </c>
      <c r="J347" s="796">
        <f t="shared" si="45"/>
        <v>990</v>
      </c>
      <c r="K347" s="966">
        <f t="shared" si="46"/>
        <v>2420</v>
      </c>
      <c r="L347" s="919"/>
      <c r="M347" s="729"/>
      <c r="N347" s="729"/>
      <c r="O347" s="729"/>
      <c r="P347" s="729"/>
      <c r="Q347" s="729"/>
      <c r="R347" s="729"/>
      <c r="S347" s="729"/>
    </row>
    <row r="348" spans="1:19" s="714" customFormat="1" ht="24" customHeight="1">
      <c r="A348" s="831" t="s">
        <v>1601</v>
      </c>
      <c r="B348" s="720" t="s">
        <v>1419</v>
      </c>
      <c r="C348" s="717"/>
      <c r="D348" s="717"/>
      <c r="E348" s="917"/>
      <c r="F348" s="722" t="s">
        <v>240</v>
      </c>
      <c r="G348" s="806">
        <v>150</v>
      </c>
      <c r="H348" s="796">
        <f t="shared" si="44"/>
        <v>0</v>
      </c>
      <c r="I348" s="807">
        <v>90</v>
      </c>
      <c r="J348" s="796">
        <f t="shared" si="45"/>
        <v>0</v>
      </c>
      <c r="K348" s="1014">
        <f t="shared" si="46"/>
        <v>0</v>
      </c>
      <c r="L348" s="919"/>
      <c r="M348" s="729"/>
      <c r="N348" s="729"/>
      <c r="O348" s="729"/>
      <c r="P348" s="729"/>
      <c r="Q348" s="729"/>
      <c r="R348" s="729"/>
      <c r="S348" s="729"/>
    </row>
    <row r="349" spans="1:19" s="714" customFormat="1" ht="24" customHeight="1">
      <c r="A349" s="831"/>
      <c r="B349" s="720" t="s">
        <v>1420</v>
      </c>
      <c r="C349" s="717"/>
      <c r="D349" s="717"/>
      <c r="E349" s="917">
        <v>2</v>
      </c>
      <c r="F349" s="722" t="s">
        <v>240</v>
      </c>
      <c r="G349" s="806">
        <v>4000</v>
      </c>
      <c r="H349" s="796">
        <f t="shared" si="44"/>
        <v>8000</v>
      </c>
      <c r="I349" s="807">
        <v>500</v>
      </c>
      <c r="J349" s="914">
        <f t="shared" si="45"/>
        <v>1000</v>
      </c>
      <c r="K349" s="966">
        <f t="shared" si="46"/>
        <v>9000</v>
      </c>
      <c r="L349" s="919"/>
      <c r="M349" s="729"/>
      <c r="N349" s="729"/>
      <c r="O349" s="729"/>
      <c r="P349" s="729"/>
      <c r="Q349" s="729"/>
      <c r="R349" s="729"/>
      <c r="S349" s="729"/>
    </row>
    <row r="350" spans="1:19" s="714" customFormat="1" ht="24" customHeight="1">
      <c r="A350" s="831"/>
      <c r="B350" s="720" t="s">
        <v>1457</v>
      </c>
      <c r="C350" s="717"/>
      <c r="D350" s="717"/>
      <c r="E350" s="917">
        <v>4</v>
      </c>
      <c r="F350" s="722" t="s">
        <v>240</v>
      </c>
      <c r="G350" s="806">
        <v>8000</v>
      </c>
      <c r="H350" s="796">
        <f t="shared" si="44"/>
        <v>32000</v>
      </c>
      <c r="I350" s="807">
        <v>1000</v>
      </c>
      <c r="J350" s="914">
        <f t="shared" si="45"/>
        <v>4000</v>
      </c>
      <c r="K350" s="966">
        <f t="shared" si="46"/>
        <v>36000</v>
      </c>
      <c r="L350" s="919"/>
      <c r="M350" s="729"/>
      <c r="N350" s="729"/>
      <c r="O350" s="729"/>
      <c r="P350" s="729"/>
      <c r="Q350" s="729"/>
      <c r="R350" s="729"/>
      <c r="S350" s="729"/>
    </row>
    <row r="351" spans="1:19" s="714" customFormat="1" ht="24" customHeight="1">
      <c r="A351" s="831"/>
      <c r="B351" s="720" t="s">
        <v>957</v>
      </c>
      <c r="C351" s="717"/>
      <c r="D351" s="717"/>
      <c r="E351" s="917"/>
      <c r="F351" s="916"/>
      <c r="G351" s="806"/>
      <c r="H351" s="918"/>
      <c r="I351" s="807"/>
      <c r="J351" s="919"/>
      <c r="K351" s="968"/>
      <c r="L351" s="919"/>
      <c r="M351" s="729"/>
      <c r="N351" s="729"/>
      <c r="O351" s="729"/>
      <c r="P351" s="729"/>
      <c r="Q351" s="729"/>
      <c r="R351" s="729"/>
      <c r="S351" s="729"/>
    </row>
    <row r="352" spans="1:19" s="714" customFormat="1" ht="24" customHeight="1">
      <c r="A352" s="831"/>
      <c r="B352" s="972" t="s">
        <v>958</v>
      </c>
      <c r="C352" s="717"/>
      <c r="D352" s="717"/>
      <c r="E352" s="917"/>
      <c r="F352" s="916"/>
      <c r="G352" s="806"/>
      <c r="H352" s="918"/>
      <c r="I352" s="807"/>
      <c r="J352" s="919"/>
      <c r="K352" s="968"/>
      <c r="L352" s="919"/>
      <c r="M352" s="729"/>
      <c r="N352" s="729"/>
      <c r="O352" s="729"/>
      <c r="P352" s="729"/>
      <c r="Q352" s="729"/>
      <c r="R352" s="729"/>
      <c r="S352" s="729"/>
    </row>
    <row r="353" spans="1:19" s="714" customFormat="1" ht="24" customHeight="1">
      <c r="A353" s="831"/>
      <c r="B353" s="1078" t="s">
        <v>958</v>
      </c>
      <c r="C353" s="717"/>
      <c r="D353" s="717"/>
      <c r="E353" s="917"/>
      <c r="F353" s="916"/>
      <c r="G353" s="806"/>
      <c r="H353" s="918"/>
      <c r="I353" s="807"/>
      <c r="J353" s="919"/>
      <c r="K353" s="968"/>
      <c r="L353" s="919"/>
      <c r="M353" s="729"/>
      <c r="N353" s="729"/>
      <c r="O353" s="729"/>
      <c r="P353" s="729"/>
      <c r="Q353" s="729"/>
      <c r="R353" s="729"/>
      <c r="S353" s="729"/>
    </row>
    <row r="354" spans="1:19" s="714" customFormat="1" ht="24" customHeight="1">
      <c r="A354" s="921"/>
      <c r="B354" s="922"/>
      <c r="C354" s="761"/>
      <c r="D354" s="761"/>
      <c r="E354" s="923"/>
      <c r="F354" s="924"/>
      <c r="G354" s="925"/>
      <c r="H354" s="926"/>
      <c r="I354" s="927"/>
      <c r="J354" s="928"/>
      <c r="K354" s="1072"/>
      <c r="L354" s="928"/>
      <c r="M354" s="729"/>
      <c r="N354" s="729"/>
      <c r="O354" s="729"/>
      <c r="P354" s="729"/>
      <c r="Q354" s="729"/>
      <c r="R354" s="729"/>
      <c r="S354" s="729"/>
    </row>
    <row r="355" spans="1:19" s="714" customFormat="1" ht="24" customHeight="1">
      <c r="A355" s="775"/>
      <c r="B355" s="2475" t="str">
        <f>"รวมราคารายการที่ "&amp;A339</f>
        <v>รวมราคารายการที่ 3.6</v>
      </c>
      <c r="C355" s="2476"/>
      <c r="D355" s="2477"/>
      <c r="E355" s="776"/>
      <c r="F355" s="777"/>
      <c r="G355" s="959"/>
      <c r="H355" s="960">
        <f>SUM(H340:H354)</f>
        <v>49933</v>
      </c>
      <c r="I355" s="959"/>
      <c r="J355" s="960">
        <f t="shared" ref="J355:K355" si="47">SUM(J340:J354)</f>
        <v>11080</v>
      </c>
      <c r="K355" s="960">
        <f t="shared" si="47"/>
        <v>61013</v>
      </c>
      <c r="L355" s="1006"/>
      <c r="M355" s="729"/>
      <c r="N355" s="729"/>
      <c r="O355" s="729"/>
      <c r="P355" s="729"/>
      <c r="Q355" s="729"/>
      <c r="R355" s="729"/>
      <c r="S355" s="729"/>
    </row>
    <row r="356" spans="1:19" s="714" customFormat="1" ht="24" customHeight="1">
      <c r="A356" s="969" t="s">
        <v>1317</v>
      </c>
      <c r="B356" s="1015" t="s">
        <v>1197</v>
      </c>
      <c r="C356" s="770"/>
      <c r="D356" s="770"/>
      <c r="E356" s="930"/>
      <c r="F356" s="709"/>
      <c r="G356" s="932"/>
      <c r="H356" s="854"/>
      <c r="I356" s="934"/>
      <c r="J356" s="854"/>
      <c r="K356" s="1007"/>
      <c r="L356" s="935"/>
      <c r="M356" s="729"/>
      <c r="N356" s="729"/>
      <c r="O356" s="729"/>
      <c r="P356" s="729"/>
      <c r="Q356" s="729"/>
      <c r="R356" s="729"/>
      <c r="S356" s="729"/>
    </row>
    <row r="357" spans="1:19" s="714" customFormat="1" ht="24" customHeight="1">
      <c r="A357" s="791" t="s">
        <v>1051</v>
      </c>
      <c r="B357" s="972" t="s">
        <v>1291</v>
      </c>
      <c r="C357" s="717"/>
      <c r="D357" s="717"/>
      <c r="E357" s="917"/>
      <c r="F357" s="722"/>
      <c r="G357" s="806"/>
      <c r="H357" s="796"/>
      <c r="I357" s="807"/>
      <c r="J357" s="796"/>
      <c r="K357" s="1014"/>
      <c r="L357" s="919"/>
      <c r="M357" s="729"/>
      <c r="N357" s="729"/>
      <c r="O357" s="729"/>
      <c r="P357" s="729"/>
      <c r="Q357" s="729"/>
      <c r="R357" s="729"/>
      <c r="S357" s="729"/>
    </row>
    <row r="358" spans="1:19" s="714" customFormat="1" ht="24" customHeight="1">
      <c r="A358" s="704"/>
      <c r="B358" s="972" t="s">
        <v>1547</v>
      </c>
      <c r="C358" s="717"/>
      <c r="D358" s="717"/>
      <c r="E358" s="917">
        <v>1</v>
      </c>
      <c r="F358" s="722" t="s">
        <v>240</v>
      </c>
      <c r="G358" s="806">
        <f>72000+20280+5500</f>
        <v>97780</v>
      </c>
      <c r="H358" s="796">
        <f t="shared" ref="H358:H359" si="48">ROUND(E358*G358,)</f>
        <v>97780</v>
      </c>
      <c r="I358" s="807">
        <f t="shared" ref="I358:I359" si="49">G358*0.05</f>
        <v>4889</v>
      </c>
      <c r="J358" s="796">
        <f t="shared" ref="J358:J359" si="50">ROUND(E358*I358,)</f>
        <v>4889</v>
      </c>
      <c r="K358" s="966">
        <f t="shared" ref="K358:K359" si="51">H358+J358</f>
        <v>102669</v>
      </c>
      <c r="L358" s="919"/>
      <c r="M358" s="729"/>
      <c r="N358" s="729"/>
      <c r="O358" s="729"/>
      <c r="P358" s="729"/>
      <c r="Q358" s="729"/>
      <c r="R358" s="729"/>
      <c r="S358" s="729"/>
    </row>
    <row r="359" spans="1:19" s="714" customFormat="1" ht="24" customHeight="1">
      <c r="A359" s="704"/>
      <c r="B359" s="972" t="s">
        <v>1548</v>
      </c>
      <c r="C359" s="717"/>
      <c r="D359" s="717"/>
      <c r="E359" s="917">
        <v>1</v>
      </c>
      <c r="F359" s="722" t="s">
        <v>240</v>
      </c>
      <c r="G359" s="806">
        <f>72000+20280+5500</f>
        <v>97780</v>
      </c>
      <c r="H359" s="796">
        <f t="shared" si="48"/>
        <v>97780</v>
      </c>
      <c r="I359" s="807">
        <f t="shared" si="49"/>
        <v>4889</v>
      </c>
      <c r="J359" s="796">
        <f t="shared" si="50"/>
        <v>4889</v>
      </c>
      <c r="K359" s="966">
        <f t="shared" si="51"/>
        <v>102669</v>
      </c>
      <c r="L359" s="919"/>
      <c r="M359" s="729"/>
      <c r="N359" s="729"/>
      <c r="O359" s="729"/>
      <c r="P359" s="729"/>
      <c r="Q359" s="729"/>
      <c r="R359" s="729"/>
      <c r="S359" s="729"/>
    </row>
    <row r="360" spans="1:19" s="714" customFormat="1" ht="24" customHeight="1">
      <c r="A360" s="704"/>
      <c r="B360" s="972" t="s">
        <v>957</v>
      </c>
      <c r="C360" s="717"/>
      <c r="D360" s="717"/>
      <c r="E360" s="917"/>
      <c r="F360" s="916"/>
      <c r="G360" s="806"/>
      <c r="H360" s="918"/>
      <c r="I360" s="807"/>
      <c r="J360" s="919"/>
      <c r="K360" s="968"/>
      <c r="L360" s="919"/>
      <c r="M360" s="729"/>
      <c r="N360" s="729"/>
      <c r="O360" s="729"/>
      <c r="P360" s="729"/>
      <c r="Q360" s="729"/>
      <c r="R360" s="729"/>
      <c r="S360" s="729"/>
    </row>
    <row r="361" spans="1:19" s="714" customFormat="1" ht="24" customHeight="1">
      <c r="A361" s="704"/>
      <c r="B361" s="972" t="s">
        <v>958</v>
      </c>
      <c r="C361" s="717"/>
      <c r="D361" s="717"/>
      <c r="E361" s="917"/>
      <c r="F361" s="916"/>
      <c r="G361" s="806"/>
      <c r="H361" s="918"/>
      <c r="I361" s="807"/>
      <c r="J361" s="919"/>
      <c r="K361" s="968"/>
      <c r="L361" s="919"/>
      <c r="M361" s="729"/>
      <c r="N361" s="729"/>
      <c r="O361" s="729"/>
      <c r="P361" s="729"/>
      <c r="Q361" s="729"/>
      <c r="R361" s="729"/>
      <c r="S361" s="729"/>
    </row>
    <row r="362" spans="1:19" s="714" customFormat="1" ht="24" customHeight="1">
      <c r="A362" s="898"/>
      <c r="B362" s="1078" t="s">
        <v>958</v>
      </c>
      <c r="C362" s="761"/>
      <c r="D362" s="761"/>
      <c r="E362" s="923"/>
      <c r="F362" s="924"/>
      <c r="G362" s="925"/>
      <c r="H362" s="926"/>
      <c r="I362" s="927"/>
      <c r="J362" s="928"/>
      <c r="K362" s="1072"/>
      <c r="L362" s="928"/>
      <c r="M362" s="729"/>
      <c r="N362" s="729"/>
      <c r="O362" s="729"/>
      <c r="P362" s="729"/>
      <c r="Q362" s="729"/>
      <c r="R362" s="729"/>
      <c r="S362" s="729"/>
    </row>
    <row r="363" spans="1:19" s="714" customFormat="1" ht="24" customHeight="1">
      <c r="A363" s="921"/>
      <c r="B363" s="922"/>
      <c r="C363" s="761"/>
      <c r="D363" s="761"/>
      <c r="E363" s="923"/>
      <c r="F363" s="924"/>
      <c r="G363" s="925"/>
      <c r="H363" s="926"/>
      <c r="I363" s="927"/>
      <c r="J363" s="928"/>
      <c r="K363" s="1072"/>
      <c r="L363" s="928"/>
      <c r="M363" s="729"/>
      <c r="N363" s="729"/>
      <c r="O363" s="729"/>
      <c r="P363" s="729"/>
      <c r="Q363" s="729"/>
      <c r="R363" s="729"/>
      <c r="S363" s="729"/>
    </row>
    <row r="364" spans="1:19" s="714" customFormat="1" ht="24" customHeight="1">
      <c r="A364" s="775"/>
      <c r="B364" s="2475" t="str">
        <f>"รวมราคารายการที่ "&amp;A356</f>
        <v>รวมราคารายการที่ 3.7</v>
      </c>
      <c r="C364" s="2476"/>
      <c r="D364" s="2477"/>
      <c r="E364" s="776"/>
      <c r="F364" s="777"/>
      <c r="G364" s="959"/>
      <c r="H364" s="960">
        <f>SUM(H356:H362)</f>
        <v>195560</v>
      </c>
      <c r="I364" s="959"/>
      <c r="J364" s="960">
        <f t="shared" ref="J364:K364" si="52">SUM(J356:J362)</f>
        <v>9778</v>
      </c>
      <c r="K364" s="960">
        <f t="shared" si="52"/>
        <v>205338</v>
      </c>
      <c r="L364" s="1006"/>
      <c r="M364" s="729"/>
      <c r="N364" s="729"/>
      <c r="O364" s="729"/>
      <c r="P364" s="729"/>
      <c r="Q364" s="729"/>
      <c r="R364" s="729"/>
      <c r="S364" s="729"/>
    </row>
    <row r="365" spans="1:19" s="714" customFormat="1" ht="24" customHeight="1">
      <c r="A365" s="911" t="s">
        <v>1339</v>
      </c>
      <c r="B365" s="816" t="s">
        <v>1294</v>
      </c>
      <c r="C365" s="770"/>
      <c r="D365" s="770"/>
      <c r="E365" s="930"/>
      <c r="F365" s="709"/>
      <c r="G365" s="932"/>
      <c r="H365" s="796"/>
      <c r="I365" s="934"/>
      <c r="J365" s="796"/>
      <c r="K365" s="1014"/>
      <c r="L365" s="935"/>
      <c r="M365" s="729"/>
      <c r="N365" s="729"/>
      <c r="O365" s="729"/>
      <c r="P365" s="729"/>
      <c r="Q365" s="729"/>
      <c r="R365" s="729"/>
      <c r="S365" s="729"/>
    </row>
    <row r="366" spans="1:19" s="714" customFormat="1" ht="24" customHeight="1">
      <c r="A366" s="861"/>
      <c r="B366" s="756" t="s">
        <v>1295</v>
      </c>
      <c r="C366" s="717"/>
      <c r="D366" s="717"/>
      <c r="E366" s="942">
        <v>42</v>
      </c>
      <c r="F366" s="759" t="s">
        <v>240</v>
      </c>
      <c r="G366" s="752">
        <v>420</v>
      </c>
      <c r="H366" s="864">
        <f t="shared" ref="H366:H387" si="53">ROUND(E366*G366,)</f>
        <v>17640</v>
      </c>
      <c r="I366" s="949">
        <v>115</v>
      </c>
      <c r="J366" s="864">
        <f t="shared" ref="J366:J387" si="54">ROUND(E366*I366,)</f>
        <v>4830</v>
      </c>
      <c r="K366" s="966">
        <f t="shared" ref="K366:K387" si="55">H366+J366</f>
        <v>22470</v>
      </c>
      <c r="L366" s="973"/>
      <c r="M366" s="729"/>
      <c r="N366" s="729"/>
      <c r="O366" s="729"/>
      <c r="P366" s="729"/>
    </row>
    <row r="367" spans="1:19" s="714" customFormat="1" ht="24" customHeight="1">
      <c r="A367" s="861"/>
      <c r="B367" s="800" t="s">
        <v>1296</v>
      </c>
      <c r="C367" s="717"/>
      <c r="D367" s="717"/>
      <c r="E367" s="942">
        <v>13</v>
      </c>
      <c r="F367" s="803" t="s">
        <v>240</v>
      </c>
      <c r="G367" s="752">
        <v>500</v>
      </c>
      <c r="H367" s="864">
        <f t="shared" si="53"/>
        <v>6500</v>
      </c>
      <c r="I367" s="949">
        <v>115</v>
      </c>
      <c r="J367" s="864">
        <f t="shared" si="54"/>
        <v>1495</v>
      </c>
      <c r="K367" s="966">
        <f t="shared" si="55"/>
        <v>7995</v>
      </c>
      <c r="L367" s="973"/>
      <c r="M367" s="729"/>
      <c r="N367" s="729"/>
      <c r="O367" s="729"/>
      <c r="P367" s="729"/>
    </row>
    <row r="368" spans="1:19" s="714" customFormat="1" ht="24" customHeight="1">
      <c r="A368" s="861"/>
      <c r="B368" s="800" t="s">
        <v>1297</v>
      </c>
      <c r="C368" s="717"/>
      <c r="D368" s="717"/>
      <c r="E368" s="942">
        <v>101</v>
      </c>
      <c r="F368" s="803" t="s">
        <v>240</v>
      </c>
      <c r="G368" s="752">
        <v>550</v>
      </c>
      <c r="H368" s="864">
        <f t="shared" si="53"/>
        <v>55550</v>
      </c>
      <c r="I368" s="949">
        <v>115</v>
      </c>
      <c r="J368" s="864">
        <f t="shared" si="54"/>
        <v>11615</v>
      </c>
      <c r="K368" s="966">
        <f t="shared" si="55"/>
        <v>67165</v>
      </c>
      <c r="L368" s="973"/>
      <c r="M368" s="729"/>
      <c r="N368" s="729"/>
      <c r="O368" s="729"/>
      <c r="P368" s="729"/>
    </row>
    <row r="369" spans="1:16" s="714" customFormat="1" ht="24" customHeight="1">
      <c r="A369" s="861"/>
      <c r="B369" s="800" t="s">
        <v>1298</v>
      </c>
      <c r="C369" s="717"/>
      <c r="D369" s="717"/>
      <c r="E369" s="942"/>
      <c r="F369" s="803" t="s">
        <v>240</v>
      </c>
      <c r="G369" s="752">
        <v>750</v>
      </c>
      <c r="H369" s="864">
        <f t="shared" si="53"/>
        <v>0</v>
      </c>
      <c r="I369" s="949">
        <v>135</v>
      </c>
      <c r="J369" s="864">
        <f t="shared" si="54"/>
        <v>0</v>
      </c>
      <c r="K369" s="966">
        <f t="shared" si="55"/>
        <v>0</v>
      </c>
      <c r="L369" s="973"/>
      <c r="M369" s="729"/>
      <c r="N369" s="729"/>
      <c r="O369" s="729"/>
      <c r="P369" s="729"/>
    </row>
    <row r="370" spans="1:16" s="714" customFormat="1" ht="24" customHeight="1">
      <c r="A370" s="861"/>
      <c r="B370" s="800" t="s">
        <v>1299</v>
      </c>
      <c r="C370" s="717"/>
      <c r="D370" s="717"/>
      <c r="E370" s="942">
        <v>47</v>
      </c>
      <c r="F370" s="803" t="s">
        <v>240</v>
      </c>
      <c r="G370" s="806">
        <v>2090</v>
      </c>
      <c r="H370" s="796">
        <f t="shared" si="53"/>
        <v>98230</v>
      </c>
      <c r="I370" s="807">
        <v>135</v>
      </c>
      <c r="J370" s="864">
        <f t="shared" si="54"/>
        <v>6345</v>
      </c>
      <c r="K370" s="966">
        <f t="shared" si="55"/>
        <v>104575</v>
      </c>
      <c r="L370" s="973"/>
      <c r="M370" s="729"/>
      <c r="N370" s="729"/>
      <c r="O370" s="729"/>
      <c r="P370" s="729"/>
    </row>
    <row r="371" spans="1:16" s="714" customFormat="1" ht="24" customHeight="1">
      <c r="A371" s="861"/>
      <c r="B371" s="800" t="s">
        <v>1300</v>
      </c>
      <c r="C371" s="717"/>
      <c r="D371" s="717"/>
      <c r="E371" s="942"/>
      <c r="F371" s="803" t="s">
        <v>240</v>
      </c>
      <c r="G371" s="806">
        <v>650</v>
      </c>
      <c r="H371" s="796">
        <f t="shared" si="53"/>
        <v>0</v>
      </c>
      <c r="I371" s="807">
        <v>20</v>
      </c>
      <c r="J371" s="864">
        <f t="shared" si="54"/>
        <v>0</v>
      </c>
      <c r="K371" s="966">
        <f t="shared" si="55"/>
        <v>0</v>
      </c>
      <c r="L371" s="973"/>
      <c r="M371" s="729"/>
      <c r="N371" s="729"/>
      <c r="O371" s="729"/>
      <c r="P371" s="729"/>
    </row>
    <row r="372" spans="1:16" s="714" customFormat="1" ht="24" customHeight="1">
      <c r="A372" s="861"/>
      <c r="B372" s="800" t="s">
        <v>1301</v>
      </c>
      <c r="C372" s="717"/>
      <c r="D372" s="717"/>
      <c r="E372" s="942"/>
      <c r="F372" s="803" t="s">
        <v>240</v>
      </c>
      <c r="G372" s="806">
        <v>1200</v>
      </c>
      <c r="H372" s="796">
        <f t="shared" si="53"/>
        <v>0</v>
      </c>
      <c r="I372" s="807">
        <v>135</v>
      </c>
      <c r="J372" s="864">
        <f t="shared" si="54"/>
        <v>0</v>
      </c>
      <c r="K372" s="966">
        <f t="shared" si="55"/>
        <v>0</v>
      </c>
      <c r="L372" s="973"/>
      <c r="M372" s="729"/>
      <c r="N372" s="729"/>
      <c r="O372" s="729"/>
      <c r="P372" s="729"/>
    </row>
    <row r="373" spans="1:16" s="714" customFormat="1" ht="24" customHeight="1">
      <c r="A373" s="861"/>
      <c r="B373" s="800" t="s">
        <v>1302</v>
      </c>
      <c r="C373" s="717"/>
      <c r="D373" s="717"/>
      <c r="E373" s="942"/>
      <c r="F373" s="803" t="s">
        <v>240</v>
      </c>
      <c r="G373" s="806">
        <v>1200</v>
      </c>
      <c r="H373" s="796">
        <f t="shared" si="53"/>
        <v>0</v>
      </c>
      <c r="I373" s="807">
        <v>135</v>
      </c>
      <c r="J373" s="864">
        <f t="shared" si="54"/>
        <v>0</v>
      </c>
      <c r="K373" s="966">
        <f t="shared" si="55"/>
        <v>0</v>
      </c>
      <c r="L373" s="973"/>
      <c r="M373" s="729"/>
      <c r="N373" s="729"/>
      <c r="O373" s="729"/>
      <c r="P373" s="729"/>
    </row>
    <row r="374" spans="1:16" s="714" customFormat="1" ht="24" customHeight="1">
      <c r="A374" s="861"/>
      <c r="B374" s="800" t="s">
        <v>1303</v>
      </c>
      <c r="C374" s="717"/>
      <c r="D374" s="717"/>
      <c r="E374" s="942"/>
      <c r="F374" s="803" t="s">
        <v>240</v>
      </c>
      <c r="G374" s="806">
        <v>1200</v>
      </c>
      <c r="H374" s="796">
        <f t="shared" si="53"/>
        <v>0</v>
      </c>
      <c r="I374" s="807">
        <v>135</v>
      </c>
      <c r="J374" s="864">
        <f t="shared" si="54"/>
        <v>0</v>
      </c>
      <c r="K374" s="966">
        <f t="shared" si="55"/>
        <v>0</v>
      </c>
      <c r="L374" s="973"/>
      <c r="M374" s="729"/>
      <c r="N374" s="729"/>
      <c r="O374" s="729"/>
      <c r="P374" s="729"/>
    </row>
    <row r="375" spans="1:16" s="714" customFormat="1" ht="24" customHeight="1">
      <c r="A375" s="861"/>
      <c r="B375" s="800" t="s">
        <v>1304</v>
      </c>
      <c r="C375" s="717"/>
      <c r="D375" s="717"/>
      <c r="E375" s="942"/>
      <c r="F375" s="803" t="s">
        <v>240</v>
      </c>
      <c r="G375" s="806">
        <v>1200</v>
      </c>
      <c r="H375" s="796">
        <f t="shared" si="53"/>
        <v>0</v>
      </c>
      <c r="I375" s="807">
        <v>135</v>
      </c>
      <c r="J375" s="864">
        <f t="shared" si="54"/>
        <v>0</v>
      </c>
      <c r="K375" s="966">
        <f t="shared" si="55"/>
        <v>0</v>
      </c>
      <c r="L375" s="973"/>
      <c r="M375" s="729"/>
      <c r="N375" s="729"/>
      <c r="O375" s="729"/>
      <c r="P375" s="729"/>
    </row>
    <row r="376" spans="1:16" s="714" customFormat="1" ht="24" customHeight="1">
      <c r="A376" s="861"/>
      <c r="B376" s="800" t="s">
        <v>1305</v>
      </c>
      <c r="C376" s="717"/>
      <c r="D376" s="717"/>
      <c r="E376" s="942">
        <v>68</v>
      </c>
      <c r="F376" s="803" t="s">
        <v>240</v>
      </c>
      <c r="G376" s="806">
        <v>1200</v>
      </c>
      <c r="H376" s="796">
        <f t="shared" si="53"/>
        <v>81600</v>
      </c>
      <c r="I376" s="807">
        <v>135</v>
      </c>
      <c r="J376" s="864">
        <f t="shared" si="54"/>
        <v>9180</v>
      </c>
      <c r="K376" s="966">
        <f t="shared" si="55"/>
        <v>90780</v>
      </c>
      <c r="L376" s="973"/>
      <c r="M376" s="729"/>
      <c r="N376" s="729"/>
      <c r="O376" s="729"/>
      <c r="P376" s="729"/>
    </row>
    <row r="377" spans="1:16" s="714" customFormat="1" ht="24" customHeight="1">
      <c r="A377" s="861"/>
      <c r="B377" s="800" t="s">
        <v>1306</v>
      </c>
      <c r="C377" s="717"/>
      <c r="D377" s="717"/>
      <c r="E377" s="942"/>
      <c r="F377" s="803" t="s">
        <v>240</v>
      </c>
      <c r="G377" s="806">
        <v>1860</v>
      </c>
      <c r="H377" s="796">
        <f t="shared" si="53"/>
        <v>0</v>
      </c>
      <c r="I377" s="807">
        <v>135</v>
      </c>
      <c r="J377" s="796">
        <f t="shared" si="54"/>
        <v>0</v>
      </c>
      <c r="K377" s="1014">
        <f t="shared" si="55"/>
        <v>0</v>
      </c>
      <c r="L377" s="973"/>
      <c r="M377" s="729"/>
      <c r="N377" s="729"/>
      <c r="O377" s="729"/>
      <c r="P377" s="729"/>
    </row>
    <row r="378" spans="1:16" s="714" customFormat="1" ht="24" customHeight="1">
      <c r="A378" s="861"/>
      <c r="B378" s="800" t="s">
        <v>1307</v>
      </c>
      <c r="C378" s="717"/>
      <c r="D378" s="717"/>
      <c r="E378" s="942"/>
      <c r="F378" s="803" t="s">
        <v>240</v>
      </c>
      <c r="G378" s="806">
        <v>1860</v>
      </c>
      <c r="H378" s="796">
        <f t="shared" si="53"/>
        <v>0</v>
      </c>
      <c r="I378" s="807">
        <v>135</v>
      </c>
      <c r="J378" s="796">
        <f t="shared" si="54"/>
        <v>0</v>
      </c>
      <c r="K378" s="1014">
        <f t="shared" si="55"/>
        <v>0</v>
      </c>
      <c r="L378" s="973"/>
      <c r="M378" s="729"/>
      <c r="N378" s="729"/>
      <c r="O378" s="729"/>
      <c r="P378" s="729"/>
    </row>
    <row r="379" spans="1:16" s="714" customFormat="1" ht="24" customHeight="1">
      <c r="A379" s="861"/>
      <c r="B379" s="756" t="s">
        <v>1308</v>
      </c>
      <c r="C379" s="717"/>
      <c r="D379" s="717"/>
      <c r="E379" s="942"/>
      <c r="F379" s="759" t="s">
        <v>240</v>
      </c>
      <c r="G379" s="806">
        <v>1250</v>
      </c>
      <c r="H379" s="796">
        <f t="shared" si="53"/>
        <v>0</v>
      </c>
      <c r="I379" s="807">
        <v>135</v>
      </c>
      <c r="J379" s="864">
        <f t="shared" si="54"/>
        <v>0</v>
      </c>
      <c r="K379" s="966">
        <f t="shared" si="55"/>
        <v>0</v>
      </c>
      <c r="L379" s="973"/>
      <c r="M379" s="729"/>
      <c r="N379" s="729"/>
      <c r="O379" s="729"/>
      <c r="P379" s="729"/>
    </row>
    <row r="380" spans="1:16" s="714" customFormat="1" ht="24" customHeight="1">
      <c r="A380" s="861"/>
      <c r="B380" s="756" t="s">
        <v>1309</v>
      </c>
      <c r="C380" s="717"/>
      <c r="D380" s="717"/>
      <c r="E380" s="942"/>
      <c r="F380" s="759" t="s">
        <v>240</v>
      </c>
      <c r="G380" s="806">
        <v>1860</v>
      </c>
      <c r="H380" s="796">
        <f t="shared" si="53"/>
        <v>0</v>
      </c>
      <c r="I380" s="807">
        <v>135</v>
      </c>
      <c r="J380" s="796">
        <f t="shared" si="54"/>
        <v>0</v>
      </c>
      <c r="K380" s="1014">
        <f t="shared" si="55"/>
        <v>0</v>
      </c>
      <c r="L380" s="973"/>
      <c r="M380" s="729"/>
      <c r="N380" s="729"/>
      <c r="O380" s="729"/>
      <c r="P380" s="729"/>
    </row>
    <row r="381" spans="1:16" s="714" customFormat="1" ht="24" customHeight="1">
      <c r="A381" s="861"/>
      <c r="B381" s="756" t="s">
        <v>1310</v>
      </c>
      <c r="C381" s="717"/>
      <c r="D381" s="717"/>
      <c r="E381" s="942"/>
      <c r="F381" s="759" t="s">
        <v>240</v>
      </c>
      <c r="G381" s="806">
        <v>1200</v>
      </c>
      <c r="H381" s="796">
        <f t="shared" si="53"/>
        <v>0</v>
      </c>
      <c r="I381" s="807">
        <v>135</v>
      </c>
      <c r="J381" s="864">
        <f t="shared" si="54"/>
        <v>0</v>
      </c>
      <c r="K381" s="966">
        <f t="shared" si="55"/>
        <v>0</v>
      </c>
      <c r="L381" s="973"/>
      <c r="M381" s="729"/>
      <c r="N381" s="729"/>
      <c r="O381" s="729"/>
      <c r="P381" s="729"/>
    </row>
    <row r="382" spans="1:16" s="714" customFormat="1" ht="24" customHeight="1">
      <c r="A382" s="861"/>
      <c r="B382" s="756" t="s">
        <v>1311</v>
      </c>
      <c r="C382" s="717"/>
      <c r="D382" s="717"/>
      <c r="E382" s="942">
        <v>156</v>
      </c>
      <c r="F382" s="759" t="s">
        <v>240</v>
      </c>
      <c r="G382" s="806">
        <v>1200</v>
      </c>
      <c r="H382" s="796">
        <f t="shared" si="53"/>
        <v>187200</v>
      </c>
      <c r="I382" s="807">
        <v>135</v>
      </c>
      <c r="J382" s="864">
        <f t="shared" si="54"/>
        <v>21060</v>
      </c>
      <c r="K382" s="966">
        <f t="shared" si="55"/>
        <v>208260</v>
      </c>
      <c r="L382" s="973"/>
      <c r="M382" s="729"/>
      <c r="N382" s="729"/>
      <c r="O382" s="729"/>
      <c r="P382" s="729"/>
    </row>
    <row r="383" spans="1:16" s="714" customFormat="1" ht="24" customHeight="1">
      <c r="A383" s="861"/>
      <c r="B383" s="756" t="s">
        <v>1312</v>
      </c>
      <c r="C383" s="757"/>
      <c r="D383" s="757"/>
      <c r="E383" s="942">
        <v>10</v>
      </c>
      <c r="F383" s="759" t="s">
        <v>240</v>
      </c>
      <c r="G383" s="752">
        <v>1830</v>
      </c>
      <c r="H383" s="864">
        <f t="shared" si="53"/>
        <v>18300</v>
      </c>
      <c r="I383" s="949">
        <v>500</v>
      </c>
      <c r="J383" s="864">
        <f t="shared" si="54"/>
        <v>5000</v>
      </c>
      <c r="K383" s="966">
        <f t="shared" si="55"/>
        <v>23300</v>
      </c>
      <c r="L383" s="973"/>
      <c r="M383" s="729"/>
      <c r="N383" s="729"/>
      <c r="O383" s="729"/>
      <c r="P383" s="729"/>
    </row>
    <row r="384" spans="1:16" s="714" customFormat="1" ht="24" customHeight="1">
      <c r="A384" s="861"/>
      <c r="B384" s="756" t="s">
        <v>1313</v>
      </c>
      <c r="C384" s="974"/>
      <c r="D384" s="974"/>
      <c r="E384" s="942">
        <v>6</v>
      </c>
      <c r="F384" s="759" t="s">
        <v>240</v>
      </c>
      <c r="G384" s="766">
        <v>1620</v>
      </c>
      <c r="H384" s="864">
        <f t="shared" si="53"/>
        <v>9720</v>
      </c>
      <c r="I384" s="975">
        <v>500</v>
      </c>
      <c r="J384" s="864">
        <f t="shared" si="54"/>
        <v>3000</v>
      </c>
      <c r="K384" s="966">
        <f t="shared" si="55"/>
        <v>12720</v>
      </c>
      <c r="L384" s="973"/>
      <c r="M384" s="729"/>
      <c r="N384" s="729"/>
      <c r="O384" s="729"/>
      <c r="P384" s="729"/>
    </row>
    <row r="385" spans="1:19" s="714" customFormat="1" ht="24" customHeight="1">
      <c r="A385" s="861"/>
      <c r="B385" s="756" t="s">
        <v>1314</v>
      </c>
      <c r="C385" s="757"/>
      <c r="D385" s="757"/>
      <c r="E385" s="942">
        <v>26</v>
      </c>
      <c r="F385" s="759" t="s">
        <v>240</v>
      </c>
      <c r="G385" s="752">
        <v>920</v>
      </c>
      <c r="H385" s="864">
        <f t="shared" si="53"/>
        <v>23920</v>
      </c>
      <c r="I385" s="949">
        <v>250</v>
      </c>
      <c r="J385" s="864">
        <f t="shared" si="54"/>
        <v>6500</v>
      </c>
      <c r="K385" s="966">
        <f t="shared" si="55"/>
        <v>30420</v>
      </c>
      <c r="L385" s="973"/>
      <c r="M385" s="729"/>
      <c r="N385" s="729"/>
      <c r="O385" s="729"/>
      <c r="P385" s="729"/>
    </row>
    <row r="386" spans="1:19" s="714" customFormat="1" ht="24" customHeight="1">
      <c r="A386" s="861"/>
      <c r="B386" s="756" t="s">
        <v>1315</v>
      </c>
      <c r="C386" s="757"/>
      <c r="D386" s="757"/>
      <c r="E386" s="942">
        <v>2</v>
      </c>
      <c r="F386" s="759" t="s">
        <v>240</v>
      </c>
      <c r="G386" s="752">
        <v>2180</v>
      </c>
      <c r="H386" s="864">
        <f t="shared" si="53"/>
        <v>4360</v>
      </c>
      <c r="I386" s="949">
        <v>500</v>
      </c>
      <c r="J386" s="864">
        <f t="shared" si="54"/>
        <v>1000</v>
      </c>
      <c r="K386" s="966">
        <f t="shared" si="55"/>
        <v>5360</v>
      </c>
      <c r="L386" s="973"/>
      <c r="M386" s="729"/>
      <c r="N386" s="729"/>
      <c r="O386" s="729"/>
      <c r="P386" s="729"/>
    </row>
    <row r="387" spans="1:19" s="714" customFormat="1" ht="24" customHeight="1">
      <c r="A387" s="861"/>
      <c r="B387" s="705" t="s">
        <v>1316</v>
      </c>
      <c r="C387" s="717"/>
      <c r="D387" s="717"/>
      <c r="E387" s="942">
        <v>1</v>
      </c>
      <c r="F387" s="759" t="s">
        <v>948</v>
      </c>
      <c r="G387" s="752">
        <f>SUM(H365:H385)*5%</f>
        <v>24933</v>
      </c>
      <c r="H387" s="864">
        <f t="shared" si="53"/>
        <v>24933</v>
      </c>
      <c r="I387" s="797">
        <f>ROUND(G387*0.3,)</f>
        <v>7480</v>
      </c>
      <c r="J387" s="864">
        <f t="shared" si="54"/>
        <v>7480</v>
      </c>
      <c r="K387" s="966">
        <f t="shared" si="55"/>
        <v>32413</v>
      </c>
      <c r="L387" s="973"/>
      <c r="M387" s="729"/>
      <c r="N387" s="729"/>
      <c r="O387" s="729"/>
      <c r="P387" s="729"/>
    </row>
    <row r="388" spans="1:19" s="714" customFormat="1" ht="24" customHeight="1">
      <c r="A388" s="831"/>
      <c r="B388" s="720" t="s">
        <v>957</v>
      </c>
      <c r="C388" s="717"/>
      <c r="D388" s="717"/>
      <c r="E388" s="917"/>
      <c r="F388" s="722"/>
      <c r="G388" s="806"/>
      <c r="H388" s="918"/>
      <c r="I388" s="807"/>
      <c r="J388" s="919"/>
      <c r="K388" s="968"/>
      <c r="L388" s="919"/>
      <c r="M388" s="729"/>
      <c r="N388" s="729"/>
      <c r="O388" s="729"/>
      <c r="P388" s="729"/>
      <c r="Q388" s="729"/>
      <c r="R388" s="729"/>
      <c r="S388" s="729"/>
    </row>
    <row r="389" spans="1:19" s="714" customFormat="1" ht="24" customHeight="1">
      <c r="A389" s="831"/>
      <c r="B389" s="720" t="s">
        <v>1239</v>
      </c>
      <c r="C389" s="717"/>
      <c r="D389" s="717"/>
      <c r="E389" s="917"/>
      <c r="F389" s="722"/>
      <c r="G389" s="806"/>
      <c r="H389" s="918"/>
      <c r="I389" s="807"/>
      <c r="J389" s="919"/>
      <c r="K389" s="968"/>
      <c r="L389" s="919"/>
      <c r="M389" s="729"/>
      <c r="N389" s="729"/>
      <c r="O389" s="729"/>
      <c r="P389" s="729"/>
      <c r="Q389" s="729"/>
      <c r="R389" s="729"/>
      <c r="S389" s="729"/>
    </row>
    <row r="390" spans="1:19" s="714" customFormat="1" ht="24" customHeight="1">
      <c r="A390" s="921"/>
      <c r="B390" s="705" t="s">
        <v>1239</v>
      </c>
      <c r="C390" s="761"/>
      <c r="D390" s="761"/>
      <c r="E390" s="923"/>
      <c r="F390" s="924"/>
      <c r="G390" s="925"/>
      <c r="H390" s="926"/>
      <c r="I390" s="927"/>
      <c r="J390" s="928"/>
      <c r="K390" s="1072"/>
      <c r="L390" s="928"/>
      <c r="M390" s="729"/>
      <c r="N390" s="729"/>
      <c r="O390" s="729"/>
      <c r="P390" s="729"/>
      <c r="Q390" s="729"/>
      <c r="R390" s="729"/>
      <c r="S390" s="729"/>
    </row>
    <row r="391" spans="1:19" s="714" customFormat="1" ht="24" customHeight="1">
      <c r="A391" s="921"/>
      <c r="B391" s="1073"/>
      <c r="C391" s="761"/>
      <c r="D391" s="761"/>
      <c r="E391" s="923"/>
      <c r="F391" s="924"/>
      <c r="G391" s="925"/>
      <c r="H391" s="926"/>
      <c r="I391" s="927"/>
      <c r="J391" s="928"/>
      <c r="K391" s="1072"/>
      <c r="L391" s="928"/>
      <c r="M391" s="729"/>
      <c r="N391" s="729"/>
      <c r="O391" s="729"/>
      <c r="P391" s="729"/>
      <c r="Q391" s="729"/>
      <c r="R391" s="729"/>
      <c r="S391" s="729"/>
    </row>
    <row r="392" spans="1:19" s="714" customFormat="1" ht="24" customHeight="1">
      <c r="A392" s="921"/>
      <c r="B392" s="1073"/>
      <c r="C392" s="761"/>
      <c r="D392" s="761"/>
      <c r="E392" s="923"/>
      <c r="F392" s="924"/>
      <c r="G392" s="925"/>
      <c r="H392" s="926"/>
      <c r="I392" s="927"/>
      <c r="J392" s="928"/>
      <c r="K392" s="1072"/>
      <c r="L392" s="928"/>
      <c r="M392" s="729"/>
      <c r="N392" s="729"/>
      <c r="O392" s="729"/>
      <c r="P392" s="729"/>
      <c r="Q392" s="729"/>
      <c r="R392" s="729"/>
      <c r="S392" s="729"/>
    </row>
    <row r="393" spans="1:19" s="714" customFormat="1" ht="24" customHeight="1">
      <c r="A393" s="921"/>
      <c r="B393" s="922"/>
      <c r="C393" s="761"/>
      <c r="D393" s="761"/>
      <c r="E393" s="923"/>
      <c r="F393" s="924"/>
      <c r="G393" s="925"/>
      <c r="H393" s="926"/>
      <c r="I393" s="927"/>
      <c r="J393" s="928"/>
      <c r="K393" s="1072"/>
      <c r="L393" s="928"/>
      <c r="M393" s="729"/>
      <c r="N393" s="729"/>
      <c r="O393" s="729"/>
      <c r="P393" s="729"/>
      <c r="Q393" s="729"/>
      <c r="R393" s="729"/>
      <c r="S393" s="729"/>
    </row>
    <row r="394" spans="1:19" s="714" customFormat="1" ht="24" customHeight="1">
      <c r="A394" s="775"/>
      <c r="B394" s="2475" t="str">
        <f>"รวมราคารายการที่ "&amp;A365</f>
        <v>รวมราคารายการที่ 3.8</v>
      </c>
      <c r="C394" s="2476"/>
      <c r="D394" s="2477"/>
      <c r="E394" s="776"/>
      <c r="F394" s="777"/>
      <c r="G394" s="959"/>
      <c r="H394" s="960">
        <f>SUM(H365:H390)</f>
        <v>527953</v>
      </c>
      <c r="I394" s="959"/>
      <c r="J394" s="960">
        <f t="shared" ref="J394:K394" si="56">SUM(J365:J390)</f>
        <v>77505</v>
      </c>
      <c r="K394" s="960">
        <f t="shared" si="56"/>
        <v>605458</v>
      </c>
      <c r="L394" s="1006"/>
      <c r="M394" s="729"/>
      <c r="N394" s="729"/>
      <c r="O394" s="729"/>
      <c r="P394" s="729"/>
      <c r="Q394" s="729"/>
      <c r="R394" s="729"/>
      <c r="S394" s="729"/>
    </row>
    <row r="395" spans="1:19" s="714" customFormat="1" ht="24" customHeight="1">
      <c r="A395" s="911">
        <v>3.9</v>
      </c>
      <c r="B395" s="816" t="s">
        <v>1225</v>
      </c>
      <c r="C395" s="770"/>
      <c r="D395" s="770"/>
      <c r="E395" s="930"/>
      <c r="F395" s="931"/>
      <c r="G395" s="932"/>
      <c r="H395" s="933"/>
      <c r="I395" s="934"/>
      <c r="J395" s="935"/>
      <c r="K395" s="1013"/>
      <c r="L395" s="935"/>
      <c r="M395" s="729"/>
      <c r="N395" s="729"/>
      <c r="O395" s="729"/>
      <c r="P395" s="729"/>
      <c r="Q395" s="729"/>
      <c r="R395" s="729"/>
      <c r="S395" s="729"/>
    </row>
    <row r="396" spans="1:19" s="714" customFormat="1" ht="24" customHeight="1">
      <c r="A396" s="856" t="s">
        <v>1136</v>
      </c>
      <c r="B396" s="720" t="s">
        <v>1318</v>
      </c>
      <c r="C396" s="717"/>
      <c r="D396" s="717"/>
      <c r="E396" s="917">
        <v>2</v>
      </c>
      <c r="F396" s="722" t="s">
        <v>240</v>
      </c>
      <c r="G396" s="806">
        <f>30000+13500</f>
        <v>43500</v>
      </c>
      <c r="H396" s="796">
        <f t="shared" ref="H396:H427" si="57">ROUND(E396*G396,)</f>
        <v>87000</v>
      </c>
      <c r="I396" s="807">
        <f>G396*0.1</f>
        <v>4350</v>
      </c>
      <c r="J396" s="796">
        <f t="shared" ref="J396:J427" si="58">ROUND(E396*I396,)</f>
        <v>8700</v>
      </c>
      <c r="K396" s="966">
        <f t="shared" ref="K396:K427" si="59">H396+J396</f>
        <v>95700</v>
      </c>
      <c r="L396" s="919"/>
      <c r="M396" s="729"/>
      <c r="N396" s="729"/>
      <c r="O396" s="729"/>
      <c r="P396" s="729"/>
      <c r="Q396" s="729"/>
      <c r="R396" s="729"/>
      <c r="S396" s="729"/>
    </row>
    <row r="397" spans="1:19" s="714" customFormat="1" ht="24" customHeight="1">
      <c r="A397" s="856" t="s">
        <v>1144</v>
      </c>
      <c r="B397" s="720" t="s">
        <v>1319</v>
      </c>
      <c r="C397" s="717"/>
      <c r="D397" s="717"/>
      <c r="E397" s="917">
        <v>6</v>
      </c>
      <c r="F397" s="722" t="s">
        <v>240</v>
      </c>
      <c r="G397" s="806">
        <v>1850</v>
      </c>
      <c r="H397" s="796">
        <f t="shared" si="57"/>
        <v>11100</v>
      </c>
      <c r="I397" s="807">
        <v>250</v>
      </c>
      <c r="J397" s="796">
        <f t="shared" si="58"/>
        <v>1500</v>
      </c>
      <c r="K397" s="966">
        <f t="shared" si="59"/>
        <v>12600</v>
      </c>
      <c r="L397" s="919"/>
      <c r="M397" s="729"/>
      <c r="N397" s="729"/>
      <c r="O397" s="729"/>
      <c r="P397" s="729"/>
      <c r="Q397" s="729"/>
      <c r="R397" s="729"/>
      <c r="S397" s="729"/>
    </row>
    <row r="398" spans="1:19" s="714" customFormat="1" ht="24" customHeight="1">
      <c r="A398" s="856" t="s">
        <v>1146</v>
      </c>
      <c r="B398" s="720" t="s">
        <v>1320</v>
      </c>
      <c r="C398" s="717"/>
      <c r="D398" s="717"/>
      <c r="E398" s="917">
        <v>6</v>
      </c>
      <c r="F398" s="722" t="s">
        <v>240</v>
      </c>
      <c r="G398" s="806">
        <v>1850</v>
      </c>
      <c r="H398" s="796">
        <f t="shared" si="57"/>
        <v>11100</v>
      </c>
      <c r="I398" s="807">
        <v>250</v>
      </c>
      <c r="J398" s="796">
        <f t="shared" si="58"/>
        <v>1500</v>
      </c>
      <c r="K398" s="966">
        <f t="shared" si="59"/>
        <v>12600</v>
      </c>
      <c r="L398" s="919"/>
      <c r="M398" s="729"/>
      <c r="N398" s="729"/>
      <c r="O398" s="729"/>
      <c r="P398" s="729"/>
      <c r="Q398" s="729"/>
      <c r="R398" s="729"/>
      <c r="S398" s="729"/>
    </row>
    <row r="399" spans="1:19" s="714" customFormat="1" ht="24" customHeight="1">
      <c r="A399" s="856" t="s">
        <v>1156</v>
      </c>
      <c r="B399" s="720" t="s">
        <v>1321</v>
      </c>
      <c r="C399" s="717"/>
      <c r="D399" s="717"/>
      <c r="E399" s="917">
        <v>6</v>
      </c>
      <c r="F399" s="722" t="s">
        <v>240</v>
      </c>
      <c r="G399" s="806">
        <v>1850</v>
      </c>
      <c r="H399" s="796">
        <f t="shared" si="57"/>
        <v>11100</v>
      </c>
      <c r="I399" s="807">
        <v>250</v>
      </c>
      <c r="J399" s="796">
        <f t="shared" si="58"/>
        <v>1500</v>
      </c>
      <c r="K399" s="966">
        <f t="shared" si="59"/>
        <v>12600</v>
      </c>
      <c r="L399" s="919"/>
      <c r="M399" s="729"/>
      <c r="N399" s="729"/>
      <c r="O399" s="729"/>
      <c r="P399" s="729"/>
      <c r="Q399" s="729"/>
      <c r="R399" s="729"/>
      <c r="S399" s="729"/>
    </row>
    <row r="400" spans="1:19" s="714" customFormat="1" ht="24" customHeight="1">
      <c r="A400" s="856" t="s">
        <v>1429</v>
      </c>
      <c r="B400" s="720" t="s">
        <v>1322</v>
      </c>
      <c r="C400" s="717"/>
      <c r="D400" s="717"/>
      <c r="E400" s="917">
        <v>6</v>
      </c>
      <c r="F400" s="722" t="s">
        <v>240</v>
      </c>
      <c r="G400" s="806">
        <v>1850</v>
      </c>
      <c r="H400" s="796">
        <f t="shared" si="57"/>
        <v>11100</v>
      </c>
      <c r="I400" s="807">
        <v>250</v>
      </c>
      <c r="J400" s="796">
        <f t="shared" si="58"/>
        <v>1500</v>
      </c>
      <c r="K400" s="966">
        <f t="shared" si="59"/>
        <v>12600</v>
      </c>
      <c r="L400" s="919"/>
      <c r="M400" s="729"/>
      <c r="N400" s="729"/>
      <c r="O400" s="729"/>
      <c r="P400" s="729"/>
      <c r="Q400" s="729"/>
      <c r="R400" s="729"/>
      <c r="S400" s="729"/>
    </row>
    <row r="401" spans="1:19" s="714" customFormat="1" ht="24" customHeight="1">
      <c r="A401" s="856" t="s">
        <v>1486</v>
      </c>
      <c r="B401" s="720" t="s">
        <v>1323</v>
      </c>
      <c r="C401" s="717"/>
      <c r="D401" s="717"/>
      <c r="E401" s="917"/>
      <c r="F401" s="722" t="s">
        <v>240</v>
      </c>
      <c r="G401" s="806">
        <v>1850</v>
      </c>
      <c r="H401" s="796">
        <f t="shared" si="57"/>
        <v>0</v>
      </c>
      <c r="I401" s="807">
        <v>250</v>
      </c>
      <c r="J401" s="796">
        <f t="shared" si="58"/>
        <v>0</v>
      </c>
      <c r="K401" s="966">
        <f t="shared" si="59"/>
        <v>0</v>
      </c>
      <c r="L401" s="919"/>
      <c r="M401" s="729"/>
      <c r="N401" s="729"/>
      <c r="O401" s="729"/>
      <c r="P401" s="729"/>
      <c r="Q401" s="729"/>
      <c r="R401" s="729"/>
      <c r="S401" s="729"/>
    </row>
    <row r="402" spans="1:19" s="714" customFormat="1" ht="24" customHeight="1">
      <c r="A402" s="856" t="s">
        <v>1432</v>
      </c>
      <c r="B402" s="720" t="s">
        <v>1324</v>
      </c>
      <c r="C402" s="717"/>
      <c r="D402" s="717"/>
      <c r="E402" s="917">
        <v>2</v>
      </c>
      <c r="F402" s="722" t="s">
        <v>240</v>
      </c>
      <c r="G402" s="806">
        <v>2750</v>
      </c>
      <c r="H402" s="796">
        <f t="shared" si="57"/>
        <v>5500</v>
      </c>
      <c r="I402" s="807">
        <v>250</v>
      </c>
      <c r="J402" s="796">
        <f t="shared" si="58"/>
        <v>500</v>
      </c>
      <c r="K402" s="966">
        <f t="shared" si="59"/>
        <v>6000</v>
      </c>
      <c r="L402" s="919"/>
      <c r="M402" s="729"/>
      <c r="N402" s="729"/>
      <c r="O402" s="729"/>
      <c r="P402" s="729"/>
      <c r="Q402" s="729"/>
      <c r="R402" s="729"/>
      <c r="S402" s="729"/>
    </row>
    <row r="403" spans="1:19" s="714" customFormat="1" ht="24" customHeight="1">
      <c r="A403" s="856" t="s">
        <v>1433</v>
      </c>
      <c r="B403" s="720" t="s">
        <v>1325</v>
      </c>
      <c r="C403" s="717"/>
      <c r="D403" s="717"/>
      <c r="E403" s="917">
        <v>2</v>
      </c>
      <c r="F403" s="722" t="s">
        <v>240</v>
      </c>
      <c r="G403" s="806">
        <v>2750</v>
      </c>
      <c r="H403" s="796">
        <f t="shared" si="57"/>
        <v>5500</v>
      </c>
      <c r="I403" s="807">
        <v>250</v>
      </c>
      <c r="J403" s="796">
        <f t="shared" si="58"/>
        <v>500</v>
      </c>
      <c r="K403" s="966">
        <f t="shared" si="59"/>
        <v>6000</v>
      </c>
      <c r="L403" s="919"/>
      <c r="M403" s="729"/>
      <c r="N403" s="729"/>
      <c r="O403" s="729"/>
      <c r="P403" s="729"/>
      <c r="Q403" s="729"/>
      <c r="R403" s="729"/>
      <c r="S403" s="729"/>
    </row>
    <row r="404" spans="1:19" s="714" customFormat="1" ht="24" customHeight="1">
      <c r="A404" s="856" t="s">
        <v>3070</v>
      </c>
      <c r="B404" s="720" t="s">
        <v>1326</v>
      </c>
      <c r="C404" s="717"/>
      <c r="D404" s="717"/>
      <c r="E404" s="917">
        <v>2</v>
      </c>
      <c r="F404" s="722" t="s">
        <v>240</v>
      </c>
      <c r="G404" s="806">
        <v>2750</v>
      </c>
      <c r="H404" s="796">
        <f t="shared" si="57"/>
        <v>5500</v>
      </c>
      <c r="I404" s="807">
        <v>250</v>
      </c>
      <c r="J404" s="796">
        <f t="shared" si="58"/>
        <v>500</v>
      </c>
      <c r="K404" s="966">
        <f t="shared" si="59"/>
        <v>6000</v>
      </c>
      <c r="L404" s="919"/>
      <c r="M404" s="729"/>
      <c r="N404" s="729"/>
      <c r="O404" s="729"/>
      <c r="P404" s="729"/>
      <c r="Q404" s="729"/>
      <c r="R404" s="729"/>
      <c r="S404" s="729"/>
    </row>
    <row r="405" spans="1:19" s="714" customFormat="1" ht="24" customHeight="1">
      <c r="A405" s="856" t="s">
        <v>3071</v>
      </c>
      <c r="B405" s="720" t="s">
        <v>1327</v>
      </c>
      <c r="C405" s="717"/>
      <c r="D405" s="717"/>
      <c r="E405" s="917">
        <v>2</v>
      </c>
      <c r="F405" s="722" t="s">
        <v>240</v>
      </c>
      <c r="G405" s="806">
        <v>2750</v>
      </c>
      <c r="H405" s="796">
        <f t="shared" si="57"/>
        <v>5500</v>
      </c>
      <c r="I405" s="807">
        <v>250</v>
      </c>
      <c r="J405" s="796">
        <f t="shared" si="58"/>
        <v>500</v>
      </c>
      <c r="K405" s="966">
        <f t="shared" si="59"/>
        <v>6000</v>
      </c>
      <c r="L405" s="919"/>
      <c r="M405" s="729"/>
      <c r="N405" s="729"/>
      <c r="O405" s="729"/>
      <c r="P405" s="729"/>
      <c r="Q405" s="729"/>
      <c r="R405" s="729"/>
      <c r="S405" s="729"/>
    </row>
    <row r="406" spans="1:19" s="714" customFormat="1" ht="24" customHeight="1">
      <c r="A406" s="856" t="s">
        <v>3072</v>
      </c>
      <c r="B406" s="720" t="s">
        <v>1328</v>
      </c>
      <c r="C406" s="717"/>
      <c r="D406" s="717"/>
      <c r="E406" s="917">
        <v>2</v>
      </c>
      <c r="F406" s="722" t="s">
        <v>240</v>
      </c>
      <c r="G406" s="806">
        <v>2750</v>
      </c>
      <c r="H406" s="796">
        <f t="shared" si="57"/>
        <v>5500</v>
      </c>
      <c r="I406" s="807">
        <v>250</v>
      </c>
      <c r="J406" s="796">
        <f t="shared" si="58"/>
        <v>500</v>
      </c>
      <c r="K406" s="966">
        <f t="shared" si="59"/>
        <v>6000</v>
      </c>
      <c r="L406" s="919"/>
      <c r="M406" s="729"/>
      <c r="N406" s="729"/>
      <c r="O406" s="729"/>
      <c r="P406" s="729"/>
      <c r="Q406" s="729"/>
      <c r="R406" s="729"/>
      <c r="S406" s="729"/>
    </row>
    <row r="407" spans="1:19" s="714" customFormat="1" ht="24" customHeight="1">
      <c r="A407" s="856" t="s">
        <v>3073</v>
      </c>
      <c r="B407" s="720" t="s">
        <v>1329</v>
      </c>
      <c r="C407" s="717"/>
      <c r="D407" s="717"/>
      <c r="E407" s="917">
        <v>9</v>
      </c>
      <c r="F407" s="722" t="s">
        <v>240</v>
      </c>
      <c r="G407" s="806">
        <v>2750</v>
      </c>
      <c r="H407" s="796">
        <f t="shared" si="57"/>
        <v>24750</v>
      </c>
      <c r="I407" s="807">
        <v>250</v>
      </c>
      <c r="J407" s="796">
        <f t="shared" si="58"/>
        <v>2250</v>
      </c>
      <c r="K407" s="966">
        <f t="shared" si="59"/>
        <v>27000</v>
      </c>
      <c r="L407" s="919"/>
      <c r="M407" s="729"/>
      <c r="N407" s="729"/>
      <c r="O407" s="729"/>
      <c r="P407" s="729"/>
      <c r="Q407" s="729"/>
      <c r="R407" s="729"/>
      <c r="S407" s="729"/>
    </row>
    <row r="408" spans="1:19" s="714" customFormat="1" ht="24" customHeight="1">
      <c r="A408" s="856" t="s">
        <v>3074</v>
      </c>
      <c r="B408" s="720" t="s">
        <v>1330</v>
      </c>
      <c r="C408" s="717"/>
      <c r="D408" s="717"/>
      <c r="E408" s="917">
        <v>4</v>
      </c>
      <c r="F408" s="722" t="s">
        <v>240</v>
      </c>
      <c r="G408" s="806">
        <v>2250</v>
      </c>
      <c r="H408" s="796">
        <f t="shared" si="57"/>
        <v>9000</v>
      </c>
      <c r="I408" s="807">
        <v>250</v>
      </c>
      <c r="J408" s="796">
        <f t="shared" si="58"/>
        <v>1000</v>
      </c>
      <c r="K408" s="966">
        <f t="shared" si="59"/>
        <v>10000</v>
      </c>
      <c r="L408" s="919"/>
      <c r="M408" s="729"/>
      <c r="N408" s="729"/>
      <c r="O408" s="729"/>
      <c r="P408" s="729"/>
      <c r="Q408" s="729"/>
      <c r="R408" s="729"/>
      <c r="S408" s="729"/>
    </row>
    <row r="409" spans="1:19" s="714" customFormat="1" ht="24" customHeight="1">
      <c r="A409" s="856" t="s">
        <v>3075</v>
      </c>
      <c r="B409" s="720" t="s">
        <v>1331</v>
      </c>
      <c r="C409" s="717"/>
      <c r="D409" s="717"/>
      <c r="E409" s="917">
        <v>158</v>
      </c>
      <c r="F409" s="722" t="s">
        <v>240</v>
      </c>
      <c r="G409" s="806">
        <f>3300+300</f>
        <v>3600</v>
      </c>
      <c r="H409" s="796">
        <f t="shared" si="57"/>
        <v>568800</v>
      </c>
      <c r="I409" s="807">
        <v>200</v>
      </c>
      <c r="J409" s="796">
        <f t="shared" si="58"/>
        <v>31600</v>
      </c>
      <c r="K409" s="966">
        <f t="shared" si="59"/>
        <v>600400</v>
      </c>
      <c r="L409" s="919"/>
      <c r="M409" s="729"/>
      <c r="N409" s="729"/>
      <c r="O409" s="729"/>
      <c r="P409" s="729"/>
      <c r="Q409" s="729"/>
      <c r="R409" s="729"/>
      <c r="S409" s="729"/>
    </row>
    <row r="410" spans="1:19" s="714" customFormat="1" ht="24" customHeight="1">
      <c r="A410" s="856" t="s">
        <v>3076</v>
      </c>
      <c r="B410" s="720" t="s">
        <v>1332</v>
      </c>
      <c r="C410" s="717"/>
      <c r="D410" s="717"/>
      <c r="E410" s="917">
        <v>6</v>
      </c>
      <c r="F410" s="722" t="s">
        <v>240</v>
      </c>
      <c r="G410" s="806">
        <v>5000</v>
      </c>
      <c r="H410" s="796">
        <f t="shared" si="57"/>
        <v>30000</v>
      </c>
      <c r="I410" s="807">
        <v>500</v>
      </c>
      <c r="J410" s="796">
        <f t="shared" si="58"/>
        <v>3000</v>
      </c>
      <c r="K410" s="966">
        <f t="shared" si="59"/>
        <v>33000</v>
      </c>
      <c r="L410" s="919"/>
      <c r="M410" s="729"/>
      <c r="N410" s="729"/>
      <c r="O410" s="729"/>
      <c r="P410" s="729"/>
      <c r="Q410" s="729"/>
      <c r="R410" s="729"/>
      <c r="S410" s="729"/>
    </row>
    <row r="411" spans="1:19" s="714" customFormat="1" ht="24" customHeight="1">
      <c r="A411" s="856" t="s">
        <v>3077</v>
      </c>
      <c r="B411" s="720" t="s">
        <v>1333</v>
      </c>
      <c r="C411" s="717"/>
      <c r="D411" s="717"/>
      <c r="E411" s="917">
        <v>8</v>
      </c>
      <c r="F411" s="722" t="s">
        <v>240</v>
      </c>
      <c r="G411" s="806">
        <v>350</v>
      </c>
      <c r="H411" s="796">
        <f t="shared" si="57"/>
        <v>2800</v>
      </c>
      <c r="I411" s="807">
        <v>200</v>
      </c>
      <c r="J411" s="796">
        <f t="shared" si="58"/>
        <v>1600</v>
      </c>
      <c r="K411" s="966">
        <f t="shared" si="59"/>
        <v>4400</v>
      </c>
      <c r="L411" s="919"/>
      <c r="M411" s="729"/>
      <c r="N411" s="729"/>
      <c r="O411" s="729"/>
      <c r="P411" s="729"/>
      <c r="Q411" s="729"/>
      <c r="R411" s="729"/>
      <c r="S411" s="729"/>
    </row>
    <row r="412" spans="1:19" s="714" customFormat="1" ht="24" customHeight="1">
      <c r="A412" s="856" t="s">
        <v>3078</v>
      </c>
      <c r="B412" s="720" t="s">
        <v>1334</v>
      </c>
      <c r="C412" s="717"/>
      <c r="D412" s="717"/>
      <c r="E412" s="917">
        <v>6</v>
      </c>
      <c r="F412" s="722" t="s">
        <v>240</v>
      </c>
      <c r="G412" s="806">
        <v>4200</v>
      </c>
      <c r="H412" s="796">
        <f t="shared" si="57"/>
        <v>25200</v>
      </c>
      <c r="I412" s="807">
        <v>200</v>
      </c>
      <c r="J412" s="796">
        <f t="shared" si="58"/>
        <v>1200</v>
      </c>
      <c r="K412" s="966">
        <f t="shared" si="59"/>
        <v>26400</v>
      </c>
      <c r="L412" s="919"/>
      <c r="M412" s="729"/>
      <c r="N412" s="729"/>
      <c r="O412" s="729"/>
      <c r="P412" s="729"/>
      <c r="Q412" s="729"/>
      <c r="R412" s="729"/>
      <c r="S412" s="729"/>
    </row>
    <row r="413" spans="1:19" s="714" customFormat="1" ht="24" customHeight="1">
      <c r="A413" s="856" t="s">
        <v>3079</v>
      </c>
      <c r="B413" s="720" t="s">
        <v>1335</v>
      </c>
      <c r="C413" s="717"/>
      <c r="D413" s="717"/>
      <c r="E413" s="917">
        <v>20</v>
      </c>
      <c r="F413" s="722" t="s">
        <v>240</v>
      </c>
      <c r="G413" s="806">
        <v>2200</v>
      </c>
      <c r="H413" s="796">
        <f t="shared" si="57"/>
        <v>44000</v>
      </c>
      <c r="I413" s="807">
        <v>200</v>
      </c>
      <c r="J413" s="796">
        <f t="shared" si="58"/>
        <v>4000</v>
      </c>
      <c r="K413" s="966">
        <f t="shared" si="59"/>
        <v>48000</v>
      </c>
      <c r="L413" s="919"/>
      <c r="M413" s="729"/>
      <c r="N413" s="729"/>
      <c r="O413" s="729"/>
      <c r="P413" s="729"/>
      <c r="Q413" s="729"/>
      <c r="R413" s="729"/>
      <c r="S413" s="729"/>
    </row>
    <row r="414" spans="1:19" s="714" customFormat="1" ht="24" customHeight="1">
      <c r="A414" s="856" t="s">
        <v>3080</v>
      </c>
      <c r="B414" s="720" t="s">
        <v>1336</v>
      </c>
      <c r="C414" s="717"/>
      <c r="D414" s="717"/>
      <c r="E414" s="917">
        <v>2</v>
      </c>
      <c r="F414" s="722" t="s">
        <v>240</v>
      </c>
      <c r="G414" s="806">
        <v>5000</v>
      </c>
      <c r="H414" s="796">
        <f t="shared" si="57"/>
        <v>10000</v>
      </c>
      <c r="I414" s="807">
        <v>500</v>
      </c>
      <c r="J414" s="796">
        <f t="shared" si="58"/>
        <v>1000</v>
      </c>
      <c r="K414" s="966">
        <f t="shared" si="59"/>
        <v>11000</v>
      </c>
      <c r="L414" s="919"/>
      <c r="M414" s="729"/>
      <c r="N414" s="729"/>
      <c r="O414" s="729"/>
      <c r="P414" s="729"/>
      <c r="Q414" s="729"/>
      <c r="R414" s="729"/>
      <c r="S414" s="729"/>
    </row>
    <row r="415" spans="1:19" s="714" customFormat="1" ht="24" customHeight="1">
      <c r="A415" s="856" t="s">
        <v>3081</v>
      </c>
      <c r="B415" s="720" t="s">
        <v>1159</v>
      </c>
      <c r="C415" s="717"/>
      <c r="D415" s="717"/>
      <c r="E415" s="917"/>
      <c r="F415" s="916"/>
      <c r="G415" s="806"/>
      <c r="H415" s="796">
        <f t="shared" si="57"/>
        <v>0</v>
      </c>
      <c r="I415" s="807"/>
      <c r="J415" s="796">
        <f t="shared" si="58"/>
        <v>0</v>
      </c>
      <c r="K415" s="966">
        <f t="shared" si="59"/>
        <v>0</v>
      </c>
      <c r="L415" s="919"/>
      <c r="M415" s="729"/>
      <c r="N415" s="729"/>
      <c r="O415" s="729"/>
      <c r="P415" s="729"/>
      <c r="Q415" s="729"/>
      <c r="R415" s="729"/>
      <c r="S415" s="729"/>
    </row>
    <row r="416" spans="1:19" s="714" customFormat="1" ht="24" customHeight="1">
      <c r="A416" s="831"/>
      <c r="B416" s="720" t="s">
        <v>1337</v>
      </c>
      <c r="C416" s="717"/>
      <c r="D416" s="717"/>
      <c r="E416" s="917">
        <v>814</v>
      </c>
      <c r="F416" s="794" t="s">
        <v>438</v>
      </c>
      <c r="G416" s="806">
        <v>82</v>
      </c>
      <c r="H416" s="796">
        <f t="shared" si="57"/>
        <v>66748</v>
      </c>
      <c r="I416" s="807">
        <v>12</v>
      </c>
      <c r="J416" s="796">
        <f t="shared" si="58"/>
        <v>9768</v>
      </c>
      <c r="K416" s="966">
        <f t="shared" si="59"/>
        <v>76516</v>
      </c>
      <c r="L416" s="919"/>
      <c r="M416" s="729"/>
      <c r="N416" s="729"/>
      <c r="O416" s="729"/>
      <c r="P416" s="729"/>
      <c r="Q416" s="729"/>
      <c r="R416" s="729"/>
      <c r="S416" s="729"/>
    </row>
    <row r="417" spans="1:21" s="714" customFormat="1" ht="24" customHeight="1">
      <c r="A417" s="831"/>
      <c r="B417" s="720" t="s">
        <v>2920</v>
      </c>
      <c r="C417" s="717"/>
      <c r="D417" s="717"/>
      <c r="E417" s="917">
        <v>646</v>
      </c>
      <c r="F417" s="794" t="s">
        <v>438</v>
      </c>
      <c r="G417" s="806">
        <v>6</v>
      </c>
      <c r="H417" s="796">
        <f t="shared" si="57"/>
        <v>3876</v>
      </c>
      <c r="I417" s="807">
        <v>6</v>
      </c>
      <c r="J417" s="796">
        <f t="shared" si="58"/>
        <v>3876</v>
      </c>
      <c r="K417" s="966">
        <f t="shared" si="59"/>
        <v>7752</v>
      </c>
      <c r="L417" s="919"/>
      <c r="M417" s="729"/>
      <c r="N417" s="729"/>
      <c r="O417" s="729"/>
      <c r="P417" s="729"/>
      <c r="Q417" s="729"/>
      <c r="R417" s="729"/>
      <c r="S417" s="729"/>
    </row>
    <row r="418" spans="1:21" s="714" customFormat="1" ht="24" customHeight="1">
      <c r="A418" s="831"/>
      <c r="B418" s="720" t="s">
        <v>2921</v>
      </c>
      <c r="C418" s="717"/>
      <c r="D418" s="717"/>
      <c r="E418" s="917">
        <v>488</v>
      </c>
      <c r="F418" s="794" t="s">
        <v>438</v>
      </c>
      <c r="G418" s="806">
        <v>18</v>
      </c>
      <c r="H418" s="796">
        <f t="shared" si="57"/>
        <v>8784</v>
      </c>
      <c r="I418" s="807">
        <v>8</v>
      </c>
      <c r="J418" s="796">
        <f t="shared" si="58"/>
        <v>3904</v>
      </c>
      <c r="K418" s="966">
        <f t="shared" si="59"/>
        <v>12688</v>
      </c>
      <c r="L418" s="919"/>
      <c r="M418" s="729"/>
      <c r="N418" s="729"/>
      <c r="O418" s="729"/>
      <c r="P418" s="729"/>
      <c r="Q418" s="729"/>
      <c r="R418" s="729"/>
      <c r="S418" s="729"/>
    </row>
    <row r="419" spans="1:21" s="714" customFormat="1" ht="24" customHeight="1">
      <c r="A419" s="831"/>
      <c r="B419" s="720" t="s">
        <v>1338</v>
      </c>
      <c r="C419" s="717"/>
      <c r="D419" s="717"/>
      <c r="E419" s="917">
        <v>1</v>
      </c>
      <c r="F419" s="916" t="s">
        <v>948</v>
      </c>
      <c r="G419" s="806">
        <f>ROUND(SUM(H416:H418)*5%,)</f>
        <v>3970</v>
      </c>
      <c r="H419" s="796">
        <f t="shared" si="57"/>
        <v>3970</v>
      </c>
      <c r="I419" s="797">
        <f>ROUND(G419*0.3,)</f>
        <v>1191</v>
      </c>
      <c r="J419" s="796">
        <f t="shared" si="58"/>
        <v>1191</v>
      </c>
      <c r="K419" s="966">
        <f t="shared" si="59"/>
        <v>5161</v>
      </c>
      <c r="L419" s="919"/>
      <c r="M419" s="729"/>
      <c r="N419" s="729"/>
      <c r="O419" s="729"/>
      <c r="P419" s="729"/>
      <c r="Q419" s="729"/>
      <c r="R419" s="729"/>
      <c r="S419" s="729"/>
    </row>
    <row r="420" spans="1:21" s="714" customFormat="1" ht="24" customHeight="1">
      <c r="A420" s="856" t="s">
        <v>3082</v>
      </c>
      <c r="B420" s="720" t="s">
        <v>1357</v>
      </c>
      <c r="C420" s="717"/>
      <c r="D420" s="717"/>
      <c r="E420" s="942"/>
      <c r="F420" s="916"/>
      <c r="G420" s="806"/>
      <c r="H420" s="796"/>
      <c r="I420" s="807"/>
      <c r="J420" s="796"/>
      <c r="K420" s="914"/>
      <c r="L420" s="919"/>
      <c r="M420" s="729"/>
      <c r="N420" s="729"/>
      <c r="O420" s="729"/>
      <c r="P420" s="729"/>
    </row>
    <row r="421" spans="1:21" s="714" customFormat="1" ht="24" customHeight="1">
      <c r="A421" s="831"/>
      <c r="B421" s="720" t="s">
        <v>1201</v>
      </c>
      <c r="C421" s="717"/>
      <c r="D421" s="717"/>
      <c r="E421" s="917">
        <v>323</v>
      </c>
      <c r="F421" s="794" t="s">
        <v>438</v>
      </c>
      <c r="G421" s="806">
        <v>27</v>
      </c>
      <c r="H421" s="796">
        <f t="shared" ref="H421:H422" si="60">ROUND(E421*G421,)</f>
        <v>8721</v>
      </c>
      <c r="I421" s="807">
        <v>22</v>
      </c>
      <c r="J421" s="796">
        <f t="shared" ref="J421:J422" si="61">ROUND(E421*I421,)</f>
        <v>7106</v>
      </c>
      <c r="K421" s="1030">
        <f t="shared" ref="K421:K422" si="62">H421+J421</f>
        <v>15827</v>
      </c>
      <c r="L421" s="1718" t="s">
        <v>2974</v>
      </c>
      <c r="M421" s="729"/>
      <c r="N421" s="714">
        <v>79.8</v>
      </c>
      <c r="O421" s="714">
        <f>ROUND(N421/3,)</f>
        <v>27</v>
      </c>
      <c r="P421" s="729"/>
    </row>
    <row r="422" spans="1:21" s="714" customFormat="1" ht="24" customHeight="1">
      <c r="A422" s="831"/>
      <c r="B422" s="720" t="s">
        <v>1237</v>
      </c>
      <c r="C422" s="717"/>
      <c r="D422" s="717"/>
      <c r="E422" s="917">
        <v>1</v>
      </c>
      <c r="F422" s="916" t="s">
        <v>948</v>
      </c>
      <c r="G422" s="806">
        <f>ROUND(SUM(H421:H421)*15%,)</f>
        <v>1308</v>
      </c>
      <c r="H422" s="796">
        <f t="shared" si="60"/>
        <v>1308</v>
      </c>
      <c r="I422" s="807">
        <f>ROUND(G422*0.3,)</f>
        <v>392</v>
      </c>
      <c r="J422" s="796">
        <f t="shared" si="61"/>
        <v>392</v>
      </c>
      <c r="K422" s="914">
        <f t="shared" si="62"/>
        <v>1700</v>
      </c>
      <c r="L422" s="919"/>
      <c r="M422" s="729"/>
      <c r="N422" s="729"/>
      <c r="O422" s="729"/>
      <c r="P422" s="729"/>
    </row>
    <row r="423" spans="1:21" s="714" customFormat="1" ht="24" customHeight="1">
      <c r="A423" s="856" t="s">
        <v>3083</v>
      </c>
      <c r="B423" s="720" t="s">
        <v>950</v>
      </c>
      <c r="C423" s="717"/>
      <c r="D423" s="717"/>
      <c r="E423" s="917"/>
      <c r="F423" s="916"/>
      <c r="G423" s="806"/>
      <c r="H423" s="796">
        <f t="shared" si="57"/>
        <v>0</v>
      </c>
      <c r="I423" s="807"/>
      <c r="J423" s="796">
        <f t="shared" si="58"/>
        <v>0</v>
      </c>
      <c r="K423" s="1014">
        <f t="shared" si="59"/>
        <v>0</v>
      </c>
      <c r="L423" s="919"/>
      <c r="M423" s="729"/>
      <c r="N423" s="729"/>
      <c r="O423" s="729"/>
      <c r="P423" s="729"/>
      <c r="Q423" s="729"/>
      <c r="R423" s="729"/>
      <c r="S423" s="729"/>
    </row>
    <row r="424" spans="1:21" s="714" customFormat="1" ht="24" customHeight="1">
      <c r="A424" s="831"/>
      <c r="B424" s="720" t="s">
        <v>1184</v>
      </c>
      <c r="C424" s="717"/>
      <c r="D424" s="717"/>
      <c r="E424" s="917">
        <v>1302</v>
      </c>
      <c r="F424" s="794" t="s">
        <v>438</v>
      </c>
      <c r="G424" s="806">
        <v>75</v>
      </c>
      <c r="H424" s="796">
        <f t="shared" si="57"/>
        <v>97650</v>
      </c>
      <c r="I424" s="807">
        <v>28</v>
      </c>
      <c r="J424" s="796">
        <f t="shared" si="58"/>
        <v>36456</v>
      </c>
      <c r="K424" s="1014">
        <f t="shared" si="59"/>
        <v>134106</v>
      </c>
      <c r="L424" s="1718" t="s">
        <v>2974</v>
      </c>
      <c r="M424" s="729"/>
      <c r="N424" s="714">
        <v>225</v>
      </c>
      <c r="O424" s="714">
        <f>ROUND(N424/3,)</f>
        <v>75</v>
      </c>
      <c r="P424" s="729"/>
      <c r="Q424" s="729"/>
      <c r="R424" s="729"/>
      <c r="S424" s="729"/>
    </row>
    <row r="425" spans="1:21" s="714" customFormat="1" ht="24" customHeight="1">
      <c r="A425" s="831"/>
      <c r="B425" s="720" t="s">
        <v>952</v>
      </c>
      <c r="C425" s="717"/>
      <c r="D425" s="717"/>
      <c r="E425" s="917">
        <v>1</v>
      </c>
      <c r="F425" s="916" t="s">
        <v>948</v>
      </c>
      <c r="G425" s="806">
        <f>ROUND(SUM(H424:H424)*15%,)</f>
        <v>14648</v>
      </c>
      <c r="H425" s="796">
        <f t="shared" si="57"/>
        <v>14648</v>
      </c>
      <c r="I425" s="797">
        <f>ROUND(G425*0.3,)</f>
        <v>4394</v>
      </c>
      <c r="J425" s="796">
        <f t="shared" si="58"/>
        <v>4394</v>
      </c>
      <c r="K425" s="966">
        <f t="shared" si="59"/>
        <v>19042</v>
      </c>
      <c r="L425" s="919"/>
      <c r="M425" s="729"/>
      <c r="N425" s="729"/>
      <c r="O425" s="729"/>
      <c r="P425" s="729"/>
      <c r="Q425" s="729"/>
      <c r="R425" s="729"/>
      <c r="S425" s="729"/>
    </row>
    <row r="426" spans="1:21" s="714" customFormat="1" ht="24" customHeight="1">
      <c r="A426" s="856" t="s">
        <v>3084</v>
      </c>
      <c r="B426" s="720" t="s">
        <v>1281</v>
      </c>
      <c r="C426" s="717"/>
      <c r="D426" s="717"/>
      <c r="E426" s="917"/>
      <c r="F426" s="916"/>
      <c r="G426" s="806"/>
      <c r="H426" s="796">
        <f t="shared" si="57"/>
        <v>0</v>
      </c>
      <c r="I426" s="807"/>
      <c r="J426" s="796">
        <f t="shared" si="58"/>
        <v>0</v>
      </c>
      <c r="K426" s="1014">
        <f t="shared" si="59"/>
        <v>0</v>
      </c>
      <c r="L426" s="919"/>
      <c r="M426" s="729"/>
      <c r="N426" s="729"/>
      <c r="O426" s="729"/>
      <c r="P426" s="729"/>
      <c r="Q426" s="729"/>
      <c r="R426" s="729"/>
      <c r="S426" s="729"/>
    </row>
    <row r="427" spans="1:21" s="714" customFormat="1" ht="24" customHeight="1">
      <c r="A427" s="831"/>
      <c r="B427" s="720" t="s">
        <v>1201</v>
      </c>
      <c r="C427" s="717"/>
      <c r="D427" s="718"/>
      <c r="E427" s="1141">
        <v>158</v>
      </c>
      <c r="F427" s="794" t="s">
        <v>438</v>
      </c>
      <c r="G427" s="806">
        <v>14</v>
      </c>
      <c r="H427" s="796">
        <f t="shared" si="57"/>
        <v>2212</v>
      </c>
      <c r="I427" s="807">
        <v>11</v>
      </c>
      <c r="J427" s="796">
        <f t="shared" si="58"/>
        <v>1738</v>
      </c>
      <c r="K427" s="966">
        <f t="shared" si="59"/>
        <v>3950</v>
      </c>
      <c r="L427" s="919"/>
      <c r="M427" s="729"/>
      <c r="N427" s="729"/>
      <c r="O427" s="729"/>
      <c r="P427" s="729"/>
      <c r="Q427" s="729"/>
      <c r="R427" s="729"/>
      <c r="S427" s="729"/>
    </row>
    <row r="428" spans="1:21" s="714" customFormat="1" ht="24" customHeight="1">
      <c r="A428" s="831"/>
      <c r="B428" s="720" t="s">
        <v>957</v>
      </c>
      <c r="C428" s="717"/>
      <c r="D428" s="718"/>
      <c r="E428" s="1141"/>
      <c r="F428" s="916"/>
      <c r="G428" s="806"/>
      <c r="H428" s="918"/>
      <c r="I428" s="807"/>
      <c r="J428" s="919"/>
      <c r="K428" s="968"/>
      <c r="L428" s="919"/>
      <c r="M428" s="729"/>
      <c r="N428" s="729"/>
      <c r="O428" s="729"/>
      <c r="P428" s="729"/>
      <c r="Q428" s="729"/>
      <c r="R428" s="729"/>
      <c r="S428" s="729"/>
    </row>
    <row r="429" spans="1:21" s="714" customFormat="1" ht="24" customHeight="1">
      <c r="A429" s="1088"/>
      <c r="B429" s="720" t="s">
        <v>958</v>
      </c>
      <c r="C429" s="1089"/>
      <c r="D429" s="718"/>
      <c r="E429" s="1091"/>
      <c r="F429" s="763"/>
      <c r="G429" s="871"/>
      <c r="H429" s="872"/>
      <c r="I429" s="873"/>
      <c r="J429" s="872"/>
      <c r="K429" s="1071"/>
      <c r="L429" s="954"/>
      <c r="M429" s="729"/>
      <c r="N429" s="729"/>
      <c r="O429" s="729"/>
      <c r="P429" s="729"/>
      <c r="Q429" s="729"/>
      <c r="R429" s="729"/>
      <c r="S429" s="729"/>
      <c r="T429" s="729"/>
      <c r="U429" s="729"/>
    </row>
    <row r="430" spans="1:21" s="714" customFormat="1" ht="24" customHeight="1">
      <c r="A430" s="1088"/>
      <c r="B430" s="720" t="s">
        <v>958</v>
      </c>
      <c r="C430" s="1089"/>
      <c r="D430" s="718"/>
      <c r="E430" s="1091"/>
      <c r="F430" s="763"/>
      <c r="G430" s="871"/>
      <c r="H430" s="872"/>
      <c r="I430" s="873"/>
      <c r="J430" s="872"/>
      <c r="K430" s="1071"/>
      <c r="L430" s="954"/>
      <c r="M430" s="729"/>
      <c r="N430" s="729"/>
      <c r="O430" s="729"/>
      <c r="P430" s="729"/>
      <c r="Q430" s="729"/>
      <c r="R430" s="729"/>
      <c r="S430" s="729"/>
      <c r="T430" s="729"/>
      <c r="U430" s="729"/>
    </row>
    <row r="431" spans="1:21" s="714" customFormat="1" ht="24" customHeight="1">
      <c r="A431" s="1088"/>
      <c r="B431" s="1073"/>
      <c r="C431" s="1089"/>
      <c r="D431" s="718"/>
      <c r="E431" s="1091"/>
      <c r="F431" s="763"/>
      <c r="G431" s="877"/>
      <c r="H431" s="872"/>
      <c r="I431" s="873"/>
      <c r="J431" s="872"/>
      <c r="K431" s="1071"/>
      <c r="L431" s="954"/>
      <c r="M431" s="729"/>
      <c r="N431" s="729"/>
      <c r="O431" s="729"/>
      <c r="P431" s="729"/>
      <c r="Q431" s="729"/>
      <c r="R431" s="729"/>
      <c r="S431" s="729"/>
      <c r="T431" s="729"/>
      <c r="U431" s="729"/>
    </row>
    <row r="432" spans="1:21" s="714" customFormat="1" ht="24" customHeight="1">
      <c r="A432" s="1088"/>
      <c r="B432" s="1073"/>
      <c r="C432" s="1089"/>
      <c r="D432" s="718"/>
      <c r="E432" s="1091"/>
      <c r="F432" s="763"/>
      <c r="G432" s="877"/>
      <c r="H432" s="872"/>
      <c r="I432" s="873"/>
      <c r="J432" s="872"/>
      <c r="K432" s="1071"/>
      <c r="L432" s="954"/>
      <c r="M432" s="729"/>
      <c r="N432" s="729"/>
      <c r="O432" s="729"/>
      <c r="P432" s="729"/>
      <c r="Q432" s="729"/>
      <c r="R432" s="729"/>
      <c r="S432" s="729"/>
      <c r="T432" s="729"/>
      <c r="U432" s="729"/>
    </row>
    <row r="433" spans="1:19" s="714" customFormat="1" ht="24" customHeight="1">
      <c r="A433" s="921"/>
      <c r="B433" s="922"/>
      <c r="C433" s="761"/>
      <c r="D433" s="2197"/>
      <c r="E433" s="1105"/>
      <c r="F433" s="924"/>
      <c r="G433" s="925"/>
      <c r="H433" s="926"/>
      <c r="I433" s="927"/>
      <c r="J433" s="928"/>
      <c r="K433" s="1072"/>
      <c r="L433" s="928"/>
      <c r="M433" s="729"/>
      <c r="N433" s="729"/>
      <c r="O433" s="729"/>
      <c r="P433" s="729"/>
      <c r="Q433" s="729"/>
      <c r="R433" s="729"/>
      <c r="S433" s="729"/>
    </row>
    <row r="434" spans="1:19" s="714" customFormat="1" ht="24" customHeight="1">
      <c r="A434" s="775"/>
      <c r="B434" s="2475" t="str">
        <f>"รวมราคารายการที่ "&amp;A395</f>
        <v>รวมราคารายการที่ 3.9</v>
      </c>
      <c r="C434" s="2476"/>
      <c r="D434" s="2477"/>
      <c r="E434" s="776"/>
      <c r="F434" s="777"/>
      <c r="G434" s="959"/>
      <c r="H434" s="960">
        <f>SUM(H396:H433)</f>
        <v>1081367</v>
      </c>
      <c r="I434" s="959"/>
      <c r="J434" s="960">
        <f t="shared" ref="J434:K434" si="63">SUM(J396:J433)</f>
        <v>131675</v>
      </c>
      <c r="K434" s="960">
        <f t="shared" si="63"/>
        <v>1213042</v>
      </c>
      <c r="L434" s="1006"/>
      <c r="M434" s="729"/>
      <c r="N434" s="729"/>
      <c r="O434" s="729"/>
      <c r="P434" s="729"/>
      <c r="Q434" s="729"/>
      <c r="R434" s="729"/>
      <c r="S434" s="729"/>
    </row>
    <row r="435" spans="1:19" s="714" customFormat="1" ht="24" customHeight="1">
      <c r="A435" s="911" t="s">
        <v>1158</v>
      </c>
      <c r="B435" s="816" t="s">
        <v>1241</v>
      </c>
      <c r="C435" s="770"/>
      <c r="D435" s="770"/>
      <c r="E435" s="930"/>
      <c r="F435" s="939"/>
      <c r="G435" s="932"/>
      <c r="H435" s="933"/>
      <c r="I435" s="934"/>
      <c r="J435" s="935"/>
      <c r="K435" s="1013"/>
      <c r="L435" s="935"/>
      <c r="M435" s="729"/>
      <c r="N435" s="729"/>
      <c r="O435" s="729"/>
      <c r="P435" s="729"/>
      <c r="Q435" s="729"/>
      <c r="R435" s="729"/>
      <c r="S435" s="729"/>
    </row>
    <row r="436" spans="1:19" s="714" customFormat="1" ht="24" customHeight="1">
      <c r="A436" s="831" t="s">
        <v>1160</v>
      </c>
      <c r="B436" s="720" t="s">
        <v>1423</v>
      </c>
      <c r="C436" s="717"/>
      <c r="D436" s="717"/>
      <c r="E436" s="917">
        <v>98</v>
      </c>
      <c r="F436" s="722" t="s">
        <v>240</v>
      </c>
      <c r="G436" s="806">
        <v>200</v>
      </c>
      <c r="H436" s="796">
        <f t="shared" ref="H436" si="64">ROUND(E436*G436,)</f>
        <v>19600</v>
      </c>
      <c r="I436" s="807">
        <v>90</v>
      </c>
      <c r="J436" s="796">
        <f t="shared" ref="J436" si="65">ROUND(E436*I436,)</f>
        <v>8820</v>
      </c>
      <c r="K436" s="966">
        <f t="shared" ref="K436" si="66">H436+J436</f>
        <v>28420</v>
      </c>
      <c r="L436" s="919"/>
      <c r="M436" s="729"/>
      <c r="N436" s="729"/>
      <c r="O436" s="729"/>
      <c r="P436" s="729"/>
      <c r="Q436" s="729"/>
      <c r="R436" s="729"/>
      <c r="S436" s="729"/>
    </row>
    <row r="437" spans="1:19" s="714" customFormat="1" ht="24" customHeight="1">
      <c r="A437" s="831" t="s">
        <v>1362</v>
      </c>
      <c r="B437" s="720" t="s">
        <v>1549</v>
      </c>
      <c r="C437" s="717"/>
      <c r="D437" s="717"/>
      <c r="E437" s="917"/>
      <c r="F437" s="940"/>
      <c r="G437" s="806"/>
      <c r="H437" s="796"/>
      <c r="I437" s="807"/>
      <c r="J437" s="796"/>
      <c r="K437" s="1014"/>
      <c r="L437" s="919"/>
      <c r="M437" s="729"/>
      <c r="N437" s="729"/>
      <c r="O437" s="729"/>
      <c r="P437" s="729"/>
      <c r="Q437" s="729"/>
      <c r="R437" s="729"/>
      <c r="S437" s="729"/>
    </row>
    <row r="438" spans="1:19" s="714" customFormat="1" ht="24" customHeight="1">
      <c r="A438" s="831"/>
      <c r="B438" s="720" t="s">
        <v>1244</v>
      </c>
      <c r="C438" s="717"/>
      <c r="D438" s="717"/>
      <c r="E438" s="917">
        <v>2</v>
      </c>
      <c r="F438" s="940" t="s">
        <v>240</v>
      </c>
      <c r="G438" s="806">
        <v>27500</v>
      </c>
      <c r="H438" s="796">
        <f t="shared" ref="H438:H442" si="67">ROUND(E438*G438,)</f>
        <v>55000</v>
      </c>
      <c r="I438" s="807">
        <f>CEILING(G438*0.3,100)</f>
        <v>8300</v>
      </c>
      <c r="J438" s="796">
        <f t="shared" ref="J438:J440" si="68">ROUND(E438*I438,)</f>
        <v>16600</v>
      </c>
      <c r="K438" s="966">
        <f t="shared" ref="K438:K442" si="69">H438+J438</f>
        <v>71600</v>
      </c>
      <c r="L438" s="919"/>
      <c r="M438" s="729"/>
      <c r="N438" s="729"/>
      <c r="O438" s="729"/>
      <c r="P438" s="729"/>
      <c r="Q438" s="729"/>
      <c r="R438" s="729"/>
      <c r="S438" s="729"/>
    </row>
    <row r="439" spans="1:19" s="714" customFormat="1" ht="24" customHeight="1">
      <c r="A439" s="831"/>
      <c r="B439" s="720" t="s">
        <v>1245</v>
      </c>
      <c r="C439" s="717"/>
      <c r="D439" s="717"/>
      <c r="E439" s="917">
        <v>2</v>
      </c>
      <c r="F439" s="940" t="s">
        <v>240</v>
      </c>
      <c r="G439" s="806">
        <v>3000</v>
      </c>
      <c r="H439" s="796">
        <f t="shared" si="67"/>
        <v>6000</v>
      </c>
      <c r="I439" s="807"/>
      <c r="J439" s="796">
        <f t="shared" si="68"/>
        <v>0</v>
      </c>
      <c r="K439" s="966">
        <f t="shared" si="69"/>
        <v>6000</v>
      </c>
      <c r="L439" s="919"/>
      <c r="M439" s="729"/>
      <c r="N439" s="729"/>
      <c r="O439" s="729"/>
      <c r="P439" s="729"/>
      <c r="Q439" s="729"/>
      <c r="R439" s="729"/>
      <c r="S439" s="729"/>
    </row>
    <row r="440" spans="1:19" s="714" customFormat="1" ht="24" customHeight="1">
      <c r="A440" s="831"/>
      <c r="B440" s="720" t="s">
        <v>1425</v>
      </c>
      <c r="C440" s="717"/>
      <c r="D440" s="717"/>
      <c r="E440" s="917">
        <v>2</v>
      </c>
      <c r="F440" s="940" t="s">
        <v>240</v>
      </c>
      <c r="G440" s="806">
        <v>5700</v>
      </c>
      <c r="H440" s="796">
        <f t="shared" si="67"/>
        <v>11400</v>
      </c>
      <c r="I440" s="807"/>
      <c r="J440" s="796">
        <f t="shared" si="68"/>
        <v>0</v>
      </c>
      <c r="K440" s="966">
        <f t="shared" si="69"/>
        <v>11400</v>
      </c>
      <c r="L440" s="919"/>
      <c r="M440" s="729"/>
      <c r="N440" s="729"/>
      <c r="O440" s="729"/>
      <c r="P440" s="729"/>
      <c r="Q440" s="729"/>
      <c r="R440" s="729"/>
      <c r="S440" s="729"/>
    </row>
    <row r="441" spans="1:19" s="714" customFormat="1" ht="24" customHeight="1">
      <c r="A441" s="831"/>
      <c r="B441" s="720" t="s">
        <v>1246</v>
      </c>
      <c r="C441" s="717"/>
      <c r="D441" s="717"/>
      <c r="E441" s="917">
        <f>E438*24</f>
        <v>48</v>
      </c>
      <c r="F441" s="940" t="s">
        <v>240</v>
      </c>
      <c r="G441" s="806">
        <v>255</v>
      </c>
      <c r="H441" s="796">
        <f t="shared" si="67"/>
        <v>12240</v>
      </c>
      <c r="I441" s="807"/>
      <c r="J441" s="796"/>
      <c r="K441" s="966">
        <f t="shared" si="69"/>
        <v>12240</v>
      </c>
      <c r="L441" s="919"/>
      <c r="M441" s="729"/>
      <c r="N441" s="729"/>
      <c r="O441" s="729"/>
      <c r="P441" s="729"/>
      <c r="Q441" s="729"/>
      <c r="R441" s="729"/>
      <c r="S441" s="729"/>
    </row>
    <row r="442" spans="1:19" s="714" customFormat="1" ht="24" customHeight="1">
      <c r="A442" s="831"/>
      <c r="B442" s="720" t="s">
        <v>1426</v>
      </c>
      <c r="C442" s="717"/>
      <c r="D442" s="717"/>
      <c r="E442" s="917">
        <f>E439*24</f>
        <v>48</v>
      </c>
      <c r="F442" s="940" t="s">
        <v>240</v>
      </c>
      <c r="G442" s="806">
        <v>190</v>
      </c>
      <c r="H442" s="796">
        <f t="shared" si="67"/>
        <v>9120</v>
      </c>
      <c r="I442" s="807"/>
      <c r="J442" s="796"/>
      <c r="K442" s="966">
        <f t="shared" si="69"/>
        <v>9120</v>
      </c>
      <c r="L442" s="919"/>
      <c r="M442" s="729"/>
      <c r="N442" s="729"/>
      <c r="O442" s="729"/>
      <c r="P442" s="729"/>
      <c r="Q442" s="729"/>
      <c r="R442" s="729"/>
      <c r="S442" s="729"/>
    </row>
    <row r="443" spans="1:19" s="714" customFormat="1" ht="24" customHeight="1">
      <c r="A443" s="831" t="s">
        <v>1366</v>
      </c>
      <c r="B443" s="720" t="s">
        <v>1248</v>
      </c>
      <c r="C443" s="717"/>
      <c r="D443" s="717"/>
      <c r="E443" s="917"/>
      <c r="F443" s="941"/>
      <c r="G443" s="806"/>
      <c r="H443" s="918"/>
      <c r="I443" s="807"/>
      <c r="J443" s="919"/>
      <c r="K443" s="968"/>
      <c r="L443" s="919"/>
      <c r="M443" s="729"/>
      <c r="N443" s="729"/>
      <c r="O443" s="729"/>
      <c r="P443" s="729"/>
      <c r="Q443" s="729"/>
      <c r="R443" s="729"/>
      <c r="S443" s="729"/>
    </row>
    <row r="444" spans="1:19" s="714" customFormat="1" ht="24" customHeight="1">
      <c r="A444" s="831" t="s">
        <v>3099</v>
      </c>
      <c r="B444" s="720" t="s">
        <v>1378</v>
      </c>
      <c r="C444" s="717"/>
      <c r="D444" s="717"/>
      <c r="E444" s="917"/>
      <c r="F444" s="941"/>
      <c r="G444" s="806"/>
      <c r="H444" s="918"/>
      <c r="I444" s="807"/>
      <c r="J444" s="919"/>
      <c r="K444" s="968"/>
      <c r="L444" s="919"/>
      <c r="M444" s="729"/>
      <c r="N444" s="729"/>
      <c r="O444" s="729"/>
      <c r="P444" s="729"/>
      <c r="Q444" s="729"/>
      <c r="R444" s="729"/>
      <c r="S444" s="729"/>
    </row>
    <row r="445" spans="1:19" s="714" customFormat="1" ht="24" customHeight="1">
      <c r="A445" s="831"/>
      <c r="B445" s="720" t="s">
        <v>1385</v>
      </c>
      <c r="C445" s="717"/>
      <c r="D445" s="717"/>
      <c r="E445" s="917">
        <f>E436*50</f>
        <v>4900</v>
      </c>
      <c r="F445" s="794" t="s">
        <v>438</v>
      </c>
      <c r="G445" s="806">
        <v>24</v>
      </c>
      <c r="H445" s="796">
        <f t="shared" ref="H445" si="70">ROUND(G445*E445,)</f>
        <v>117600</v>
      </c>
      <c r="I445" s="807">
        <v>5</v>
      </c>
      <c r="J445" s="796">
        <f t="shared" ref="J445:J446" si="71">ROUND(E445*I445,)</f>
        <v>24500</v>
      </c>
      <c r="K445" s="966">
        <f t="shared" ref="K445:K446" si="72">H445+J445</f>
        <v>142100</v>
      </c>
      <c r="L445" s="919"/>
      <c r="M445" s="729"/>
      <c r="N445" s="729"/>
      <c r="O445" s="729"/>
      <c r="P445" s="729"/>
      <c r="Q445" s="729"/>
      <c r="R445" s="729"/>
      <c r="S445" s="729"/>
    </row>
    <row r="446" spans="1:19" s="714" customFormat="1" ht="24" customHeight="1">
      <c r="A446" s="831"/>
      <c r="B446" s="720" t="s">
        <v>1338</v>
      </c>
      <c r="C446" s="717"/>
      <c r="D446" s="717"/>
      <c r="E446" s="917">
        <v>1</v>
      </c>
      <c r="F446" s="916" t="s">
        <v>948</v>
      </c>
      <c r="G446" s="806">
        <f>SUM(H444:H445)*5%</f>
        <v>5880</v>
      </c>
      <c r="H446" s="796">
        <f t="shared" ref="H446" si="73">ROUND(E446*G446,)</f>
        <v>5880</v>
      </c>
      <c r="I446" s="797">
        <f>ROUND(G446*0.3,)</f>
        <v>1764</v>
      </c>
      <c r="J446" s="796">
        <f t="shared" si="71"/>
        <v>1764</v>
      </c>
      <c r="K446" s="966">
        <f t="shared" si="72"/>
        <v>7644</v>
      </c>
      <c r="L446" s="919"/>
      <c r="M446" s="729"/>
      <c r="N446" s="729"/>
      <c r="O446" s="729"/>
      <c r="P446" s="729"/>
      <c r="Q446" s="729"/>
      <c r="R446" s="729"/>
      <c r="S446" s="729"/>
    </row>
    <row r="447" spans="1:19" s="714" customFormat="1" ht="24" customHeight="1">
      <c r="A447" s="831" t="s">
        <v>3024</v>
      </c>
      <c r="B447" s="720" t="s">
        <v>1357</v>
      </c>
      <c r="C447" s="717"/>
      <c r="D447" s="717"/>
      <c r="E447" s="917"/>
      <c r="F447" s="941"/>
      <c r="G447" s="806"/>
      <c r="H447" s="918"/>
      <c r="I447" s="807"/>
      <c r="J447" s="919"/>
      <c r="K447" s="968"/>
      <c r="L447" s="919"/>
      <c r="M447" s="729"/>
      <c r="N447" s="729"/>
      <c r="O447" s="729"/>
      <c r="P447" s="729"/>
      <c r="Q447" s="729"/>
      <c r="R447" s="729"/>
      <c r="S447" s="729"/>
    </row>
    <row r="448" spans="1:19" s="714" customFormat="1" ht="24" customHeight="1">
      <c r="A448" s="831"/>
      <c r="B448" s="720" t="s">
        <v>1201</v>
      </c>
      <c r="C448" s="717"/>
      <c r="D448" s="717"/>
      <c r="E448" s="917">
        <f>E445-E451</f>
        <v>4606</v>
      </c>
      <c r="F448" s="794" t="s">
        <v>438</v>
      </c>
      <c r="G448" s="806">
        <v>27</v>
      </c>
      <c r="H448" s="796">
        <f t="shared" ref="H448:H449" si="74">ROUND(G448*E448,)</f>
        <v>124362</v>
      </c>
      <c r="I448" s="807">
        <v>22</v>
      </c>
      <c r="J448" s="796">
        <f t="shared" ref="J448:J449" si="75">ROUND(E448*I448,)</f>
        <v>101332</v>
      </c>
      <c r="K448" s="966">
        <f t="shared" ref="K448:K449" si="76">H448+J448</f>
        <v>225694</v>
      </c>
      <c r="L448" s="1718" t="s">
        <v>2974</v>
      </c>
      <c r="M448" s="729"/>
      <c r="N448" s="714">
        <v>79.8</v>
      </c>
      <c r="O448" s="714">
        <f>ROUND(N448/3,)</f>
        <v>27</v>
      </c>
      <c r="P448" s="729"/>
      <c r="Q448" s="729"/>
      <c r="R448" s="729"/>
      <c r="S448" s="729"/>
    </row>
    <row r="449" spans="1:21" s="714" customFormat="1" ht="24" customHeight="1">
      <c r="A449" s="831"/>
      <c r="B449" s="720" t="s">
        <v>1237</v>
      </c>
      <c r="C449" s="717"/>
      <c r="D449" s="717"/>
      <c r="E449" s="917">
        <v>1</v>
      </c>
      <c r="F449" s="941" t="s">
        <v>948</v>
      </c>
      <c r="G449" s="806">
        <f>ROUND(SUM(H448:H448)*15%,)</f>
        <v>18654</v>
      </c>
      <c r="H449" s="796">
        <f t="shared" si="74"/>
        <v>18654</v>
      </c>
      <c r="I449" s="797">
        <f>ROUND(G449*0.3,)</f>
        <v>5596</v>
      </c>
      <c r="J449" s="796">
        <f t="shared" si="75"/>
        <v>5596</v>
      </c>
      <c r="K449" s="966">
        <f t="shared" si="76"/>
        <v>24250</v>
      </c>
      <c r="L449" s="920"/>
      <c r="M449" s="729"/>
      <c r="N449" s="729"/>
      <c r="O449" s="729"/>
      <c r="P449" s="729"/>
      <c r="Q449" s="729"/>
      <c r="R449" s="729"/>
      <c r="S449" s="729"/>
    </row>
    <row r="450" spans="1:21" s="714" customFormat="1" ht="24" customHeight="1">
      <c r="A450" s="831" t="s">
        <v>1369</v>
      </c>
      <c r="B450" s="720" t="s">
        <v>950</v>
      </c>
      <c r="C450" s="717"/>
      <c r="D450" s="717"/>
      <c r="E450" s="917"/>
      <c r="F450" s="941"/>
      <c r="G450" s="806"/>
      <c r="H450" s="918"/>
      <c r="I450" s="807"/>
      <c r="J450" s="919"/>
      <c r="K450" s="968"/>
      <c r="L450" s="920"/>
      <c r="M450" s="729"/>
      <c r="N450" s="729"/>
      <c r="O450" s="729"/>
      <c r="P450" s="729"/>
      <c r="Q450" s="729"/>
      <c r="R450" s="729"/>
      <c r="S450" s="729"/>
    </row>
    <row r="451" spans="1:21" s="714" customFormat="1" ht="24" customHeight="1">
      <c r="A451" s="831"/>
      <c r="B451" s="720" t="s">
        <v>1201</v>
      </c>
      <c r="C451" s="717"/>
      <c r="D451" s="717"/>
      <c r="E451" s="917">
        <f>E436*3</f>
        <v>294</v>
      </c>
      <c r="F451" s="794" t="s">
        <v>438</v>
      </c>
      <c r="G451" s="806">
        <v>56</v>
      </c>
      <c r="H451" s="796">
        <f t="shared" ref="H451:H452" si="77">ROUND(G451*E451,)</f>
        <v>16464</v>
      </c>
      <c r="I451" s="807">
        <v>26</v>
      </c>
      <c r="J451" s="796">
        <f t="shared" ref="J451:J452" si="78">ROUND(E451*I451,)</f>
        <v>7644</v>
      </c>
      <c r="K451" s="966">
        <f t="shared" ref="K451:K452" si="79">H451+J451</f>
        <v>24108</v>
      </c>
      <c r="L451" s="1718" t="s">
        <v>2974</v>
      </c>
      <c r="M451" s="729"/>
      <c r="N451" s="714">
        <v>169.2</v>
      </c>
      <c r="O451" s="714">
        <f>ROUND(N451/3,)</f>
        <v>56</v>
      </c>
      <c r="P451" s="729"/>
      <c r="Q451" s="729"/>
      <c r="R451" s="729"/>
      <c r="S451" s="729"/>
    </row>
    <row r="452" spans="1:21" s="714" customFormat="1" ht="24" customHeight="1">
      <c r="A452" s="831"/>
      <c r="B452" s="720" t="s">
        <v>1237</v>
      </c>
      <c r="C452" s="717"/>
      <c r="D452" s="717"/>
      <c r="E452" s="917">
        <v>1</v>
      </c>
      <c r="F452" s="941" t="s">
        <v>948</v>
      </c>
      <c r="G452" s="806">
        <f>ROUND(SUM(H451:H451)*15%,)</f>
        <v>2470</v>
      </c>
      <c r="H452" s="796">
        <f t="shared" si="77"/>
        <v>2470</v>
      </c>
      <c r="I452" s="797">
        <f>ROUND(G452*0.3,)</f>
        <v>741</v>
      </c>
      <c r="J452" s="796">
        <f t="shared" si="78"/>
        <v>741</v>
      </c>
      <c r="K452" s="966">
        <f t="shared" si="79"/>
        <v>3211</v>
      </c>
      <c r="L452" s="919"/>
      <c r="M452" s="729"/>
      <c r="N452" s="729"/>
      <c r="O452" s="729"/>
      <c r="P452" s="729"/>
      <c r="Q452" s="729"/>
      <c r="R452" s="729"/>
      <c r="S452" s="729"/>
    </row>
    <row r="453" spans="1:21" s="714" customFormat="1" ht="24" customHeight="1">
      <c r="A453" s="831"/>
      <c r="B453" s="720" t="s">
        <v>957</v>
      </c>
      <c r="C453" s="717"/>
      <c r="D453" s="717"/>
      <c r="E453" s="917"/>
      <c r="F453" s="941"/>
      <c r="G453" s="806"/>
      <c r="H453" s="918"/>
      <c r="I453" s="807"/>
      <c r="J453" s="919"/>
      <c r="K453" s="968"/>
      <c r="L453" s="919"/>
      <c r="M453" s="729"/>
      <c r="N453" s="729"/>
      <c r="O453" s="729"/>
      <c r="P453" s="729"/>
      <c r="Q453" s="729"/>
      <c r="R453" s="729"/>
      <c r="S453" s="729"/>
    </row>
    <row r="454" spans="1:21" s="714" customFormat="1" ht="24" customHeight="1">
      <c r="A454" s="1088"/>
      <c r="B454" s="720" t="s">
        <v>958</v>
      </c>
      <c r="C454" s="1089"/>
      <c r="D454" s="1090"/>
      <c r="E454" s="1091"/>
      <c r="F454" s="763"/>
      <c r="G454" s="871"/>
      <c r="H454" s="872"/>
      <c r="I454" s="873"/>
      <c r="J454" s="872"/>
      <c r="K454" s="1071"/>
      <c r="L454" s="954"/>
      <c r="M454" s="729"/>
      <c r="N454" s="729"/>
      <c r="O454" s="729"/>
      <c r="P454" s="729"/>
      <c r="Q454" s="729"/>
      <c r="R454" s="729"/>
      <c r="S454" s="729"/>
      <c r="T454" s="729"/>
      <c r="U454" s="729"/>
    </row>
    <row r="455" spans="1:21" s="714" customFormat="1" ht="24" customHeight="1">
      <c r="A455" s="1088"/>
      <c r="B455" s="720" t="s">
        <v>958</v>
      </c>
      <c r="C455" s="1089"/>
      <c r="D455" s="1090"/>
      <c r="E455" s="1091"/>
      <c r="F455" s="763"/>
      <c r="G455" s="871"/>
      <c r="H455" s="872"/>
      <c r="I455" s="873"/>
      <c r="J455" s="872"/>
      <c r="K455" s="1071"/>
      <c r="L455" s="954"/>
      <c r="M455" s="729"/>
      <c r="N455" s="729"/>
      <c r="O455" s="729"/>
      <c r="P455" s="729"/>
      <c r="Q455" s="729"/>
      <c r="R455" s="729"/>
      <c r="S455" s="729"/>
      <c r="T455" s="729"/>
      <c r="U455" s="729"/>
    </row>
    <row r="456" spans="1:21" s="714" customFormat="1" ht="24" customHeight="1">
      <c r="A456" s="1088"/>
      <c r="B456" s="705"/>
      <c r="C456" s="1089"/>
      <c r="D456" s="1090"/>
      <c r="E456" s="1091"/>
      <c r="F456" s="763"/>
      <c r="G456" s="871"/>
      <c r="H456" s="872"/>
      <c r="I456" s="873"/>
      <c r="J456" s="872"/>
      <c r="K456" s="1071"/>
      <c r="L456" s="954"/>
      <c r="M456" s="729"/>
      <c r="N456" s="729"/>
      <c r="O456" s="729"/>
      <c r="P456" s="729"/>
      <c r="Q456" s="729"/>
      <c r="R456" s="729"/>
      <c r="S456" s="729"/>
      <c r="T456" s="729"/>
      <c r="U456" s="729"/>
    </row>
    <row r="457" spans="1:21" s="714" customFormat="1" ht="24" customHeight="1">
      <c r="A457" s="1088"/>
      <c r="B457" s="705"/>
      <c r="C457" s="1089"/>
      <c r="D457" s="1090"/>
      <c r="E457" s="1091"/>
      <c r="F457" s="763"/>
      <c r="G457" s="871"/>
      <c r="H457" s="872"/>
      <c r="I457" s="873"/>
      <c r="J457" s="872"/>
      <c r="K457" s="1071"/>
      <c r="L457" s="954"/>
      <c r="M457" s="729"/>
      <c r="N457" s="729"/>
      <c r="O457" s="729"/>
      <c r="P457" s="729"/>
      <c r="Q457" s="729"/>
      <c r="R457" s="729"/>
      <c r="S457" s="729"/>
      <c r="T457" s="729"/>
      <c r="U457" s="729"/>
    </row>
    <row r="458" spans="1:21" s="714" customFormat="1" ht="24" customHeight="1">
      <c r="A458" s="775"/>
      <c r="B458" s="2475" t="str">
        <f>"รวมราคารายการที่ "&amp;A435</f>
        <v>รวมราคารายการที่ 3.10</v>
      </c>
      <c r="C458" s="2476"/>
      <c r="D458" s="2477"/>
      <c r="E458" s="776"/>
      <c r="F458" s="777"/>
      <c r="G458" s="959"/>
      <c r="H458" s="960">
        <f>SUM(H436:H457)</f>
        <v>398790</v>
      </c>
      <c r="I458" s="959"/>
      <c r="J458" s="960">
        <f t="shared" ref="J458:K458" si="80">SUM(J436:J457)</f>
        <v>166997</v>
      </c>
      <c r="K458" s="960">
        <f t="shared" si="80"/>
        <v>565787</v>
      </c>
      <c r="L458" s="1006"/>
      <c r="M458" s="729"/>
      <c r="N458" s="729"/>
      <c r="O458" s="729"/>
      <c r="P458" s="729"/>
      <c r="Q458" s="729"/>
      <c r="R458" s="729"/>
      <c r="S458" s="729"/>
    </row>
    <row r="459" spans="1:21" s="714" customFormat="1" ht="24" customHeight="1">
      <c r="A459" s="911" t="s">
        <v>1180</v>
      </c>
      <c r="B459" s="816" t="s">
        <v>1257</v>
      </c>
      <c r="C459" s="770"/>
      <c r="D459" s="770"/>
      <c r="E459" s="930"/>
      <c r="F459" s="939"/>
      <c r="G459" s="932"/>
      <c r="H459" s="933"/>
      <c r="I459" s="934"/>
      <c r="J459" s="935"/>
      <c r="K459" s="1013"/>
      <c r="L459" s="935"/>
      <c r="M459" s="729"/>
      <c r="N459" s="729"/>
      <c r="O459" s="729"/>
      <c r="P459" s="729"/>
      <c r="Q459" s="729"/>
      <c r="R459" s="729"/>
      <c r="S459" s="729"/>
    </row>
    <row r="460" spans="1:21" s="714" customFormat="1" ht="24" customHeight="1">
      <c r="A460" s="856" t="s">
        <v>1082</v>
      </c>
      <c r="B460" s="720" t="s">
        <v>1341</v>
      </c>
      <c r="C460" s="717"/>
      <c r="D460" s="717"/>
      <c r="E460" s="917">
        <v>118</v>
      </c>
      <c r="F460" s="722" t="s">
        <v>240</v>
      </c>
      <c r="G460" s="806">
        <v>900</v>
      </c>
      <c r="H460" s="796">
        <f t="shared" ref="H460:H473" si="81">ROUND(G460*E460,)</f>
        <v>106200</v>
      </c>
      <c r="I460" s="807">
        <v>140</v>
      </c>
      <c r="J460" s="796">
        <f t="shared" ref="J460:J473" si="82">ROUND(E460*I460,)</f>
        <v>16520</v>
      </c>
      <c r="K460" s="966">
        <f t="shared" ref="K460:K473" si="83">H460+J460</f>
        <v>122720</v>
      </c>
      <c r="L460" s="919"/>
      <c r="M460" s="729"/>
      <c r="N460" s="729"/>
      <c r="O460" s="729"/>
      <c r="P460" s="729"/>
      <c r="Q460" s="729"/>
      <c r="R460" s="729"/>
      <c r="S460" s="729"/>
    </row>
    <row r="461" spans="1:21" s="714" customFormat="1" ht="24" customHeight="1">
      <c r="A461" s="856" t="s">
        <v>1377</v>
      </c>
      <c r="B461" s="720" t="s">
        <v>1343</v>
      </c>
      <c r="C461" s="717"/>
      <c r="D461" s="717"/>
      <c r="E461" s="917">
        <v>2</v>
      </c>
      <c r="F461" s="722" t="s">
        <v>240</v>
      </c>
      <c r="G461" s="806">
        <v>3800</v>
      </c>
      <c r="H461" s="796">
        <f t="shared" si="81"/>
        <v>7600</v>
      </c>
      <c r="I461" s="807">
        <v>200</v>
      </c>
      <c r="J461" s="796">
        <f t="shared" si="82"/>
        <v>400</v>
      </c>
      <c r="K461" s="966">
        <f t="shared" si="83"/>
        <v>8000</v>
      </c>
      <c r="L461" s="919"/>
      <c r="M461" s="729"/>
      <c r="N461" s="729"/>
      <c r="O461" s="729"/>
      <c r="P461" s="729"/>
      <c r="Q461" s="729"/>
      <c r="R461" s="729"/>
      <c r="S461" s="729"/>
    </row>
    <row r="462" spans="1:21" s="714" customFormat="1" ht="24" customHeight="1">
      <c r="A462" s="856" t="s">
        <v>1380</v>
      </c>
      <c r="B462" s="720" t="s">
        <v>1344</v>
      </c>
      <c r="C462" s="717"/>
      <c r="D462" s="717"/>
      <c r="E462" s="917">
        <v>2</v>
      </c>
      <c r="F462" s="722" t="s">
        <v>240</v>
      </c>
      <c r="G462" s="806">
        <v>5000</v>
      </c>
      <c r="H462" s="796">
        <f t="shared" si="81"/>
        <v>10000</v>
      </c>
      <c r="I462" s="807">
        <f>G462*0.1</f>
        <v>500</v>
      </c>
      <c r="J462" s="796">
        <f t="shared" si="82"/>
        <v>1000</v>
      </c>
      <c r="K462" s="966">
        <f t="shared" si="83"/>
        <v>11000</v>
      </c>
      <c r="L462" s="919"/>
      <c r="M462" s="729"/>
      <c r="N462" s="729"/>
      <c r="O462" s="729"/>
      <c r="P462" s="729"/>
      <c r="Q462" s="729"/>
      <c r="R462" s="729"/>
      <c r="S462" s="729"/>
    </row>
    <row r="463" spans="1:21" s="714" customFormat="1" ht="24" customHeight="1">
      <c r="A463" s="856" t="s">
        <v>1210</v>
      </c>
      <c r="B463" s="720" t="s">
        <v>1159</v>
      </c>
      <c r="C463" s="717"/>
      <c r="D463" s="717"/>
      <c r="E463" s="917"/>
      <c r="F463" s="916"/>
      <c r="G463" s="806"/>
      <c r="H463" s="796">
        <f t="shared" si="81"/>
        <v>0</v>
      </c>
      <c r="I463" s="807"/>
      <c r="J463" s="796">
        <f t="shared" si="82"/>
        <v>0</v>
      </c>
      <c r="K463" s="1014">
        <f t="shared" si="83"/>
        <v>0</v>
      </c>
      <c r="L463" s="919"/>
      <c r="M463" s="729"/>
      <c r="N463" s="729"/>
      <c r="O463" s="729"/>
      <c r="P463" s="729"/>
      <c r="Q463" s="729"/>
      <c r="R463" s="729"/>
      <c r="S463" s="729"/>
    </row>
    <row r="464" spans="1:21" s="714" customFormat="1" ht="24" customHeight="1">
      <c r="A464" s="831"/>
      <c r="B464" s="800" t="s">
        <v>1430</v>
      </c>
      <c r="C464" s="757"/>
      <c r="D464" s="757"/>
      <c r="E464" s="917">
        <f>E460*30</f>
        <v>3540</v>
      </c>
      <c r="F464" s="794" t="s">
        <v>438</v>
      </c>
      <c r="G464" s="806">
        <v>32</v>
      </c>
      <c r="H464" s="796">
        <f t="shared" si="81"/>
        <v>113280</v>
      </c>
      <c r="I464" s="807">
        <v>11</v>
      </c>
      <c r="J464" s="796">
        <f t="shared" si="82"/>
        <v>38940</v>
      </c>
      <c r="K464" s="966">
        <f t="shared" si="83"/>
        <v>152220</v>
      </c>
      <c r="L464" s="1718" t="s">
        <v>2974</v>
      </c>
      <c r="M464" s="729"/>
      <c r="N464" s="714">
        <v>3183</v>
      </c>
      <c r="O464" s="714">
        <f>ROUND(N464/100,)</f>
        <v>32</v>
      </c>
      <c r="P464" s="729"/>
      <c r="Q464" s="729"/>
      <c r="R464" s="729"/>
      <c r="S464" s="729"/>
    </row>
    <row r="465" spans="1:21" s="714" customFormat="1" ht="24" customHeight="1">
      <c r="A465" s="831"/>
      <c r="B465" s="800" t="s">
        <v>1431</v>
      </c>
      <c r="C465" s="757"/>
      <c r="D465" s="757"/>
      <c r="E465" s="917">
        <f>E460*10</f>
        <v>1180</v>
      </c>
      <c r="F465" s="794" t="s">
        <v>438</v>
      </c>
      <c r="G465" s="806">
        <v>40</v>
      </c>
      <c r="H465" s="796">
        <f t="shared" si="81"/>
        <v>47200</v>
      </c>
      <c r="I465" s="807">
        <v>12</v>
      </c>
      <c r="J465" s="796">
        <f t="shared" si="82"/>
        <v>14160</v>
      </c>
      <c r="K465" s="966">
        <f t="shared" si="83"/>
        <v>61360</v>
      </c>
      <c r="L465" s="1718" t="s">
        <v>2974</v>
      </c>
      <c r="M465" s="729"/>
      <c r="N465" s="714">
        <v>4039</v>
      </c>
      <c r="O465" s="714">
        <f>ROUND(N465/100,)</f>
        <v>40</v>
      </c>
      <c r="P465" s="729"/>
      <c r="Q465" s="729"/>
      <c r="R465" s="729"/>
      <c r="S465" s="729"/>
    </row>
    <row r="466" spans="1:21" s="714" customFormat="1" ht="24" customHeight="1">
      <c r="A466" s="831"/>
      <c r="B466" s="720" t="s">
        <v>1338</v>
      </c>
      <c r="C466" s="717"/>
      <c r="D466" s="717"/>
      <c r="E466" s="917">
        <v>1</v>
      </c>
      <c r="F466" s="916" t="s">
        <v>948</v>
      </c>
      <c r="G466" s="806">
        <f>SUM(H464:H465)*5%</f>
        <v>8024</v>
      </c>
      <c r="H466" s="796">
        <f t="shared" ref="H466" si="84">ROUND(E466*G466,)</f>
        <v>8024</v>
      </c>
      <c r="I466" s="797">
        <f>ROUND(G466*0.3,)</f>
        <v>2407</v>
      </c>
      <c r="J466" s="796">
        <f t="shared" si="82"/>
        <v>2407</v>
      </c>
      <c r="K466" s="966">
        <f t="shared" si="83"/>
        <v>10431</v>
      </c>
      <c r="L466" s="919"/>
      <c r="M466" s="729"/>
      <c r="N466" s="729"/>
      <c r="O466" s="729"/>
      <c r="P466" s="729"/>
      <c r="Q466" s="729"/>
      <c r="R466" s="729"/>
      <c r="S466" s="729"/>
    </row>
    <row r="467" spans="1:21" s="714" customFormat="1" ht="24" customHeight="1">
      <c r="A467" s="831"/>
      <c r="B467" s="720"/>
      <c r="C467" s="717"/>
      <c r="D467" s="717"/>
      <c r="E467" s="917"/>
      <c r="F467" s="916"/>
      <c r="G467" s="806"/>
      <c r="H467" s="796"/>
      <c r="I467" s="807"/>
      <c r="J467" s="796"/>
      <c r="K467" s="1014"/>
      <c r="L467" s="919"/>
      <c r="M467" s="729"/>
      <c r="N467" s="729"/>
      <c r="O467" s="729"/>
      <c r="P467" s="729"/>
      <c r="Q467" s="729"/>
      <c r="R467" s="729"/>
      <c r="S467" s="729"/>
    </row>
    <row r="468" spans="1:21" s="714" customFormat="1" ht="24" customHeight="1">
      <c r="A468" s="856" t="s">
        <v>1212</v>
      </c>
      <c r="B468" s="720" t="s">
        <v>1357</v>
      </c>
      <c r="C468" s="717"/>
      <c r="D468" s="717"/>
      <c r="E468" s="917"/>
      <c r="F468" s="916"/>
      <c r="G468" s="806"/>
      <c r="H468" s="796">
        <f t="shared" si="81"/>
        <v>0</v>
      </c>
      <c r="I468" s="807"/>
      <c r="J468" s="796">
        <f t="shared" si="82"/>
        <v>0</v>
      </c>
      <c r="K468" s="1014">
        <f t="shared" si="83"/>
        <v>0</v>
      </c>
      <c r="L468" s="1718"/>
      <c r="M468" s="729"/>
      <c r="P468" s="729"/>
      <c r="Q468" s="729"/>
      <c r="R468" s="729"/>
      <c r="S468" s="729"/>
    </row>
    <row r="469" spans="1:21" s="714" customFormat="1" ht="24" customHeight="1">
      <c r="A469" s="831"/>
      <c r="B469" s="720" t="s">
        <v>1201</v>
      </c>
      <c r="C469" s="717"/>
      <c r="D469" s="717"/>
      <c r="E469" s="917">
        <v>4720</v>
      </c>
      <c r="F469" s="794" t="s">
        <v>438</v>
      </c>
      <c r="G469" s="806">
        <v>27</v>
      </c>
      <c r="H469" s="796">
        <f t="shared" si="81"/>
        <v>127440</v>
      </c>
      <c r="I469" s="807">
        <v>22</v>
      </c>
      <c r="J469" s="796">
        <f t="shared" si="82"/>
        <v>103840</v>
      </c>
      <c r="K469" s="966">
        <f t="shared" si="83"/>
        <v>231280</v>
      </c>
      <c r="L469" s="1718" t="s">
        <v>2974</v>
      </c>
      <c r="M469" s="729"/>
      <c r="N469" s="714">
        <v>79.8</v>
      </c>
      <c r="O469" s="714">
        <f>ROUND(N469/3,)</f>
        <v>27</v>
      </c>
      <c r="P469" s="729"/>
      <c r="Q469" s="729"/>
      <c r="R469" s="729"/>
      <c r="S469" s="729"/>
    </row>
    <row r="470" spans="1:21" s="714" customFormat="1" ht="24" customHeight="1">
      <c r="A470" s="831"/>
      <c r="B470" s="720" t="s">
        <v>1237</v>
      </c>
      <c r="C470" s="717"/>
      <c r="D470" s="718"/>
      <c r="E470" s="917">
        <v>1</v>
      </c>
      <c r="F470" s="941" t="s">
        <v>948</v>
      </c>
      <c r="G470" s="806">
        <f>SUM(H469:H469)*15%</f>
        <v>19116</v>
      </c>
      <c r="H470" s="796">
        <f t="shared" si="81"/>
        <v>19116</v>
      </c>
      <c r="I470" s="797">
        <f>ROUND(G470*0.3,)</f>
        <v>5735</v>
      </c>
      <c r="J470" s="796">
        <f t="shared" si="82"/>
        <v>5735</v>
      </c>
      <c r="K470" s="966">
        <f t="shared" si="83"/>
        <v>24851</v>
      </c>
      <c r="L470" s="919"/>
      <c r="M470" s="729"/>
      <c r="N470" s="729"/>
      <c r="O470" s="729"/>
      <c r="P470" s="729"/>
      <c r="Q470" s="729"/>
      <c r="R470" s="729"/>
      <c r="S470" s="729"/>
    </row>
    <row r="471" spans="1:21" s="714" customFormat="1" ht="24" customHeight="1">
      <c r="A471" s="831"/>
      <c r="B471" s="720"/>
      <c r="C471" s="717"/>
      <c r="D471" s="718"/>
      <c r="E471" s="917"/>
      <c r="F471" s="941"/>
      <c r="G471" s="806"/>
      <c r="H471" s="796"/>
      <c r="I471" s="807"/>
      <c r="J471" s="796"/>
      <c r="K471" s="966"/>
      <c r="L471" s="919"/>
      <c r="M471" s="729"/>
      <c r="N471" s="729"/>
      <c r="O471" s="729"/>
      <c r="P471" s="729"/>
      <c r="Q471" s="729"/>
      <c r="R471" s="729"/>
      <c r="S471" s="729"/>
    </row>
    <row r="472" spans="1:21" s="714" customFormat="1" ht="24" customHeight="1">
      <c r="A472" s="831" t="s">
        <v>1214</v>
      </c>
      <c r="B472" s="720" t="s">
        <v>1281</v>
      </c>
      <c r="C472" s="717"/>
      <c r="D472" s="718"/>
      <c r="E472" s="917"/>
      <c r="F472" s="916"/>
      <c r="G472" s="806"/>
      <c r="H472" s="796">
        <f t="shared" si="81"/>
        <v>0</v>
      </c>
      <c r="I472" s="807"/>
      <c r="J472" s="796">
        <f t="shared" si="82"/>
        <v>0</v>
      </c>
      <c r="K472" s="1014">
        <f t="shared" si="83"/>
        <v>0</v>
      </c>
      <c r="L472" s="919"/>
      <c r="M472" s="729"/>
      <c r="N472" s="729"/>
      <c r="O472" s="729"/>
      <c r="P472" s="729"/>
      <c r="Q472" s="729"/>
      <c r="R472" s="729"/>
      <c r="S472" s="729"/>
    </row>
    <row r="473" spans="1:21" s="714" customFormat="1" ht="24" customHeight="1">
      <c r="A473" s="831"/>
      <c r="B473" s="720" t="s">
        <v>1201</v>
      </c>
      <c r="C473" s="717"/>
      <c r="D473" s="718"/>
      <c r="E473" s="917">
        <v>55</v>
      </c>
      <c r="F473" s="794" t="s">
        <v>438</v>
      </c>
      <c r="G473" s="806">
        <v>14</v>
      </c>
      <c r="H473" s="796">
        <f t="shared" si="81"/>
        <v>770</v>
      </c>
      <c r="I473" s="807">
        <v>11</v>
      </c>
      <c r="J473" s="796">
        <f t="shared" si="82"/>
        <v>605</v>
      </c>
      <c r="K473" s="966">
        <f t="shared" si="83"/>
        <v>1375</v>
      </c>
      <c r="L473" s="919"/>
      <c r="M473" s="729"/>
      <c r="N473" s="729"/>
      <c r="O473" s="729"/>
      <c r="P473" s="729"/>
      <c r="Q473" s="729"/>
      <c r="R473" s="729"/>
      <c r="S473" s="729"/>
    </row>
    <row r="474" spans="1:21" s="714" customFormat="1" ht="24" customHeight="1">
      <c r="A474" s="831"/>
      <c r="B474" s="720" t="s">
        <v>957</v>
      </c>
      <c r="C474" s="717"/>
      <c r="D474" s="717"/>
      <c r="E474" s="917"/>
      <c r="F474" s="916"/>
      <c r="G474" s="806"/>
      <c r="H474" s="918"/>
      <c r="I474" s="807"/>
      <c r="J474" s="919"/>
      <c r="K474" s="968"/>
      <c r="L474" s="919"/>
      <c r="M474" s="729"/>
      <c r="N474" s="729"/>
      <c r="O474" s="729"/>
      <c r="P474" s="729"/>
      <c r="Q474" s="729"/>
      <c r="R474" s="729"/>
      <c r="S474" s="729"/>
    </row>
    <row r="475" spans="1:21" s="714" customFormat="1" ht="24" customHeight="1">
      <c r="A475" s="775"/>
      <c r="B475" s="2475" t="str">
        <f>"รวมราคารายการที่ "&amp;A459</f>
        <v>รวมราคารายการที่ 3.11</v>
      </c>
      <c r="C475" s="2476"/>
      <c r="D475" s="2477"/>
      <c r="E475" s="776"/>
      <c r="F475" s="777"/>
      <c r="G475" s="959"/>
      <c r="H475" s="960">
        <f>SUM(H460:H474)</f>
        <v>439630</v>
      </c>
      <c r="I475" s="959"/>
      <c r="J475" s="960">
        <f t="shared" ref="J475:K475" si="85">SUM(J460:J474)</f>
        <v>183607</v>
      </c>
      <c r="K475" s="960">
        <f t="shared" si="85"/>
        <v>623237</v>
      </c>
      <c r="L475" s="1006"/>
      <c r="M475" s="729"/>
      <c r="N475" s="729"/>
      <c r="O475" s="729"/>
      <c r="P475" s="729"/>
      <c r="Q475" s="729"/>
      <c r="R475" s="729"/>
      <c r="S475" s="729"/>
    </row>
    <row r="476" spans="1:21" s="714" customFormat="1" ht="24" customHeight="1">
      <c r="A476" s="911" t="s">
        <v>1196</v>
      </c>
      <c r="B476" s="816" t="s">
        <v>1347</v>
      </c>
      <c r="C476" s="770"/>
      <c r="D476" s="770"/>
      <c r="E476" s="930"/>
      <c r="F476" s="931"/>
      <c r="G476" s="932"/>
      <c r="H476" s="933"/>
      <c r="I476" s="934"/>
      <c r="J476" s="935"/>
      <c r="K476" s="1013"/>
      <c r="L476" s="935"/>
      <c r="M476" s="729"/>
      <c r="N476" s="729"/>
      <c r="O476" s="729"/>
      <c r="P476" s="729"/>
      <c r="Q476" s="729"/>
      <c r="R476" s="729"/>
      <c r="S476" s="729"/>
    </row>
    <row r="477" spans="1:21" s="714" customFormat="1" ht="24" customHeight="1">
      <c r="A477" s="992" t="s">
        <v>1198</v>
      </c>
      <c r="B477" s="720" t="s">
        <v>3031</v>
      </c>
      <c r="C477" s="706"/>
      <c r="D477" s="990"/>
      <c r="E477" s="721"/>
      <c r="F477" s="722"/>
      <c r="G477" s="1402"/>
      <c r="H477" s="914"/>
      <c r="I477" s="807"/>
      <c r="J477" s="796"/>
      <c r="K477" s="797"/>
      <c r="L477" s="830"/>
      <c r="M477" s="729"/>
      <c r="N477" s="729"/>
      <c r="O477" s="729"/>
      <c r="P477" s="729"/>
      <c r="Q477" s="729"/>
      <c r="R477" s="729"/>
      <c r="S477" s="729"/>
      <c r="T477" s="729"/>
      <c r="U477" s="729"/>
    </row>
    <row r="478" spans="1:21" s="714" customFormat="1" ht="24" customHeight="1">
      <c r="A478" s="992"/>
      <c r="B478" s="720" t="s">
        <v>3022</v>
      </c>
      <c r="C478" s="706"/>
      <c r="D478" s="990"/>
      <c r="E478" s="721">
        <v>2</v>
      </c>
      <c r="F478" s="722" t="s">
        <v>240</v>
      </c>
      <c r="G478" s="994">
        <v>28700</v>
      </c>
      <c r="H478" s="864">
        <f>ROUND(E478*G478,)</f>
        <v>57400</v>
      </c>
      <c r="I478" s="865">
        <f>G478*0.01</f>
        <v>287</v>
      </c>
      <c r="J478" s="864">
        <f>ROUND(I478*E478,)</f>
        <v>574</v>
      </c>
      <c r="K478" s="865">
        <f>H478+J478</f>
        <v>57974</v>
      </c>
      <c r="L478" s="830"/>
      <c r="M478" s="729"/>
      <c r="N478" s="729"/>
      <c r="O478" s="729"/>
      <c r="P478" s="729"/>
      <c r="Q478" s="729"/>
      <c r="R478" s="729"/>
      <c r="S478" s="729"/>
      <c r="T478" s="729"/>
      <c r="U478" s="729"/>
    </row>
    <row r="479" spans="1:21" s="714" customFormat="1" ht="24" customHeight="1">
      <c r="A479" s="992"/>
      <c r="B479" s="720" t="s">
        <v>1616</v>
      </c>
      <c r="C479" s="706"/>
      <c r="D479" s="990"/>
      <c r="E479" s="721">
        <v>2</v>
      </c>
      <c r="F479" s="722" t="s">
        <v>240</v>
      </c>
      <c r="G479" s="994">
        <v>25000</v>
      </c>
      <c r="H479" s="864">
        <f>ROUND(E479*G479,)</f>
        <v>50000</v>
      </c>
      <c r="I479" s="865">
        <f>ROUND(G479*0.01,)</f>
        <v>250</v>
      </c>
      <c r="J479" s="864">
        <f>ROUND(I479*E479,)</f>
        <v>500</v>
      </c>
      <c r="K479" s="865">
        <f>H479+J479</f>
        <v>50500</v>
      </c>
      <c r="L479" s="830"/>
      <c r="M479" s="729"/>
      <c r="N479" s="729"/>
      <c r="O479" s="729"/>
      <c r="P479" s="729"/>
      <c r="Q479" s="729"/>
      <c r="R479" s="729"/>
      <c r="S479" s="729"/>
      <c r="T479" s="729"/>
      <c r="U479" s="729"/>
    </row>
    <row r="480" spans="1:21" s="714" customFormat="1" ht="24" customHeight="1">
      <c r="A480" s="993"/>
      <c r="B480" s="720" t="s">
        <v>1375</v>
      </c>
      <c r="C480" s="706"/>
      <c r="D480" s="990"/>
      <c r="E480" s="721">
        <v>48</v>
      </c>
      <c r="F480" s="722" t="s">
        <v>240</v>
      </c>
      <c r="G480" s="994">
        <v>400</v>
      </c>
      <c r="H480" s="864">
        <f>ROUND(E480*G480,)</f>
        <v>19200</v>
      </c>
      <c r="I480" s="865">
        <f>ROUND(G480*0.01,)</f>
        <v>4</v>
      </c>
      <c r="J480" s="864">
        <f>ROUND(I480*E480,)</f>
        <v>192</v>
      </c>
      <c r="K480" s="865">
        <f>H480+J480</f>
        <v>19392</v>
      </c>
      <c r="L480" s="830"/>
      <c r="M480" s="729"/>
      <c r="N480" s="729"/>
      <c r="O480" s="729"/>
      <c r="P480" s="729"/>
      <c r="Q480" s="729"/>
      <c r="R480" s="729"/>
      <c r="S480" s="729"/>
      <c r="T480" s="729"/>
      <c r="U480" s="729"/>
    </row>
    <row r="481" spans="1:21" s="714" customFormat="1" ht="24" customHeight="1">
      <c r="A481" s="993"/>
      <c r="B481" s="720" t="s">
        <v>3023</v>
      </c>
      <c r="C481" s="706"/>
      <c r="D481" s="990"/>
      <c r="E481" s="721"/>
      <c r="F481" s="722" t="s">
        <v>240</v>
      </c>
      <c r="G481" s="994"/>
      <c r="H481" s="914"/>
      <c r="I481" s="797"/>
      <c r="J481" s="796"/>
      <c r="K481" s="797"/>
      <c r="L481" s="830"/>
      <c r="M481" s="729"/>
      <c r="N481" s="729"/>
      <c r="O481" s="729"/>
      <c r="P481" s="729"/>
      <c r="Q481" s="729"/>
      <c r="R481" s="729"/>
      <c r="S481" s="729"/>
      <c r="T481" s="729"/>
      <c r="U481" s="729"/>
    </row>
    <row r="482" spans="1:21" s="714" customFormat="1" ht="24" customHeight="1">
      <c r="A482" s="1138"/>
      <c r="B482" s="720" t="s">
        <v>1618</v>
      </c>
      <c r="C482" s="706"/>
      <c r="D482" s="990"/>
      <c r="E482" s="721"/>
      <c r="F482" s="722" t="s">
        <v>240</v>
      </c>
      <c r="G482" s="994"/>
      <c r="H482" s="914"/>
      <c r="I482" s="797"/>
      <c r="J482" s="796"/>
      <c r="K482" s="797"/>
      <c r="L482" s="988"/>
      <c r="M482" s="729"/>
      <c r="N482" s="729"/>
      <c r="O482" s="729"/>
      <c r="P482" s="729"/>
      <c r="Q482" s="729"/>
      <c r="R482" s="729"/>
      <c r="S482" s="729"/>
      <c r="T482" s="729"/>
      <c r="U482" s="729"/>
    </row>
    <row r="483" spans="1:21" s="714" customFormat="1" ht="24" customHeight="1">
      <c r="A483" s="856" t="s">
        <v>1200</v>
      </c>
      <c r="B483" s="720" t="s">
        <v>1348</v>
      </c>
      <c r="C483" s="717"/>
      <c r="D483" s="717"/>
      <c r="E483" s="917"/>
      <c r="F483" s="916"/>
      <c r="G483" s="806"/>
      <c r="H483" s="918"/>
      <c r="I483" s="807"/>
      <c r="J483" s="919"/>
      <c r="K483" s="968"/>
      <c r="L483" s="919"/>
      <c r="M483" s="729"/>
      <c r="N483" s="729"/>
      <c r="O483" s="729"/>
      <c r="P483" s="729"/>
      <c r="Q483" s="729"/>
      <c r="R483" s="729"/>
      <c r="S483" s="729"/>
    </row>
    <row r="484" spans="1:21" s="714" customFormat="1" ht="24" customHeight="1">
      <c r="A484" s="831"/>
      <c r="B484" s="720" t="s">
        <v>1487</v>
      </c>
      <c r="C484" s="717"/>
      <c r="D484" s="717"/>
      <c r="E484" s="917">
        <v>2</v>
      </c>
      <c r="F484" s="722" t="s">
        <v>240</v>
      </c>
      <c r="G484" s="806">
        <f>(28000+6600+14500)*0.95</f>
        <v>46645</v>
      </c>
      <c r="H484" s="918">
        <f t="shared" ref="H484:H489" si="86">ROUND(E484*G484,)</f>
        <v>93290</v>
      </c>
      <c r="I484" s="807">
        <v>5000</v>
      </c>
      <c r="J484" s="919">
        <f>ROUND(E484*I484,)</f>
        <v>10000</v>
      </c>
      <c r="K484" s="966">
        <f t="shared" ref="K484:K489" si="87">H484+J484</f>
        <v>103290</v>
      </c>
      <c r="L484" s="919"/>
      <c r="M484" s="729"/>
      <c r="N484" s="729"/>
      <c r="O484" s="729"/>
      <c r="P484" s="729"/>
      <c r="Q484" s="729"/>
      <c r="R484" s="729"/>
      <c r="S484" s="729"/>
    </row>
    <row r="485" spans="1:21" s="714" customFormat="1" ht="24" customHeight="1">
      <c r="A485" s="831"/>
      <c r="B485" s="720" t="s">
        <v>1350</v>
      </c>
      <c r="C485" s="717"/>
      <c r="D485" s="717"/>
      <c r="E485" s="917">
        <v>2</v>
      </c>
      <c r="F485" s="722" t="s">
        <v>240</v>
      </c>
      <c r="G485" s="806">
        <f>22500*0.95</f>
        <v>21375</v>
      </c>
      <c r="H485" s="918">
        <f t="shared" si="86"/>
        <v>42750</v>
      </c>
      <c r="I485" s="807" t="s">
        <v>1351</v>
      </c>
      <c r="J485" s="919"/>
      <c r="K485" s="966">
        <f t="shared" si="87"/>
        <v>42750</v>
      </c>
      <c r="L485" s="919"/>
      <c r="M485" s="729"/>
      <c r="N485" s="729"/>
      <c r="O485" s="729"/>
      <c r="P485" s="729"/>
      <c r="Q485" s="729"/>
      <c r="R485" s="729"/>
      <c r="S485" s="729"/>
    </row>
    <row r="486" spans="1:21" s="714" customFormat="1" ht="24" customHeight="1">
      <c r="A486" s="831"/>
      <c r="B486" s="720" t="s">
        <v>1352</v>
      </c>
      <c r="C486" s="717"/>
      <c r="D486" s="717"/>
      <c r="E486" s="917">
        <v>4</v>
      </c>
      <c r="F486" s="722" t="s">
        <v>240</v>
      </c>
      <c r="G486" s="806">
        <f>9500*0.95</f>
        <v>9025</v>
      </c>
      <c r="H486" s="918">
        <f t="shared" si="86"/>
        <v>36100</v>
      </c>
      <c r="I486" s="807" t="s">
        <v>1351</v>
      </c>
      <c r="J486" s="919"/>
      <c r="K486" s="966">
        <f t="shared" si="87"/>
        <v>36100</v>
      </c>
      <c r="L486" s="919"/>
      <c r="M486" s="729"/>
      <c r="N486" s="729"/>
      <c r="O486" s="729"/>
      <c r="P486" s="729"/>
      <c r="Q486" s="729"/>
      <c r="R486" s="729"/>
      <c r="S486" s="729"/>
    </row>
    <row r="487" spans="1:21" s="714" customFormat="1" ht="24" customHeight="1">
      <c r="A487" s="831"/>
      <c r="B487" s="720" t="s">
        <v>1353</v>
      </c>
      <c r="C487" s="717"/>
      <c r="D487" s="717"/>
      <c r="E487" s="917">
        <v>2</v>
      </c>
      <c r="F487" s="722" t="s">
        <v>240</v>
      </c>
      <c r="G487" s="806">
        <f>2100*0.95</f>
        <v>1995</v>
      </c>
      <c r="H487" s="918">
        <f t="shared" si="86"/>
        <v>3990</v>
      </c>
      <c r="I487" s="807" t="s">
        <v>1351</v>
      </c>
      <c r="J487" s="919"/>
      <c r="K487" s="966">
        <f t="shared" si="87"/>
        <v>3990</v>
      </c>
      <c r="L487" s="919"/>
      <c r="M487" s="729"/>
      <c r="N487" s="729"/>
      <c r="O487" s="729"/>
      <c r="P487" s="729"/>
      <c r="Q487" s="729"/>
      <c r="R487" s="729"/>
      <c r="S487" s="729"/>
    </row>
    <row r="488" spans="1:21" s="714" customFormat="1" ht="24" customHeight="1">
      <c r="A488" s="831"/>
      <c r="B488" s="720" t="s">
        <v>1354</v>
      </c>
      <c r="C488" s="717"/>
      <c r="D488" s="717"/>
      <c r="E488" s="917">
        <v>2</v>
      </c>
      <c r="F488" s="722" t="s">
        <v>240</v>
      </c>
      <c r="G488" s="806">
        <f>450*0.95</f>
        <v>427.5</v>
      </c>
      <c r="H488" s="918">
        <f t="shared" si="86"/>
        <v>855</v>
      </c>
      <c r="I488" s="807" t="s">
        <v>1351</v>
      </c>
      <c r="J488" s="919"/>
      <c r="K488" s="966">
        <f t="shared" si="87"/>
        <v>855</v>
      </c>
      <c r="L488" s="919"/>
      <c r="M488" s="729"/>
      <c r="N488" s="729"/>
      <c r="O488" s="729"/>
      <c r="P488" s="729"/>
      <c r="Q488" s="729"/>
      <c r="R488" s="729"/>
      <c r="S488" s="729"/>
    </row>
    <row r="489" spans="1:21" s="714" customFormat="1" ht="24" customHeight="1">
      <c r="A489" s="831"/>
      <c r="B489" s="720" t="s">
        <v>1355</v>
      </c>
      <c r="C489" s="717"/>
      <c r="D489" s="717"/>
      <c r="E489" s="917">
        <v>2</v>
      </c>
      <c r="F489" s="722" t="s">
        <v>240</v>
      </c>
      <c r="G489" s="806">
        <f>850*0.95</f>
        <v>807.5</v>
      </c>
      <c r="H489" s="918">
        <f t="shared" si="86"/>
        <v>1615</v>
      </c>
      <c r="I489" s="807" t="s">
        <v>1351</v>
      </c>
      <c r="J489" s="919"/>
      <c r="K489" s="966">
        <f t="shared" si="87"/>
        <v>1615</v>
      </c>
      <c r="L489" s="919"/>
      <c r="M489" s="729"/>
      <c r="N489" s="729"/>
      <c r="O489" s="729"/>
      <c r="P489" s="729"/>
      <c r="Q489" s="729"/>
      <c r="R489" s="729"/>
      <c r="S489" s="729"/>
    </row>
    <row r="490" spans="1:21" s="714" customFormat="1" ht="24" customHeight="1">
      <c r="A490" s="831"/>
      <c r="B490" s="720"/>
      <c r="C490" s="717"/>
      <c r="D490" s="717"/>
      <c r="E490" s="917"/>
      <c r="F490" s="722"/>
      <c r="G490" s="806"/>
      <c r="H490" s="918"/>
      <c r="I490" s="807"/>
      <c r="J490" s="919"/>
      <c r="K490" s="966"/>
      <c r="L490" s="919"/>
      <c r="M490" s="729"/>
      <c r="N490" s="729"/>
      <c r="O490" s="729"/>
      <c r="P490" s="729"/>
      <c r="Q490" s="729"/>
      <c r="R490" s="729"/>
      <c r="S490" s="729"/>
    </row>
    <row r="491" spans="1:21" s="714" customFormat="1" ht="24" customHeight="1">
      <c r="A491" s="856" t="s">
        <v>1440</v>
      </c>
      <c r="B491" s="720" t="s">
        <v>1159</v>
      </c>
      <c r="C491" s="717"/>
      <c r="D491" s="717"/>
      <c r="E491" s="917"/>
      <c r="F491" s="916"/>
      <c r="G491" s="806"/>
      <c r="H491" s="918"/>
      <c r="I491" s="807"/>
      <c r="J491" s="919"/>
      <c r="K491" s="968"/>
      <c r="L491" s="919"/>
      <c r="M491" s="729"/>
      <c r="N491" s="729"/>
      <c r="O491" s="729"/>
      <c r="P491" s="729"/>
      <c r="Q491" s="729"/>
      <c r="R491" s="729"/>
      <c r="S491" s="729"/>
    </row>
    <row r="492" spans="1:21" s="714" customFormat="1" ht="24" customHeight="1">
      <c r="A492" s="831"/>
      <c r="B492" s="720" t="s">
        <v>1356</v>
      </c>
      <c r="C492" s="717"/>
      <c r="D492" s="717"/>
      <c r="E492" s="917">
        <v>325</v>
      </c>
      <c r="F492" s="794" t="s">
        <v>438</v>
      </c>
      <c r="G492" s="806">
        <v>37</v>
      </c>
      <c r="H492" s="918">
        <f>ROUND(E492*G492,)</f>
        <v>12025</v>
      </c>
      <c r="I492" s="807">
        <v>5</v>
      </c>
      <c r="J492" s="919">
        <f>ROUND(E492*I492,)</f>
        <v>1625</v>
      </c>
      <c r="K492" s="966">
        <f t="shared" ref="K492:K493" si="88">H492+J492</f>
        <v>13650</v>
      </c>
      <c r="L492" s="919"/>
      <c r="M492" s="729"/>
      <c r="N492" s="729"/>
      <c r="O492" s="729"/>
      <c r="P492" s="729"/>
      <c r="Q492" s="729"/>
      <c r="R492" s="729"/>
      <c r="S492" s="729"/>
    </row>
    <row r="493" spans="1:21" s="714" customFormat="1" ht="24" customHeight="1">
      <c r="A493" s="831"/>
      <c r="B493" s="720" t="s">
        <v>1338</v>
      </c>
      <c r="C493" s="717"/>
      <c r="D493" s="717"/>
      <c r="E493" s="917">
        <v>1</v>
      </c>
      <c r="F493" s="916" t="s">
        <v>948</v>
      </c>
      <c r="G493" s="806">
        <f>SUM(H492)*5%</f>
        <v>601.25</v>
      </c>
      <c r="H493" s="796">
        <f>ROUND(E493*G493,)</f>
        <v>601</v>
      </c>
      <c r="I493" s="797">
        <f>ROUND(G493*0.3,)</f>
        <v>180</v>
      </c>
      <c r="J493" s="796">
        <f t="shared" ref="J493" si="89">ROUND(E493*I493,)</f>
        <v>180</v>
      </c>
      <c r="K493" s="966">
        <f t="shared" si="88"/>
        <v>781</v>
      </c>
      <c r="L493" s="919"/>
      <c r="M493" s="729"/>
      <c r="N493" s="729"/>
      <c r="O493" s="729"/>
      <c r="P493" s="729"/>
      <c r="Q493" s="729"/>
      <c r="R493" s="729"/>
      <c r="S493" s="729"/>
    </row>
    <row r="494" spans="1:21" s="714" customFormat="1" ht="24" customHeight="1">
      <c r="A494" s="856" t="s">
        <v>2984</v>
      </c>
      <c r="B494" s="720" t="s">
        <v>1357</v>
      </c>
      <c r="C494" s="717"/>
      <c r="D494" s="717"/>
      <c r="E494" s="917"/>
      <c r="F494" s="916"/>
      <c r="G494" s="806"/>
      <c r="H494" s="918"/>
      <c r="I494" s="807"/>
      <c r="J494" s="919"/>
      <c r="K494" s="968"/>
      <c r="L494" s="919"/>
      <c r="M494" s="729"/>
      <c r="N494" s="729"/>
      <c r="O494" s="729"/>
      <c r="P494" s="729"/>
      <c r="Q494" s="729"/>
      <c r="R494" s="729"/>
      <c r="S494" s="729"/>
    </row>
    <row r="495" spans="1:21" s="714" customFormat="1" ht="24" customHeight="1">
      <c r="A495" s="831"/>
      <c r="B495" s="720" t="s">
        <v>1201</v>
      </c>
      <c r="C495" s="717"/>
      <c r="D495" s="717"/>
      <c r="E495" s="917">
        <f>E492</f>
        <v>325</v>
      </c>
      <c r="F495" s="794" t="s">
        <v>438</v>
      </c>
      <c r="G495" s="806">
        <v>27</v>
      </c>
      <c r="H495" s="796">
        <f t="shared" ref="H495:H496" si="90">ROUND(G495*E495,)</f>
        <v>8775</v>
      </c>
      <c r="I495" s="807">
        <v>22</v>
      </c>
      <c r="J495" s="796">
        <f>ROUND(E495*I495,)</f>
        <v>7150</v>
      </c>
      <c r="K495" s="966">
        <f t="shared" ref="K495:K496" si="91">H495+J495</f>
        <v>15925</v>
      </c>
      <c r="L495" s="1718" t="s">
        <v>2974</v>
      </c>
      <c r="M495" s="729"/>
      <c r="N495" s="714">
        <v>79.8</v>
      </c>
      <c r="O495" s="714">
        <f>ROUND(N495/3,)</f>
        <v>27</v>
      </c>
      <c r="P495" s="729"/>
      <c r="Q495" s="729"/>
      <c r="R495" s="729"/>
      <c r="S495" s="729"/>
    </row>
    <row r="496" spans="1:21" s="714" customFormat="1" ht="24" customHeight="1">
      <c r="A496" s="831"/>
      <c r="B496" s="720" t="s">
        <v>1237</v>
      </c>
      <c r="C496" s="717"/>
      <c r="D496" s="717"/>
      <c r="E496" s="917">
        <v>1</v>
      </c>
      <c r="F496" s="722" t="s">
        <v>948</v>
      </c>
      <c r="G496" s="806">
        <f>ROUND(H495*15%,)</f>
        <v>1316</v>
      </c>
      <c r="H496" s="918">
        <f t="shared" si="90"/>
        <v>1316</v>
      </c>
      <c r="I496" s="807">
        <f>ROUND(G496*0.3,)</f>
        <v>395</v>
      </c>
      <c r="J496" s="919">
        <f t="shared" ref="J496" si="92">ROUND(E496*I496,)</f>
        <v>395</v>
      </c>
      <c r="K496" s="966">
        <f t="shared" si="91"/>
        <v>1711</v>
      </c>
      <c r="L496" s="919"/>
      <c r="M496" s="729"/>
      <c r="N496" s="729"/>
      <c r="O496" s="729"/>
      <c r="P496" s="729"/>
      <c r="Q496" s="729"/>
      <c r="R496" s="729"/>
      <c r="S496" s="729"/>
    </row>
    <row r="497" spans="1:21" s="714" customFormat="1" ht="24" customHeight="1">
      <c r="A497" s="831"/>
      <c r="B497" s="720" t="s">
        <v>957</v>
      </c>
      <c r="C497" s="717"/>
      <c r="D497" s="717"/>
      <c r="E497" s="917"/>
      <c r="F497" s="722"/>
      <c r="G497" s="806"/>
      <c r="H497" s="918"/>
      <c r="I497" s="807"/>
      <c r="J497" s="919"/>
      <c r="K497" s="966"/>
      <c r="L497" s="919"/>
      <c r="M497" s="729"/>
      <c r="N497" s="729"/>
      <c r="O497" s="729"/>
      <c r="P497" s="729"/>
      <c r="Q497" s="729"/>
      <c r="R497" s="729"/>
      <c r="S497" s="729"/>
    </row>
    <row r="498" spans="1:21" s="714" customFormat="1" ht="24" customHeight="1">
      <c r="A498" s="831"/>
      <c r="B498" s="720"/>
      <c r="C498" s="717"/>
      <c r="D498" s="717"/>
      <c r="E498" s="917"/>
      <c r="F498" s="722"/>
      <c r="G498" s="806"/>
      <c r="H498" s="918"/>
      <c r="I498" s="807"/>
      <c r="J498" s="919"/>
      <c r="K498" s="966"/>
      <c r="L498" s="919"/>
      <c r="M498" s="729"/>
      <c r="N498" s="729"/>
      <c r="O498" s="729"/>
      <c r="P498" s="729"/>
      <c r="Q498" s="729"/>
      <c r="R498" s="729"/>
      <c r="S498" s="729"/>
    </row>
    <row r="499" spans="1:21" s="714" customFormat="1" ht="24" customHeight="1">
      <c r="A499" s="831"/>
      <c r="B499" s="720"/>
      <c r="C499" s="717"/>
      <c r="D499" s="717"/>
      <c r="E499" s="917"/>
      <c r="F499" s="722"/>
      <c r="G499" s="806"/>
      <c r="H499" s="918"/>
      <c r="I499" s="807"/>
      <c r="J499" s="919"/>
      <c r="K499" s="966"/>
      <c r="L499" s="919"/>
      <c r="M499" s="729"/>
      <c r="N499" s="729"/>
      <c r="O499" s="729"/>
      <c r="P499" s="729"/>
      <c r="Q499" s="729"/>
      <c r="R499" s="729"/>
      <c r="S499" s="729"/>
    </row>
    <row r="500" spans="1:21" s="714" customFormat="1" ht="24" customHeight="1">
      <c r="A500" s="831"/>
      <c r="B500" s="720"/>
      <c r="C500" s="717"/>
      <c r="D500" s="717"/>
      <c r="E500" s="917"/>
      <c r="F500" s="722"/>
      <c r="G500" s="806"/>
      <c r="H500" s="918"/>
      <c r="I500" s="807"/>
      <c r="J500" s="919"/>
      <c r="K500" s="966"/>
      <c r="L500" s="919"/>
      <c r="M500" s="729"/>
      <c r="N500" s="729"/>
      <c r="O500" s="729"/>
      <c r="P500" s="729"/>
      <c r="Q500" s="729"/>
      <c r="R500" s="729"/>
      <c r="S500" s="729"/>
    </row>
    <row r="501" spans="1:21" s="714" customFormat="1" ht="24" customHeight="1">
      <c r="A501" s="775"/>
      <c r="B501" s="2475" t="str">
        <f>"รวมราคารายการที่ "&amp;A476</f>
        <v>รวมราคารายการที่ 3.12</v>
      </c>
      <c r="C501" s="2476"/>
      <c r="D501" s="2477"/>
      <c r="E501" s="776"/>
      <c r="F501" s="777"/>
      <c r="G501" s="959"/>
      <c r="H501" s="960">
        <f>SUM(H476:H497)</f>
        <v>327917</v>
      </c>
      <c r="I501" s="959"/>
      <c r="J501" s="960">
        <f t="shared" ref="J501:K501" si="93">SUM(J476:J497)</f>
        <v>20616</v>
      </c>
      <c r="K501" s="960">
        <f t="shared" si="93"/>
        <v>348533</v>
      </c>
      <c r="L501" s="1006"/>
    </row>
    <row r="502" spans="1:21" s="714" customFormat="1" ht="21.3">
      <c r="A502" s="899" t="s">
        <v>1202</v>
      </c>
      <c r="B502" s="900" t="s">
        <v>1358</v>
      </c>
      <c r="C502" s="943"/>
      <c r="D502" s="943"/>
      <c r="E502" s="944"/>
      <c r="F502" s="978"/>
      <c r="G502" s="774"/>
      <c r="H502" s="773"/>
      <c r="I502" s="946"/>
      <c r="J502" s="947"/>
      <c r="K502" s="1019"/>
      <c r="L502" s="947"/>
    </row>
    <row r="503" spans="1:21" s="714" customFormat="1" ht="24" customHeight="1">
      <c r="A503" s="992" t="s">
        <v>1204</v>
      </c>
      <c r="B503" s="720" t="s">
        <v>3031</v>
      </c>
      <c r="C503" s="706"/>
      <c r="D503" s="990"/>
      <c r="E503" s="721"/>
      <c r="F503" s="722"/>
      <c r="G503" s="1402"/>
      <c r="H503" s="914"/>
      <c r="I503" s="807"/>
      <c r="J503" s="796"/>
      <c r="K503" s="797"/>
      <c r="L503" s="830"/>
      <c r="M503" s="729"/>
      <c r="N503" s="729"/>
      <c r="O503" s="729"/>
      <c r="P503" s="729"/>
      <c r="Q503" s="729"/>
      <c r="R503" s="729"/>
      <c r="S503" s="729"/>
      <c r="T503" s="729"/>
      <c r="U503" s="729"/>
    </row>
    <row r="504" spans="1:21" s="714" customFormat="1" ht="24" customHeight="1">
      <c r="A504" s="992"/>
      <c r="B504" s="720" t="s">
        <v>3022</v>
      </c>
      <c r="C504" s="706"/>
      <c r="D504" s="990"/>
      <c r="E504" s="721">
        <v>2</v>
      </c>
      <c r="F504" s="722" t="s">
        <v>240</v>
      </c>
      <c r="G504" s="994">
        <v>28700</v>
      </c>
      <c r="H504" s="864">
        <f>ROUND(E504*G504,)</f>
        <v>57400</v>
      </c>
      <c r="I504" s="865">
        <f>G504*0.01</f>
        <v>287</v>
      </c>
      <c r="J504" s="864">
        <f>ROUND(I504*E504,)</f>
        <v>574</v>
      </c>
      <c r="K504" s="865">
        <f>H504+J504</f>
        <v>57974</v>
      </c>
      <c r="L504" s="830"/>
      <c r="M504" s="729"/>
      <c r="N504" s="729"/>
      <c r="O504" s="729"/>
      <c r="P504" s="729"/>
      <c r="Q504" s="729"/>
      <c r="R504" s="729"/>
      <c r="S504" s="729"/>
      <c r="T504" s="729"/>
      <c r="U504" s="729"/>
    </row>
    <row r="505" spans="1:21" s="714" customFormat="1" ht="24" customHeight="1">
      <c r="A505" s="992"/>
      <c r="B505" s="720" t="s">
        <v>1616</v>
      </c>
      <c r="C505" s="706"/>
      <c r="D505" s="990"/>
      <c r="E505" s="721">
        <v>2</v>
      </c>
      <c r="F505" s="722" t="s">
        <v>240</v>
      </c>
      <c r="G505" s="994">
        <v>25000</v>
      </c>
      <c r="H505" s="864">
        <f>ROUND(E505*G505,)</f>
        <v>50000</v>
      </c>
      <c r="I505" s="865">
        <f>ROUND(G505*0.01,)</f>
        <v>250</v>
      </c>
      <c r="J505" s="864">
        <f>ROUND(I505*E505,)</f>
        <v>500</v>
      </c>
      <c r="K505" s="865">
        <f>H505+J505</f>
        <v>50500</v>
      </c>
      <c r="L505" s="830"/>
      <c r="M505" s="729"/>
      <c r="N505" s="729"/>
      <c r="O505" s="729"/>
      <c r="P505" s="729"/>
      <c r="Q505" s="729"/>
      <c r="R505" s="729"/>
      <c r="S505" s="729"/>
      <c r="T505" s="729"/>
      <c r="U505" s="729"/>
    </row>
    <row r="506" spans="1:21" s="714" customFormat="1" ht="24" customHeight="1">
      <c r="A506" s="993"/>
      <c r="B506" s="720" t="s">
        <v>1375</v>
      </c>
      <c r="C506" s="706"/>
      <c r="D506" s="990"/>
      <c r="E506" s="721">
        <v>48</v>
      </c>
      <c r="F506" s="722" t="s">
        <v>240</v>
      </c>
      <c r="G506" s="994">
        <v>400</v>
      </c>
      <c r="H506" s="864">
        <f>ROUND(E506*G506,)</f>
        <v>19200</v>
      </c>
      <c r="I506" s="865">
        <f>ROUND(G506*0.01,)</f>
        <v>4</v>
      </c>
      <c r="J506" s="864">
        <f>ROUND(I506*E506,)</f>
        <v>192</v>
      </c>
      <c r="K506" s="865">
        <f>H506+J506</f>
        <v>19392</v>
      </c>
      <c r="L506" s="830"/>
      <c r="M506" s="729"/>
      <c r="N506" s="729"/>
      <c r="O506" s="729"/>
      <c r="P506" s="729"/>
      <c r="Q506" s="729"/>
      <c r="R506" s="729"/>
      <c r="S506" s="729"/>
      <c r="T506" s="729"/>
      <c r="U506" s="729"/>
    </row>
    <row r="507" spans="1:21" s="714" customFormat="1" ht="24" customHeight="1">
      <c r="A507" s="993"/>
      <c r="B507" s="720" t="s">
        <v>3023</v>
      </c>
      <c r="C507" s="706"/>
      <c r="D507" s="990"/>
      <c r="E507" s="721"/>
      <c r="F507" s="722" t="s">
        <v>240</v>
      </c>
      <c r="G507" s="994"/>
      <c r="H507" s="914"/>
      <c r="I507" s="797"/>
      <c r="J507" s="796"/>
      <c r="K507" s="797"/>
      <c r="L507" s="830"/>
      <c r="M507" s="729"/>
      <c r="N507" s="729"/>
      <c r="O507" s="729"/>
      <c r="P507" s="729"/>
      <c r="Q507" s="729"/>
      <c r="R507" s="729"/>
      <c r="S507" s="729"/>
      <c r="T507" s="729"/>
      <c r="U507" s="729"/>
    </row>
    <row r="508" spans="1:21" s="714" customFormat="1" ht="24" customHeight="1">
      <c r="A508" s="1138"/>
      <c r="B508" s="720" t="s">
        <v>1618</v>
      </c>
      <c r="C508" s="706"/>
      <c r="D508" s="990"/>
      <c r="E508" s="721"/>
      <c r="F508" s="722" t="s">
        <v>240</v>
      </c>
      <c r="G508" s="994"/>
      <c r="H508" s="914"/>
      <c r="I508" s="797"/>
      <c r="J508" s="796"/>
      <c r="K508" s="797"/>
      <c r="L508" s="988"/>
      <c r="M508" s="729"/>
      <c r="N508" s="729"/>
      <c r="O508" s="729"/>
      <c r="P508" s="729"/>
      <c r="Q508" s="729"/>
      <c r="R508" s="729"/>
      <c r="S508" s="729"/>
      <c r="T508" s="729"/>
      <c r="U508" s="729"/>
    </row>
    <row r="509" spans="1:21" s="714" customFormat="1" ht="21.3">
      <c r="A509" s="976" t="s">
        <v>1206</v>
      </c>
      <c r="B509" s="800" t="s">
        <v>1359</v>
      </c>
      <c r="C509" s="757"/>
      <c r="D509" s="757"/>
      <c r="E509" s="979"/>
      <c r="F509" s="980"/>
      <c r="G509" s="981"/>
      <c r="H509" s="982"/>
      <c r="I509" s="983"/>
      <c r="J509" s="982"/>
      <c r="K509" s="1021"/>
      <c r="L509" s="973"/>
    </row>
    <row r="510" spans="1:21" s="714" customFormat="1" ht="21.3">
      <c r="A510" s="861"/>
      <c r="B510" s="800" t="s">
        <v>1550</v>
      </c>
      <c r="C510" s="757"/>
      <c r="D510" s="757"/>
      <c r="E510" s="942">
        <v>1</v>
      </c>
      <c r="F510" s="803" t="s">
        <v>240</v>
      </c>
      <c r="G510" s="752">
        <f>40590+10000+33400</f>
        <v>83990</v>
      </c>
      <c r="H510" s="751">
        <f t="shared" ref="H510:H511" si="94">ROUND(E510*G510,)</f>
        <v>83990</v>
      </c>
      <c r="I510" s="949">
        <f>G510*0.1</f>
        <v>8399</v>
      </c>
      <c r="J510" s="973">
        <f>ROUND(E510*I510,)</f>
        <v>8399</v>
      </c>
      <c r="K510" s="966">
        <f t="shared" ref="K510:K511" si="95">H510+J510</f>
        <v>92389</v>
      </c>
      <c r="L510" s="973"/>
    </row>
    <row r="511" spans="1:21" s="714" customFormat="1" ht="21.3">
      <c r="A511" s="861"/>
      <c r="B511" s="800" t="s">
        <v>1551</v>
      </c>
      <c r="C511" s="757"/>
      <c r="D511" s="757"/>
      <c r="E511" s="942">
        <v>1</v>
      </c>
      <c r="F511" s="803" t="s">
        <v>240</v>
      </c>
      <c r="G511" s="752">
        <v>228010</v>
      </c>
      <c r="H511" s="751">
        <f t="shared" si="94"/>
        <v>228010</v>
      </c>
      <c r="I511" s="949">
        <f t="shared" ref="I511" si="96">G511*0.1</f>
        <v>22801</v>
      </c>
      <c r="J511" s="973">
        <f t="shared" ref="J511" si="97">ROUND(E511*I511,)</f>
        <v>22801</v>
      </c>
      <c r="K511" s="966">
        <f t="shared" si="95"/>
        <v>250811</v>
      </c>
      <c r="L511" s="973"/>
    </row>
    <row r="512" spans="1:21" s="714" customFormat="1" ht="21.3">
      <c r="A512" s="976" t="s">
        <v>1208</v>
      </c>
      <c r="B512" s="800" t="s">
        <v>1363</v>
      </c>
      <c r="C512" s="757"/>
      <c r="D512" s="757"/>
      <c r="E512" s="979"/>
      <c r="F512" s="980"/>
      <c r="G512" s="981"/>
      <c r="H512" s="982"/>
      <c r="I512" s="983"/>
      <c r="J512" s="982"/>
      <c r="K512" s="1021"/>
      <c r="L512" s="973"/>
    </row>
    <row r="513" spans="1:21" s="714" customFormat="1" ht="21.3">
      <c r="A513" s="861"/>
      <c r="B513" s="800" t="s">
        <v>1552</v>
      </c>
      <c r="C513" s="757"/>
      <c r="D513" s="757"/>
      <c r="E513" s="942">
        <v>5</v>
      </c>
      <c r="F513" s="803" t="s">
        <v>240</v>
      </c>
      <c r="G513" s="752">
        <v>3500</v>
      </c>
      <c r="H513" s="751">
        <f t="shared" ref="H513:H514" si="98">ROUND(E513*G513,)</f>
        <v>17500</v>
      </c>
      <c r="I513" s="949">
        <f t="shared" ref="I513:I514" si="99">G513*0.1</f>
        <v>350</v>
      </c>
      <c r="J513" s="973">
        <f t="shared" ref="J513:J514" si="100">ROUND(E513*I513,)</f>
        <v>1750</v>
      </c>
      <c r="K513" s="966">
        <f t="shared" ref="K513:K514" si="101">H513+J513</f>
        <v>19250</v>
      </c>
      <c r="L513" s="973"/>
    </row>
    <row r="514" spans="1:21" s="714" customFormat="1" ht="21.3">
      <c r="A514" s="861"/>
      <c r="B514" s="800" t="s">
        <v>1553</v>
      </c>
      <c r="C514" s="757"/>
      <c r="D514" s="757"/>
      <c r="E514" s="942">
        <v>5</v>
      </c>
      <c r="F514" s="803" t="s">
        <v>240</v>
      </c>
      <c r="G514" s="752">
        <v>3500</v>
      </c>
      <c r="H514" s="751">
        <f t="shared" si="98"/>
        <v>17500</v>
      </c>
      <c r="I514" s="949">
        <f t="shared" si="99"/>
        <v>350</v>
      </c>
      <c r="J514" s="973">
        <f t="shared" si="100"/>
        <v>1750</v>
      </c>
      <c r="K514" s="966">
        <f t="shared" si="101"/>
        <v>19250</v>
      </c>
      <c r="L514" s="973"/>
    </row>
    <row r="515" spans="1:21">
      <c r="A515" s="976" t="s">
        <v>3057</v>
      </c>
      <c r="B515" s="800" t="s">
        <v>1159</v>
      </c>
      <c r="C515" s="757"/>
      <c r="D515" s="757"/>
      <c r="E515" s="942"/>
      <c r="F515" s="948"/>
      <c r="G515" s="752"/>
      <c r="H515" s="751"/>
      <c r="I515" s="949"/>
      <c r="J515" s="973"/>
      <c r="K515" s="1022"/>
      <c r="L515" s="973"/>
    </row>
    <row r="516" spans="1:21">
      <c r="A516" s="861"/>
      <c r="B516" s="800" t="s">
        <v>1367</v>
      </c>
      <c r="C516" s="757"/>
      <c r="D516" s="757"/>
      <c r="E516" s="942">
        <v>440</v>
      </c>
      <c r="F516" s="867" t="s">
        <v>438</v>
      </c>
      <c r="G516" s="752">
        <v>103</v>
      </c>
      <c r="H516" s="751">
        <f>ROUND(E516*G516,)</f>
        <v>45320</v>
      </c>
      <c r="I516" s="949">
        <v>21</v>
      </c>
      <c r="J516" s="973">
        <f>ROUND(E516*I516,)</f>
        <v>9240</v>
      </c>
      <c r="K516" s="966">
        <f t="shared" ref="K516:K518" si="102">H516+J516</f>
        <v>54560</v>
      </c>
      <c r="L516" s="973"/>
    </row>
    <row r="517" spans="1:21">
      <c r="A517" s="861"/>
      <c r="B517" s="800" t="s">
        <v>1368</v>
      </c>
      <c r="C517" s="757"/>
      <c r="D517" s="757"/>
      <c r="E517" s="942">
        <v>20</v>
      </c>
      <c r="F517" s="867" t="s">
        <v>438</v>
      </c>
      <c r="G517" s="752">
        <v>139</v>
      </c>
      <c r="H517" s="751">
        <f>ROUND(E517*G517,)</f>
        <v>2780</v>
      </c>
      <c r="I517" s="949">
        <v>21</v>
      </c>
      <c r="J517" s="973">
        <f>ROUND(E517*I517,)</f>
        <v>420</v>
      </c>
      <c r="K517" s="966">
        <f t="shared" si="102"/>
        <v>3200</v>
      </c>
      <c r="L517" s="973"/>
    </row>
    <row r="518" spans="1:21">
      <c r="A518" s="861"/>
      <c r="B518" s="800" t="s">
        <v>1338</v>
      </c>
      <c r="C518" s="757"/>
      <c r="D518" s="757"/>
      <c r="E518" s="942">
        <v>1</v>
      </c>
      <c r="F518" s="948" t="s">
        <v>948</v>
      </c>
      <c r="G518" s="752">
        <f>SUM(H516:H517)*5%</f>
        <v>2405</v>
      </c>
      <c r="H518" s="864">
        <f>ROUND(E518*G518,)</f>
        <v>2405</v>
      </c>
      <c r="I518" s="797">
        <f>ROUND(G518*0.3,)</f>
        <v>722</v>
      </c>
      <c r="J518" s="864">
        <f>ROUND(E518*I518,)</f>
        <v>722</v>
      </c>
      <c r="K518" s="966">
        <f t="shared" si="102"/>
        <v>3127</v>
      </c>
      <c r="L518" s="973"/>
    </row>
    <row r="519" spans="1:21">
      <c r="A519" s="861" t="s">
        <v>3058</v>
      </c>
      <c r="B519" s="800" t="s">
        <v>1252</v>
      </c>
      <c r="C519" s="757"/>
      <c r="D519" s="757"/>
      <c r="E519" s="942"/>
      <c r="F519" s="948"/>
      <c r="G519" s="752"/>
      <c r="H519" s="864"/>
      <c r="I519" s="949"/>
      <c r="J519" s="864"/>
      <c r="K519" s="966"/>
      <c r="L519" s="985"/>
    </row>
    <row r="520" spans="1:21">
      <c r="A520" s="861"/>
      <c r="B520" s="800" t="s">
        <v>1193</v>
      </c>
      <c r="C520" s="757"/>
      <c r="D520" s="757"/>
      <c r="E520" s="942">
        <v>262</v>
      </c>
      <c r="F520" s="867" t="s">
        <v>438</v>
      </c>
      <c r="G520" s="752">
        <v>316</v>
      </c>
      <c r="H520" s="864">
        <f>ROUND(E520*G520,)</f>
        <v>82792</v>
      </c>
      <c r="I520" s="949">
        <v>50</v>
      </c>
      <c r="J520" s="864">
        <f>ROUND(E520*I520,)</f>
        <v>13100</v>
      </c>
      <c r="K520" s="966">
        <f t="shared" ref="K520:K521" si="103">H520+J520</f>
        <v>95892</v>
      </c>
      <c r="L520" s="985"/>
    </row>
    <row r="521" spans="1:21">
      <c r="A521" s="861"/>
      <c r="B521" s="800" t="s">
        <v>1237</v>
      </c>
      <c r="C521" s="757"/>
      <c r="D521" s="757"/>
      <c r="E521" s="942">
        <v>1</v>
      </c>
      <c r="F521" s="948" t="s">
        <v>948</v>
      </c>
      <c r="G521" s="752">
        <f>ROUND(SUM(H520)*15%,)</f>
        <v>12419</v>
      </c>
      <c r="H521" s="864">
        <f>ROUND(G521*E521,)</f>
        <v>12419</v>
      </c>
      <c r="I521" s="797">
        <f>ROUND(G521*0.3,)</f>
        <v>3726</v>
      </c>
      <c r="J521" s="864">
        <f>ROUND(E521*I521,)</f>
        <v>3726</v>
      </c>
      <c r="K521" s="966">
        <f t="shared" si="103"/>
        <v>16145</v>
      </c>
      <c r="L521" s="985"/>
    </row>
    <row r="522" spans="1:21">
      <c r="A522" s="889"/>
      <c r="B522" s="756" t="s">
        <v>957</v>
      </c>
      <c r="C522" s="974"/>
      <c r="D522" s="974"/>
      <c r="E522" s="1040"/>
      <c r="F522" s="1041"/>
      <c r="G522" s="766"/>
      <c r="H522" s="765"/>
      <c r="I522" s="975"/>
      <c r="J522" s="1042"/>
      <c r="K522" s="1080"/>
      <c r="L522" s="1042"/>
    </row>
    <row r="523" spans="1:21" s="714" customFormat="1" ht="24" customHeight="1">
      <c r="A523" s="995"/>
      <c r="B523" s="800" t="s">
        <v>1428</v>
      </c>
      <c r="C523" s="706"/>
      <c r="D523" s="990"/>
      <c r="E523" s="721"/>
      <c r="F523" s="722"/>
      <c r="G523" s="795"/>
      <c r="H523" s="796"/>
      <c r="I523" s="1039"/>
      <c r="J523" s="796"/>
      <c r="K523" s="1014"/>
      <c r="L523" s="1024"/>
      <c r="M523" s="729"/>
      <c r="N523" s="729"/>
      <c r="O523" s="729"/>
      <c r="P523" s="729"/>
      <c r="Q523" s="729"/>
      <c r="R523" s="729"/>
      <c r="S523" s="729"/>
      <c r="T523" s="729"/>
      <c r="U523" s="729"/>
    </row>
    <row r="524" spans="1:21" s="714" customFormat="1" ht="24" customHeight="1">
      <c r="A524" s="995"/>
      <c r="B524" s="800" t="s">
        <v>1428</v>
      </c>
      <c r="C524" s="706"/>
      <c r="D524" s="990"/>
      <c r="E524" s="721"/>
      <c r="F524" s="722"/>
      <c r="G524" s="795"/>
      <c r="H524" s="796"/>
      <c r="I524" s="1039"/>
      <c r="J524" s="796"/>
      <c r="K524" s="1014"/>
      <c r="L524" s="1024"/>
      <c r="M524" s="729"/>
      <c r="N524" s="729"/>
      <c r="O524" s="729"/>
      <c r="P524" s="729"/>
      <c r="Q524" s="729"/>
      <c r="R524" s="729"/>
      <c r="S524" s="729"/>
      <c r="T524" s="729"/>
      <c r="U524" s="729"/>
    </row>
    <row r="525" spans="1:21">
      <c r="A525" s="775"/>
      <c r="B525" s="2475" t="str">
        <f>"รวมราคารายการที่ "&amp;A502</f>
        <v>รวมราคารายการที่ 3.13</v>
      </c>
      <c r="C525" s="2476"/>
      <c r="D525" s="2477"/>
      <c r="E525" s="776"/>
      <c r="F525" s="777"/>
      <c r="G525" s="959"/>
      <c r="H525" s="960">
        <f>SUM(H503:H522)</f>
        <v>619316</v>
      </c>
      <c r="I525" s="959"/>
      <c r="J525" s="960">
        <f>SUM(J503:J522)</f>
        <v>63174</v>
      </c>
      <c r="K525" s="960">
        <f>SUM(K503:K522)</f>
        <v>682490</v>
      </c>
      <c r="L525" s="1006"/>
    </row>
    <row r="526" spans="1:21" s="714" customFormat="1" ht="24" customHeight="1">
      <c r="A526" s="986" t="s">
        <v>1224</v>
      </c>
      <c r="B526" s="816" t="s">
        <v>1370</v>
      </c>
      <c r="C526" s="987"/>
      <c r="D526" s="707"/>
      <c r="E526" s="708"/>
      <c r="F526" s="709"/>
      <c r="G526" s="853"/>
      <c r="H526" s="854"/>
      <c r="I526" s="855"/>
      <c r="J526" s="854"/>
      <c r="K526" s="1007"/>
      <c r="L526" s="1023"/>
      <c r="M526" s="729"/>
      <c r="N526" s="729"/>
      <c r="O526" s="729"/>
      <c r="P526" s="729"/>
      <c r="Q526" s="729"/>
      <c r="R526" s="729"/>
      <c r="S526" s="729"/>
      <c r="T526" s="729"/>
      <c r="U526" s="729"/>
    </row>
    <row r="527" spans="1:21" s="714" customFormat="1" ht="24" customHeight="1">
      <c r="A527" s="989" t="s">
        <v>1226</v>
      </c>
      <c r="B527" s="720" t="s">
        <v>1438</v>
      </c>
      <c r="C527" s="706"/>
      <c r="D527" s="990"/>
      <c r="E527" s="991">
        <v>2</v>
      </c>
      <c r="F527" s="803" t="s">
        <v>240</v>
      </c>
      <c r="G527" s="858">
        <v>3200</v>
      </c>
      <c r="H527" s="864">
        <f>ROUND(E527*G527,)</f>
        <v>6400</v>
      </c>
      <c r="I527" s="865">
        <v>150</v>
      </c>
      <c r="J527" s="864">
        <f>ROUND(I527*E527,)</f>
        <v>300</v>
      </c>
      <c r="K527" s="966">
        <f t="shared" ref="K527:K528" si="104">H527+J527</f>
        <v>6700</v>
      </c>
      <c r="L527" s="1024"/>
      <c r="M527" s="729"/>
      <c r="N527" s="729"/>
      <c r="O527" s="729"/>
      <c r="P527" s="729"/>
      <c r="Q527" s="729"/>
      <c r="R527" s="729"/>
      <c r="S527" s="729"/>
      <c r="T527" s="729"/>
      <c r="U527" s="729"/>
    </row>
    <row r="528" spans="1:21" s="714" customFormat="1" ht="24" customHeight="1">
      <c r="A528" s="992" t="s">
        <v>1228</v>
      </c>
      <c r="B528" s="720" t="s">
        <v>1439</v>
      </c>
      <c r="C528" s="706"/>
      <c r="D528" s="990"/>
      <c r="E528" s="991">
        <v>2</v>
      </c>
      <c r="F528" s="803" t="s">
        <v>240</v>
      </c>
      <c r="G528" s="858">
        <v>2640</v>
      </c>
      <c r="H528" s="864">
        <f>ROUND(E528*G528,)</f>
        <v>5280</v>
      </c>
      <c r="I528" s="865">
        <v>150</v>
      </c>
      <c r="J528" s="864">
        <f>ROUND(I528*E528,)</f>
        <v>300</v>
      </c>
      <c r="K528" s="966">
        <f t="shared" si="104"/>
        <v>5580</v>
      </c>
      <c r="L528" s="1024"/>
      <c r="M528" s="729"/>
      <c r="N528" s="729"/>
      <c r="O528" s="729"/>
      <c r="P528" s="729"/>
      <c r="Q528" s="729"/>
      <c r="R528" s="729"/>
      <c r="S528" s="729"/>
      <c r="T528" s="729"/>
      <c r="U528" s="729"/>
    </row>
    <row r="529" spans="1:21" s="714" customFormat="1" ht="24" customHeight="1">
      <c r="A529" s="992" t="s">
        <v>1230</v>
      </c>
      <c r="B529" s="720" t="s">
        <v>1441</v>
      </c>
      <c r="C529" s="706"/>
      <c r="D529" s="990"/>
      <c r="E529" s="721"/>
      <c r="F529" s="722"/>
      <c r="G529" s="795"/>
      <c r="H529" s="796"/>
      <c r="I529" s="797"/>
      <c r="J529" s="796"/>
      <c r="K529" s="1014"/>
      <c r="L529" s="1024"/>
      <c r="M529" s="729"/>
      <c r="N529" s="729"/>
      <c r="O529" s="729"/>
      <c r="P529" s="729"/>
      <c r="Q529" s="729"/>
      <c r="R529" s="729"/>
      <c r="S529" s="729"/>
      <c r="T529" s="729"/>
      <c r="U529" s="729"/>
    </row>
    <row r="530" spans="1:21" s="714" customFormat="1" ht="24" customHeight="1">
      <c r="A530" s="995"/>
      <c r="B530" s="800" t="s">
        <v>1442</v>
      </c>
      <c r="C530" s="706"/>
      <c r="D530" s="990"/>
      <c r="E530" s="721">
        <v>650</v>
      </c>
      <c r="F530" s="722" t="s">
        <v>438</v>
      </c>
      <c r="G530" s="858">
        <v>10</v>
      </c>
      <c r="H530" s="796">
        <f>ROUND(E530*G530,)</f>
        <v>6500</v>
      </c>
      <c r="I530" s="797">
        <v>5</v>
      </c>
      <c r="J530" s="796">
        <f>ROUND(I530*E530,)</f>
        <v>3250</v>
      </c>
      <c r="K530" s="966">
        <f t="shared" ref="K530" si="105">H530+J530</f>
        <v>9750</v>
      </c>
      <c r="L530" s="1024"/>
      <c r="M530" s="729"/>
      <c r="N530" s="729"/>
      <c r="O530" s="729"/>
      <c r="P530" s="729"/>
      <c r="Q530" s="729"/>
      <c r="R530" s="729"/>
      <c r="S530" s="729"/>
      <c r="T530" s="729"/>
      <c r="U530" s="729"/>
    </row>
    <row r="531" spans="1:21" s="714" customFormat="1" ht="24" customHeight="1">
      <c r="A531" s="995"/>
      <c r="B531" s="800"/>
      <c r="C531" s="706"/>
      <c r="D531" s="990"/>
      <c r="E531" s="721"/>
      <c r="F531" s="722"/>
      <c r="G531" s="858"/>
      <c r="H531" s="796"/>
      <c r="I531" s="797"/>
      <c r="J531" s="796"/>
      <c r="K531" s="966"/>
      <c r="L531" s="1024"/>
      <c r="M531" s="729"/>
      <c r="N531" s="729"/>
      <c r="O531" s="729"/>
      <c r="P531" s="729"/>
      <c r="Q531" s="729"/>
      <c r="R531" s="729"/>
      <c r="S531" s="729"/>
      <c r="T531" s="729"/>
      <c r="U531" s="729"/>
    </row>
    <row r="532" spans="1:21" s="714" customFormat="1" ht="24" customHeight="1">
      <c r="A532" s="992" t="s">
        <v>1234</v>
      </c>
      <c r="B532" s="720" t="s">
        <v>950</v>
      </c>
      <c r="C532" s="706"/>
      <c r="D532" s="990"/>
      <c r="E532" s="721"/>
      <c r="F532" s="722"/>
      <c r="G532" s="795"/>
      <c r="H532" s="796"/>
      <c r="I532" s="797"/>
      <c r="J532" s="796"/>
      <c r="K532" s="1014"/>
      <c r="L532" s="1024"/>
      <c r="M532" s="729"/>
      <c r="N532" s="729"/>
      <c r="O532" s="729"/>
      <c r="P532" s="729"/>
      <c r="Q532" s="729"/>
      <c r="R532" s="729"/>
      <c r="S532" s="729"/>
      <c r="T532" s="729"/>
      <c r="U532" s="729"/>
    </row>
    <row r="533" spans="1:21" s="714" customFormat="1" ht="24" customHeight="1">
      <c r="A533" s="996"/>
      <c r="B533" s="720" t="s">
        <v>1201</v>
      </c>
      <c r="C533" s="706"/>
      <c r="D533" s="990"/>
      <c r="E533" s="917">
        <f>E530</f>
        <v>650</v>
      </c>
      <c r="F533" s="794" t="s">
        <v>438</v>
      </c>
      <c r="G533" s="806">
        <v>56</v>
      </c>
      <c r="H533" s="796">
        <f>ROUND(E533*G533,)</f>
        <v>36400</v>
      </c>
      <c r="I533" s="807">
        <v>26</v>
      </c>
      <c r="J533" s="796">
        <f t="shared" ref="J533" si="106">ROUND(E533*I533,)</f>
        <v>16900</v>
      </c>
      <c r="K533" s="966">
        <f t="shared" ref="K533:K534" si="107">H533+J533</f>
        <v>53300</v>
      </c>
      <c r="L533" s="1718" t="s">
        <v>2974</v>
      </c>
      <c r="M533" s="729"/>
      <c r="N533" s="714">
        <v>169.2</v>
      </c>
      <c r="O533" s="714">
        <f>ROUND(N533/3,)</f>
        <v>56</v>
      </c>
      <c r="P533" s="729"/>
      <c r="Q533" s="729"/>
      <c r="R533" s="729"/>
      <c r="S533" s="729"/>
      <c r="T533" s="729"/>
      <c r="U533" s="729"/>
    </row>
    <row r="534" spans="1:21" s="714" customFormat="1" ht="24" customHeight="1">
      <c r="A534" s="996"/>
      <c r="B534" s="720" t="s">
        <v>1237</v>
      </c>
      <c r="C534" s="706"/>
      <c r="D534" s="990"/>
      <c r="E534" s="721">
        <v>1</v>
      </c>
      <c r="F534" s="722" t="s">
        <v>948</v>
      </c>
      <c r="G534" s="795">
        <f>SUM(H532:H533)*15%</f>
        <v>5460</v>
      </c>
      <c r="H534" s="796">
        <f>ROUND(E534*G534,)</f>
        <v>5460</v>
      </c>
      <c r="I534" s="797">
        <f>ROUND(G534*0.3,)</f>
        <v>1638</v>
      </c>
      <c r="J534" s="796">
        <f>ROUND(I534*E534,)</f>
        <v>1638</v>
      </c>
      <c r="K534" s="966">
        <f t="shared" si="107"/>
        <v>7098</v>
      </c>
      <c r="L534" s="1024"/>
      <c r="M534" s="729"/>
      <c r="N534" s="729"/>
      <c r="O534" s="729"/>
      <c r="P534" s="729"/>
      <c r="Q534" s="729"/>
      <c r="R534" s="729"/>
      <c r="S534" s="729"/>
      <c r="T534" s="729"/>
      <c r="U534" s="729"/>
    </row>
    <row r="535" spans="1:21" s="714" customFormat="1" ht="24" customHeight="1">
      <c r="A535" s="992" t="s">
        <v>1236</v>
      </c>
      <c r="B535" s="720" t="s">
        <v>1238</v>
      </c>
      <c r="C535" s="706"/>
      <c r="D535" s="990"/>
      <c r="E535" s="721"/>
      <c r="F535" s="722" t="s">
        <v>948</v>
      </c>
      <c r="G535" s="795"/>
      <c r="H535" s="796"/>
      <c r="I535" s="1039"/>
      <c r="J535" s="796"/>
      <c r="K535" s="1014"/>
      <c r="L535" s="1024"/>
      <c r="M535" s="729"/>
      <c r="N535" s="729"/>
      <c r="O535" s="729"/>
      <c r="P535" s="729"/>
      <c r="Q535" s="729"/>
      <c r="R535" s="729"/>
      <c r="S535" s="729"/>
      <c r="T535" s="729"/>
      <c r="U535" s="729"/>
    </row>
    <row r="536" spans="1:21" s="714" customFormat="1" ht="24" customHeight="1">
      <c r="A536" s="992"/>
      <c r="B536" s="720" t="s">
        <v>957</v>
      </c>
      <c r="C536" s="706"/>
      <c r="D536" s="990"/>
      <c r="E536" s="721"/>
      <c r="F536" s="722"/>
      <c r="G536" s="795"/>
      <c r="H536" s="796"/>
      <c r="I536" s="1039"/>
      <c r="J536" s="796"/>
      <c r="K536" s="1014"/>
      <c r="L536" s="1024"/>
      <c r="M536" s="729"/>
      <c r="N536" s="729"/>
      <c r="O536" s="729"/>
      <c r="P536" s="729"/>
      <c r="Q536" s="729"/>
      <c r="R536" s="729"/>
      <c r="S536" s="729"/>
      <c r="T536" s="729"/>
      <c r="U536" s="729"/>
    </row>
    <row r="537" spans="1:21" s="714" customFormat="1" ht="24" customHeight="1">
      <c r="A537" s="996"/>
      <c r="B537" s="720" t="s">
        <v>958</v>
      </c>
      <c r="C537" s="706"/>
      <c r="D537" s="990"/>
      <c r="E537" s="721"/>
      <c r="F537" s="722"/>
      <c r="G537" s="795"/>
      <c r="H537" s="796"/>
      <c r="I537" s="797"/>
      <c r="J537" s="796"/>
      <c r="K537" s="966"/>
      <c r="L537" s="1024"/>
      <c r="M537" s="729"/>
      <c r="N537" s="729"/>
      <c r="O537" s="729"/>
      <c r="P537" s="729"/>
      <c r="Q537" s="729"/>
      <c r="R537" s="729"/>
    </row>
    <row r="538" spans="1:21" s="714" customFormat="1" ht="24" customHeight="1">
      <c r="A538" s="777"/>
      <c r="B538" s="2475" t="str">
        <f>"รวมราคารายการที่ "&amp;A526</f>
        <v>รวมราคารายการที่ 3.14</v>
      </c>
      <c r="C538" s="2476"/>
      <c r="D538" s="2477"/>
      <c r="E538" s="997"/>
      <c r="F538" s="777"/>
      <c r="G538" s="959"/>
      <c r="H538" s="960">
        <f>SUM(H527:H536)</f>
        <v>60040</v>
      </c>
      <c r="I538" s="959"/>
      <c r="J538" s="960">
        <f t="shared" ref="J538:K538" si="108">SUM(J527:J536)</f>
        <v>22388</v>
      </c>
      <c r="K538" s="960">
        <f t="shared" si="108"/>
        <v>82428</v>
      </c>
      <c r="L538" s="1006"/>
      <c r="M538" s="729"/>
      <c r="N538" s="729"/>
      <c r="O538" s="729"/>
      <c r="P538" s="729"/>
      <c r="Q538" s="729"/>
      <c r="R538" s="729"/>
      <c r="S538" s="729"/>
      <c r="T538" s="729"/>
      <c r="U538" s="729"/>
    </row>
  </sheetData>
  <mergeCells count="23">
    <mergeCell ref="B501:D501"/>
    <mergeCell ref="B525:D525"/>
    <mergeCell ref="B538:D538"/>
    <mergeCell ref="B355:D355"/>
    <mergeCell ref="B364:D364"/>
    <mergeCell ref="B394:D394"/>
    <mergeCell ref="B434:D434"/>
    <mergeCell ref="B458:D458"/>
    <mergeCell ref="B475:D475"/>
    <mergeCell ref="B338:D338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149:D149"/>
    <mergeCell ref="B250:D250"/>
    <mergeCell ref="B307:D307"/>
    <mergeCell ref="B322:D322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6-อาคารสนับนุน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185AD-4BF7-4ED7-A1E0-233D9F11CA4B}">
  <sheetPr>
    <tabColor rgb="FF92D050"/>
  </sheetPr>
  <dimension ref="A1:U466"/>
  <sheetViews>
    <sheetView tabSelected="1" view="pageBreakPreview" topLeftCell="A288" zoomScale="70" zoomScaleNormal="10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703125" style="1" customWidth="1"/>
    <col min="13" max="13" width="7.703125" style="731" customWidth="1"/>
    <col min="14" max="14" width="12.1171875" style="731" customWidth="1"/>
    <col min="15" max="15" width="7.703125" style="731" customWidth="1"/>
    <col min="16" max="96" width="7.703125" style="1" customWidth="1"/>
    <col min="97" max="16384" width="9" style="1"/>
  </cols>
  <sheetData>
    <row r="1" spans="1:15" ht="35.200000000000003" customHeight="1">
      <c r="A1" s="681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5" ht="25.15" customHeight="1">
      <c r="A2" s="683" t="s">
        <v>2</v>
      </c>
      <c r="B2" s="33"/>
      <c r="C2" s="34"/>
      <c r="D2" s="11" t="s">
        <v>938</v>
      </c>
      <c r="E2" s="34"/>
      <c r="F2" s="12"/>
      <c r="G2" s="12"/>
      <c r="H2" s="12"/>
      <c r="I2" s="12"/>
      <c r="J2" s="13"/>
      <c r="K2" s="12"/>
      <c r="L2" s="14"/>
    </row>
    <row r="3" spans="1:15" ht="25.15" customHeight="1">
      <c r="A3" s="685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5" ht="25.15" customHeight="1">
      <c r="A4" s="687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5" ht="25.15" customHeight="1">
      <c r="A5" s="685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5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5" ht="26.2" customHeight="1">
      <c r="A7" s="6" t="s">
        <v>26</v>
      </c>
      <c r="B7" s="20"/>
      <c r="C7" s="20"/>
      <c r="D7" s="21"/>
      <c r="E7" s="20"/>
      <c r="F7" s="689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5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</row>
    <row r="9" spans="1:15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362" t="s">
        <v>14</v>
      </c>
      <c r="L9" s="2482" t="s">
        <v>15</v>
      </c>
      <c r="M9" s="1092"/>
      <c r="N9" s="1092"/>
      <c r="O9" s="1092"/>
    </row>
    <row r="10" spans="1:15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364" t="s">
        <v>17</v>
      </c>
      <c r="I10" s="28" t="s">
        <v>16</v>
      </c>
      <c r="J10" s="2364" t="s">
        <v>17</v>
      </c>
      <c r="K10" s="2363" t="s">
        <v>18</v>
      </c>
      <c r="L10" s="2483"/>
      <c r="M10" s="1092"/>
      <c r="N10" s="1092"/>
      <c r="O10" s="1092"/>
    </row>
    <row r="11" spans="1:15" ht="24" customHeight="1">
      <c r="A11" s="2399" t="s">
        <v>25</v>
      </c>
      <c r="B11" s="691" t="s">
        <v>1554</v>
      </c>
      <c r="C11" s="692"/>
      <c r="D11" s="693"/>
      <c r="E11" s="694"/>
      <c r="F11" s="695"/>
      <c r="G11" s="696"/>
      <c r="H11" s="697"/>
      <c r="I11" s="698"/>
      <c r="J11" s="697"/>
      <c r="K11" s="998"/>
      <c r="L11" s="954"/>
    </row>
    <row r="12" spans="1:15" s="714" customFormat="1" ht="24" customHeight="1">
      <c r="A12" s="719">
        <f>A35</f>
        <v>3.1</v>
      </c>
      <c r="B12" s="754" t="str">
        <f>B35</f>
        <v>Distribution Board</v>
      </c>
      <c r="C12" s="717"/>
      <c r="D12" s="718"/>
      <c r="E12" s="708">
        <v>1</v>
      </c>
      <c r="F12" s="709" t="s">
        <v>19</v>
      </c>
      <c r="G12" s="710"/>
      <c r="H12" s="711">
        <f>H130</f>
        <v>447045</v>
      </c>
      <c r="I12" s="712"/>
      <c r="J12" s="711">
        <f>J130</f>
        <v>65100</v>
      </c>
      <c r="K12" s="711">
        <f>K130</f>
        <v>512145</v>
      </c>
      <c r="L12" s="753"/>
    </row>
    <row r="13" spans="1:15" s="714" customFormat="1" ht="24" customHeight="1">
      <c r="A13" s="719">
        <f>A131</f>
        <v>3.2</v>
      </c>
      <c r="B13" s="754" t="str">
        <f>B131</f>
        <v>Essential Distribution Board</v>
      </c>
      <c r="C13" s="717"/>
      <c r="D13" s="718"/>
      <c r="E13" s="708">
        <v>1</v>
      </c>
      <c r="F13" s="709" t="s">
        <v>19</v>
      </c>
      <c r="G13" s="710"/>
      <c r="H13" s="711">
        <f>H208</f>
        <v>212190</v>
      </c>
      <c r="I13" s="712"/>
      <c r="J13" s="711">
        <f>J208</f>
        <v>30060</v>
      </c>
      <c r="K13" s="711">
        <f>K208</f>
        <v>242250</v>
      </c>
      <c r="L13" s="753"/>
    </row>
    <row r="14" spans="1:15" s="714" customFormat="1" ht="24" customHeight="1">
      <c r="A14" s="719" t="str">
        <f>A209</f>
        <v>3.3</v>
      </c>
      <c r="B14" s="705" t="str">
        <f>B209</f>
        <v>แผงสวิทช์ย่อยและเซอร์กิต เบรคเกอร์ (Panelboard &amp; CB)</v>
      </c>
      <c r="C14" s="717"/>
      <c r="D14" s="718"/>
      <c r="E14" s="708">
        <v>1</v>
      </c>
      <c r="F14" s="709" t="s">
        <v>19</v>
      </c>
      <c r="G14" s="710"/>
      <c r="H14" s="711">
        <f>H239</f>
        <v>60194</v>
      </c>
      <c r="I14" s="712"/>
      <c r="J14" s="711">
        <f>J239</f>
        <v>8000</v>
      </c>
      <c r="K14" s="999">
        <f>K239</f>
        <v>68194</v>
      </c>
      <c r="L14" s="954"/>
      <c r="M14" s="1093"/>
      <c r="N14" s="1093"/>
      <c r="O14" s="1093"/>
    </row>
    <row r="15" spans="1:15" s="714" customFormat="1" ht="24" customHeight="1">
      <c r="A15" s="719">
        <f>A240</f>
        <v>3.4</v>
      </c>
      <c r="B15" s="705" t="str">
        <f>B240</f>
        <v>สายไฟฟ้า (Cable &amp; Wire)</v>
      </c>
      <c r="C15" s="717"/>
      <c r="D15" s="718"/>
      <c r="E15" s="708">
        <v>1</v>
      </c>
      <c r="F15" s="709" t="s">
        <v>19</v>
      </c>
      <c r="G15" s="710"/>
      <c r="H15" s="711">
        <f>H250</f>
        <v>121112</v>
      </c>
      <c r="I15" s="712"/>
      <c r="J15" s="711">
        <f>J250</f>
        <v>82455</v>
      </c>
      <c r="K15" s="999">
        <f>K250</f>
        <v>203567</v>
      </c>
      <c r="L15" s="954"/>
      <c r="M15" s="1093"/>
      <c r="N15" s="1093"/>
      <c r="O15" s="1093"/>
    </row>
    <row r="16" spans="1:15" s="714" customFormat="1" ht="24" customHeight="1">
      <c r="A16" s="719" t="str">
        <f>A251</f>
        <v>3.5</v>
      </c>
      <c r="B16" s="705" t="str">
        <f>B251</f>
        <v>รางเดินสายไฟฟ้า (Raceway)</v>
      </c>
      <c r="C16" s="717"/>
      <c r="D16" s="718"/>
      <c r="E16" s="708">
        <v>1</v>
      </c>
      <c r="F16" s="709" t="s">
        <v>19</v>
      </c>
      <c r="G16" s="710"/>
      <c r="H16" s="711">
        <f>H266</f>
        <v>103726</v>
      </c>
      <c r="I16" s="712"/>
      <c r="J16" s="711">
        <f>J266</f>
        <v>76978</v>
      </c>
      <c r="K16" s="999">
        <f>K266</f>
        <v>180704</v>
      </c>
      <c r="L16" s="954"/>
      <c r="M16" s="1093"/>
      <c r="N16" s="1093"/>
      <c r="O16" s="1093"/>
    </row>
    <row r="17" spans="1:15" s="714" customFormat="1" ht="24" customHeight="1">
      <c r="A17" s="719" t="str">
        <f>A267</f>
        <v>3.6</v>
      </c>
      <c r="B17" s="705" t="str">
        <f>B267</f>
        <v>สวิทช์และเต้ารับ (Switch &amp; Outlet)</v>
      </c>
      <c r="C17" s="717"/>
      <c r="D17" s="718"/>
      <c r="E17" s="708">
        <v>1</v>
      </c>
      <c r="F17" s="709" t="s">
        <v>19</v>
      </c>
      <c r="G17" s="710"/>
      <c r="H17" s="711">
        <f>H283</f>
        <v>48074</v>
      </c>
      <c r="I17" s="712"/>
      <c r="J17" s="711">
        <f>J283</f>
        <v>10100</v>
      </c>
      <c r="K17" s="999">
        <f>K283</f>
        <v>58174</v>
      </c>
      <c r="L17" s="954"/>
      <c r="M17" s="1093"/>
      <c r="N17" s="1093"/>
      <c r="O17" s="1093"/>
    </row>
    <row r="18" spans="1:15" s="714" customFormat="1" ht="24" customHeight="1">
      <c r="A18" s="704" t="str">
        <f>A284</f>
        <v>3.7</v>
      </c>
      <c r="B18" s="705" t="str">
        <f>B284</f>
        <v>ระบบควบคุมแสงสว่าง (Lighting Control System)</v>
      </c>
      <c r="C18" s="717"/>
      <c r="D18" s="718"/>
      <c r="E18" s="708">
        <v>1</v>
      </c>
      <c r="F18" s="709" t="s">
        <v>19</v>
      </c>
      <c r="G18" s="710"/>
      <c r="H18" s="711">
        <f>H292</f>
        <v>195560</v>
      </c>
      <c r="I18" s="712"/>
      <c r="J18" s="711">
        <f>J292</f>
        <v>9778</v>
      </c>
      <c r="K18" s="999">
        <f>K292</f>
        <v>205338</v>
      </c>
      <c r="L18" s="954"/>
      <c r="M18" s="1093"/>
      <c r="N18" s="1093"/>
      <c r="O18" s="1093"/>
    </row>
    <row r="19" spans="1:15" s="714" customFormat="1" ht="24" customHeight="1">
      <c r="A19" s="719" t="str">
        <f>A293</f>
        <v>3.8</v>
      </c>
      <c r="B19" s="705" t="str">
        <f>B293</f>
        <v>โคมไฟฟ้า (Luminaire)</v>
      </c>
      <c r="C19" s="717"/>
      <c r="D19" s="718"/>
      <c r="E19" s="708">
        <v>1</v>
      </c>
      <c r="F19" s="709" t="s">
        <v>19</v>
      </c>
      <c r="G19" s="710"/>
      <c r="H19" s="711">
        <f>H322</f>
        <v>532878</v>
      </c>
      <c r="I19" s="712"/>
      <c r="J19" s="711">
        <f>J322</f>
        <v>77310</v>
      </c>
      <c r="K19" s="999">
        <f>K322</f>
        <v>610188</v>
      </c>
      <c r="L19" s="954"/>
      <c r="M19" s="1093"/>
      <c r="N19" s="1093"/>
      <c r="O19" s="1093"/>
    </row>
    <row r="20" spans="1:15" s="714" customFormat="1" ht="24" customHeight="1">
      <c r="A20" s="719">
        <f>A323</f>
        <v>3.9</v>
      </c>
      <c r="B20" s="720" t="str">
        <f>B323</f>
        <v>ระบบสัญญาณแจ้งเหตุเพลิงไหม้ (Fire Alarm System)</v>
      </c>
      <c r="C20" s="717"/>
      <c r="D20" s="718"/>
      <c r="E20" s="708">
        <v>1</v>
      </c>
      <c r="F20" s="722" t="s">
        <v>19</v>
      </c>
      <c r="G20" s="723"/>
      <c r="H20" s="711">
        <f>H362</f>
        <v>956211</v>
      </c>
      <c r="I20" s="712"/>
      <c r="J20" s="711">
        <f>J362</f>
        <v>123706</v>
      </c>
      <c r="K20" s="999">
        <f>K362</f>
        <v>1079917</v>
      </c>
      <c r="L20" s="954"/>
      <c r="M20" s="1093"/>
      <c r="N20" s="1093"/>
      <c r="O20" s="1093"/>
    </row>
    <row r="21" spans="1:15" s="714" customFormat="1" ht="24" customHeight="1">
      <c r="A21" s="719" t="str">
        <f>A363</f>
        <v>3.10</v>
      </c>
      <c r="B21" s="720" t="str">
        <f>B363</f>
        <v>ระบบสายสื่อสารข้อมูล (Data Cabling System)</v>
      </c>
      <c r="C21" s="717"/>
      <c r="D21" s="718"/>
      <c r="E21" s="708">
        <v>1</v>
      </c>
      <c r="F21" s="722" t="s">
        <v>19</v>
      </c>
      <c r="G21" s="723"/>
      <c r="H21" s="711">
        <f>H385</f>
        <v>398790</v>
      </c>
      <c r="I21" s="712"/>
      <c r="J21" s="711">
        <f>J385</f>
        <v>166997</v>
      </c>
      <c r="K21" s="999">
        <f>K385</f>
        <v>565787</v>
      </c>
      <c r="L21" s="954"/>
      <c r="M21" s="1093"/>
      <c r="N21" s="1093"/>
      <c r="O21" s="1093"/>
    </row>
    <row r="22" spans="1:15" s="714" customFormat="1" ht="24" customHeight="1">
      <c r="A22" s="719" t="str">
        <f>A386</f>
        <v>3.11</v>
      </c>
      <c r="B22" s="720" t="str">
        <f>B386</f>
        <v>ระบบเสียงและประกาศเรียก (Public Address System)</v>
      </c>
      <c r="C22" s="717"/>
      <c r="D22" s="718"/>
      <c r="E22" s="708">
        <v>1</v>
      </c>
      <c r="F22" s="722" t="s">
        <v>19</v>
      </c>
      <c r="G22" s="723"/>
      <c r="H22" s="711">
        <f>H401</f>
        <v>389650</v>
      </c>
      <c r="I22" s="712"/>
      <c r="J22" s="711">
        <f>J401</f>
        <v>162061</v>
      </c>
      <c r="K22" s="999">
        <f>K401</f>
        <v>551711</v>
      </c>
      <c r="L22" s="954"/>
      <c r="M22" s="1093"/>
      <c r="N22" s="1093"/>
      <c r="O22" s="1093"/>
    </row>
    <row r="23" spans="1:15" s="714" customFormat="1" ht="24" customHeight="1">
      <c r="A23" s="719" t="str">
        <f>A402</f>
        <v>3.12</v>
      </c>
      <c r="B23" s="720" t="str">
        <f>B402</f>
        <v>ระบบควบคุมประตูอัตโนมัติ (Access Control System)</v>
      </c>
      <c r="C23" s="717"/>
      <c r="D23" s="718"/>
      <c r="E23" s="708">
        <v>1</v>
      </c>
      <c r="F23" s="722" t="s">
        <v>19</v>
      </c>
      <c r="G23" s="723"/>
      <c r="H23" s="711">
        <f>H423</f>
        <v>327919</v>
      </c>
      <c r="I23" s="712"/>
      <c r="J23" s="711">
        <f>J423</f>
        <v>20616</v>
      </c>
      <c r="K23" s="999">
        <f>K423</f>
        <v>348535</v>
      </c>
      <c r="L23" s="954"/>
      <c r="M23" s="1093"/>
      <c r="N23" s="1093"/>
      <c r="O23" s="1093"/>
    </row>
    <row r="24" spans="1:15" s="714" customFormat="1" ht="24" customHeight="1">
      <c r="A24" s="719" t="str">
        <f>A424</f>
        <v>3.13</v>
      </c>
      <c r="B24" s="754" t="str">
        <f>B424</f>
        <v>ระบบบริหารจัดการอาคาร (Building Management System : BMS)</v>
      </c>
      <c r="C24" s="717"/>
      <c r="D24" s="718"/>
      <c r="E24" s="708">
        <v>1</v>
      </c>
      <c r="F24" s="722" t="s">
        <v>19</v>
      </c>
      <c r="G24" s="723"/>
      <c r="H24" s="711">
        <f>H451</f>
        <v>619316</v>
      </c>
      <c r="I24" s="712"/>
      <c r="J24" s="711">
        <f>J451</f>
        <v>63174</v>
      </c>
      <c r="K24" s="999">
        <f>K451</f>
        <v>682490</v>
      </c>
      <c r="L24" s="954"/>
      <c r="M24" s="1093"/>
      <c r="N24" s="1093"/>
      <c r="O24" s="1093"/>
    </row>
    <row r="25" spans="1:15" s="714" customFormat="1" ht="24" customHeight="1">
      <c r="A25" s="719" t="str">
        <f>A452</f>
        <v>3.14</v>
      </c>
      <c r="B25" s="754" t="str">
        <f>B452</f>
        <v>ระบบแจ้งเหตุฉุกเฉิน (Panic Alarm System)</v>
      </c>
      <c r="C25" s="717"/>
      <c r="D25" s="718"/>
      <c r="E25" s="708">
        <v>1</v>
      </c>
      <c r="F25" s="722" t="s">
        <v>19</v>
      </c>
      <c r="G25" s="723"/>
      <c r="H25" s="711">
        <f>H466</f>
        <v>60040</v>
      </c>
      <c r="I25" s="712"/>
      <c r="J25" s="711">
        <f>J466</f>
        <v>22388</v>
      </c>
      <c r="K25" s="999">
        <f>K466</f>
        <v>82428</v>
      </c>
      <c r="L25" s="954"/>
      <c r="M25" s="1093"/>
      <c r="N25" s="1093"/>
      <c r="O25" s="1093"/>
    </row>
    <row r="26" spans="1:15" s="714" customFormat="1" ht="24" customHeight="1">
      <c r="A26" s="719"/>
      <c r="B26" s="720"/>
      <c r="C26" s="717"/>
      <c r="D26" s="718"/>
      <c r="E26" s="721"/>
      <c r="F26" s="722"/>
      <c r="G26" s="723"/>
      <c r="H26" s="711"/>
      <c r="I26" s="712"/>
      <c r="J26" s="711"/>
      <c r="K26" s="999"/>
      <c r="L26" s="954"/>
      <c r="M26" s="1093"/>
      <c r="N26" s="1093"/>
      <c r="O26" s="1093"/>
    </row>
    <row r="27" spans="1:15" s="714" customFormat="1" ht="24" customHeight="1">
      <c r="A27" s="719"/>
      <c r="B27" s="720"/>
      <c r="C27" s="717"/>
      <c r="D27" s="718"/>
      <c r="E27" s="721"/>
      <c r="F27" s="722"/>
      <c r="G27" s="723"/>
      <c r="H27" s="711"/>
      <c r="I27" s="712"/>
      <c r="J27" s="711"/>
      <c r="K27" s="999"/>
      <c r="L27" s="954"/>
      <c r="M27" s="1093"/>
      <c r="N27" s="1093"/>
      <c r="O27" s="1093"/>
    </row>
    <row r="28" spans="1:15" s="714" customFormat="1" ht="24" customHeight="1">
      <c r="A28" s="719"/>
      <c r="B28" s="720"/>
      <c r="C28" s="717"/>
      <c r="D28" s="718"/>
      <c r="E28" s="721"/>
      <c r="F28" s="722"/>
      <c r="G28" s="723"/>
      <c r="H28" s="711"/>
      <c r="I28" s="712"/>
      <c r="J28" s="711"/>
      <c r="K28" s="999"/>
      <c r="L28" s="954"/>
      <c r="M28" s="1093"/>
      <c r="N28" s="1093"/>
      <c r="O28" s="1093"/>
    </row>
    <row r="29" spans="1:15" s="714" customFormat="1" ht="24" customHeight="1">
      <c r="A29" s="719"/>
      <c r="B29" s="955"/>
      <c r="C29" s="717"/>
      <c r="D29" s="718"/>
      <c r="E29" s="721"/>
      <c r="F29" s="722"/>
      <c r="G29" s="710"/>
      <c r="H29" s="711"/>
      <c r="I29" s="956"/>
      <c r="J29" s="957"/>
      <c r="K29" s="1005"/>
      <c r="L29" s="954"/>
      <c r="M29" s="1093"/>
      <c r="N29" s="1093"/>
      <c r="O29" s="1093"/>
    </row>
    <row r="30" spans="1:15" s="714" customFormat="1" ht="24" customHeight="1">
      <c r="A30" s="719"/>
      <c r="B30" s="955"/>
      <c r="C30" s="717"/>
      <c r="D30" s="718"/>
      <c r="E30" s="721"/>
      <c r="F30" s="722"/>
      <c r="G30" s="710"/>
      <c r="H30" s="711"/>
      <c r="I30" s="956"/>
      <c r="J30" s="957"/>
      <c r="K30" s="1005"/>
      <c r="L30" s="954"/>
      <c r="M30" s="1093"/>
      <c r="N30" s="1093"/>
      <c r="O30" s="1093"/>
    </row>
    <row r="31" spans="1:15" s="714" customFormat="1" ht="24" customHeight="1">
      <c r="A31" s="719"/>
      <c r="B31" s="955"/>
      <c r="C31" s="717"/>
      <c r="D31" s="718"/>
      <c r="E31" s="721"/>
      <c r="F31" s="722"/>
      <c r="G31" s="710"/>
      <c r="H31" s="711"/>
      <c r="I31" s="956"/>
      <c r="J31" s="957"/>
      <c r="K31" s="1005"/>
      <c r="L31" s="954"/>
      <c r="M31" s="1093"/>
      <c r="N31" s="1093"/>
      <c r="O31" s="1093"/>
    </row>
    <row r="32" spans="1:15" s="714" customFormat="1" ht="24" customHeight="1">
      <c r="A32" s="719"/>
      <c r="B32" s="955"/>
      <c r="C32" s="717"/>
      <c r="D32" s="718"/>
      <c r="E32" s="721"/>
      <c r="F32" s="722"/>
      <c r="G32" s="710"/>
      <c r="H32" s="711"/>
      <c r="I32" s="956"/>
      <c r="J32" s="957"/>
      <c r="K32" s="1005"/>
      <c r="L32" s="954"/>
      <c r="M32" s="1093"/>
      <c r="N32" s="1093"/>
      <c r="O32" s="1093"/>
    </row>
    <row r="33" spans="1:18" s="714" customFormat="1" ht="24" customHeight="1">
      <c r="A33" s="719"/>
      <c r="B33" s="955"/>
      <c r="C33" s="717"/>
      <c r="D33" s="718"/>
      <c r="E33" s="721"/>
      <c r="F33" s="722"/>
      <c r="G33" s="710"/>
      <c r="H33" s="711"/>
      <c r="I33" s="956"/>
      <c r="J33" s="957"/>
      <c r="K33" s="1005"/>
      <c r="L33" s="954"/>
      <c r="M33" s="1093"/>
      <c r="N33" s="1093"/>
      <c r="O33" s="1093"/>
    </row>
    <row r="34" spans="1:18" s="714" customFormat="1" ht="24" customHeight="1">
      <c r="A34" s="775"/>
      <c r="B34" s="2475" t="str">
        <f>"รวมราคา"&amp;B11</f>
        <v>รวมราคางานระบบไฟฟ้าและสื่อสาร ชั้น 7</v>
      </c>
      <c r="C34" s="2476"/>
      <c r="D34" s="2477"/>
      <c r="E34" s="776"/>
      <c r="F34" s="777"/>
      <c r="G34" s="959"/>
      <c r="H34" s="960">
        <f>SUM(H11:H33)</f>
        <v>4472705</v>
      </c>
      <c r="I34" s="959"/>
      <c r="J34" s="960">
        <f>SUM(J11:J33)</f>
        <v>918723</v>
      </c>
      <c r="K34" s="960">
        <f>SUM(K11:K33)</f>
        <v>5391428</v>
      </c>
      <c r="L34" s="1006"/>
      <c r="M34" s="1094"/>
      <c r="N34" s="1094"/>
      <c r="O34" s="1094"/>
      <c r="P34" s="729"/>
      <c r="Q34" s="729"/>
      <c r="R34" s="729"/>
    </row>
    <row r="35" spans="1:18" s="714" customFormat="1" ht="24" customHeight="1">
      <c r="A35" s="815">
        <v>3.1</v>
      </c>
      <c r="B35" s="816" t="s">
        <v>1050</v>
      </c>
      <c r="C35" s="859"/>
      <c r="D35" s="859"/>
      <c r="E35" s="851"/>
      <c r="F35" s="852"/>
      <c r="G35" s="853"/>
      <c r="H35" s="854"/>
      <c r="I35" s="855"/>
      <c r="J35" s="854"/>
      <c r="K35" s="855"/>
      <c r="L35" s="826"/>
    </row>
    <row r="36" spans="1:18" s="884" customFormat="1" ht="24" customHeight="1">
      <c r="A36" s="878" t="s">
        <v>941</v>
      </c>
      <c r="B36" s="879" t="s">
        <v>1083</v>
      </c>
      <c r="C36" s="880"/>
      <c r="D36" s="880"/>
      <c r="E36" s="881"/>
      <c r="F36" s="794"/>
      <c r="G36" s="795"/>
      <c r="H36" s="796"/>
      <c r="I36" s="797"/>
      <c r="J36" s="796"/>
      <c r="K36" s="797"/>
      <c r="L36" s="883"/>
    </row>
    <row r="37" spans="1:18" s="884" customFormat="1" ht="24" customHeight="1">
      <c r="A37" s="831" t="s">
        <v>943</v>
      </c>
      <c r="B37" s="720" t="s">
        <v>1053</v>
      </c>
      <c r="C37" s="792"/>
      <c r="D37" s="792"/>
      <c r="E37" s="793"/>
      <c r="F37" s="794"/>
      <c r="G37" s="795"/>
      <c r="H37" s="796"/>
      <c r="I37" s="797"/>
      <c r="J37" s="796"/>
      <c r="K37" s="797"/>
      <c r="L37" s="883"/>
    </row>
    <row r="38" spans="1:18" s="884" customFormat="1" ht="24" customHeight="1">
      <c r="A38" s="831"/>
      <c r="B38" s="720" t="s">
        <v>1054</v>
      </c>
      <c r="C38" s="792"/>
      <c r="D38" s="792"/>
      <c r="E38" s="793"/>
      <c r="F38" s="722" t="s">
        <v>240</v>
      </c>
      <c r="G38" s="795">
        <v>2400</v>
      </c>
      <c r="H38" s="796">
        <f t="shared" ref="H38:H53" si="0">ROUND(G38*E38,)</f>
        <v>0</v>
      </c>
      <c r="I38" s="797"/>
      <c r="J38" s="796"/>
      <c r="K38" s="799">
        <f t="shared" ref="K38:K53" si="1">H38+J38</f>
        <v>0</v>
      </c>
      <c r="L38" s="883"/>
    </row>
    <row r="39" spans="1:18" s="884" customFormat="1" ht="24" customHeight="1">
      <c r="A39" s="831"/>
      <c r="B39" s="720" t="s">
        <v>1055</v>
      </c>
      <c r="C39" s="792"/>
      <c r="D39" s="792"/>
      <c r="E39" s="793"/>
      <c r="F39" s="722" t="s">
        <v>240</v>
      </c>
      <c r="G39" s="795">
        <v>2400</v>
      </c>
      <c r="H39" s="796">
        <f t="shared" si="0"/>
        <v>0</v>
      </c>
      <c r="I39" s="797"/>
      <c r="J39" s="796"/>
      <c r="K39" s="799">
        <f t="shared" si="1"/>
        <v>0</v>
      </c>
      <c r="L39" s="883"/>
    </row>
    <row r="40" spans="1:18" s="884" customFormat="1" ht="24" customHeight="1">
      <c r="A40" s="831"/>
      <c r="B40" s="720" t="s">
        <v>1056</v>
      </c>
      <c r="C40" s="792"/>
      <c r="D40" s="792"/>
      <c r="E40" s="793">
        <v>2</v>
      </c>
      <c r="F40" s="722" t="s">
        <v>240</v>
      </c>
      <c r="G40" s="795">
        <v>2400</v>
      </c>
      <c r="H40" s="796">
        <f t="shared" si="0"/>
        <v>4800</v>
      </c>
      <c r="I40" s="797"/>
      <c r="J40" s="796"/>
      <c r="K40" s="799">
        <f t="shared" si="1"/>
        <v>4800</v>
      </c>
      <c r="L40" s="883"/>
    </row>
    <row r="41" spans="1:18" s="884" customFormat="1" ht="24" customHeight="1">
      <c r="A41" s="831"/>
      <c r="B41" s="720" t="s">
        <v>1057</v>
      </c>
      <c r="C41" s="792"/>
      <c r="D41" s="792"/>
      <c r="E41" s="793"/>
      <c r="F41" s="722" t="s">
        <v>240</v>
      </c>
      <c r="G41" s="795">
        <v>2400</v>
      </c>
      <c r="H41" s="796">
        <f t="shared" si="0"/>
        <v>0</v>
      </c>
      <c r="I41" s="797"/>
      <c r="J41" s="796"/>
      <c r="K41" s="799">
        <f t="shared" si="1"/>
        <v>0</v>
      </c>
      <c r="L41" s="883"/>
    </row>
    <row r="42" spans="1:18" s="884" customFormat="1" ht="24" customHeight="1">
      <c r="A42" s="831"/>
      <c r="B42" s="720" t="s">
        <v>1058</v>
      </c>
      <c r="C42" s="792"/>
      <c r="D42" s="792"/>
      <c r="E42" s="793"/>
      <c r="F42" s="722" t="s">
        <v>240</v>
      </c>
      <c r="G42" s="795">
        <v>2400</v>
      </c>
      <c r="H42" s="796">
        <f t="shared" si="0"/>
        <v>0</v>
      </c>
      <c r="I42" s="797"/>
      <c r="J42" s="796"/>
      <c r="K42" s="799">
        <f t="shared" si="1"/>
        <v>0</v>
      </c>
      <c r="L42" s="883"/>
    </row>
    <row r="43" spans="1:18" s="884" customFormat="1" ht="24" customHeight="1">
      <c r="A43" s="831"/>
      <c r="B43" s="720" t="s">
        <v>1059</v>
      </c>
      <c r="C43" s="792"/>
      <c r="D43" s="792"/>
      <c r="E43" s="793"/>
      <c r="F43" s="722" t="s">
        <v>240</v>
      </c>
      <c r="G43" s="795">
        <v>2600</v>
      </c>
      <c r="H43" s="796">
        <f t="shared" si="0"/>
        <v>0</v>
      </c>
      <c r="I43" s="797"/>
      <c r="J43" s="796"/>
      <c r="K43" s="799">
        <f t="shared" si="1"/>
        <v>0</v>
      </c>
      <c r="L43" s="883"/>
    </row>
    <row r="44" spans="1:18" s="884" customFormat="1" ht="24" customHeight="1">
      <c r="A44" s="831"/>
      <c r="B44" s="720" t="s">
        <v>1060</v>
      </c>
      <c r="C44" s="792"/>
      <c r="D44" s="792"/>
      <c r="E44" s="793"/>
      <c r="F44" s="722" t="s">
        <v>240</v>
      </c>
      <c r="G44" s="795">
        <v>3000</v>
      </c>
      <c r="H44" s="796">
        <f t="shared" si="0"/>
        <v>0</v>
      </c>
      <c r="I44" s="797"/>
      <c r="J44" s="796"/>
      <c r="K44" s="799">
        <f t="shared" si="1"/>
        <v>0</v>
      </c>
      <c r="L44" s="883"/>
    </row>
    <row r="45" spans="1:18" s="884" customFormat="1" ht="24" customHeight="1">
      <c r="A45" s="831"/>
      <c r="B45" s="720" t="s">
        <v>1061</v>
      </c>
      <c r="C45" s="792"/>
      <c r="D45" s="792"/>
      <c r="E45" s="793"/>
      <c r="F45" s="722" t="s">
        <v>240</v>
      </c>
      <c r="G45" s="795">
        <v>8600</v>
      </c>
      <c r="H45" s="796">
        <f t="shared" si="0"/>
        <v>0</v>
      </c>
      <c r="I45" s="797"/>
      <c r="J45" s="796"/>
      <c r="K45" s="799">
        <f t="shared" si="1"/>
        <v>0</v>
      </c>
      <c r="L45" s="883"/>
    </row>
    <row r="46" spans="1:18" s="884" customFormat="1" ht="24" customHeight="1">
      <c r="A46" s="831"/>
      <c r="B46" s="720" t="s">
        <v>1062</v>
      </c>
      <c r="C46" s="792"/>
      <c r="D46" s="792"/>
      <c r="E46" s="793"/>
      <c r="F46" s="722" t="s">
        <v>240</v>
      </c>
      <c r="G46" s="795">
        <v>8600</v>
      </c>
      <c r="H46" s="796">
        <f t="shared" si="0"/>
        <v>0</v>
      </c>
      <c r="I46" s="797"/>
      <c r="J46" s="796"/>
      <c r="K46" s="799">
        <f t="shared" si="1"/>
        <v>0</v>
      </c>
      <c r="L46" s="883"/>
    </row>
    <row r="47" spans="1:18" s="884" customFormat="1" ht="24" customHeight="1">
      <c r="A47" s="831"/>
      <c r="B47" s="720" t="s">
        <v>1063</v>
      </c>
      <c r="C47" s="792"/>
      <c r="D47" s="792"/>
      <c r="E47" s="793"/>
      <c r="F47" s="722" t="s">
        <v>240</v>
      </c>
      <c r="G47" s="795">
        <v>8600</v>
      </c>
      <c r="H47" s="796">
        <f t="shared" si="0"/>
        <v>0</v>
      </c>
      <c r="I47" s="797"/>
      <c r="J47" s="796"/>
      <c r="K47" s="799">
        <f t="shared" si="1"/>
        <v>0</v>
      </c>
      <c r="L47" s="883"/>
    </row>
    <row r="48" spans="1:18" s="884" customFormat="1" ht="24" customHeight="1">
      <c r="A48" s="831" t="s">
        <v>3088</v>
      </c>
      <c r="B48" s="720" t="s">
        <v>1001</v>
      </c>
      <c r="C48" s="792"/>
      <c r="D48" s="792"/>
      <c r="E48" s="793"/>
      <c r="F48" s="794"/>
      <c r="G48" s="795"/>
      <c r="H48" s="796">
        <f t="shared" si="0"/>
        <v>0</v>
      </c>
      <c r="I48" s="797"/>
      <c r="J48" s="796"/>
      <c r="K48" s="799">
        <f t="shared" si="1"/>
        <v>0</v>
      </c>
      <c r="L48" s="883"/>
    </row>
    <row r="49" spans="1:12" s="884" customFormat="1" ht="24" customHeight="1">
      <c r="A49" s="831"/>
      <c r="B49" s="720" t="s">
        <v>1073</v>
      </c>
      <c r="C49" s="792"/>
      <c r="D49" s="792"/>
      <c r="E49" s="793">
        <v>3</v>
      </c>
      <c r="F49" s="722" t="s">
        <v>240</v>
      </c>
      <c r="G49" s="795">
        <v>600</v>
      </c>
      <c r="H49" s="796">
        <f t="shared" si="0"/>
        <v>1800</v>
      </c>
      <c r="I49" s="797"/>
      <c r="J49" s="796"/>
      <c r="K49" s="799">
        <f t="shared" si="1"/>
        <v>1800</v>
      </c>
      <c r="L49" s="883"/>
    </row>
    <row r="50" spans="1:12" s="884" customFormat="1" ht="24" customHeight="1">
      <c r="A50" s="831"/>
      <c r="B50" s="720" t="s">
        <v>1003</v>
      </c>
      <c r="C50" s="792"/>
      <c r="D50" s="792"/>
      <c r="E50" s="793">
        <v>3</v>
      </c>
      <c r="F50" s="722" t="s">
        <v>240</v>
      </c>
      <c r="G50" s="795">
        <v>120</v>
      </c>
      <c r="H50" s="796">
        <f t="shared" si="0"/>
        <v>360</v>
      </c>
      <c r="I50" s="797"/>
      <c r="J50" s="796"/>
      <c r="K50" s="799">
        <f t="shared" si="1"/>
        <v>360</v>
      </c>
      <c r="L50" s="883"/>
    </row>
    <row r="51" spans="1:12" s="884" customFormat="1" ht="24" customHeight="1">
      <c r="A51" s="831"/>
      <c r="B51" s="720" t="s">
        <v>1004</v>
      </c>
      <c r="C51" s="792"/>
      <c r="D51" s="792"/>
      <c r="E51" s="793">
        <v>3</v>
      </c>
      <c r="F51" s="722" t="s">
        <v>240</v>
      </c>
      <c r="G51" s="795">
        <v>100</v>
      </c>
      <c r="H51" s="796">
        <f t="shared" si="0"/>
        <v>300</v>
      </c>
      <c r="I51" s="797"/>
      <c r="J51" s="796"/>
      <c r="K51" s="799">
        <f t="shared" si="1"/>
        <v>300</v>
      </c>
      <c r="L51" s="883"/>
    </row>
    <row r="52" spans="1:12" s="884" customFormat="1" ht="24" customHeight="1">
      <c r="A52" s="831"/>
      <c r="B52" s="720" t="s">
        <v>1065</v>
      </c>
      <c r="C52" s="792"/>
      <c r="D52" s="792"/>
      <c r="E52" s="793">
        <v>4</v>
      </c>
      <c r="F52" s="722" t="s">
        <v>240</v>
      </c>
      <c r="G52" s="795">
        <v>15435</v>
      </c>
      <c r="H52" s="796">
        <f t="shared" si="0"/>
        <v>61740</v>
      </c>
      <c r="I52" s="797"/>
      <c r="J52" s="796"/>
      <c r="K52" s="799">
        <f t="shared" si="1"/>
        <v>61740</v>
      </c>
      <c r="L52" s="883"/>
    </row>
    <row r="53" spans="1:12" s="884" customFormat="1" ht="24" customHeight="1">
      <c r="A53" s="831" t="s">
        <v>3089</v>
      </c>
      <c r="B53" s="720" t="s">
        <v>1066</v>
      </c>
      <c r="C53" s="792"/>
      <c r="D53" s="792"/>
      <c r="E53" s="793">
        <v>1</v>
      </c>
      <c r="F53" s="722" t="s">
        <v>948</v>
      </c>
      <c r="G53" s="795">
        <v>43400</v>
      </c>
      <c r="H53" s="796">
        <f t="shared" si="0"/>
        <v>43400</v>
      </c>
      <c r="I53" s="797">
        <f>G53*0.3</f>
        <v>13020</v>
      </c>
      <c r="J53" s="796">
        <f>ROUND(E53*I53,)</f>
        <v>13020</v>
      </c>
      <c r="K53" s="799">
        <f t="shared" si="1"/>
        <v>56420</v>
      </c>
      <c r="L53" s="883"/>
    </row>
    <row r="54" spans="1:12" s="884" customFormat="1" ht="24" customHeight="1">
      <c r="A54" s="878" t="s">
        <v>1394</v>
      </c>
      <c r="B54" s="879" t="s">
        <v>1084</v>
      </c>
      <c r="C54" s="880"/>
      <c r="D54" s="880"/>
      <c r="E54" s="881"/>
      <c r="F54" s="794"/>
      <c r="G54" s="795"/>
      <c r="H54" s="796"/>
      <c r="I54" s="797"/>
      <c r="J54" s="796"/>
      <c r="K54" s="797"/>
      <c r="L54" s="887"/>
    </row>
    <row r="55" spans="1:12" s="884" customFormat="1" ht="24" customHeight="1">
      <c r="A55" s="831" t="s">
        <v>3090</v>
      </c>
      <c r="B55" s="720" t="s">
        <v>1053</v>
      </c>
      <c r="C55" s="792"/>
      <c r="D55" s="792"/>
      <c r="E55" s="793"/>
      <c r="F55" s="794"/>
      <c r="G55" s="795"/>
      <c r="H55" s="796"/>
      <c r="I55" s="797"/>
      <c r="J55" s="796"/>
      <c r="K55" s="797"/>
      <c r="L55" s="887"/>
    </row>
    <row r="56" spans="1:12" s="884" customFormat="1" ht="24" customHeight="1">
      <c r="A56" s="831"/>
      <c r="B56" s="720" t="s">
        <v>1054</v>
      </c>
      <c r="C56" s="792"/>
      <c r="D56" s="792"/>
      <c r="E56" s="793"/>
      <c r="F56" s="722" t="s">
        <v>240</v>
      </c>
      <c r="G56" s="795">
        <v>2400</v>
      </c>
      <c r="H56" s="796">
        <f t="shared" ref="H56:H71" si="2">ROUND(G56*E56,)</f>
        <v>0</v>
      </c>
      <c r="I56" s="797"/>
      <c r="J56" s="796"/>
      <c r="K56" s="799">
        <f t="shared" ref="K56:K71" si="3">H56+J56</f>
        <v>0</v>
      </c>
      <c r="L56" s="883"/>
    </row>
    <row r="57" spans="1:12" s="884" customFormat="1" ht="24" customHeight="1">
      <c r="A57" s="831"/>
      <c r="B57" s="720" t="s">
        <v>1055</v>
      </c>
      <c r="C57" s="792"/>
      <c r="D57" s="792"/>
      <c r="E57" s="793"/>
      <c r="F57" s="722" t="s">
        <v>240</v>
      </c>
      <c r="G57" s="795">
        <v>2400</v>
      </c>
      <c r="H57" s="796">
        <f t="shared" si="2"/>
        <v>0</v>
      </c>
      <c r="I57" s="797"/>
      <c r="J57" s="796"/>
      <c r="K57" s="799">
        <f t="shared" si="3"/>
        <v>0</v>
      </c>
      <c r="L57" s="883"/>
    </row>
    <row r="58" spans="1:12" s="884" customFormat="1" ht="24" customHeight="1">
      <c r="A58" s="831"/>
      <c r="B58" s="720" t="s">
        <v>1056</v>
      </c>
      <c r="C58" s="792"/>
      <c r="D58" s="792"/>
      <c r="E58" s="793">
        <v>1</v>
      </c>
      <c r="F58" s="722" t="s">
        <v>240</v>
      </c>
      <c r="G58" s="795">
        <v>2400</v>
      </c>
      <c r="H58" s="796">
        <f t="shared" si="2"/>
        <v>2400</v>
      </c>
      <c r="I58" s="797"/>
      <c r="J58" s="796"/>
      <c r="K58" s="799">
        <f t="shared" si="3"/>
        <v>2400</v>
      </c>
      <c r="L58" s="883"/>
    </row>
    <row r="59" spans="1:12" s="884" customFormat="1" ht="24" customHeight="1">
      <c r="A59" s="831"/>
      <c r="B59" s="720" t="s">
        <v>1057</v>
      </c>
      <c r="C59" s="792"/>
      <c r="D59" s="792"/>
      <c r="E59" s="793">
        <v>2</v>
      </c>
      <c r="F59" s="722" t="s">
        <v>240</v>
      </c>
      <c r="G59" s="795">
        <v>2400</v>
      </c>
      <c r="H59" s="796">
        <f t="shared" si="2"/>
        <v>4800</v>
      </c>
      <c r="I59" s="797"/>
      <c r="J59" s="796"/>
      <c r="K59" s="799">
        <f t="shared" si="3"/>
        <v>4800</v>
      </c>
      <c r="L59" s="883"/>
    </row>
    <row r="60" spans="1:12" s="884" customFormat="1" ht="24" customHeight="1">
      <c r="A60" s="831"/>
      <c r="B60" s="720" t="s">
        <v>1058</v>
      </c>
      <c r="C60" s="792"/>
      <c r="D60" s="792"/>
      <c r="E60" s="793"/>
      <c r="F60" s="722" t="s">
        <v>240</v>
      </c>
      <c r="G60" s="795">
        <v>2400</v>
      </c>
      <c r="H60" s="796">
        <f t="shared" si="2"/>
        <v>0</v>
      </c>
      <c r="I60" s="797"/>
      <c r="J60" s="796"/>
      <c r="K60" s="799">
        <f t="shared" si="3"/>
        <v>0</v>
      </c>
      <c r="L60" s="883"/>
    </row>
    <row r="61" spans="1:12" s="884" customFormat="1" ht="24" customHeight="1">
      <c r="A61" s="831"/>
      <c r="B61" s="720" t="s">
        <v>1059</v>
      </c>
      <c r="C61" s="792"/>
      <c r="D61" s="792"/>
      <c r="E61" s="793"/>
      <c r="F61" s="722" t="s">
        <v>240</v>
      </c>
      <c r="G61" s="795">
        <v>2600</v>
      </c>
      <c r="H61" s="796">
        <f t="shared" si="2"/>
        <v>0</v>
      </c>
      <c r="I61" s="797"/>
      <c r="J61" s="796"/>
      <c r="K61" s="799">
        <f t="shared" si="3"/>
        <v>0</v>
      </c>
      <c r="L61" s="883"/>
    </row>
    <row r="62" spans="1:12" s="884" customFormat="1" ht="24" customHeight="1">
      <c r="A62" s="831"/>
      <c r="B62" s="720" t="s">
        <v>1060</v>
      </c>
      <c r="C62" s="792"/>
      <c r="D62" s="792"/>
      <c r="E62" s="793"/>
      <c r="F62" s="722" t="s">
        <v>240</v>
      </c>
      <c r="G62" s="795">
        <v>3000</v>
      </c>
      <c r="H62" s="796">
        <f t="shared" si="2"/>
        <v>0</v>
      </c>
      <c r="I62" s="797"/>
      <c r="J62" s="796"/>
      <c r="K62" s="799">
        <f t="shared" si="3"/>
        <v>0</v>
      </c>
      <c r="L62" s="883"/>
    </row>
    <row r="63" spans="1:12" s="884" customFormat="1" ht="24" customHeight="1">
      <c r="A63" s="831"/>
      <c r="B63" s="720" t="s">
        <v>1061</v>
      </c>
      <c r="C63" s="792"/>
      <c r="D63" s="792"/>
      <c r="E63" s="793">
        <v>1</v>
      </c>
      <c r="F63" s="722" t="s">
        <v>240</v>
      </c>
      <c r="G63" s="795">
        <v>8600</v>
      </c>
      <c r="H63" s="796">
        <f t="shared" si="2"/>
        <v>8600</v>
      </c>
      <c r="I63" s="797"/>
      <c r="J63" s="796"/>
      <c r="K63" s="799">
        <f t="shared" si="3"/>
        <v>8600</v>
      </c>
      <c r="L63" s="883"/>
    </row>
    <row r="64" spans="1:12" s="884" customFormat="1" ht="24" customHeight="1">
      <c r="A64" s="831"/>
      <c r="B64" s="720" t="s">
        <v>1062</v>
      </c>
      <c r="C64" s="792"/>
      <c r="D64" s="792"/>
      <c r="E64" s="793"/>
      <c r="F64" s="722" t="s">
        <v>240</v>
      </c>
      <c r="G64" s="795">
        <v>8600</v>
      </c>
      <c r="H64" s="796">
        <f t="shared" si="2"/>
        <v>0</v>
      </c>
      <c r="I64" s="797"/>
      <c r="J64" s="796"/>
      <c r="K64" s="799">
        <f t="shared" si="3"/>
        <v>0</v>
      </c>
      <c r="L64" s="883"/>
    </row>
    <row r="65" spans="1:12" s="884" customFormat="1" ht="24" customHeight="1">
      <c r="A65" s="831"/>
      <c r="B65" s="720" t="s">
        <v>1063</v>
      </c>
      <c r="C65" s="792"/>
      <c r="D65" s="792"/>
      <c r="E65" s="793"/>
      <c r="F65" s="722" t="s">
        <v>240</v>
      </c>
      <c r="G65" s="795">
        <v>8600</v>
      </c>
      <c r="H65" s="796">
        <f t="shared" si="2"/>
        <v>0</v>
      </c>
      <c r="I65" s="797"/>
      <c r="J65" s="796"/>
      <c r="K65" s="799">
        <f t="shared" si="3"/>
        <v>0</v>
      </c>
      <c r="L65" s="883"/>
    </row>
    <row r="66" spans="1:12" s="884" customFormat="1" ht="24" customHeight="1">
      <c r="A66" s="831" t="s">
        <v>3091</v>
      </c>
      <c r="B66" s="720" t="s">
        <v>1001</v>
      </c>
      <c r="C66" s="792"/>
      <c r="D66" s="792"/>
      <c r="E66" s="793"/>
      <c r="F66" s="794"/>
      <c r="G66" s="795"/>
      <c r="H66" s="796">
        <f t="shared" si="2"/>
        <v>0</v>
      </c>
      <c r="I66" s="797"/>
      <c r="J66" s="796"/>
      <c r="K66" s="799">
        <f t="shared" si="3"/>
        <v>0</v>
      </c>
      <c r="L66" s="883"/>
    </row>
    <row r="67" spans="1:12" s="884" customFormat="1" ht="24" customHeight="1">
      <c r="A67" s="831"/>
      <c r="B67" s="720" t="s">
        <v>1073</v>
      </c>
      <c r="C67" s="792"/>
      <c r="D67" s="792"/>
      <c r="E67" s="793">
        <v>3</v>
      </c>
      <c r="F67" s="722" t="s">
        <v>240</v>
      </c>
      <c r="G67" s="795">
        <v>600</v>
      </c>
      <c r="H67" s="796">
        <f t="shared" si="2"/>
        <v>1800</v>
      </c>
      <c r="I67" s="797"/>
      <c r="J67" s="796"/>
      <c r="K67" s="799">
        <f t="shared" si="3"/>
        <v>1800</v>
      </c>
      <c r="L67" s="887"/>
    </row>
    <row r="68" spans="1:12" s="884" customFormat="1" ht="24" customHeight="1">
      <c r="A68" s="831"/>
      <c r="B68" s="720" t="s">
        <v>1003</v>
      </c>
      <c r="C68" s="792"/>
      <c r="D68" s="792"/>
      <c r="E68" s="793">
        <v>3</v>
      </c>
      <c r="F68" s="722" t="s">
        <v>240</v>
      </c>
      <c r="G68" s="795">
        <v>120</v>
      </c>
      <c r="H68" s="796">
        <f t="shared" si="2"/>
        <v>360</v>
      </c>
      <c r="I68" s="797"/>
      <c r="J68" s="796"/>
      <c r="K68" s="799">
        <f t="shared" si="3"/>
        <v>360</v>
      </c>
      <c r="L68" s="887"/>
    </row>
    <row r="69" spans="1:12" s="884" customFormat="1" ht="24" customHeight="1">
      <c r="A69" s="831"/>
      <c r="B69" s="720" t="s">
        <v>1004</v>
      </c>
      <c r="C69" s="792"/>
      <c r="D69" s="792"/>
      <c r="E69" s="793">
        <v>3</v>
      </c>
      <c r="F69" s="722" t="s">
        <v>240</v>
      </c>
      <c r="G69" s="795">
        <v>100</v>
      </c>
      <c r="H69" s="796">
        <f t="shared" si="2"/>
        <v>300</v>
      </c>
      <c r="I69" s="797"/>
      <c r="J69" s="796"/>
      <c r="K69" s="799">
        <f t="shared" si="3"/>
        <v>300</v>
      </c>
      <c r="L69" s="887"/>
    </row>
    <row r="70" spans="1:12" s="884" customFormat="1" ht="24" customHeight="1">
      <c r="A70" s="831"/>
      <c r="B70" s="720" t="s">
        <v>1065</v>
      </c>
      <c r="C70" s="792"/>
      <c r="D70" s="792"/>
      <c r="E70" s="793">
        <v>1</v>
      </c>
      <c r="F70" s="722" t="s">
        <v>240</v>
      </c>
      <c r="G70" s="795">
        <v>15435</v>
      </c>
      <c r="H70" s="796">
        <f t="shared" si="2"/>
        <v>15435</v>
      </c>
      <c r="I70" s="797"/>
      <c r="J70" s="796"/>
      <c r="K70" s="799">
        <f t="shared" si="3"/>
        <v>15435</v>
      </c>
      <c r="L70" s="887"/>
    </row>
    <row r="71" spans="1:12" s="884" customFormat="1" ht="24" customHeight="1">
      <c r="A71" s="831" t="s">
        <v>3092</v>
      </c>
      <c r="B71" s="720" t="s">
        <v>1066</v>
      </c>
      <c r="C71" s="792"/>
      <c r="D71" s="792"/>
      <c r="E71" s="793">
        <v>1</v>
      </c>
      <c r="F71" s="722" t="s">
        <v>948</v>
      </c>
      <c r="G71" s="795">
        <v>43400</v>
      </c>
      <c r="H71" s="796">
        <f t="shared" si="2"/>
        <v>43400</v>
      </c>
      <c r="I71" s="797">
        <f>G71*0.3</f>
        <v>13020</v>
      </c>
      <c r="J71" s="796">
        <f>ROUND(E71*I71,)</f>
        <v>13020</v>
      </c>
      <c r="K71" s="799">
        <f t="shared" si="3"/>
        <v>56420</v>
      </c>
      <c r="L71" s="887"/>
    </row>
    <row r="72" spans="1:12" s="884" customFormat="1" ht="24" customHeight="1">
      <c r="A72" s="878" t="s">
        <v>3100</v>
      </c>
      <c r="B72" s="879" t="s">
        <v>1085</v>
      </c>
      <c r="C72" s="880"/>
      <c r="D72" s="880"/>
      <c r="E72" s="881"/>
      <c r="F72" s="794"/>
      <c r="G72" s="795"/>
      <c r="H72" s="796"/>
      <c r="I72" s="797"/>
      <c r="J72" s="796"/>
      <c r="K72" s="797"/>
      <c r="L72" s="887"/>
    </row>
    <row r="73" spans="1:12" s="884" customFormat="1" ht="24" customHeight="1">
      <c r="A73" s="831" t="s">
        <v>3101</v>
      </c>
      <c r="B73" s="720" t="s">
        <v>1053</v>
      </c>
      <c r="C73" s="792"/>
      <c r="D73" s="792"/>
      <c r="E73" s="793"/>
      <c r="F73" s="794"/>
      <c r="G73" s="795"/>
      <c r="H73" s="796"/>
      <c r="I73" s="797"/>
      <c r="J73" s="796"/>
      <c r="K73" s="797"/>
      <c r="L73" s="887"/>
    </row>
    <row r="74" spans="1:12" s="884" customFormat="1" ht="24" customHeight="1">
      <c r="A74" s="831"/>
      <c r="B74" s="720" t="s">
        <v>1054</v>
      </c>
      <c r="C74" s="792"/>
      <c r="D74" s="792"/>
      <c r="E74" s="793"/>
      <c r="F74" s="722" t="s">
        <v>240</v>
      </c>
      <c r="G74" s="795">
        <v>2400</v>
      </c>
      <c r="H74" s="796">
        <f t="shared" ref="H74:H90" si="4">ROUND(G74*E74,)</f>
        <v>0</v>
      </c>
      <c r="I74" s="797"/>
      <c r="J74" s="796"/>
      <c r="K74" s="799">
        <f t="shared" ref="K74:K90" si="5">H74+J74</f>
        <v>0</v>
      </c>
      <c r="L74" s="883"/>
    </row>
    <row r="75" spans="1:12" s="884" customFormat="1" ht="24" customHeight="1">
      <c r="A75" s="831"/>
      <c r="B75" s="720" t="s">
        <v>1055</v>
      </c>
      <c r="C75" s="792"/>
      <c r="D75" s="792"/>
      <c r="E75" s="793"/>
      <c r="F75" s="722" t="s">
        <v>240</v>
      </c>
      <c r="G75" s="795">
        <v>2400</v>
      </c>
      <c r="H75" s="796">
        <f t="shared" si="4"/>
        <v>0</v>
      </c>
      <c r="I75" s="797"/>
      <c r="J75" s="796"/>
      <c r="K75" s="799">
        <f t="shared" si="5"/>
        <v>0</v>
      </c>
      <c r="L75" s="883"/>
    </row>
    <row r="76" spans="1:12" s="884" customFormat="1" ht="24" customHeight="1">
      <c r="A76" s="831"/>
      <c r="B76" s="720" t="s">
        <v>1056</v>
      </c>
      <c r="C76" s="792"/>
      <c r="D76" s="792"/>
      <c r="E76" s="793"/>
      <c r="F76" s="722" t="s">
        <v>240</v>
      </c>
      <c r="G76" s="795">
        <v>2400</v>
      </c>
      <c r="H76" s="796">
        <f t="shared" si="4"/>
        <v>0</v>
      </c>
      <c r="I76" s="797"/>
      <c r="J76" s="796"/>
      <c r="K76" s="799">
        <f t="shared" si="5"/>
        <v>0</v>
      </c>
      <c r="L76" s="883"/>
    </row>
    <row r="77" spans="1:12" s="884" customFormat="1" ht="24" customHeight="1">
      <c r="A77" s="831"/>
      <c r="B77" s="720" t="s">
        <v>1057</v>
      </c>
      <c r="C77" s="792"/>
      <c r="D77" s="792"/>
      <c r="E77" s="793"/>
      <c r="F77" s="722" t="s">
        <v>240</v>
      </c>
      <c r="G77" s="795">
        <v>2400</v>
      </c>
      <c r="H77" s="796">
        <f t="shared" si="4"/>
        <v>0</v>
      </c>
      <c r="I77" s="797"/>
      <c r="J77" s="796"/>
      <c r="K77" s="799">
        <f t="shared" si="5"/>
        <v>0</v>
      </c>
      <c r="L77" s="883"/>
    </row>
    <row r="78" spans="1:12" s="884" customFormat="1" ht="24" customHeight="1">
      <c r="A78" s="831"/>
      <c r="B78" s="720" t="s">
        <v>1058</v>
      </c>
      <c r="C78" s="792"/>
      <c r="D78" s="792"/>
      <c r="E78" s="793"/>
      <c r="F78" s="722" t="s">
        <v>240</v>
      </c>
      <c r="G78" s="795">
        <v>2400</v>
      </c>
      <c r="H78" s="796">
        <f t="shared" si="4"/>
        <v>0</v>
      </c>
      <c r="I78" s="797"/>
      <c r="J78" s="796"/>
      <c r="K78" s="799">
        <f t="shared" si="5"/>
        <v>0</v>
      </c>
      <c r="L78" s="883"/>
    </row>
    <row r="79" spans="1:12" s="884" customFormat="1" ht="24" customHeight="1">
      <c r="A79" s="831"/>
      <c r="B79" s="720" t="s">
        <v>1059</v>
      </c>
      <c r="C79" s="792"/>
      <c r="D79" s="792"/>
      <c r="E79" s="793"/>
      <c r="F79" s="722" t="s">
        <v>240</v>
      </c>
      <c r="G79" s="795">
        <v>2600</v>
      </c>
      <c r="H79" s="796">
        <f t="shared" si="4"/>
        <v>0</v>
      </c>
      <c r="I79" s="797"/>
      <c r="J79" s="796"/>
      <c r="K79" s="799">
        <f t="shared" si="5"/>
        <v>0</v>
      </c>
      <c r="L79" s="883"/>
    </row>
    <row r="80" spans="1:12" s="884" customFormat="1" ht="24" customHeight="1">
      <c r="A80" s="831"/>
      <c r="B80" s="720" t="s">
        <v>1060</v>
      </c>
      <c r="C80" s="792"/>
      <c r="D80" s="792"/>
      <c r="E80" s="793"/>
      <c r="F80" s="722" t="s">
        <v>240</v>
      </c>
      <c r="G80" s="795">
        <v>3000</v>
      </c>
      <c r="H80" s="796">
        <f t="shared" si="4"/>
        <v>0</v>
      </c>
      <c r="I80" s="797"/>
      <c r="J80" s="796"/>
      <c r="K80" s="799">
        <f t="shared" si="5"/>
        <v>0</v>
      </c>
      <c r="L80" s="883"/>
    </row>
    <row r="81" spans="1:17" s="884" customFormat="1" ht="24" customHeight="1">
      <c r="A81" s="831"/>
      <c r="B81" s="720" t="s">
        <v>1086</v>
      </c>
      <c r="C81" s="792"/>
      <c r="D81" s="792"/>
      <c r="E81" s="793"/>
      <c r="F81" s="722" t="s">
        <v>240</v>
      </c>
      <c r="G81" s="795">
        <v>5700</v>
      </c>
      <c r="H81" s="796">
        <f t="shared" si="4"/>
        <v>0</v>
      </c>
      <c r="I81" s="797"/>
      <c r="J81" s="796"/>
      <c r="K81" s="799">
        <f t="shared" si="5"/>
        <v>0</v>
      </c>
      <c r="L81" s="883"/>
    </row>
    <row r="82" spans="1:17" s="884" customFormat="1" ht="24" customHeight="1">
      <c r="A82" s="831"/>
      <c r="B82" s="720" t="s">
        <v>1061</v>
      </c>
      <c r="C82" s="792"/>
      <c r="D82" s="792"/>
      <c r="E82" s="793"/>
      <c r="F82" s="722" t="s">
        <v>240</v>
      </c>
      <c r="G82" s="795">
        <v>8600</v>
      </c>
      <c r="H82" s="796">
        <f t="shared" si="4"/>
        <v>0</v>
      </c>
      <c r="I82" s="797"/>
      <c r="J82" s="796"/>
      <c r="K82" s="799">
        <f t="shared" si="5"/>
        <v>0</v>
      </c>
      <c r="L82" s="883"/>
    </row>
    <row r="83" spans="1:17" s="884" customFormat="1" ht="24" customHeight="1">
      <c r="A83" s="831"/>
      <c r="B83" s="720" t="s">
        <v>1062</v>
      </c>
      <c r="C83" s="792"/>
      <c r="D83" s="792"/>
      <c r="E83" s="793"/>
      <c r="F83" s="722" t="s">
        <v>240</v>
      </c>
      <c r="G83" s="795">
        <v>8600</v>
      </c>
      <c r="H83" s="796">
        <f t="shared" si="4"/>
        <v>0</v>
      </c>
      <c r="I83" s="797"/>
      <c r="J83" s="796"/>
      <c r="K83" s="799">
        <f t="shared" si="5"/>
        <v>0</v>
      </c>
      <c r="L83" s="883"/>
    </row>
    <row r="84" spans="1:17" s="884" customFormat="1" ht="24" customHeight="1">
      <c r="A84" s="2396"/>
      <c r="B84" s="720" t="s">
        <v>1063</v>
      </c>
      <c r="C84" s="792"/>
      <c r="D84" s="792"/>
      <c r="E84" s="793">
        <v>1</v>
      </c>
      <c r="F84" s="722" t="s">
        <v>240</v>
      </c>
      <c r="G84" s="795">
        <v>8600</v>
      </c>
      <c r="H84" s="796">
        <f t="shared" si="4"/>
        <v>8600</v>
      </c>
      <c r="I84" s="797"/>
      <c r="J84" s="796"/>
      <c r="K84" s="799">
        <f t="shared" si="5"/>
        <v>8600</v>
      </c>
      <c r="L84" s="883"/>
    </row>
    <row r="85" spans="1:17" s="884" customFormat="1" ht="24" customHeight="1">
      <c r="A85" s="831" t="s">
        <v>3102</v>
      </c>
      <c r="B85" s="720" t="s">
        <v>1001</v>
      </c>
      <c r="C85" s="792"/>
      <c r="D85" s="792"/>
      <c r="E85" s="793"/>
      <c r="F85" s="794"/>
      <c r="G85" s="795"/>
      <c r="H85" s="796">
        <f t="shared" si="4"/>
        <v>0</v>
      </c>
      <c r="I85" s="797"/>
      <c r="J85" s="796"/>
      <c r="K85" s="799">
        <f t="shared" si="5"/>
        <v>0</v>
      </c>
      <c r="L85" s="887"/>
    </row>
    <row r="86" spans="1:17" s="884" customFormat="1" ht="24" customHeight="1">
      <c r="A86" s="831"/>
      <c r="B86" s="720" t="s">
        <v>1064</v>
      </c>
      <c r="C86" s="792"/>
      <c r="D86" s="792"/>
      <c r="E86" s="793">
        <v>3</v>
      </c>
      <c r="F86" s="722" t="s">
        <v>240</v>
      </c>
      <c r="G86" s="795">
        <v>600</v>
      </c>
      <c r="H86" s="796">
        <f t="shared" si="4"/>
        <v>1800</v>
      </c>
      <c r="I86" s="797"/>
      <c r="J86" s="796"/>
      <c r="K86" s="799">
        <f t="shared" si="5"/>
        <v>1800</v>
      </c>
      <c r="L86" s="887"/>
    </row>
    <row r="87" spans="1:17" s="884" customFormat="1" ht="24" customHeight="1">
      <c r="A87" s="831"/>
      <c r="B87" s="720" t="s">
        <v>1003</v>
      </c>
      <c r="C87" s="792"/>
      <c r="D87" s="792"/>
      <c r="E87" s="793">
        <v>3</v>
      </c>
      <c r="F87" s="722" t="s">
        <v>240</v>
      </c>
      <c r="G87" s="795">
        <v>120</v>
      </c>
      <c r="H87" s="796">
        <f t="shared" si="4"/>
        <v>360</v>
      </c>
      <c r="I87" s="797"/>
      <c r="J87" s="796"/>
      <c r="K87" s="799">
        <f t="shared" si="5"/>
        <v>360</v>
      </c>
      <c r="L87" s="887"/>
    </row>
    <row r="88" spans="1:17" s="884" customFormat="1" ht="24" customHeight="1">
      <c r="A88" s="831"/>
      <c r="B88" s="720" t="s">
        <v>1004</v>
      </c>
      <c r="C88" s="792"/>
      <c r="D88" s="792"/>
      <c r="E88" s="793">
        <v>3</v>
      </c>
      <c r="F88" s="722" t="s">
        <v>240</v>
      </c>
      <c r="G88" s="795">
        <v>100</v>
      </c>
      <c r="H88" s="796">
        <f t="shared" si="4"/>
        <v>300</v>
      </c>
      <c r="I88" s="797"/>
      <c r="J88" s="796"/>
      <c r="K88" s="799">
        <f t="shared" si="5"/>
        <v>300</v>
      </c>
      <c r="L88" s="887"/>
    </row>
    <row r="89" spans="1:17" s="884" customFormat="1" ht="24" customHeight="1">
      <c r="A89" s="831"/>
      <c r="B89" s="720" t="s">
        <v>1065</v>
      </c>
      <c r="C89" s="792"/>
      <c r="D89" s="792"/>
      <c r="E89" s="793">
        <v>1</v>
      </c>
      <c r="F89" s="722" t="s">
        <v>240</v>
      </c>
      <c r="G89" s="795">
        <v>15435</v>
      </c>
      <c r="H89" s="796">
        <f t="shared" si="4"/>
        <v>15435</v>
      </c>
      <c r="I89" s="797"/>
      <c r="J89" s="796"/>
      <c r="K89" s="799">
        <f t="shared" si="5"/>
        <v>15435</v>
      </c>
      <c r="L89" s="887"/>
    </row>
    <row r="90" spans="1:17" s="714" customFormat="1" ht="24" customHeight="1">
      <c r="A90" s="831" t="s">
        <v>3103</v>
      </c>
      <c r="B90" s="720" t="s">
        <v>1066</v>
      </c>
      <c r="C90" s="792"/>
      <c r="D90" s="792"/>
      <c r="E90" s="793">
        <v>1</v>
      </c>
      <c r="F90" s="722" t="s">
        <v>948</v>
      </c>
      <c r="G90" s="795">
        <v>43400</v>
      </c>
      <c r="H90" s="796">
        <f t="shared" si="4"/>
        <v>43400</v>
      </c>
      <c r="I90" s="797">
        <f>G90*0.3</f>
        <v>13020</v>
      </c>
      <c r="J90" s="796">
        <f>ROUND(E90*I90,)</f>
        <v>13020</v>
      </c>
      <c r="K90" s="799">
        <f t="shared" si="5"/>
        <v>56420</v>
      </c>
      <c r="L90" s="964"/>
      <c r="M90" s="729"/>
      <c r="N90" s="729"/>
      <c r="O90" s="729"/>
      <c r="P90" s="729"/>
      <c r="Q90" s="729"/>
    </row>
    <row r="91" spans="1:17" s="884" customFormat="1" ht="24" customHeight="1">
      <c r="A91" s="878" t="s">
        <v>3107</v>
      </c>
      <c r="B91" s="879" t="s">
        <v>1099</v>
      </c>
      <c r="C91" s="880"/>
      <c r="D91" s="880"/>
      <c r="E91" s="881"/>
      <c r="F91" s="882"/>
      <c r="G91" s="795"/>
      <c r="H91" s="796"/>
      <c r="I91" s="797"/>
      <c r="J91" s="796"/>
      <c r="K91" s="797"/>
      <c r="L91" s="887"/>
    </row>
    <row r="92" spans="1:17" s="884" customFormat="1" ht="24" customHeight="1">
      <c r="A92" s="831" t="s">
        <v>3108</v>
      </c>
      <c r="B92" s="720" t="s">
        <v>1053</v>
      </c>
      <c r="C92" s="792"/>
      <c r="D92" s="792"/>
      <c r="E92" s="793"/>
      <c r="F92" s="882"/>
      <c r="G92" s="795"/>
      <c r="H92" s="796"/>
      <c r="I92" s="797"/>
      <c r="J92" s="796"/>
      <c r="K92" s="797"/>
      <c r="L92" s="887"/>
    </row>
    <row r="93" spans="1:17" s="884" customFormat="1" ht="24" customHeight="1">
      <c r="A93" s="831"/>
      <c r="B93" s="720" t="s">
        <v>1098</v>
      </c>
      <c r="C93" s="792"/>
      <c r="D93" s="792"/>
      <c r="E93" s="793"/>
      <c r="F93" s="722" t="s">
        <v>240</v>
      </c>
      <c r="G93" s="795">
        <v>2400</v>
      </c>
      <c r="H93" s="796">
        <f t="shared" ref="H93:H109" si="6">ROUND(G93*E93,)</f>
        <v>0</v>
      </c>
      <c r="I93" s="797"/>
      <c r="J93" s="796"/>
      <c r="K93" s="799">
        <f t="shared" ref="K93:K109" si="7">H93+J93</f>
        <v>0</v>
      </c>
      <c r="L93" s="883"/>
    </row>
    <row r="94" spans="1:17" s="884" customFormat="1" ht="24" customHeight="1">
      <c r="A94" s="831"/>
      <c r="B94" s="720" t="s">
        <v>1054</v>
      </c>
      <c r="C94" s="792"/>
      <c r="D94" s="792"/>
      <c r="E94" s="793"/>
      <c r="F94" s="722" t="s">
        <v>240</v>
      </c>
      <c r="G94" s="795">
        <v>2400</v>
      </c>
      <c r="H94" s="796">
        <f t="shared" si="6"/>
        <v>0</v>
      </c>
      <c r="I94" s="797"/>
      <c r="J94" s="796"/>
      <c r="K94" s="799">
        <f t="shared" si="7"/>
        <v>0</v>
      </c>
      <c r="L94" s="883"/>
    </row>
    <row r="95" spans="1:17" s="884" customFormat="1" ht="24" customHeight="1">
      <c r="A95" s="831"/>
      <c r="B95" s="720" t="s">
        <v>1055</v>
      </c>
      <c r="C95" s="792"/>
      <c r="D95" s="792"/>
      <c r="E95" s="793"/>
      <c r="F95" s="722" t="s">
        <v>240</v>
      </c>
      <c r="G95" s="795">
        <v>2400</v>
      </c>
      <c r="H95" s="796">
        <f t="shared" si="6"/>
        <v>0</v>
      </c>
      <c r="I95" s="797"/>
      <c r="J95" s="796"/>
      <c r="K95" s="799">
        <f t="shared" si="7"/>
        <v>0</v>
      </c>
      <c r="L95" s="883"/>
    </row>
    <row r="96" spans="1:17" s="884" customFormat="1" ht="24" customHeight="1">
      <c r="A96" s="831"/>
      <c r="B96" s="720" t="s">
        <v>1056</v>
      </c>
      <c r="C96" s="792"/>
      <c r="D96" s="792"/>
      <c r="E96" s="793">
        <v>2</v>
      </c>
      <c r="F96" s="722" t="s">
        <v>240</v>
      </c>
      <c r="G96" s="795">
        <v>2400</v>
      </c>
      <c r="H96" s="796">
        <f t="shared" si="6"/>
        <v>4800</v>
      </c>
      <c r="I96" s="797"/>
      <c r="J96" s="796"/>
      <c r="K96" s="799">
        <f t="shared" si="7"/>
        <v>4800</v>
      </c>
      <c r="L96" s="883"/>
    </row>
    <row r="97" spans="1:12" s="884" customFormat="1" ht="24" customHeight="1">
      <c r="A97" s="831"/>
      <c r="B97" s="720" t="s">
        <v>1057</v>
      </c>
      <c r="C97" s="792"/>
      <c r="D97" s="792"/>
      <c r="E97" s="793"/>
      <c r="F97" s="722" t="s">
        <v>240</v>
      </c>
      <c r="G97" s="795">
        <v>2400</v>
      </c>
      <c r="H97" s="796">
        <f t="shared" si="6"/>
        <v>0</v>
      </c>
      <c r="I97" s="797"/>
      <c r="J97" s="796"/>
      <c r="K97" s="799">
        <f t="shared" si="7"/>
        <v>0</v>
      </c>
      <c r="L97" s="883"/>
    </row>
    <row r="98" spans="1:12" s="884" customFormat="1" ht="24" customHeight="1">
      <c r="A98" s="831"/>
      <c r="B98" s="720" t="s">
        <v>1058</v>
      </c>
      <c r="C98" s="792"/>
      <c r="D98" s="792"/>
      <c r="E98" s="793"/>
      <c r="F98" s="722" t="s">
        <v>240</v>
      </c>
      <c r="G98" s="795">
        <v>2400</v>
      </c>
      <c r="H98" s="796">
        <f t="shared" si="6"/>
        <v>0</v>
      </c>
      <c r="I98" s="797"/>
      <c r="J98" s="796"/>
      <c r="K98" s="799">
        <f t="shared" si="7"/>
        <v>0</v>
      </c>
      <c r="L98" s="883"/>
    </row>
    <row r="99" spans="1:12" s="884" customFormat="1" ht="24" customHeight="1">
      <c r="A99" s="831"/>
      <c r="B99" s="720" t="s">
        <v>1059</v>
      </c>
      <c r="C99" s="792"/>
      <c r="D99" s="792"/>
      <c r="E99" s="793"/>
      <c r="F99" s="722" t="s">
        <v>240</v>
      </c>
      <c r="G99" s="795">
        <v>2600</v>
      </c>
      <c r="H99" s="796">
        <f t="shared" si="6"/>
        <v>0</v>
      </c>
      <c r="I99" s="797"/>
      <c r="J99" s="796"/>
      <c r="K99" s="799">
        <f t="shared" si="7"/>
        <v>0</v>
      </c>
      <c r="L99" s="883"/>
    </row>
    <row r="100" spans="1:12" s="884" customFormat="1" ht="24" customHeight="1">
      <c r="A100" s="831"/>
      <c r="B100" s="720" t="s">
        <v>1060</v>
      </c>
      <c r="C100" s="792"/>
      <c r="D100" s="792"/>
      <c r="E100" s="793"/>
      <c r="F100" s="722" t="s">
        <v>240</v>
      </c>
      <c r="G100" s="795">
        <v>3000</v>
      </c>
      <c r="H100" s="796">
        <f t="shared" si="6"/>
        <v>0</v>
      </c>
      <c r="I100" s="797"/>
      <c r="J100" s="796"/>
      <c r="K100" s="799">
        <f t="shared" si="7"/>
        <v>0</v>
      </c>
      <c r="L100" s="883"/>
    </row>
    <row r="101" spans="1:12" s="884" customFormat="1" ht="24" customHeight="1">
      <c r="A101" s="831"/>
      <c r="B101" s="720" t="s">
        <v>1061</v>
      </c>
      <c r="C101" s="792"/>
      <c r="D101" s="792"/>
      <c r="E101" s="793"/>
      <c r="F101" s="722" t="s">
        <v>240</v>
      </c>
      <c r="G101" s="795">
        <v>8600</v>
      </c>
      <c r="H101" s="796">
        <f t="shared" si="6"/>
        <v>0</v>
      </c>
      <c r="I101" s="797"/>
      <c r="J101" s="796"/>
      <c r="K101" s="799">
        <f t="shared" si="7"/>
        <v>0</v>
      </c>
      <c r="L101" s="883"/>
    </row>
    <row r="102" spans="1:12" s="884" customFormat="1" ht="24" customHeight="1">
      <c r="A102" s="831"/>
      <c r="B102" s="720" t="s">
        <v>1062</v>
      </c>
      <c r="C102" s="792"/>
      <c r="D102" s="792"/>
      <c r="E102" s="793"/>
      <c r="F102" s="722" t="s">
        <v>240</v>
      </c>
      <c r="G102" s="795">
        <v>8600</v>
      </c>
      <c r="H102" s="796">
        <f t="shared" si="6"/>
        <v>0</v>
      </c>
      <c r="I102" s="797"/>
      <c r="J102" s="796"/>
      <c r="K102" s="799">
        <f t="shared" si="7"/>
        <v>0</v>
      </c>
      <c r="L102" s="883"/>
    </row>
    <row r="103" spans="1:12" s="884" customFormat="1" ht="24" customHeight="1">
      <c r="A103" s="2396"/>
      <c r="B103" s="720" t="s">
        <v>1063</v>
      </c>
      <c r="C103" s="792"/>
      <c r="D103" s="792"/>
      <c r="E103" s="793"/>
      <c r="F103" s="722" t="s">
        <v>240</v>
      </c>
      <c r="G103" s="795">
        <v>8600</v>
      </c>
      <c r="H103" s="796">
        <f t="shared" si="6"/>
        <v>0</v>
      </c>
      <c r="I103" s="797"/>
      <c r="J103" s="796"/>
      <c r="K103" s="799">
        <f t="shared" si="7"/>
        <v>0</v>
      </c>
      <c r="L103" s="883"/>
    </row>
    <row r="104" spans="1:12" s="884" customFormat="1" ht="24" customHeight="1">
      <c r="A104" s="831" t="s">
        <v>3109</v>
      </c>
      <c r="B104" s="720" t="s">
        <v>1001</v>
      </c>
      <c r="C104" s="792"/>
      <c r="D104" s="792"/>
      <c r="E104" s="793"/>
      <c r="F104" s="882"/>
      <c r="G104" s="795"/>
      <c r="H104" s="796">
        <f t="shared" si="6"/>
        <v>0</v>
      </c>
      <c r="I104" s="797"/>
      <c r="J104" s="796"/>
      <c r="K104" s="799">
        <f t="shared" si="7"/>
        <v>0</v>
      </c>
      <c r="L104" s="887"/>
    </row>
    <row r="105" spans="1:12" s="884" customFormat="1" ht="24" customHeight="1">
      <c r="A105" s="831"/>
      <c r="B105" s="720" t="s">
        <v>1073</v>
      </c>
      <c r="C105" s="792"/>
      <c r="D105" s="792"/>
      <c r="E105" s="793">
        <v>3</v>
      </c>
      <c r="F105" s="722" t="s">
        <v>240</v>
      </c>
      <c r="G105" s="795">
        <v>660</v>
      </c>
      <c r="H105" s="796">
        <f t="shared" si="6"/>
        <v>1980</v>
      </c>
      <c r="I105" s="797"/>
      <c r="J105" s="796"/>
      <c r="K105" s="799">
        <f t="shared" si="7"/>
        <v>1980</v>
      </c>
      <c r="L105" s="887"/>
    </row>
    <row r="106" spans="1:12" s="884" customFormat="1" ht="24" customHeight="1">
      <c r="A106" s="831"/>
      <c r="B106" s="720" t="s">
        <v>1003</v>
      </c>
      <c r="C106" s="792"/>
      <c r="D106" s="792"/>
      <c r="E106" s="793">
        <v>3</v>
      </c>
      <c r="F106" s="722" t="s">
        <v>240</v>
      </c>
      <c r="G106" s="795">
        <v>120</v>
      </c>
      <c r="H106" s="796">
        <f t="shared" si="6"/>
        <v>360</v>
      </c>
      <c r="I106" s="797"/>
      <c r="J106" s="796"/>
      <c r="K106" s="799">
        <f t="shared" si="7"/>
        <v>360</v>
      </c>
      <c r="L106" s="887"/>
    </row>
    <row r="107" spans="1:12" s="884" customFormat="1" ht="24" customHeight="1">
      <c r="A107" s="831"/>
      <c r="B107" s="720" t="s">
        <v>1004</v>
      </c>
      <c r="C107" s="792"/>
      <c r="D107" s="792"/>
      <c r="E107" s="793">
        <v>3</v>
      </c>
      <c r="F107" s="722" t="s">
        <v>240</v>
      </c>
      <c r="G107" s="795">
        <v>100</v>
      </c>
      <c r="H107" s="796">
        <f t="shared" si="6"/>
        <v>300</v>
      </c>
      <c r="I107" s="797"/>
      <c r="J107" s="796"/>
      <c r="K107" s="799">
        <f t="shared" si="7"/>
        <v>300</v>
      </c>
      <c r="L107" s="887"/>
    </row>
    <row r="108" spans="1:12" s="884" customFormat="1" ht="24" customHeight="1">
      <c r="A108" s="2396"/>
      <c r="B108" s="720" t="s">
        <v>1065</v>
      </c>
      <c r="C108" s="792"/>
      <c r="D108" s="792"/>
      <c r="E108" s="793">
        <v>4</v>
      </c>
      <c r="F108" s="722" t="s">
        <v>240</v>
      </c>
      <c r="G108" s="795">
        <v>15435</v>
      </c>
      <c r="H108" s="796">
        <f t="shared" si="6"/>
        <v>61740</v>
      </c>
      <c r="I108" s="797"/>
      <c r="J108" s="796"/>
      <c r="K108" s="799">
        <f t="shared" si="7"/>
        <v>61740</v>
      </c>
      <c r="L108" s="887"/>
    </row>
    <row r="109" spans="1:12" s="884" customFormat="1" ht="24" customHeight="1">
      <c r="A109" s="831" t="s">
        <v>3110</v>
      </c>
      <c r="B109" s="720" t="s">
        <v>1066</v>
      </c>
      <c r="C109" s="792"/>
      <c r="D109" s="792"/>
      <c r="E109" s="793">
        <v>1</v>
      </c>
      <c r="F109" s="722" t="s">
        <v>948</v>
      </c>
      <c r="G109" s="795">
        <v>43400</v>
      </c>
      <c r="H109" s="796">
        <f t="shared" si="6"/>
        <v>43400</v>
      </c>
      <c r="I109" s="797">
        <f>G109*0.3</f>
        <v>13020</v>
      </c>
      <c r="J109" s="796">
        <f>ROUND(E109*I109,)</f>
        <v>13020</v>
      </c>
      <c r="K109" s="799">
        <f t="shared" si="7"/>
        <v>56420</v>
      </c>
      <c r="L109" s="887"/>
    </row>
    <row r="110" spans="1:12" s="884" customFormat="1" ht="24" customHeight="1">
      <c r="A110" s="878" t="s">
        <v>949</v>
      </c>
      <c r="B110" s="879" t="s">
        <v>1100</v>
      </c>
      <c r="C110" s="880"/>
      <c r="D110" s="880"/>
      <c r="E110" s="881"/>
      <c r="F110" s="882"/>
      <c r="G110" s="795"/>
      <c r="H110" s="796"/>
      <c r="I110" s="797"/>
      <c r="J110" s="796"/>
      <c r="K110" s="797"/>
      <c r="L110" s="887"/>
    </row>
    <row r="111" spans="1:12" s="884" customFormat="1" ht="24" customHeight="1">
      <c r="A111" s="831" t="s">
        <v>3111</v>
      </c>
      <c r="B111" s="720" t="s">
        <v>1053</v>
      </c>
      <c r="C111" s="792"/>
      <c r="D111" s="792"/>
      <c r="E111" s="793"/>
      <c r="F111" s="882"/>
      <c r="G111" s="795"/>
      <c r="H111" s="796"/>
      <c r="I111" s="797"/>
      <c r="J111" s="796"/>
      <c r="K111" s="797"/>
      <c r="L111" s="883"/>
    </row>
    <row r="112" spans="1:12" s="884" customFormat="1" ht="24" customHeight="1">
      <c r="A112" s="831"/>
      <c r="B112" s="720" t="s">
        <v>1098</v>
      </c>
      <c r="C112" s="792"/>
      <c r="D112" s="792"/>
      <c r="E112" s="793"/>
      <c r="F112" s="722" t="s">
        <v>240</v>
      </c>
      <c r="G112" s="795">
        <v>2400</v>
      </c>
      <c r="H112" s="796">
        <f t="shared" ref="H112:H129" si="8">ROUND(G112*E112,)</f>
        <v>0</v>
      </c>
      <c r="I112" s="797"/>
      <c r="J112" s="796"/>
      <c r="K112" s="799">
        <f t="shared" ref="K112:K129" si="9">H112+J112</f>
        <v>0</v>
      </c>
      <c r="L112" s="883"/>
    </row>
    <row r="113" spans="1:12" s="884" customFormat="1" ht="24" customHeight="1">
      <c r="A113" s="831"/>
      <c r="B113" s="720" t="s">
        <v>1054</v>
      </c>
      <c r="C113" s="792"/>
      <c r="D113" s="792"/>
      <c r="E113" s="793"/>
      <c r="F113" s="722" t="s">
        <v>240</v>
      </c>
      <c r="G113" s="795">
        <v>2400</v>
      </c>
      <c r="H113" s="796">
        <f t="shared" si="8"/>
        <v>0</v>
      </c>
      <c r="I113" s="797"/>
      <c r="J113" s="796"/>
      <c r="K113" s="799">
        <f t="shared" si="9"/>
        <v>0</v>
      </c>
      <c r="L113" s="883"/>
    </row>
    <row r="114" spans="1:12" s="884" customFormat="1" ht="24" customHeight="1">
      <c r="A114" s="831"/>
      <c r="B114" s="720" t="s">
        <v>1055</v>
      </c>
      <c r="C114" s="792"/>
      <c r="D114" s="792"/>
      <c r="E114" s="793"/>
      <c r="F114" s="722" t="s">
        <v>240</v>
      </c>
      <c r="G114" s="795">
        <v>2400</v>
      </c>
      <c r="H114" s="796">
        <f t="shared" si="8"/>
        <v>0</v>
      </c>
      <c r="I114" s="797"/>
      <c r="J114" s="796"/>
      <c r="K114" s="799">
        <f t="shared" si="9"/>
        <v>0</v>
      </c>
      <c r="L114" s="883"/>
    </row>
    <row r="115" spans="1:12" s="884" customFormat="1" ht="24" customHeight="1">
      <c r="A115" s="831"/>
      <c r="B115" s="720" t="s">
        <v>1056</v>
      </c>
      <c r="C115" s="792"/>
      <c r="D115" s="792"/>
      <c r="E115" s="793"/>
      <c r="F115" s="722" t="s">
        <v>240</v>
      </c>
      <c r="G115" s="795">
        <v>2400</v>
      </c>
      <c r="H115" s="796">
        <f t="shared" si="8"/>
        <v>0</v>
      </c>
      <c r="I115" s="797"/>
      <c r="J115" s="796"/>
      <c r="K115" s="799">
        <f t="shared" si="9"/>
        <v>0</v>
      </c>
      <c r="L115" s="883"/>
    </row>
    <row r="116" spans="1:12" s="884" customFormat="1" ht="24" customHeight="1">
      <c r="A116" s="831"/>
      <c r="B116" s="720" t="s">
        <v>1057</v>
      </c>
      <c r="C116" s="792"/>
      <c r="D116" s="792"/>
      <c r="E116" s="793"/>
      <c r="F116" s="722" t="s">
        <v>240</v>
      </c>
      <c r="G116" s="795">
        <v>2400</v>
      </c>
      <c r="H116" s="796">
        <f t="shared" si="8"/>
        <v>0</v>
      </c>
      <c r="I116" s="797"/>
      <c r="J116" s="796"/>
      <c r="K116" s="799">
        <f t="shared" si="9"/>
        <v>0</v>
      </c>
      <c r="L116" s="883"/>
    </row>
    <row r="117" spans="1:12" s="884" customFormat="1" ht="24" customHeight="1">
      <c r="A117" s="831"/>
      <c r="B117" s="720" t="s">
        <v>1058</v>
      </c>
      <c r="C117" s="792"/>
      <c r="D117" s="792"/>
      <c r="E117" s="793"/>
      <c r="F117" s="722" t="s">
        <v>240</v>
      </c>
      <c r="G117" s="795">
        <v>2400</v>
      </c>
      <c r="H117" s="796">
        <f t="shared" si="8"/>
        <v>0</v>
      </c>
      <c r="I117" s="797"/>
      <c r="J117" s="796"/>
      <c r="K117" s="799">
        <f t="shared" si="9"/>
        <v>0</v>
      </c>
      <c r="L117" s="883"/>
    </row>
    <row r="118" spans="1:12" s="884" customFormat="1" ht="24" customHeight="1">
      <c r="A118" s="831"/>
      <c r="B118" s="720" t="s">
        <v>1059</v>
      </c>
      <c r="C118" s="792"/>
      <c r="D118" s="792"/>
      <c r="E118" s="793"/>
      <c r="F118" s="722" t="s">
        <v>240</v>
      </c>
      <c r="G118" s="795">
        <v>2600</v>
      </c>
      <c r="H118" s="796">
        <f t="shared" si="8"/>
        <v>0</v>
      </c>
      <c r="I118" s="797"/>
      <c r="J118" s="796"/>
      <c r="K118" s="799">
        <f t="shared" si="9"/>
        <v>0</v>
      </c>
      <c r="L118" s="883"/>
    </row>
    <row r="119" spans="1:12" s="884" customFormat="1" ht="24" customHeight="1">
      <c r="A119" s="831"/>
      <c r="B119" s="720" t="s">
        <v>1060</v>
      </c>
      <c r="C119" s="792"/>
      <c r="D119" s="792"/>
      <c r="E119" s="793"/>
      <c r="F119" s="722" t="s">
        <v>240</v>
      </c>
      <c r="G119" s="795">
        <v>3000</v>
      </c>
      <c r="H119" s="796">
        <f t="shared" si="8"/>
        <v>0</v>
      </c>
      <c r="I119" s="797"/>
      <c r="J119" s="796"/>
      <c r="K119" s="799">
        <f t="shared" si="9"/>
        <v>0</v>
      </c>
      <c r="L119" s="883"/>
    </row>
    <row r="120" spans="1:12" s="884" customFormat="1" ht="24" customHeight="1">
      <c r="A120" s="831"/>
      <c r="B120" s="720" t="s">
        <v>1088</v>
      </c>
      <c r="C120" s="792"/>
      <c r="D120" s="792"/>
      <c r="E120" s="793">
        <v>1</v>
      </c>
      <c r="F120" s="722" t="s">
        <v>240</v>
      </c>
      <c r="G120" s="795">
        <v>5000</v>
      </c>
      <c r="H120" s="796">
        <f t="shared" si="8"/>
        <v>5000</v>
      </c>
      <c r="I120" s="797"/>
      <c r="J120" s="796"/>
      <c r="K120" s="799">
        <f t="shared" si="9"/>
        <v>5000</v>
      </c>
      <c r="L120" s="883"/>
    </row>
    <row r="121" spans="1:12" s="884" customFormat="1" ht="24" customHeight="1">
      <c r="A121" s="2396"/>
      <c r="B121" s="720" t="s">
        <v>1061</v>
      </c>
      <c r="C121" s="792"/>
      <c r="D121" s="792"/>
      <c r="E121" s="793"/>
      <c r="F121" s="722" t="s">
        <v>240</v>
      </c>
      <c r="G121" s="795">
        <v>8600</v>
      </c>
      <c r="H121" s="796">
        <f t="shared" si="8"/>
        <v>0</v>
      </c>
      <c r="I121" s="797"/>
      <c r="J121" s="796"/>
      <c r="K121" s="799">
        <f t="shared" si="9"/>
        <v>0</v>
      </c>
      <c r="L121" s="883"/>
    </row>
    <row r="122" spans="1:12" s="884" customFormat="1" ht="24" customHeight="1">
      <c r="A122" s="2396"/>
      <c r="B122" s="720" t="s">
        <v>1062</v>
      </c>
      <c r="C122" s="792"/>
      <c r="D122" s="792"/>
      <c r="E122" s="793"/>
      <c r="F122" s="722" t="s">
        <v>240</v>
      </c>
      <c r="G122" s="795">
        <v>8600</v>
      </c>
      <c r="H122" s="796">
        <f t="shared" si="8"/>
        <v>0</v>
      </c>
      <c r="I122" s="797"/>
      <c r="J122" s="796"/>
      <c r="K122" s="799">
        <f t="shared" si="9"/>
        <v>0</v>
      </c>
      <c r="L122" s="887"/>
    </row>
    <row r="123" spans="1:12" s="884" customFormat="1" ht="24" customHeight="1">
      <c r="A123" s="2396"/>
      <c r="B123" s="720" t="s">
        <v>1063</v>
      </c>
      <c r="C123" s="792"/>
      <c r="D123" s="792"/>
      <c r="E123" s="793">
        <v>1</v>
      </c>
      <c r="F123" s="722" t="s">
        <v>240</v>
      </c>
      <c r="G123" s="795">
        <v>8600</v>
      </c>
      <c r="H123" s="796">
        <f t="shared" si="8"/>
        <v>8600</v>
      </c>
      <c r="I123" s="797"/>
      <c r="J123" s="796"/>
      <c r="K123" s="799">
        <f t="shared" si="9"/>
        <v>8600</v>
      </c>
      <c r="L123" s="887"/>
    </row>
    <row r="124" spans="1:12" s="884" customFormat="1" ht="24" customHeight="1">
      <c r="A124" s="831" t="s">
        <v>3112</v>
      </c>
      <c r="B124" s="720" t="s">
        <v>1001</v>
      </c>
      <c r="C124" s="792"/>
      <c r="D124" s="792"/>
      <c r="E124" s="793"/>
      <c r="F124" s="882"/>
      <c r="G124" s="795"/>
      <c r="H124" s="796">
        <f t="shared" si="8"/>
        <v>0</v>
      </c>
      <c r="I124" s="797"/>
      <c r="J124" s="796"/>
      <c r="K124" s="799">
        <f t="shared" si="9"/>
        <v>0</v>
      </c>
      <c r="L124" s="887"/>
    </row>
    <row r="125" spans="1:12" s="884" customFormat="1" ht="24" customHeight="1">
      <c r="A125" s="831"/>
      <c r="B125" s="720" t="s">
        <v>1064</v>
      </c>
      <c r="C125" s="792"/>
      <c r="D125" s="792"/>
      <c r="E125" s="793">
        <v>3</v>
      </c>
      <c r="F125" s="722" t="s">
        <v>240</v>
      </c>
      <c r="G125" s="795">
        <v>660</v>
      </c>
      <c r="H125" s="796">
        <f t="shared" si="8"/>
        <v>1980</v>
      </c>
      <c r="I125" s="797"/>
      <c r="J125" s="796"/>
      <c r="K125" s="799">
        <f t="shared" si="9"/>
        <v>1980</v>
      </c>
      <c r="L125" s="887"/>
    </row>
    <row r="126" spans="1:12" s="884" customFormat="1" ht="24" customHeight="1">
      <c r="A126" s="831"/>
      <c r="B126" s="720" t="s">
        <v>1003</v>
      </c>
      <c r="C126" s="792"/>
      <c r="D126" s="792"/>
      <c r="E126" s="793">
        <v>3</v>
      </c>
      <c r="F126" s="722" t="s">
        <v>240</v>
      </c>
      <c r="G126" s="795">
        <v>120</v>
      </c>
      <c r="H126" s="796">
        <f t="shared" si="8"/>
        <v>360</v>
      </c>
      <c r="I126" s="797"/>
      <c r="J126" s="796"/>
      <c r="K126" s="799">
        <f t="shared" si="9"/>
        <v>360</v>
      </c>
      <c r="L126" s="887"/>
    </row>
    <row r="127" spans="1:12" s="714" customFormat="1" ht="24" customHeight="1">
      <c r="A127" s="831"/>
      <c r="B127" s="720" t="s">
        <v>1004</v>
      </c>
      <c r="C127" s="792"/>
      <c r="D127" s="792"/>
      <c r="E127" s="793">
        <v>3</v>
      </c>
      <c r="F127" s="722" t="s">
        <v>240</v>
      </c>
      <c r="G127" s="795">
        <v>100</v>
      </c>
      <c r="H127" s="796">
        <f t="shared" si="8"/>
        <v>300</v>
      </c>
      <c r="I127" s="797"/>
      <c r="J127" s="796"/>
      <c r="K127" s="799">
        <f t="shared" si="9"/>
        <v>300</v>
      </c>
      <c r="L127" s="954"/>
    </row>
    <row r="128" spans="1:12" s="714" customFormat="1" ht="24" customHeight="1">
      <c r="A128" s="831"/>
      <c r="B128" s="720" t="s">
        <v>1065</v>
      </c>
      <c r="C128" s="792"/>
      <c r="D128" s="792"/>
      <c r="E128" s="793">
        <v>1</v>
      </c>
      <c r="F128" s="722" t="s">
        <v>240</v>
      </c>
      <c r="G128" s="795">
        <v>15435</v>
      </c>
      <c r="H128" s="796">
        <f t="shared" si="8"/>
        <v>15435</v>
      </c>
      <c r="I128" s="797"/>
      <c r="J128" s="796"/>
      <c r="K128" s="799">
        <f t="shared" si="9"/>
        <v>15435</v>
      </c>
      <c r="L128" s="954"/>
    </row>
    <row r="129" spans="1:17" s="714" customFormat="1" ht="24" customHeight="1">
      <c r="A129" s="831" t="s">
        <v>3113</v>
      </c>
      <c r="B129" s="720" t="s">
        <v>1066</v>
      </c>
      <c r="C129" s="792"/>
      <c r="D129" s="792"/>
      <c r="E129" s="793">
        <v>1</v>
      </c>
      <c r="F129" s="722" t="s">
        <v>948</v>
      </c>
      <c r="G129" s="795">
        <v>43400</v>
      </c>
      <c r="H129" s="796">
        <f t="shared" si="8"/>
        <v>43400</v>
      </c>
      <c r="I129" s="797">
        <f>G129*0.3</f>
        <v>13020</v>
      </c>
      <c r="J129" s="796">
        <f>ROUND(E129*I129,)</f>
        <v>13020</v>
      </c>
      <c r="K129" s="799">
        <f t="shared" si="9"/>
        <v>56420</v>
      </c>
      <c r="L129" s="954"/>
    </row>
    <row r="130" spans="1:17" s="714" customFormat="1" ht="24" customHeight="1">
      <c r="A130" s="775"/>
      <c r="B130" s="2475" t="str">
        <f>"รวมราคารายการที่ "&amp;A35</f>
        <v>รวมราคารายการที่ 3.1</v>
      </c>
      <c r="C130" s="2476"/>
      <c r="D130" s="2477"/>
      <c r="E130" s="776"/>
      <c r="F130" s="777"/>
      <c r="G130" s="959"/>
      <c r="H130" s="960">
        <f>SUM(H35:H129)</f>
        <v>447045</v>
      </c>
      <c r="I130" s="959"/>
      <c r="J130" s="960">
        <f>SUM(J35:J129)</f>
        <v>65100</v>
      </c>
      <c r="K130" s="960">
        <f>SUM(K35:K129)</f>
        <v>512145</v>
      </c>
      <c r="L130" s="777"/>
      <c r="M130" s="729"/>
      <c r="N130" s="729"/>
      <c r="O130" s="729"/>
      <c r="P130" s="729"/>
      <c r="Q130" s="729"/>
    </row>
    <row r="131" spans="1:17" s="714" customFormat="1" ht="24" customHeight="1">
      <c r="A131" s="815">
        <v>3.2</v>
      </c>
      <c r="B131" s="816" t="s">
        <v>1103</v>
      </c>
      <c r="C131" s="859"/>
      <c r="D131" s="859"/>
      <c r="E131" s="851"/>
      <c r="F131" s="852"/>
      <c r="G131" s="853"/>
      <c r="H131" s="854"/>
      <c r="I131" s="855"/>
      <c r="J131" s="854"/>
      <c r="K131" s="855"/>
      <c r="L131" s="826"/>
    </row>
    <row r="132" spans="1:17" s="884" customFormat="1" ht="24" customHeight="1">
      <c r="A132" s="878" t="s">
        <v>960</v>
      </c>
      <c r="B132" s="894" t="s">
        <v>1119</v>
      </c>
      <c r="C132" s="895"/>
      <c r="D132" s="895"/>
      <c r="E132" s="896"/>
      <c r="F132" s="897"/>
      <c r="G132" s="858"/>
      <c r="H132" s="864"/>
      <c r="I132" s="865"/>
      <c r="J132" s="864"/>
      <c r="K132" s="799">
        <f t="shared" ref="K132:K195" si="10">H132+J132</f>
        <v>0</v>
      </c>
      <c r="L132" s="883"/>
    </row>
    <row r="133" spans="1:17" s="884" customFormat="1" ht="24" customHeight="1">
      <c r="A133" s="831" t="s">
        <v>3093</v>
      </c>
      <c r="B133" s="800" t="s">
        <v>1053</v>
      </c>
      <c r="C133" s="801"/>
      <c r="D133" s="801"/>
      <c r="E133" s="802"/>
      <c r="F133" s="867"/>
      <c r="G133" s="858"/>
      <c r="H133" s="864"/>
      <c r="I133" s="865"/>
      <c r="J133" s="864"/>
      <c r="K133" s="799">
        <f t="shared" si="10"/>
        <v>0</v>
      </c>
      <c r="L133" s="883"/>
    </row>
    <row r="134" spans="1:17" s="884" customFormat="1" ht="24" customHeight="1">
      <c r="A134" s="831"/>
      <c r="B134" s="720" t="s">
        <v>1054</v>
      </c>
      <c r="C134" s="792"/>
      <c r="D134" s="792"/>
      <c r="E134" s="793"/>
      <c r="F134" s="722" t="s">
        <v>240</v>
      </c>
      <c r="G134" s="795">
        <v>2400</v>
      </c>
      <c r="H134" s="796">
        <f t="shared" ref="H134:H155" si="11">ROUND(G134*E134,)</f>
        <v>0</v>
      </c>
      <c r="I134" s="797"/>
      <c r="J134" s="796"/>
      <c r="K134" s="799">
        <f t="shared" si="10"/>
        <v>0</v>
      </c>
      <c r="L134" s="883"/>
    </row>
    <row r="135" spans="1:17" s="884" customFormat="1" ht="24" customHeight="1">
      <c r="A135" s="831"/>
      <c r="B135" s="720" t="s">
        <v>1055</v>
      </c>
      <c r="C135" s="792"/>
      <c r="D135" s="792"/>
      <c r="E135" s="793">
        <v>1</v>
      </c>
      <c r="F135" s="722" t="s">
        <v>240</v>
      </c>
      <c r="G135" s="795">
        <v>2400</v>
      </c>
      <c r="H135" s="796">
        <f t="shared" si="11"/>
        <v>2400</v>
      </c>
      <c r="I135" s="797"/>
      <c r="J135" s="796"/>
      <c r="K135" s="799">
        <f t="shared" si="10"/>
        <v>2400</v>
      </c>
      <c r="L135" s="883"/>
    </row>
    <row r="136" spans="1:17" s="884" customFormat="1" ht="24" customHeight="1">
      <c r="A136" s="831"/>
      <c r="B136" s="720" t="s">
        <v>1056</v>
      </c>
      <c r="C136" s="792"/>
      <c r="D136" s="792"/>
      <c r="E136" s="793"/>
      <c r="F136" s="722" t="s">
        <v>240</v>
      </c>
      <c r="G136" s="795">
        <v>2400</v>
      </c>
      <c r="H136" s="796">
        <f t="shared" si="11"/>
        <v>0</v>
      </c>
      <c r="I136" s="797"/>
      <c r="J136" s="796"/>
      <c r="K136" s="799">
        <f t="shared" si="10"/>
        <v>0</v>
      </c>
      <c r="L136" s="883"/>
    </row>
    <row r="137" spans="1:17" s="884" customFormat="1" ht="24" customHeight="1">
      <c r="A137" s="831"/>
      <c r="B137" s="720" t="s">
        <v>1057</v>
      </c>
      <c r="C137" s="792"/>
      <c r="D137" s="792"/>
      <c r="E137" s="793"/>
      <c r="F137" s="722" t="s">
        <v>240</v>
      </c>
      <c r="G137" s="795">
        <v>2400</v>
      </c>
      <c r="H137" s="796">
        <f t="shared" si="11"/>
        <v>0</v>
      </c>
      <c r="I137" s="797"/>
      <c r="J137" s="796"/>
      <c r="K137" s="799">
        <f t="shared" si="10"/>
        <v>0</v>
      </c>
      <c r="L137" s="883"/>
    </row>
    <row r="138" spans="1:17" s="884" customFormat="1" ht="24" customHeight="1">
      <c r="A138" s="831"/>
      <c r="B138" s="720" t="s">
        <v>1058</v>
      </c>
      <c r="C138" s="792"/>
      <c r="D138" s="792"/>
      <c r="E138" s="793"/>
      <c r="F138" s="722" t="s">
        <v>240</v>
      </c>
      <c r="G138" s="795">
        <v>2400</v>
      </c>
      <c r="H138" s="796">
        <f t="shared" si="11"/>
        <v>0</v>
      </c>
      <c r="I138" s="797"/>
      <c r="J138" s="796"/>
      <c r="K138" s="799">
        <f t="shared" si="10"/>
        <v>0</v>
      </c>
      <c r="L138" s="883"/>
    </row>
    <row r="139" spans="1:17" s="884" customFormat="1" ht="24" customHeight="1">
      <c r="A139" s="831"/>
      <c r="B139" s="720" t="s">
        <v>1059</v>
      </c>
      <c r="C139" s="792"/>
      <c r="D139" s="792"/>
      <c r="E139" s="793"/>
      <c r="F139" s="722" t="s">
        <v>240</v>
      </c>
      <c r="G139" s="795">
        <v>2600</v>
      </c>
      <c r="H139" s="796">
        <f t="shared" si="11"/>
        <v>0</v>
      </c>
      <c r="I139" s="797"/>
      <c r="J139" s="796"/>
      <c r="K139" s="799">
        <f t="shared" si="10"/>
        <v>0</v>
      </c>
      <c r="L139" s="883"/>
    </row>
    <row r="140" spans="1:17" s="884" customFormat="1" ht="24" customHeight="1">
      <c r="A140" s="831"/>
      <c r="B140" s="720" t="s">
        <v>1060</v>
      </c>
      <c r="C140" s="792"/>
      <c r="D140" s="792"/>
      <c r="E140" s="793"/>
      <c r="F140" s="722" t="s">
        <v>240</v>
      </c>
      <c r="G140" s="795">
        <v>3000</v>
      </c>
      <c r="H140" s="796">
        <f t="shared" si="11"/>
        <v>0</v>
      </c>
      <c r="I140" s="797"/>
      <c r="J140" s="796"/>
      <c r="K140" s="799">
        <f t="shared" si="10"/>
        <v>0</v>
      </c>
      <c r="L140" s="883"/>
    </row>
    <row r="141" spans="1:17" s="884" customFormat="1" ht="24" customHeight="1">
      <c r="A141" s="831"/>
      <c r="B141" s="720" t="s">
        <v>1088</v>
      </c>
      <c r="C141" s="801"/>
      <c r="D141" s="801"/>
      <c r="E141" s="802"/>
      <c r="F141" s="803" t="s">
        <v>240</v>
      </c>
      <c r="G141" s="795">
        <v>5000</v>
      </c>
      <c r="H141" s="864">
        <f t="shared" si="11"/>
        <v>0</v>
      </c>
      <c r="I141" s="865"/>
      <c r="J141" s="864"/>
      <c r="K141" s="799">
        <f t="shared" si="10"/>
        <v>0</v>
      </c>
      <c r="L141" s="883"/>
    </row>
    <row r="142" spans="1:17" s="884" customFormat="1" ht="24" customHeight="1">
      <c r="A142" s="831"/>
      <c r="B142" s="720" t="s">
        <v>1105</v>
      </c>
      <c r="C142" s="801"/>
      <c r="D142" s="801"/>
      <c r="E142" s="802"/>
      <c r="F142" s="803" t="s">
        <v>240</v>
      </c>
      <c r="G142" s="795">
        <v>5700</v>
      </c>
      <c r="H142" s="864">
        <f t="shared" si="11"/>
        <v>0</v>
      </c>
      <c r="I142" s="865"/>
      <c r="J142" s="864"/>
      <c r="K142" s="799">
        <f t="shared" si="10"/>
        <v>0</v>
      </c>
      <c r="L142" s="883"/>
    </row>
    <row r="143" spans="1:17" s="884" customFormat="1" ht="24" customHeight="1">
      <c r="A143" s="831"/>
      <c r="B143" s="720" t="s">
        <v>1086</v>
      </c>
      <c r="C143" s="801"/>
      <c r="D143" s="801"/>
      <c r="E143" s="802"/>
      <c r="F143" s="803" t="s">
        <v>240</v>
      </c>
      <c r="G143" s="795">
        <v>5700</v>
      </c>
      <c r="H143" s="864">
        <f t="shared" si="11"/>
        <v>0</v>
      </c>
      <c r="I143" s="865"/>
      <c r="J143" s="864"/>
      <c r="K143" s="799">
        <f t="shared" si="10"/>
        <v>0</v>
      </c>
      <c r="L143" s="883"/>
    </row>
    <row r="144" spans="1:17" s="884" customFormat="1" ht="24" customHeight="1">
      <c r="A144" s="2396"/>
      <c r="B144" s="720" t="s">
        <v>1061</v>
      </c>
      <c r="C144" s="801"/>
      <c r="D144" s="801"/>
      <c r="E144" s="802"/>
      <c r="F144" s="803" t="s">
        <v>240</v>
      </c>
      <c r="G144" s="795">
        <v>8600</v>
      </c>
      <c r="H144" s="864">
        <f t="shared" si="11"/>
        <v>0</v>
      </c>
      <c r="I144" s="865"/>
      <c r="J144" s="864"/>
      <c r="K144" s="799">
        <f t="shared" si="10"/>
        <v>0</v>
      </c>
      <c r="L144" s="883"/>
    </row>
    <row r="145" spans="1:12" s="884" customFormat="1" ht="24" customHeight="1">
      <c r="A145" s="831"/>
      <c r="B145" s="720" t="s">
        <v>1062</v>
      </c>
      <c r="C145" s="801"/>
      <c r="D145" s="801"/>
      <c r="E145" s="802"/>
      <c r="F145" s="803" t="s">
        <v>240</v>
      </c>
      <c r="G145" s="795">
        <v>8600</v>
      </c>
      <c r="H145" s="864">
        <f t="shared" si="11"/>
        <v>0</v>
      </c>
      <c r="I145" s="865"/>
      <c r="J145" s="864"/>
      <c r="K145" s="799">
        <f t="shared" si="10"/>
        <v>0</v>
      </c>
      <c r="L145" s="883"/>
    </row>
    <row r="146" spans="1:12" s="884" customFormat="1" ht="24" customHeight="1">
      <c r="A146" s="831"/>
      <c r="B146" s="720" t="s">
        <v>1063</v>
      </c>
      <c r="C146" s="801"/>
      <c r="D146" s="801"/>
      <c r="E146" s="802"/>
      <c r="F146" s="803" t="s">
        <v>240</v>
      </c>
      <c r="G146" s="795">
        <v>11500</v>
      </c>
      <c r="H146" s="864">
        <f t="shared" si="11"/>
        <v>0</v>
      </c>
      <c r="I146" s="865"/>
      <c r="J146" s="864"/>
      <c r="K146" s="799">
        <f t="shared" si="10"/>
        <v>0</v>
      </c>
      <c r="L146" s="883"/>
    </row>
    <row r="147" spans="1:12" s="884" customFormat="1" ht="24" customHeight="1">
      <c r="A147" s="831"/>
      <c r="B147" s="720" t="s">
        <v>1106</v>
      </c>
      <c r="C147" s="801"/>
      <c r="D147" s="801"/>
      <c r="E147" s="802"/>
      <c r="F147" s="803" t="s">
        <v>240</v>
      </c>
      <c r="G147" s="795">
        <v>20200</v>
      </c>
      <c r="H147" s="864">
        <f t="shared" si="11"/>
        <v>0</v>
      </c>
      <c r="I147" s="865"/>
      <c r="J147" s="864"/>
      <c r="K147" s="799">
        <f t="shared" si="10"/>
        <v>0</v>
      </c>
      <c r="L147" s="883"/>
    </row>
    <row r="148" spans="1:12" s="884" customFormat="1" ht="24" customHeight="1">
      <c r="A148" s="831"/>
      <c r="B148" s="720" t="s">
        <v>1107</v>
      </c>
      <c r="C148" s="801"/>
      <c r="D148" s="801"/>
      <c r="E148" s="802"/>
      <c r="F148" s="803" t="s">
        <v>240</v>
      </c>
      <c r="G148" s="795">
        <v>20200</v>
      </c>
      <c r="H148" s="864">
        <f t="shared" si="11"/>
        <v>0</v>
      </c>
      <c r="I148" s="865"/>
      <c r="J148" s="864"/>
      <c r="K148" s="799">
        <f t="shared" si="10"/>
        <v>0</v>
      </c>
      <c r="L148" s="883"/>
    </row>
    <row r="149" spans="1:12" s="884" customFormat="1" ht="24" customHeight="1">
      <c r="A149" s="2396"/>
      <c r="B149" s="720" t="s">
        <v>1108</v>
      </c>
      <c r="C149" s="801"/>
      <c r="D149" s="801"/>
      <c r="E149" s="802"/>
      <c r="F149" s="803" t="s">
        <v>240</v>
      </c>
      <c r="G149" s="795">
        <v>20200</v>
      </c>
      <c r="H149" s="864">
        <f t="shared" si="11"/>
        <v>0</v>
      </c>
      <c r="I149" s="865"/>
      <c r="J149" s="864"/>
      <c r="K149" s="799">
        <f t="shared" si="10"/>
        <v>0</v>
      </c>
      <c r="L149" s="883"/>
    </row>
    <row r="150" spans="1:12" s="884" customFormat="1" ht="24" customHeight="1">
      <c r="A150" s="831" t="s">
        <v>3094</v>
      </c>
      <c r="B150" s="800" t="s">
        <v>1001</v>
      </c>
      <c r="C150" s="801"/>
      <c r="D150" s="801"/>
      <c r="E150" s="802"/>
      <c r="F150" s="867"/>
      <c r="G150" s="858"/>
      <c r="H150" s="864">
        <f t="shared" si="11"/>
        <v>0</v>
      </c>
      <c r="I150" s="865"/>
      <c r="J150" s="864"/>
      <c r="K150" s="799">
        <f t="shared" si="10"/>
        <v>0</v>
      </c>
      <c r="L150" s="887"/>
    </row>
    <row r="151" spans="1:12" s="884" customFormat="1" ht="24" customHeight="1">
      <c r="A151" s="878"/>
      <c r="B151" s="800" t="s">
        <v>1114</v>
      </c>
      <c r="C151" s="801"/>
      <c r="D151" s="801"/>
      <c r="E151" s="802">
        <v>3</v>
      </c>
      <c r="F151" s="803" t="s">
        <v>240</v>
      </c>
      <c r="G151" s="858">
        <v>600</v>
      </c>
      <c r="H151" s="864">
        <f t="shared" si="11"/>
        <v>1800</v>
      </c>
      <c r="I151" s="865"/>
      <c r="J151" s="864"/>
      <c r="K151" s="799">
        <f t="shared" si="10"/>
        <v>1800</v>
      </c>
      <c r="L151" s="887"/>
    </row>
    <row r="152" spans="1:12" s="884" customFormat="1" ht="24" customHeight="1">
      <c r="A152" s="831"/>
      <c r="B152" s="800" t="s">
        <v>1003</v>
      </c>
      <c r="C152" s="801"/>
      <c r="D152" s="801"/>
      <c r="E152" s="802">
        <v>3</v>
      </c>
      <c r="F152" s="803" t="s">
        <v>240</v>
      </c>
      <c r="G152" s="858">
        <v>120</v>
      </c>
      <c r="H152" s="864">
        <f t="shared" si="11"/>
        <v>360</v>
      </c>
      <c r="I152" s="865"/>
      <c r="J152" s="864"/>
      <c r="K152" s="799">
        <f t="shared" si="10"/>
        <v>360</v>
      </c>
      <c r="L152" s="883"/>
    </row>
    <row r="153" spans="1:12" s="884" customFormat="1" ht="24" customHeight="1">
      <c r="A153" s="831"/>
      <c r="B153" s="800" t="s">
        <v>1004</v>
      </c>
      <c r="C153" s="801"/>
      <c r="D153" s="801"/>
      <c r="E153" s="802">
        <v>3</v>
      </c>
      <c r="F153" s="803" t="s">
        <v>240</v>
      </c>
      <c r="G153" s="858">
        <v>100</v>
      </c>
      <c r="H153" s="864">
        <f t="shared" si="11"/>
        <v>300</v>
      </c>
      <c r="I153" s="865"/>
      <c r="J153" s="864"/>
      <c r="K153" s="799">
        <f t="shared" si="10"/>
        <v>300</v>
      </c>
      <c r="L153" s="883"/>
    </row>
    <row r="154" spans="1:12" s="884" customFormat="1" ht="24" customHeight="1">
      <c r="A154" s="831"/>
      <c r="B154" s="800" t="s">
        <v>1065</v>
      </c>
      <c r="C154" s="801"/>
      <c r="D154" s="801"/>
      <c r="E154" s="802">
        <v>1</v>
      </c>
      <c r="F154" s="803" t="s">
        <v>240</v>
      </c>
      <c r="G154" s="858">
        <v>15435</v>
      </c>
      <c r="H154" s="864">
        <f t="shared" si="11"/>
        <v>15435</v>
      </c>
      <c r="I154" s="865"/>
      <c r="J154" s="864"/>
      <c r="K154" s="799">
        <f t="shared" si="10"/>
        <v>15435</v>
      </c>
      <c r="L154" s="883"/>
    </row>
    <row r="155" spans="1:12" s="884" customFormat="1" ht="24" customHeight="1">
      <c r="A155" s="831" t="s">
        <v>3095</v>
      </c>
      <c r="B155" s="800" t="s">
        <v>1066</v>
      </c>
      <c r="C155" s="801"/>
      <c r="D155" s="801"/>
      <c r="E155" s="802">
        <v>1</v>
      </c>
      <c r="F155" s="803" t="s">
        <v>948</v>
      </c>
      <c r="G155" s="795">
        <v>33400</v>
      </c>
      <c r="H155" s="864">
        <f t="shared" si="11"/>
        <v>33400</v>
      </c>
      <c r="I155" s="865">
        <f>G155*0.3</f>
        <v>10020</v>
      </c>
      <c r="J155" s="864">
        <f>ROUND(E155*I155,)</f>
        <v>10020</v>
      </c>
      <c r="K155" s="799">
        <f t="shared" si="10"/>
        <v>43420</v>
      </c>
      <c r="L155" s="887"/>
    </row>
    <row r="156" spans="1:12" s="884" customFormat="1" ht="24" customHeight="1">
      <c r="A156" s="878" t="s">
        <v>962</v>
      </c>
      <c r="B156" s="894" t="s">
        <v>1120</v>
      </c>
      <c r="C156" s="895"/>
      <c r="D156" s="895"/>
      <c r="E156" s="896"/>
      <c r="F156" s="897"/>
      <c r="G156" s="858"/>
      <c r="H156" s="864"/>
      <c r="I156" s="865"/>
      <c r="J156" s="864"/>
      <c r="K156" s="799">
        <f t="shared" si="10"/>
        <v>0</v>
      </c>
      <c r="L156" s="887"/>
    </row>
    <row r="157" spans="1:12" s="884" customFormat="1" ht="24" customHeight="1">
      <c r="A157" s="831" t="s">
        <v>3096</v>
      </c>
      <c r="B157" s="800" t="s">
        <v>1053</v>
      </c>
      <c r="C157" s="801"/>
      <c r="D157" s="801"/>
      <c r="E157" s="802"/>
      <c r="F157" s="867"/>
      <c r="G157" s="858"/>
      <c r="H157" s="864"/>
      <c r="I157" s="865"/>
      <c r="J157" s="864"/>
      <c r="K157" s="799">
        <f t="shared" si="10"/>
        <v>0</v>
      </c>
      <c r="L157" s="883"/>
    </row>
    <row r="158" spans="1:12" s="884" customFormat="1" ht="24" customHeight="1">
      <c r="A158" s="831"/>
      <c r="B158" s="720" t="s">
        <v>1054</v>
      </c>
      <c r="C158" s="792"/>
      <c r="D158" s="792"/>
      <c r="E158" s="793">
        <v>1</v>
      </c>
      <c r="F158" s="722" t="s">
        <v>240</v>
      </c>
      <c r="G158" s="795">
        <v>2400</v>
      </c>
      <c r="H158" s="796">
        <f t="shared" ref="H158:H179" si="12">ROUND(G158*E158,)</f>
        <v>2400</v>
      </c>
      <c r="I158" s="797"/>
      <c r="J158" s="796"/>
      <c r="K158" s="799">
        <f t="shared" si="10"/>
        <v>2400</v>
      </c>
      <c r="L158" s="883"/>
    </row>
    <row r="159" spans="1:12" s="884" customFormat="1" ht="24" customHeight="1">
      <c r="A159" s="831"/>
      <c r="B159" s="720" t="s">
        <v>1055</v>
      </c>
      <c r="C159" s="792"/>
      <c r="D159" s="792"/>
      <c r="E159" s="793">
        <v>1</v>
      </c>
      <c r="F159" s="722" t="s">
        <v>240</v>
      </c>
      <c r="G159" s="795">
        <v>2400</v>
      </c>
      <c r="H159" s="796">
        <f t="shared" si="12"/>
        <v>2400</v>
      </c>
      <c r="I159" s="797"/>
      <c r="J159" s="796"/>
      <c r="K159" s="799">
        <f t="shared" si="10"/>
        <v>2400</v>
      </c>
      <c r="L159" s="883"/>
    </row>
    <row r="160" spans="1:12" s="884" customFormat="1" ht="24" customHeight="1">
      <c r="A160" s="831"/>
      <c r="B160" s="720" t="s">
        <v>1056</v>
      </c>
      <c r="C160" s="792"/>
      <c r="D160" s="792"/>
      <c r="E160" s="793"/>
      <c r="F160" s="722" t="s">
        <v>240</v>
      </c>
      <c r="G160" s="795">
        <v>2400</v>
      </c>
      <c r="H160" s="796">
        <f t="shared" si="12"/>
        <v>0</v>
      </c>
      <c r="I160" s="797"/>
      <c r="J160" s="796"/>
      <c r="K160" s="799">
        <f t="shared" si="10"/>
        <v>0</v>
      </c>
      <c r="L160" s="883"/>
    </row>
    <row r="161" spans="1:12" s="884" customFormat="1" ht="24" customHeight="1">
      <c r="A161" s="831"/>
      <c r="B161" s="720" t="s">
        <v>1057</v>
      </c>
      <c r="C161" s="792"/>
      <c r="D161" s="792"/>
      <c r="E161" s="793">
        <v>1</v>
      </c>
      <c r="F161" s="722" t="s">
        <v>240</v>
      </c>
      <c r="G161" s="795">
        <v>2400</v>
      </c>
      <c r="H161" s="796">
        <f t="shared" si="12"/>
        <v>2400</v>
      </c>
      <c r="I161" s="797"/>
      <c r="J161" s="796"/>
      <c r="K161" s="799">
        <f t="shared" si="10"/>
        <v>2400</v>
      </c>
      <c r="L161" s="883"/>
    </row>
    <row r="162" spans="1:12" s="884" customFormat="1" ht="24" customHeight="1">
      <c r="A162" s="831"/>
      <c r="B162" s="720" t="s">
        <v>1058</v>
      </c>
      <c r="C162" s="792"/>
      <c r="D162" s="792"/>
      <c r="E162" s="793"/>
      <c r="F162" s="722" t="s">
        <v>240</v>
      </c>
      <c r="G162" s="795">
        <v>2400</v>
      </c>
      <c r="H162" s="796">
        <f t="shared" si="12"/>
        <v>0</v>
      </c>
      <c r="I162" s="797"/>
      <c r="J162" s="796"/>
      <c r="K162" s="799">
        <f t="shared" si="10"/>
        <v>0</v>
      </c>
      <c r="L162" s="883"/>
    </row>
    <row r="163" spans="1:12" s="884" customFormat="1" ht="24" customHeight="1">
      <c r="A163" s="831"/>
      <c r="B163" s="720" t="s">
        <v>1059</v>
      </c>
      <c r="C163" s="792"/>
      <c r="D163" s="792"/>
      <c r="E163" s="793"/>
      <c r="F163" s="722" t="s">
        <v>240</v>
      </c>
      <c r="G163" s="795">
        <v>2600</v>
      </c>
      <c r="H163" s="796">
        <f t="shared" si="12"/>
        <v>0</v>
      </c>
      <c r="I163" s="797"/>
      <c r="J163" s="796"/>
      <c r="K163" s="799">
        <f t="shared" si="10"/>
        <v>0</v>
      </c>
      <c r="L163" s="887"/>
    </row>
    <row r="164" spans="1:12" s="884" customFormat="1" ht="24" customHeight="1">
      <c r="A164" s="831"/>
      <c r="B164" s="720" t="s">
        <v>1060</v>
      </c>
      <c r="C164" s="792"/>
      <c r="D164" s="792"/>
      <c r="E164" s="793"/>
      <c r="F164" s="722" t="s">
        <v>240</v>
      </c>
      <c r="G164" s="795">
        <v>3000</v>
      </c>
      <c r="H164" s="796">
        <f t="shared" si="12"/>
        <v>0</v>
      </c>
      <c r="I164" s="797"/>
      <c r="J164" s="796"/>
      <c r="K164" s="799">
        <f t="shared" si="10"/>
        <v>0</v>
      </c>
      <c r="L164" s="887"/>
    </row>
    <row r="165" spans="1:12" s="884" customFormat="1" ht="24" customHeight="1">
      <c r="A165" s="831"/>
      <c r="B165" s="720" t="s">
        <v>1088</v>
      </c>
      <c r="C165" s="801"/>
      <c r="D165" s="801"/>
      <c r="E165" s="802"/>
      <c r="F165" s="803" t="s">
        <v>240</v>
      </c>
      <c r="G165" s="795">
        <v>5000</v>
      </c>
      <c r="H165" s="864">
        <f t="shared" si="12"/>
        <v>0</v>
      </c>
      <c r="I165" s="865"/>
      <c r="J165" s="864"/>
      <c r="K165" s="799">
        <f t="shared" si="10"/>
        <v>0</v>
      </c>
      <c r="L165" s="887"/>
    </row>
    <row r="166" spans="1:12" s="884" customFormat="1" ht="24" customHeight="1">
      <c r="A166" s="831"/>
      <c r="B166" s="720" t="s">
        <v>1105</v>
      </c>
      <c r="C166" s="801"/>
      <c r="D166" s="801"/>
      <c r="E166" s="802"/>
      <c r="F166" s="803" t="s">
        <v>240</v>
      </c>
      <c r="G166" s="795">
        <v>5700</v>
      </c>
      <c r="H166" s="864">
        <f t="shared" si="12"/>
        <v>0</v>
      </c>
      <c r="I166" s="865"/>
      <c r="J166" s="864"/>
      <c r="K166" s="799">
        <f t="shared" si="10"/>
        <v>0</v>
      </c>
      <c r="L166" s="887"/>
    </row>
    <row r="167" spans="1:12" s="884" customFormat="1" ht="24" customHeight="1">
      <c r="A167" s="2396"/>
      <c r="B167" s="720" t="s">
        <v>1086</v>
      </c>
      <c r="C167" s="801"/>
      <c r="D167" s="801"/>
      <c r="E167" s="802"/>
      <c r="F167" s="803" t="s">
        <v>240</v>
      </c>
      <c r="G167" s="795">
        <v>5700</v>
      </c>
      <c r="H167" s="864">
        <f t="shared" si="12"/>
        <v>0</v>
      </c>
      <c r="I167" s="865"/>
      <c r="J167" s="864"/>
      <c r="K167" s="799">
        <f t="shared" si="10"/>
        <v>0</v>
      </c>
      <c r="L167" s="887"/>
    </row>
    <row r="168" spans="1:12" s="884" customFormat="1" ht="24" customHeight="1">
      <c r="A168" s="831"/>
      <c r="B168" s="720" t="s">
        <v>1061</v>
      </c>
      <c r="C168" s="801"/>
      <c r="D168" s="801"/>
      <c r="E168" s="802"/>
      <c r="F168" s="803" t="s">
        <v>240</v>
      </c>
      <c r="G168" s="795">
        <v>8600</v>
      </c>
      <c r="H168" s="864">
        <f t="shared" si="12"/>
        <v>0</v>
      </c>
      <c r="I168" s="865"/>
      <c r="J168" s="864"/>
      <c r="K168" s="799">
        <f t="shared" si="10"/>
        <v>0</v>
      </c>
      <c r="L168" s="887"/>
    </row>
    <row r="169" spans="1:12" s="884" customFormat="1" ht="24" customHeight="1">
      <c r="A169" s="831"/>
      <c r="B169" s="720" t="s">
        <v>1062</v>
      </c>
      <c r="C169" s="801"/>
      <c r="D169" s="801"/>
      <c r="E169" s="802"/>
      <c r="F169" s="803" t="s">
        <v>240</v>
      </c>
      <c r="G169" s="795">
        <v>8600</v>
      </c>
      <c r="H169" s="864">
        <f t="shared" si="12"/>
        <v>0</v>
      </c>
      <c r="I169" s="865"/>
      <c r="J169" s="864"/>
      <c r="K169" s="799">
        <f t="shared" si="10"/>
        <v>0</v>
      </c>
      <c r="L169" s="887"/>
    </row>
    <row r="170" spans="1:12" s="884" customFormat="1" ht="24" customHeight="1">
      <c r="A170" s="831"/>
      <c r="B170" s="720" t="s">
        <v>1063</v>
      </c>
      <c r="C170" s="801"/>
      <c r="D170" s="801"/>
      <c r="E170" s="802"/>
      <c r="F170" s="803" t="s">
        <v>240</v>
      </c>
      <c r="G170" s="795">
        <v>11500</v>
      </c>
      <c r="H170" s="864">
        <f t="shared" si="12"/>
        <v>0</v>
      </c>
      <c r="I170" s="865"/>
      <c r="J170" s="864"/>
      <c r="K170" s="799">
        <f t="shared" si="10"/>
        <v>0</v>
      </c>
      <c r="L170" s="887"/>
    </row>
    <row r="171" spans="1:12" s="884" customFormat="1" ht="24" customHeight="1">
      <c r="A171" s="831"/>
      <c r="B171" s="720" t="s">
        <v>1106</v>
      </c>
      <c r="C171" s="801"/>
      <c r="D171" s="801"/>
      <c r="E171" s="802"/>
      <c r="F171" s="803" t="s">
        <v>240</v>
      </c>
      <c r="G171" s="795">
        <v>20200</v>
      </c>
      <c r="H171" s="864">
        <f t="shared" si="12"/>
        <v>0</v>
      </c>
      <c r="I171" s="865"/>
      <c r="J171" s="864"/>
      <c r="K171" s="799">
        <f t="shared" si="10"/>
        <v>0</v>
      </c>
      <c r="L171" s="887"/>
    </row>
    <row r="172" spans="1:12" s="884" customFormat="1" ht="24" customHeight="1">
      <c r="A172" s="2632"/>
      <c r="B172" s="720" t="s">
        <v>1107</v>
      </c>
      <c r="C172" s="801"/>
      <c r="D172" s="801"/>
      <c r="E172" s="802"/>
      <c r="F172" s="803" t="s">
        <v>240</v>
      </c>
      <c r="G172" s="795">
        <v>20200</v>
      </c>
      <c r="H172" s="864">
        <f t="shared" si="12"/>
        <v>0</v>
      </c>
      <c r="I172" s="865"/>
      <c r="J172" s="864"/>
      <c r="K172" s="799">
        <f t="shared" si="10"/>
        <v>0</v>
      </c>
      <c r="L172" s="887"/>
    </row>
    <row r="173" spans="1:12" s="884" customFormat="1" ht="24" customHeight="1">
      <c r="A173" s="2632"/>
      <c r="B173" s="720" t="s">
        <v>1108</v>
      </c>
      <c r="C173" s="801"/>
      <c r="D173" s="801"/>
      <c r="E173" s="802"/>
      <c r="F173" s="803" t="s">
        <v>240</v>
      </c>
      <c r="G173" s="795">
        <v>20200</v>
      </c>
      <c r="H173" s="864">
        <f t="shared" si="12"/>
        <v>0</v>
      </c>
      <c r="I173" s="865"/>
      <c r="J173" s="864"/>
      <c r="K173" s="799">
        <f t="shared" si="10"/>
        <v>0</v>
      </c>
      <c r="L173" s="887"/>
    </row>
    <row r="174" spans="1:12" s="884" customFormat="1" ht="24" customHeight="1">
      <c r="A174" s="831" t="s">
        <v>3097</v>
      </c>
      <c r="B174" s="800" t="s">
        <v>1001</v>
      </c>
      <c r="C174" s="801"/>
      <c r="D174" s="801"/>
      <c r="E174" s="802"/>
      <c r="F174" s="867"/>
      <c r="G174" s="858"/>
      <c r="H174" s="864">
        <f t="shared" si="12"/>
        <v>0</v>
      </c>
      <c r="I174" s="865"/>
      <c r="J174" s="864"/>
      <c r="K174" s="799">
        <f t="shared" si="10"/>
        <v>0</v>
      </c>
      <c r="L174" s="887"/>
    </row>
    <row r="175" spans="1:12" s="884" customFormat="1" ht="24" customHeight="1">
      <c r="A175" s="831"/>
      <c r="B175" s="800" t="s">
        <v>1114</v>
      </c>
      <c r="C175" s="801"/>
      <c r="D175" s="801"/>
      <c r="E175" s="802">
        <v>3</v>
      </c>
      <c r="F175" s="803" t="s">
        <v>240</v>
      </c>
      <c r="G175" s="858">
        <v>600</v>
      </c>
      <c r="H175" s="864">
        <f t="shared" si="12"/>
        <v>1800</v>
      </c>
      <c r="I175" s="865"/>
      <c r="J175" s="864"/>
      <c r="K175" s="799">
        <f t="shared" si="10"/>
        <v>1800</v>
      </c>
      <c r="L175" s="887"/>
    </row>
    <row r="176" spans="1:12" s="884" customFormat="1" ht="24" customHeight="1">
      <c r="A176" s="831"/>
      <c r="B176" s="800" t="s">
        <v>1003</v>
      </c>
      <c r="C176" s="801"/>
      <c r="D176" s="801"/>
      <c r="E176" s="802">
        <v>3</v>
      </c>
      <c r="F176" s="803" t="s">
        <v>240</v>
      </c>
      <c r="G176" s="858">
        <v>120</v>
      </c>
      <c r="H176" s="864">
        <f t="shared" si="12"/>
        <v>360</v>
      </c>
      <c r="I176" s="865"/>
      <c r="J176" s="864"/>
      <c r="K176" s="799">
        <f t="shared" si="10"/>
        <v>360</v>
      </c>
      <c r="L176" s="887"/>
    </row>
    <row r="177" spans="1:17" s="884" customFormat="1" ht="24" customHeight="1">
      <c r="A177" s="2632"/>
      <c r="B177" s="800" t="s">
        <v>1004</v>
      </c>
      <c r="C177" s="801"/>
      <c r="D177" s="801"/>
      <c r="E177" s="802">
        <v>3</v>
      </c>
      <c r="F177" s="803" t="s">
        <v>240</v>
      </c>
      <c r="G177" s="858">
        <v>100</v>
      </c>
      <c r="H177" s="864">
        <f t="shared" si="12"/>
        <v>300</v>
      </c>
      <c r="I177" s="865"/>
      <c r="J177" s="864"/>
      <c r="K177" s="799">
        <f t="shared" si="10"/>
        <v>300</v>
      </c>
      <c r="L177" s="887"/>
    </row>
    <row r="178" spans="1:17" s="714" customFormat="1" ht="24" customHeight="1">
      <c r="A178" s="2633"/>
      <c r="B178" s="800" t="s">
        <v>1065</v>
      </c>
      <c r="C178" s="801"/>
      <c r="D178" s="801"/>
      <c r="E178" s="802">
        <v>1</v>
      </c>
      <c r="F178" s="803" t="s">
        <v>240</v>
      </c>
      <c r="G178" s="858">
        <v>15435</v>
      </c>
      <c r="H178" s="864">
        <f t="shared" si="12"/>
        <v>15435</v>
      </c>
      <c r="I178" s="865"/>
      <c r="J178" s="864"/>
      <c r="K178" s="799">
        <f t="shared" si="10"/>
        <v>15435</v>
      </c>
      <c r="L178" s="887"/>
      <c r="M178" s="729"/>
      <c r="N178" s="729"/>
      <c r="O178" s="729"/>
      <c r="P178" s="729"/>
      <c r="Q178" s="729"/>
    </row>
    <row r="179" spans="1:17" s="714" customFormat="1" ht="24" customHeight="1">
      <c r="A179" s="831" t="s">
        <v>3098</v>
      </c>
      <c r="B179" s="800" t="s">
        <v>1066</v>
      </c>
      <c r="C179" s="801"/>
      <c r="D179" s="801"/>
      <c r="E179" s="802">
        <v>1</v>
      </c>
      <c r="F179" s="803" t="s">
        <v>948</v>
      </c>
      <c r="G179" s="795">
        <v>33400</v>
      </c>
      <c r="H179" s="864">
        <f t="shared" si="12"/>
        <v>33400</v>
      </c>
      <c r="I179" s="865">
        <f>G179*0.3</f>
        <v>10020</v>
      </c>
      <c r="J179" s="864">
        <f>ROUND(E179*I179,)</f>
        <v>10020</v>
      </c>
      <c r="K179" s="799">
        <f t="shared" si="10"/>
        <v>43420</v>
      </c>
      <c r="L179" s="964"/>
      <c r="M179" s="729"/>
      <c r="N179" s="729"/>
      <c r="O179" s="729"/>
      <c r="P179" s="729"/>
      <c r="Q179" s="729"/>
    </row>
    <row r="180" spans="1:17" s="884" customFormat="1" ht="24" customHeight="1">
      <c r="A180" s="878" t="s">
        <v>1415</v>
      </c>
      <c r="B180" s="894" t="s">
        <v>1131</v>
      </c>
      <c r="C180" s="895"/>
      <c r="D180" s="895"/>
      <c r="E180" s="896"/>
      <c r="F180" s="897"/>
      <c r="G180" s="858"/>
      <c r="H180" s="864"/>
      <c r="I180" s="865"/>
      <c r="J180" s="864"/>
      <c r="K180" s="799">
        <f t="shared" si="10"/>
        <v>0</v>
      </c>
      <c r="L180" s="887"/>
    </row>
    <row r="181" spans="1:17" s="884" customFormat="1" ht="24" customHeight="1">
      <c r="A181" s="831" t="s">
        <v>3104</v>
      </c>
      <c r="B181" s="800" t="s">
        <v>1053</v>
      </c>
      <c r="C181" s="801"/>
      <c r="D181" s="801"/>
      <c r="E181" s="802"/>
      <c r="F181" s="867"/>
      <c r="G181" s="858"/>
      <c r="H181" s="864"/>
      <c r="I181" s="865"/>
      <c r="J181" s="864"/>
      <c r="K181" s="799">
        <f t="shared" si="10"/>
        <v>0</v>
      </c>
      <c r="L181" s="887"/>
    </row>
    <row r="182" spans="1:17" s="884" customFormat="1" ht="24" customHeight="1">
      <c r="A182" s="831"/>
      <c r="B182" s="720" t="s">
        <v>1055</v>
      </c>
      <c r="C182" s="792"/>
      <c r="D182" s="792"/>
      <c r="E182" s="793">
        <v>1</v>
      </c>
      <c r="F182" s="722" t="s">
        <v>240</v>
      </c>
      <c r="G182" s="795">
        <v>2400</v>
      </c>
      <c r="H182" s="796">
        <f t="shared" ref="H182:H203" si="13">ROUND(G182*E182,)</f>
        <v>2400</v>
      </c>
      <c r="I182" s="797"/>
      <c r="J182" s="796"/>
      <c r="K182" s="799">
        <f t="shared" si="10"/>
        <v>2400</v>
      </c>
      <c r="L182" s="883"/>
    </row>
    <row r="183" spans="1:17" s="884" customFormat="1" ht="24" customHeight="1">
      <c r="A183" s="831"/>
      <c r="B183" s="720" t="s">
        <v>1056</v>
      </c>
      <c r="C183" s="792"/>
      <c r="D183" s="792"/>
      <c r="E183" s="793"/>
      <c r="F183" s="722" t="s">
        <v>240</v>
      </c>
      <c r="G183" s="795">
        <v>2400</v>
      </c>
      <c r="H183" s="796">
        <f t="shared" si="13"/>
        <v>0</v>
      </c>
      <c r="I183" s="797"/>
      <c r="J183" s="796"/>
      <c r="K183" s="799">
        <f t="shared" si="10"/>
        <v>0</v>
      </c>
      <c r="L183" s="883"/>
    </row>
    <row r="184" spans="1:17" s="884" customFormat="1" ht="24" customHeight="1">
      <c r="A184" s="831"/>
      <c r="B184" s="720" t="s">
        <v>1057</v>
      </c>
      <c r="C184" s="792"/>
      <c r="D184" s="792"/>
      <c r="E184" s="793"/>
      <c r="F184" s="722" t="s">
        <v>240</v>
      </c>
      <c r="G184" s="795">
        <v>2400</v>
      </c>
      <c r="H184" s="796">
        <f t="shared" si="13"/>
        <v>0</v>
      </c>
      <c r="I184" s="797"/>
      <c r="J184" s="796"/>
      <c r="K184" s="799">
        <f t="shared" si="10"/>
        <v>0</v>
      </c>
      <c r="L184" s="883"/>
    </row>
    <row r="185" spans="1:17" s="884" customFormat="1" ht="24" customHeight="1">
      <c r="A185" s="831"/>
      <c r="B185" s="720" t="s">
        <v>1058</v>
      </c>
      <c r="C185" s="792"/>
      <c r="D185" s="792"/>
      <c r="E185" s="793"/>
      <c r="F185" s="722" t="s">
        <v>240</v>
      </c>
      <c r="G185" s="795">
        <v>2400</v>
      </c>
      <c r="H185" s="796">
        <f t="shared" si="13"/>
        <v>0</v>
      </c>
      <c r="I185" s="797"/>
      <c r="J185" s="796"/>
      <c r="K185" s="799">
        <f t="shared" si="10"/>
        <v>0</v>
      </c>
      <c r="L185" s="883"/>
    </row>
    <row r="186" spans="1:17" s="884" customFormat="1" ht="24" customHeight="1">
      <c r="A186" s="831"/>
      <c r="B186" s="720" t="s">
        <v>1059</v>
      </c>
      <c r="C186" s="792"/>
      <c r="D186" s="792"/>
      <c r="E186" s="793"/>
      <c r="F186" s="722" t="s">
        <v>240</v>
      </c>
      <c r="G186" s="795">
        <v>2600</v>
      </c>
      <c r="H186" s="796">
        <f t="shared" si="13"/>
        <v>0</v>
      </c>
      <c r="I186" s="797"/>
      <c r="J186" s="796"/>
      <c r="K186" s="799">
        <f t="shared" si="10"/>
        <v>0</v>
      </c>
      <c r="L186" s="883"/>
    </row>
    <row r="187" spans="1:17" s="884" customFormat="1" ht="24" customHeight="1">
      <c r="A187" s="831"/>
      <c r="B187" s="720" t="s">
        <v>1060</v>
      </c>
      <c r="C187" s="792"/>
      <c r="D187" s="792"/>
      <c r="E187" s="793"/>
      <c r="F187" s="722" t="s">
        <v>240</v>
      </c>
      <c r="G187" s="795">
        <v>3000</v>
      </c>
      <c r="H187" s="796">
        <f t="shared" si="13"/>
        <v>0</v>
      </c>
      <c r="I187" s="797"/>
      <c r="J187" s="796"/>
      <c r="K187" s="799">
        <f t="shared" si="10"/>
        <v>0</v>
      </c>
      <c r="L187" s="883"/>
    </row>
    <row r="188" spans="1:17" s="884" customFormat="1" ht="24" customHeight="1">
      <c r="A188" s="831"/>
      <c r="B188" s="720" t="s">
        <v>1088</v>
      </c>
      <c r="C188" s="801"/>
      <c r="D188" s="801"/>
      <c r="E188" s="802"/>
      <c r="F188" s="803" t="s">
        <v>240</v>
      </c>
      <c r="G188" s="858">
        <v>2400</v>
      </c>
      <c r="H188" s="864">
        <f t="shared" si="13"/>
        <v>0</v>
      </c>
      <c r="I188" s="865"/>
      <c r="J188" s="864"/>
      <c r="K188" s="799">
        <f t="shared" si="10"/>
        <v>0</v>
      </c>
      <c r="L188" s="887"/>
    </row>
    <row r="189" spans="1:17" s="884" customFormat="1" ht="24" customHeight="1">
      <c r="A189" s="831"/>
      <c r="B189" s="720" t="s">
        <v>1105</v>
      </c>
      <c r="C189" s="801"/>
      <c r="D189" s="801"/>
      <c r="E189" s="802"/>
      <c r="F189" s="803" t="s">
        <v>240</v>
      </c>
      <c r="G189" s="858">
        <v>2400</v>
      </c>
      <c r="H189" s="864">
        <f t="shared" si="13"/>
        <v>0</v>
      </c>
      <c r="I189" s="865"/>
      <c r="J189" s="864"/>
      <c r="K189" s="799">
        <f t="shared" si="10"/>
        <v>0</v>
      </c>
      <c r="L189" s="887"/>
    </row>
    <row r="190" spans="1:17" s="884" customFormat="1" ht="24" customHeight="1">
      <c r="A190" s="831"/>
      <c r="B190" s="720" t="s">
        <v>1086</v>
      </c>
      <c r="C190" s="801"/>
      <c r="D190" s="801"/>
      <c r="E190" s="802"/>
      <c r="F190" s="803" t="s">
        <v>240</v>
      </c>
      <c r="G190" s="858">
        <v>3000</v>
      </c>
      <c r="H190" s="864">
        <f t="shared" si="13"/>
        <v>0</v>
      </c>
      <c r="I190" s="865"/>
      <c r="J190" s="864"/>
      <c r="K190" s="799">
        <f t="shared" si="10"/>
        <v>0</v>
      </c>
      <c r="L190" s="887"/>
    </row>
    <row r="191" spans="1:17" s="884" customFormat="1" ht="24" customHeight="1">
      <c r="A191" s="831"/>
      <c r="B191" s="720" t="s">
        <v>1061</v>
      </c>
      <c r="C191" s="801"/>
      <c r="D191" s="801"/>
      <c r="E191" s="802"/>
      <c r="F191" s="803" t="s">
        <v>240</v>
      </c>
      <c r="G191" s="858">
        <v>5700</v>
      </c>
      <c r="H191" s="864">
        <f t="shared" si="13"/>
        <v>0</v>
      </c>
      <c r="I191" s="865"/>
      <c r="J191" s="864"/>
      <c r="K191" s="799">
        <f t="shared" si="10"/>
        <v>0</v>
      </c>
      <c r="L191" s="887"/>
    </row>
    <row r="192" spans="1:17" s="884" customFormat="1" ht="24" customHeight="1">
      <c r="A192" s="2632"/>
      <c r="B192" s="720" t="s">
        <v>1062</v>
      </c>
      <c r="C192" s="801"/>
      <c r="D192" s="801"/>
      <c r="E192" s="802"/>
      <c r="F192" s="803" t="s">
        <v>240</v>
      </c>
      <c r="G192" s="858">
        <v>5700</v>
      </c>
      <c r="H192" s="864">
        <f t="shared" si="13"/>
        <v>0</v>
      </c>
      <c r="I192" s="865"/>
      <c r="J192" s="864"/>
      <c r="K192" s="799">
        <f t="shared" si="10"/>
        <v>0</v>
      </c>
      <c r="L192" s="887"/>
    </row>
    <row r="193" spans="1:17" s="884" customFormat="1" ht="24" customHeight="1">
      <c r="A193" s="831"/>
      <c r="B193" s="720" t="s">
        <v>1063</v>
      </c>
      <c r="C193" s="801"/>
      <c r="D193" s="801"/>
      <c r="E193" s="802"/>
      <c r="F193" s="803" t="s">
        <v>240</v>
      </c>
      <c r="G193" s="858">
        <v>5700</v>
      </c>
      <c r="H193" s="864">
        <f t="shared" si="13"/>
        <v>0</v>
      </c>
      <c r="I193" s="865"/>
      <c r="J193" s="864"/>
      <c r="K193" s="799">
        <f t="shared" si="10"/>
        <v>0</v>
      </c>
      <c r="L193" s="887"/>
    </row>
    <row r="194" spans="1:17" s="884" customFormat="1" ht="24" customHeight="1">
      <c r="A194" s="831"/>
      <c r="B194" s="720" t="s">
        <v>1106</v>
      </c>
      <c r="C194" s="801"/>
      <c r="D194" s="801"/>
      <c r="E194" s="802"/>
      <c r="F194" s="803" t="s">
        <v>240</v>
      </c>
      <c r="G194" s="858">
        <v>5700</v>
      </c>
      <c r="H194" s="864">
        <f t="shared" si="13"/>
        <v>0</v>
      </c>
      <c r="I194" s="865"/>
      <c r="J194" s="864"/>
      <c r="K194" s="799">
        <f t="shared" si="10"/>
        <v>0</v>
      </c>
      <c r="L194" s="887"/>
    </row>
    <row r="195" spans="1:17" s="884" customFormat="1" ht="24" customHeight="1">
      <c r="A195" s="831"/>
      <c r="B195" s="720" t="s">
        <v>1107</v>
      </c>
      <c r="C195" s="801"/>
      <c r="D195" s="801"/>
      <c r="E195" s="802"/>
      <c r="F195" s="803" t="s">
        <v>240</v>
      </c>
      <c r="G195" s="858">
        <v>5700</v>
      </c>
      <c r="H195" s="864">
        <f t="shared" si="13"/>
        <v>0</v>
      </c>
      <c r="I195" s="865"/>
      <c r="J195" s="864"/>
      <c r="K195" s="799">
        <f t="shared" si="10"/>
        <v>0</v>
      </c>
      <c r="L195" s="887"/>
    </row>
    <row r="196" spans="1:17" s="884" customFormat="1" ht="24" customHeight="1">
      <c r="A196" s="831"/>
      <c r="B196" s="720" t="s">
        <v>1108</v>
      </c>
      <c r="C196" s="801"/>
      <c r="D196" s="801"/>
      <c r="E196" s="802"/>
      <c r="F196" s="803" t="s">
        <v>240</v>
      </c>
      <c r="G196" s="858">
        <v>5700</v>
      </c>
      <c r="H196" s="864">
        <f t="shared" si="13"/>
        <v>0</v>
      </c>
      <c r="I196" s="865"/>
      <c r="J196" s="864"/>
      <c r="K196" s="799">
        <f t="shared" ref="K196:K203" si="14">H196+J196</f>
        <v>0</v>
      </c>
      <c r="L196" s="887"/>
    </row>
    <row r="197" spans="1:17" s="884" customFormat="1" ht="24" customHeight="1">
      <c r="A197" s="831" t="s">
        <v>3105</v>
      </c>
      <c r="B197" s="800" t="s">
        <v>1001</v>
      </c>
      <c r="C197" s="801"/>
      <c r="D197" s="801"/>
      <c r="E197" s="802"/>
      <c r="F197" s="867"/>
      <c r="G197" s="858"/>
      <c r="H197" s="864">
        <f t="shared" si="13"/>
        <v>0</v>
      </c>
      <c r="I197" s="865"/>
      <c r="J197" s="864"/>
      <c r="K197" s="799">
        <f t="shared" si="14"/>
        <v>0</v>
      </c>
      <c r="L197" s="887"/>
    </row>
    <row r="198" spans="1:17" s="884" customFormat="1" ht="24" customHeight="1">
      <c r="A198" s="831"/>
      <c r="B198" s="800" t="s">
        <v>1073</v>
      </c>
      <c r="C198" s="801"/>
      <c r="D198" s="801"/>
      <c r="E198" s="802">
        <v>3</v>
      </c>
      <c r="F198" s="803" t="s">
        <v>240</v>
      </c>
      <c r="G198" s="858">
        <v>600</v>
      </c>
      <c r="H198" s="864">
        <f t="shared" si="13"/>
        <v>1800</v>
      </c>
      <c r="I198" s="865"/>
      <c r="J198" s="864"/>
      <c r="K198" s="799">
        <f t="shared" si="14"/>
        <v>1800</v>
      </c>
      <c r="L198" s="887"/>
    </row>
    <row r="199" spans="1:17" s="884" customFormat="1" ht="24" customHeight="1">
      <c r="A199" s="831"/>
      <c r="B199" s="800" t="s">
        <v>1003</v>
      </c>
      <c r="C199" s="801"/>
      <c r="D199" s="801"/>
      <c r="E199" s="802">
        <v>3</v>
      </c>
      <c r="F199" s="803" t="s">
        <v>240</v>
      </c>
      <c r="G199" s="858">
        <v>120</v>
      </c>
      <c r="H199" s="864">
        <f t="shared" si="13"/>
        <v>360</v>
      </c>
      <c r="I199" s="865"/>
      <c r="J199" s="864"/>
      <c r="K199" s="799">
        <f t="shared" si="14"/>
        <v>360</v>
      </c>
      <c r="L199" s="887"/>
    </row>
    <row r="200" spans="1:17" s="884" customFormat="1" ht="24" customHeight="1">
      <c r="A200" s="831"/>
      <c r="B200" s="800" t="s">
        <v>1004</v>
      </c>
      <c r="C200" s="801"/>
      <c r="D200" s="801"/>
      <c r="E200" s="802">
        <v>3</v>
      </c>
      <c r="F200" s="803" t="s">
        <v>240</v>
      </c>
      <c r="G200" s="858">
        <v>100</v>
      </c>
      <c r="H200" s="864">
        <f t="shared" si="13"/>
        <v>300</v>
      </c>
      <c r="I200" s="865"/>
      <c r="J200" s="864"/>
      <c r="K200" s="799">
        <f t="shared" si="14"/>
        <v>300</v>
      </c>
      <c r="L200" s="887"/>
    </row>
    <row r="201" spans="1:17" s="884" customFormat="1" ht="24" customHeight="1">
      <c r="A201" s="2632"/>
      <c r="B201" s="800" t="s">
        <v>1065</v>
      </c>
      <c r="C201" s="801"/>
      <c r="D201" s="801"/>
      <c r="E201" s="802">
        <v>4</v>
      </c>
      <c r="F201" s="803" t="s">
        <v>240</v>
      </c>
      <c r="G201" s="858">
        <v>15435</v>
      </c>
      <c r="H201" s="864">
        <f t="shared" si="13"/>
        <v>61740</v>
      </c>
      <c r="I201" s="865"/>
      <c r="J201" s="864"/>
      <c r="K201" s="799">
        <f t="shared" si="14"/>
        <v>61740</v>
      </c>
      <c r="L201" s="887"/>
    </row>
    <row r="202" spans="1:17" s="884" customFormat="1" ht="24" customHeight="1">
      <c r="A202" s="2632"/>
      <c r="B202" s="800"/>
      <c r="C202" s="801"/>
      <c r="D202" s="801"/>
      <c r="E202" s="802"/>
      <c r="F202" s="803"/>
      <c r="G202" s="858"/>
      <c r="H202" s="864"/>
      <c r="I202" s="865"/>
      <c r="J202" s="864"/>
      <c r="K202" s="799"/>
      <c r="L202" s="887"/>
    </row>
    <row r="203" spans="1:17" s="884" customFormat="1" ht="24" customHeight="1">
      <c r="A203" s="831" t="s">
        <v>3106</v>
      </c>
      <c r="B203" s="800" t="s">
        <v>1066</v>
      </c>
      <c r="C203" s="801"/>
      <c r="D203" s="801"/>
      <c r="E203" s="802">
        <v>1</v>
      </c>
      <c r="F203" s="803" t="s">
        <v>948</v>
      </c>
      <c r="G203" s="795">
        <v>33400</v>
      </c>
      <c r="H203" s="864">
        <f t="shared" si="13"/>
        <v>33400</v>
      </c>
      <c r="I203" s="865">
        <f>G203*0.3</f>
        <v>10020</v>
      </c>
      <c r="J203" s="864">
        <f>ROUND(E203*I203,)</f>
        <v>10020</v>
      </c>
      <c r="K203" s="799">
        <f t="shared" si="14"/>
        <v>43420</v>
      </c>
      <c r="L203" s="887"/>
    </row>
    <row r="204" spans="1:17" s="714" customFormat="1" ht="24" customHeight="1">
      <c r="A204" s="831"/>
      <c r="B204" s="720" t="s">
        <v>957</v>
      </c>
      <c r="C204" s="717"/>
      <c r="D204" s="717"/>
      <c r="E204" s="917"/>
      <c r="F204" s="916"/>
      <c r="G204" s="806"/>
      <c r="H204" s="918"/>
      <c r="I204" s="807"/>
      <c r="J204" s="919"/>
      <c r="K204" s="968"/>
      <c r="L204" s="919"/>
      <c r="M204" s="729"/>
      <c r="N204" s="729"/>
      <c r="O204" s="729"/>
      <c r="P204" s="729"/>
      <c r="Q204" s="729"/>
    </row>
    <row r="205" spans="1:17" s="714" customFormat="1" ht="24" customHeight="1">
      <c r="A205" s="719"/>
      <c r="B205" s="720" t="s">
        <v>1428</v>
      </c>
      <c r="C205" s="717"/>
      <c r="D205" s="718"/>
      <c r="E205" s="721"/>
      <c r="F205" s="722"/>
      <c r="G205" s="710"/>
      <c r="H205" s="711"/>
      <c r="I205" s="712"/>
      <c r="J205" s="711"/>
      <c r="K205" s="1129"/>
      <c r="L205" s="1024"/>
    </row>
    <row r="206" spans="1:17" s="714" customFormat="1" ht="24" customHeight="1">
      <c r="A206" s="719"/>
      <c r="B206" s="720" t="s">
        <v>1428</v>
      </c>
      <c r="C206" s="717"/>
      <c r="D206" s="718"/>
      <c r="E206" s="721"/>
      <c r="F206" s="722"/>
      <c r="G206" s="710"/>
      <c r="H206" s="711"/>
      <c r="I206" s="712"/>
      <c r="J206" s="711"/>
      <c r="K206" s="1129"/>
      <c r="L206" s="1024"/>
    </row>
    <row r="207" spans="1:17" s="714" customFormat="1" ht="24" customHeight="1">
      <c r="A207" s="719"/>
      <c r="B207" s="955"/>
      <c r="C207" s="717"/>
      <c r="D207" s="718"/>
      <c r="E207" s="721"/>
      <c r="F207" s="722"/>
      <c r="G207" s="710"/>
      <c r="H207" s="711"/>
      <c r="I207" s="956"/>
      <c r="J207" s="957"/>
      <c r="K207" s="958"/>
      <c r="L207" s="954"/>
    </row>
    <row r="208" spans="1:17" s="714" customFormat="1" ht="24" customHeight="1">
      <c r="A208" s="775"/>
      <c r="B208" s="2475" t="str">
        <f>"รวมราคารายการที่ "&amp;A131</f>
        <v>รวมราคารายการที่ 3.2</v>
      </c>
      <c r="C208" s="2476"/>
      <c r="D208" s="2477"/>
      <c r="E208" s="776"/>
      <c r="F208" s="777"/>
      <c r="G208" s="959"/>
      <c r="H208" s="960">
        <f>SUM(H131:H207)</f>
        <v>212190</v>
      </c>
      <c r="I208" s="959"/>
      <c r="J208" s="960">
        <f>SUM(J131:J207)</f>
        <v>30060</v>
      </c>
      <c r="K208" s="960">
        <f>SUM(K131:K207)</f>
        <v>242250</v>
      </c>
      <c r="L208" s="777"/>
      <c r="M208" s="729"/>
      <c r="N208" s="729"/>
      <c r="O208" s="729"/>
      <c r="P208" s="729"/>
      <c r="Q208" s="729"/>
    </row>
    <row r="209" spans="1:18" s="714" customFormat="1" ht="24" customHeight="1">
      <c r="A209" s="961" t="s">
        <v>1279</v>
      </c>
      <c r="B209" s="782" t="s">
        <v>1267</v>
      </c>
      <c r="C209" s="784"/>
      <c r="D209" s="784"/>
      <c r="E209" s="785"/>
      <c r="F209" s="786"/>
      <c r="G209" s="787"/>
      <c r="H209" s="788"/>
      <c r="I209" s="789"/>
      <c r="J209" s="788"/>
      <c r="K209" s="965"/>
      <c r="L209" s="1074"/>
      <c r="M209" s="1094"/>
      <c r="N209" s="1094"/>
      <c r="O209" s="1094"/>
      <c r="P209" s="729"/>
      <c r="Q209" s="729"/>
      <c r="R209" s="729"/>
    </row>
    <row r="210" spans="1:18" s="714" customFormat="1" ht="24" customHeight="1">
      <c r="A210" s="911" t="s">
        <v>965</v>
      </c>
      <c r="B210" s="1043" t="s">
        <v>1389</v>
      </c>
      <c r="C210" s="859"/>
      <c r="D210" s="859"/>
      <c r="E210" s="851"/>
      <c r="F210" s="852"/>
      <c r="G210" s="853"/>
      <c r="H210" s="854"/>
      <c r="I210" s="855"/>
      <c r="J210" s="854"/>
      <c r="K210" s="1007"/>
      <c r="L210" s="1008"/>
      <c r="M210" s="729"/>
      <c r="N210" s="729"/>
      <c r="O210" s="729"/>
      <c r="P210" s="729"/>
      <c r="Q210" s="729"/>
    </row>
    <row r="211" spans="1:18" s="714" customFormat="1" ht="24" customHeight="1">
      <c r="A211" s="911"/>
      <c r="B211" s="800" t="s">
        <v>1555</v>
      </c>
      <c r="C211" s="859"/>
      <c r="D211" s="859"/>
      <c r="E211" s="851">
        <v>1</v>
      </c>
      <c r="F211" s="803" t="s">
        <v>240</v>
      </c>
      <c r="G211" s="853">
        <v>5500</v>
      </c>
      <c r="H211" s="864">
        <f t="shared" ref="H211:H219" si="15">ROUND(E211*G211,)</f>
        <v>5500</v>
      </c>
      <c r="I211" s="855">
        <v>1000</v>
      </c>
      <c r="J211" s="864">
        <f>ROUND(E211*I211,)</f>
        <v>1000</v>
      </c>
      <c r="K211" s="966">
        <f t="shared" ref="K211:K238" si="16">H211+J211</f>
        <v>6500</v>
      </c>
      <c r="L211" s="1008"/>
      <c r="M211" s="729"/>
      <c r="N211" s="729"/>
      <c r="O211" s="729"/>
      <c r="P211" s="729"/>
      <c r="Q211" s="729"/>
    </row>
    <row r="212" spans="1:18" s="714" customFormat="1" ht="24" customHeight="1">
      <c r="A212" s="911"/>
      <c r="B212" s="800" t="s">
        <v>1271</v>
      </c>
      <c r="C212" s="801"/>
      <c r="D212" s="801"/>
      <c r="E212" s="802">
        <v>12</v>
      </c>
      <c r="F212" s="803" t="s">
        <v>240</v>
      </c>
      <c r="G212" s="858">
        <v>138</v>
      </c>
      <c r="H212" s="864">
        <f t="shared" si="15"/>
        <v>1656</v>
      </c>
      <c r="I212" s="865"/>
      <c r="J212" s="864"/>
      <c r="K212" s="966">
        <f t="shared" si="16"/>
        <v>1656</v>
      </c>
      <c r="L212" s="1010"/>
      <c r="M212" s="729"/>
      <c r="N212" s="729"/>
      <c r="O212" s="729"/>
      <c r="P212" s="729"/>
      <c r="Q212" s="729"/>
    </row>
    <row r="213" spans="1:18" s="714" customFormat="1" ht="24" customHeight="1">
      <c r="A213" s="861"/>
      <c r="B213" s="800" t="s">
        <v>1392</v>
      </c>
      <c r="C213" s="801"/>
      <c r="D213" s="801"/>
      <c r="E213" s="802">
        <v>1</v>
      </c>
      <c r="F213" s="803" t="s">
        <v>240</v>
      </c>
      <c r="G213" s="858">
        <v>680</v>
      </c>
      <c r="H213" s="864">
        <f t="shared" si="15"/>
        <v>680</v>
      </c>
      <c r="I213" s="865"/>
      <c r="J213" s="864"/>
      <c r="K213" s="966">
        <f t="shared" si="16"/>
        <v>680</v>
      </c>
      <c r="L213" s="1010"/>
      <c r="M213" s="729"/>
      <c r="N213" s="729"/>
      <c r="O213" s="729"/>
      <c r="P213" s="729"/>
    </row>
    <row r="214" spans="1:18" s="714" customFormat="1" ht="24" customHeight="1">
      <c r="A214" s="911"/>
      <c r="B214" s="800" t="s">
        <v>1556</v>
      </c>
      <c r="C214" s="859"/>
      <c r="D214" s="859"/>
      <c r="E214" s="851">
        <v>1</v>
      </c>
      <c r="F214" s="803" t="s">
        <v>240</v>
      </c>
      <c r="G214" s="858">
        <v>7000</v>
      </c>
      <c r="H214" s="796">
        <v>7000</v>
      </c>
      <c r="I214" s="797">
        <v>1500</v>
      </c>
      <c r="J214" s="796">
        <v>1500</v>
      </c>
      <c r="K214" s="966">
        <f t="shared" si="16"/>
        <v>8500</v>
      </c>
      <c r="L214" s="1008"/>
      <c r="M214" s="729"/>
      <c r="N214" s="729"/>
      <c r="O214" s="729"/>
      <c r="P214" s="729"/>
      <c r="Q214" s="729"/>
    </row>
    <row r="215" spans="1:18" s="714" customFormat="1" ht="24" customHeight="1">
      <c r="A215" s="911"/>
      <c r="B215" s="800" t="s">
        <v>1271</v>
      </c>
      <c r="C215" s="801"/>
      <c r="D215" s="801"/>
      <c r="E215" s="802">
        <v>24</v>
      </c>
      <c r="F215" s="803" t="s">
        <v>240</v>
      </c>
      <c r="G215" s="858">
        <v>138</v>
      </c>
      <c r="H215" s="864">
        <f t="shared" ref="H215" si="17">ROUND(E215*G215,)</f>
        <v>3312</v>
      </c>
      <c r="I215" s="865"/>
      <c r="J215" s="864"/>
      <c r="K215" s="966">
        <f t="shared" si="16"/>
        <v>3312</v>
      </c>
      <c r="L215" s="1010"/>
      <c r="M215" s="729"/>
      <c r="N215" s="729"/>
      <c r="O215" s="729"/>
      <c r="P215" s="729"/>
      <c r="Q215" s="729"/>
    </row>
    <row r="216" spans="1:18" s="884" customFormat="1" ht="24" customHeight="1">
      <c r="A216" s="1045"/>
      <c r="B216" s="800" t="s">
        <v>1557</v>
      </c>
      <c r="C216" s="859"/>
      <c r="D216" s="859"/>
      <c r="E216" s="851">
        <v>1</v>
      </c>
      <c r="F216" s="803" t="s">
        <v>240</v>
      </c>
      <c r="G216" s="853">
        <v>5500</v>
      </c>
      <c r="H216" s="864">
        <f t="shared" si="15"/>
        <v>5500</v>
      </c>
      <c r="I216" s="855">
        <v>1000</v>
      </c>
      <c r="J216" s="864">
        <f>ROUND(E216*I216,)</f>
        <v>1000</v>
      </c>
      <c r="K216" s="966">
        <f t="shared" si="16"/>
        <v>6500</v>
      </c>
      <c r="L216" s="1075"/>
      <c r="M216" s="1027"/>
      <c r="N216" s="1027"/>
      <c r="O216" s="1027"/>
      <c r="P216" s="1027"/>
      <c r="Q216" s="1027"/>
    </row>
    <row r="217" spans="1:18" s="884" customFormat="1" ht="24" customHeight="1">
      <c r="A217" s="1045"/>
      <c r="B217" s="800" t="s">
        <v>1271</v>
      </c>
      <c r="C217" s="801"/>
      <c r="D217" s="801"/>
      <c r="E217" s="802">
        <v>11</v>
      </c>
      <c r="F217" s="803" t="s">
        <v>240</v>
      </c>
      <c r="G217" s="858">
        <v>138</v>
      </c>
      <c r="H217" s="864">
        <f t="shared" si="15"/>
        <v>1518</v>
      </c>
      <c r="I217" s="865"/>
      <c r="J217" s="864"/>
      <c r="K217" s="966">
        <f t="shared" si="16"/>
        <v>1518</v>
      </c>
      <c r="L217" s="1076"/>
      <c r="M217" s="1027"/>
      <c r="N217" s="1027"/>
      <c r="O217" s="1027"/>
      <c r="P217" s="1027"/>
      <c r="Q217" s="1027"/>
    </row>
    <row r="218" spans="1:18" s="714" customFormat="1" ht="24" customHeight="1">
      <c r="A218" s="868"/>
      <c r="B218" s="800" t="s">
        <v>1391</v>
      </c>
      <c r="C218" s="801"/>
      <c r="D218" s="801"/>
      <c r="E218" s="802">
        <v>1</v>
      </c>
      <c r="F218" s="803" t="s">
        <v>240</v>
      </c>
      <c r="G218" s="858">
        <v>138</v>
      </c>
      <c r="H218" s="864">
        <f t="shared" si="15"/>
        <v>138</v>
      </c>
      <c r="I218" s="865"/>
      <c r="J218" s="864"/>
      <c r="K218" s="966">
        <f t="shared" si="16"/>
        <v>138</v>
      </c>
      <c r="L218" s="1010"/>
      <c r="M218" s="729"/>
      <c r="N218" s="729"/>
      <c r="O218" s="729"/>
      <c r="P218" s="729"/>
      <c r="Q218" s="729"/>
    </row>
    <row r="219" spans="1:18" s="714" customFormat="1" ht="24" customHeight="1">
      <c r="A219" s="861"/>
      <c r="B219" s="800" t="s">
        <v>1477</v>
      </c>
      <c r="C219" s="801"/>
      <c r="D219" s="801"/>
      <c r="E219" s="802">
        <v>1</v>
      </c>
      <c r="F219" s="803" t="s">
        <v>240</v>
      </c>
      <c r="G219" s="858">
        <v>680</v>
      </c>
      <c r="H219" s="864">
        <f t="shared" si="15"/>
        <v>680</v>
      </c>
      <c r="I219" s="865"/>
      <c r="J219" s="864"/>
      <c r="K219" s="966">
        <f t="shared" si="16"/>
        <v>680</v>
      </c>
      <c r="L219" s="1010"/>
      <c r="M219" s="729"/>
      <c r="N219" s="729"/>
      <c r="O219" s="729"/>
      <c r="P219" s="729"/>
    </row>
    <row r="220" spans="1:18" s="714" customFormat="1" ht="24" customHeight="1">
      <c r="A220" s="868" t="s">
        <v>969</v>
      </c>
      <c r="B220" s="1047" t="s">
        <v>1447</v>
      </c>
      <c r="C220" s="1048"/>
      <c r="D220" s="1048"/>
      <c r="E220" s="1049"/>
      <c r="F220" s="1050"/>
      <c r="G220" s="858"/>
      <c r="H220" s="864"/>
      <c r="I220" s="865"/>
      <c r="J220" s="864"/>
      <c r="K220" s="966">
        <f t="shared" si="16"/>
        <v>0</v>
      </c>
      <c r="L220" s="1010"/>
      <c r="M220" s="1094"/>
      <c r="N220" s="1094"/>
      <c r="O220" s="1094"/>
      <c r="P220" s="729"/>
      <c r="Q220" s="729"/>
      <c r="R220" s="729"/>
    </row>
    <row r="221" spans="1:18" s="714" customFormat="1" ht="24" customHeight="1">
      <c r="A221" s="868"/>
      <c r="B221" s="800" t="s">
        <v>1558</v>
      </c>
      <c r="C221" s="801"/>
      <c r="D221" s="801"/>
      <c r="E221" s="802">
        <v>1</v>
      </c>
      <c r="F221" s="803" t="s">
        <v>240</v>
      </c>
      <c r="G221" s="858">
        <v>4800</v>
      </c>
      <c r="H221" s="796">
        <v>4800</v>
      </c>
      <c r="I221" s="797">
        <v>1500</v>
      </c>
      <c r="J221" s="796">
        <v>1500</v>
      </c>
      <c r="K221" s="966">
        <f t="shared" si="16"/>
        <v>6300</v>
      </c>
      <c r="L221" s="1010"/>
      <c r="M221" s="729"/>
      <c r="N221" s="729"/>
      <c r="O221" s="729"/>
      <c r="P221" s="729"/>
      <c r="Q221" s="729"/>
    </row>
    <row r="222" spans="1:18" s="714" customFormat="1" ht="24" customHeight="1">
      <c r="A222" s="868"/>
      <c r="B222" s="800" t="s">
        <v>1396</v>
      </c>
      <c r="C222" s="801"/>
      <c r="D222" s="801"/>
      <c r="E222" s="802">
        <v>1</v>
      </c>
      <c r="F222" s="803" t="s">
        <v>240</v>
      </c>
      <c r="G222" s="858">
        <v>3000</v>
      </c>
      <c r="H222" s="864">
        <f t="shared" ref="H222:H236" si="18">ROUND(E222*G222,)</f>
        <v>3000</v>
      </c>
      <c r="I222" s="865"/>
      <c r="J222" s="864"/>
      <c r="K222" s="966">
        <f t="shared" si="16"/>
        <v>3000</v>
      </c>
      <c r="L222" s="1010"/>
      <c r="M222" s="729"/>
      <c r="N222" s="729"/>
      <c r="O222" s="729"/>
      <c r="P222" s="729"/>
      <c r="Q222" s="729"/>
    </row>
    <row r="223" spans="1:18" s="714" customFormat="1" ht="24" customHeight="1">
      <c r="A223" s="868"/>
      <c r="B223" s="800" t="s">
        <v>1271</v>
      </c>
      <c r="C223" s="801"/>
      <c r="D223" s="801"/>
      <c r="E223" s="802">
        <v>12</v>
      </c>
      <c r="F223" s="803" t="s">
        <v>240</v>
      </c>
      <c r="G223" s="858">
        <v>138</v>
      </c>
      <c r="H223" s="864">
        <f t="shared" si="18"/>
        <v>1656</v>
      </c>
      <c r="I223" s="865"/>
      <c r="J223" s="864"/>
      <c r="K223" s="966">
        <f t="shared" si="16"/>
        <v>1656</v>
      </c>
      <c r="L223" s="1010"/>
      <c r="M223" s="729"/>
      <c r="N223" s="729"/>
      <c r="O223" s="729"/>
      <c r="P223" s="729"/>
      <c r="Q223" s="729"/>
    </row>
    <row r="224" spans="1:18" s="714" customFormat="1" ht="24" customHeight="1">
      <c r="A224" s="868"/>
      <c r="B224" s="800" t="s">
        <v>1391</v>
      </c>
      <c r="C224" s="801"/>
      <c r="D224" s="801"/>
      <c r="E224" s="802">
        <v>1</v>
      </c>
      <c r="F224" s="803" t="s">
        <v>240</v>
      </c>
      <c r="G224" s="858">
        <v>138</v>
      </c>
      <c r="H224" s="864">
        <f t="shared" si="18"/>
        <v>138</v>
      </c>
      <c r="I224" s="865"/>
      <c r="J224" s="864"/>
      <c r="K224" s="966">
        <f t="shared" si="16"/>
        <v>138</v>
      </c>
      <c r="L224" s="1010"/>
      <c r="M224" s="729"/>
      <c r="N224" s="729"/>
      <c r="O224" s="729"/>
      <c r="P224" s="729"/>
      <c r="Q224" s="729"/>
    </row>
    <row r="225" spans="1:18" s="714" customFormat="1" ht="24" customHeight="1">
      <c r="A225" s="861"/>
      <c r="B225" s="800" t="s">
        <v>1273</v>
      </c>
      <c r="C225" s="801"/>
      <c r="D225" s="801"/>
      <c r="E225" s="802">
        <v>2</v>
      </c>
      <c r="F225" s="803" t="s">
        <v>240</v>
      </c>
      <c r="G225" s="858">
        <v>1288</v>
      </c>
      <c r="H225" s="864">
        <f t="shared" si="18"/>
        <v>2576</v>
      </c>
      <c r="I225" s="865"/>
      <c r="J225" s="864"/>
      <c r="K225" s="966">
        <f t="shared" si="16"/>
        <v>2576</v>
      </c>
      <c r="L225" s="1010"/>
      <c r="M225" s="729"/>
      <c r="N225" s="729"/>
      <c r="O225" s="729"/>
      <c r="P225" s="729"/>
    </row>
    <row r="226" spans="1:18" s="714" customFormat="1" ht="24" customHeight="1">
      <c r="A226" s="861"/>
      <c r="B226" s="800"/>
      <c r="C226" s="801"/>
      <c r="D226" s="801"/>
      <c r="E226" s="802"/>
      <c r="F226" s="803"/>
      <c r="G226" s="858"/>
      <c r="H226" s="864"/>
      <c r="I226" s="865"/>
      <c r="J226" s="864"/>
      <c r="K226" s="966"/>
      <c r="L226" s="1010"/>
      <c r="M226" s="729"/>
      <c r="N226" s="729"/>
      <c r="O226" s="729"/>
      <c r="P226" s="729"/>
    </row>
    <row r="227" spans="1:18" s="714" customFormat="1" ht="24" customHeight="1">
      <c r="A227" s="868"/>
      <c r="B227" s="800" t="s">
        <v>1559</v>
      </c>
      <c r="C227" s="801"/>
      <c r="D227" s="801"/>
      <c r="E227" s="802">
        <v>1</v>
      </c>
      <c r="F227" s="803" t="s">
        <v>240</v>
      </c>
      <c r="G227" s="858">
        <v>4800</v>
      </c>
      <c r="H227" s="796">
        <v>4800</v>
      </c>
      <c r="I227" s="797">
        <v>1500</v>
      </c>
      <c r="J227" s="796">
        <v>1500</v>
      </c>
      <c r="K227" s="966">
        <f t="shared" si="16"/>
        <v>6300</v>
      </c>
      <c r="L227" s="1010"/>
      <c r="M227" s="729"/>
      <c r="N227" s="729"/>
      <c r="O227" s="729"/>
      <c r="P227" s="729"/>
      <c r="Q227" s="729"/>
    </row>
    <row r="228" spans="1:18" s="714" customFormat="1" ht="24" customHeight="1">
      <c r="A228" s="868"/>
      <c r="B228" s="800" t="s">
        <v>1396</v>
      </c>
      <c r="C228" s="801"/>
      <c r="D228" s="801"/>
      <c r="E228" s="802">
        <v>1</v>
      </c>
      <c r="F228" s="803" t="s">
        <v>240</v>
      </c>
      <c r="G228" s="858">
        <v>3000</v>
      </c>
      <c r="H228" s="864">
        <f t="shared" ref="H228:H231" si="19">ROUND(E228*G228,)</f>
        <v>3000</v>
      </c>
      <c r="I228" s="865"/>
      <c r="J228" s="864"/>
      <c r="K228" s="966">
        <f t="shared" si="16"/>
        <v>3000</v>
      </c>
      <c r="L228" s="1010"/>
      <c r="M228" s="729"/>
      <c r="N228" s="729"/>
      <c r="O228" s="729"/>
      <c r="P228" s="729"/>
      <c r="Q228" s="729"/>
    </row>
    <row r="229" spans="1:18" s="714" customFormat="1" ht="24" customHeight="1">
      <c r="A229" s="868"/>
      <c r="B229" s="800" t="s">
        <v>1271</v>
      </c>
      <c r="C229" s="801"/>
      <c r="D229" s="801"/>
      <c r="E229" s="802">
        <v>15</v>
      </c>
      <c r="F229" s="803" t="s">
        <v>240</v>
      </c>
      <c r="G229" s="858">
        <v>138</v>
      </c>
      <c r="H229" s="864">
        <f t="shared" si="19"/>
        <v>2070</v>
      </c>
      <c r="I229" s="865"/>
      <c r="J229" s="864"/>
      <c r="K229" s="966">
        <f t="shared" si="16"/>
        <v>2070</v>
      </c>
      <c r="L229" s="1010"/>
      <c r="M229" s="729"/>
      <c r="N229" s="729"/>
      <c r="O229" s="729"/>
      <c r="P229" s="729"/>
      <c r="Q229" s="729"/>
    </row>
    <row r="230" spans="1:18" s="714" customFormat="1" ht="24" customHeight="1">
      <c r="A230" s="868"/>
      <c r="B230" s="800" t="s">
        <v>1391</v>
      </c>
      <c r="C230" s="801"/>
      <c r="D230" s="801"/>
      <c r="E230" s="802"/>
      <c r="F230" s="803" t="s">
        <v>240</v>
      </c>
      <c r="G230" s="858">
        <v>138</v>
      </c>
      <c r="H230" s="864">
        <f t="shared" si="19"/>
        <v>0</v>
      </c>
      <c r="I230" s="865"/>
      <c r="J230" s="864"/>
      <c r="K230" s="966">
        <f t="shared" si="16"/>
        <v>0</v>
      </c>
      <c r="L230" s="1010"/>
      <c r="M230" s="729"/>
      <c r="N230" s="729"/>
      <c r="O230" s="729"/>
      <c r="P230" s="729"/>
      <c r="Q230" s="729"/>
    </row>
    <row r="231" spans="1:18" s="714" customFormat="1" ht="24" customHeight="1">
      <c r="A231" s="861"/>
      <c r="B231" s="800" t="s">
        <v>1273</v>
      </c>
      <c r="C231" s="801"/>
      <c r="D231" s="801"/>
      <c r="E231" s="802"/>
      <c r="F231" s="803" t="s">
        <v>240</v>
      </c>
      <c r="G231" s="858">
        <v>1288</v>
      </c>
      <c r="H231" s="864">
        <f t="shared" si="19"/>
        <v>0</v>
      </c>
      <c r="I231" s="865"/>
      <c r="J231" s="864"/>
      <c r="K231" s="966">
        <f t="shared" si="16"/>
        <v>0</v>
      </c>
      <c r="L231" s="1010"/>
      <c r="M231" s="729"/>
      <c r="N231" s="729"/>
      <c r="O231" s="729"/>
      <c r="P231" s="729"/>
    </row>
    <row r="232" spans="1:18" s="714" customFormat="1" ht="24" customHeight="1">
      <c r="A232" s="868"/>
      <c r="B232" s="800" t="s">
        <v>1560</v>
      </c>
      <c r="C232" s="801"/>
      <c r="D232" s="801"/>
      <c r="E232" s="802">
        <v>1</v>
      </c>
      <c r="F232" s="803" t="s">
        <v>240</v>
      </c>
      <c r="G232" s="858">
        <v>4800</v>
      </c>
      <c r="H232" s="796">
        <v>4800</v>
      </c>
      <c r="I232" s="797">
        <v>1500</v>
      </c>
      <c r="J232" s="796">
        <v>1500</v>
      </c>
      <c r="K232" s="966">
        <f t="shared" si="16"/>
        <v>6300</v>
      </c>
      <c r="L232" s="1010"/>
      <c r="M232" s="729"/>
      <c r="N232" s="729"/>
      <c r="O232" s="729"/>
      <c r="P232" s="729"/>
      <c r="Q232" s="729"/>
    </row>
    <row r="233" spans="1:18" s="714" customFormat="1" ht="24" customHeight="1">
      <c r="A233" s="868"/>
      <c r="B233" s="800" t="s">
        <v>1396</v>
      </c>
      <c r="C233" s="801"/>
      <c r="D233" s="801"/>
      <c r="E233" s="802">
        <v>1</v>
      </c>
      <c r="F233" s="803" t="s">
        <v>240</v>
      </c>
      <c r="G233" s="858">
        <v>3000</v>
      </c>
      <c r="H233" s="864">
        <f t="shared" si="18"/>
        <v>3000</v>
      </c>
      <c r="I233" s="865"/>
      <c r="J233" s="864"/>
      <c r="K233" s="966">
        <f t="shared" si="16"/>
        <v>3000</v>
      </c>
      <c r="L233" s="1010"/>
      <c r="M233" s="729"/>
      <c r="N233" s="729"/>
      <c r="O233" s="729"/>
      <c r="P233" s="729"/>
      <c r="Q233" s="729"/>
    </row>
    <row r="234" spans="1:18" s="714" customFormat="1" ht="24" customHeight="1">
      <c r="A234" s="868"/>
      <c r="B234" s="800" t="s">
        <v>1271</v>
      </c>
      <c r="C234" s="801"/>
      <c r="D234" s="801"/>
      <c r="E234" s="802">
        <v>12</v>
      </c>
      <c r="F234" s="803" t="s">
        <v>240</v>
      </c>
      <c r="G234" s="858">
        <v>138</v>
      </c>
      <c r="H234" s="864">
        <f t="shared" si="18"/>
        <v>1656</v>
      </c>
      <c r="I234" s="865"/>
      <c r="J234" s="864"/>
      <c r="K234" s="966">
        <f t="shared" si="16"/>
        <v>1656</v>
      </c>
      <c r="L234" s="1010"/>
      <c r="M234" s="729"/>
      <c r="N234" s="729"/>
      <c r="O234" s="729"/>
      <c r="P234" s="729"/>
      <c r="Q234" s="729"/>
    </row>
    <row r="235" spans="1:18" s="714" customFormat="1" ht="24" customHeight="1">
      <c r="A235" s="868"/>
      <c r="B235" s="800" t="s">
        <v>1391</v>
      </c>
      <c r="C235" s="801"/>
      <c r="D235" s="801"/>
      <c r="E235" s="802">
        <v>1</v>
      </c>
      <c r="F235" s="803" t="s">
        <v>240</v>
      </c>
      <c r="G235" s="858">
        <v>138</v>
      </c>
      <c r="H235" s="864">
        <f t="shared" si="18"/>
        <v>138</v>
      </c>
      <c r="I235" s="865"/>
      <c r="J235" s="864"/>
      <c r="K235" s="966">
        <f t="shared" si="16"/>
        <v>138</v>
      </c>
      <c r="L235" s="1010"/>
      <c r="M235" s="729"/>
      <c r="N235" s="729"/>
      <c r="O235" s="729"/>
      <c r="P235" s="729"/>
      <c r="Q235" s="729"/>
    </row>
    <row r="236" spans="1:18" s="714" customFormat="1" ht="24" customHeight="1">
      <c r="A236" s="861"/>
      <c r="B236" s="800" t="s">
        <v>1273</v>
      </c>
      <c r="C236" s="801"/>
      <c r="D236" s="801"/>
      <c r="E236" s="802">
        <v>2</v>
      </c>
      <c r="F236" s="803" t="s">
        <v>240</v>
      </c>
      <c r="G236" s="858">
        <v>1288</v>
      </c>
      <c r="H236" s="864">
        <f t="shared" si="18"/>
        <v>2576</v>
      </c>
      <c r="I236" s="865"/>
      <c r="J236" s="864"/>
      <c r="K236" s="966">
        <f t="shared" si="16"/>
        <v>2576</v>
      </c>
      <c r="L236" s="1010"/>
      <c r="M236" s="729"/>
      <c r="N236" s="729"/>
      <c r="O236" s="729"/>
      <c r="P236" s="729"/>
    </row>
    <row r="237" spans="1:18" s="714" customFormat="1" ht="24" customHeight="1">
      <c r="A237" s="831"/>
      <c r="B237" s="720" t="s">
        <v>957</v>
      </c>
      <c r="C237" s="792"/>
      <c r="D237" s="792"/>
      <c r="E237" s="793"/>
      <c r="F237" s="722"/>
      <c r="G237" s="795"/>
      <c r="H237" s="796"/>
      <c r="I237" s="797"/>
      <c r="J237" s="796"/>
      <c r="K237" s="966">
        <f t="shared" si="16"/>
        <v>0</v>
      </c>
      <c r="L237" s="1010"/>
      <c r="M237" s="1094"/>
      <c r="N237" s="1094"/>
      <c r="O237" s="1094"/>
      <c r="P237" s="729"/>
      <c r="Q237" s="729"/>
      <c r="R237" s="729"/>
    </row>
    <row r="238" spans="1:18" s="714" customFormat="1" ht="24" customHeight="1">
      <c r="A238" s="831"/>
      <c r="B238" s="720" t="s">
        <v>958</v>
      </c>
      <c r="C238" s="792"/>
      <c r="D238" s="792"/>
      <c r="E238" s="793"/>
      <c r="F238" s="722"/>
      <c r="G238" s="795"/>
      <c r="H238" s="796"/>
      <c r="I238" s="797"/>
      <c r="J238" s="796"/>
      <c r="K238" s="966">
        <f t="shared" si="16"/>
        <v>0</v>
      </c>
      <c r="L238" s="1010"/>
      <c r="M238" s="1094"/>
      <c r="N238" s="1094"/>
      <c r="O238" s="1094"/>
      <c r="P238" s="729"/>
      <c r="Q238" s="729"/>
      <c r="R238" s="729"/>
    </row>
    <row r="239" spans="1:18" s="714" customFormat="1" ht="24" customHeight="1">
      <c r="A239" s="775"/>
      <c r="B239" s="2475" t="str">
        <f>"รวมราคารายการที่ "&amp;A209</f>
        <v>รวมราคารายการที่ 3.3</v>
      </c>
      <c r="C239" s="2476"/>
      <c r="D239" s="2477"/>
      <c r="E239" s="776"/>
      <c r="F239" s="777"/>
      <c r="G239" s="959"/>
      <c r="H239" s="960">
        <f>SUM(H209:H238)</f>
        <v>60194</v>
      </c>
      <c r="I239" s="959"/>
      <c r="J239" s="960">
        <f>SUM(J209:J238)</f>
        <v>8000</v>
      </c>
      <c r="K239" s="960">
        <f>SUM(K209:K238)</f>
        <v>68194</v>
      </c>
      <c r="L239" s="1006"/>
      <c r="M239" s="1094"/>
      <c r="N239" s="1094"/>
      <c r="O239" s="1094"/>
      <c r="P239" s="729"/>
      <c r="Q239" s="729"/>
      <c r="R239" s="729"/>
    </row>
    <row r="240" spans="1:18" s="714" customFormat="1" ht="24" customHeight="1">
      <c r="A240" s="1029">
        <v>3.4</v>
      </c>
      <c r="B240" s="816" t="s">
        <v>1159</v>
      </c>
      <c r="C240" s="770"/>
      <c r="D240" s="770"/>
      <c r="E240" s="930"/>
      <c r="F240" s="931"/>
      <c r="G240" s="932"/>
      <c r="H240" s="854"/>
      <c r="I240" s="934"/>
      <c r="J240" s="854"/>
      <c r="K240" s="1013"/>
      <c r="L240" s="935"/>
      <c r="M240" s="1094"/>
      <c r="N240" s="1094"/>
      <c r="O240" s="1094"/>
      <c r="P240" s="729"/>
      <c r="Q240" s="729"/>
      <c r="R240" s="729"/>
    </row>
    <row r="241" spans="1:18" s="714" customFormat="1" ht="24" customHeight="1">
      <c r="A241" s="831" t="s">
        <v>971</v>
      </c>
      <c r="B241" s="720" t="s">
        <v>1410</v>
      </c>
      <c r="C241" s="717"/>
      <c r="D241" s="717"/>
      <c r="E241" s="917"/>
      <c r="F241" s="916"/>
      <c r="G241" s="806"/>
      <c r="H241" s="796"/>
      <c r="I241" s="807"/>
      <c r="J241" s="796"/>
      <c r="K241" s="968"/>
      <c r="L241" s="919"/>
      <c r="M241" s="1094"/>
      <c r="N241" s="1094"/>
      <c r="O241" s="1094"/>
      <c r="P241" s="729"/>
      <c r="Q241" s="729"/>
      <c r="R241" s="729"/>
    </row>
    <row r="242" spans="1:18" s="714" customFormat="1" ht="24" customHeight="1">
      <c r="A242" s="831"/>
      <c r="B242" s="720" t="s">
        <v>1277</v>
      </c>
      <c r="C242" s="717"/>
      <c r="D242" s="717"/>
      <c r="E242" s="805">
        <v>3105</v>
      </c>
      <c r="F242" s="794" t="s">
        <v>438</v>
      </c>
      <c r="G242" s="806">
        <v>9</v>
      </c>
      <c r="H242" s="796">
        <f t="shared" ref="H242:H249" si="20">ROUND(E242*G242,)</f>
        <v>27945</v>
      </c>
      <c r="I242" s="807">
        <v>7</v>
      </c>
      <c r="J242" s="796">
        <f t="shared" ref="J242:J249" si="21">ROUND(E242*I242,)</f>
        <v>21735</v>
      </c>
      <c r="K242" s="966">
        <f t="shared" ref="K242:K245" si="22">H242+J242</f>
        <v>49680</v>
      </c>
      <c r="L242" s="1718" t="s">
        <v>2974</v>
      </c>
      <c r="M242" s="729"/>
      <c r="N242" s="714">
        <v>912.1</v>
      </c>
      <c r="O242" s="714">
        <f>ROUND(N242/100,)</f>
        <v>9</v>
      </c>
      <c r="P242" s="729"/>
      <c r="Q242" s="729"/>
      <c r="R242" s="729"/>
    </row>
    <row r="243" spans="1:18" s="714" customFormat="1" ht="24" customHeight="1">
      <c r="A243" s="831"/>
      <c r="B243" s="720" t="s">
        <v>1166</v>
      </c>
      <c r="C243" s="717"/>
      <c r="D243" s="717"/>
      <c r="E243" s="805">
        <v>5435</v>
      </c>
      <c r="F243" s="794" t="s">
        <v>438</v>
      </c>
      <c r="G243" s="806">
        <v>14</v>
      </c>
      <c r="H243" s="796">
        <f t="shared" si="20"/>
        <v>76090</v>
      </c>
      <c r="I243" s="807">
        <v>10</v>
      </c>
      <c r="J243" s="796">
        <f t="shared" si="21"/>
        <v>54350</v>
      </c>
      <c r="K243" s="966">
        <f t="shared" si="22"/>
        <v>130440</v>
      </c>
      <c r="L243" s="1718" t="s">
        <v>2974</v>
      </c>
      <c r="M243" s="729"/>
      <c r="N243" s="714">
        <v>1375.8</v>
      </c>
      <c r="O243" s="714">
        <f>ROUND(N243/100,)</f>
        <v>14</v>
      </c>
      <c r="P243" s="729"/>
      <c r="Q243" s="729"/>
      <c r="R243" s="729"/>
    </row>
    <row r="244" spans="1:18" s="714" customFormat="1" ht="24" customHeight="1">
      <c r="A244" s="831"/>
      <c r="B244" s="720" t="s">
        <v>1167</v>
      </c>
      <c r="C244" s="792"/>
      <c r="D244" s="792"/>
      <c r="E244" s="805"/>
      <c r="F244" s="794" t="s">
        <v>438</v>
      </c>
      <c r="G244" s="806">
        <v>23</v>
      </c>
      <c r="H244" s="796">
        <f t="shared" si="20"/>
        <v>0</v>
      </c>
      <c r="I244" s="797">
        <v>12</v>
      </c>
      <c r="J244" s="796">
        <f t="shared" si="21"/>
        <v>0</v>
      </c>
      <c r="K244" s="966">
        <f t="shared" si="22"/>
        <v>0</v>
      </c>
      <c r="L244" s="1718" t="s">
        <v>2974</v>
      </c>
      <c r="N244" s="714">
        <v>2264.1999999999998</v>
      </c>
      <c r="O244" s="714">
        <f t="shared" ref="O244:O245" si="23">ROUND(N244/100,)</f>
        <v>23</v>
      </c>
    </row>
    <row r="245" spans="1:18" s="714" customFormat="1" ht="24" customHeight="1">
      <c r="A245" s="831"/>
      <c r="B245" s="720" t="s">
        <v>1168</v>
      </c>
      <c r="C245" s="792"/>
      <c r="D245" s="792"/>
      <c r="E245" s="805">
        <v>290</v>
      </c>
      <c r="F245" s="794" t="s">
        <v>438</v>
      </c>
      <c r="G245" s="806">
        <v>39</v>
      </c>
      <c r="H245" s="796">
        <f t="shared" si="20"/>
        <v>11310</v>
      </c>
      <c r="I245" s="797">
        <v>16</v>
      </c>
      <c r="J245" s="796">
        <f t="shared" si="21"/>
        <v>4640</v>
      </c>
      <c r="K245" s="966">
        <f t="shared" si="22"/>
        <v>15950</v>
      </c>
      <c r="L245" s="1718" t="s">
        <v>2974</v>
      </c>
      <c r="N245" s="714">
        <v>3944.2</v>
      </c>
      <c r="O245" s="714">
        <f t="shared" si="23"/>
        <v>39</v>
      </c>
    </row>
    <row r="246" spans="1:18" s="714" customFormat="1" ht="24" customHeight="1">
      <c r="A246" s="831" t="s">
        <v>975</v>
      </c>
      <c r="B246" s="720" t="s">
        <v>1276</v>
      </c>
      <c r="C246" s="717"/>
      <c r="D246" s="717"/>
      <c r="E246" s="967"/>
      <c r="F246" s="916"/>
      <c r="G246" s="806"/>
      <c r="H246" s="796">
        <f t="shared" si="20"/>
        <v>0</v>
      </c>
      <c r="I246" s="807"/>
      <c r="J246" s="796">
        <f t="shared" si="21"/>
        <v>0</v>
      </c>
      <c r="K246" s="968"/>
      <c r="L246" s="919"/>
      <c r="M246" s="1094"/>
      <c r="N246" s="1094"/>
      <c r="O246" s="1094"/>
      <c r="P246" s="729"/>
      <c r="Q246" s="729"/>
      <c r="R246" s="729"/>
    </row>
    <row r="247" spans="1:18" s="714" customFormat="1" ht="24" customHeight="1">
      <c r="A247" s="831"/>
      <c r="B247" s="720" t="s">
        <v>1277</v>
      </c>
      <c r="C247" s="717"/>
      <c r="D247" s="717"/>
      <c r="E247" s="805"/>
      <c r="F247" s="794" t="s">
        <v>438</v>
      </c>
      <c r="G247" s="806">
        <v>41</v>
      </c>
      <c r="H247" s="796">
        <f t="shared" si="20"/>
        <v>0</v>
      </c>
      <c r="I247" s="807">
        <v>12</v>
      </c>
      <c r="J247" s="796">
        <f t="shared" si="21"/>
        <v>0</v>
      </c>
      <c r="K247" s="966">
        <f t="shared" ref="K247:K249" si="24">H247+J247</f>
        <v>0</v>
      </c>
      <c r="L247" s="919"/>
      <c r="M247" s="1094">
        <f>E247/5510</f>
        <v>0</v>
      </c>
      <c r="N247" s="1094">
        <f>M247*5460</f>
        <v>0</v>
      </c>
      <c r="O247" s="1094"/>
      <c r="P247" s="729"/>
      <c r="Q247" s="729"/>
      <c r="R247" s="729"/>
    </row>
    <row r="248" spans="1:18" s="714" customFormat="1" ht="24" customHeight="1">
      <c r="A248" s="831"/>
      <c r="B248" s="720" t="s">
        <v>1166</v>
      </c>
      <c r="C248" s="792"/>
      <c r="D248" s="792"/>
      <c r="E248" s="805"/>
      <c r="F248" s="794" t="s">
        <v>438</v>
      </c>
      <c r="G248" s="806">
        <v>50</v>
      </c>
      <c r="H248" s="796">
        <f t="shared" si="20"/>
        <v>0</v>
      </c>
      <c r="I248" s="797">
        <v>14</v>
      </c>
      <c r="J248" s="796">
        <f t="shared" si="21"/>
        <v>0</v>
      </c>
      <c r="K248" s="966">
        <f t="shared" si="24"/>
        <v>0</v>
      </c>
      <c r="L248" s="915"/>
    </row>
    <row r="249" spans="1:18" s="714" customFormat="1" ht="24" customHeight="1">
      <c r="A249" s="856"/>
      <c r="B249" s="720" t="s">
        <v>1278</v>
      </c>
      <c r="C249" s="717"/>
      <c r="D249" s="717"/>
      <c r="E249" s="805">
        <v>1</v>
      </c>
      <c r="F249" s="794" t="s">
        <v>948</v>
      </c>
      <c r="G249" s="806">
        <f>ROUND(SUM(H242:H248)*0.05,)</f>
        <v>5767</v>
      </c>
      <c r="H249" s="796">
        <f t="shared" si="20"/>
        <v>5767</v>
      </c>
      <c r="I249" s="807">
        <f>ROUND(G249*0.3,)</f>
        <v>1730</v>
      </c>
      <c r="J249" s="796">
        <f t="shared" si="21"/>
        <v>1730</v>
      </c>
      <c r="K249" s="966">
        <f t="shared" si="24"/>
        <v>7497</v>
      </c>
      <c r="L249" s="919"/>
      <c r="M249" s="1094"/>
      <c r="N249" s="1094"/>
      <c r="O249" s="1094"/>
      <c r="P249" s="729"/>
      <c r="Q249" s="729"/>
      <c r="R249" s="729"/>
    </row>
    <row r="250" spans="1:18" s="714" customFormat="1" ht="24" customHeight="1">
      <c r="A250" s="775"/>
      <c r="B250" s="2475" t="str">
        <f>"รวมราคารายการที่ "&amp;A240</f>
        <v>รวมราคารายการที่ 3.4</v>
      </c>
      <c r="C250" s="2476"/>
      <c r="D250" s="2477"/>
      <c r="E250" s="776"/>
      <c r="F250" s="777"/>
      <c r="G250" s="959"/>
      <c r="H250" s="960">
        <f>SUM(H240:H249)</f>
        <v>121112</v>
      </c>
      <c r="I250" s="959"/>
      <c r="J250" s="960">
        <f>SUM(J240:J249)</f>
        <v>82455</v>
      </c>
      <c r="K250" s="960">
        <f>SUM(K240:K249)</f>
        <v>203567</v>
      </c>
      <c r="L250" s="1006"/>
      <c r="M250" s="1094"/>
      <c r="N250" s="1094"/>
      <c r="O250" s="1094"/>
      <c r="P250" s="729"/>
      <c r="Q250" s="729"/>
      <c r="R250" s="729"/>
    </row>
    <row r="251" spans="1:18" s="714" customFormat="1" ht="24" customHeight="1">
      <c r="A251" s="911" t="s">
        <v>1290</v>
      </c>
      <c r="B251" s="816" t="s">
        <v>1181</v>
      </c>
      <c r="C251" s="770"/>
      <c r="D251" s="770"/>
      <c r="E251" s="930"/>
      <c r="F251" s="931"/>
      <c r="G251" s="932"/>
      <c r="H251" s="933"/>
      <c r="I251" s="934"/>
      <c r="J251" s="935"/>
      <c r="K251" s="1013"/>
      <c r="L251" s="935"/>
      <c r="M251" s="1094"/>
      <c r="N251" s="1094"/>
      <c r="O251" s="1094"/>
      <c r="P251" s="729"/>
      <c r="Q251" s="729"/>
      <c r="R251" s="729"/>
    </row>
    <row r="252" spans="1:18" s="714" customFormat="1" ht="24" customHeight="1">
      <c r="A252" s="831" t="s">
        <v>991</v>
      </c>
      <c r="B252" s="720" t="s">
        <v>1280</v>
      </c>
      <c r="C252" s="717"/>
      <c r="D252" s="717"/>
      <c r="E252" s="917"/>
      <c r="F252" s="916"/>
      <c r="G252" s="806"/>
      <c r="H252" s="796">
        <f t="shared" ref="H252:H263" si="25">ROUND(E252*G252,)</f>
        <v>0</v>
      </c>
      <c r="I252" s="807"/>
      <c r="J252" s="796">
        <f t="shared" ref="J252:J263" si="26">ROUND(E252*I252,)</f>
        <v>0</v>
      </c>
      <c r="K252" s="968"/>
      <c r="L252" s="919"/>
      <c r="M252" s="1094"/>
      <c r="N252" s="1094"/>
      <c r="O252" s="1094"/>
      <c r="P252" s="729"/>
      <c r="Q252" s="729"/>
      <c r="R252" s="729"/>
    </row>
    <row r="253" spans="1:18" s="714" customFormat="1" ht="24" customHeight="1">
      <c r="A253" s="831"/>
      <c r="B253" s="720" t="s">
        <v>1201</v>
      </c>
      <c r="C253" s="717"/>
      <c r="D253" s="717"/>
      <c r="E253" s="917">
        <v>2850</v>
      </c>
      <c r="F253" s="794" t="s">
        <v>438</v>
      </c>
      <c r="G253" s="806">
        <v>27</v>
      </c>
      <c r="H253" s="796">
        <f t="shared" si="25"/>
        <v>76950</v>
      </c>
      <c r="I253" s="807">
        <v>22</v>
      </c>
      <c r="J253" s="796">
        <f t="shared" si="26"/>
        <v>62700</v>
      </c>
      <c r="K253" s="966">
        <f t="shared" ref="K253:K257" si="27">H253+J253</f>
        <v>139650</v>
      </c>
      <c r="L253" s="1718" t="s">
        <v>2974</v>
      </c>
      <c r="M253" s="729"/>
      <c r="N253" s="714">
        <v>79.8</v>
      </c>
      <c r="O253" s="714">
        <f>ROUND(N253/3,)</f>
        <v>27</v>
      </c>
      <c r="P253" s="729"/>
      <c r="Q253" s="729"/>
      <c r="R253" s="729"/>
    </row>
    <row r="254" spans="1:18" s="714" customFormat="1" ht="24" customHeight="1">
      <c r="A254" s="831"/>
      <c r="B254" s="720" t="s">
        <v>1184</v>
      </c>
      <c r="C254" s="717"/>
      <c r="D254" s="717"/>
      <c r="E254" s="917"/>
      <c r="F254" s="794" t="s">
        <v>438</v>
      </c>
      <c r="G254" s="806">
        <v>38</v>
      </c>
      <c r="H254" s="796">
        <f t="shared" si="25"/>
        <v>0</v>
      </c>
      <c r="I254" s="807">
        <v>28</v>
      </c>
      <c r="J254" s="796">
        <f t="shared" si="26"/>
        <v>0</v>
      </c>
      <c r="K254" s="966">
        <f t="shared" si="27"/>
        <v>0</v>
      </c>
      <c r="L254" s="1718" t="s">
        <v>2974</v>
      </c>
      <c r="M254" s="729"/>
      <c r="N254" s="729">
        <v>115.2</v>
      </c>
      <c r="O254" s="714">
        <f>ROUND(N254/3,)</f>
        <v>38</v>
      </c>
      <c r="P254" s="729"/>
    </row>
    <row r="255" spans="1:18" s="714" customFormat="1" ht="24" customHeight="1">
      <c r="A255" s="831"/>
      <c r="B255" s="720" t="s">
        <v>1185</v>
      </c>
      <c r="C255" s="717"/>
      <c r="D255" s="717"/>
      <c r="E255" s="917">
        <v>60</v>
      </c>
      <c r="F255" s="794" t="s">
        <v>438</v>
      </c>
      <c r="G255" s="806">
        <v>55</v>
      </c>
      <c r="H255" s="796">
        <f t="shared" si="25"/>
        <v>3300</v>
      </c>
      <c r="I255" s="807">
        <v>28</v>
      </c>
      <c r="J255" s="796">
        <f t="shared" si="26"/>
        <v>1680</v>
      </c>
      <c r="K255" s="966">
        <f t="shared" si="27"/>
        <v>4980</v>
      </c>
      <c r="L255" s="1718" t="s">
        <v>2974</v>
      </c>
      <c r="M255" s="729"/>
      <c r="N255" s="729">
        <v>163.80000000000001</v>
      </c>
      <c r="O255" s="714">
        <f>ROUND(N255/3,)</f>
        <v>55</v>
      </c>
      <c r="P255" s="729"/>
      <c r="Q255" s="729"/>
    </row>
    <row r="256" spans="1:18" s="714" customFormat="1" ht="24" customHeight="1">
      <c r="A256" s="831"/>
      <c r="B256" s="720" t="s">
        <v>1186</v>
      </c>
      <c r="C256" s="717"/>
      <c r="D256" s="717"/>
      <c r="E256" s="917"/>
      <c r="F256" s="794" t="s">
        <v>438</v>
      </c>
      <c r="G256" s="806">
        <v>95</v>
      </c>
      <c r="H256" s="796">
        <f t="shared" si="25"/>
        <v>0</v>
      </c>
      <c r="I256" s="807">
        <v>32</v>
      </c>
      <c r="J256" s="796">
        <f t="shared" si="26"/>
        <v>0</v>
      </c>
      <c r="K256" s="966">
        <f t="shared" si="27"/>
        <v>0</v>
      </c>
      <c r="L256" s="1718" t="s">
        <v>2974</v>
      </c>
      <c r="M256" s="729"/>
      <c r="N256" s="729">
        <v>285.60000000000002</v>
      </c>
      <c r="O256" s="714">
        <f>ROUND(N256/3,)</f>
        <v>95</v>
      </c>
      <c r="P256" s="729"/>
      <c r="Q256" s="729"/>
    </row>
    <row r="257" spans="1:18" s="714" customFormat="1" ht="24" customHeight="1">
      <c r="A257" s="831"/>
      <c r="B257" s="720" t="s">
        <v>952</v>
      </c>
      <c r="C257" s="717"/>
      <c r="D257" s="717"/>
      <c r="E257" s="917">
        <v>1</v>
      </c>
      <c r="F257" s="916" t="s">
        <v>948</v>
      </c>
      <c r="G257" s="806">
        <f>SUM(H253:H256)*15%</f>
        <v>12037.5</v>
      </c>
      <c r="H257" s="796">
        <f t="shared" si="25"/>
        <v>12038</v>
      </c>
      <c r="I257" s="865">
        <f>ROUND(G257*0.3,)</f>
        <v>3611</v>
      </c>
      <c r="J257" s="796">
        <f t="shared" si="26"/>
        <v>3611</v>
      </c>
      <c r="K257" s="966">
        <f t="shared" si="27"/>
        <v>15649</v>
      </c>
      <c r="L257" s="920"/>
      <c r="M257" s="729"/>
      <c r="N257" s="729"/>
      <c r="O257" s="729"/>
      <c r="P257" s="729"/>
      <c r="Q257" s="729"/>
      <c r="R257" s="729"/>
    </row>
    <row r="258" spans="1:18" s="714" customFormat="1" ht="24" customHeight="1">
      <c r="A258" s="831" t="s">
        <v>1020</v>
      </c>
      <c r="B258" s="720" t="s">
        <v>950</v>
      </c>
      <c r="C258" s="717"/>
      <c r="D258" s="717"/>
      <c r="E258" s="917"/>
      <c r="F258" s="916"/>
      <c r="G258" s="806"/>
      <c r="H258" s="796">
        <f t="shared" si="25"/>
        <v>0</v>
      </c>
      <c r="I258" s="807"/>
      <c r="J258" s="796">
        <f t="shared" si="26"/>
        <v>0</v>
      </c>
      <c r="K258" s="968"/>
      <c r="L258" s="920"/>
      <c r="M258" s="729"/>
      <c r="N258" s="729"/>
      <c r="O258" s="729"/>
      <c r="P258" s="729"/>
      <c r="Q258" s="729"/>
      <c r="R258" s="729"/>
    </row>
    <row r="259" spans="1:18" s="714" customFormat="1" ht="24" customHeight="1">
      <c r="A259" s="831"/>
      <c r="B259" s="720" t="s">
        <v>1201</v>
      </c>
      <c r="C259" s="717"/>
      <c r="D259" s="717"/>
      <c r="E259" s="917"/>
      <c r="F259" s="794" t="s">
        <v>438</v>
      </c>
      <c r="G259" s="806">
        <v>56</v>
      </c>
      <c r="H259" s="796">
        <f t="shared" si="25"/>
        <v>0</v>
      </c>
      <c r="I259" s="807">
        <v>26</v>
      </c>
      <c r="J259" s="796">
        <f t="shared" si="26"/>
        <v>0</v>
      </c>
      <c r="K259" s="966">
        <f t="shared" ref="K259:K261" si="28">H259+J259</f>
        <v>0</v>
      </c>
      <c r="L259" s="1718" t="s">
        <v>2974</v>
      </c>
      <c r="M259" s="729"/>
      <c r="N259" s="714">
        <v>169.2</v>
      </c>
      <c r="O259" s="714">
        <f>ROUND(N259/3,)</f>
        <v>56</v>
      </c>
      <c r="P259" s="729"/>
      <c r="Q259" s="729"/>
      <c r="R259" s="729"/>
    </row>
    <row r="260" spans="1:18" s="714" customFormat="1" ht="24" customHeight="1">
      <c r="A260" s="831"/>
      <c r="B260" s="720" t="s">
        <v>1185</v>
      </c>
      <c r="C260" s="717"/>
      <c r="D260" s="717"/>
      <c r="E260" s="917"/>
      <c r="F260" s="794" t="s">
        <v>438</v>
      </c>
      <c r="G260" s="806">
        <v>101</v>
      </c>
      <c r="H260" s="796">
        <f t="shared" si="25"/>
        <v>0</v>
      </c>
      <c r="I260" s="807">
        <v>32</v>
      </c>
      <c r="J260" s="796">
        <f t="shared" si="26"/>
        <v>0</v>
      </c>
      <c r="K260" s="966">
        <f t="shared" si="28"/>
        <v>0</v>
      </c>
      <c r="L260" s="1718" t="s">
        <v>2974</v>
      </c>
      <c r="M260" s="729"/>
      <c r="N260" s="729">
        <v>303.60000000000002</v>
      </c>
      <c r="O260" s="714">
        <f>ROUND(N260/3,)</f>
        <v>101</v>
      </c>
      <c r="P260" s="729"/>
      <c r="Q260" s="729"/>
      <c r="R260" s="729"/>
    </row>
    <row r="261" spans="1:18" s="714" customFormat="1" ht="24" customHeight="1">
      <c r="A261" s="831"/>
      <c r="B261" s="720" t="s">
        <v>952</v>
      </c>
      <c r="C261" s="717"/>
      <c r="D261" s="717"/>
      <c r="E261" s="917">
        <v>1</v>
      </c>
      <c r="F261" s="916" t="s">
        <v>948</v>
      </c>
      <c r="G261" s="806">
        <f>SUM(H259:H260)*15%</f>
        <v>0</v>
      </c>
      <c r="H261" s="796">
        <f t="shared" si="25"/>
        <v>0</v>
      </c>
      <c r="I261" s="807">
        <f>G261*0.3</f>
        <v>0</v>
      </c>
      <c r="J261" s="796">
        <f t="shared" si="26"/>
        <v>0</v>
      </c>
      <c r="K261" s="966">
        <f t="shared" si="28"/>
        <v>0</v>
      </c>
      <c r="L261" s="919"/>
      <c r="M261" s="1094"/>
      <c r="N261" s="1094"/>
      <c r="O261" s="1094"/>
      <c r="P261" s="729"/>
      <c r="Q261" s="729"/>
      <c r="R261" s="729"/>
    </row>
    <row r="262" spans="1:18" s="714" customFormat="1" ht="24" customHeight="1">
      <c r="A262" s="831" t="s">
        <v>1578</v>
      </c>
      <c r="B262" s="720" t="s">
        <v>1281</v>
      </c>
      <c r="C262" s="717"/>
      <c r="D262" s="717"/>
      <c r="E262" s="917"/>
      <c r="F262" s="916"/>
      <c r="G262" s="806"/>
      <c r="H262" s="796">
        <f t="shared" si="25"/>
        <v>0</v>
      </c>
      <c r="I262" s="807"/>
      <c r="J262" s="796">
        <f t="shared" si="26"/>
        <v>0</v>
      </c>
      <c r="K262" s="968"/>
      <c r="L262" s="919"/>
      <c r="M262" s="1094"/>
      <c r="N262" s="1094"/>
      <c r="O262" s="1094"/>
      <c r="P262" s="729"/>
      <c r="Q262" s="729"/>
      <c r="R262" s="729"/>
    </row>
    <row r="263" spans="1:18" s="714" customFormat="1" ht="24" customHeight="1">
      <c r="A263" s="831"/>
      <c r="B263" s="720" t="s">
        <v>1201</v>
      </c>
      <c r="C263" s="717"/>
      <c r="D263" s="717"/>
      <c r="E263" s="917">
        <v>817</v>
      </c>
      <c r="F263" s="794" t="s">
        <v>438</v>
      </c>
      <c r="G263" s="806">
        <v>14</v>
      </c>
      <c r="H263" s="796">
        <f t="shared" si="25"/>
        <v>11438</v>
      </c>
      <c r="I263" s="807">
        <v>11</v>
      </c>
      <c r="J263" s="796">
        <f t="shared" si="26"/>
        <v>8987</v>
      </c>
      <c r="K263" s="966">
        <f t="shared" ref="K263" si="29">H263+J263</f>
        <v>20425</v>
      </c>
      <c r="L263" s="919"/>
      <c r="M263" s="1094">
        <f>E263/5510</f>
        <v>0.14827586206896551</v>
      </c>
      <c r="N263" s="1094">
        <f>M263*5460</f>
        <v>809.58620689655163</v>
      </c>
      <c r="O263" s="1094"/>
      <c r="P263" s="729"/>
      <c r="Q263" s="729"/>
      <c r="R263" s="729"/>
    </row>
    <row r="264" spans="1:18" s="714" customFormat="1" ht="24" customHeight="1">
      <c r="A264" s="831"/>
      <c r="B264" s="720" t="s">
        <v>957</v>
      </c>
      <c r="C264" s="717"/>
      <c r="D264" s="717"/>
      <c r="E264" s="917"/>
      <c r="F264" s="916"/>
      <c r="G264" s="806"/>
      <c r="H264" s="918"/>
      <c r="I264" s="807"/>
      <c r="J264" s="919"/>
      <c r="K264" s="968"/>
      <c r="L264" s="919"/>
      <c r="M264" s="1094"/>
      <c r="N264" s="1094"/>
      <c r="O264" s="1094"/>
      <c r="P264" s="729"/>
      <c r="Q264" s="729"/>
      <c r="R264" s="729"/>
    </row>
    <row r="265" spans="1:18" s="714" customFormat="1" ht="24" customHeight="1">
      <c r="A265" s="831"/>
      <c r="B265" s="720" t="s">
        <v>958</v>
      </c>
      <c r="C265" s="717"/>
      <c r="D265" s="717"/>
      <c r="E265" s="917"/>
      <c r="F265" s="916"/>
      <c r="G265" s="806"/>
      <c r="H265" s="918"/>
      <c r="I265" s="807"/>
      <c r="J265" s="919"/>
      <c r="K265" s="968"/>
      <c r="L265" s="919"/>
      <c r="M265" s="1094"/>
      <c r="N265" s="1094"/>
      <c r="O265" s="1094"/>
      <c r="P265" s="729"/>
      <c r="Q265" s="729"/>
      <c r="R265" s="729"/>
    </row>
    <row r="266" spans="1:18" s="714" customFormat="1" ht="24" customHeight="1">
      <c r="A266" s="775"/>
      <c r="B266" s="2475" t="str">
        <f>"รวมราคารายการที่ "&amp;A251</f>
        <v>รวมราคารายการที่ 3.5</v>
      </c>
      <c r="C266" s="2476"/>
      <c r="D266" s="2477"/>
      <c r="E266" s="776"/>
      <c r="F266" s="777"/>
      <c r="G266" s="959"/>
      <c r="H266" s="960">
        <f>SUM(H251:H264)</f>
        <v>103726</v>
      </c>
      <c r="I266" s="959"/>
      <c r="J266" s="960">
        <f>SUM(J251:J264)</f>
        <v>76978</v>
      </c>
      <c r="K266" s="960">
        <f>SUM(K251:K264)</f>
        <v>180704</v>
      </c>
      <c r="L266" s="1006"/>
      <c r="M266" s="1094"/>
      <c r="N266" s="1094"/>
      <c r="O266" s="1094"/>
      <c r="P266" s="729"/>
      <c r="Q266" s="729"/>
      <c r="R266" s="729"/>
    </row>
    <row r="267" spans="1:18" s="714" customFormat="1" ht="24" customHeight="1">
      <c r="A267" s="911" t="s">
        <v>1293</v>
      </c>
      <c r="B267" s="816" t="s">
        <v>1283</v>
      </c>
      <c r="C267" s="770"/>
      <c r="D267" s="770"/>
      <c r="E267" s="930"/>
      <c r="F267" s="931"/>
      <c r="G267" s="932"/>
      <c r="H267" s="933"/>
      <c r="I267" s="934"/>
      <c r="J267" s="935"/>
      <c r="K267" s="1013"/>
      <c r="L267" s="935"/>
      <c r="M267" s="1094"/>
      <c r="N267" s="1094"/>
      <c r="O267" s="1094"/>
      <c r="P267" s="729"/>
      <c r="Q267" s="729"/>
      <c r="R267" s="729"/>
    </row>
    <row r="268" spans="1:18" s="714" customFormat="1" ht="24" customHeight="1">
      <c r="A268" s="831" t="s">
        <v>1032</v>
      </c>
      <c r="B268" s="720" t="s">
        <v>1283</v>
      </c>
      <c r="C268" s="717"/>
      <c r="D268" s="717"/>
      <c r="E268" s="917"/>
      <c r="F268" s="916"/>
      <c r="G268" s="806"/>
      <c r="H268" s="918"/>
      <c r="I268" s="807"/>
      <c r="J268" s="919"/>
      <c r="K268" s="968"/>
      <c r="L268" s="919"/>
      <c r="M268" s="1094"/>
      <c r="N268" s="1094"/>
      <c r="O268" s="1094"/>
      <c r="P268" s="729"/>
      <c r="Q268" s="729"/>
      <c r="R268" s="729"/>
    </row>
    <row r="269" spans="1:18" s="714" customFormat="1" ht="24" customHeight="1">
      <c r="A269" s="831"/>
      <c r="B269" s="720" t="s">
        <v>1284</v>
      </c>
      <c r="C269" s="717"/>
      <c r="D269" s="717"/>
      <c r="E269" s="917">
        <v>30</v>
      </c>
      <c r="F269" s="722" t="s">
        <v>240</v>
      </c>
      <c r="G269" s="806">
        <v>90</v>
      </c>
      <c r="H269" s="796">
        <f t="shared" ref="H269:H278" si="30">ROUND(E269*G269,)</f>
        <v>2700</v>
      </c>
      <c r="I269" s="807">
        <v>80</v>
      </c>
      <c r="J269" s="796">
        <f t="shared" ref="J269:J278" si="31">ROUND(E269*I269,)</f>
        <v>2400</v>
      </c>
      <c r="K269" s="966">
        <f t="shared" ref="K269:K278" si="32">H269+J269</f>
        <v>5100</v>
      </c>
      <c r="L269" s="919"/>
      <c r="M269" s="1094">
        <f t="shared" ref="M269:M275" si="33">E269/5510</f>
        <v>5.4446460980036296E-3</v>
      </c>
      <c r="N269" s="1094">
        <f t="shared" ref="N269:N275" si="34">M269*5460</f>
        <v>29.727767695099818</v>
      </c>
      <c r="O269" s="1094"/>
      <c r="P269" s="729"/>
      <c r="Q269" s="729"/>
      <c r="R269" s="729"/>
    </row>
    <row r="270" spans="1:18" s="714" customFormat="1" ht="24" customHeight="1">
      <c r="A270" s="831"/>
      <c r="B270" s="705" t="s">
        <v>1418</v>
      </c>
      <c r="C270" s="717"/>
      <c r="D270" s="717"/>
      <c r="E270" s="967"/>
      <c r="F270" s="709" t="s">
        <v>240</v>
      </c>
      <c r="G270" s="806">
        <v>130</v>
      </c>
      <c r="H270" s="796">
        <f t="shared" si="30"/>
        <v>0</v>
      </c>
      <c r="I270" s="807">
        <v>90</v>
      </c>
      <c r="J270" s="796">
        <f t="shared" si="31"/>
        <v>0</v>
      </c>
      <c r="K270" s="966">
        <f t="shared" si="32"/>
        <v>0</v>
      </c>
      <c r="L270" s="919"/>
    </row>
    <row r="271" spans="1:18" s="714" customFormat="1" ht="24" customHeight="1">
      <c r="A271" s="831"/>
      <c r="B271" s="720" t="s">
        <v>1285</v>
      </c>
      <c r="C271" s="717"/>
      <c r="D271" s="717"/>
      <c r="E271" s="917"/>
      <c r="F271" s="722" t="s">
        <v>240</v>
      </c>
      <c r="G271" s="806">
        <v>162</v>
      </c>
      <c r="H271" s="796">
        <f t="shared" si="30"/>
        <v>0</v>
      </c>
      <c r="I271" s="807">
        <v>90</v>
      </c>
      <c r="J271" s="796">
        <f t="shared" si="31"/>
        <v>0</v>
      </c>
      <c r="K271" s="966">
        <f t="shared" si="32"/>
        <v>0</v>
      </c>
      <c r="L271" s="919"/>
      <c r="M271" s="1094">
        <f t="shared" si="33"/>
        <v>0</v>
      </c>
      <c r="N271" s="1094">
        <f t="shared" si="34"/>
        <v>0</v>
      </c>
      <c r="O271" s="1094"/>
      <c r="P271" s="729"/>
      <c r="Q271" s="729"/>
      <c r="R271" s="729"/>
    </row>
    <row r="272" spans="1:18" s="714" customFormat="1" ht="24" customHeight="1">
      <c r="A272" s="831"/>
      <c r="B272" s="720" t="s">
        <v>1286</v>
      </c>
      <c r="C272" s="717"/>
      <c r="D272" s="717"/>
      <c r="E272" s="917">
        <v>22</v>
      </c>
      <c r="F272" s="722" t="s">
        <v>240</v>
      </c>
      <c r="G272" s="806">
        <v>197</v>
      </c>
      <c r="H272" s="796">
        <f t="shared" si="30"/>
        <v>4334</v>
      </c>
      <c r="I272" s="807">
        <v>90</v>
      </c>
      <c r="J272" s="796">
        <f t="shared" si="31"/>
        <v>1980</v>
      </c>
      <c r="K272" s="966">
        <f t="shared" si="32"/>
        <v>6314</v>
      </c>
      <c r="L272" s="919"/>
      <c r="M272" s="1094">
        <f t="shared" si="33"/>
        <v>3.9927404718693282E-3</v>
      </c>
      <c r="N272" s="1094">
        <f t="shared" si="34"/>
        <v>21.800362976406532</v>
      </c>
      <c r="O272" s="1094"/>
      <c r="P272" s="729"/>
      <c r="Q272" s="729"/>
      <c r="R272" s="729"/>
    </row>
    <row r="273" spans="1:19" s="714" customFormat="1" ht="24" customHeight="1">
      <c r="A273" s="831"/>
      <c r="B273" s="705" t="s">
        <v>1287</v>
      </c>
      <c r="C273" s="717"/>
      <c r="D273" s="717"/>
      <c r="E273" s="967"/>
      <c r="F273" s="709" t="s">
        <v>240</v>
      </c>
      <c r="G273" s="806">
        <v>1500</v>
      </c>
      <c r="H273" s="796">
        <f t="shared" si="30"/>
        <v>0</v>
      </c>
      <c r="I273" s="807">
        <v>265</v>
      </c>
      <c r="J273" s="796">
        <f t="shared" si="31"/>
        <v>0</v>
      </c>
      <c r="K273" s="966">
        <f t="shared" si="32"/>
        <v>0</v>
      </c>
      <c r="L273" s="919"/>
    </row>
    <row r="274" spans="1:19" s="714" customFormat="1" ht="24" customHeight="1">
      <c r="A274" s="831"/>
      <c r="B274" s="720" t="s">
        <v>1288</v>
      </c>
      <c r="C274" s="717"/>
      <c r="D274" s="717"/>
      <c r="E274" s="917"/>
      <c r="F274" s="722" t="s">
        <v>240</v>
      </c>
      <c r="G274" s="806">
        <v>320</v>
      </c>
      <c r="H274" s="796">
        <f t="shared" si="30"/>
        <v>0</v>
      </c>
      <c r="I274" s="807">
        <v>200</v>
      </c>
      <c r="J274" s="796">
        <f t="shared" si="31"/>
        <v>0</v>
      </c>
      <c r="K274" s="966">
        <f t="shared" si="32"/>
        <v>0</v>
      </c>
      <c r="L274" s="919"/>
      <c r="M274" s="729"/>
      <c r="N274" s="729"/>
      <c r="O274" s="729"/>
      <c r="P274" s="729"/>
      <c r="Q274" s="729"/>
    </row>
    <row r="275" spans="1:19" s="714" customFormat="1" ht="24" customHeight="1">
      <c r="A275" s="831" t="s">
        <v>1598</v>
      </c>
      <c r="B275" s="720" t="s">
        <v>1289</v>
      </c>
      <c r="C275" s="717"/>
      <c r="D275" s="717"/>
      <c r="E275" s="917">
        <v>8</v>
      </c>
      <c r="F275" s="722" t="s">
        <v>240</v>
      </c>
      <c r="G275" s="806">
        <v>130</v>
      </c>
      <c r="H275" s="796">
        <f t="shared" si="30"/>
        <v>1040</v>
      </c>
      <c r="I275" s="807">
        <v>90</v>
      </c>
      <c r="J275" s="796">
        <f t="shared" si="31"/>
        <v>720</v>
      </c>
      <c r="K275" s="966">
        <f t="shared" si="32"/>
        <v>1760</v>
      </c>
      <c r="L275" s="919"/>
      <c r="M275" s="1094">
        <f t="shared" si="33"/>
        <v>1.4519056261343012E-3</v>
      </c>
      <c r="N275" s="1094">
        <f t="shared" si="34"/>
        <v>7.9274047186932846</v>
      </c>
      <c r="O275" s="1094"/>
      <c r="P275" s="729"/>
      <c r="Q275" s="729"/>
      <c r="R275" s="729"/>
    </row>
    <row r="276" spans="1:19" s="714" customFormat="1" ht="24" customHeight="1">
      <c r="A276" s="831" t="s">
        <v>1601</v>
      </c>
      <c r="B276" s="720" t="s">
        <v>1419</v>
      </c>
      <c r="C276" s="717"/>
      <c r="D276" s="717"/>
      <c r="E276" s="917"/>
      <c r="F276" s="722" t="s">
        <v>240</v>
      </c>
      <c r="G276" s="806">
        <v>150</v>
      </c>
      <c r="H276" s="796">
        <f t="shared" si="30"/>
        <v>0</v>
      </c>
      <c r="I276" s="807">
        <v>90</v>
      </c>
      <c r="J276" s="796">
        <f t="shared" si="31"/>
        <v>0</v>
      </c>
      <c r="K276" s="966">
        <f t="shared" si="32"/>
        <v>0</v>
      </c>
      <c r="L276" s="919"/>
      <c r="M276" s="729"/>
      <c r="N276" s="729"/>
      <c r="O276" s="729"/>
      <c r="P276" s="729"/>
      <c r="Q276" s="729"/>
      <c r="R276" s="729"/>
      <c r="S276" s="729"/>
    </row>
    <row r="277" spans="1:19" s="714" customFormat="1" ht="24" customHeight="1">
      <c r="A277" s="831"/>
      <c r="B277" s="720" t="s">
        <v>1420</v>
      </c>
      <c r="C277" s="717"/>
      <c r="D277" s="717"/>
      <c r="E277" s="917">
        <v>2</v>
      </c>
      <c r="F277" s="722" t="s">
        <v>240</v>
      </c>
      <c r="G277" s="806">
        <v>4000</v>
      </c>
      <c r="H277" s="796">
        <f t="shared" si="30"/>
        <v>8000</v>
      </c>
      <c r="I277" s="807">
        <v>500</v>
      </c>
      <c r="J277" s="914">
        <f t="shared" si="31"/>
        <v>1000</v>
      </c>
      <c r="K277" s="966">
        <f t="shared" si="32"/>
        <v>9000</v>
      </c>
      <c r="L277" s="919"/>
      <c r="M277" s="729"/>
      <c r="N277" s="729"/>
      <c r="O277" s="729"/>
      <c r="P277" s="729"/>
      <c r="Q277" s="729"/>
      <c r="R277" s="729"/>
      <c r="S277" s="729"/>
    </row>
    <row r="278" spans="1:19" s="714" customFormat="1" ht="24" customHeight="1">
      <c r="A278" s="831"/>
      <c r="B278" s="720" t="s">
        <v>1457</v>
      </c>
      <c r="C278" s="717"/>
      <c r="D278" s="717"/>
      <c r="E278" s="917">
        <v>4</v>
      </c>
      <c r="F278" s="722" t="s">
        <v>240</v>
      </c>
      <c r="G278" s="806">
        <v>8000</v>
      </c>
      <c r="H278" s="796">
        <f t="shared" si="30"/>
        <v>32000</v>
      </c>
      <c r="I278" s="807">
        <v>1000</v>
      </c>
      <c r="J278" s="914">
        <f t="shared" si="31"/>
        <v>4000</v>
      </c>
      <c r="K278" s="966">
        <f t="shared" si="32"/>
        <v>36000</v>
      </c>
      <c r="L278" s="919"/>
      <c r="M278" s="729"/>
      <c r="N278" s="729"/>
      <c r="O278" s="729"/>
      <c r="P278" s="729"/>
      <c r="Q278" s="729"/>
      <c r="R278" s="729"/>
      <c r="S278" s="729"/>
    </row>
    <row r="279" spans="1:19" s="714" customFormat="1" ht="24" customHeight="1">
      <c r="A279" s="831"/>
      <c r="B279" s="720" t="s">
        <v>957</v>
      </c>
      <c r="C279" s="717"/>
      <c r="D279" s="717"/>
      <c r="E279" s="917"/>
      <c r="F279" s="916"/>
      <c r="G279" s="806"/>
      <c r="H279" s="918"/>
      <c r="I279" s="807"/>
      <c r="J279" s="919"/>
      <c r="K279" s="968"/>
      <c r="L279" s="919"/>
      <c r="M279" s="1094"/>
      <c r="N279" s="1094"/>
      <c r="O279" s="1094"/>
      <c r="P279" s="729"/>
      <c r="Q279" s="729"/>
      <c r="R279" s="729"/>
    </row>
    <row r="280" spans="1:19" s="714" customFormat="1" ht="24" customHeight="1">
      <c r="A280" s="831"/>
      <c r="B280" s="720" t="s">
        <v>958</v>
      </c>
      <c r="C280" s="717"/>
      <c r="D280" s="717"/>
      <c r="E280" s="917"/>
      <c r="F280" s="916"/>
      <c r="G280" s="806"/>
      <c r="H280" s="918"/>
      <c r="I280" s="807"/>
      <c r="J280" s="919"/>
      <c r="K280" s="968"/>
      <c r="L280" s="919"/>
      <c r="M280" s="1094"/>
      <c r="N280" s="1094"/>
      <c r="O280" s="1094"/>
      <c r="P280" s="729"/>
      <c r="Q280" s="729"/>
      <c r="R280" s="729"/>
    </row>
    <row r="281" spans="1:19" s="714" customFormat="1" ht="24" customHeight="1">
      <c r="A281" s="921"/>
      <c r="B281" s="705" t="s">
        <v>958</v>
      </c>
      <c r="C281" s="761"/>
      <c r="D281" s="761"/>
      <c r="E281" s="923"/>
      <c r="F281" s="924"/>
      <c r="G281" s="925"/>
      <c r="H281" s="926"/>
      <c r="I281" s="927"/>
      <c r="J281" s="928"/>
      <c r="K281" s="1072"/>
      <c r="L281" s="928"/>
      <c r="M281" s="1094"/>
      <c r="N281" s="1094"/>
      <c r="O281" s="1094"/>
      <c r="P281" s="729"/>
      <c r="Q281" s="729"/>
      <c r="R281" s="729"/>
    </row>
    <row r="282" spans="1:19" s="714" customFormat="1" ht="24" customHeight="1">
      <c r="A282" s="921"/>
      <c r="B282" s="922"/>
      <c r="C282" s="761"/>
      <c r="D282" s="761"/>
      <c r="E282" s="923"/>
      <c r="F282" s="924"/>
      <c r="G282" s="925"/>
      <c r="H282" s="926"/>
      <c r="I282" s="927"/>
      <c r="J282" s="928"/>
      <c r="K282" s="1072"/>
      <c r="L282" s="928"/>
      <c r="M282" s="729"/>
      <c r="N282" s="729"/>
      <c r="O282" s="729"/>
      <c r="P282" s="729"/>
      <c r="Q282" s="729"/>
      <c r="R282" s="729"/>
      <c r="S282" s="729"/>
    </row>
    <row r="283" spans="1:19" s="714" customFormat="1" ht="24" customHeight="1">
      <c r="A283" s="775"/>
      <c r="B283" s="2475" t="str">
        <f>"รวมราคารายการที่ "&amp;A267</f>
        <v>รวมราคารายการที่ 3.6</v>
      </c>
      <c r="C283" s="2476"/>
      <c r="D283" s="2477"/>
      <c r="E283" s="776"/>
      <c r="F283" s="777"/>
      <c r="G283" s="959"/>
      <c r="H283" s="960">
        <f>SUM(H267:H280)</f>
        <v>48074</v>
      </c>
      <c r="I283" s="959"/>
      <c r="J283" s="960">
        <f>SUM(J267:J280)</f>
        <v>10100</v>
      </c>
      <c r="K283" s="960">
        <f>SUM(K267:K280)</f>
        <v>58174</v>
      </c>
      <c r="L283" s="1006"/>
      <c r="M283" s="1094"/>
      <c r="N283" s="1094"/>
      <c r="O283" s="1094"/>
      <c r="P283" s="729"/>
      <c r="Q283" s="729"/>
      <c r="R283" s="729"/>
    </row>
    <row r="284" spans="1:19" s="714" customFormat="1" ht="24" customHeight="1">
      <c r="A284" s="969" t="s">
        <v>1317</v>
      </c>
      <c r="B284" s="1015" t="s">
        <v>1197</v>
      </c>
      <c r="C284" s="770"/>
      <c r="D284" s="770"/>
      <c r="E284" s="930"/>
      <c r="F284" s="709"/>
      <c r="G284" s="932"/>
      <c r="H284" s="854"/>
      <c r="I284" s="934"/>
      <c r="J284" s="854"/>
      <c r="K284" s="1007"/>
      <c r="L284" s="935"/>
      <c r="M284" s="1094"/>
      <c r="N284" s="1094"/>
      <c r="O284" s="1094"/>
      <c r="P284" s="729"/>
      <c r="Q284" s="729"/>
      <c r="R284" s="729"/>
    </row>
    <row r="285" spans="1:19" s="714" customFormat="1" ht="24" customHeight="1">
      <c r="A285" s="791" t="s">
        <v>1051</v>
      </c>
      <c r="B285" s="972" t="s">
        <v>1291</v>
      </c>
      <c r="C285" s="717"/>
      <c r="D285" s="717"/>
      <c r="E285" s="917"/>
      <c r="F285" s="722"/>
      <c r="G285" s="806"/>
      <c r="H285" s="796"/>
      <c r="I285" s="807"/>
      <c r="J285" s="796"/>
      <c r="K285" s="1014"/>
      <c r="L285" s="919"/>
      <c r="M285" s="1094"/>
      <c r="N285" s="1094"/>
      <c r="O285" s="1094"/>
      <c r="P285" s="729"/>
      <c r="Q285" s="729"/>
      <c r="R285" s="729"/>
    </row>
    <row r="286" spans="1:19" s="714" customFormat="1" ht="24" customHeight="1">
      <c r="A286" s="704"/>
      <c r="B286" s="972" t="s">
        <v>1561</v>
      </c>
      <c r="C286" s="717"/>
      <c r="D286" s="717"/>
      <c r="E286" s="917">
        <v>1</v>
      </c>
      <c r="F286" s="722" t="s">
        <v>240</v>
      </c>
      <c r="G286" s="806">
        <f>72000+20280+5500</f>
        <v>97780</v>
      </c>
      <c r="H286" s="796">
        <f t="shared" ref="H286:H287" si="35">ROUND(E286*G286,)</f>
        <v>97780</v>
      </c>
      <c r="I286" s="807">
        <f t="shared" ref="I286:I287" si="36">G286*0.05</f>
        <v>4889</v>
      </c>
      <c r="J286" s="796">
        <f t="shared" ref="J286:J287" si="37">ROUND(E286*I286,)</f>
        <v>4889</v>
      </c>
      <c r="K286" s="966">
        <f t="shared" ref="K286:K287" si="38">H286+J286</f>
        <v>102669</v>
      </c>
      <c r="L286" s="919"/>
      <c r="M286" s="1094"/>
      <c r="N286" s="1094"/>
      <c r="O286" s="1094"/>
      <c r="P286" s="729"/>
      <c r="Q286" s="729"/>
      <c r="R286" s="729"/>
    </row>
    <row r="287" spans="1:19" s="714" customFormat="1" ht="24" customHeight="1">
      <c r="A287" s="704"/>
      <c r="B287" s="972" t="s">
        <v>1562</v>
      </c>
      <c r="C287" s="717"/>
      <c r="D287" s="717"/>
      <c r="E287" s="917">
        <v>1</v>
      </c>
      <c r="F287" s="722" t="s">
        <v>240</v>
      </c>
      <c r="G287" s="806">
        <f>72000+20280+5500</f>
        <v>97780</v>
      </c>
      <c r="H287" s="796">
        <f t="shared" si="35"/>
        <v>97780</v>
      </c>
      <c r="I287" s="807">
        <f t="shared" si="36"/>
        <v>4889</v>
      </c>
      <c r="J287" s="796">
        <f t="shared" si="37"/>
        <v>4889</v>
      </c>
      <c r="K287" s="966">
        <f t="shared" si="38"/>
        <v>102669</v>
      </c>
      <c r="L287" s="919"/>
      <c r="M287" s="1094"/>
      <c r="N287" s="1094"/>
      <c r="O287" s="1094"/>
      <c r="P287" s="729"/>
      <c r="Q287" s="729"/>
      <c r="R287" s="729"/>
    </row>
    <row r="288" spans="1:19" s="714" customFormat="1" ht="24" customHeight="1">
      <c r="A288" s="704"/>
      <c r="B288" s="972" t="s">
        <v>957</v>
      </c>
      <c r="C288" s="717"/>
      <c r="D288" s="717"/>
      <c r="E288" s="917"/>
      <c r="F288" s="916"/>
      <c r="G288" s="806"/>
      <c r="H288" s="918"/>
      <c r="I288" s="807"/>
      <c r="J288" s="919"/>
      <c r="K288" s="968"/>
      <c r="L288" s="919"/>
      <c r="M288" s="1094"/>
      <c r="N288" s="1094"/>
      <c r="O288" s="1094"/>
      <c r="P288" s="729"/>
      <c r="Q288" s="729"/>
      <c r="R288" s="729"/>
    </row>
    <row r="289" spans="1:19" s="714" customFormat="1" ht="24" customHeight="1">
      <c r="A289" s="704"/>
      <c r="B289" s="972" t="s">
        <v>958</v>
      </c>
      <c r="C289" s="717"/>
      <c r="D289" s="717"/>
      <c r="E289" s="917"/>
      <c r="F289" s="916"/>
      <c r="G289" s="806"/>
      <c r="H289" s="918"/>
      <c r="I289" s="807"/>
      <c r="J289" s="919"/>
      <c r="K289" s="968"/>
      <c r="L289" s="919"/>
      <c r="M289" s="1094"/>
      <c r="N289" s="1094"/>
      <c r="O289" s="1094"/>
      <c r="P289" s="729"/>
      <c r="Q289" s="729"/>
      <c r="R289" s="729"/>
    </row>
    <row r="290" spans="1:19" s="714" customFormat="1" ht="24" customHeight="1">
      <c r="A290" s="921"/>
      <c r="B290" s="705" t="s">
        <v>958</v>
      </c>
      <c r="C290" s="761"/>
      <c r="D290" s="761"/>
      <c r="E290" s="923"/>
      <c r="F290" s="924"/>
      <c r="G290" s="925"/>
      <c r="H290" s="926"/>
      <c r="I290" s="927"/>
      <c r="J290" s="928"/>
      <c r="K290" s="1072"/>
      <c r="L290" s="928"/>
      <c r="M290" s="1094"/>
      <c r="N290" s="1094"/>
      <c r="O290" s="1094"/>
      <c r="P290" s="729"/>
      <c r="Q290" s="729"/>
      <c r="R290" s="729"/>
    </row>
    <row r="291" spans="1:19" s="714" customFormat="1" ht="24" customHeight="1">
      <c r="A291" s="921"/>
      <c r="B291" s="922"/>
      <c r="C291" s="761"/>
      <c r="D291" s="761"/>
      <c r="E291" s="923"/>
      <c r="F291" s="924"/>
      <c r="G291" s="925"/>
      <c r="H291" s="926"/>
      <c r="I291" s="927"/>
      <c r="J291" s="928"/>
      <c r="K291" s="1072"/>
      <c r="L291" s="928"/>
      <c r="M291" s="729"/>
      <c r="N291" s="729"/>
      <c r="O291" s="729"/>
      <c r="P291" s="729"/>
      <c r="Q291" s="729"/>
      <c r="R291" s="729"/>
      <c r="S291" s="729"/>
    </row>
    <row r="292" spans="1:19" s="714" customFormat="1" ht="24" customHeight="1">
      <c r="A292" s="775"/>
      <c r="B292" s="2475" t="str">
        <f>"รวมราคารายการที่ "&amp;A284</f>
        <v>รวมราคารายการที่ 3.7</v>
      </c>
      <c r="C292" s="2476"/>
      <c r="D292" s="2477"/>
      <c r="E292" s="776"/>
      <c r="F292" s="777"/>
      <c r="G292" s="959"/>
      <c r="H292" s="960">
        <f>SUM(H284:H289)</f>
        <v>195560</v>
      </c>
      <c r="I292" s="959"/>
      <c r="J292" s="960">
        <f t="shared" ref="J292:K292" si="39">SUM(J284:J289)</f>
        <v>9778</v>
      </c>
      <c r="K292" s="960">
        <f t="shared" si="39"/>
        <v>205338</v>
      </c>
      <c r="L292" s="1006"/>
      <c r="M292" s="1094"/>
      <c r="N292" s="1094"/>
      <c r="O292" s="1094"/>
      <c r="P292" s="729"/>
      <c r="Q292" s="729"/>
      <c r="R292" s="729"/>
    </row>
    <row r="293" spans="1:19" s="714" customFormat="1" ht="24" customHeight="1">
      <c r="A293" s="911" t="s">
        <v>1339</v>
      </c>
      <c r="B293" s="816" t="s">
        <v>1294</v>
      </c>
      <c r="C293" s="770"/>
      <c r="D293" s="770"/>
      <c r="E293" s="930"/>
      <c r="F293" s="709"/>
      <c r="G293" s="932"/>
      <c r="H293" s="796"/>
      <c r="I293" s="934"/>
      <c r="J293" s="796"/>
      <c r="K293" s="1014"/>
      <c r="L293" s="935"/>
      <c r="M293" s="1094">
        <f>G293/5510</f>
        <v>0</v>
      </c>
      <c r="N293" s="1094">
        <f t="shared" ref="N293" si="40">M293*5460</f>
        <v>0</v>
      </c>
      <c r="O293" s="1094"/>
      <c r="P293" s="729"/>
      <c r="Q293" s="729"/>
      <c r="R293" s="729"/>
    </row>
    <row r="294" spans="1:19" s="714" customFormat="1" ht="24" customHeight="1">
      <c r="A294" s="861"/>
      <c r="B294" s="756" t="s">
        <v>1295</v>
      </c>
      <c r="C294" s="717"/>
      <c r="D294" s="717"/>
      <c r="E294" s="942">
        <v>46</v>
      </c>
      <c r="F294" s="759" t="s">
        <v>240</v>
      </c>
      <c r="G294" s="752">
        <v>420</v>
      </c>
      <c r="H294" s="864">
        <f t="shared" ref="H294:H315" si="41">ROUND(E294*G294,)</f>
        <v>19320</v>
      </c>
      <c r="I294" s="949">
        <v>115</v>
      </c>
      <c r="J294" s="864">
        <f t="shared" ref="J294:J315" si="42">ROUND(E294*I294,)</f>
        <v>5290</v>
      </c>
      <c r="K294" s="966">
        <f t="shared" ref="K294:K315" si="43">H294+J294</f>
        <v>24610</v>
      </c>
      <c r="L294" s="973"/>
      <c r="M294" s="729"/>
      <c r="N294" s="729"/>
      <c r="O294" s="729"/>
      <c r="P294" s="729"/>
    </row>
    <row r="295" spans="1:19" s="714" customFormat="1" ht="24" customHeight="1">
      <c r="A295" s="861"/>
      <c r="B295" s="800" t="s">
        <v>1296</v>
      </c>
      <c r="C295" s="717"/>
      <c r="D295" s="717"/>
      <c r="E295" s="942">
        <v>13</v>
      </c>
      <c r="F295" s="803" t="s">
        <v>240</v>
      </c>
      <c r="G295" s="752">
        <v>500</v>
      </c>
      <c r="H295" s="864">
        <f t="shared" si="41"/>
        <v>6500</v>
      </c>
      <c r="I295" s="949">
        <v>115</v>
      </c>
      <c r="J295" s="864">
        <f t="shared" si="42"/>
        <v>1495</v>
      </c>
      <c r="K295" s="966">
        <f t="shared" si="43"/>
        <v>7995</v>
      </c>
      <c r="L295" s="973"/>
      <c r="M295" s="729"/>
      <c r="N295" s="729"/>
      <c r="O295" s="729"/>
      <c r="P295" s="729"/>
    </row>
    <row r="296" spans="1:19" s="714" customFormat="1" ht="24" customHeight="1">
      <c r="A296" s="861"/>
      <c r="B296" s="800" t="s">
        <v>1297</v>
      </c>
      <c r="C296" s="717"/>
      <c r="D296" s="717"/>
      <c r="E296" s="942">
        <v>18</v>
      </c>
      <c r="F296" s="803" t="s">
        <v>240</v>
      </c>
      <c r="G296" s="752">
        <v>550</v>
      </c>
      <c r="H296" s="864">
        <f t="shared" si="41"/>
        <v>9900</v>
      </c>
      <c r="I296" s="949">
        <v>115</v>
      </c>
      <c r="J296" s="864">
        <f t="shared" si="42"/>
        <v>2070</v>
      </c>
      <c r="K296" s="966">
        <f t="shared" si="43"/>
        <v>11970</v>
      </c>
      <c r="L296" s="973"/>
      <c r="M296" s="729"/>
      <c r="N296" s="729"/>
      <c r="O296" s="729"/>
      <c r="P296" s="729"/>
    </row>
    <row r="297" spans="1:19" s="714" customFormat="1" ht="24" customHeight="1">
      <c r="A297" s="861"/>
      <c r="B297" s="800" t="s">
        <v>1298</v>
      </c>
      <c r="C297" s="717"/>
      <c r="D297" s="717"/>
      <c r="E297" s="942"/>
      <c r="F297" s="803" t="s">
        <v>240</v>
      </c>
      <c r="G297" s="752">
        <v>750</v>
      </c>
      <c r="H297" s="864">
        <f t="shared" si="41"/>
        <v>0</v>
      </c>
      <c r="I297" s="949">
        <v>135</v>
      </c>
      <c r="J297" s="864">
        <f t="shared" si="42"/>
        <v>0</v>
      </c>
      <c r="K297" s="966">
        <f t="shared" si="43"/>
        <v>0</v>
      </c>
      <c r="L297" s="973"/>
      <c r="M297" s="729"/>
      <c r="N297" s="729"/>
      <c r="O297" s="729"/>
      <c r="P297" s="729"/>
    </row>
    <row r="298" spans="1:19" s="714" customFormat="1" ht="24" customHeight="1">
      <c r="A298" s="861"/>
      <c r="B298" s="800" t="s">
        <v>1299</v>
      </c>
      <c r="C298" s="717"/>
      <c r="D298" s="717"/>
      <c r="E298" s="942">
        <v>40</v>
      </c>
      <c r="F298" s="803" t="s">
        <v>240</v>
      </c>
      <c r="G298" s="806">
        <v>2090</v>
      </c>
      <c r="H298" s="796">
        <f t="shared" si="41"/>
        <v>83600</v>
      </c>
      <c r="I298" s="807">
        <v>135</v>
      </c>
      <c r="J298" s="864">
        <f t="shared" si="42"/>
        <v>5400</v>
      </c>
      <c r="K298" s="966">
        <f t="shared" si="43"/>
        <v>89000</v>
      </c>
      <c r="L298" s="973"/>
      <c r="M298" s="729"/>
      <c r="N298" s="729"/>
      <c r="O298" s="729"/>
      <c r="P298" s="729"/>
    </row>
    <row r="299" spans="1:19" s="714" customFormat="1" ht="24" customHeight="1">
      <c r="A299" s="861"/>
      <c r="B299" s="800" t="s">
        <v>1300</v>
      </c>
      <c r="C299" s="717"/>
      <c r="D299" s="717"/>
      <c r="E299" s="942"/>
      <c r="F299" s="803" t="s">
        <v>240</v>
      </c>
      <c r="G299" s="806">
        <v>650</v>
      </c>
      <c r="H299" s="796">
        <f t="shared" si="41"/>
        <v>0</v>
      </c>
      <c r="I299" s="807">
        <v>20</v>
      </c>
      <c r="J299" s="864">
        <f t="shared" si="42"/>
        <v>0</v>
      </c>
      <c r="K299" s="966">
        <f t="shared" si="43"/>
        <v>0</v>
      </c>
      <c r="L299" s="973"/>
      <c r="M299" s="729"/>
      <c r="N299" s="729"/>
      <c r="O299" s="729"/>
      <c r="P299" s="729"/>
    </row>
    <row r="300" spans="1:19" s="714" customFormat="1" ht="24" customHeight="1">
      <c r="A300" s="861"/>
      <c r="B300" s="800" t="s">
        <v>1301</v>
      </c>
      <c r="C300" s="717"/>
      <c r="D300" s="717"/>
      <c r="E300" s="942"/>
      <c r="F300" s="803" t="s">
        <v>240</v>
      </c>
      <c r="G300" s="806">
        <v>1200</v>
      </c>
      <c r="H300" s="796">
        <f t="shared" si="41"/>
        <v>0</v>
      </c>
      <c r="I300" s="807">
        <v>135</v>
      </c>
      <c r="J300" s="864">
        <f t="shared" si="42"/>
        <v>0</v>
      </c>
      <c r="K300" s="966">
        <f t="shared" si="43"/>
        <v>0</v>
      </c>
      <c r="L300" s="973"/>
      <c r="M300" s="729"/>
      <c r="N300" s="729"/>
      <c r="O300" s="729"/>
      <c r="P300" s="729"/>
    </row>
    <row r="301" spans="1:19" s="714" customFormat="1" ht="24" customHeight="1">
      <c r="A301" s="861"/>
      <c r="B301" s="800" t="s">
        <v>1302</v>
      </c>
      <c r="C301" s="717"/>
      <c r="D301" s="717"/>
      <c r="E301" s="942"/>
      <c r="F301" s="803" t="s">
        <v>240</v>
      </c>
      <c r="G301" s="806">
        <v>1200</v>
      </c>
      <c r="H301" s="796">
        <f t="shared" si="41"/>
        <v>0</v>
      </c>
      <c r="I301" s="807">
        <v>135</v>
      </c>
      <c r="J301" s="864">
        <f t="shared" si="42"/>
        <v>0</v>
      </c>
      <c r="K301" s="966">
        <f t="shared" si="43"/>
        <v>0</v>
      </c>
      <c r="L301" s="973"/>
      <c r="M301" s="729"/>
      <c r="N301" s="729"/>
      <c r="O301" s="729"/>
      <c r="P301" s="729"/>
    </row>
    <row r="302" spans="1:19" s="714" customFormat="1" ht="24" customHeight="1">
      <c r="A302" s="861"/>
      <c r="B302" s="800" t="s">
        <v>1303</v>
      </c>
      <c r="C302" s="717"/>
      <c r="D302" s="717"/>
      <c r="E302" s="942"/>
      <c r="F302" s="803" t="s">
        <v>240</v>
      </c>
      <c r="G302" s="806">
        <v>1200</v>
      </c>
      <c r="H302" s="796">
        <f t="shared" si="41"/>
        <v>0</v>
      </c>
      <c r="I302" s="807">
        <v>135</v>
      </c>
      <c r="J302" s="864">
        <f t="shared" si="42"/>
        <v>0</v>
      </c>
      <c r="K302" s="966">
        <f t="shared" si="43"/>
        <v>0</v>
      </c>
      <c r="L302" s="973"/>
      <c r="M302" s="729"/>
      <c r="N302" s="729"/>
      <c r="O302" s="729"/>
      <c r="P302" s="729"/>
    </row>
    <row r="303" spans="1:19" s="714" customFormat="1" ht="24" customHeight="1">
      <c r="A303" s="861"/>
      <c r="B303" s="800" t="s">
        <v>1304</v>
      </c>
      <c r="C303" s="717"/>
      <c r="D303" s="717"/>
      <c r="E303" s="942"/>
      <c r="F303" s="803" t="s">
        <v>240</v>
      </c>
      <c r="G303" s="806">
        <v>1200</v>
      </c>
      <c r="H303" s="796">
        <f t="shared" si="41"/>
        <v>0</v>
      </c>
      <c r="I303" s="807">
        <v>135</v>
      </c>
      <c r="J303" s="864">
        <f t="shared" si="42"/>
        <v>0</v>
      </c>
      <c r="K303" s="966">
        <f t="shared" si="43"/>
        <v>0</v>
      </c>
      <c r="L303" s="973"/>
      <c r="M303" s="729"/>
      <c r="N303" s="729"/>
      <c r="O303" s="729"/>
      <c r="P303" s="729"/>
    </row>
    <row r="304" spans="1:19" s="714" customFormat="1" ht="24" customHeight="1">
      <c r="A304" s="861"/>
      <c r="B304" s="800" t="s">
        <v>1305</v>
      </c>
      <c r="C304" s="717"/>
      <c r="D304" s="717"/>
      <c r="E304" s="942">
        <v>107</v>
      </c>
      <c r="F304" s="803" t="s">
        <v>240</v>
      </c>
      <c r="G304" s="806">
        <v>1200</v>
      </c>
      <c r="H304" s="796">
        <f t="shared" si="41"/>
        <v>128400</v>
      </c>
      <c r="I304" s="807">
        <v>135</v>
      </c>
      <c r="J304" s="864">
        <f t="shared" si="42"/>
        <v>14445</v>
      </c>
      <c r="K304" s="966">
        <f t="shared" si="43"/>
        <v>142845</v>
      </c>
      <c r="L304" s="973"/>
      <c r="M304" s="729"/>
      <c r="N304" s="729"/>
      <c r="O304" s="729"/>
      <c r="P304" s="729"/>
    </row>
    <row r="305" spans="1:18" s="714" customFormat="1" ht="24" customHeight="1">
      <c r="A305" s="861"/>
      <c r="B305" s="800" t="s">
        <v>1306</v>
      </c>
      <c r="C305" s="717"/>
      <c r="D305" s="717"/>
      <c r="E305" s="942"/>
      <c r="F305" s="803" t="s">
        <v>240</v>
      </c>
      <c r="G305" s="806">
        <v>1860</v>
      </c>
      <c r="H305" s="796">
        <f t="shared" si="41"/>
        <v>0</v>
      </c>
      <c r="I305" s="807">
        <v>135</v>
      </c>
      <c r="J305" s="796">
        <f t="shared" si="42"/>
        <v>0</v>
      </c>
      <c r="K305" s="966">
        <f t="shared" si="43"/>
        <v>0</v>
      </c>
      <c r="L305" s="973"/>
      <c r="M305" s="729"/>
      <c r="N305" s="729"/>
      <c r="O305" s="729"/>
      <c r="P305" s="729"/>
    </row>
    <row r="306" spans="1:18" s="714" customFormat="1" ht="24" customHeight="1">
      <c r="A306" s="861"/>
      <c r="B306" s="756" t="s">
        <v>1307</v>
      </c>
      <c r="C306" s="717"/>
      <c r="D306" s="717"/>
      <c r="E306" s="942"/>
      <c r="F306" s="759" t="s">
        <v>240</v>
      </c>
      <c r="G306" s="806">
        <v>1860</v>
      </c>
      <c r="H306" s="796">
        <f t="shared" si="41"/>
        <v>0</v>
      </c>
      <c r="I306" s="807">
        <v>135</v>
      </c>
      <c r="J306" s="796">
        <f t="shared" si="42"/>
        <v>0</v>
      </c>
      <c r="K306" s="966">
        <f t="shared" si="43"/>
        <v>0</v>
      </c>
      <c r="L306" s="973"/>
      <c r="M306" s="729"/>
      <c r="N306" s="729"/>
      <c r="O306" s="729"/>
      <c r="P306" s="729"/>
    </row>
    <row r="307" spans="1:18" s="714" customFormat="1" ht="24" customHeight="1">
      <c r="A307" s="861"/>
      <c r="B307" s="756" t="s">
        <v>1308</v>
      </c>
      <c r="C307" s="717"/>
      <c r="D307" s="717"/>
      <c r="E307" s="942"/>
      <c r="F307" s="759" t="s">
        <v>240</v>
      </c>
      <c r="G307" s="806">
        <v>1250</v>
      </c>
      <c r="H307" s="796">
        <f t="shared" si="41"/>
        <v>0</v>
      </c>
      <c r="I307" s="807">
        <v>135</v>
      </c>
      <c r="J307" s="864">
        <f t="shared" si="42"/>
        <v>0</v>
      </c>
      <c r="K307" s="966">
        <f t="shared" si="43"/>
        <v>0</v>
      </c>
      <c r="L307" s="973"/>
      <c r="M307" s="729"/>
      <c r="N307" s="729"/>
      <c r="O307" s="729"/>
      <c r="P307" s="729"/>
    </row>
    <row r="308" spans="1:18" s="714" customFormat="1" ht="24" customHeight="1">
      <c r="A308" s="861"/>
      <c r="B308" s="756" t="s">
        <v>1309</v>
      </c>
      <c r="C308" s="717"/>
      <c r="D308" s="717"/>
      <c r="E308" s="942"/>
      <c r="F308" s="759" t="s">
        <v>240</v>
      </c>
      <c r="G308" s="806">
        <v>1860</v>
      </c>
      <c r="H308" s="796">
        <f t="shared" si="41"/>
        <v>0</v>
      </c>
      <c r="I308" s="807">
        <v>135</v>
      </c>
      <c r="J308" s="796">
        <f t="shared" si="42"/>
        <v>0</v>
      </c>
      <c r="K308" s="966">
        <f t="shared" si="43"/>
        <v>0</v>
      </c>
      <c r="L308" s="973"/>
      <c r="M308" s="729"/>
      <c r="N308" s="729"/>
      <c r="O308" s="729"/>
      <c r="P308" s="729"/>
    </row>
    <row r="309" spans="1:18" s="714" customFormat="1" ht="24" customHeight="1">
      <c r="A309" s="861"/>
      <c r="B309" s="756" t="s">
        <v>1310</v>
      </c>
      <c r="C309" s="717"/>
      <c r="D309" s="717"/>
      <c r="E309" s="942"/>
      <c r="F309" s="759" t="s">
        <v>240</v>
      </c>
      <c r="G309" s="806">
        <v>1200</v>
      </c>
      <c r="H309" s="796">
        <f t="shared" si="41"/>
        <v>0</v>
      </c>
      <c r="I309" s="807">
        <v>135</v>
      </c>
      <c r="J309" s="864">
        <f t="shared" si="42"/>
        <v>0</v>
      </c>
      <c r="K309" s="966">
        <f t="shared" si="43"/>
        <v>0</v>
      </c>
      <c r="L309" s="973"/>
      <c r="M309" s="729"/>
      <c r="N309" s="729"/>
      <c r="O309" s="729"/>
      <c r="P309" s="729"/>
    </row>
    <row r="310" spans="1:18" s="714" customFormat="1" ht="24" customHeight="1">
      <c r="A310" s="861"/>
      <c r="B310" s="756" t="s">
        <v>1311</v>
      </c>
      <c r="C310" s="717"/>
      <c r="D310" s="717"/>
      <c r="E310" s="942">
        <v>156</v>
      </c>
      <c r="F310" s="759" t="s">
        <v>240</v>
      </c>
      <c r="G310" s="806">
        <v>1200</v>
      </c>
      <c r="H310" s="796">
        <f t="shared" si="41"/>
        <v>187200</v>
      </c>
      <c r="I310" s="807">
        <v>135</v>
      </c>
      <c r="J310" s="864">
        <f t="shared" si="42"/>
        <v>21060</v>
      </c>
      <c r="K310" s="966">
        <f t="shared" si="43"/>
        <v>208260</v>
      </c>
      <c r="L310" s="973"/>
      <c r="M310" s="729"/>
      <c r="N310" s="729"/>
      <c r="O310" s="729"/>
      <c r="P310" s="729"/>
    </row>
    <row r="311" spans="1:18" s="714" customFormat="1" ht="24" customHeight="1">
      <c r="A311" s="861"/>
      <c r="B311" s="756" t="s">
        <v>1312</v>
      </c>
      <c r="C311" s="757"/>
      <c r="D311" s="757"/>
      <c r="E311" s="942">
        <v>17</v>
      </c>
      <c r="F311" s="759" t="s">
        <v>240</v>
      </c>
      <c r="G311" s="752">
        <v>1830</v>
      </c>
      <c r="H311" s="864">
        <f t="shared" si="41"/>
        <v>31110</v>
      </c>
      <c r="I311" s="949">
        <v>500</v>
      </c>
      <c r="J311" s="864">
        <f t="shared" si="42"/>
        <v>8500</v>
      </c>
      <c r="K311" s="966">
        <f t="shared" si="43"/>
        <v>39610</v>
      </c>
      <c r="L311" s="973"/>
      <c r="M311" s="729"/>
      <c r="N311" s="729"/>
      <c r="O311" s="729"/>
      <c r="P311" s="729"/>
    </row>
    <row r="312" spans="1:18" s="714" customFormat="1" ht="24" customHeight="1">
      <c r="A312" s="861"/>
      <c r="B312" s="756" t="s">
        <v>1313</v>
      </c>
      <c r="C312" s="974"/>
      <c r="D312" s="974"/>
      <c r="E312" s="942">
        <v>6</v>
      </c>
      <c r="F312" s="759" t="s">
        <v>240</v>
      </c>
      <c r="G312" s="766">
        <v>1620</v>
      </c>
      <c r="H312" s="864">
        <f t="shared" si="41"/>
        <v>9720</v>
      </c>
      <c r="I312" s="975">
        <v>500</v>
      </c>
      <c r="J312" s="864">
        <f t="shared" si="42"/>
        <v>3000</v>
      </c>
      <c r="K312" s="966">
        <f t="shared" si="43"/>
        <v>12720</v>
      </c>
      <c r="L312" s="973"/>
      <c r="M312" s="729"/>
      <c r="N312" s="729"/>
      <c r="O312" s="729"/>
      <c r="P312" s="729"/>
    </row>
    <row r="313" spans="1:18" s="714" customFormat="1" ht="24" customHeight="1">
      <c r="A313" s="861"/>
      <c r="B313" s="756" t="s">
        <v>1314</v>
      </c>
      <c r="C313" s="757"/>
      <c r="D313" s="757"/>
      <c r="E313" s="942">
        <v>30</v>
      </c>
      <c r="F313" s="759" t="s">
        <v>240</v>
      </c>
      <c r="G313" s="752">
        <v>920</v>
      </c>
      <c r="H313" s="864">
        <f t="shared" si="41"/>
        <v>27600</v>
      </c>
      <c r="I313" s="949">
        <v>250</v>
      </c>
      <c r="J313" s="864">
        <f t="shared" si="42"/>
        <v>7500</v>
      </c>
      <c r="K313" s="966">
        <f t="shared" si="43"/>
        <v>35100</v>
      </c>
      <c r="L313" s="973"/>
      <c r="M313" s="729"/>
      <c r="N313" s="729"/>
      <c r="O313" s="729"/>
      <c r="P313" s="729"/>
    </row>
    <row r="314" spans="1:18" s="714" customFormat="1" ht="24" customHeight="1">
      <c r="A314" s="861"/>
      <c r="B314" s="756" t="s">
        <v>1315</v>
      </c>
      <c r="C314" s="757"/>
      <c r="D314" s="757"/>
      <c r="E314" s="942">
        <v>2</v>
      </c>
      <c r="F314" s="759" t="s">
        <v>240</v>
      </c>
      <c r="G314" s="752">
        <v>2180</v>
      </c>
      <c r="H314" s="864">
        <f t="shared" si="41"/>
        <v>4360</v>
      </c>
      <c r="I314" s="949">
        <v>500</v>
      </c>
      <c r="J314" s="864">
        <f t="shared" si="42"/>
        <v>1000</v>
      </c>
      <c r="K314" s="966">
        <f t="shared" si="43"/>
        <v>5360</v>
      </c>
      <c r="L314" s="973"/>
      <c r="M314" s="729"/>
      <c r="N314" s="729"/>
      <c r="O314" s="729"/>
      <c r="P314" s="729"/>
    </row>
    <row r="315" spans="1:18" s="714" customFormat="1" ht="24" customHeight="1">
      <c r="A315" s="861"/>
      <c r="B315" s="705" t="s">
        <v>1316</v>
      </c>
      <c r="C315" s="717"/>
      <c r="D315" s="717"/>
      <c r="E315" s="942">
        <v>1</v>
      </c>
      <c r="F315" s="759" t="s">
        <v>948</v>
      </c>
      <c r="G315" s="752">
        <f>ROUND(SUM(H293:H313)*5%,)</f>
        <v>25168</v>
      </c>
      <c r="H315" s="864">
        <f t="shared" si="41"/>
        <v>25168</v>
      </c>
      <c r="I315" s="865">
        <f>ROUND(G315*0.3,)</f>
        <v>7550</v>
      </c>
      <c r="J315" s="864">
        <f t="shared" si="42"/>
        <v>7550</v>
      </c>
      <c r="K315" s="966">
        <f t="shared" si="43"/>
        <v>32718</v>
      </c>
      <c r="L315" s="973"/>
      <c r="M315" s="729"/>
      <c r="N315" s="729"/>
      <c r="O315" s="729"/>
      <c r="P315" s="729"/>
    </row>
    <row r="316" spans="1:18" s="714" customFormat="1" ht="24" customHeight="1">
      <c r="A316" s="831"/>
      <c r="B316" s="720" t="s">
        <v>957</v>
      </c>
      <c r="C316" s="717"/>
      <c r="D316" s="717"/>
      <c r="E316" s="917"/>
      <c r="F316" s="722"/>
      <c r="G316" s="806"/>
      <c r="H316" s="918"/>
      <c r="I316" s="807"/>
      <c r="J316" s="919"/>
      <c r="K316" s="968"/>
      <c r="L316" s="919"/>
      <c r="M316" s="1094"/>
      <c r="N316" s="1094"/>
      <c r="O316" s="1094"/>
      <c r="P316" s="729"/>
      <c r="Q316" s="729"/>
      <c r="R316" s="729"/>
    </row>
    <row r="317" spans="1:18" s="714" customFormat="1" ht="24" customHeight="1">
      <c r="A317" s="831"/>
      <c r="B317" s="720" t="s">
        <v>1239</v>
      </c>
      <c r="C317" s="717"/>
      <c r="D317" s="717"/>
      <c r="E317" s="917"/>
      <c r="F317" s="722"/>
      <c r="G317" s="806"/>
      <c r="H317" s="918"/>
      <c r="I317" s="807"/>
      <c r="J317" s="919"/>
      <c r="K317" s="968"/>
      <c r="L317" s="919"/>
      <c r="M317" s="1094"/>
      <c r="N317" s="1094"/>
      <c r="O317" s="1094"/>
      <c r="P317" s="729"/>
      <c r="Q317" s="729"/>
      <c r="R317" s="729"/>
    </row>
    <row r="318" spans="1:18" s="714" customFormat="1" ht="24" customHeight="1">
      <c r="A318" s="921"/>
      <c r="B318" s="720" t="s">
        <v>1239</v>
      </c>
      <c r="C318" s="761"/>
      <c r="D318" s="761"/>
      <c r="E318" s="923"/>
      <c r="F318" s="924"/>
      <c r="G318" s="925"/>
      <c r="H318" s="926"/>
      <c r="I318" s="927"/>
      <c r="J318" s="928"/>
      <c r="K318" s="1072"/>
      <c r="L318" s="928"/>
      <c r="M318" s="1094"/>
      <c r="N318" s="1094"/>
      <c r="O318" s="1094"/>
      <c r="P318" s="729"/>
      <c r="Q318" s="729"/>
      <c r="R318" s="729"/>
    </row>
    <row r="319" spans="1:18" s="714" customFormat="1" ht="24" customHeight="1">
      <c r="A319" s="921"/>
      <c r="B319" s="1073"/>
      <c r="C319" s="761"/>
      <c r="D319" s="761"/>
      <c r="E319" s="923"/>
      <c r="F319" s="924"/>
      <c r="G319" s="925"/>
      <c r="H319" s="926"/>
      <c r="I319" s="927"/>
      <c r="J319" s="928"/>
      <c r="K319" s="1072"/>
      <c r="L319" s="928"/>
      <c r="M319" s="1094"/>
      <c r="N319" s="1094"/>
      <c r="O319" s="1094"/>
      <c r="P319" s="729"/>
      <c r="Q319" s="729"/>
      <c r="R319" s="729"/>
    </row>
    <row r="320" spans="1:18" s="714" customFormat="1" ht="24" customHeight="1">
      <c r="A320" s="921"/>
      <c r="B320" s="1073"/>
      <c r="C320" s="761"/>
      <c r="D320" s="761"/>
      <c r="E320" s="923"/>
      <c r="F320" s="924"/>
      <c r="G320" s="925"/>
      <c r="H320" s="926"/>
      <c r="I320" s="927"/>
      <c r="J320" s="928"/>
      <c r="K320" s="1072"/>
      <c r="L320" s="928"/>
      <c r="M320" s="1094"/>
      <c r="N320" s="1094"/>
      <c r="O320" s="1094"/>
      <c r="P320" s="729"/>
      <c r="Q320" s="729"/>
      <c r="R320" s="729"/>
    </row>
    <row r="321" spans="1:19" s="714" customFormat="1" ht="24" customHeight="1">
      <c r="A321" s="921"/>
      <c r="B321" s="922"/>
      <c r="C321" s="761"/>
      <c r="D321" s="761"/>
      <c r="E321" s="923"/>
      <c r="F321" s="924"/>
      <c r="G321" s="925"/>
      <c r="H321" s="926"/>
      <c r="I321" s="927"/>
      <c r="J321" s="928"/>
      <c r="K321" s="1072"/>
      <c r="L321" s="928"/>
      <c r="M321" s="729"/>
      <c r="N321" s="729"/>
      <c r="O321" s="729"/>
      <c r="P321" s="729"/>
      <c r="Q321" s="729"/>
      <c r="R321" s="729"/>
      <c r="S321" s="729"/>
    </row>
    <row r="322" spans="1:19" s="714" customFormat="1" ht="24" customHeight="1">
      <c r="A322" s="775"/>
      <c r="B322" s="2475" t="str">
        <f>"รวมราคารายการที่ "&amp;A293</f>
        <v>รวมราคารายการที่ 3.8</v>
      </c>
      <c r="C322" s="2476"/>
      <c r="D322" s="2477"/>
      <c r="E322" s="776"/>
      <c r="F322" s="777"/>
      <c r="G322" s="959"/>
      <c r="H322" s="960">
        <f>SUM(H293:H318)</f>
        <v>532878</v>
      </c>
      <c r="I322" s="959"/>
      <c r="J322" s="960">
        <f t="shared" ref="J322:K322" si="44">SUM(J293:J318)</f>
        <v>77310</v>
      </c>
      <c r="K322" s="960">
        <f t="shared" si="44"/>
        <v>610188</v>
      </c>
      <c r="L322" s="1006"/>
      <c r="M322" s="1094"/>
      <c r="N322" s="1094"/>
      <c r="O322" s="1094"/>
      <c r="P322" s="729"/>
      <c r="Q322" s="729"/>
      <c r="R322" s="729"/>
    </row>
    <row r="323" spans="1:19" s="714" customFormat="1" ht="24" customHeight="1">
      <c r="A323" s="911">
        <v>3.9</v>
      </c>
      <c r="B323" s="816" t="s">
        <v>1225</v>
      </c>
      <c r="C323" s="770"/>
      <c r="D323" s="770"/>
      <c r="E323" s="930"/>
      <c r="F323" s="931"/>
      <c r="G323" s="932"/>
      <c r="H323" s="933"/>
      <c r="I323" s="934"/>
      <c r="J323" s="935"/>
      <c r="K323" s="1013"/>
      <c r="L323" s="935"/>
      <c r="M323" s="1094"/>
      <c r="N323" s="1094"/>
      <c r="O323" s="1094"/>
      <c r="P323" s="729"/>
      <c r="Q323" s="729"/>
      <c r="R323" s="729"/>
    </row>
    <row r="324" spans="1:19" s="714" customFormat="1" ht="24" customHeight="1">
      <c r="A324" s="856" t="s">
        <v>1136</v>
      </c>
      <c r="B324" s="720" t="s">
        <v>1318</v>
      </c>
      <c r="C324" s="717"/>
      <c r="D324" s="717"/>
      <c r="E324" s="917">
        <v>2</v>
      </c>
      <c r="F324" s="722" t="s">
        <v>240</v>
      </c>
      <c r="G324" s="806">
        <f>30000+13500</f>
        <v>43500</v>
      </c>
      <c r="H324" s="796">
        <f t="shared" ref="H324:H355" si="45">ROUND(E324*G324,)</f>
        <v>87000</v>
      </c>
      <c r="I324" s="807">
        <f>G324*0.1</f>
        <v>4350</v>
      </c>
      <c r="J324" s="796">
        <f t="shared" ref="J324:J355" si="46">ROUND(E324*I324,)</f>
        <v>8700</v>
      </c>
      <c r="K324" s="966">
        <f t="shared" ref="K324:K355" si="47">H324+J324</f>
        <v>95700</v>
      </c>
      <c r="L324" s="919"/>
      <c r="M324" s="1094"/>
      <c r="N324" s="1094"/>
      <c r="O324" s="1094"/>
      <c r="P324" s="729"/>
      <c r="Q324" s="729"/>
      <c r="R324" s="729"/>
    </row>
    <row r="325" spans="1:19" s="714" customFormat="1" ht="24" customHeight="1">
      <c r="A325" s="856" t="s">
        <v>1144</v>
      </c>
      <c r="B325" s="720" t="s">
        <v>1319</v>
      </c>
      <c r="C325" s="717"/>
      <c r="D325" s="717"/>
      <c r="E325" s="917">
        <v>6</v>
      </c>
      <c r="F325" s="722" t="s">
        <v>240</v>
      </c>
      <c r="G325" s="806">
        <v>1850</v>
      </c>
      <c r="H325" s="796">
        <f t="shared" si="45"/>
        <v>11100</v>
      </c>
      <c r="I325" s="807">
        <v>250</v>
      </c>
      <c r="J325" s="796">
        <f t="shared" si="46"/>
        <v>1500</v>
      </c>
      <c r="K325" s="966">
        <f t="shared" si="47"/>
        <v>12600</v>
      </c>
      <c r="L325" s="919"/>
      <c r="M325" s="1094"/>
      <c r="N325" s="1094"/>
      <c r="O325" s="1094"/>
      <c r="P325" s="729"/>
      <c r="Q325" s="729"/>
      <c r="R325" s="729"/>
    </row>
    <row r="326" spans="1:19" s="714" customFormat="1" ht="24" customHeight="1">
      <c r="A326" s="856" t="s">
        <v>1146</v>
      </c>
      <c r="B326" s="720" t="s">
        <v>1320</v>
      </c>
      <c r="C326" s="717"/>
      <c r="D326" s="717"/>
      <c r="E326" s="917">
        <v>6</v>
      </c>
      <c r="F326" s="722" t="s">
        <v>240</v>
      </c>
      <c r="G326" s="806">
        <v>1850</v>
      </c>
      <c r="H326" s="796">
        <f t="shared" si="45"/>
        <v>11100</v>
      </c>
      <c r="I326" s="807">
        <v>250</v>
      </c>
      <c r="J326" s="796">
        <f t="shared" si="46"/>
        <v>1500</v>
      </c>
      <c r="K326" s="966">
        <f t="shared" si="47"/>
        <v>12600</v>
      </c>
      <c r="L326" s="919"/>
      <c r="M326" s="1094"/>
      <c r="N326" s="1094"/>
      <c r="O326" s="1094"/>
      <c r="P326" s="729"/>
      <c r="Q326" s="729"/>
      <c r="R326" s="729"/>
    </row>
    <row r="327" spans="1:19" s="714" customFormat="1" ht="24" customHeight="1">
      <c r="A327" s="856" t="s">
        <v>1156</v>
      </c>
      <c r="B327" s="720" t="s">
        <v>1321</v>
      </c>
      <c r="C327" s="717"/>
      <c r="D327" s="717"/>
      <c r="E327" s="917">
        <v>6</v>
      </c>
      <c r="F327" s="722" t="s">
        <v>240</v>
      </c>
      <c r="G327" s="806">
        <v>1850</v>
      </c>
      <c r="H327" s="796">
        <f t="shared" si="45"/>
        <v>11100</v>
      </c>
      <c r="I327" s="807">
        <v>250</v>
      </c>
      <c r="J327" s="796">
        <f t="shared" si="46"/>
        <v>1500</v>
      </c>
      <c r="K327" s="966">
        <f t="shared" si="47"/>
        <v>12600</v>
      </c>
      <c r="L327" s="919"/>
      <c r="M327" s="1094"/>
      <c r="N327" s="1094"/>
      <c r="O327" s="1094"/>
      <c r="P327" s="729"/>
      <c r="Q327" s="729"/>
      <c r="R327" s="729"/>
    </row>
    <row r="328" spans="1:19" s="714" customFormat="1" ht="24" customHeight="1">
      <c r="A328" s="856" t="s">
        <v>1429</v>
      </c>
      <c r="B328" s="720" t="s">
        <v>1322</v>
      </c>
      <c r="C328" s="717"/>
      <c r="D328" s="717"/>
      <c r="E328" s="917">
        <v>6</v>
      </c>
      <c r="F328" s="722" t="s">
        <v>240</v>
      </c>
      <c r="G328" s="806">
        <v>1850</v>
      </c>
      <c r="H328" s="796">
        <f t="shared" si="45"/>
        <v>11100</v>
      </c>
      <c r="I328" s="807">
        <v>250</v>
      </c>
      <c r="J328" s="796">
        <f t="shared" si="46"/>
        <v>1500</v>
      </c>
      <c r="K328" s="966">
        <f t="shared" si="47"/>
        <v>12600</v>
      </c>
      <c r="L328" s="919"/>
      <c r="M328" s="1094"/>
      <c r="N328" s="1094"/>
      <c r="O328" s="1094"/>
      <c r="P328" s="729"/>
      <c r="Q328" s="729"/>
      <c r="R328" s="729"/>
    </row>
    <row r="329" spans="1:19" s="714" customFormat="1" ht="24" customHeight="1">
      <c r="A329" s="856" t="s">
        <v>1486</v>
      </c>
      <c r="B329" s="720" t="s">
        <v>1323</v>
      </c>
      <c r="C329" s="717"/>
      <c r="D329" s="717"/>
      <c r="E329" s="917"/>
      <c r="F329" s="722" t="s">
        <v>240</v>
      </c>
      <c r="G329" s="806">
        <v>1850</v>
      </c>
      <c r="H329" s="796">
        <f t="shared" si="45"/>
        <v>0</v>
      </c>
      <c r="I329" s="807">
        <v>250</v>
      </c>
      <c r="J329" s="796">
        <f t="shared" si="46"/>
        <v>0</v>
      </c>
      <c r="K329" s="1014">
        <f t="shared" si="47"/>
        <v>0</v>
      </c>
      <c r="L329" s="919"/>
      <c r="M329" s="1094"/>
      <c r="N329" s="1094"/>
      <c r="O329" s="1094"/>
      <c r="P329" s="729"/>
      <c r="Q329" s="729"/>
      <c r="R329" s="729"/>
    </row>
    <row r="330" spans="1:19" s="714" customFormat="1" ht="24" customHeight="1">
      <c r="A330" s="856" t="s">
        <v>1432</v>
      </c>
      <c r="B330" s="720" t="s">
        <v>1324</v>
      </c>
      <c r="C330" s="717"/>
      <c r="D330" s="717"/>
      <c r="E330" s="917">
        <v>2</v>
      </c>
      <c r="F330" s="722" t="s">
        <v>240</v>
      </c>
      <c r="G330" s="806">
        <v>2750</v>
      </c>
      <c r="H330" s="796">
        <f t="shared" si="45"/>
        <v>5500</v>
      </c>
      <c r="I330" s="807">
        <v>250</v>
      </c>
      <c r="J330" s="796">
        <f t="shared" si="46"/>
        <v>500</v>
      </c>
      <c r="K330" s="966">
        <f t="shared" si="47"/>
        <v>6000</v>
      </c>
      <c r="L330" s="919"/>
      <c r="M330" s="1094"/>
      <c r="N330" s="1094"/>
      <c r="O330" s="1094"/>
      <c r="P330" s="729"/>
      <c r="Q330" s="729"/>
      <c r="R330" s="729"/>
    </row>
    <row r="331" spans="1:19" s="714" customFormat="1" ht="24" customHeight="1">
      <c r="A331" s="856" t="s">
        <v>1433</v>
      </c>
      <c r="B331" s="720" t="s">
        <v>1325</v>
      </c>
      <c r="C331" s="717"/>
      <c r="D331" s="717"/>
      <c r="E331" s="917">
        <v>2</v>
      </c>
      <c r="F331" s="722" t="s">
        <v>240</v>
      </c>
      <c r="G331" s="806">
        <v>2750</v>
      </c>
      <c r="H331" s="796">
        <f t="shared" si="45"/>
        <v>5500</v>
      </c>
      <c r="I331" s="807">
        <v>250</v>
      </c>
      <c r="J331" s="796">
        <f t="shared" si="46"/>
        <v>500</v>
      </c>
      <c r="K331" s="966">
        <f t="shared" si="47"/>
        <v>6000</v>
      </c>
      <c r="L331" s="919"/>
      <c r="M331" s="1094"/>
      <c r="N331" s="1094"/>
      <c r="O331" s="1094"/>
      <c r="P331" s="729"/>
      <c r="Q331" s="729"/>
      <c r="R331" s="729"/>
    </row>
    <row r="332" spans="1:19" s="714" customFormat="1" ht="24" customHeight="1">
      <c r="A332" s="856" t="s">
        <v>3070</v>
      </c>
      <c r="B332" s="720" t="s">
        <v>1326</v>
      </c>
      <c r="C332" s="717"/>
      <c r="D332" s="717"/>
      <c r="E332" s="917">
        <v>2</v>
      </c>
      <c r="F332" s="722" t="s">
        <v>240</v>
      </c>
      <c r="G332" s="806">
        <v>2750</v>
      </c>
      <c r="H332" s="796">
        <f t="shared" si="45"/>
        <v>5500</v>
      </c>
      <c r="I332" s="807">
        <v>250</v>
      </c>
      <c r="J332" s="796">
        <f t="shared" si="46"/>
        <v>500</v>
      </c>
      <c r="K332" s="966">
        <f t="shared" si="47"/>
        <v>6000</v>
      </c>
      <c r="L332" s="919"/>
      <c r="M332" s="1094"/>
      <c r="N332" s="1094"/>
      <c r="O332" s="1094"/>
      <c r="P332" s="729"/>
      <c r="Q332" s="729"/>
      <c r="R332" s="729"/>
    </row>
    <row r="333" spans="1:19" s="714" customFormat="1" ht="24" customHeight="1">
      <c r="A333" s="856" t="s">
        <v>3071</v>
      </c>
      <c r="B333" s="720" t="s">
        <v>1327</v>
      </c>
      <c r="C333" s="717"/>
      <c r="D333" s="717"/>
      <c r="E333" s="917">
        <v>2</v>
      </c>
      <c r="F333" s="722" t="s">
        <v>240</v>
      </c>
      <c r="G333" s="806">
        <v>2750</v>
      </c>
      <c r="H333" s="796">
        <f t="shared" si="45"/>
        <v>5500</v>
      </c>
      <c r="I333" s="807">
        <v>250</v>
      </c>
      <c r="J333" s="796">
        <f t="shared" si="46"/>
        <v>500</v>
      </c>
      <c r="K333" s="966">
        <f t="shared" si="47"/>
        <v>6000</v>
      </c>
      <c r="L333" s="919"/>
      <c r="M333" s="1094"/>
      <c r="N333" s="1094"/>
      <c r="O333" s="1094"/>
      <c r="P333" s="729"/>
      <c r="Q333" s="729"/>
      <c r="R333" s="729"/>
    </row>
    <row r="334" spans="1:19" s="714" customFormat="1" ht="24" customHeight="1">
      <c r="A334" s="856" t="s">
        <v>3072</v>
      </c>
      <c r="B334" s="720" t="s">
        <v>1328</v>
      </c>
      <c r="C334" s="717"/>
      <c r="D334" s="717"/>
      <c r="E334" s="917">
        <v>2</v>
      </c>
      <c r="F334" s="722" t="s">
        <v>240</v>
      </c>
      <c r="G334" s="806">
        <v>2750</v>
      </c>
      <c r="H334" s="796">
        <f t="shared" si="45"/>
        <v>5500</v>
      </c>
      <c r="I334" s="807">
        <v>250</v>
      </c>
      <c r="J334" s="796">
        <f t="shared" si="46"/>
        <v>500</v>
      </c>
      <c r="K334" s="966">
        <f t="shared" si="47"/>
        <v>6000</v>
      </c>
      <c r="L334" s="919"/>
      <c r="M334" s="1094"/>
      <c r="N334" s="1094"/>
      <c r="O334" s="1094"/>
      <c r="P334" s="729"/>
      <c r="Q334" s="729"/>
      <c r="R334" s="729"/>
    </row>
    <row r="335" spans="1:19" s="714" customFormat="1" ht="24" customHeight="1">
      <c r="A335" s="856" t="s">
        <v>3073</v>
      </c>
      <c r="B335" s="720" t="s">
        <v>1329</v>
      </c>
      <c r="C335" s="717"/>
      <c r="D335" s="717"/>
      <c r="E335" s="917">
        <v>4</v>
      </c>
      <c r="F335" s="722" t="s">
        <v>240</v>
      </c>
      <c r="G335" s="806">
        <v>2750</v>
      </c>
      <c r="H335" s="796">
        <f t="shared" si="45"/>
        <v>11000</v>
      </c>
      <c r="I335" s="807">
        <v>250</v>
      </c>
      <c r="J335" s="796">
        <f t="shared" si="46"/>
        <v>1000</v>
      </c>
      <c r="K335" s="966">
        <f t="shared" si="47"/>
        <v>12000</v>
      </c>
      <c r="L335" s="919"/>
      <c r="M335" s="1094"/>
      <c r="N335" s="1094"/>
      <c r="O335" s="1094"/>
      <c r="P335" s="729"/>
      <c r="Q335" s="729"/>
      <c r="R335" s="729"/>
    </row>
    <row r="336" spans="1:19" s="714" customFormat="1" ht="24" customHeight="1">
      <c r="A336" s="856" t="s">
        <v>3074</v>
      </c>
      <c r="B336" s="720" t="s">
        <v>1330</v>
      </c>
      <c r="C336" s="717"/>
      <c r="D336" s="717"/>
      <c r="E336" s="917">
        <v>4</v>
      </c>
      <c r="F336" s="722" t="s">
        <v>240</v>
      </c>
      <c r="G336" s="806">
        <v>2250</v>
      </c>
      <c r="H336" s="796">
        <f t="shared" si="45"/>
        <v>9000</v>
      </c>
      <c r="I336" s="807">
        <v>250</v>
      </c>
      <c r="J336" s="796">
        <f t="shared" si="46"/>
        <v>1000</v>
      </c>
      <c r="K336" s="966">
        <f t="shared" si="47"/>
        <v>10000</v>
      </c>
      <c r="L336" s="919"/>
      <c r="M336" s="1094"/>
      <c r="N336" s="1094"/>
      <c r="O336" s="1094"/>
      <c r="P336" s="729"/>
      <c r="Q336" s="729"/>
      <c r="R336" s="729"/>
    </row>
    <row r="337" spans="1:18" s="714" customFormat="1" ht="24" customHeight="1">
      <c r="A337" s="856" t="s">
        <v>3075</v>
      </c>
      <c r="B337" s="720" t="s">
        <v>1331</v>
      </c>
      <c r="C337" s="717"/>
      <c r="D337" s="717"/>
      <c r="E337" s="917">
        <v>129</v>
      </c>
      <c r="F337" s="722" t="s">
        <v>240</v>
      </c>
      <c r="G337" s="806">
        <f>3300+300</f>
        <v>3600</v>
      </c>
      <c r="H337" s="796">
        <f t="shared" si="45"/>
        <v>464400</v>
      </c>
      <c r="I337" s="807">
        <v>200</v>
      </c>
      <c r="J337" s="796">
        <f t="shared" si="46"/>
        <v>25800</v>
      </c>
      <c r="K337" s="966">
        <f t="shared" si="47"/>
        <v>490200</v>
      </c>
      <c r="L337" s="919"/>
      <c r="M337" s="1094"/>
      <c r="N337" s="1094"/>
      <c r="O337" s="1094"/>
      <c r="P337" s="729"/>
      <c r="Q337" s="729"/>
      <c r="R337" s="729"/>
    </row>
    <row r="338" spans="1:18" s="714" customFormat="1" ht="24" customHeight="1">
      <c r="A338" s="856" t="s">
        <v>3076</v>
      </c>
      <c r="B338" s="720" t="s">
        <v>1332</v>
      </c>
      <c r="C338" s="717"/>
      <c r="D338" s="717"/>
      <c r="E338" s="917">
        <v>6</v>
      </c>
      <c r="F338" s="722" t="s">
        <v>240</v>
      </c>
      <c r="G338" s="806">
        <v>5000</v>
      </c>
      <c r="H338" s="796">
        <f t="shared" si="45"/>
        <v>30000</v>
      </c>
      <c r="I338" s="807">
        <v>500</v>
      </c>
      <c r="J338" s="796">
        <f t="shared" si="46"/>
        <v>3000</v>
      </c>
      <c r="K338" s="966">
        <f t="shared" si="47"/>
        <v>33000</v>
      </c>
      <c r="L338" s="919"/>
      <c r="M338" s="1094"/>
      <c r="N338" s="1094"/>
      <c r="O338" s="1094"/>
      <c r="P338" s="729"/>
      <c r="Q338" s="729"/>
      <c r="R338" s="729"/>
    </row>
    <row r="339" spans="1:18" s="714" customFormat="1" ht="24" customHeight="1">
      <c r="A339" s="856" t="s">
        <v>3077</v>
      </c>
      <c r="B339" s="720" t="s">
        <v>1333</v>
      </c>
      <c r="C339" s="717"/>
      <c r="D339" s="717"/>
      <c r="E339" s="917">
        <v>8</v>
      </c>
      <c r="F339" s="722" t="s">
        <v>240</v>
      </c>
      <c r="G339" s="806">
        <v>350</v>
      </c>
      <c r="H339" s="796">
        <f t="shared" si="45"/>
        <v>2800</v>
      </c>
      <c r="I339" s="807">
        <v>200</v>
      </c>
      <c r="J339" s="796">
        <f t="shared" si="46"/>
        <v>1600</v>
      </c>
      <c r="K339" s="966">
        <f t="shared" si="47"/>
        <v>4400</v>
      </c>
      <c r="L339" s="919"/>
      <c r="M339" s="1094"/>
      <c r="N339" s="1094"/>
      <c r="O339" s="1094"/>
      <c r="P339" s="729"/>
      <c r="Q339" s="729"/>
      <c r="R339" s="729"/>
    </row>
    <row r="340" spans="1:18" s="714" customFormat="1" ht="24" customHeight="1">
      <c r="A340" s="856" t="s">
        <v>3078</v>
      </c>
      <c r="B340" s="720" t="s">
        <v>1334</v>
      </c>
      <c r="C340" s="717"/>
      <c r="D340" s="717"/>
      <c r="E340" s="917">
        <v>6</v>
      </c>
      <c r="F340" s="722" t="s">
        <v>240</v>
      </c>
      <c r="G340" s="806">
        <v>4200</v>
      </c>
      <c r="H340" s="796">
        <f t="shared" si="45"/>
        <v>25200</v>
      </c>
      <c r="I340" s="807">
        <v>200</v>
      </c>
      <c r="J340" s="796">
        <f t="shared" si="46"/>
        <v>1200</v>
      </c>
      <c r="K340" s="966">
        <f t="shared" si="47"/>
        <v>26400</v>
      </c>
      <c r="L340" s="919"/>
      <c r="M340" s="1094"/>
      <c r="N340" s="1094"/>
      <c r="O340" s="1094"/>
      <c r="P340" s="729"/>
      <c r="Q340" s="729"/>
      <c r="R340" s="729"/>
    </row>
    <row r="341" spans="1:18" s="714" customFormat="1" ht="24" customHeight="1">
      <c r="A341" s="856" t="s">
        <v>3079</v>
      </c>
      <c r="B341" s="720" t="s">
        <v>1335</v>
      </c>
      <c r="C341" s="717"/>
      <c r="D341" s="717"/>
      <c r="E341" s="917">
        <v>17</v>
      </c>
      <c r="F341" s="722" t="s">
        <v>240</v>
      </c>
      <c r="G341" s="806">
        <v>2200</v>
      </c>
      <c r="H341" s="796">
        <f t="shared" si="45"/>
        <v>37400</v>
      </c>
      <c r="I341" s="807">
        <v>200</v>
      </c>
      <c r="J341" s="796">
        <f t="shared" si="46"/>
        <v>3400</v>
      </c>
      <c r="K341" s="966">
        <f t="shared" si="47"/>
        <v>40800</v>
      </c>
      <c r="L341" s="919"/>
      <c r="M341" s="1094"/>
      <c r="N341" s="1094"/>
      <c r="O341" s="1094"/>
      <c r="P341" s="729"/>
      <c r="Q341" s="729"/>
      <c r="R341" s="729"/>
    </row>
    <row r="342" spans="1:18" s="714" customFormat="1" ht="24" customHeight="1">
      <c r="A342" s="856" t="s">
        <v>3080</v>
      </c>
      <c r="B342" s="720" t="s">
        <v>1336</v>
      </c>
      <c r="C342" s="717"/>
      <c r="D342" s="717"/>
      <c r="E342" s="917">
        <v>2</v>
      </c>
      <c r="F342" s="722" t="s">
        <v>240</v>
      </c>
      <c r="G342" s="806">
        <v>5000</v>
      </c>
      <c r="H342" s="796">
        <f t="shared" si="45"/>
        <v>10000</v>
      </c>
      <c r="I342" s="807">
        <v>500</v>
      </c>
      <c r="J342" s="796">
        <f t="shared" si="46"/>
        <v>1000</v>
      </c>
      <c r="K342" s="966">
        <f t="shared" si="47"/>
        <v>11000</v>
      </c>
      <c r="L342" s="919"/>
      <c r="M342" s="1094"/>
      <c r="N342" s="1094"/>
      <c r="O342" s="1094"/>
      <c r="P342" s="729"/>
      <c r="Q342" s="729"/>
      <c r="R342" s="729"/>
    </row>
    <row r="343" spans="1:18" s="714" customFormat="1" ht="24" customHeight="1">
      <c r="A343" s="856" t="s">
        <v>3081</v>
      </c>
      <c r="B343" s="720" t="s">
        <v>1159</v>
      </c>
      <c r="C343" s="717"/>
      <c r="D343" s="717"/>
      <c r="E343" s="917"/>
      <c r="F343" s="916"/>
      <c r="G343" s="806"/>
      <c r="H343" s="796">
        <f t="shared" si="45"/>
        <v>0</v>
      </c>
      <c r="I343" s="807"/>
      <c r="J343" s="796">
        <f t="shared" si="46"/>
        <v>0</v>
      </c>
      <c r="K343" s="1014">
        <f t="shared" si="47"/>
        <v>0</v>
      </c>
      <c r="L343" s="919"/>
      <c r="M343" s="1094"/>
      <c r="N343" s="1094"/>
      <c r="O343" s="1094"/>
      <c r="P343" s="729"/>
      <c r="Q343" s="729"/>
      <c r="R343" s="729"/>
    </row>
    <row r="344" spans="1:18" s="714" customFormat="1" ht="24" customHeight="1">
      <c r="A344" s="831"/>
      <c r="B344" s="720" t="s">
        <v>1337</v>
      </c>
      <c r="C344" s="717"/>
      <c r="D344" s="717"/>
      <c r="E344" s="917">
        <v>814</v>
      </c>
      <c r="F344" s="794" t="s">
        <v>438</v>
      </c>
      <c r="G344" s="806">
        <v>82</v>
      </c>
      <c r="H344" s="796">
        <f t="shared" si="45"/>
        <v>66748</v>
      </c>
      <c r="I344" s="807">
        <v>12</v>
      </c>
      <c r="J344" s="796">
        <f t="shared" si="46"/>
        <v>9768</v>
      </c>
      <c r="K344" s="966">
        <f t="shared" si="47"/>
        <v>76516</v>
      </c>
      <c r="L344" s="919"/>
      <c r="M344" s="1094"/>
      <c r="N344" s="1094"/>
      <c r="O344" s="1094"/>
      <c r="P344" s="729"/>
      <c r="Q344" s="729"/>
      <c r="R344" s="729"/>
    </row>
    <row r="345" spans="1:18" s="714" customFormat="1" ht="24" customHeight="1">
      <c r="A345" s="831"/>
      <c r="B345" s="720" t="s">
        <v>2920</v>
      </c>
      <c r="C345" s="717"/>
      <c r="D345" s="717"/>
      <c r="E345" s="917">
        <v>646</v>
      </c>
      <c r="F345" s="794" t="s">
        <v>438</v>
      </c>
      <c r="G345" s="806">
        <v>6</v>
      </c>
      <c r="H345" s="796">
        <f t="shared" si="45"/>
        <v>3876</v>
      </c>
      <c r="I345" s="807">
        <v>6</v>
      </c>
      <c r="J345" s="796">
        <f t="shared" si="46"/>
        <v>3876</v>
      </c>
      <c r="K345" s="966">
        <f t="shared" si="47"/>
        <v>7752</v>
      </c>
      <c r="L345" s="919"/>
      <c r="M345" s="1094"/>
      <c r="N345" s="1094"/>
      <c r="O345" s="1094"/>
      <c r="P345" s="729"/>
      <c r="Q345" s="729"/>
      <c r="R345" s="729"/>
    </row>
    <row r="346" spans="1:18" s="714" customFormat="1" ht="24" customHeight="1">
      <c r="A346" s="831"/>
      <c r="B346" s="720" t="s">
        <v>2921</v>
      </c>
      <c r="C346" s="717"/>
      <c r="D346" s="717"/>
      <c r="E346" s="917">
        <v>488</v>
      </c>
      <c r="F346" s="794" t="s">
        <v>438</v>
      </c>
      <c r="G346" s="806">
        <v>18</v>
      </c>
      <c r="H346" s="796">
        <f t="shared" si="45"/>
        <v>8784</v>
      </c>
      <c r="I346" s="807">
        <v>8</v>
      </c>
      <c r="J346" s="796">
        <f t="shared" si="46"/>
        <v>3904</v>
      </c>
      <c r="K346" s="966">
        <f t="shared" si="47"/>
        <v>12688</v>
      </c>
      <c r="L346" s="919"/>
      <c r="M346" s="1094"/>
      <c r="N346" s="1094"/>
      <c r="O346" s="1094"/>
      <c r="P346" s="729"/>
      <c r="Q346" s="729"/>
      <c r="R346" s="729"/>
    </row>
    <row r="347" spans="1:18" s="714" customFormat="1" ht="24" customHeight="1">
      <c r="A347" s="831"/>
      <c r="B347" s="720" t="s">
        <v>1338</v>
      </c>
      <c r="C347" s="717"/>
      <c r="D347" s="717"/>
      <c r="E347" s="917">
        <v>1</v>
      </c>
      <c r="F347" s="916" t="s">
        <v>948</v>
      </c>
      <c r="G347" s="806">
        <f>ROUND(SUM(H344:H346)*5%,)</f>
        <v>3970</v>
      </c>
      <c r="H347" s="796">
        <f t="shared" si="45"/>
        <v>3970</v>
      </c>
      <c r="I347" s="865">
        <f>ROUND(G347*0.3,)</f>
        <v>1191</v>
      </c>
      <c r="J347" s="796">
        <f t="shared" si="46"/>
        <v>1191</v>
      </c>
      <c r="K347" s="966">
        <f t="shared" si="47"/>
        <v>5161</v>
      </c>
      <c r="L347" s="919"/>
      <c r="M347" s="1094"/>
      <c r="N347" s="1094"/>
      <c r="O347" s="1094"/>
      <c r="P347" s="729"/>
      <c r="Q347" s="729"/>
      <c r="R347" s="729"/>
    </row>
    <row r="348" spans="1:18" s="714" customFormat="1" ht="24" customHeight="1">
      <c r="A348" s="856" t="s">
        <v>3082</v>
      </c>
      <c r="B348" s="720" t="s">
        <v>1357</v>
      </c>
      <c r="C348" s="717"/>
      <c r="D348" s="717"/>
      <c r="E348" s="942"/>
      <c r="F348" s="916"/>
      <c r="G348" s="806"/>
      <c r="H348" s="796"/>
      <c r="I348" s="807"/>
      <c r="J348" s="796"/>
      <c r="K348" s="914"/>
      <c r="L348" s="919"/>
      <c r="M348" s="729"/>
      <c r="N348" s="729"/>
      <c r="O348" s="729"/>
      <c r="P348" s="729"/>
    </row>
    <row r="349" spans="1:18" s="714" customFormat="1" ht="24" customHeight="1">
      <c r="A349" s="831"/>
      <c r="B349" s="720" t="s">
        <v>1201</v>
      </c>
      <c r="C349" s="717"/>
      <c r="D349" s="717"/>
      <c r="E349" s="917">
        <v>323</v>
      </c>
      <c r="F349" s="794" t="s">
        <v>438</v>
      </c>
      <c r="G349" s="806">
        <v>27</v>
      </c>
      <c r="H349" s="796">
        <f t="shared" ref="H349:H350" si="48">ROUND(E349*G349,)</f>
        <v>8721</v>
      </c>
      <c r="I349" s="807">
        <v>22</v>
      </c>
      <c r="J349" s="796">
        <f t="shared" ref="J349:J350" si="49">ROUND(E349*I349,)</f>
        <v>7106</v>
      </c>
      <c r="K349" s="1030">
        <f t="shared" ref="K349:K350" si="50">H349+J349</f>
        <v>15827</v>
      </c>
      <c r="L349" s="1718" t="s">
        <v>2974</v>
      </c>
      <c r="M349" s="729"/>
      <c r="N349" s="714">
        <v>79.8</v>
      </c>
      <c r="O349" s="714">
        <f>ROUND(N349/3,)</f>
        <v>27</v>
      </c>
      <c r="P349" s="729"/>
    </row>
    <row r="350" spans="1:18" s="714" customFormat="1" ht="24" customHeight="1">
      <c r="A350" s="831"/>
      <c r="B350" s="720" t="s">
        <v>1237</v>
      </c>
      <c r="C350" s="717"/>
      <c r="D350" s="717"/>
      <c r="E350" s="917">
        <v>1</v>
      </c>
      <c r="F350" s="916" t="s">
        <v>948</v>
      </c>
      <c r="G350" s="806">
        <f>ROUND(SUM(H349:H349)*15%,)</f>
        <v>1308</v>
      </c>
      <c r="H350" s="796">
        <f t="shared" si="48"/>
        <v>1308</v>
      </c>
      <c r="I350" s="807">
        <f>ROUND(G350*0.3,)</f>
        <v>392</v>
      </c>
      <c r="J350" s="796">
        <f t="shared" si="49"/>
        <v>392</v>
      </c>
      <c r="K350" s="914">
        <f t="shared" si="50"/>
        <v>1700</v>
      </c>
      <c r="L350" s="919"/>
      <c r="M350" s="729"/>
      <c r="N350" s="729"/>
      <c r="O350" s="729"/>
      <c r="P350" s="729"/>
    </row>
    <row r="351" spans="1:18" s="714" customFormat="1" ht="24" customHeight="1">
      <c r="A351" s="856" t="s">
        <v>3083</v>
      </c>
      <c r="B351" s="720" t="s">
        <v>950</v>
      </c>
      <c r="C351" s="717"/>
      <c r="D351" s="717"/>
      <c r="E351" s="917"/>
      <c r="F351" s="916"/>
      <c r="G351" s="806"/>
      <c r="H351" s="796">
        <f t="shared" si="45"/>
        <v>0</v>
      </c>
      <c r="I351" s="807"/>
      <c r="J351" s="796">
        <f t="shared" si="46"/>
        <v>0</v>
      </c>
      <c r="K351" s="1014">
        <f t="shared" si="47"/>
        <v>0</v>
      </c>
      <c r="L351" s="919"/>
      <c r="M351" s="1094"/>
      <c r="N351" s="1094"/>
      <c r="O351" s="1094"/>
      <c r="P351" s="729"/>
      <c r="Q351" s="729"/>
      <c r="R351" s="729"/>
    </row>
    <row r="352" spans="1:18" s="714" customFormat="1" ht="24" customHeight="1">
      <c r="A352" s="831"/>
      <c r="B352" s="720" t="s">
        <v>1184</v>
      </c>
      <c r="C352" s="717"/>
      <c r="D352" s="717"/>
      <c r="E352" s="917">
        <v>1302</v>
      </c>
      <c r="F352" s="794" t="s">
        <v>438</v>
      </c>
      <c r="G352" s="806">
        <v>75</v>
      </c>
      <c r="H352" s="796">
        <f t="shared" si="45"/>
        <v>97650</v>
      </c>
      <c r="I352" s="807">
        <v>28</v>
      </c>
      <c r="J352" s="796">
        <f t="shared" si="46"/>
        <v>36456</v>
      </c>
      <c r="K352" s="1014">
        <f t="shared" si="47"/>
        <v>134106</v>
      </c>
      <c r="L352" s="1718" t="s">
        <v>2974</v>
      </c>
      <c r="M352" s="729"/>
      <c r="N352" s="714">
        <v>225</v>
      </c>
      <c r="O352" s="714">
        <f>ROUND(N352/3,)</f>
        <v>75</v>
      </c>
      <c r="P352" s="729"/>
      <c r="Q352" s="729"/>
      <c r="R352" s="729"/>
    </row>
    <row r="353" spans="1:19" s="714" customFormat="1" ht="24" customHeight="1">
      <c r="A353" s="831"/>
      <c r="B353" s="720" t="s">
        <v>952</v>
      </c>
      <c r="C353" s="717"/>
      <c r="D353" s="717"/>
      <c r="E353" s="917">
        <v>1</v>
      </c>
      <c r="F353" s="916" t="s">
        <v>948</v>
      </c>
      <c r="G353" s="806">
        <f>ROUND(SUM(H352:H352)*15%,)</f>
        <v>14648</v>
      </c>
      <c r="H353" s="796">
        <f t="shared" si="45"/>
        <v>14648</v>
      </c>
      <c r="I353" s="865">
        <f>ROUND(G353*0.3,)</f>
        <v>4394</v>
      </c>
      <c r="J353" s="796">
        <f t="shared" si="46"/>
        <v>4394</v>
      </c>
      <c r="K353" s="966">
        <f t="shared" si="47"/>
        <v>19042</v>
      </c>
      <c r="L353" s="919"/>
      <c r="M353" s="1094"/>
      <c r="N353" s="1094"/>
      <c r="O353" s="1094"/>
      <c r="P353" s="729"/>
      <c r="Q353" s="729"/>
      <c r="R353" s="729"/>
    </row>
    <row r="354" spans="1:19" s="714" customFormat="1" ht="24" customHeight="1">
      <c r="A354" s="856" t="s">
        <v>3084</v>
      </c>
      <c r="B354" s="720" t="s">
        <v>1281</v>
      </c>
      <c r="C354" s="717"/>
      <c r="D354" s="717"/>
      <c r="E354" s="917"/>
      <c r="F354" s="916"/>
      <c r="G354" s="806"/>
      <c r="H354" s="796">
        <f t="shared" si="45"/>
        <v>0</v>
      </c>
      <c r="I354" s="807"/>
      <c r="J354" s="796">
        <f t="shared" si="46"/>
        <v>0</v>
      </c>
      <c r="K354" s="1014">
        <f t="shared" si="47"/>
        <v>0</v>
      </c>
      <c r="L354" s="919"/>
      <c r="M354" s="1094"/>
      <c r="N354" s="1094"/>
      <c r="O354" s="1094"/>
      <c r="P354" s="729"/>
      <c r="Q354" s="729"/>
      <c r="R354" s="729"/>
    </row>
    <row r="355" spans="1:19" s="714" customFormat="1" ht="24" customHeight="1">
      <c r="A355" s="831"/>
      <c r="B355" s="720" t="s">
        <v>1201</v>
      </c>
      <c r="C355" s="717"/>
      <c r="D355" s="717"/>
      <c r="E355" s="917">
        <v>129</v>
      </c>
      <c r="F355" s="794" t="s">
        <v>438</v>
      </c>
      <c r="G355" s="806">
        <v>14</v>
      </c>
      <c r="H355" s="796">
        <f t="shared" si="45"/>
        <v>1806</v>
      </c>
      <c r="I355" s="807">
        <v>11</v>
      </c>
      <c r="J355" s="796">
        <f t="shared" si="46"/>
        <v>1419</v>
      </c>
      <c r="K355" s="966">
        <f t="shared" si="47"/>
        <v>3225</v>
      </c>
      <c r="L355" s="919"/>
      <c r="M355" s="1094"/>
      <c r="N355" s="1094"/>
      <c r="O355" s="1094"/>
      <c r="P355" s="729"/>
      <c r="Q355" s="729"/>
      <c r="R355" s="729"/>
    </row>
    <row r="356" spans="1:19" s="714" customFormat="1" ht="24" customHeight="1">
      <c r="A356" s="831"/>
      <c r="B356" s="720" t="s">
        <v>957</v>
      </c>
      <c r="C356" s="717"/>
      <c r="D356" s="717"/>
      <c r="E356" s="917"/>
      <c r="F356" s="916"/>
      <c r="G356" s="806"/>
      <c r="H356" s="918"/>
      <c r="I356" s="807"/>
      <c r="J356" s="919"/>
      <c r="K356" s="968"/>
      <c r="L356" s="919"/>
      <c r="M356" s="1094"/>
      <c r="N356" s="1094"/>
      <c r="O356" s="1094"/>
      <c r="P356" s="729"/>
      <c r="Q356" s="729"/>
      <c r="R356" s="729"/>
    </row>
    <row r="357" spans="1:19" s="714" customFormat="1" ht="24" customHeight="1">
      <c r="A357" s="831"/>
      <c r="B357" s="720" t="s">
        <v>958</v>
      </c>
      <c r="C357" s="717"/>
      <c r="D357" s="717"/>
      <c r="E357" s="917"/>
      <c r="F357" s="916"/>
      <c r="G357" s="806"/>
      <c r="H357" s="918"/>
      <c r="I357" s="807"/>
      <c r="J357" s="919"/>
      <c r="K357" s="968"/>
      <c r="L357" s="919"/>
      <c r="M357" s="1094"/>
      <c r="N357" s="1094"/>
      <c r="O357" s="1094"/>
      <c r="P357" s="729"/>
      <c r="Q357" s="729"/>
      <c r="R357" s="729"/>
    </row>
    <row r="358" spans="1:19" s="714" customFormat="1" ht="24" customHeight="1">
      <c r="A358" s="921"/>
      <c r="B358" s="720" t="s">
        <v>1239</v>
      </c>
      <c r="C358" s="761"/>
      <c r="D358" s="761"/>
      <c r="E358" s="923"/>
      <c r="F358" s="924"/>
      <c r="G358" s="925"/>
      <c r="H358" s="926"/>
      <c r="I358" s="927"/>
      <c r="J358" s="928"/>
      <c r="K358" s="1072"/>
      <c r="L358" s="928"/>
      <c r="M358" s="1094"/>
      <c r="N358" s="1094"/>
      <c r="O358" s="1094"/>
      <c r="P358" s="729"/>
      <c r="Q358" s="729"/>
      <c r="R358" s="729"/>
    </row>
    <row r="359" spans="1:19" s="714" customFormat="1" ht="24" customHeight="1">
      <c r="A359" s="921"/>
      <c r="B359" s="1073"/>
      <c r="C359" s="761"/>
      <c r="D359" s="761"/>
      <c r="E359" s="923"/>
      <c r="F359" s="924"/>
      <c r="G359" s="925"/>
      <c r="H359" s="926"/>
      <c r="I359" s="927"/>
      <c r="J359" s="928"/>
      <c r="K359" s="1072"/>
      <c r="L359" s="928"/>
      <c r="M359" s="1094"/>
      <c r="N359" s="1094"/>
      <c r="O359" s="1094"/>
      <c r="P359" s="729"/>
      <c r="Q359" s="729"/>
      <c r="R359" s="729"/>
    </row>
    <row r="360" spans="1:19" s="714" customFormat="1" ht="24" customHeight="1">
      <c r="A360" s="921"/>
      <c r="B360" s="1073"/>
      <c r="C360" s="761"/>
      <c r="D360" s="761"/>
      <c r="E360" s="923"/>
      <c r="F360" s="924"/>
      <c r="G360" s="925"/>
      <c r="H360" s="926"/>
      <c r="I360" s="927"/>
      <c r="J360" s="928"/>
      <c r="K360" s="1072"/>
      <c r="L360" s="928"/>
      <c r="M360" s="1094"/>
      <c r="N360" s="1094"/>
      <c r="O360" s="1094"/>
      <c r="P360" s="729"/>
      <c r="Q360" s="729"/>
      <c r="R360" s="729"/>
    </row>
    <row r="361" spans="1:19" s="714" customFormat="1" ht="24" customHeight="1">
      <c r="A361" s="921"/>
      <c r="B361" s="922"/>
      <c r="C361" s="761"/>
      <c r="D361" s="761"/>
      <c r="E361" s="923"/>
      <c r="F361" s="924"/>
      <c r="G361" s="925"/>
      <c r="H361" s="926"/>
      <c r="I361" s="927"/>
      <c r="J361" s="928"/>
      <c r="K361" s="1072"/>
      <c r="L361" s="928"/>
      <c r="M361" s="729"/>
      <c r="N361" s="729"/>
      <c r="O361" s="729"/>
      <c r="P361" s="729"/>
      <c r="Q361" s="729"/>
      <c r="R361" s="729"/>
      <c r="S361" s="729"/>
    </row>
    <row r="362" spans="1:19" s="714" customFormat="1" ht="24" customHeight="1">
      <c r="A362" s="775"/>
      <c r="B362" s="2475" t="str">
        <f>"รวมราคารายการที่ "&amp;A323</f>
        <v>รวมราคารายการที่ 3.9</v>
      </c>
      <c r="C362" s="2476"/>
      <c r="D362" s="2477"/>
      <c r="E362" s="776"/>
      <c r="F362" s="777"/>
      <c r="G362" s="959"/>
      <c r="H362" s="960">
        <f>SUM(H323:H361)</f>
        <v>956211</v>
      </c>
      <c r="I362" s="959"/>
      <c r="J362" s="960">
        <f>SUM(J323:J361)</f>
        <v>123706</v>
      </c>
      <c r="K362" s="960">
        <f>SUM(K323:K361)</f>
        <v>1079917</v>
      </c>
      <c r="L362" s="1006"/>
      <c r="M362" s="1094"/>
      <c r="N362" s="1094"/>
      <c r="O362" s="1094"/>
      <c r="P362" s="729"/>
      <c r="Q362" s="729"/>
      <c r="R362" s="729"/>
    </row>
    <row r="363" spans="1:19" s="714" customFormat="1" ht="24" customHeight="1">
      <c r="A363" s="911" t="s">
        <v>1158</v>
      </c>
      <c r="B363" s="816" t="s">
        <v>1241</v>
      </c>
      <c r="C363" s="770"/>
      <c r="D363" s="770"/>
      <c r="E363" s="930"/>
      <c r="F363" s="939"/>
      <c r="G363" s="932"/>
      <c r="H363" s="933"/>
      <c r="I363" s="934"/>
      <c r="J363" s="935"/>
      <c r="K363" s="1013"/>
      <c r="L363" s="935"/>
      <c r="M363" s="1094"/>
      <c r="N363" s="1094"/>
      <c r="O363" s="1094"/>
      <c r="P363" s="729"/>
      <c r="Q363" s="729"/>
      <c r="R363" s="729"/>
    </row>
    <row r="364" spans="1:19" s="714" customFormat="1" ht="24" customHeight="1">
      <c r="A364" s="831" t="s">
        <v>1160</v>
      </c>
      <c r="B364" s="720" t="s">
        <v>1423</v>
      </c>
      <c r="C364" s="717"/>
      <c r="D364" s="717"/>
      <c r="E364" s="917">
        <v>98</v>
      </c>
      <c r="F364" s="722" t="s">
        <v>240</v>
      </c>
      <c r="G364" s="806">
        <v>200</v>
      </c>
      <c r="H364" s="796">
        <f t="shared" ref="H364" si="51">ROUND(E364*G364,)</f>
        <v>19600</v>
      </c>
      <c r="I364" s="807">
        <v>90</v>
      </c>
      <c r="J364" s="796">
        <f t="shared" ref="J364" si="52">ROUND(E364*I364,)</f>
        <v>8820</v>
      </c>
      <c r="K364" s="966">
        <f t="shared" ref="K364" si="53">H364+J364</f>
        <v>28420</v>
      </c>
      <c r="L364" s="919"/>
      <c r="M364" s="1094"/>
      <c r="N364" s="1094"/>
      <c r="O364" s="1094"/>
      <c r="P364" s="729"/>
      <c r="Q364" s="729"/>
      <c r="R364" s="729"/>
    </row>
    <row r="365" spans="1:19" s="714" customFormat="1" ht="24" customHeight="1">
      <c r="A365" s="831" t="s">
        <v>1362</v>
      </c>
      <c r="B365" s="720" t="s">
        <v>1563</v>
      </c>
      <c r="C365" s="717"/>
      <c r="D365" s="717"/>
      <c r="E365" s="917"/>
      <c r="F365" s="940"/>
      <c r="G365" s="806"/>
      <c r="H365" s="796"/>
      <c r="I365" s="807"/>
      <c r="J365" s="796"/>
      <c r="K365" s="1014"/>
      <c r="L365" s="919"/>
      <c r="M365" s="1094"/>
      <c r="N365" s="1094"/>
      <c r="O365" s="1094"/>
      <c r="P365" s="729"/>
      <c r="Q365" s="729"/>
      <c r="R365" s="729"/>
    </row>
    <row r="366" spans="1:19" s="714" customFormat="1" ht="24" customHeight="1">
      <c r="A366" s="831"/>
      <c r="B366" s="720" t="s">
        <v>1244</v>
      </c>
      <c r="C366" s="717"/>
      <c r="D366" s="717"/>
      <c r="E366" s="917">
        <v>2</v>
      </c>
      <c r="F366" s="940" t="s">
        <v>240</v>
      </c>
      <c r="G366" s="806">
        <v>27500</v>
      </c>
      <c r="H366" s="796">
        <f t="shared" ref="H366:H370" si="54">ROUND(E366*G366,)</f>
        <v>55000</v>
      </c>
      <c r="I366" s="807">
        <f>CEILING(G366*0.3,100)</f>
        <v>8300</v>
      </c>
      <c r="J366" s="796">
        <f t="shared" ref="J366:J368" si="55">ROUND(E366*I366,)</f>
        <v>16600</v>
      </c>
      <c r="K366" s="966">
        <f t="shared" ref="K366:K370" si="56">H366+J366</f>
        <v>71600</v>
      </c>
      <c r="L366" s="919"/>
      <c r="M366" s="1094"/>
      <c r="N366" s="1094"/>
      <c r="O366" s="1094"/>
      <c r="P366" s="729"/>
      <c r="Q366" s="729"/>
      <c r="R366" s="729"/>
    </row>
    <row r="367" spans="1:19" s="714" customFormat="1" ht="24" customHeight="1">
      <c r="A367" s="831"/>
      <c r="B367" s="720" t="s">
        <v>1245</v>
      </c>
      <c r="C367" s="717"/>
      <c r="D367" s="717"/>
      <c r="E367" s="917">
        <v>2</v>
      </c>
      <c r="F367" s="940" t="s">
        <v>240</v>
      </c>
      <c r="G367" s="806">
        <v>3000</v>
      </c>
      <c r="H367" s="796">
        <f t="shared" si="54"/>
        <v>6000</v>
      </c>
      <c r="I367" s="807"/>
      <c r="J367" s="796">
        <f t="shared" si="55"/>
        <v>0</v>
      </c>
      <c r="K367" s="966">
        <f t="shared" si="56"/>
        <v>6000</v>
      </c>
      <c r="L367" s="919"/>
      <c r="M367" s="1094"/>
      <c r="N367" s="1094"/>
      <c r="O367" s="1094"/>
      <c r="P367" s="729"/>
      <c r="Q367" s="729"/>
      <c r="R367" s="729"/>
    </row>
    <row r="368" spans="1:19" s="714" customFormat="1" ht="24" customHeight="1">
      <c r="A368" s="831"/>
      <c r="B368" s="720" t="s">
        <v>1425</v>
      </c>
      <c r="C368" s="717"/>
      <c r="D368" s="717"/>
      <c r="E368" s="917">
        <v>2</v>
      </c>
      <c r="F368" s="940" t="s">
        <v>240</v>
      </c>
      <c r="G368" s="806">
        <v>5700</v>
      </c>
      <c r="H368" s="796">
        <f t="shared" si="54"/>
        <v>11400</v>
      </c>
      <c r="I368" s="807"/>
      <c r="J368" s="796">
        <f t="shared" si="55"/>
        <v>0</v>
      </c>
      <c r="K368" s="966">
        <f t="shared" si="56"/>
        <v>11400</v>
      </c>
      <c r="L368" s="919"/>
      <c r="M368" s="1094"/>
      <c r="N368" s="1094"/>
      <c r="O368" s="1094"/>
      <c r="P368" s="729"/>
      <c r="Q368" s="729"/>
      <c r="R368" s="729"/>
    </row>
    <row r="369" spans="1:18" s="714" customFormat="1" ht="24" customHeight="1">
      <c r="A369" s="831"/>
      <c r="B369" s="720" t="s">
        <v>1246</v>
      </c>
      <c r="C369" s="717"/>
      <c r="D369" s="717"/>
      <c r="E369" s="917">
        <f>E366*24</f>
        <v>48</v>
      </c>
      <c r="F369" s="940" t="s">
        <v>240</v>
      </c>
      <c r="G369" s="806">
        <v>255</v>
      </c>
      <c r="H369" s="796">
        <f t="shared" si="54"/>
        <v>12240</v>
      </c>
      <c r="I369" s="807"/>
      <c r="J369" s="796"/>
      <c r="K369" s="966">
        <f t="shared" si="56"/>
        <v>12240</v>
      </c>
      <c r="L369" s="919"/>
      <c r="M369" s="1094"/>
      <c r="N369" s="1094"/>
      <c r="O369" s="1094"/>
      <c r="P369" s="729"/>
      <c r="Q369" s="729"/>
      <c r="R369" s="729"/>
    </row>
    <row r="370" spans="1:18" s="714" customFormat="1" ht="24" customHeight="1">
      <c r="A370" s="831"/>
      <c r="B370" s="720" t="s">
        <v>1426</v>
      </c>
      <c r="C370" s="717"/>
      <c r="D370" s="717"/>
      <c r="E370" s="917">
        <f>E367*24</f>
        <v>48</v>
      </c>
      <c r="F370" s="940" t="s">
        <v>240</v>
      </c>
      <c r="G370" s="806">
        <v>190</v>
      </c>
      <c r="H370" s="796">
        <f t="shared" si="54"/>
        <v>9120</v>
      </c>
      <c r="I370" s="807"/>
      <c r="J370" s="796"/>
      <c r="K370" s="966">
        <f t="shared" si="56"/>
        <v>9120</v>
      </c>
      <c r="L370" s="919"/>
      <c r="M370" s="1094"/>
      <c r="N370" s="1094"/>
      <c r="O370" s="1094"/>
      <c r="P370" s="729"/>
      <c r="Q370" s="729"/>
      <c r="R370" s="729"/>
    </row>
    <row r="371" spans="1:18" s="714" customFormat="1" ht="24" customHeight="1">
      <c r="A371" s="831" t="s">
        <v>1366</v>
      </c>
      <c r="B371" s="720" t="s">
        <v>1248</v>
      </c>
      <c r="C371" s="717"/>
      <c r="D371" s="717"/>
      <c r="E371" s="917"/>
      <c r="F371" s="941"/>
      <c r="G371" s="806"/>
      <c r="H371" s="918"/>
      <c r="I371" s="807"/>
      <c r="J371" s="919"/>
      <c r="K371" s="968"/>
      <c r="L371" s="919"/>
      <c r="M371" s="1094"/>
      <c r="N371" s="1094"/>
      <c r="O371" s="1094"/>
      <c r="P371" s="729"/>
      <c r="Q371" s="729"/>
      <c r="R371" s="729"/>
    </row>
    <row r="372" spans="1:18" s="714" customFormat="1" ht="24" customHeight="1">
      <c r="A372" s="831" t="s">
        <v>3099</v>
      </c>
      <c r="B372" s="720" t="s">
        <v>1378</v>
      </c>
      <c r="C372" s="717"/>
      <c r="D372" s="717"/>
      <c r="E372" s="917"/>
      <c r="F372" s="941"/>
      <c r="G372" s="806"/>
      <c r="H372" s="918"/>
      <c r="I372" s="807"/>
      <c r="J372" s="919"/>
      <c r="K372" s="968"/>
      <c r="L372" s="919"/>
      <c r="M372" s="1094"/>
      <c r="N372" s="1094"/>
      <c r="O372" s="1094"/>
      <c r="P372" s="729"/>
      <c r="Q372" s="729"/>
      <c r="R372" s="729"/>
    </row>
    <row r="373" spans="1:18" s="714" customFormat="1" ht="24" customHeight="1">
      <c r="A373" s="831"/>
      <c r="B373" s="720" t="s">
        <v>1385</v>
      </c>
      <c r="C373" s="717"/>
      <c r="D373" s="717"/>
      <c r="E373" s="917">
        <f>E364*50</f>
        <v>4900</v>
      </c>
      <c r="F373" s="794" t="s">
        <v>438</v>
      </c>
      <c r="G373" s="806">
        <v>24</v>
      </c>
      <c r="H373" s="796">
        <f t="shared" ref="H373" si="57">ROUND(G373*E373,)</f>
        <v>117600</v>
      </c>
      <c r="I373" s="807">
        <v>5</v>
      </c>
      <c r="J373" s="796">
        <f t="shared" ref="J373:J374" si="58">ROUND(E373*I373,)</f>
        <v>24500</v>
      </c>
      <c r="K373" s="966">
        <f t="shared" ref="K373:K374" si="59">H373+J373</f>
        <v>142100</v>
      </c>
      <c r="L373" s="919"/>
      <c r="M373" s="1094"/>
      <c r="N373" s="1094"/>
      <c r="O373" s="1094"/>
      <c r="P373" s="729"/>
      <c r="Q373" s="729"/>
      <c r="R373" s="729"/>
    </row>
    <row r="374" spans="1:18" s="714" customFormat="1" ht="24" customHeight="1">
      <c r="A374" s="831"/>
      <c r="B374" s="720" t="s">
        <v>1338</v>
      </c>
      <c r="C374" s="717"/>
      <c r="D374" s="717"/>
      <c r="E374" s="917">
        <v>1</v>
      </c>
      <c r="F374" s="916" t="s">
        <v>948</v>
      </c>
      <c r="G374" s="806">
        <f>SUM(H372:H373)*5%</f>
        <v>5880</v>
      </c>
      <c r="H374" s="796">
        <f t="shared" ref="H374" si="60">ROUND(E374*G374,)</f>
        <v>5880</v>
      </c>
      <c r="I374" s="865">
        <f>ROUND(G374*0.3,)</f>
        <v>1764</v>
      </c>
      <c r="J374" s="796">
        <f t="shared" si="58"/>
        <v>1764</v>
      </c>
      <c r="K374" s="966">
        <f t="shared" si="59"/>
        <v>7644</v>
      </c>
      <c r="L374" s="919"/>
      <c r="M374" s="1094"/>
      <c r="N374" s="1094"/>
      <c r="O374" s="1094"/>
      <c r="P374" s="729"/>
      <c r="Q374" s="729"/>
      <c r="R374" s="729"/>
    </row>
    <row r="375" spans="1:18" s="714" customFormat="1" ht="24" customHeight="1">
      <c r="A375" s="831" t="s">
        <v>3024</v>
      </c>
      <c r="B375" s="720" t="s">
        <v>1357</v>
      </c>
      <c r="C375" s="717"/>
      <c r="D375" s="717"/>
      <c r="E375" s="917"/>
      <c r="F375" s="941"/>
      <c r="G375" s="806"/>
      <c r="H375" s="918"/>
      <c r="I375" s="807"/>
      <c r="J375" s="919"/>
      <c r="K375" s="968"/>
      <c r="L375" s="919"/>
      <c r="M375" s="1094"/>
      <c r="N375" s="1094"/>
      <c r="O375" s="1094"/>
      <c r="P375" s="729"/>
      <c r="Q375" s="729"/>
      <c r="R375" s="729"/>
    </row>
    <row r="376" spans="1:18" s="714" customFormat="1" ht="24" customHeight="1">
      <c r="A376" s="831"/>
      <c r="B376" s="720" t="s">
        <v>1201</v>
      </c>
      <c r="C376" s="717"/>
      <c r="D376" s="717"/>
      <c r="E376" s="917">
        <f>E373-E379</f>
        <v>4606</v>
      </c>
      <c r="F376" s="794" t="s">
        <v>438</v>
      </c>
      <c r="G376" s="806">
        <v>27</v>
      </c>
      <c r="H376" s="796">
        <f t="shared" ref="H376:H377" si="61">ROUND(G376*E376,)</f>
        <v>124362</v>
      </c>
      <c r="I376" s="807">
        <v>22</v>
      </c>
      <c r="J376" s="796">
        <f t="shared" ref="J376:J377" si="62">ROUND(E376*I376,)</f>
        <v>101332</v>
      </c>
      <c r="K376" s="966">
        <f t="shared" ref="K376:K377" si="63">H376+J376</f>
        <v>225694</v>
      </c>
      <c r="L376" s="1718" t="s">
        <v>2974</v>
      </c>
      <c r="M376" s="729"/>
      <c r="N376" s="714">
        <v>79.8</v>
      </c>
      <c r="O376" s="714">
        <f>ROUND(N376/3,)</f>
        <v>27</v>
      </c>
      <c r="P376" s="729"/>
      <c r="Q376" s="729"/>
      <c r="R376" s="729"/>
    </row>
    <row r="377" spans="1:18" s="714" customFormat="1" ht="24" customHeight="1">
      <c r="A377" s="831"/>
      <c r="B377" s="720" t="s">
        <v>1237</v>
      </c>
      <c r="C377" s="717"/>
      <c r="D377" s="717"/>
      <c r="E377" s="917">
        <v>1</v>
      </c>
      <c r="F377" s="941" t="s">
        <v>948</v>
      </c>
      <c r="G377" s="806">
        <f>ROUND(SUM(H376:H376)*15%,)</f>
        <v>18654</v>
      </c>
      <c r="H377" s="796">
        <f t="shared" si="61"/>
        <v>18654</v>
      </c>
      <c r="I377" s="865">
        <f>ROUND(G377*0.3,)</f>
        <v>5596</v>
      </c>
      <c r="J377" s="796">
        <f t="shared" si="62"/>
        <v>5596</v>
      </c>
      <c r="K377" s="966">
        <f t="shared" si="63"/>
        <v>24250</v>
      </c>
      <c r="L377" s="920"/>
      <c r="M377" s="729"/>
      <c r="N377" s="729"/>
      <c r="O377" s="729"/>
      <c r="P377" s="729"/>
      <c r="Q377" s="729"/>
      <c r="R377" s="729"/>
    </row>
    <row r="378" spans="1:18" s="714" customFormat="1" ht="24" customHeight="1">
      <c r="A378" s="831" t="s">
        <v>1369</v>
      </c>
      <c r="B378" s="720" t="s">
        <v>950</v>
      </c>
      <c r="C378" s="717"/>
      <c r="D378" s="717"/>
      <c r="E378" s="917"/>
      <c r="F378" s="941"/>
      <c r="G378" s="806"/>
      <c r="H378" s="918"/>
      <c r="I378" s="807"/>
      <c r="J378" s="919"/>
      <c r="K378" s="968"/>
      <c r="L378" s="920"/>
      <c r="M378" s="729"/>
      <c r="N378" s="729"/>
      <c r="O378" s="729"/>
      <c r="P378" s="729"/>
      <c r="Q378" s="729"/>
      <c r="R378" s="729"/>
    </row>
    <row r="379" spans="1:18" s="714" customFormat="1" ht="24" customHeight="1">
      <c r="A379" s="831"/>
      <c r="B379" s="720" t="s">
        <v>1201</v>
      </c>
      <c r="C379" s="717"/>
      <c r="D379" s="717"/>
      <c r="E379" s="917">
        <f>E364*3</f>
        <v>294</v>
      </c>
      <c r="F379" s="794" t="s">
        <v>438</v>
      </c>
      <c r="G379" s="806">
        <v>56</v>
      </c>
      <c r="H379" s="796">
        <f t="shared" ref="H379:H380" si="64">ROUND(G379*E379,)</f>
        <v>16464</v>
      </c>
      <c r="I379" s="807">
        <v>26</v>
      </c>
      <c r="J379" s="796">
        <f t="shared" ref="J379:J380" si="65">ROUND(E379*I379,)</f>
        <v>7644</v>
      </c>
      <c r="K379" s="966">
        <f t="shared" ref="K379:K380" si="66">H379+J379</f>
        <v>24108</v>
      </c>
      <c r="L379" s="1718" t="s">
        <v>2974</v>
      </c>
      <c r="M379" s="729"/>
      <c r="N379" s="714">
        <v>169.2</v>
      </c>
      <c r="O379" s="714">
        <f>ROUND(N379/3,)</f>
        <v>56</v>
      </c>
      <c r="P379" s="729"/>
      <c r="Q379" s="729"/>
      <c r="R379" s="729"/>
    </row>
    <row r="380" spans="1:18" s="714" customFormat="1" ht="24" customHeight="1">
      <c r="A380" s="831"/>
      <c r="B380" s="720" t="s">
        <v>1237</v>
      </c>
      <c r="C380" s="717"/>
      <c r="D380" s="717"/>
      <c r="E380" s="917">
        <v>1</v>
      </c>
      <c r="F380" s="941" t="s">
        <v>948</v>
      </c>
      <c r="G380" s="806">
        <f>ROUND(SUM(H379:H379)*15%,)</f>
        <v>2470</v>
      </c>
      <c r="H380" s="796">
        <f t="shared" si="64"/>
        <v>2470</v>
      </c>
      <c r="I380" s="865">
        <f>ROUND(G380*0.3,)</f>
        <v>741</v>
      </c>
      <c r="J380" s="796">
        <f t="shared" si="65"/>
        <v>741</v>
      </c>
      <c r="K380" s="966">
        <f t="shared" si="66"/>
        <v>3211</v>
      </c>
      <c r="L380" s="919"/>
      <c r="M380" s="1094"/>
      <c r="N380" s="1094"/>
      <c r="O380" s="1094"/>
      <c r="P380" s="729"/>
      <c r="Q380" s="729"/>
      <c r="R380" s="729"/>
    </row>
    <row r="381" spans="1:18" s="714" customFormat="1" ht="24" customHeight="1">
      <c r="A381" s="831"/>
      <c r="B381" s="720" t="s">
        <v>957</v>
      </c>
      <c r="C381" s="717"/>
      <c r="D381" s="717"/>
      <c r="E381" s="917"/>
      <c r="F381" s="941"/>
      <c r="G381" s="806"/>
      <c r="H381" s="918"/>
      <c r="I381" s="807"/>
      <c r="J381" s="919"/>
      <c r="K381" s="968"/>
      <c r="L381" s="919"/>
      <c r="M381" s="1094"/>
      <c r="N381" s="1094"/>
      <c r="O381" s="1094"/>
      <c r="P381" s="729"/>
      <c r="Q381" s="729"/>
      <c r="R381" s="729"/>
    </row>
    <row r="382" spans="1:18" s="714" customFormat="1" ht="24" customHeight="1">
      <c r="A382" s="831"/>
      <c r="B382" s="720" t="s">
        <v>958</v>
      </c>
      <c r="C382" s="717"/>
      <c r="D382" s="717"/>
      <c r="E382" s="917"/>
      <c r="F382" s="916"/>
      <c r="G382" s="806"/>
      <c r="H382" s="918"/>
      <c r="I382" s="807"/>
      <c r="J382" s="919"/>
      <c r="K382" s="968"/>
      <c r="L382" s="919"/>
      <c r="M382" s="1094"/>
      <c r="N382" s="1094"/>
      <c r="O382" s="1094"/>
      <c r="P382" s="729"/>
      <c r="Q382" s="729"/>
      <c r="R382" s="729"/>
    </row>
    <row r="383" spans="1:18" s="714" customFormat="1" ht="24" customHeight="1">
      <c r="A383" s="921"/>
      <c r="B383" s="720" t="s">
        <v>1239</v>
      </c>
      <c r="C383" s="761"/>
      <c r="D383" s="761"/>
      <c r="E383" s="923"/>
      <c r="F383" s="924"/>
      <c r="G383" s="925"/>
      <c r="H383" s="926"/>
      <c r="I383" s="927"/>
      <c r="J383" s="928"/>
      <c r="K383" s="1072"/>
      <c r="L383" s="928"/>
      <c r="M383" s="1094"/>
      <c r="N383" s="1094"/>
      <c r="O383" s="1094"/>
      <c r="P383" s="729"/>
      <c r="Q383" s="729"/>
      <c r="R383" s="729"/>
    </row>
    <row r="384" spans="1:18" s="714" customFormat="1" ht="24" customHeight="1">
      <c r="A384" s="921"/>
      <c r="B384" s="705" t="s">
        <v>1239</v>
      </c>
      <c r="C384" s="761"/>
      <c r="D384" s="761"/>
      <c r="E384" s="923"/>
      <c r="F384" s="1079"/>
      <c r="G384" s="925"/>
      <c r="H384" s="926"/>
      <c r="I384" s="927"/>
      <c r="J384" s="928"/>
      <c r="K384" s="1072"/>
      <c r="L384" s="928"/>
      <c r="M384" s="1094"/>
      <c r="N384" s="1094"/>
      <c r="O384" s="1094"/>
      <c r="P384" s="729"/>
      <c r="Q384" s="729"/>
      <c r="R384" s="729"/>
    </row>
    <row r="385" spans="1:18" s="714" customFormat="1" ht="24" customHeight="1">
      <c r="A385" s="775"/>
      <c r="B385" s="2475" t="str">
        <f>"รวมราคารายการที่ "&amp;A363</f>
        <v>รวมราคารายการที่ 3.10</v>
      </c>
      <c r="C385" s="2476"/>
      <c r="D385" s="2477"/>
      <c r="E385" s="776"/>
      <c r="F385" s="777"/>
      <c r="G385" s="959"/>
      <c r="H385" s="960">
        <f>SUM(H363:H384)</f>
        <v>398790</v>
      </c>
      <c r="I385" s="959"/>
      <c r="J385" s="960">
        <f>SUM(J363:J384)</f>
        <v>166997</v>
      </c>
      <c r="K385" s="960">
        <f>SUM(K363:K384)</f>
        <v>565787</v>
      </c>
      <c r="L385" s="1006"/>
      <c r="M385" s="1094"/>
      <c r="N385" s="1094"/>
      <c r="O385" s="1094"/>
      <c r="P385" s="729"/>
      <c r="Q385" s="729"/>
      <c r="R385" s="729"/>
    </row>
    <row r="386" spans="1:18" s="714" customFormat="1" ht="24" customHeight="1">
      <c r="A386" s="911" t="s">
        <v>1180</v>
      </c>
      <c r="B386" s="816" t="s">
        <v>1257</v>
      </c>
      <c r="C386" s="770"/>
      <c r="D386" s="770"/>
      <c r="E386" s="930"/>
      <c r="F386" s="939"/>
      <c r="G386" s="932"/>
      <c r="H386" s="933"/>
      <c r="I386" s="934"/>
      <c r="J386" s="935"/>
      <c r="K386" s="1013"/>
      <c r="L386" s="935"/>
      <c r="M386" s="1094"/>
      <c r="N386" s="1094"/>
      <c r="O386" s="1094"/>
      <c r="P386" s="729"/>
      <c r="Q386" s="729"/>
      <c r="R386" s="729"/>
    </row>
    <row r="387" spans="1:18" s="714" customFormat="1" ht="24" customHeight="1">
      <c r="A387" s="856" t="s">
        <v>1082</v>
      </c>
      <c r="B387" s="720" t="s">
        <v>1341</v>
      </c>
      <c r="C387" s="717"/>
      <c r="D387" s="717"/>
      <c r="E387" s="917">
        <v>104</v>
      </c>
      <c r="F387" s="722" t="s">
        <v>240</v>
      </c>
      <c r="G387" s="806">
        <v>900</v>
      </c>
      <c r="H387" s="796">
        <f t="shared" ref="H387:H399" si="67">ROUND(G387*E387,)</f>
        <v>93600</v>
      </c>
      <c r="I387" s="807">
        <v>140</v>
      </c>
      <c r="J387" s="796">
        <f t="shared" ref="J387:J399" si="68">ROUND(E387*I387,)</f>
        <v>14560</v>
      </c>
      <c r="K387" s="966">
        <f t="shared" ref="K387:K399" si="69">H387+J387</f>
        <v>108160</v>
      </c>
      <c r="L387" s="919"/>
      <c r="M387" s="1094"/>
      <c r="N387" s="1094"/>
      <c r="O387" s="1094"/>
      <c r="P387" s="729"/>
      <c r="Q387" s="729"/>
      <c r="R387" s="729"/>
    </row>
    <row r="388" spans="1:18" s="714" customFormat="1" ht="24" customHeight="1">
      <c r="A388" s="856" t="s">
        <v>1377</v>
      </c>
      <c r="B388" s="720" t="s">
        <v>1343</v>
      </c>
      <c r="C388" s="717"/>
      <c r="D388" s="717"/>
      <c r="E388" s="917">
        <v>2</v>
      </c>
      <c r="F388" s="722" t="s">
        <v>240</v>
      </c>
      <c r="G388" s="806">
        <v>3800</v>
      </c>
      <c r="H388" s="796">
        <f t="shared" si="67"/>
        <v>7600</v>
      </c>
      <c r="I388" s="807">
        <v>200</v>
      </c>
      <c r="J388" s="796">
        <f t="shared" si="68"/>
        <v>400</v>
      </c>
      <c r="K388" s="966">
        <f t="shared" si="69"/>
        <v>8000</v>
      </c>
      <c r="L388" s="919"/>
      <c r="M388" s="1094"/>
      <c r="N388" s="1094"/>
      <c r="O388" s="1094"/>
      <c r="P388" s="729"/>
      <c r="Q388" s="729"/>
      <c r="R388" s="729"/>
    </row>
    <row r="389" spans="1:18" s="714" customFormat="1" ht="24" customHeight="1">
      <c r="A389" s="856" t="s">
        <v>1380</v>
      </c>
      <c r="B389" s="720" t="s">
        <v>1344</v>
      </c>
      <c r="C389" s="717"/>
      <c r="D389" s="717"/>
      <c r="E389" s="917">
        <v>2</v>
      </c>
      <c r="F389" s="722" t="s">
        <v>240</v>
      </c>
      <c r="G389" s="806">
        <v>5000</v>
      </c>
      <c r="H389" s="796">
        <f t="shared" si="67"/>
        <v>10000</v>
      </c>
      <c r="I389" s="807">
        <f>G389*0.1</f>
        <v>500</v>
      </c>
      <c r="J389" s="796">
        <f t="shared" si="68"/>
        <v>1000</v>
      </c>
      <c r="K389" s="966">
        <f t="shared" si="69"/>
        <v>11000</v>
      </c>
      <c r="L389" s="919"/>
      <c r="M389" s="1094"/>
      <c r="N389" s="1094"/>
      <c r="O389" s="1094"/>
      <c r="P389" s="729"/>
      <c r="Q389" s="729"/>
      <c r="R389" s="729"/>
    </row>
    <row r="390" spans="1:18" s="714" customFormat="1" ht="24" customHeight="1">
      <c r="A390" s="856" t="s">
        <v>1210</v>
      </c>
      <c r="B390" s="720" t="s">
        <v>1159</v>
      </c>
      <c r="C390" s="717"/>
      <c r="D390" s="717"/>
      <c r="E390" s="917"/>
      <c r="F390" s="916"/>
      <c r="G390" s="806"/>
      <c r="H390" s="796">
        <f t="shared" si="67"/>
        <v>0</v>
      </c>
      <c r="I390" s="807"/>
      <c r="J390" s="796">
        <f t="shared" si="68"/>
        <v>0</v>
      </c>
      <c r="K390" s="1014">
        <f t="shared" si="69"/>
        <v>0</v>
      </c>
      <c r="L390" s="919"/>
      <c r="M390" s="1094"/>
      <c r="N390" s="1094"/>
      <c r="O390" s="1094"/>
      <c r="P390" s="729"/>
      <c r="Q390" s="729"/>
      <c r="R390" s="729"/>
    </row>
    <row r="391" spans="1:18" s="714" customFormat="1" ht="24" customHeight="1">
      <c r="A391" s="831"/>
      <c r="B391" s="800" t="s">
        <v>1430</v>
      </c>
      <c r="C391" s="757"/>
      <c r="D391" s="757"/>
      <c r="E391" s="917">
        <f>E387*30</f>
        <v>3120</v>
      </c>
      <c r="F391" s="794" t="s">
        <v>438</v>
      </c>
      <c r="G391" s="806">
        <v>32</v>
      </c>
      <c r="H391" s="796">
        <f t="shared" si="67"/>
        <v>99840</v>
      </c>
      <c r="I391" s="807">
        <v>11</v>
      </c>
      <c r="J391" s="796">
        <f t="shared" si="68"/>
        <v>34320</v>
      </c>
      <c r="K391" s="966">
        <f t="shared" si="69"/>
        <v>134160</v>
      </c>
      <c r="L391" s="1718" t="s">
        <v>2974</v>
      </c>
      <c r="M391" s="729"/>
      <c r="N391" s="714">
        <v>3183</v>
      </c>
      <c r="O391" s="714">
        <f>ROUND(N391/100,)</f>
        <v>32</v>
      </c>
      <c r="P391" s="729"/>
      <c r="Q391" s="729"/>
      <c r="R391" s="729"/>
    </row>
    <row r="392" spans="1:18" s="714" customFormat="1" ht="24" customHeight="1">
      <c r="A392" s="831"/>
      <c r="B392" s="800" t="s">
        <v>1431</v>
      </c>
      <c r="C392" s="757"/>
      <c r="D392" s="757"/>
      <c r="E392" s="917">
        <f>E387*10</f>
        <v>1040</v>
      </c>
      <c r="F392" s="794" t="s">
        <v>438</v>
      </c>
      <c r="G392" s="806">
        <v>40</v>
      </c>
      <c r="H392" s="796">
        <f t="shared" si="67"/>
        <v>41600</v>
      </c>
      <c r="I392" s="807">
        <v>12</v>
      </c>
      <c r="J392" s="796">
        <f t="shared" si="68"/>
        <v>12480</v>
      </c>
      <c r="K392" s="966">
        <f t="shared" si="69"/>
        <v>54080</v>
      </c>
      <c r="L392" s="1718" t="s">
        <v>2974</v>
      </c>
      <c r="M392" s="729"/>
      <c r="N392" s="714">
        <v>4039</v>
      </c>
      <c r="O392" s="714">
        <f>ROUND(N392/100,)</f>
        <v>40</v>
      </c>
      <c r="P392" s="729"/>
      <c r="Q392" s="729"/>
      <c r="R392" s="729"/>
    </row>
    <row r="393" spans="1:18" s="714" customFormat="1" ht="24" customHeight="1">
      <c r="A393" s="831"/>
      <c r="B393" s="720" t="s">
        <v>1338</v>
      </c>
      <c r="C393" s="717"/>
      <c r="D393" s="717"/>
      <c r="E393" s="917">
        <v>1</v>
      </c>
      <c r="F393" s="916" t="s">
        <v>948</v>
      </c>
      <c r="G393" s="806">
        <f>SUM(H391:H392)*5%</f>
        <v>7072</v>
      </c>
      <c r="H393" s="796">
        <f t="shared" ref="H393" si="70">ROUND(E393*G393,)</f>
        <v>7072</v>
      </c>
      <c r="I393" s="865">
        <f>ROUND(G393*0.3,)</f>
        <v>2122</v>
      </c>
      <c r="J393" s="796">
        <f t="shared" si="68"/>
        <v>2122</v>
      </c>
      <c r="K393" s="966">
        <f t="shared" si="69"/>
        <v>9194</v>
      </c>
      <c r="L393" s="919"/>
      <c r="M393" s="729"/>
      <c r="N393" s="729"/>
      <c r="O393" s="729"/>
      <c r="P393" s="729"/>
      <c r="Q393" s="729"/>
      <c r="R393" s="729"/>
    </row>
    <row r="394" spans="1:18" s="714" customFormat="1" ht="24" customHeight="1">
      <c r="A394" s="831"/>
      <c r="B394" s="720"/>
      <c r="C394" s="717"/>
      <c r="D394" s="717"/>
      <c r="E394" s="917"/>
      <c r="F394" s="916"/>
      <c r="G394" s="806"/>
      <c r="H394" s="796"/>
      <c r="I394" s="807"/>
      <c r="J394" s="796"/>
      <c r="K394" s="1014"/>
      <c r="L394" s="919"/>
      <c r="M394" s="729"/>
      <c r="N394" s="729"/>
      <c r="O394" s="729"/>
      <c r="P394" s="729"/>
      <c r="Q394" s="729"/>
      <c r="R394" s="729"/>
    </row>
    <row r="395" spans="1:18" s="714" customFormat="1" ht="24" customHeight="1">
      <c r="A395" s="856" t="s">
        <v>1212</v>
      </c>
      <c r="B395" s="720" t="s">
        <v>1357</v>
      </c>
      <c r="C395" s="717"/>
      <c r="D395" s="717"/>
      <c r="E395" s="917"/>
      <c r="F395" s="916"/>
      <c r="G395" s="806"/>
      <c r="H395" s="796">
        <f t="shared" si="67"/>
        <v>0</v>
      </c>
      <c r="I395" s="807"/>
      <c r="J395" s="796">
        <f t="shared" si="68"/>
        <v>0</v>
      </c>
      <c r="K395" s="1014">
        <f t="shared" si="69"/>
        <v>0</v>
      </c>
      <c r="L395" s="1718"/>
      <c r="M395" s="729"/>
      <c r="P395" s="729"/>
      <c r="Q395" s="729"/>
      <c r="R395" s="729"/>
    </row>
    <row r="396" spans="1:18" s="714" customFormat="1" ht="24" customHeight="1">
      <c r="A396" s="831"/>
      <c r="B396" s="720" t="s">
        <v>1201</v>
      </c>
      <c r="C396" s="717"/>
      <c r="D396" s="717"/>
      <c r="E396" s="917">
        <v>4160</v>
      </c>
      <c r="F396" s="794" t="s">
        <v>438</v>
      </c>
      <c r="G396" s="806">
        <v>27</v>
      </c>
      <c r="H396" s="796">
        <f>ROUND(G396*E396,)</f>
        <v>112320</v>
      </c>
      <c r="I396" s="807">
        <v>22</v>
      </c>
      <c r="J396" s="796">
        <f t="shared" si="68"/>
        <v>91520</v>
      </c>
      <c r="K396" s="966">
        <f t="shared" si="69"/>
        <v>203840</v>
      </c>
      <c r="L396" s="1718" t="s">
        <v>2974</v>
      </c>
      <c r="M396" s="729"/>
      <c r="N396" s="714">
        <v>79.8</v>
      </c>
      <c r="O396" s="714">
        <f>ROUND(N396/3,)</f>
        <v>27</v>
      </c>
      <c r="P396" s="729"/>
      <c r="Q396" s="729"/>
      <c r="R396" s="729"/>
    </row>
    <row r="397" spans="1:18" s="714" customFormat="1" ht="24" customHeight="1">
      <c r="A397" s="831"/>
      <c r="B397" s="720" t="s">
        <v>1237</v>
      </c>
      <c r="C397" s="717"/>
      <c r="D397" s="717"/>
      <c r="E397" s="917">
        <v>1</v>
      </c>
      <c r="F397" s="941" t="s">
        <v>948</v>
      </c>
      <c r="G397" s="806">
        <f>SUM(H396:H396)*15%</f>
        <v>16848</v>
      </c>
      <c r="H397" s="796">
        <f>ROUND(G397*E397,)</f>
        <v>16848</v>
      </c>
      <c r="I397" s="865">
        <f>ROUND(G397*0.3,)</f>
        <v>5054</v>
      </c>
      <c r="J397" s="796">
        <f t="shared" si="68"/>
        <v>5054</v>
      </c>
      <c r="K397" s="1014">
        <f t="shared" si="69"/>
        <v>21902</v>
      </c>
      <c r="L397" s="919"/>
      <c r="M397" s="1094"/>
      <c r="N397" s="1094"/>
      <c r="O397" s="1094"/>
      <c r="P397" s="729"/>
      <c r="Q397" s="729"/>
      <c r="R397" s="729"/>
    </row>
    <row r="398" spans="1:18" s="714" customFormat="1" ht="24" customHeight="1">
      <c r="A398" s="831" t="s">
        <v>1214</v>
      </c>
      <c r="B398" s="720" t="s">
        <v>1281</v>
      </c>
      <c r="C398" s="717"/>
      <c r="D398" s="717"/>
      <c r="E398" s="917"/>
      <c r="F398" s="916"/>
      <c r="G398" s="806"/>
      <c r="H398" s="796">
        <f t="shared" si="67"/>
        <v>0</v>
      </c>
      <c r="I398" s="807"/>
      <c r="J398" s="796">
        <f t="shared" si="68"/>
        <v>0</v>
      </c>
      <c r="K398" s="1014">
        <f t="shared" si="69"/>
        <v>0</v>
      </c>
      <c r="L398" s="919"/>
      <c r="M398" s="1094"/>
      <c r="N398" s="1094"/>
      <c r="O398" s="1094"/>
      <c r="P398" s="729"/>
      <c r="Q398" s="729"/>
      <c r="R398" s="729"/>
    </row>
    <row r="399" spans="1:18" s="714" customFormat="1" ht="24" customHeight="1">
      <c r="A399" s="831"/>
      <c r="B399" s="720" t="s">
        <v>1201</v>
      </c>
      <c r="C399" s="717"/>
      <c r="D399" s="717"/>
      <c r="E399" s="917">
        <v>55</v>
      </c>
      <c r="F399" s="794" t="s">
        <v>438</v>
      </c>
      <c r="G399" s="806">
        <v>14</v>
      </c>
      <c r="H399" s="796">
        <f t="shared" si="67"/>
        <v>770</v>
      </c>
      <c r="I399" s="807">
        <v>11</v>
      </c>
      <c r="J399" s="796">
        <f t="shared" si="68"/>
        <v>605</v>
      </c>
      <c r="K399" s="966">
        <f t="shared" si="69"/>
        <v>1375</v>
      </c>
      <c r="L399" s="919"/>
      <c r="M399" s="1094"/>
      <c r="N399" s="1094"/>
      <c r="O399" s="1094"/>
      <c r="P399" s="729"/>
      <c r="Q399" s="729"/>
      <c r="R399" s="729"/>
    </row>
    <row r="400" spans="1:18" s="714" customFormat="1" ht="24" customHeight="1">
      <c r="A400" s="831"/>
      <c r="B400" s="720" t="s">
        <v>957</v>
      </c>
      <c r="C400" s="717"/>
      <c r="D400" s="717"/>
      <c r="E400" s="917"/>
      <c r="F400" s="794"/>
      <c r="G400" s="806"/>
      <c r="H400" s="796"/>
      <c r="I400" s="807"/>
      <c r="J400" s="796"/>
      <c r="K400" s="1014"/>
      <c r="L400" s="919"/>
      <c r="M400" s="1094"/>
      <c r="N400" s="1094"/>
      <c r="O400" s="1094"/>
      <c r="P400" s="729"/>
      <c r="Q400" s="729"/>
      <c r="R400" s="729"/>
    </row>
    <row r="401" spans="1:21" s="714" customFormat="1" ht="24" customHeight="1">
      <c r="A401" s="775"/>
      <c r="B401" s="2475" t="str">
        <f>"รวมราคารายการที่ "&amp;A386</f>
        <v>รวมราคารายการที่ 3.11</v>
      </c>
      <c r="C401" s="2476"/>
      <c r="D401" s="2477"/>
      <c r="E401" s="776"/>
      <c r="F401" s="777"/>
      <c r="G401" s="959"/>
      <c r="H401" s="960">
        <f>SUM(H386:H399)</f>
        <v>389650</v>
      </c>
      <c r="I401" s="959"/>
      <c r="J401" s="960">
        <f>SUM(J386:J399)</f>
        <v>162061</v>
      </c>
      <c r="K401" s="960">
        <f>SUM(K386:K399)</f>
        <v>551711</v>
      </c>
      <c r="L401" s="1006"/>
      <c r="M401" s="1094"/>
      <c r="N401" s="1094"/>
      <c r="O401" s="1094"/>
      <c r="P401" s="729"/>
      <c r="Q401" s="729"/>
      <c r="R401" s="729"/>
    </row>
    <row r="402" spans="1:21" s="714" customFormat="1" ht="24" customHeight="1">
      <c r="A402" s="911" t="s">
        <v>1196</v>
      </c>
      <c r="B402" s="816" t="s">
        <v>1347</v>
      </c>
      <c r="C402" s="770"/>
      <c r="D402" s="770"/>
      <c r="E402" s="930"/>
      <c r="F402" s="931"/>
      <c r="G402" s="932"/>
      <c r="H402" s="933"/>
      <c r="I402" s="934"/>
      <c r="J402" s="935"/>
      <c r="K402" s="1013"/>
      <c r="L402" s="935"/>
      <c r="M402" s="1094"/>
      <c r="N402" s="1094"/>
      <c r="O402" s="1094"/>
      <c r="P402" s="729"/>
      <c r="Q402" s="729"/>
      <c r="R402" s="729"/>
    </row>
    <row r="403" spans="1:21" s="714" customFormat="1" ht="24" customHeight="1">
      <c r="A403" s="992" t="s">
        <v>1198</v>
      </c>
      <c r="B403" s="720" t="s">
        <v>3032</v>
      </c>
      <c r="C403" s="706"/>
      <c r="D403" s="990"/>
      <c r="E403" s="721"/>
      <c r="F403" s="722"/>
      <c r="G403" s="1402"/>
      <c r="H403" s="914"/>
      <c r="I403" s="807"/>
      <c r="J403" s="796"/>
      <c r="K403" s="797"/>
      <c r="L403" s="830"/>
      <c r="M403" s="729"/>
      <c r="N403" s="729"/>
      <c r="O403" s="729"/>
      <c r="P403" s="729"/>
      <c r="Q403" s="729"/>
      <c r="R403" s="729"/>
      <c r="S403" s="729"/>
      <c r="T403" s="729"/>
      <c r="U403" s="729"/>
    </row>
    <row r="404" spans="1:21" s="714" customFormat="1" ht="24" customHeight="1">
      <c r="A404" s="992"/>
      <c r="B404" s="720" t="s">
        <v>3022</v>
      </c>
      <c r="C404" s="706"/>
      <c r="D404" s="990"/>
      <c r="E404" s="721">
        <v>2</v>
      </c>
      <c r="F404" s="722" t="s">
        <v>240</v>
      </c>
      <c r="G404" s="994">
        <v>28700</v>
      </c>
      <c r="H404" s="864">
        <f>ROUND(E404*G404,)</f>
        <v>57400</v>
      </c>
      <c r="I404" s="865">
        <f>G404*0.01</f>
        <v>287</v>
      </c>
      <c r="J404" s="864">
        <f>ROUND(I404*E404,)</f>
        <v>574</v>
      </c>
      <c r="K404" s="865">
        <f>H404+J404</f>
        <v>57974</v>
      </c>
      <c r="L404" s="830"/>
      <c r="M404" s="729"/>
      <c r="N404" s="729"/>
      <c r="O404" s="729"/>
      <c r="P404" s="729"/>
      <c r="Q404" s="729"/>
      <c r="R404" s="729"/>
      <c r="S404" s="729"/>
      <c r="T404" s="729"/>
      <c r="U404" s="729"/>
    </row>
    <row r="405" spans="1:21" s="714" customFormat="1" ht="24" customHeight="1">
      <c r="A405" s="992"/>
      <c r="B405" s="720" t="s">
        <v>1616</v>
      </c>
      <c r="C405" s="706"/>
      <c r="D405" s="990"/>
      <c r="E405" s="721">
        <v>2</v>
      </c>
      <c r="F405" s="722" t="s">
        <v>240</v>
      </c>
      <c r="G405" s="994">
        <v>25000</v>
      </c>
      <c r="H405" s="864">
        <f>ROUND(E405*G405,)</f>
        <v>50000</v>
      </c>
      <c r="I405" s="865">
        <f>ROUND(G405*0.01,)</f>
        <v>250</v>
      </c>
      <c r="J405" s="864">
        <f>ROUND(I405*E405,)</f>
        <v>500</v>
      </c>
      <c r="K405" s="865">
        <f>H405+J405</f>
        <v>50500</v>
      </c>
      <c r="L405" s="830"/>
      <c r="M405" s="729"/>
      <c r="N405" s="729"/>
      <c r="O405" s="729"/>
      <c r="P405" s="729"/>
      <c r="Q405" s="729"/>
      <c r="R405" s="729"/>
      <c r="S405" s="729"/>
      <c r="T405" s="729"/>
      <c r="U405" s="729"/>
    </row>
    <row r="406" spans="1:21" s="714" customFormat="1" ht="24" customHeight="1">
      <c r="A406" s="993"/>
      <c r="B406" s="720" t="s">
        <v>1375</v>
      </c>
      <c r="C406" s="706"/>
      <c r="D406" s="990"/>
      <c r="E406" s="721">
        <v>48</v>
      </c>
      <c r="F406" s="722" t="s">
        <v>240</v>
      </c>
      <c r="G406" s="994">
        <v>400</v>
      </c>
      <c r="H406" s="864">
        <f>ROUND(E406*G406,)</f>
        <v>19200</v>
      </c>
      <c r="I406" s="865">
        <f>ROUND(G406*0.01,)</f>
        <v>4</v>
      </c>
      <c r="J406" s="864">
        <f>ROUND(I406*E406,)</f>
        <v>192</v>
      </c>
      <c r="K406" s="865">
        <f>H406+J406</f>
        <v>19392</v>
      </c>
      <c r="L406" s="830"/>
      <c r="M406" s="729"/>
      <c r="N406" s="729"/>
      <c r="O406" s="729"/>
      <c r="P406" s="729"/>
      <c r="Q406" s="729"/>
      <c r="R406" s="729"/>
      <c r="S406" s="729"/>
      <c r="T406" s="729"/>
      <c r="U406" s="729"/>
    </row>
    <row r="407" spans="1:21" s="714" customFormat="1" ht="24" customHeight="1">
      <c r="A407" s="993"/>
      <c r="B407" s="720" t="s">
        <v>3023</v>
      </c>
      <c r="C407" s="706"/>
      <c r="D407" s="990"/>
      <c r="E407" s="721"/>
      <c r="F407" s="722" t="s">
        <v>240</v>
      </c>
      <c r="G407" s="994"/>
      <c r="H407" s="914"/>
      <c r="I407" s="797"/>
      <c r="J407" s="796"/>
      <c r="K407" s="797"/>
      <c r="L407" s="830"/>
      <c r="M407" s="729"/>
      <c r="N407" s="729"/>
      <c r="O407" s="729"/>
      <c r="P407" s="729"/>
      <c r="Q407" s="729"/>
      <c r="R407" s="729"/>
      <c r="S407" s="729"/>
      <c r="T407" s="729"/>
      <c r="U407" s="729"/>
    </row>
    <row r="408" spans="1:21" s="714" customFormat="1" ht="24" customHeight="1">
      <c r="A408" s="1138"/>
      <c r="B408" s="720" t="s">
        <v>1618</v>
      </c>
      <c r="C408" s="706"/>
      <c r="D408" s="990"/>
      <c r="E408" s="721"/>
      <c r="F408" s="722" t="s">
        <v>240</v>
      </c>
      <c r="G408" s="994"/>
      <c r="H408" s="914"/>
      <c r="I408" s="797"/>
      <c r="J408" s="796"/>
      <c r="K408" s="797"/>
      <c r="L408" s="988"/>
      <c r="M408" s="729"/>
      <c r="N408" s="729"/>
      <c r="O408" s="729"/>
      <c r="P408" s="729"/>
      <c r="Q408" s="729"/>
      <c r="R408" s="729"/>
      <c r="S408" s="729"/>
      <c r="T408" s="729"/>
      <c r="U408" s="729"/>
    </row>
    <row r="409" spans="1:21" s="714" customFormat="1" ht="24" customHeight="1">
      <c r="A409" s="856" t="s">
        <v>1200</v>
      </c>
      <c r="B409" s="720" t="s">
        <v>1348</v>
      </c>
      <c r="C409" s="717"/>
      <c r="D409" s="717"/>
      <c r="E409" s="917"/>
      <c r="F409" s="916"/>
      <c r="G409" s="806"/>
      <c r="H409" s="918"/>
      <c r="I409" s="807"/>
      <c r="J409" s="919"/>
      <c r="K409" s="968"/>
      <c r="L409" s="919"/>
      <c r="M409" s="1094"/>
      <c r="N409" s="1094"/>
      <c r="O409" s="1094"/>
      <c r="P409" s="729"/>
      <c r="Q409" s="729"/>
      <c r="R409" s="729"/>
    </row>
    <row r="410" spans="1:21" s="714" customFormat="1" ht="24" customHeight="1">
      <c r="A410" s="831"/>
      <c r="B410" s="720" t="s">
        <v>1487</v>
      </c>
      <c r="C410" s="717"/>
      <c r="D410" s="717"/>
      <c r="E410" s="917">
        <v>2</v>
      </c>
      <c r="F410" s="722" t="s">
        <v>240</v>
      </c>
      <c r="G410" s="806">
        <f>(28000+6600+14500)*0.95</f>
        <v>46645</v>
      </c>
      <c r="H410" s="918">
        <f t="shared" ref="H410:H415" si="71">ROUND(E410*G410,)</f>
        <v>93290</v>
      </c>
      <c r="I410" s="807">
        <v>5000</v>
      </c>
      <c r="J410" s="919">
        <f>ROUND(E410*I410,)</f>
        <v>10000</v>
      </c>
      <c r="K410" s="966">
        <f t="shared" ref="K410:K421" si="72">H410+J410</f>
        <v>103290</v>
      </c>
      <c r="L410" s="919"/>
      <c r="M410" s="1094"/>
      <c r="N410" s="1094"/>
      <c r="O410" s="1094"/>
      <c r="P410" s="729"/>
      <c r="Q410" s="729"/>
      <c r="R410" s="729"/>
    </row>
    <row r="411" spans="1:21" s="714" customFormat="1" ht="24" customHeight="1">
      <c r="A411" s="831"/>
      <c r="B411" s="720" t="s">
        <v>1350</v>
      </c>
      <c r="C411" s="717"/>
      <c r="D411" s="717"/>
      <c r="E411" s="917">
        <v>2</v>
      </c>
      <c r="F411" s="722" t="s">
        <v>240</v>
      </c>
      <c r="G411" s="806">
        <f>22500*0.95</f>
        <v>21375</v>
      </c>
      <c r="H411" s="918">
        <f t="shared" si="71"/>
        <v>42750</v>
      </c>
      <c r="I411" s="807" t="s">
        <v>1351</v>
      </c>
      <c r="J411" s="919"/>
      <c r="K411" s="966">
        <f t="shared" si="72"/>
        <v>42750</v>
      </c>
      <c r="L411" s="919"/>
      <c r="M411" s="1094"/>
      <c r="N411" s="1094"/>
      <c r="O411" s="1094"/>
      <c r="P411" s="729"/>
      <c r="Q411" s="729"/>
      <c r="R411" s="729"/>
    </row>
    <row r="412" spans="1:21" s="714" customFormat="1" ht="24" customHeight="1">
      <c r="A412" s="831"/>
      <c r="B412" s="720" t="s">
        <v>1352</v>
      </c>
      <c r="C412" s="717"/>
      <c r="D412" s="717"/>
      <c r="E412" s="917">
        <v>4</v>
      </c>
      <c r="F412" s="722" t="s">
        <v>240</v>
      </c>
      <c r="G412" s="806">
        <f>9500*0.95</f>
        <v>9025</v>
      </c>
      <c r="H412" s="918">
        <f t="shared" si="71"/>
        <v>36100</v>
      </c>
      <c r="I412" s="807" t="s">
        <v>1351</v>
      </c>
      <c r="J412" s="919"/>
      <c r="K412" s="966">
        <f t="shared" si="72"/>
        <v>36100</v>
      </c>
      <c r="L412" s="919"/>
      <c r="M412" s="1094"/>
      <c r="N412" s="1094"/>
      <c r="O412" s="1094"/>
      <c r="P412" s="729"/>
      <c r="Q412" s="729"/>
      <c r="R412" s="729"/>
    </row>
    <row r="413" spans="1:21" s="714" customFormat="1" ht="24" customHeight="1">
      <c r="A413" s="831"/>
      <c r="B413" s="720" t="s">
        <v>1353</v>
      </c>
      <c r="C413" s="717"/>
      <c r="D413" s="717"/>
      <c r="E413" s="917">
        <v>2</v>
      </c>
      <c r="F413" s="722" t="s">
        <v>240</v>
      </c>
      <c r="G413" s="806">
        <f>2100*0.95</f>
        <v>1995</v>
      </c>
      <c r="H413" s="918">
        <f t="shared" si="71"/>
        <v>3990</v>
      </c>
      <c r="I413" s="807" t="s">
        <v>1351</v>
      </c>
      <c r="J413" s="919"/>
      <c r="K413" s="966">
        <f t="shared" si="72"/>
        <v>3990</v>
      </c>
      <c r="L413" s="919"/>
      <c r="M413" s="1094"/>
      <c r="N413" s="1094"/>
      <c r="O413" s="1094"/>
      <c r="P413" s="729"/>
      <c r="Q413" s="729"/>
      <c r="R413" s="729"/>
    </row>
    <row r="414" spans="1:21" s="714" customFormat="1" ht="24" customHeight="1">
      <c r="A414" s="831"/>
      <c r="B414" s="720" t="s">
        <v>1354</v>
      </c>
      <c r="C414" s="717"/>
      <c r="D414" s="717"/>
      <c r="E414" s="917">
        <v>2</v>
      </c>
      <c r="F414" s="722" t="s">
        <v>240</v>
      </c>
      <c r="G414" s="806">
        <f>ROUND(450*0.95,)</f>
        <v>428</v>
      </c>
      <c r="H414" s="918">
        <f t="shared" si="71"/>
        <v>856</v>
      </c>
      <c r="I414" s="807" t="s">
        <v>1351</v>
      </c>
      <c r="J414" s="919"/>
      <c r="K414" s="966">
        <f t="shared" si="72"/>
        <v>856</v>
      </c>
      <c r="L414" s="919"/>
      <c r="M414" s="1094"/>
      <c r="N414" s="1094"/>
      <c r="O414" s="1094"/>
      <c r="P414" s="729"/>
      <c r="Q414" s="729"/>
      <c r="R414" s="729"/>
    </row>
    <row r="415" spans="1:21" s="714" customFormat="1" ht="24" customHeight="1">
      <c r="A415" s="831"/>
      <c r="B415" s="720" t="s">
        <v>1355</v>
      </c>
      <c r="C415" s="717"/>
      <c r="D415" s="717"/>
      <c r="E415" s="917">
        <v>2</v>
      </c>
      <c r="F415" s="722" t="s">
        <v>240</v>
      </c>
      <c r="G415" s="806">
        <f>ROUND(850*0.95,)</f>
        <v>808</v>
      </c>
      <c r="H415" s="918">
        <f t="shared" si="71"/>
        <v>1616</v>
      </c>
      <c r="I415" s="807" t="s">
        <v>1351</v>
      </c>
      <c r="J415" s="919"/>
      <c r="K415" s="966">
        <f t="shared" si="72"/>
        <v>1616</v>
      </c>
      <c r="L415" s="919"/>
      <c r="M415" s="1094"/>
      <c r="N415" s="1094"/>
      <c r="O415" s="1094"/>
      <c r="P415" s="729"/>
      <c r="Q415" s="729"/>
      <c r="R415" s="729"/>
    </row>
    <row r="416" spans="1:21" s="714" customFormat="1" ht="24" customHeight="1">
      <c r="A416" s="856" t="s">
        <v>1440</v>
      </c>
      <c r="B416" s="720" t="s">
        <v>1159</v>
      </c>
      <c r="C416" s="717"/>
      <c r="D416" s="717"/>
      <c r="E416" s="917"/>
      <c r="F416" s="916"/>
      <c r="G416" s="806"/>
      <c r="H416" s="918"/>
      <c r="I416" s="807"/>
      <c r="J416" s="919"/>
      <c r="K416" s="966"/>
      <c r="L416" s="919"/>
      <c r="M416" s="1094"/>
      <c r="N416" s="1094"/>
      <c r="O416" s="1094"/>
      <c r="P416" s="729"/>
      <c r="Q416" s="729"/>
      <c r="R416" s="729"/>
    </row>
    <row r="417" spans="1:21" s="714" customFormat="1" ht="24" customHeight="1">
      <c r="A417" s="831"/>
      <c r="B417" s="720" t="s">
        <v>1356</v>
      </c>
      <c r="C417" s="717"/>
      <c r="D417" s="717"/>
      <c r="E417" s="917">
        <v>325</v>
      </c>
      <c r="F417" s="794" t="s">
        <v>438</v>
      </c>
      <c r="G417" s="806">
        <v>37</v>
      </c>
      <c r="H417" s="918">
        <f>ROUND(E417*G417,)</f>
        <v>12025</v>
      </c>
      <c r="I417" s="807">
        <v>5</v>
      </c>
      <c r="J417" s="919">
        <f>ROUND(E417*I417,)</f>
        <v>1625</v>
      </c>
      <c r="K417" s="966">
        <f t="shared" si="72"/>
        <v>13650</v>
      </c>
      <c r="L417" s="919"/>
      <c r="M417" s="1094"/>
      <c r="N417" s="1094"/>
      <c r="O417" s="1094"/>
      <c r="P417" s="729"/>
      <c r="Q417" s="729"/>
      <c r="R417" s="729"/>
    </row>
    <row r="418" spans="1:21" s="714" customFormat="1" ht="24" customHeight="1">
      <c r="A418" s="831"/>
      <c r="B418" s="720" t="s">
        <v>1338</v>
      </c>
      <c r="C418" s="717"/>
      <c r="D418" s="717"/>
      <c r="E418" s="917">
        <v>1</v>
      </c>
      <c r="F418" s="916" t="s">
        <v>948</v>
      </c>
      <c r="G418" s="806">
        <f>ROUND(SUM(H417)*5%,)</f>
        <v>601</v>
      </c>
      <c r="H418" s="796">
        <f>ROUND(E418*G418,)</f>
        <v>601</v>
      </c>
      <c r="I418" s="865">
        <f>ROUND(G418*0.3,)</f>
        <v>180</v>
      </c>
      <c r="J418" s="796">
        <f t="shared" ref="J418" si="73">ROUND(E418*I418,)</f>
        <v>180</v>
      </c>
      <c r="K418" s="966">
        <f t="shared" si="72"/>
        <v>781</v>
      </c>
      <c r="L418" s="919"/>
      <c r="M418" s="1094"/>
      <c r="N418" s="1094"/>
      <c r="O418" s="1094"/>
      <c r="P418" s="729"/>
      <c r="Q418" s="729"/>
      <c r="R418" s="729"/>
    </row>
    <row r="419" spans="1:21" s="714" customFormat="1" ht="24" customHeight="1">
      <c r="A419" s="856" t="s">
        <v>2984</v>
      </c>
      <c r="B419" s="720" t="s">
        <v>1357</v>
      </c>
      <c r="C419" s="717"/>
      <c r="D419" s="717"/>
      <c r="E419" s="917"/>
      <c r="F419" s="916"/>
      <c r="G419" s="806"/>
      <c r="H419" s="918"/>
      <c r="I419" s="807"/>
      <c r="J419" s="919"/>
      <c r="K419" s="966"/>
      <c r="L419" s="919"/>
      <c r="M419" s="1094"/>
      <c r="N419" s="1094"/>
      <c r="O419" s="1094"/>
      <c r="P419" s="729"/>
      <c r="Q419" s="729"/>
      <c r="R419" s="729"/>
    </row>
    <row r="420" spans="1:21" s="714" customFormat="1" ht="24" customHeight="1">
      <c r="A420" s="831"/>
      <c r="B420" s="720" t="s">
        <v>1201</v>
      </c>
      <c r="C420" s="717"/>
      <c r="D420" s="717"/>
      <c r="E420" s="917">
        <f>E417</f>
        <v>325</v>
      </c>
      <c r="F420" s="794" t="s">
        <v>438</v>
      </c>
      <c r="G420" s="806">
        <v>27</v>
      </c>
      <c r="H420" s="796">
        <f t="shared" ref="H420:H421" si="74">ROUND(G420*E420,)</f>
        <v>8775</v>
      </c>
      <c r="I420" s="807">
        <v>22</v>
      </c>
      <c r="J420" s="796">
        <f>ROUND(E420*I420,)</f>
        <v>7150</v>
      </c>
      <c r="K420" s="966">
        <f t="shared" si="72"/>
        <v>15925</v>
      </c>
      <c r="L420" s="1718" t="s">
        <v>2974</v>
      </c>
      <c r="M420" s="729"/>
      <c r="N420" s="714">
        <v>79.8</v>
      </c>
      <c r="O420" s="714">
        <f>ROUND(N420/3,)</f>
        <v>27</v>
      </c>
      <c r="P420" s="729"/>
      <c r="Q420" s="729"/>
      <c r="R420" s="729"/>
    </row>
    <row r="421" spans="1:21" s="714" customFormat="1" ht="24" customHeight="1">
      <c r="A421" s="831"/>
      <c r="B421" s="720" t="s">
        <v>1237</v>
      </c>
      <c r="C421" s="717"/>
      <c r="D421" s="717"/>
      <c r="E421" s="917">
        <v>1</v>
      </c>
      <c r="F421" s="916" t="s">
        <v>948</v>
      </c>
      <c r="G421" s="806">
        <f>ROUND(H420*15%,)</f>
        <v>1316</v>
      </c>
      <c r="H421" s="796">
        <f t="shared" si="74"/>
        <v>1316</v>
      </c>
      <c r="I421" s="865">
        <f>ROUND(G421*0.3,)</f>
        <v>395</v>
      </c>
      <c r="J421" s="796">
        <f t="shared" ref="J421" si="75">ROUND(E421*I421,)</f>
        <v>395</v>
      </c>
      <c r="K421" s="966">
        <f t="shared" si="72"/>
        <v>1711</v>
      </c>
      <c r="L421" s="919"/>
      <c r="M421" s="1094"/>
      <c r="N421" s="1094"/>
      <c r="O421" s="1094"/>
      <c r="P421" s="729"/>
      <c r="Q421" s="729"/>
      <c r="R421" s="729"/>
    </row>
    <row r="422" spans="1:21" s="714" customFormat="1" ht="24" customHeight="1">
      <c r="A422" s="831"/>
      <c r="B422" s="720" t="s">
        <v>957</v>
      </c>
      <c r="C422" s="717"/>
      <c r="D422" s="717"/>
      <c r="E422" s="917"/>
      <c r="F422" s="916"/>
      <c r="G422" s="806"/>
      <c r="H422" s="796"/>
      <c r="I422" s="807"/>
      <c r="J422" s="796"/>
      <c r="K422" s="1014"/>
      <c r="L422" s="919"/>
      <c r="M422" s="1094"/>
      <c r="N422" s="1094"/>
      <c r="O422" s="1094"/>
      <c r="P422" s="729"/>
      <c r="Q422" s="729"/>
      <c r="R422" s="729"/>
    </row>
    <row r="423" spans="1:21" s="714" customFormat="1" ht="24" customHeight="1">
      <c r="A423" s="775"/>
      <c r="B423" s="2475" t="str">
        <f>"รวมราคารายการที่ "&amp;A402</f>
        <v>รวมราคารายการที่ 3.12</v>
      </c>
      <c r="C423" s="2476"/>
      <c r="D423" s="2477"/>
      <c r="E423" s="776"/>
      <c r="F423" s="777"/>
      <c r="G423" s="959"/>
      <c r="H423" s="960">
        <f>SUM(H402:H422)</f>
        <v>327919</v>
      </c>
      <c r="I423" s="959"/>
      <c r="J423" s="960">
        <f t="shared" ref="J423:K423" si="76">SUM(J402:J422)</f>
        <v>20616</v>
      </c>
      <c r="K423" s="960">
        <f t="shared" si="76"/>
        <v>348535</v>
      </c>
      <c r="L423" s="1006"/>
      <c r="M423" s="1093"/>
      <c r="N423" s="1093"/>
      <c r="O423" s="1093"/>
    </row>
    <row r="424" spans="1:21" s="714" customFormat="1" ht="21.3">
      <c r="A424" s="899" t="s">
        <v>1202</v>
      </c>
      <c r="B424" s="900" t="s">
        <v>1358</v>
      </c>
      <c r="C424" s="943"/>
      <c r="D424" s="943"/>
      <c r="E424" s="944"/>
      <c r="F424" s="978"/>
      <c r="G424" s="774"/>
      <c r="H424" s="773"/>
      <c r="I424" s="946"/>
      <c r="J424" s="947"/>
      <c r="K424" s="1019"/>
      <c r="L424" s="947"/>
    </row>
    <row r="425" spans="1:21" s="714" customFormat="1" ht="24" customHeight="1">
      <c r="A425" s="992" t="s">
        <v>1204</v>
      </c>
      <c r="B425" s="720" t="s">
        <v>3032</v>
      </c>
      <c r="C425" s="706"/>
      <c r="D425" s="990"/>
      <c r="E425" s="721"/>
      <c r="F425" s="722"/>
      <c r="G425" s="1402"/>
      <c r="H425" s="914"/>
      <c r="I425" s="807"/>
      <c r="J425" s="796"/>
      <c r="K425" s="797"/>
      <c r="L425" s="830"/>
      <c r="M425" s="729"/>
      <c r="N425" s="729"/>
      <c r="O425" s="729"/>
      <c r="P425" s="729"/>
      <c r="Q425" s="729"/>
      <c r="R425" s="729"/>
      <c r="S425" s="729"/>
      <c r="T425" s="729"/>
      <c r="U425" s="729"/>
    </row>
    <row r="426" spans="1:21" s="714" customFormat="1" ht="24" customHeight="1">
      <c r="A426" s="992"/>
      <c r="B426" s="720" t="s">
        <v>3022</v>
      </c>
      <c r="C426" s="706"/>
      <c r="D426" s="990"/>
      <c r="E426" s="721">
        <v>2</v>
      </c>
      <c r="F426" s="722" t="s">
        <v>240</v>
      </c>
      <c r="G426" s="994">
        <v>28700</v>
      </c>
      <c r="H426" s="864">
        <f>ROUND(E426*G426,)</f>
        <v>57400</v>
      </c>
      <c r="I426" s="865">
        <f>G426*0.01</f>
        <v>287</v>
      </c>
      <c r="J426" s="864">
        <f>ROUND(I426*E426,)</f>
        <v>574</v>
      </c>
      <c r="K426" s="865">
        <f>H426+J426</f>
        <v>57974</v>
      </c>
      <c r="L426" s="830"/>
      <c r="M426" s="729"/>
      <c r="N426" s="729"/>
      <c r="O426" s="729"/>
      <c r="P426" s="729"/>
      <c r="Q426" s="729"/>
      <c r="R426" s="729"/>
      <c r="S426" s="729"/>
      <c r="T426" s="729"/>
      <c r="U426" s="729"/>
    </row>
    <row r="427" spans="1:21" s="714" customFormat="1" ht="24" customHeight="1">
      <c r="A427" s="992"/>
      <c r="B427" s="720" t="s">
        <v>1616</v>
      </c>
      <c r="C427" s="706"/>
      <c r="D427" s="990"/>
      <c r="E427" s="721">
        <v>2</v>
      </c>
      <c r="F427" s="722" t="s">
        <v>240</v>
      </c>
      <c r="G427" s="994">
        <v>25000</v>
      </c>
      <c r="H427" s="864">
        <f>ROUND(E427*G427,)</f>
        <v>50000</v>
      </c>
      <c r="I427" s="865">
        <f>ROUND(G427*0.01,)</f>
        <v>250</v>
      </c>
      <c r="J427" s="864">
        <f>ROUND(I427*E427,)</f>
        <v>500</v>
      </c>
      <c r="K427" s="865">
        <f>H427+J427</f>
        <v>50500</v>
      </c>
      <c r="L427" s="830"/>
      <c r="M427" s="729"/>
      <c r="N427" s="729"/>
      <c r="O427" s="729"/>
      <c r="P427" s="729"/>
      <c r="Q427" s="729"/>
      <c r="R427" s="729"/>
      <c r="S427" s="729"/>
      <c r="T427" s="729"/>
      <c r="U427" s="729"/>
    </row>
    <row r="428" spans="1:21" s="714" customFormat="1" ht="24" customHeight="1">
      <c r="A428" s="993"/>
      <c r="B428" s="720" t="s">
        <v>1375</v>
      </c>
      <c r="C428" s="706"/>
      <c r="D428" s="990"/>
      <c r="E428" s="721">
        <v>48</v>
      </c>
      <c r="F428" s="722" t="s">
        <v>240</v>
      </c>
      <c r="G428" s="994">
        <v>400</v>
      </c>
      <c r="H428" s="864">
        <f>ROUND(E428*G428,)</f>
        <v>19200</v>
      </c>
      <c r="I428" s="865">
        <f>ROUND(G428*0.01,)</f>
        <v>4</v>
      </c>
      <c r="J428" s="864">
        <f>ROUND(I428*E428,)</f>
        <v>192</v>
      </c>
      <c r="K428" s="865">
        <f>H428+J428</f>
        <v>19392</v>
      </c>
      <c r="L428" s="830"/>
      <c r="M428" s="729"/>
      <c r="N428" s="729"/>
      <c r="O428" s="729"/>
      <c r="P428" s="729"/>
      <c r="Q428" s="729"/>
      <c r="R428" s="729"/>
      <c r="S428" s="729"/>
      <c r="T428" s="729"/>
      <c r="U428" s="729"/>
    </row>
    <row r="429" spans="1:21" s="714" customFormat="1" ht="24" customHeight="1">
      <c r="A429" s="993"/>
      <c r="B429" s="720" t="s">
        <v>3023</v>
      </c>
      <c r="C429" s="706"/>
      <c r="D429" s="990"/>
      <c r="E429" s="721"/>
      <c r="F429" s="722" t="s">
        <v>240</v>
      </c>
      <c r="G429" s="994"/>
      <c r="H429" s="914"/>
      <c r="I429" s="797"/>
      <c r="J429" s="796"/>
      <c r="K429" s="797"/>
      <c r="L429" s="830"/>
      <c r="M429" s="729"/>
      <c r="N429" s="729"/>
      <c r="O429" s="729"/>
      <c r="P429" s="729"/>
      <c r="Q429" s="729"/>
      <c r="R429" s="729"/>
      <c r="S429" s="729"/>
      <c r="T429" s="729"/>
      <c r="U429" s="729"/>
    </row>
    <row r="430" spans="1:21" s="714" customFormat="1" ht="24" customHeight="1">
      <c r="A430" s="1138"/>
      <c r="B430" s="720" t="s">
        <v>1618</v>
      </c>
      <c r="C430" s="706"/>
      <c r="D430" s="990"/>
      <c r="E430" s="721"/>
      <c r="F430" s="722" t="s">
        <v>240</v>
      </c>
      <c r="G430" s="994"/>
      <c r="H430" s="914"/>
      <c r="I430" s="797"/>
      <c r="J430" s="796"/>
      <c r="K430" s="797"/>
      <c r="L430" s="988"/>
      <c r="M430" s="729"/>
      <c r="N430" s="729"/>
      <c r="O430" s="729"/>
      <c r="P430" s="729"/>
      <c r="Q430" s="729"/>
      <c r="R430" s="729"/>
      <c r="S430" s="729"/>
      <c r="T430" s="729"/>
      <c r="U430" s="729"/>
    </row>
    <row r="431" spans="1:21" s="714" customFormat="1" ht="21.3">
      <c r="A431" s="976" t="s">
        <v>1206</v>
      </c>
      <c r="B431" s="800" t="s">
        <v>1359</v>
      </c>
      <c r="C431" s="757"/>
      <c r="D431" s="757"/>
      <c r="E431" s="979"/>
      <c r="F431" s="980"/>
      <c r="G431" s="981"/>
      <c r="H431" s="982"/>
      <c r="I431" s="983"/>
      <c r="J431" s="982"/>
      <c r="K431" s="1021"/>
      <c r="L431" s="973"/>
    </row>
    <row r="432" spans="1:21" s="714" customFormat="1" ht="21.3">
      <c r="A432" s="861"/>
      <c r="B432" s="800" t="s">
        <v>1564</v>
      </c>
      <c r="C432" s="757"/>
      <c r="D432" s="757"/>
      <c r="E432" s="942">
        <v>1</v>
      </c>
      <c r="F432" s="803" t="s">
        <v>240</v>
      </c>
      <c r="G432" s="752">
        <f>40590+10000+33400</f>
        <v>83990</v>
      </c>
      <c r="H432" s="751">
        <f t="shared" ref="H432:H433" si="77">ROUND(E432*G432,)</f>
        <v>83990</v>
      </c>
      <c r="I432" s="949">
        <f>G432*0.1</f>
        <v>8399</v>
      </c>
      <c r="J432" s="973">
        <f>ROUND(E432*I432,)</f>
        <v>8399</v>
      </c>
      <c r="K432" s="966">
        <f t="shared" ref="K432:K433" si="78">H432+J432</f>
        <v>92389</v>
      </c>
      <c r="L432" s="973"/>
    </row>
    <row r="433" spans="1:21" s="714" customFormat="1" ht="21.3">
      <c r="A433" s="861"/>
      <c r="B433" s="800" t="s">
        <v>1565</v>
      </c>
      <c r="C433" s="757"/>
      <c r="D433" s="757"/>
      <c r="E433" s="942">
        <v>1</v>
      </c>
      <c r="F433" s="803" t="s">
        <v>240</v>
      </c>
      <c r="G433" s="752">
        <v>228010</v>
      </c>
      <c r="H433" s="751">
        <f t="shared" si="77"/>
        <v>228010</v>
      </c>
      <c r="I433" s="949">
        <f t="shared" ref="I433" si="79">G433*0.1</f>
        <v>22801</v>
      </c>
      <c r="J433" s="973">
        <f t="shared" ref="J433" si="80">ROUND(E433*I433,)</f>
        <v>22801</v>
      </c>
      <c r="K433" s="966">
        <f t="shared" si="78"/>
        <v>250811</v>
      </c>
      <c r="L433" s="973"/>
    </row>
    <row r="434" spans="1:21" s="714" customFormat="1" ht="21.3">
      <c r="A434" s="976" t="s">
        <v>1208</v>
      </c>
      <c r="B434" s="800" t="s">
        <v>1363</v>
      </c>
      <c r="C434" s="757"/>
      <c r="D434" s="757"/>
      <c r="E434" s="979"/>
      <c r="F434" s="980"/>
      <c r="G434" s="981"/>
      <c r="H434" s="982"/>
      <c r="I434" s="983"/>
      <c r="J434" s="982"/>
      <c r="K434" s="1021"/>
      <c r="L434" s="973"/>
    </row>
    <row r="435" spans="1:21" s="714" customFormat="1" ht="21.3">
      <c r="A435" s="861"/>
      <c r="B435" s="800" t="s">
        <v>1566</v>
      </c>
      <c r="C435" s="757"/>
      <c r="D435" s="757"/>
      <c r="E435" s="942">
        <v>5</v>
      </c>
      <c r="F435" s="803" t="s">
        <v>240</v>
      </c>
      <c r="G435" s="752">
        <v>3500</v>
      </c>
      <c r="H435" s="751">
        <f t="shared" ref="H435:H436" si="81">ROUND(E435*G435,)</f>
        <v>17500</v>
      </c>
      <c r="I435" s="949">
        <f t="shared" ref="I435:I436" si="82">G435*0.1</f>
        <v>350</v>
      </c>
      <c r="J435" s="973">
        <f t="shared" ref="J435:J436" si="83">ROUND(E435*I435,)</f>
        <v>1750</v>
      </c>
      <c r="K435" s="966">
        <f t="shared" ref="K435:K436" si="84">H435+J435</f>
        <v>19250</v>
      </c>
      <c r="L435" s="973"/>
    </row>
    <row r="436" spans="1:21" s="714" customFormat="1" ht="21.3">
      <c r="A436" s="861"/>
      <c r="B436" s="800" t="s">
        <v>1567</v>
      </c>
      <c r="C436" s="757"/>
      <c r="D436" s="757"/>
      <c r="E436" s="942">
        <v>5</v>
      </c>
      <c r="F436" s="803" t="s">
        <v>240</v>
      </c>
      <c r="G436" s="752">
        <v>3500</v>
      </c>
      <c r="H436" s="751">
        <f t="shared" si="81"/>
        <v>17500</v>
      </c>
      <c r="I436" s="949">
        <f t="shared" si="82"/>
        <v>350</v>
      </c>
      <c r="J436" s="973">
        <f t="shared" si="83"/>
        <v>1750</v>
      </c>
      <c r="K436" s="966">
        <f t="shared" si="84"/>
        <v>19250</v>
      </c>
      <c r="L436" s="973"/>
    </row>
    <row r="437" spans="1:21">
      <c r="A437" s="976" t="s">
        <v>3057</v>
      </c>
      <c r="B437" s="800" t="s">
        <v>1159</v>
      </c>
      <c r="C437" s="757"/>
      <c r="D437" s="757"/>
      <c r="E437" s="942"/>
      <c r="F437" s="948"/>
      <c r="G437" s="752"/>
      <c r="H437" s="751"/>
      <c r="I437" s="949"/>
      <c r="J437" s="973"/>
      <c r="K437" s="1022"/>
      <c r="L437" s="973"/>
      <c r="M437" s="1"/>
      <c r="N437" s="1"/>
      <c r="O437" s="1"/>
    </row>
    <row r="438" spans="1:21">
      <c r="A438" s="861"/>
      <c r="B438" s="800" t="s">
        <v>1367</v>
      </c>
      <c r="C438" s="757"/>
      <c r="D438" s="757"/>
      <c r="E438" s="942">
        <v>440</v>
      </c>
      <c r="F438" s="867" t="s">
        <v>438</v>
      </c>
      <c r="G438" s="752">
        <v>103</v>
      </c>
      <c r="H438" s="751">
        <f>ROUND(E438*G438,)</f>
        <v>45320</v>
      </c>
      <c r="I438" s="949">
        <v>21</v>
      </c>
      <c r="J438" s="973">
        <f>ROUND(E438*I438,)</f>
        <v>9240</v>
      </c>
      <c r="K438" s="966">
        <f t="shared" ref="K438:K440" si="85">H438+J438</f>
        <v>54560</v>
      </c>
      <c r="L438" s="973"/>
      <c r="M438" s="1"/>
      <c r="N438" s="1"/>
      <c r="O438" s="1"/>
    </row>
    <row r="439" spans="1:21">
      <c r="A439" s="861"/>
      <c r="B439" s="800" t="s">
        <v>1368</v>
      </c>
      <c r="C439" s="757"/>
      <c r="D439" s="757"/>
      <c r="E439" s="942">
        <v>20</v>
      </c>
      <c r="F439" s="867" t="s">
        <v>438</v>
      </c>
      <c r="G439" s="752">
        <v>139</v>
      </c>
      <c r="H439" s="751">
        <f>ROUND(E439*G439,)</f>
        <v>2780</v>
      </c>
      <c r="I439" s="949">
        <v>21</v>
      </c>
      <c r="J439" s="973">
        <f>ROUND(E439*I439,)</f>
        <v>420</v>
      </c>
      <c r="K439" s="966">
        <f t="shared" si="85"/>
        <v>3200</v>
      </c>
      <c r="L439" s="973"/>
      <c r="M439" s="1"/>
      <c r="N439" s="1"/>
      <c r="O439" s="1"/>
    </row>
    <row r="440" spans="1:21">
      <c r="A440" s="861"/>
      <c r="B440" s="800" t="s">
        <v>1338</v>
      </c>
      <c r="C440" s="757"/>
      <c r="D440" s="757"/>
      <c r="E440" s="942">
        <v>1</v>
      </c>
      <c r="F440" s="948" t="s">
        <v>948</v>
      </c>
      <c r="G440" s="752">
        <f>SUM(H438:H439)*5%</f>
        <v>2405</v>
      </c>
      <c r="H440" s="864">
        <f>ROUND(E440*G440,)</f>
        <v>2405</v>
      </c>
      <c r="I440" s="865">
        <f>ROUND(G440*0.3,)</f>
        <v>722</v>
      </c>
      <c r="J440" s="864">
        <f>ROUND(E440*I440,)</f>
        <v>722</v>
      </c>
      <c r="K440" s="966">
        <f t="shared" si="85"/>
        <v>3127</v>
      </c>
      <c r="L440" s="973"/>
      <c r="M440" s="1"/>
      <c r="N440" s="1"/>
      <c r="O440" s="1"/>
    </row>
    <row r="441" spans="1:21">
      <c r="A441" s="861"/>
      <c r="B441" s="800"/>
      <c r="C441" s="757"/>
      <c r="D441" s="757"/>
      <c r="E441" s="942"/>
      <c r="F441" s="948"/>
      <c r="G441" s="752"/>
      <c r="H441" s="864"/>
      <c r="I441" s="865"/>
      <c r="J441" s="864"/>
      <c r="K441" s="966"/>
      <c r="L441" s="973"/>
      <c r="M441" s="1"/>
      <c r="N441" s="1"/>
      <c r="O441" s="1"/>
    </row>
    <row r="442" spans="1:21">
      <c r="A442" s="861"/>
      <c r="B442" s="800"/>
      <c r="C442" s="757"/>
      <c r="D442" s="757"/>
      <c r="E442" s="942"/>
      <c r="F442" s="948"/>
      <c r="G442" s="752"/>
      <c r="H442" s="864"/>
      <c r="I442" s="865"/>
      <c r="J442" s="864"/>
      <c r="K442" s="966"/>
      <c r="L442" s="973"/>
      <c r="M442" s="1"/>
      <c r="N442" s="1"/>
      <c r="O442" s="1"/>
    </row>
    <row r="443" spans="1:21">
      <c r="A443" s="861" t="s">
        <v>3058</v>
      </c>
      <c r="B443" s="800" t="s">
        <v>1252</v>
      </c>
      <c r="C443" s="757"/>
      <c r="D443" s="757"/>
      <c r="E443" s="942"/>
      <c r="F443" s="948"/>
      <c r="G443" s="752"/>
      <c r="H443" s="864"/>
      <c r="I443" s="949"/>
      <c r="J443" s="864"/>
      <c r="K443" s="966"/>
      <c r="L443" s="985"/>
      <c r="M443" s="1"/>
      <c r="N443" s="1"/>
      <c r="O443" s="1"/>
    </row>
    <row r="444" spans="1:21">
      <c r="A444" s="861"/>
      <c r="B444" s="800" t="s">
        <v>1193</v>
      </c>
      <c r="C444" s="757"/>
      <c r="D444" s="757"/>
      <c r="E444" s="942">
        <v>262</v>
      </c>
      <c r="F444" s="867" t="s">
        <v>438</v>
      </c>
      <c r="G444" s="752">
        <v>316</v>
      </c>
      <c r="H444" s="864">
        <f>ROUND(E444*G444,)</f>
        <v>82792</v>
      </c>
      <c r="I444" s="949">
        <v>50</v>
      </c>
      <c r="J444" s="864">
        <f>ROUND(E444*I444,)</f>
        <v>13100</v>
      </c>
      <c r="K444" s="966">
        <f t="shared" ref="K444:K445" si="86">H444+J444</f>
        <v>95892</v>
      </c>
      <c r="L444" s="985"/>
      <c r="M444" s="1"/>
      <c r="N444" s="1"/>
      <c r="O444" s="1"/>
    </row>
    <row r="445" spans="1:21">
      <c r="A445" s="861"/>
      <c r="B445" s="800" t="s">
        <v>1237</v>
      </c>
      <c r="C445" s="757"/>
      <c r="D445" s="757"/>
      <c r="E445" s="942">
        <v>1</v>
      </c>
      <c r="F445" s="948" t="s">
        <v>948</v>
      </c>
      <c r="G445" s="752">
        <f>ROUND(SUM(H444)*15%,)</f>
        <v>12419</v>
      </c>
      <c r="H445" s="864">
        <f>ROUND(G445*E445,)</f>
        <v>12419</v>
      </c>
      <c r="I445" s="865">
        <f>ROUND(G445*0.3,)</f>
        <v>3726</v>
      </c>
      <c r="J445" s="864">
        <f>ROUND(E445*I445,)</f>
        <v>3726</v>
      </c>
      <c r="K445" s="966">
        <f t="shared" si="86"/>
        <v>16145</v>
      </c>
      <c r="L445" s="985"/>
      <c r="M445" s="1"/>
      <c r="N445" s="1"/>
      <c r="O445" s="1"/>
    </row>
    <row r="446" spans="1:21">
      <c r="A446" s="889"/>
      <c r="B446" s="756" t="s">
        <v>957</v>
      </c>
      <c r="C446" s="974"/>
      <c r="D446" s="974"/>
      <c r="E446" s="1040"/>
      <c r="F446" s="1041"/>
      <c r="G446" s="766"/>
      <c r="H446" s="765"/>
      <c r="I446" s="975"/>
      <c r="J446" s="1042"/>
      <c r="K446" s="1080"/>
      <c r="L446" s="1042"/>
      <c r="M446" s="1"/>
      <c r="N446" s="1"/>
      <c r="O446" s="1"/>
    </row>
    <row r="447" spans="1:21" s="714" customFormat="1" ht="24" customHeight="1">
      <c r="A447" s="995"/>
      <c r="B447" s="800" t="s">
        <v>1428</v>
      </c>
      <c r="C447" s="706"/>
      <c r="D447" s="990"/>
      <c r="E447" s="721"/>
      <c r="F447" s="722"/>
      <c r="G447" s="795"/>
      <c r="H447" s="796"/>
      <c r="I447" s="1039"/>
      <c r="J447" s="796"/>
      <c r="K447" s="1014"/>
      <c r="L447" s="1024"/>
      <c r="M447" s="729"/>
      <c r="N447" s="729"/>
      <c r="O447" s="729"/>
      <c r="P447" s="729"/>
      <c r="Q447" s="729"/>
      <c r="R447" s="729"/>
      <c r="S447" s="729"/>
      <c r="T447" s="729"/>
      <c r="U447" s="729"/>
    </row>
    <row r="448" spans="1:21" s="714" customFormat="1" ht="24" customHeight="1">
      <c r="A448" s="995"/>
      <c r="B448" s="800" t="s">
        <v>1428</v>
      </c>
      <c r="C448" s="706"/>
      <c r="D448" s="990"/>
      <c r="E448" s="721"/>
      <c r="F448" s="722"/>
      <c r="G448" s="795"/>
      <c r="H448" s="796"/>
      <c r="I448" s="1039"/>
      <c r="J448" s="796"/>
      <c r="K448" s="1014"/>
      <c r="L448" s="1024"/>
      <c r="M448" s="729"/>
      <c r="N448" s="729"/>
      <c r="O448" s="729"/>
      <c r="P448" s="729"/>
      <c r="Q448" s="729"/>
      <c r="R448" s="729"/>
      <c r="S448" s="729"/>
      <c r="T448" s="729"/>
      <c r="U448" s="729"/>
    </row>
    <row r="449" spans="1:21" s="714" customFormat="1" ht="24" customHeight="1">
      <c r="A449" s="995"/>
      <c r="B449" s="800"/>
      <c r="C449" s="706"/>
      <c r="D449" s="990"/>
      <c r="E449" s="721"/>
      <c r="F449" s="722"/>
      <c r="G449" s="795"/>
      <c r="H449" s="796"/>
      <c r="I449" s="1039"/>
      <c r="J449" s="796"/>
      <c r="K449" s="1014"/>
      <c r="L449" s="1024"/>
      <c r="M449" s="729"/>
      <c r="N449" s="729"/>
      <c r="O449" s="729"/>
      <c r="P449" s="729"/>
      <c r="Q449" s="729"/>
      <c r="R449" s="729"/>
      <c r="S449" s="729"/>
      <c r="T449" s="729"/>
      <c r="U449" s="729"/>
    </row>
    <row r="450" spans="1:21" s="714" customFormat="1" ht="24" customHeight="1">
      <c r="A450" s="995"/>
      <c r="B450" s="720"/>
      <c r="C450" s="706"/>
      <c r="D450" s="990"/>
      <c r="E450" s="721"/>
      <c r="F450" s="722"/>
      <c r="G450" s="795"/>
      <c r="H450" s="796"/>
      <c r="I450" s="1039"/>
      <c r="J450" s="796"/>
      <c r="K450" s="1014"/>
      <c r="L450" s="1024"/>
      <c r="M450" s="729"/>
      <c r="N450" s="729"/>
      <c r="O450" s="729"/>
      <c r="P450" s="729"/>
      <c r="Q450" s="729"/>
      <c r="R450" s="729"/>
      <c r="S450" s="729"/>
      <c r="T450" s="729"/>
      <c r="U450" s="729"/>
    </row>
    <row r="451" spans="1:21">
      <c r="A451" s="775"/>
      <c r="B451" s="2475" t="str">
        <f>"รวมราคารายการที่ "&amp;A424</f>
        <v>รวมราคารายการที่ 3.13</v>
      </c>
      <c r="C451" s="2476"/>
      <c r="D451" s="2477"/>
      <c r="E451" s="776"/>
      <c r="F451" s="777"/>
      <c r="G451" s="959"/>
      <c r="H451" s="960">
        <f>SUM(H425:H450)</f>
        <v>619316</v>
      </c>
      <c r="I451" s="959"/>
      <c r="J451" s="960">
        <f>SUM(J425:J450)</f>
        <v>63174</v>
      </c>
      <c r="K451" s="960">
        <f>SUM(K425:K450)</f>
        <v>682490</v>
      </c>
      <c r="L451" s="1006"/>
      <c r="M451" s="1"/>
      <c r="N451" s="1"/>
      <c r="O451" s="1"/>
    </row>
    <row r="452" spans="1:21" s="714" customFormat="1" ht="24" customHeight="1">
      <c r="A452" s="986" t="s">
        <v>1224</v>
      </c>
      <c r="B452" s="816" t="s">
        <v>1370</v>
      </c>
      <c r="C452" s="987"/>
      <c r="D452" s="707"/>
      <c r="E452" s="708"/>
      <c r="F452" s="709"/>
      <c r="G452" s="853"/>
      <c r="H452" s="854"/>
      <c r="I452" s="855"/>
      <c r="J452" s="854"/>
      <c r="K452" s="1007"/>
      <c r="L452" s="1023"/>
      <c r="M452" s="729"/>
      <c r="N452" s="729"/>
      <c r="O452" s="729"/>
      <c r="P452" s="729"/>
      <c r="Q452" s="729"/>
      <c r="R452" s="729"/>
      <c r="S452" s="729"/>
      <c r="T452" s="729"/>
      <c r="U452" s="729"/>
    </row>
    <row r="453" spans="1:21" s="714" customFormat="1" ht="24" customHeight="1">
      <c r="A453" s="989" t="s">
        <v>1226</v>
      </c>
      <c r="B453" s="720" t="s">
        <v>1438</v>
      </c>
      <c r="C453" s="706"/>
      <c r="D453" s="990"/>
      <c r="E453" s="991">
        <v>2</v>
      </c>
      <c r="F453" s="803" t="s">
        <v>240</v>
      </c>
      <c r="G453" s="858">
        <v>3200</v>
      </c>
      <c r="H453" s="864">
        <f>ROUND(E453*G453,)</f>
        <v>6400</v>
      </c>
      <c r="I453" s="865">
        <v>150</v>
      </c>
      <c r="J453" s="864">
        <f>ROUND(I453*E453,)</f>
        <v>300</v>
      </c>
      <c r="K453" s="966">
        <f>H453+J453</f>
        <v>6700</v>
      </c>
      <c r="L453" s="1024"/>
      <c r="M453" s="729"/>
      <c r="N453" s="729"/>
      <c r="O453" s="729"/>
      <c r="P453" s="729"/>
      <c r="Q453" s="729"/>
      <c r="R453" s="729"/>
      <c r="S453" s="729"/>
      <c r="T453" s="729"/>
      <c r="U453" s="729"/>
    </row>
    <row r="454" spans="1:21" s="714" customFormat="1" ht="24" customHeight="1">
      <c r="A454" s="992" t="s">
        <v>1228</v>
      </c>
      <c r="B454" s="720" t="s">
        <v>1439</v>
      </c>
      <c r="C454" s="706"/>
      <c r="D454" s="990"/>
      <c r="E454" s="991">
        <v>2</v>
      </c>
      <c r="F454" s="803" t="s">
        <v>240</v>
      </c>
      <c r="G454" s="858">
        <v>2640</v>
      </c>
      <c r="H454" s="864">
        <f>ROUND(E454*G454,)</f>
        <v>5280</v>
      </c>
      <c r="I454" s="865">
        <v>150</v>
      </c>
      <c r="J454" s="864">
        <f>ROUND(I454*E454,)</f>
        <v>300</v>
      </c>
      <c r="K454" s="966">
        <f>H454+J454</f>
        <v>5580</v>
      </c>
      <c r="L454" s="1024"/>
      <c r="M454" s="729"/>
      <c r="N454" s="729"/>
      <c r="O454" s="729"/>
      <c r="P454" s="729"/>
      <c r="Q454" s="729"/>
      <c r="R454" s="729"/>
      <c r="S454" s="729"/>
      <c r="T454" s="729"/>
      <c r="U454" s="729"/>
    </row>
    <row r="455" spans="1:21" s="714" customFormat="1" ht="24" customHeight="1">
      <c r="A455" s="992" t="s">
        <v>1230</v>
      </c>
      <c r="B455" s="720" t="s">
        <v>1441</v>
      </c>
      <c r="C455" s="706"/>
      <c r="D455" s="990"/>
      <c r="E455" s="721"/>
      <c r="F455" s="722"/>
      <c r="G455" s="795"/>
      <c r="H455" s="796"/>
      <c r="I455" s="797"/>
      <c r="J455" s="796"/>
      <c r="K455" s="1014"/>
      <c r="L455" s="1024"/>
      <c r="M455" s="729"/>
      <c r="N455" s="729"/>
      <c r="O455" s="729"/>
      <c r="P455" s="729"/>
      <c r="Q455" s="729"/>
      <c r="R455" s="729"/>
      <c r="S455" s="729"/>
      <c r="T455" s="729"/>
      <c r="U455" s="729"/>
    </row>
    <row r="456" spans="1:21" s="714" customFormat="1" ht="24" customHeight="1">
      <c r="A456" s="995"/>
      <c r="B456" s="800" t="s">
        <v>1442</v>
      </c>
      <c r="C456" s="706"/>
      <c r="D456" s="990"/>
      <c r="E456" s="721">
        <v>650</v>
      </c>
      <c r="F456" s="722" t="s">
        <v>438</v>
      </c>
      <c r="G456" s="858">
        <v>10</v>
      </c>
      <c r="H456" s="796">
        <f>ROUND(E456*G456,)</f>
        <v>6500</v>
      </c>
      <c r="I456" s="797">
        <v>5</v>
      </c>
      <c r="J456" s="796">
        <f>ROUND(I456*E456,)</f>
        <v>3250</v>
      </c>
      <c r="K456" s="966">
        <f>H456+J456</f>
        <v>9750</v>
      </c>
      <c r="L456" s="1024"/>
      <c r="M456" s="729"/>
      <c r="N456" s="729"/>
      <c r="O456" s="729"/>
      <c r="P456" s="729"/>
      <c r="Q456" s="729"/>
      <c r="R456" s="729"/>
      <c r="S456" s="729"/>
      <c r="T456" s="729"/>
      <c r="U456" s="729"/>
    </row>
    <row r="457" spans="1:21" s="714" customFormat="1" ht="24" customHeight="1">
      <c r="A457" s="995"/>
      <c r="B457" s="800"/>
      <c r="C457" s="706"/>
      <c r="D457" s="990"/>
      <c r="E457" s="721"/>
      <c r="F457" s="722"/>
      <c r="G457" s="858"/>
      <c r="H457" s="796"/>
      <c r="I457" s="797"/>
      <c r="J457" s="796"/>
      <c r="K457" s="966"/>
      <c r="L457" s="1024"/>
      <c r="M457" s="729"/>
      <c r="N457" s="729"/>
      <c r="O457" s="729"/>
      <c r="P457" s="729"/>
      <c r="Q457" s="729"/>
      <c r="R457" s="729"/>
      <c r="S457" s="729"/>
      <c r="T457" s="729"/>
      <c r="U457" s="729"/>
    </row>
    <row r="458" spans="1:21" s="714" customFormat="1" ht="24" customHeight="1">
      <c r="A458" s="989" t="s">
        <v>1234</v>
      </c>
      <c r="B458" s="720" t="s">
        <v>950</v>
      </c>
      <c r="C458" s="706"/>
      <c r="D458" s="990"/>
      <c r="E458" s="991"/>
      <c r="F458" s="803"/>
      <c r="G458" s="858"/>
      <c r="H458" s="864"/>
      <c r="I458" s="865"/>
      <c r="J458" s="864"/>
      <c r="K458" s="966"/>
      <c r="L458" s="1024"/>
      <c r="M458" s="729"/>
      <c r="N458" s="729"/>
      <c r="O458" s="729"/>
      <c r="P458" s="729"/>
      <c r="Q458" s="729"/>
      <c r="R458" s="729"/>
      <c r="S458" s="729"/>
      <c r="T458" s="729"/>
      <c r="U458" s="729"/>
    </row>
    <row r="459" spans="1:21" s="714" customFormat="1" ht="24" customHeight="1">
      <c r="A459" s="992"/>
      <c r="B459" s="720" t="s">
        <v>1201</v>
      </c>
      <c r="C459" s="706"/>
      <c r="D459" s="990"/>
      <c r="E459" s="991">
        <f>E456</f>
        <v>650</v>
      </c>
      <c r="F459" s="803" t="s">
        <v>438</v>
      </c>
      <c r="G459" s="858">
        <v>56</v>
      </c>
      <c r="H459" s="864">
        <f>ROUND(E459*G459,)</f>
        <v>36400</v>
      </c>
      <c r="I459" s="865">
        <v>26</v>
      </c>
      <c r="J459" s="864">
        <f t="shared" ref="J459" si="87">ROUND(E459*I459,)</f>
        <v>16900</v>
      </c>
      <c r="K459" s="966">
        <f t="shared" ref="K459:K460" si="88">H459+J459</f>
        <v>53300</v>
      </c>
      <c r="L459" s="1718" t="s">
        <v>2974</v>
      </c>
      <c r="M459" s="729"/>
      <c r="N459" s="714">
        <v>169.2</v>
      </c>
      <c r="O459" s="714">
        <f>ROUND(N459/3,)</f>
        <v>56</v>
      </c>
      <c r="P459" s="729"/>
      <c r="Q459" s="729"/>
      <c r="R459" s="729"/>
      <c r="S459" s="729"/>
      <c r="T459" s="729"/>
      <c r="U459" s="729"/>
    </row>
    <row r="460" spans="1:21" s="714" customFormat="1" ht="24" customHeight="1">
      <c r="A460" s="989"/>
      <c r="B460" s="720" t="s">
        <v>1237</v>
      </c>
      <c r="C460" s="706"/>
      <c r="D460" s="990"/>
      <c r="E460" s="991">
        <v>1</v>
      </c>
      <c r="F460" s="803" t="s">
        <v>948</v>
      </c>
      <c r="G460" s="858">
        <f>SUM(H458:H459)*15%</f>
        <v>5460</v>
      </c>
      <c r="H460" s="864">
        <f>ROUND(E460*G460,)</f>
        <v>5460</v>
      </c>
      <c r="I460" s="865">
        <f>ROUND(G460*0.3,)</f>
        <v>1638</v>
      </c>
      <c r="J460" s="864">
        <f>ROUND(I460*E460,)</f>
        <v>1638</v>
      </c>
      <c r="K460" s="966">
        <f t="shared" si="88"/>
        <v>7098</v>
      </c>
      <c r="L460" s="1024"/>
      <c r="M460" s="729"/>
      <c r="N460" s="729"/>
      <c r="O460" s="729"/>
      <c r="P460" s="729"/>
      <c r="Q460" s="729"/>
      <c r="R460" s="729"/>
      <c r="S460" s="729"/>
      <c r="T460" s="729"/>
      <c r="U460" s="729"/>
    </row>
    <row r="461" spans="1:21" s="714" customFormat="1" ht="24" customHeight="1">
      <c r="A461" s="992" t="s">
        <v>1236</v>
      </c>
      <c r="B461" s="720" t="s">
        <v>1238</v>
      </c>
      <c r="C461" s="706"/>
      <c r="D461" s="990"/>
      <c r="E461" s="991"/>
      <c r="F461" s="803" t="s">
        <v>948</v>
      </c>
      <c r="G461" s="858"/>
      <c r="H461" s="864"/>
      <c r="I461" s="865"/>
      <c r="J461" s="864"/>
      <c r="K461" s="966"/>
      <c r="L461" s="1024"/>
      <c r="M461" s="729"/>
      <c r="N461" s="729"/>
      <c r="O461" s="729"/>
      <c r="P461" s="729"/>
      <c r="Q461" s="729"/>
      <c r="R461" s="729"/>
      <c r="S461" s="729"/>
      <c r="T461" s="729"/>
      <c r="U461" s="729"/>
    </row>
    <row r="462" spans="1:21" s="714" customFormat="1" ht="24" customHeight="1">
      <c r="A462" s="989"/>
      <c r="B462" s="720" t="s">
        <v>957</v>
      </c>
      <c r="C462" s="706"/>
      <c r="D462" s="990"/>
      <c r="E462" s="991"/>
      <c r="F462" s="803"/>
      <c r="G462" s="858"/>
      <c r="H462" s="864"/>
      <c r="I462" s="865"/>
      <c r="J462" s="864"/>
      <c r="K462" s="966"/>
      <c r="L462" s="1024"/>
      <c r="M462" s="729"/>
      <c r="N462" s="729"/>
      <c r="O462" s="729"/>
      <c r="P462" s="729"/>
      <c r="Q462" s="729"/>
      <c r="R462" s="729"/>
      <c r="S462" s="729"/>
      <c r="T462" s="729"/>
      <c r="U462" s="729"/>
    </row>
    <row r="463" spans="1:21" s="714" customFormat="1" ht="24" customHeight="1">
      <c r="A463" s="992"/>
      <c r="B463" s="720" t="s">
        <v>958</v>
      </c>
      <c r="C463" s="706"/>
      <c r="D463" s="990"/>
      <c r="E463" s="991"/>
      <c r="F463" s="803"/>
      <c r="G463" s="858"/>
      <c r="H463" s="864"/>
      <c r="I463" s="865"/>
      <c r="J463" s="864"/>
      <c r="K463" s="966"/>
      <c r="L463" s="1024"/>
      <c r="M463" s="729"/>
      <c r="N463" s="729"/>
      <c r="O463" s="729"/>
      <c r="P463" s="729"/>
      <c r="Q463" s="729"/>
      <c r="R463" s="729"/>
    </row>
    <row r="464" spans="1:21" s="714" customFormat="1" ht="24" customHeight="1">
      <c r="A464" s="989"/>
      <c r="B464" s="720" t="s">
        <v>958</v>
      </c>
      <c r="C464" s="706"/>
      <c r="D464" s="990"/>
      <c r="E464" s="991"/>
      <c r="F464" s="803"/>
      <c r="G464" s="858"/>
      <c r="H464" s="864"/>
      <c r="I464" s="865"/>
      <c r="J464" s="864"/>
      <c r="K464" s="966"/>
      <c r="L464" s="1024"/>
      <c r="M464" s="729"/>
      <c r="N464" s="729"/>
      <c r="O464" s="729"/>
      <c r="P464" s="729"/>
      <c r="Q464" s="729"/>
      <c r="R464" s="729"/>
    </row>
    <row r="465" spans="1:21" s="714" customFormat="1" ht="24" customHeight="1">
      <c r="A465" s="992"/>
      <c r="B465" s="720"/>
      <c r="C465" s="706"/>
      <c r="D465" s="990"/>
      <c r="E465" s="991"/>
      <c r="F465" s="803"/>
      <c r="G465" s="858"/>
      <c r="H465" s="864"/>
      <c r="I465" s="865"/>
      <c r="J465" s="864"/>
      <c r="K465" s="966"/>
      <c r="L465" s="1024"/>
      <c r="M465" s="729"/>
      <c r="N465" s="729"/>
      <c r="O465" s="729"/>
      <c r="P465" s="729"/>
      <c r="Q465" s="729"/>
      <c r="R465" s="729"/>
    </row>
    <row r="466" spans="1:21" s="714" customFormat="1" ht="24" customHeight="1">
      <c r="A466" s="777"/>
      <c r="B466" s="2475" t="str">
        <f>"รวมราคารายการที่ "&amp;A452</f>
        <v>รวมราคารายการที่ 3.14</v>
      </c>
      <c r="C466" s="2476"/>
      <c r="D466" s="2477"/>
      <c r="E466" s="997"/>
      <c r="F466" s="777"/>
      <c r="G466" s="959"/>
      <c r="H466" s="960">
        <f>SUM(H453:H462)</f>
        <v>60040</v>
      </c>
      <c r="I466" s="959"/>
      <c r="J466" s="960">
        <f t="shared" ref="J466:K466" si="89">SUM(J453:J462)</f>
        <v>22388</v>
      </c>
      <c r="K466" s="960">
        <f t="shared" si="89"/>
        <v>82428</v>
      </c>
      <c r="L466" s="1006"/>
      <c r="M466" s="729"/>
      <c r="N466" s="729"/>
      <c r="O466" s="729"/>
      <c r="P466" s="729"/>
      <c r="Q466" s="729"/>
      <c r="R466" s="729"/>
      <c r="S466" s="729"/>
      <c r="T466" s="729"/>
      <c r="U466" s="729"/>
    </row>
  </sheetData>
  <mergeCells count="23">
    <mergeCell ref="B423:D423"/>
    <mergeCell ref="B451:D451"/>
    <mergeCell ref="B466:D466"/>
    <mergeCell ref="B283:D283"/>
    <mergeCell ref="B292:D292"/>
    <mergeCell ref="B322:D322"/>
    <mergeCell ref="B362:D362"/>
    <mergeCell ref="B385:D385"/>
    <mergeCell ref="B401:D401"/>
    <mergeCell ref="B266:D266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130:D130"/>
    <mergeCell ref="B208:D208"/>
    <mergeCell ref="B239:D239"/>
    <mergeCell ref="B250:D250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7-อาคารสนับนุน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49933-75BD-4631-81A6-AF3214A2AF96}">
  <sheetPr>
    <tabColor rgb="FF92D050"/>
  </sheetPr>
  <dimension ref="A1:U418"/>
  <sheetViews>
    <sheetView tabSelected="1" view="pageBreakPreview" zoomScale="70" zoomScaleNormal="10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5859375" style="1" customWidth="1"/>
    <col min="13" max="95" width="7.703125" style="1" customWidth="1"/>
    <col min="96" max="16384" width="9" style="1"/>
  </cols>
  <sheetData>
    <row r="1" spans="1:12" ht="35.200000000000003" customHeight="1">
      <c r="A1" s="681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683" t="s">
        <v>2</v>
      </c>
      <c r="B2" s="33"/>
      <c r="C2" s="34"/>
      <c r="D2" s="11" t="s">
        <v>938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685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687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685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6.2" customHeight="1">
      <c r="A7" s="6" t="s">
        <v>26</v>
      </c>
      <c r="B7" s="20"/>
      <c r="C7" s="20"/>
      <c r="D7" s="21"/>
      <c r="E7" s="20"/>
      <c r="F7" s="689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362" t="s">
        <v>14</v>
      </c>
      <c r="L9" s="248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364" t="s">
        <v>17</v>
      </c>
      <c r="I10" s="28" t="s">
        <v>16</v>
      </c>
      <c r="J10" s="2364" t="s">
        <v>17</v>
      </c>
      <c r="K10" s="2363" t="s">
        <v>18</v>
      </c>
      <c r="L10" s="2483"/>
    </row>
    <row r="11" spans="1:12" ht="24" customHeight="1">
      <c r="A11" s="690" t="s">
        <v>25</v>
      </c>
      <c r="B11" s="691" t="s">
        <v>1568</v>
      </c>
      <c r="C11" s="692"/>
      <c r="D11" s="693"/>
      <c r="E11" s="694"/>
      <c r="F11" s="695"/>
      <c r="G11" s="696"/>
      <c r="H11" s="697"/>
      <c r="I11" s="698"/>
      <c r="J11" s="697"/>
      <c r="K11" s="998"/>
      <c r="L11" s="953"/>
    </row>
    <row r="12" spans="1:12" s="714" customFormat="1" ht="24" customHeight="1">
      <c r="A12" s="719">
        <f>A35</f>
        <v>3.1</v>
      </c>
      <c r="B12" s="754" t="str">
        <f>B35</f>
        <v>Distribution Board</v>
      </c>
      <c r="C12" s="717"/>
      <c r="D12" s="718"/>
      <c r="E12" s="708">
        <v>1</v>
      </c>
      <c r="F12" s="709" t="s">
        <v>19</v>
      </c>
      <c r="G12" s="710"/>
      <c r="H12" s="711">
        <f>H82</f>
        <v>277195</v>
      </c>
      <c r="I12" s="712"/>
      <c r="J12" s="711">
        <f>J82</f>
        <v>26040</v>
      </c>
      <c r="K12" s="711">
        <f>K82</f>
        <v>303235</v>
      </c>
      <c r="L12" s="753"/>
    </row>
    <row r="13" spans="1:12" s="714" customFormat="1" ht="24" customHeight="1">
      <c r="A13" s="719">
        <f>A83</f>
        <v>3.2</v>
      </c>
      <c r="B13" s="754" t="str">
        <f>B83</f>
        <v>Essential Distribution Board</v>
      </c>
      <c r="C13" s="717"/>
      <c r="D13" s="718"/>
      <c r="E13" s="708">
        <v>1</v>
      </c>
      <c r="F13" s="709" t="s">
        <v>19</v>
      </c>
      <c r="G13" s="710"/>
      <c r="H13" s="711">
        <f>H178</f>
        <v>397260</v>
      </c>
      <c r="I13" s="712"/>
      <c r="J13" s="711">
        <f>J178</f>
        <v>40080</v>
      </c>
      <c r="K13" s="711">
        <f>K178</f>
        <v>437340</v>
      </c>
      <c r="L13" s="753"/>
    </row>
    <row r="14" spans="1:12" s="714" customFormat="1" ht="24" customHeight="1">
      <c r="A14" s="719" t="str">
        <f>A179</f>
        <v>3.3</v>
      </c>
      <c r="B14" s="705" t="str">
        <f>B179</f>
        <v>แผงสวิทช์ย่อยและเซอร์กิต เบรคเกอร์ (Panelboard &amp; CB)</v>
      </c>
      <c r="C14" s="717"/>
      <c r="D14" s="718"/>
      <c r="E14" s="708">
        <v>1</v>
      </c>
      <c r="F14" s="709" t="s">
        <v>19</v>
      </c>
      <c r="G14" s="710"/>
      <c r="H14" s="711">
        <f>H202</f>
        <v>41610</v>
      </c>
      <c r="I14" s="712"/>
      <c r="J14" s="711">
        <f>J202</f>
        <v>5000</v>
      </c>
      <c r="K14" s="999">
        <f>K202</f>
        <v>46610</v>
      </c>
      <c r="L14" s="954"/>
    </row>
    <row r="15" spans="1:12" s="714" customFormat="1" ht="24" customHeight="1">
      <c r="A15" s="719">
        <f>A203</f>
        <v>3.4</v>
      </c>
      <c r="B15" s="705" t="str">
        <f>B203</f>
        <v>สายไฟฟ้า (Cable &amp; Wire)</v>
      </c>
      <c r="C15" s="717"/>
      <c r="D15" s="718"/>
      <c r="E15" s="708">
        <v>1</v>
      </c>
      <c r="F15" s="709" t="s">
        <v>19</v>
      </c>
      <c r="G15" s="710"/>
      <c r="H15" s="711">
        <f>H215</f>
        <v>157605</v>
      </c>
      <c r="I15" s="712"/>
      <c r="J15" s="711">
        <f>J215</f>
        <v>102942</v>
      </c>
      <c r="K15" s="999">
        <f>K215</f>
        <v>260547</v>
      </c>
      <c r="L15" s="954"/>
    </row>
    <row r="16" spans="1:12" s="714" customFormat="1" ht="24" customHeight="1">
      <c r="A16" s="719" t="str">
        <f>A216</f>
        <v>3.5</v>
      </c>
      <c r="B16" s="705" t="str">
        <f>B216</f>
        <v>รางเดินสายไฟฟ้า (Raceway)</v>
      </c>
      <c r="C16" s="717"/>
      <c r="D16" s="718"/>
      <c r="E16" s="708">
        <v>1</v>
      </c>
      <c r="F16" s="709" t="s">
        <v>19</v>
      </c>
      <c r="G16" s="710"/>
      <c r="H16" s="711">
        <f>H233</f>
        <v>121366</v>
      </c>
      <c r="I16" s="712"/>
      <c r="J16" s="711">
        <f>J233</f>
        <v>88611</v>
      </c>
      <c r="K16" s="999">
        <f>K233</f>
        <v>209977</v>
      </c>
      <c r="L16" s="954"/>
    </row>
    <row r="17" spans="1:12" s="714" customFormat="1" ht="24" customHeight="1">
      <c r="A17" s="719" t="str">
        <f>A234</f>
        <v>3.6</v>
      </c>
      <c r="B17" s="705" t="str">
        <f>B234</f>
        <v>สวิทช์และเต้ารับ (Switch &amp; Outlet)</v>
      </c>
      <c r="C17" s="717"/>
      <c r="D17" s="718"/>
      <c r="E17" s="708">
        <v>1</v>
      </c>
      <c r="F17" s="709" t="s">
        <v>19</v>
      </c>
      <c r="G17" s="710"/>
      <c r="H17" s="711">
        <f>H250</f>
        <v>20537</v>
      </c>
      <c r="I17" s="712"/>
      <c r="J17" s="711">
        <f>J250</f>
        <v>8790</v>
      </c>
      <c r="K17" s="999">
        <f>K250</f>
        <v>29327</v>
      </c>
      <c r="L17" s="954"/>
    </row>
    <row r="18" spans="1:12" s="714" customFormat="1" ht="24" customHeight="1">
      <c r="A18" s="704" t="str">
        <f>A251</f>
        <v>3.7</v>
      </c>
      <c r="B18" s="705" t="str">
        <f>B251</f>
        <v>ระบบควบคุมแสงสว่าง (Lighting Control System)</v>
      </c>
      <c r="C18" s="717"/>
      <c r="D18" s="718"/>
      <c r="E18" s="708">
        <v>1</v>
      </c>
      <c r="F18" s="709" t="s">
        <v>19</v>
      </c>
      <c r="G18" s="710"/>
      <c r="H18" s="711">
        <f>H259</f>
        <v>195560</v>
      </c>
      <c r="I18" s="712"/>
      <c r="J18" s="711">
        <f>J259</f>
        <v>9778</v>
      </c>
      <c r="K18" s="999">
        <f>K259</f>
        <v>205338</v>
      </c>
      <c r="L18" s="954"/>
    </row>
    <row r="19" spans="1:12" s="714" customFormat="1" ht="24" customHeight="1">
      <c r="A19" s="719" t="str">
        <f>A260</f>
        <v>3.8</v>
      </c>
      <c r="B19" s="705" t="str">
        <f>B260</f>
        <v>โคมไฟฟ้า (Luminaire)</v>
      </c>
      <c r="C19" s="717"/>
      <c r="D19" s="718"/>
      <c r="E19" s="708">
        <v>1</v>
      </c>
      <c r="F19" s="709" t="s">
        <v>19</v>
      </c>
      <c r="G19" s="710"/>
      <c r="H19" s="711">
        <f>H287</f>
        <v>408663</v>
      </c>
      <c r="I19" s="712"/>
      <c r="J19" s="711">
        <f>J287</f>
        <v>82716</v>
      </c>
      <c r="K19" s="999">
        <f>K287</f>
        <v>491379</v>
      </c>
      <c r="L19" s="954"/>
    </row>
    <row r="20" spans="1:12" s="714" customFormat="1" ht="24" customHeight="1">
      <c r="A20" s="719">
        <f>A288</f>
        <v>3.9</v>
      </c>
      <c r="B20" s="720" t="str">
        <f>B288</f>
        <v>ระบบสัญญาณแจ้งเหตุเพลิงไหม้ (Fire Alarm System)</v>
      </c>
      <c r="C20" s="717"/>
      <c r="D20" s="718"/>
      <c r="E20" s="708">
        <v>1</v>
      </c>
      <c r="F20" s="722" t="s">
        <v>19</v>
      </c>
      <c r="G20" s="723"/>
      <c r="H20" s="711">
        <f>H322</f>
        <v>803053</v>
      </c>
      <c r="I20" s="712"/>
      <c r="J20" s="711">
        <f>J322</f>
        <v>115889</v>
      </c>
      <c r="K20" s="999">
        <f>K322</f>
        <v>918942</v>
      </c>
      <c r="L20" s="954"/>
    </row>
    <row r="21" spans="1:12" s="714" customFormat="1" ht="24" customHeight="1">
      <c r="A21" s="719" t="str">
        <f>A323</f>
        <v>3.10</v>
      </c>
      <c r="B21" s="720" t="str">
        <f>B323</f>
        <v>ระบบสายสื่อสารข้อมูล (Data Cabling System)</v>
      </c>
      <c r="C21" s="717"/>
      <c r="D21" s="718"/>
      <c r="E21" s="708">
        <v>1</v>
      </c>
      <c r="F21" s="722" t="s">
        <v>19</v>
      </c>
      <c r="G21" s="710"/>
      <c r="H21" s="711">
        <f>H346</f>
        <v>398790</v>
      </c>
      <c r="I21" s="712"/>
      <c r="J21" s="711">
        <f>J346</f>
        <v>166997</v>
      </c>
      <c r="K21" s="999">
        <f>K346</f>
        <v>565787</v>
      </c>
      <c r="L21" s="954"/>
    </row>
    <row r="22" spans="1:12" s="714" customFormat="1" ht="24" customHeight="1">
      <c r="A22" s="719" t="str">
        <f>A347</f>
        <v>3.11</v>
      </c>
      <c r="B22" s="720" t="str">
        <f>B347</f>
        <v>ระบบเสียงและประกาศเรียก (Public Address System)</v>
      </c>
      <c r="C22" s="717"/>
      <c r="D22" s="718"/>
      <c r="E22" s="708">
        <v>1</v>
      </c>
      <c r="F22" s="722" t="s">
        <v>19</v>
      </c>
      <c r="G22" s="710"/>
      <c r="H22" s="711">
        <f>H362</f>
        <v>104050</v>
      </c>
      <c r="I22" s="712"/>
      <c r="J22" s="711">
        <f>J362</f>
        <v>38941</v>
      </c>
      <c r="K22" s="999">
        <f>K362</f>
        <v>142991</v>
      </c>
      <c r="L22" s="954"/>
    </row>
    <row r="23" spans="1:12" s="714" customFormat="1" ht="24" customHeight="1">
      <c r="A23" s="719" t="str">
        <f>A363</f>
        <v>3.12</v>
      </c>
      <c r="B23" s="720" t="str">
        <f>B363</f>
        <v>ระบบควบคุมประตูอัตโนมัติ (Access Control System)</v>
      </c>
      <c r="C23" s="717"/>
      <c r="D23" s="718"/>
      <c r="E23" s="708">
        <v>1</v>
      </c>
      <c r="F23" s="722" t="s">
        <v>19</v>
      </c>
      <c r="G23" s="710"/>
      <c r="H23" s="711">
        <f>H394</f>
        <v>352619</v>
      </c>
      <c r="I23" s="712"/>
      <c r="J23" s="711">
        <f>J394</f>
        <v>20616</v>
      </c>
      <c r="K23" s="999">
        <f>K394</f>
        <v>373235</v>
      </c>
      <c r="L23" s="954"/>
    </row>
    <row r="24" spans="1:12" s="714" customFormat="1" ht="24" customHeight="1">
      <c r="A24" s="719" t="str">
        <f>A395</f>
        <v>3.13</v>
      </c>
      <c r="B24" s="754" t="str">
        <f>B395</f>
        <v>ระบบบริหารจัดการอาคาร (Building Management System : BMS)</v>
      </c>
      <c r="C24" s="717"/>
      <c r="D24" s="718"/>
      <c r="E24" s="708">
        <v>1</v>
      </c>
      <c r="F24" s="722" t="s">
        <v>19</v>
      </c>
      <c r="G24" s="710"/>
      <c r="H24" s="711">
        <f>H418</f>
        <v>619316</v>
      </c>
      <c r="I24" s="712"/>
      <c r="J24" s="711">
        <f>J418</f>
        <v>63174</v>
      </c>
      <c r="K24" s="999">
        <f>K418</f>
        <v>682490</v>
      </c>
      <c r="L24" s="954"/>
    </row>
    <row r="25" spans="1:12" s="714" customFormat="1" ht="24" customHeight="1">
      <c r="A25" s="719"/>
      <c r="B25" s="720"/>
      <c r="C25" s="717"/>
      <c r="D25" s="718"/>
      <c r="E25" s="721"/>
      <c r="F25" s="722"/>
      <c r="G25" s="710"/>
      <c r="H25" s="711"/>
      <c r="I25" s="712"/>
      <c r="J25" s="711"/>
      <c r="K25" s="999"/>
      <c r="L25" s="954"/>
    </row>
    <row r="26" spans="1:12" s="714" customFormat="1" ht="24" customHeight="1">
      <c r="A26" s="719"/>
      <c r="B26" s="720"/>
      <c r="C26" s="717"/>
      <c r="D26" s="718"/>
      <c r="E26" s="721"/>
      <c r="F26" s="722"/>
      <c r="G26" s="710"/>
      <c r="H26" s="711"/>
      <c r="I26" s="712"/>
      <c r="J26" s="711"/>
      <c r="K26" s="999"/>
      <c r="L26" s="954"/>
    </row>
    <row r="27" spans="1:12" s="714" customFormat="1" ht="24" customHeight="1">
      <c r="A27" s="719"/>
      <c r="B27" s="955"/>
      <c r="C27" s="717"/>
      <c r="D27" s="718"/>
      <c r="E27" s="721"/>
      <c r="F27" s="722"/>
      <c r="G27" s="710"/>
      <c r="H27" s="711"/>
      <c r="I27" s="956"/>
      <c r="J27" s="957"/>
      <c r="K27" s="1005"/>
      <c r="L27" s="954"/>
    </row>
    <row r="28" spans="1:12" s="714" customFormat="1" ht="24" customHeight="1">
      <c r="A28" s="719"/>
      <c r="B28" s="955"/>
      <c r="C28" s="717"/>
      <c r="D28" s="718"/>
      <c r="E28" s="721"/>
      <c r="F28" s="722"/>
      <c r="G28" s="710"/>
      <c r="H28" s="711"/>
      <c r="I28" s="956"/>
      <c r="J28" s="957"/>
      <c r="K28" s="1005"/>
      <c r="L28" s="954"/>
    </row>
    <row r="29" spans="1:12" s="714" customFormat="1" ht="24" customHeight="1">
      <c r="A29" s="719"/>
      <c r="B29" s="955"/>
      <c r="C29" s="717"/>
      <c r="D29" s="718"/>
      <c r="E29" s="721"/>
      <c r="F29" s="722"/>
      <c r="G29" s="710"/>
      <c r="H29" s="711"/>
      <c r="I29" s="956"/>
      <c r="J29" s="957"/>
      <c r="K29" s="1005"/>
      <c r="L29" s="954"/>
    </row>
    <row r="30" spans="1:12" s="714" customFormat="1" ht="24" customHeight="1">
      <c r="A30" s="719"/>
      <c r="B30" s="955"/>
      <c r="C30" s="717"/>
      <c r="D30" s="718"/>
      <c r="E30" s="721"/>
      <c r="F30" s="722"/>
      <c r="G30" s="710"/>
      <c r="H30" s="711"/>
      <c r="I30" s="956"/>
      <c r="J30" s="957"/>
      <c r="K30" s="1005"/>
      <c r="L30" s="954"/>
    </row>
    <row r="31" spans="1:12" s="714" customFormat="1" ht="24" customHeight="1">
      <c r="A31" s="719"/>
      <c r="B31" s="955"/>
      <c r="C31" s="717"/>
      <c r="D31" s="718"/>
      <c r="E31" s="721"/>
      <c r="F31" s="722"/>
      <c r="G31" s="710"/>
      <c r="H31" s="711"/>
      <c r="I31" s="956"/>
      <c r="J31" s="957"/>
      <c r="K31" s="1005"/>
      <c r="L31" s="954"/>
    </row>
    <row r="32" spans="1:12" s="714" customFormat="1" ht="24" customHeight="1">
      <c r="A32" s="719"/>
      <c r="B32" s="955"/>
      <c r="C32" s="717"/>
      <c r="D32" s="718"/>
      <c r="E32" s="721"/>
      <c r="F32" s="722"/>
      <c r="G32" s="710"/>
      <c r="H32" s="711"/>
      <c r="I32" s="956"/>
      <c r="J32" s="957"/>
      <c r="K32" s="1005"/>
      <c r="L32" s="954"/>
    </row>
    <row r="33" spans="1:17" s="714" customFormat="1" ht="24" customHeight="1">
      <c r="A33" s="719"/>
      <c r="B33" s="955"/>
      <c r="C33" s="717"/>
      <c r="D33" s="718"/>
      <c r="E33" s="721"/>
      <c r="F33" s="722"/>
      <c r="G33" s="710"/>
      <c r="H33" s="711"/>
      <c r="I33" s="956"/>
      <c r="J33" s="957"/>
      <c r="K33" s="1005"/>
      <c r="L33" s="954"/>
    </row>
    <row r="34" spans="1:17" s="714" customFormat="1" ht="24" customHeight="1">
      <c r="A34" s="775"/>
      <c r="B34" s="2475" t="str">
        <f>"รวมราคา"&amp;B11</f>
        <v>รวมราคางานระบบไฟฟ้าและสื่อสาร ชั้น 8</v>
      </c>
      <c r="C34" s="2476"/>
      <c r="D34" s="2477"/>
      <c r="E34" s="776"/>
      <c r="F34" s="777"/>
      <c r="G34" s="959"/>
      <c r="H34" s="960">
        <f>SUM(H11:H33)</f>
        <v>3897624</v>
      </c>
      <c r="I34" s="959"/>
      <c r="J34" s="960">
        <f>SUM(J11:J33)</f>
        <v>769574</v>
      </c>
      <c r="K34" s="960">
        <f>SUM(K11:K33)</f>
        <v>4667198</v>
      </c>
      <c r="L34" s="1006"/>
      <c r="M34" s="729"/>
      <c r="N34" s="729"/>
      <c r="O34" s="729"/>
      <c r="P34" s="729"/>
      <c r="Q34" s="729"/>
    </row>
    <row r="35" spans="1:17" s="714" customFormat="1" ht="24" customHeight="1">
      <c r="A35" s="815">
        <v>3.1</v>
      </c>
      <c r="B35" s="816" t="s">
        <v>1050</v>
      </c>
      <c r="C35" s="859"/>
      <c r="D35" s="859"/>
      <c r="E35" s="851"/>
      <c r="F35" s="852"/>
      <c r="G35" s="853"/>
      <c r="H35" s="854"/>
      <c r="I35" s="855"/>
      <c r="J35" s="854"/>
      <c r="K35" s="855"/>
      <c r="L35" s="826"/>
    </row>
    <row r="36" spans="1:17" s="884" customFormat="1" ht="24" customHeight="1">
      <c r="A36" s="878" t="s">
        <v>941</v>
      </c>
      <c r="B36" s="879" t="s">
        <v>1087</v>
      </c>
      <c r="C36" s="880"/>
      <c r="D36" s="880"/>
      <c r="E36" s="881"/>
      <c r="F36" s="794"/>
      <c r="G36" s="795"/>
      <c r="H36" s="796"/>
      <c r="I36" s="797"/>
      <c r="J36" s="796"/>
      <c r="K36" s="797"/>
      <c r="L36" s="883"/>
    </row>
    <row r="37" spans="1:17" s="884" customFormat="1" ht="24" customHeight="1">
      <c r="A37" s="831" t="s">
        <v>943</v>
      </c>
      <c r="B37" s="720" t="s">
        <v>1053</v>
      </c>
      <c r="C37" s="792"/>
      <c r="D37" s="792"/>
      <c r="E37" s="793"/>
      <c r="F37" s="794"/>
      <c r="G37" s="795"/>
      <c r="H37" s="796"/>
      <c r="I37" s="797"/>
      <c r="J37" s="796"/>
      <c r="K37" s="797"/>
      <c r="L37" s="883"/>
    </row>
    <row r="38" spans="1:17" s="884" customFormat="1" ht="24" customHeight="1">
      <c r="A38" s="831"/>
      <c r="B38" s="720" t="s">
        <v>1054</v>
      </c>
      <c r="C38" s="792"/>
      <c r="D38" s="792"/>
      <c r="E38" s="793"/>
      <c r="F38" s="722" t="s">
        <v>240</v>
      </c>
      <c r="G38" s="795">
        <v>2400</v>
      </c>
      <c r="H38" s="796">
        <f t="shared" ref="H38:H54" si="0">ROUND(G38*E38,)</f>
        <v>0</v>
      </c>
      <c r="I38" s="797"/>
      <c r="J38" s="796"/>
      <c r="K38" s="799">
        <f t="shared" ref="K38:K54" si="1">H38+J38</f>
        <v>0</v>
      </c>
      <c r="L38" s="883"/>
    </row>
    <row r="39" spans="1:17" s="884" customFormat="1" ht="24" customHeight="1">
      <c r="A39" s="831"/>
      <c r="B39" s="720" t="s">
        <v>1055</v>
      </c>
      <c r="C39" s="792"/>
      <c r="D39" s="792"/>
      <c r="E39" s="793"/>
      <c r="F39" s="722" t="s">
        <v>240</v>
      </c>
      <c r="G39" s="795">
        <v>2400</v>
      </c>
      <c r="H39" s="796">
        <f t="shared" si="0"/>
        <v>0</v>
      </c>
      <c r="I39" s="797"/>
      <c r="J39" s="796"/>
      <c r="K39" s="799">
        <f t="shared" si="1"/>
        <v>0</v>
      </c>
      <c r="L39" s="883"/>
    </row>
    <row r="40" spans="1:17" s="884" customFormat="1" ht="24" customHeight="1">
      <c r="A40" s="831"/>
      <c r="B40" s="720" t="s">
        <v>1056</v>
      </c>
      <c r="C40" s="792"/>
      <c r="D40" s="792"/>
      <c r="E40" s="793">
        <v>2</v>
      </c>
      <c r="F40" s="722" t="s">
        <v>240</v>
      </c>
      <c r="G40" s="795">
        <v>2400</v>
      </c>
      <c r="H40" s="796">
        <f t="shared" si="0"/>
        <v>4800</v>
      </c>
      <c r="I40" s="797"/>
      <c r="J40" s="796"/>
      <c r="K40" s="799">
        <f t="shared" si="1"/>
        <v>4800</v>
      </c>
      <c r="L40" s="883"/>
    </row>
    <row r="41" spans="1:17" s="884" customFormat="1" ht="24" customHeight="1">
      <c r="A41" s="831"/>
      <c r="B41" s="720" t="s">
        <v>1057</v>
      </c>
      <c r="C41" s="792"/>
      <c r="D41" s="792"/>
      <c r="E41" s="793">
        <v>2</v>
      </c>
      <c r="F41" s="722" t="s">
        <v>240</v>
      </c>
      <c r="G41" s="795">
        <v>2400</v>
      </c>
      <c r="H41" s="796">
        <f t="shared" si="0"/>
        <v>4800</v>
      </c>
      <c r="I41" s="797"/>
      <c r="J41" s="796"/>
      <c r="K41" s="799">
        <f t="shared" si="1"/>
        <v>4800</v>
      </c>
      <c r="L41" s="883"/>
    </row>
    <row r="42" spans="1:17" s="884" customFormat="1" ht="24" customHeight="1">
      <c r="A42" s="831"/>
      <c r="B42" s="720" t="s">
        <v>1058</v>
      </c>
      <c r="C42" s="792"/>
      <c r="D42" s="792"/>
      <c r="E42" s="793"/>
      <c r="F42" s="722" t="s">
        <v>240</v>
      </c>
      <c r="G42" s="795">
        <v>2400</v>
      </c>
      <c r="H42" s="796">
        <f t="shared" si="0"/>
        <v>0</v>
      </c>
      <c r="I42" s="797"/>
      <c r="J42" s="796"/>
      <c r="K42" s="799">
        <f t="shared" si="1"/>
        <v>0</v>
      </c>
      <c r="L42" s="883"/>
    </row>
    <row r="43" spans="1:17" s="884" customFormat="1" ht="24" customHeight="1">
      <c r="A43" s="831"/>
      <c r="B43" s="720" t="s">
        <v>1059</v>
      </c>
      <c r="C43" s="792"/>
      <c r="D43" s="792"/>
      <c r="E43" s="793">
        <v>1</v>
      </c>
      <c r="F43" s="722" t="s">
        <v>240</v>
      </c>
      <c r="G43" s="795">
        <v>2600</v>
      </c>
      <c r="H43" s="796">
        <f t="shared" si="0"/>
        <v>2600</v>
      </c>
      <c r="I43" s="797"/>
      <c r="J43" s="796"/>
      <c r="K43" s="799">
        <f t="shared" si="1"/>
        <v>2600</v>
      </c>
      <c r="L43" s="883"/>
    </row>
    <row r="44" spans="1:17" s="884" customFormat="1" ht="24" customHeight="1">
      <c r="A44" s="831"/>
      <c r="B44" s="720" t="s">
        <v>1060</v>
      </c>
      <c r="C44" s="792"/>
      <c r="D44" s="792"/>
      <c r="E44" s="793"/>
      <c r="F44" s="722" t="s">
        <v>240</v>
      </c>
      <c r="G44" s="795">
        <v>3000</v>
      </c>
      <c r="H44" s="796">
        <f t="shared" si="0"/>
        <v>0</v>
      </c>
      <c r="I44" s="797"/>
      <c r="J44" s="796"/>
      <c r="K44" s="799">
        <f t="shared" si="1"/>
        <v>0</v>
      </c>
      <c r="L44" s="883"/>
    </row>
    <row r="45" spans="1:17" s="884" customFormat="1" ht="24" customHeight="1">
      <c r="A45" s="831"/>
      <c r="B45" s="720" t="s">
        <v>1088</v>
      </c>
      <c r="C45" s="792"/>
      <c r="D45" s="792"/>
      <c r="E45" s="793">
        <v>1</v>
      </c>
      <c r="F45" s="722" t="s">
        <v>240</v>
      </c>
      <c r="G45" s="795">
        <v>5000</v>
      </c>
      <c r="H45" s="796">
        <f t="shared" si="0"/>
        <v>5000</v>
      </c>
      <c r="I45" s="797"/>
      <c r="J45" s="796"/>
      <c r="K45" s="799">
        <f t="shared" si="1"/>
        <v>5000</v>
      </c>
      <c r="L45" s="883"/>
    </row>
    <row r="46" spans="1:17" s="884" customFormat="1" ht="24" customHeight="1">
      <c r="A46" s="831"/>
      <c r="B46" s="720" t="s">
        <v>1061</v>
      </c>
      <c r="C46" s="792"/>
      <c r="D46" s="792"/>
      <c r="E46" s="793"/>
      <c r="F46" s="722" t="s">
        <v>240</v>
      </c>
      <c r="G46" s="795">
        <v>8600</v>
      </c>
      <c r="H46" s="796">
        <f t="shared" si="0"/>
        <v>0</v>
      </c>
      <c r="I46" s="797"/>
      <c r="J46" s="796"/>
      <c r="K46" s="799">
        <f t="shared" si="1"/>
        <v>0</v>
      </c>
      <c r="L46" s="883"/>
    </row>
    <row r="47" spans="1:17" s="884" customFormat="1" ht="24" customHeight="1">
      <c r="A47" s="831"/>
      <c r="B47" s="720" t="s">
        <v>1062</v>
      </c>
      <c r="C47" s="792"/>
      <c r="D47" s="792"/>
      <c r="E47" s="793"/>
      <c r="F47" s="722" t="s">
        <v>240</v>
      </c>
      <c r="G47" s="795">
        <v>8600</v>
      </c>
      <c r="H47" s="796">
        <f t="shared" si="0"/>
        <v>0</v>
      </c>
      <c r="I47" s="797"/>
      <c r="J47" s="796"/>
      <c r="K47" s="799">
        <f t="shared" si="1"/>
        <v>0</v>
      </c>
      <c r="L47" s="883"/>
    </row>
    <row r="48" spans="1:17" s="884" customFormat="1" ht="24" customHeight="1">
      <c r="A48" s="2396"/>
      <c r="B48" s="720" t="s">
        <v>1063</v>
      </c>
      <c r="C48" s="792"/>
      <c r="D48" s="792"/>
      <c r="E48" s="793"/>
      <c r="F48" s="722" t="s">
        <v>240</v>
      </c>
      <c r="G48" s="795">
        <v>8600</v>
      </c>
      <c r="H48" s="796">
        <f t="shared" si="0"/>
        <v>0</v>
      </c>
      <c r="I48" s="797"/>
      <c r="J48" s="796"/>
      <c r="K48" s="799">
        <f t="shared" si="1"/>
        <v>0</v>
      </c>
      <c r="L48" s="883"/>
    </row>
    <row r="49" spans="1:12" s="884" customFormat="1" ht="24" customHeight="1">
      <c r="A49" s="831" t="s">
        <v>3088</v>
      </c>
      <c r="B49" s="720" t="s">
        <v>1001</v>
      </c>
      <c r="C49" s="792"/>
      <c r="D49" s="792"/>
      <c r="E49" s="793"/>
      <c r="F49" s="794"/>
      <c r="G49" s="795"/>
      <c r="H49" s="796">
        <f t="shared" si="0"/>
        <v>0</v>
      </c>
      <c r="I49" s="797"/>
      <c r="J49" s="796"/>
      <c r="K49" s="799">
        <f t="shared" si="1"/>
        <v>0</v>
      </c>
      <c r="L49" s="883"/>
    </row>
    <row r="50" spans="1:12" s="884" customFormat="1" ht="24" customHeight="1">
      <c r="A50" s="831"/>
      <c r="B50" s="720" t="s">
        <v>1076</v>
      </c>
      <c r="C50" s="792"/>
      <c r="D50" s="792"/>
      <c r="E50" s="793">
        <v>3</v>
      </c>
      <c r="F50" s="722" t="s">
        <v>240</v>
      </c>
      <c r="G50" s="795">
        <v>660</v>
      </c>
      <c r="H50" s="796">
        <f t="shared" si="0"/>
        <v>1980</v>
      </c>
      <c r="I50" s="797"/>
      <c r="J50" s="796"/>
      <c r="K50" s="799">
        <f t="shared" si="1"/>
        <v>1980</v>
      </c>
      <c r="L50" s="883"/>
    </row>
    <row r="51" spans="1:12" s="884" customFormat="1" ht="24" customHeight="1">
      <c r="A51" s="831"/>
      <c r="B51" s="720" t="s">
        <v>1003</v>
      </c>
      <c r="C51" s="792"/>
      <c r="D51" s="792"/>
      <c r="E51" s="793">
        <v>3</v>
      </c>
      <c r="F51" s="722" t="s">
        <v>240</v>
      </c>
      <c r="G51" s="795">
        <v>120</v>
      </c>
      <c r="H51" s="796">
        <f t="shared" si="0"/>
        <v>360</v>
      </c>
      <c r="I51" s="797"/>
      <c r="J51" s="796"/>
      <c r="K51" s="799">
        <f t="shared" si="1"/>
        <v>360</v>
      </c>
      <c r="L51" s="883"/>
    </row>
    <row r="52" spans="1:12" s="884" customFormat="1" ht="24" customHeight="1">
      <c r="A52" s="831"/>
      <c r="B52" s="720" t="s">
        <v>1004</v>
      </c>
      <c r="C52" s="792"/>
      <c r="D52" s="792"/>
      <c r="E52" s="793">
        <v>3</v>
      </c>
      <c r="F52" s="722" t="s">
        <v>240</v>
      </c>
      <c r="G52" s="795">
        <v>100</v>
      </c>
      <c r="H52" s="796">
        <f t="shared" si="0"/>
        <v>300</v>
      </c>
      <c r="I52" s="797"/>
      <c r="J52" s="796"/>
      <c r="K52" s="799">
        <f t="shared" si="1"/>
        <v>300</v>
      </c>
      <c r="L52" s="883"/>
    </row>
    <row r="53" spans="1:12" s="884" customFormat="1" ht="24" customHeight="1">
      <c r="A53" s="831"/>
      <c r="B53" s="720" t="s">
        <v>1065</v>
      </c>
      <c r="C53" s="792"/>
      <c r="D53" s="792"/>
      <c r="E53" s="793">
        <v>5</v>
      </c>
      <c r="F53" s="722" t="s">
        <v>240</v>
      </c>
      <c r="G53" s="795">
        <v>15435</v>
      </c>
      <c r="H53" s="796">
        <f t="shared" si="0"/>
        <v>77175</v>
      </c>
      <c r="I53" s="797"/>
      <c r="J53" s="796"/>
      <c r="K53" s="799">
        <f t="shared" si="1"/>
        <v>77175</v>
      </c>
      <c r="L53" s="883"/>
    </row>
    <row r="54" spans="1:12" s="884" customFormat="1" ht="24" customHeight="1">
      <c r="A54" s="831" t="s">
        <v>3089</v>
      </c>
      <c r="B54" s="720" t="s">
        <v>1066</v>
      </c>
      <c r="C54" s="792"/>
      <c r="D54" s="792"/>
      <c r="E54" s="793">
        <v>1</v>
      </c>
      <c r="F54" s="722" t="s">
        <v>948</v>
      </c>
      <c r="G54" s="795">
        <v>43400</v>
      </c>
      <c r="H54" s="796">
        <f t="shared" si="0"/>
        <v>43400</v>
      </c>
      <c r="I54" s="797">
        <f>G54*0.3</f>
        <v>13020</v>
      </c>
      <c r="J54" s="796">
        <f>ROUND(E54*I54,)</f>
        <v>13020</v>
      </c>
      <c r="K54" s="799">
        <f t="shared" si="1"/>
        <v>56420</v>
      </c>
      <c r="L54" s="887"/>
    </row>
    <row r="55" spans="1:12" s="884" customFormat="1" ht="24" customHeight="1">
      <c r="A55" s="878" t="s">
        <v>1394</v>
      </c>
      <c r="B55" s="879" t="s">
        <v>1101</v>
      </c>
      <c r="C55" s="880"/>
      <c r="D55" s="880"/>
      <c r="E55" s="881"/>
      <c r="F55" s="794"/>
      <c r="G55" s="795"/>
      <c r="H55" s="796"/>
      <c r="I55" s="797"/>
      <c r="J55" s="796"/>
      <c r="K55" s="797"/>
      <c r="L55" s="887"/>
    </row>
    <row r="56" spans="1:12" s="884" customFormat="1" ht="24" customHeight="1">
      <c r="A56" s="831" t="s">
        <v>3090</v>
      </c>
      <c r="B56" s="720" t="s">
        <v>1053</v>
      </c>
      <c r="C56" s="792"/>
      <c r="D56" s="792"/>
      <c r="E56" s="793"/>
      <c r="F56" s="794"/>
      <c r="G56" s="795"/>
      <c r="H56" s="796"/>
      <c r="I56" s="797"/>
      <c r="J56" s="796"/>
      <c r="K56" s="797"/>
      <c r="L56" s="887"/>
    </row>
    <row r="57" spans="1:12" s="884" customFormat="1" ht="24" customHeight="1">
      <c r="A57" s="831"/>
      <c r="B57" s="720" t="s">
        <v>1098</v>
      </c>
      <c r="C57" s="792"/>
      <c r="D57" s="792"/>
      <c r="E57" s="793"/>
      <c r="F57" s="722" t="s">
        <v>240</v>
      </c>
      <c r="G57" s="795">
        <v>2400</v>
      </c>
      <c r="H57" s="796">
        <f t="shared" ref="H57:H74" si="2">ROUND(G57*E57,)</f>
        <v>0</v>
      </c>
      <c r="I57" s="797"/>
      <c r="J57" s="796"/>
      <c r="K57" s="799">
        <f t="shared" ref="K57:K74" si="3">H57+J57</f>
        <v>0</v>
      </c>
      <c r="L57" s="883"/>
    </row>
    <row r="58" spans="1:12" s="884" customFormat="1" ht="24" customHeight="1">
      <c r="A58" s="831"/>
      <c r="B58" s="720" t="s">
        <v>1054</v>
      </c>
      <c r="C58" s="792"/>
      <c r="D58" s="792"/>
      <c r="E58" s="793"/>
      <c r="F58" s="722" t="s">
        <v>240</v>
      </c>
      <c r="G58" s="795">
        <v>2400</v>
      </c>
      <c r="H58" s="796">
        <f t="shared" si="2"/>
        <v>0</v>
      </c>
      <c r="I58" s="797"/>
      <c r="J58" s="796"/>
      <c r="K58" s="799">
        <f t="shared" si="3"/>
        <v>0</v>
      </c>
      <c r="L58" s="883"/>
    </row>
    <row r="59" spans="1:12" s="884" customFormat="1" ht="24" customHeight="1">
      <c r="A59" s="831"/>
      <c r="B59" s="720" t="s">
        <v>1055</v>
      </c>
      <c r="C59" s="792"/>
      <c r="D59" s="792"/>
      <c r="E59" s="793"/>
      <c r="F59" s="722" t="s">
        <v>240</v>
      </c>
      <c r="G59" s="795">
        <v>2400</v>
      </c>
      <c r="H59" s="796">
        <f t="shared" si="2"/>
        <v>0</v>
      </c>
      <c r="I59" s="797"/>
      <c r="J59" s="796"/>
      <c r="K59" s="799">
        <f t="shared" si="3"/>
        <v>0</v>
      </c>
      <c r="L59" s="883"/>
    </row>
    <row r="60" spans="1:12" s="884" customFormat="1" ht="24" customHeight="1">
      <c r="A60" s="831"/>
      <c r="B60" s="720" t="s">
        <v>1056</v>
      </c>
      <c r="C60" s="792"/>
      <c r="D60" s="792"/>
      <c r="E60" s="793"/>
      <c r="F60" s="722" t="s">
        <v>240</v>
      </c>
      <c r="G60" s="795">
        <v>2400</v>
      </c>
      <c r="H60" s="796">
        <f t="shared" si="2"/>
        <v>0</v>
      </c>
      <c r="I60" s="797"/>
      <c r="J60" s="796"/>
      <c r="K60" s="799">
        <f t="shared" si="3"/>
        <v>0</v>
      </c>
      <c r="L60" s="883"/>
    </row>
    <row r="61" spans="1:12" s="884" customFormat="1" ht="24" customHeight="1">
      <c r="A61" s="831"/>
      <c r="B61" s="720" t="s">
        <v>1057</v>
      </c>
      <c r="C61" s="792"/>
      <c r="D61" s="792"/>
      <c r="E61" s="793">
        <v>1</v>
      </c>
      <c r="F61" s="722" t="s">
        <v>240</v>
      </c>
      <c r="G61" s="795">
        <v>2400</v>
      </c>
      <c r="H61" s="796">
        <f t="shared" si="2"/>
        <v>2400</v>
      </c>
      <c r="I61" s="797"/>
      <c r="J61" s="796"/>
      <c r="K61" s="799">
        <f t="shared" si="3"/>
        <v>2400</v>
      </c>
      <c r="L61" s="883"/>
    </row>
    <row r="62" spans="1:12" s="884" customFormat="1" ht="24" customHeight="1">
      <c r="A62" s="831"/>
      <c r="B62" s="720" t="s">
        <v>1058</v>
      </c>
      <c r="C62" s="792"/>
      <c r="D62" s="792"/>
      <c r="E62" s="793"/>
      <c r="F62" s="722" t="s">
        <v>240</v>
      </c>
      <c r="G62" s="795">
        <v>2400</v>
      </c>
      <c r="H62" s="796">
        <f t="shared" si="2"/>
        <v>0</v>
      </c>
      <c r="I62" s="797"/>
      <c r="J62" s="796"/>
      <c r="K62" s="799">
        <f t="shared" si="3"/>
        <v>0</v>
      </c>
      <c r="L62" s="883"/>
    </row>
    <row r="63" spans="1:12" s="884" customFormat="1" ht="24" customHeight="1">
      <c r="A63" s="831"/>
      <c r="B63" s="720" t="s">
        <v>1059</v>
      </c>
      <c r="C63" s="792"/>
      <c r="D63" s="792"/>
      <c r="E63" s="793"/>
      <c r="F63" s="722" t="s">
        <v>240</v>
      </c>
      <c r="G63" s="795">
        <v>2600</v>
      </c>
      <c r="H63" s="796">
        <f t="shared" si="2"/>
        <v>0</v>
      </c>
      <c r="I63" s="797"/>
      <c r="J63" s="796"/>
      <c r="K63" s="799">
        <f t="shared" si="3"/>
        <v>0</v>
      </c>
      <c r="L63" s="883"/>
    </row>
    <row r="64" spans="1:12" s="884" customFormat="1" ht="24" customHeight="1">
      <c r="A64" s="831"/>
      <c r="B64" s="720" t="s">
        <v>1060</v>
      </c>
      <c r="C64" s="792"/>
      <c r="D64" s="792"/>
      <c r="E64" s="793">
        <v>1</v>
      </c>
      <c r="F64" s="722" t="s">
        <v>240</v>
      </c>
      <c r="G64" s="795">
        <v>3000</v>
      </c>
      <c r="H64" s="796">
        <f t="shared" si="2"/>
        <v>3000</v>
      </c>
      <c r="I64" s="797"/>
      <c r="J64" s="796"/>
      <c r="K64" s="799">
        <f t="shared" si="3"/>
        <v>3000</v>
      </c>
      <c r="L64" s="883"/>
    </row>
    <row r="65" spans="1:17" s="884" customFormat="1" ht="24" customHeight="1">
      <c r="A65" s="831"/>
      <c r="B65" s="720" t="s">
        <v>1088</v>
      </c>
      <c r="C65" s="792"/>
      <c r="D65" s="792"/>
      <c r="E65" s="793">
        <v>3</v>
      </c>
      <c r="F65" s="722" t="s">
        <v>240</v>
      </c>
      <c r="G65" s="795">
        <v>5000</v>
      </c>
      <c r="H65" s="796">
        <f t="shared" si="2"/>
        <v>15000</v>
      </c>
      <c r="I65" s="797"/>
      <c r="J65" s="796"/>
      <c r="K65" s="799">
        <f t="shared" si="3"/>
        <v>15000</v>
      </c>
      <c r="L65" s="883"/>
    </row>
    <row r="66" spans="1:17" s="884" customFormat="1" ht="24" customHeight="1">
      <c r="A66" s="831"/>
      <c r="B66" s="720" t="s">
        <v>1061</v>
      </c>
      <c r="C66" s="792"/>
      <c r="D66" s="792"/>
      <c r="E66" s="793"/>
      <c r="F66" s="722" t="s">
        <v>240</v>
      </c>
      <c r="G66" s="795">
        <v>8600</v>
      </c>
      <c r="H66" s="796">
        <f t="shared" si="2"/>
        <v>0</v>
      </c>
      <c r="I66" s="797"/>
      <c r="J66" s="796"/>
      <c r="K66" s="799">
        <f t="shared" si="3"/>
        <v>0</v>
      </c>
      <c r="L66" s="883"/>
    </row>
    <row r="67" spans="1:17" s="884" customFormat="1" ht="24" customHeight="1">
      <c r="A67" s="2396"/>
      <c r="B67" s="720" t="s">
        <v>1062</v>
      </c>
      <c r="C67" s="792"/>
      <c r="D67" s="792"/>
      <c r="E67" s="793"/>
      <c r="F67" s="722" t="s">
        <v>240</v>
      </c>
      <c r="G67" s="795">
        <v>8600</v>
      </c>
      <c r="H67" s="796">
        <f t="shared" si="2"/>
        <v>0</v>
      </c>
      <c r="I67" s="797"/>
      <c r="J67" s="796"/>
      <c r="K67" s="799">
        <f t="shared" si="3"/>
        <v>0</v>
      </c>
      <c r="L67" s="883"/>
    </row>
    <row r="68" spans="1:17" s="884" customFormat="1" ht="24" customHeight="1">
      <c r="A68" s="2396"/>
      <c r="B68" s="720" t="s">
        <v>1063</v>
      </c>
      <c r="C68" s="792"/>
      <c r="D68" s="792"/>
      <c r="E68" s="793">
        <v>1</v>
      </c>
      <c r="F68" s="722" t="s">
        <v>240</v>
      </c>
      <c r="G68" s="795">
        <v>8600</v>
      </c>
      <c r="H68" s="796">
        <f t="shared" si="2"/>
        <v>8600</v>
      </c>
      <c r="I68" s="797"/>
      <c r="J68" s="796"/>
      <c r="K68" s="799">
        <f t="shared" si="3"/>
        <v>8600</v>
      </c>
      <c r="L68" s="887"/>
    </row>
    <row r="69" spans="1:17" s="884" customFormat="1" ht="24" customHeight="1">
      <c r="A69" s="831" t="s">
        <v>3091</v>
      </c>
      <c r="B69" s="720" t="s">
        <v>1001</v>
      </c>
      <c r="C69" s="792"/>
      <c r="D69" s="792"/>
      <c r="E69" s="793"/>
      <c r="F69" s="794"/>
      <c r="G69" s="795"/>
      <c r="H69" s="796">
        <f t="shared" si="2"/>
        <v>0</v>
      </c>
      <c r="I69" s="797"/>
      <c r="J69" s="796"/>
      <c r="K69" s="799">
        <f t="shared" si="3"/>
        <v>0</v>
      </c>
      <c r="L69" s="887"/>
    </row>
    <row r="70" spans="1:17" s="884" customFormat="1" ht="24" customHeight="1">
      <c r="A70" s="831"/>
      <c r="B70" s="720" t="s">
        <v>1064</v>
      </c>
      <c r="C70" s="792"/>
      <c r="D70" s="792"/>
      <c r="E70" s="793">
        <v>3</v>
      </c>
      <c r="F70" s="722" t="s">
        <v>240</v>
      </c>
      <c r="G70" s="795">
        <v>660</v>
      </c>
      <c r="H70" s="796">
        <f t="shared" si="2"/>
        <v>1980</v>
      </c>
      <c r="I70" s="797"/>
      <c r="J70" s="796"/>
      <c r="K70" s="799">
        <f t="shared" si="3"/>
        <v>1980</v>
      </c>
      <c r="L70" s="887"/>
    </row>
    <row r="71" spans="1:17" s="884" customFormat="1" ht="24" customHeight="1">
      <c r="A71" s="831"/>
      <c r="B71" s="720" t="s">
        <v>1003</v>
      </c>
      <c r="C71" s="792"/>
      <c r="D71" s="792"/>
      <c r="E71" s="793">
        <v>3</v>
      </c>
      <c r="F71" s="722" t="s">
        <v>240</v>
      </c>
      <c r="G71" s="795">
        <v>120</v>
      </c>
      <c r="H71" s="796">
        <f t="shared" si="2"/>
        <v>360</v>
      </c>
      <c r="I71" s="797"/>
      <c r="J71" s="796"/>
      <c r="K71" s="799">
        <f t="shared" si="3"/>
        <v>360</v>
      </c>
      <c r="L71" s="887"/>
    </row>
    <row r="72" spans="1:17" s="884" customFormat="1" ht="24" customHeight="1">
      <c r="A72" s="831"/>
      <c r="B72" s="720" t="s">
        <v>1004</v>
      </c>
      <c r="C72" s="792"/>
      <c r="D72" s="792"/>
      <c r="E72" s="793">
        <v>3</v>
      </c>
      <c r="F72" s="722" t="s">
        <v>240</v>
      </c>
      <c r="G72" s="795">
        <v>100</v>
      </c>
      <c r="H72" s="796">
        <f t="shared" si="2"/>
        <v>300</v>
      </c>
      <c r="I72" s="797"/>
      <c r="J72" s="796"/>
      <c r="K72" s="799">
        <f t="shared" si="3"/>
        <v>300</v>
      </c>
      <c r="L72" s="887"/>
    </row>
    <row r="73" spans="1:17" s="884" customFormat="1" ht="24" customHeight="1">
      <c r="A73" s="831"/>
      <c r="B73" s="720" t="s">
        <v>1065</v>
      </c>
      <c r="C73" s="792"/>
      <c r="D73" s="792"/>
      <c r="E73" s="793">
        <v>4</v>
      </c>
      <c r="F73" s="722" t="s">
        <v>240</v>
      </c>
      <c r="G73" s="795">
        <v>15435</v>
      </c>
      <c r="H73" s="796">
        <f t="shared" si="2"/>
        <v>61740</v>
      </c>
      <c r="I73" s="797"/>
      <c r="J73" s="796"/>
      <c r="K73" s="799">
        <f t="shared" si="3"/>
        <v>61740</v>
      </c>
      <c r="L73" s="887"/>
    </row>
    <row r="74" spans="1:17" s="884" customFormat="1" ht="24" customHeight="1">
      <c r="A74" s="831" t="s">
        <v>3092</v>
      </c>
      <c r="B74" s="720" t="s">
        <v>1066</v>
      </c>
      <c r="C74" s="792"/>
      <c r="D74" s="792"/>
      <c r="E74" s="793">
        <v>1</v>
      </c>
      <c r="F74" s="722" t="s">
        <v>948</v>
      </c>
      <c r="G74" s="795">
        <v>43400</v>
      </c>
      <c r="H74" s="796">
        <f t="shared" si="2"/>
        <v>43400</v>
      </c>
      <c r="I74" s="797">
        <f>G74*0.3</f>
        <v>13020</v>
      </c>
      <c r="J74" s="796">
        <f>ROUND(E74*I74,)</f>
        <v>13020</v>
      </c>
      <c r="K74" s="799">
        <f t="shared" si="3"/>
        <v>56420</v>
      </c>
      <c r="L74" s="887"/>
    </row>
    <row r="75" spans="1:17" s="714" customFormat="1" ht="24" customHeight="1">
      <c r="A75" s="831"/>
      <c r="B75" s="720" t="s">
        <v>957</v>
      </c>
      <c r="C75" s="717"/>
      <c r="D75" s="717"/>
      <c r="E75" s="917"/>
      <c r="F75" s="916"/>
      <c r="G75" s="806"/>
      <c r="H75" s="918"/>
      <c r="I75" s="807"/>
      <c r="J75" s="919"/>
      <c r="K75" s="968"/>
      <c r="L75" s="919"/>
      <c r="M75" s="729"/>
      <c r="N75" s="729"/>
      <c r="O75" s="729"/>
      <c r="P75" s="729"/>
      <c r="Q75" s="729"/>
    </row>
    <row r="76" spans="1:17" s="714" customFormat="1" ht="24" customHeight="1">
      <c r="A76" s="719"/>
      <c r="B76" s="720" t="s">
        <v>1428</v>
      </c>
      <c r="C76" s="717"/>
      <c r="D76" s="718"/>
      <c r="E76" s="721"/>
      <c r="F76" s="722"/>
      <c r="G76" s="710"/>
      <c r="H76" s="711"/>
      <c r="I76" s="712"/>
      <c r="J76" s="957"/>
      <c r="K76" s="958"/>
      <c r="L76" s="954"/>
    </row>
    <row r="77" spans="1:17" s="714" customFormat="1" ht="24" customHeight="1">
      <c r="A77" s="719"/>
      <c r="B77" s="720" t="s">
        <v>1428</v>
      </c>
      <c r="C77" s="717"/>
      <c r="D77" s="718"/>
      <c r="E77" s="721"/>
      <c r="F77" s="722"/>
      <c r="G77" s="710"/>
      <c r="H77" s="711"/>
      <c r="I77" s="712"/>
      <c r="J77" s="957"/>
      <c r="K77" s="958"/>
      <c r="L77" s="954"/>
    </row>
    <row r="78" spans="1:17" s="714" customFormat="1" ht="24" customHeight="1">
      <c r="A78" s="719"/>
      <c r="B78" s="955"/>
      <c r="C78" s="717"/>
      <c r="D78" s="718"/>
      <c r="E78" s="721"/>
      <c r="F78" s="722"/>
      <c r="G78" s="710"/>
      <c r="H78" s="711"/>
      <c r="I78" s="712"/>
      <c r="J78" s="957"/>
      <c r="K78" s="958"/>
      <c r="L78" s="954"/>
    </row>
    <row r="79" spans="1:17" s="714" customFormat="1" ht="24" customHeight="1">
      <c r="A79" s="719"/>
      <c r="B79" s="955"/>
      <c r="C79" s="717"/>
      <c r="D79" s="718"/>
      <c r="E79" s="721"/>
      <c r="F79" s="722"/>
      <c r="G79" s="710"/>
      <c r="H79" s="711"/>
      <c r="I79" s="712"/>
      <c r="J79" s="957"/>
      <c r="K79" s="958"/>
      <c r="L79" s="954"/>
    </row>
    <row r="80" spans="1:17" s="714" customFormat="1" ht="24" customHeight="1">
      <c r="A80" s="719"/>
      <c r="B80" s="955"/>
      <c r="C80" s="717"/>
      <c r="D80" s="718"/>
      <c r="E80" s="721"/>
      <c r="F80" s="722"/>
      <c r="G80" s="710"/>
      <c r="H80" s="711"/>
      <c r="I80" s="712"/>
      <c r="J80" s="957"/>
      <c r="K80" s="958"/>
      <c r="L80" s="954"/>
    </row>
    <row r="81" spans="1:17" s="714" customFormat="1" ht="24" customHeight="1">
      <c r="A81" s="719"/>
      <c r="B81" s="955"/>
      <c r="C81" s="717"/>
      <c r="D81" s="718"/>
      <c r="E81" s="721"/>
      <c r="F81" s="722"/>
      <c r="G81" s="710"/>
      <c r="H81" s="711"/>
      <c r="I81" s="956"/>
      <c r="J81" s="957"/>
      <c r="K81" s="958"/>
      <c r="L81" s="954"/>
    </row>
    <row r="82" spans="1:17" s="714" customFormat="1" ht="24" customHeight="1">
      <c r="A82" s="775"/>
      <c r="B82" s="2475" t="str">
        <f>"รวมราคารายการที่ "&amp;A35</f>
        <v>รวมราคารายการที่ 3.1</v>
      </c>
      <c r="C82" s="2476"/>
      <c r="D82" s="2477"/>
      <c r="E82" s="776"/>
      <c r="F82" s="777"/>
      <c r="G82" s="959"/>
      <c r="H82" s="960">
        <f>SUM(H35:H81)</f>
        <v>277195</v>
      </c>
      <c r="I82" s="959"/>
      <c r="J82" s="960">
        <f>SUM(J35:J81)</f>
        <v>26040</v>
      </c>
      <c r="K82" s="960">
        <f>SUM(K35:K81)</f>
        <v>303235</v>
      </c>
      <c r="L82" s="777"/>
      <c r="M82" s="729"/>
      <c r="N82" s="729"/>
      <c r="O82" s="729"/>
      <c r="P82" s="729"/>
      <c r="Q82" s="729"/>
    </row>
    <row r="83" spans="1:17" s="714" customFormat="1" ht="24" customHeight="1">
      <c r="A83" s="815">
        <v>3.2</v>
      </c>
      <c r="B83" s="816" t="s">
        <v>1103</v>
      </c>
      <c r="C83" s="859"/>
      <c r="D83" s="859"/>
      <c r="E83" s="851"/>
      <c r="F83" s="852"/>
      <c r="G83" s="853"/>
      <c r="H83" s="854"/>
      <c r="I83" s="855"/>
      <c r="J83" s="854"/>
      <c r="K83" s="855"/>
      <c r="L83" s="826"/>
    </row>
    <row r="84" spans="1:17" s="884" customFormat="1" ht="24" customHeight="1">
      <c r="A84" s="878" t="s">
        <v>960</v>
      </c>
      <c r="B84" s="894" t="s">
        <v>1121</v>
      </c>
      <c r="C84" s="895"/>
      <c r="D84" s="895"/>
      <c r="E84" s="896"/>
      <c r="F84" s="897"/>
      <c r="G84" s="858"/>
      <c r="H84" s="864"/>
      <c r="I84" s="865"/>
      <c r="J84" s="864"/>
      <c r="K84" s="799">
        <f t="shared" ref="K84:K147" si="4">H84+J84</f>
        <v>0</v>
      </c>
      <c r="L84" s="883"/>
    </row>
    <row r="85" spans="1:17" s="884" customFormat="1" ht="24" customHeight="1">
      <c r="A85" s="831" t="s">
        <v>3093</v>
      </c>
      <c r="B85" s="800" t="s">
        <v>1053</v>
      </c>
      <c r="C85" s="801"/>
      <c r="D85" s="801"/>
      <c r="E85" s="802"/>
      <c r="F85" s="867"/>
      <c r="G85" s="858"/>
      <c r="H85" s="864"/>
      <c r="I85" s="865"/>
      <c r="J85" s="864"/>
      <c r="K85" s="799">
        <f t="shared" si="4"/>
        <v>0</v>
      </c>
      <c r="L85" s="883"/>
    </row>
    <row r="86" spans="1:17" s="884" customFormat="1" ht="24" customHeight="1">
      <c r="A86" s="831"/>
      <c r="B86" s="720" t="s">
        <v>1055</v>
      </c>
      <c r="C86" s="792"/>
      <c r="D86" s="792"/>
      <c r="E86" s="793">
        <v>1</v>
      </c>
      <c r="F86" s="722" t="s">
        <v>240</v>
      </c>
      <c r="G86" s="795">
        <v>2400</v>
      </c>
      <c r="H86" s="796">
        <f t="shared" ref="H86:H100" si="5">ROUND(G86*E86,)</f>
        <v>2400</v>
      </c>
      <c r="I86" s="797"/>
      <c r="J86" s="796"/>
      <c r="K86" s="799">
        <f t="shared" si="4"/>
        <v>2400</v>
      </c>
      <c r="L86" s="883"/>
    </row>
    <row r="87" spans="1:17" s="884" customFormat="1" ht="24" customHeight="1">
      <c r="A87" s="831"/>
      <c r="B87" s="720" t="s">
        <v>1056</v>
      </c>
      <c r="C87" s="792"/>
      <c r="D87" s="792"/>
      <c r="E87" s="793"/>
      <c r="F87" s="722" t="s">
        <v>240</v>
      </c>
      <c r="G87" s="795">
        <v>2400</v>
      </c>
      <c r="H87" s="796">
        <f t="shared" si="5"/>
        <v>0</v>
      </c>
      <c r="I87" s="797"/>
      <c r="J87" s="796"/>
      <c r="K87" s="799">
        <f t="shared" si="4"/>
        <v>0</v>
      </c>
      <c r="L87" s="883"/>
    </row>
    <row r="88" spans="1:17" s="884" customFormat="1" ht="24" customHeight="1">
      <c r="A88" s="831"/>
      <c r="B88" s="720" t="s">
        <v>1057</v>
      </c>
      <c r="C88" s="792"/>
      <c r="D88" s="792"/>
      <c r="E88" s="793">
        <v>2</v>
      </c>
      <c r="F88" s="722" t="s">
        <v>240</v>
      </c>
      <c r="G88" s="795">
        <v>2400</v>
      </c>
      <c r="H88" s="796">
        <f t="shared" si="5"/>
        <v>4800</v>
      </c>
      <c r="I88" s="797"/>
      <c r="J88" s="796"/>
      <c r="K88" s="799">
        <f t="shared" si="4"/>
        <v>4800</v>
      </c>
      <c r="L88" s="883"/>
    </row>
    <row r="89" spans="1:17" s="884" customFormat="1" ht="24" customHeight="1">
      <c r="A89" s="831"/>
      <c r="B89" s="720" t="s">
        <v>1058</v>
      </c>
      <c r="C89" s="792"/>
      <c r="D89" s="792"/>
      <c r="E89" s="793"/>
      <c r="F89" s="722" t="s">
        <v>240</v>
      </c>
      <c r="G89" s="795">
        <v>2400</v>
      </c>
      <c r="H89" s="796">
        <f t="shared" si="5"/>
        <v>0</v>
      </c>
      <c r="I89" s="797"/>
      <c r="J89" s="796"/>
      <c r="K89" s="799">
        <f t="shared" si="4"/>
        <v>0</v>
      </c>
      <c r="L89" s="883"/>
    </row>
    <row r="90" spans="1:17" s="884" customFormat="1" ht="24" customHeight="1">
      <c r="A90" s="831"/>
      <c r="B90" s="720" t="s">
        <v>1059</v>
      </c>
      <c r="C90" s="792"/>
      <c r="D90" s="792"/>
      <c r="E90" s="793"/>
      <c r="F90" s="722" t="s">
        <v>240</v>
      </c>
      <c r="G90" s="795">
        <v>2600</v>
      </c>
      <c r="H90" s="796">
        <f t="shared" si="5"/>
        <v>0</v>
      </c>
      <c r="I90" s="797"/>
      <c r="J90" s="796"/>
      <c r="K90" s="799">
        <f t="shared" si="4"/>
        <v>0</v>
      </c>
      <c r="L90" s="883"/>
    </row>
    <row r="91" spans="1:17" s="884" customFormat="1" ht="24" customHeight="1">
      <c r="A91" s="831"/>
      <c r="B91" s="720" t="s">
        <v>1060</v>
      </c>
      <c r="C91" s="792"/>
      <c r="D91" s="792"/>
      <c r="E91" s="793"/>
      <c r="F91" s="722" t="s">
        <v>240</v>
      </c>
      <c r="G91" s="795">
        <v>3000</v>
      </c>
      <c r="H91" s="796">
        <f t="shared" si="5"/>
        <v>0</v>
      </c>
      <c r="I91" s="797"/>
      <c r="J91" s="796"/>
      <c r="K91" s="799">
        <f t="shared" si="4"/>
        <v>0</v>
      </c>
      <c r="L91" s="883"/>
    </row>
    <row r="92" spans="1:17" s="884" customFormat="1" ht="24" customHeight="1">
      <c r="A92" s="831"/>
      <c r="B92" s="720" t="s">
        <v>1088</v>
      </c>
      <c r="C92" s="801"/>
      <c r="D92" s="801"/>
      <c r="E92" s="802"/>
      <c r="F92" s="803" t="s">
        <v>240</v>
      </c>
      <c r="G92" s="795">
        <v>5000</v>
      </c>
      <c r="H92" s="864">
        <f t="shared" si="5"/>
        <v>0</v>
      </c>
      <c r="I92" s="865"/>
      <c r="J92" s="864"/>
      <c r="K92" s="799">
        <f t="shared" si="4"/>
        <v>0</v>
      </c>
      <c r="L92" s="883"/>
    </row>
    <row r="93" spans="1:17" s="884" customFormat="1" ht="24" customHeight="1">
      <c r="A93" s="831"/>
      <c r="B93" s="720" t="s">
        <v>1105</v>
      </c>
      <c r="C93" s="801"/>
      <c r="D93" s="801"/>
      <c r="E93" s="802">
        <v>1</v>
      </c>
      <c r="F93" s="803" t="s">
        <v>240</v>
      </c>
      <c r="G93" s="795">
        <v>5700</v>
      </c>
      <c r="H93" s="864">
        <f t="shared" si="5"/>
        <v>5700</v>
      </c>
      <c r="I93" s="865"/>
      <c r="J93" s="864"/>
      <c r="K93" s="799">
        <f t="shared" si="4"/>
        <v>5700</v>
      </c>
      <c r="L93" s="883"/>
    </row>
    <row r="94" spans="1:17" s="884" customFormat="1" ht="24" customHeight="1">
      <c r="A94" s="831"/>
      <c r="B94" s="720" t="s">
        <v>1086</v>
      </c>
      <c r="C94" s="801"/>
      <c r="D94" s="801"/>
      <c r="E94" s="802"/>
      <c r="F94" s="803" t="s">
        <v>240</v>
      </c>
      <c r="G94" s="795">
        <v>5700</v>
      </c>
      <c r="H94" s="864">
        <f t="shared" si="5"/>
        <v>0</v>
      </c>
      <c r="I94" s="865"/>
      <c r="J94" s="864"/>
      <c r="K94" s="799">
        <f t="shared" si="4"/>
        <v>0</v>
      </c>
      <c r="L94" s="883"/>
    </row>
    <row r="95" spans="1:17" s="884" customFormat="1" ht="24" customHeight="1">
      <c r="A95" s="831"/>
      <c r="B95" s="720" t="s">
        <v>1061</v>
      </c>
      <c r="C95" s="801"/>
      <c r="D95" s="801"/>
      <c r="E95" s="802"/>
      <c r="F95" s="803" t="s">
        <v>240</v>
      </c>
      <c r="G95" s="795">
        <v>8600</v>
      </c>
      <c r="H95" s="864">
        <f t="shared" si="5"/>
        <v>0</v>
      </c>
      <c r="I95" s="865"/>
      <c r="J95" s="864"/>
      <c r="K95" s="799">
        <f t="shared" si="4"/>
        <v>0</v>
      </c>
      <c r="L95" s="883"/>
    </row>
    <row r="96" spans="1:17" s="884" customFormat="1" ht="24" customHeight="1">
      <c r="A96" s="2396"/>
      <c r="B96" s="720" t="s">
        <v>1062</v>
      </c>
      <c r="C96" s="801"/>
      <c r="D96" s="801"/>
      <c r="E96" s="802"/>
      <c r="F96" s="803" t="s">
        <v>240</v>
      </c>
      <c r="G96" s="795">
        <v>8600</v>
      </c>
      <c r="H96" s="864">
        <f t="shared" si="5"/>
        <v>0</v>
      </c>
      <c r="I96" s="865"/>
      <c r="J96" s="864"/>
      <c r="K96" s="799">
        <f t="shared" si="4"/>
        <v>0</v>
      </c>
      <c r="L96" s="883"/>
    </row>
    <row r="97" spans="1:12" s="884" customFormat="1" ht="24" customHeight="1">
      <c r="A97" s="831"/>
      <c r="B97" s="720" t="s">
        <v>1063</v>
      </c>
      <c r="C97" s="801"/>
      <c r="D97" s="801"/>
      <c r="E97" s="802"/>
      <c r="F97" s="803" t="s">
        <v>240</v>
      </c>
      <c r="G97" s="795">
        <v>11500</v>
      </c>
      <c r="H97" s="864">
        <f t="shared" si="5"/>
        <v>0</v>
      </c>
      <c r="I97" s="865"/>
      <c r="J97" s="864"/>
      <c r="K97" s="799">
        <f t="shared" si="4"/>
        <v>0</v>
      </c>
      <c r="L97" s="883"/>
    </row>
    <row r="98" spans="1:12" s="884" customFormat="1" ht="24" customHeight="1">
      <c r="A98" s="831"/>
      <c r="B98" s="720" t="s">
        <v>1106</v>
      </c>
      <c r="C98" s="801"/>
      <c r="D98" s="801"/>
      <c r="E98" s="802"/>
      <c r="F98" s="803" t="s">
        <v>240</v>
      </c>
      <c r="G98" s="795">
        <v>20200</v>
      </c>
      <c r="H98" s="864">
        <f t="shared" si="5"/>
        <v>0</v>
      </c>
      <c r="I98" s="865"/>
      <c r="J98" s="864"/>
      <c r="K98" s="799">
        <f t="shared" si="4"/>
        <v>0</v>
      </c>
      <c r="L98" s="883"/>
    </row>
    <row r="99" spans="1:12" s="884" customFormat="1" ht="24" customHeight="1">
      <c r="A99" s="831"/>
      <c r="B99" s="720" t="s">
        <v>1107</v>
      </c>
      <c r="C99" s="801"/>
      <c r="D99" s="801"/>
      <c r="E99" s="802"/>
      <c r="F99" s="803" t="s">
        <v>240</v>
      </c>
      <c r="G99" s="795">
        <v>20200</v>
      </c>
      <c r="H99" s="864">
        <f t="shared" si="5"/>
        <v>0</v>
      </c>
      <c r="I99" s="865"/>
      <c r="J99" s="864"/>
      <c r="K99" s="799">
        <f t="shared" si="4"/>
        <v>0</v>
      </c>
      <c r="L99" s="883"/>
    </row>
    <row r="100" spans="1:12" s="884" customFormat="1" ht="24" customHeight="1">
      <c r="A100" s="831"/>
      <c r="B100" s="720" t="s">
        <v>1108</v>
      </c>
      <c r="C100" s="801"/>
      <c r="D100" s="801"/>
      <c r="E100" s="802"/>
      <c r="F100" s="803" t="s">
        <v>240</v>
      </c>
      <c r="G100" s="795">
        <v>20200</v>
      </c>
      <c r="H100" s="864">
        <f t="shared" si="5"/>
        <v>0</v>
      </c>
      <c r="I100" s="865"/>
      <c r="J100" s="864"/>
      <c r="K100" s="799">
        <f t="shared" si="4"/>
        <v>0</v>
      </c>
      <c r="L100" s="883"/>
    </row>
    <row r="101" spans="1:12" s="884" customFormat="1" ht="24" customHeight="1">
      <c r="A101" s="831" t="s">
        <v>3094</v>
      </c>
      <c r="B101" s="800" t="s">
        <v>1001</v>
      </c>
      <c r="C101" s="801"/>
      <c r="D101" s="801"/>
      <c r="E101" s="802"/>
      <c r="F101" s="867"/>
      <c r="G101" s="858"/>
      <c r="H101" s="864"/>
      <c r="I101" s="865"/>
      <c r="J101" s="864"/>
      <c r="K101" s="799">
        <f t="shared" si="4"/>
        <v>0</v>
      </c>
      <c r="L101" s="887"/>
    </row>
    <row r="102" spans="1:12" s="884" customFormat="1" ht="24" customHeight="1">
      <c r="A102" s="878"/>
      <c r="B102" s="800" t="s">
        <v>1076</v>
      </c>
      <c r="C102" s="801"/>
      <c r="D102" s="801"/>
      <c r="E102" s="802">
        <v>3</v>
      </c>
      <c r="F102" s="803" t="s">
        <v>240</v>
      </c>
      <c r="G102" s="858">
        <v>600</v>
      </c>
      <c r="H102" s="864">
        <f>ROUND(G102*E102,)</f>
        <v>1800</v>
      </c>
      <c r="I102" s="865"/>
      <c r="J102" s="864"/>
      <c r="K102" s="799">
        <f t="shared" si="4"/>
        <v>1800</v>
      </c>
      <c r="L102" s="887"/>
    </row>
    <row r="103" spans="1:12" s="884" customFormat="1" ht="24" customHeight="1">
      <c r="A103" s="831"/>
      <c r="B103" s="800" t="s">
        <v>1003</v>
      </c>
      <c r="C103" s="801"/>
      <c r="D103" s="801"/>
      <c r="E103" s="802">
        <v>3</v>
      </c>
      <c r="F103" s="803" t="s">
        <v>240</v>
      </c>
      <c r="G103" s="858">
        <v>120</v>
      </c>
      <c r="H103" s="864">
        <f>ROUND(G103*E103,)</f>
        <v>360</v>
      </c>
      <c r="I103" s="865"/>
      <c r="J103" s="864"/>
      <c r="K103" s="799">
        <f t="shared" si="4"/>
        <v>360</v>
      </c>
      <c r="L103" s="883"/>
    </row>
    <row r="104" spans="1:12" s="884" customFormat="1" ht="24" customHeight="1">
      <c r="A104" s="831"/>
      <c r="B104" s="800" t="s">
        <v>1004</v>
      </c>
      <c r="C104" s="801"/>
      <c r="D104" s="801"/>
      <c r="E104" s="802">
        <v>3</v>
      </c>
      <c r="F104" s="803" t="s">
        <v>240</v>
      </c>
      <c r="G104" s="858">
        <v>100</v>
      </c>
      <c r="H104" s="864">
        <f>ROUND(G104*E104,)</f>
        <v>300</v>
      </c>
      <c r="I104" s="865"/>
      <c r="J104" s="864"/>
      <c r="K104" s="799">
        <f t="shared" si="4"/>
        <v>300</v>
      </c>
      <c r="L104" s="883"/>
    </row>
    <row r="105" spans="1:12" s="884" customFormat="1" ht="24" customHeight="1">
      <c r="A105" s="831"/>
      <c r="B105" s="800" t="s">
        <v>1065</v>
      </c>
      <c r="C105" s="801"/>
      <c r="D105" s="801"/>
      <c r="E105" s="802">
        <v>4</v>
      </c>
      <c r="F105" s="803" t="s">
        <v>240</v>
      </c>
      <c r="G105" s="858">
        <v>15435</v>
      </c>
      <c r="H105" s="864">
        <f>ROUND(G105*E105,)</f>
        <v>61740</v>
      </c>
      <c r="I105" s="865"/>
      <c r="J105" s="864"/>
      <c r="K105" s="799">
        <f t="shared" si="4"/>
        <v>61740</v>
      </c>
      <c r="L105" s="883"/>
    </row>
    <row r="106" spans="1:12" s="884" customFormat="1" ht="24" customHeight="1">
      <c r="A106" s="831" t="s">
        <v>3095</v>
      </c>
      <c r="B106" s="720" t="s">
        <v>1066</v>
      </c>
      <c r="C106" s="792"/>
      <c r="D106" s="792"/>
      <c r="E106" s="793">
        <v>1</v>
      </c>
      <c r="F106" s="722" t="s">
        <v>948</v>
      </c>
      <c r="G106" s="795">
        <v>33400</v>
      </c>
      <c r="H106" s="796">
        <f>ROUND(G106*E106,)</f>
        <v>33400</v>
      </c>
      <c r="I106" s="797">
        <f>G106*0.3</f>
        <v>10020</v>
      </c>
      <c r="J106" s="796">
        <f>ROUND(E106*I106,)</f>
        <v>10020</v>
      </c>
      <c r="K106" s="799">
        <f t="shared" si="4"/>
        <v>43420</v>
      </c>
      <c r="L106" s="887"/>
    </row>
    <row r="107" spans="1:12" s="884" customFormat="1" ht="24" customHeight="1">
      <c r="A107" s="878" t="s">
        <v>962</v>
      </c>
      <c r="B107" s="894" t="s">
        <v>1122</v>
      </c>
      <c r="C107" s="895"/>
      <c r="D107" s="895"/>
      <c r="E107" s="896"/>
      <c r="F107" s="897"/>
      <c r="G107" s="858"/>
      <c r="H107" s="864"/>
      <c r="I107" s="865"/>
      <c r="J107" s="864"/>
      <c r="K107" s="799">
        <f t="shared" si="4"/>
        <v>0</v>
      </c>
      <c r="L107" s="887"/>
    </row>
    <row r="108" spans="1:12" s="884" customFormat="1" ht="24" customHeight="1">
      <c r="A108" s="831" t="s">
        <v>3096</v>
      </c>
      <c r="B108" s="800" t="s">
        <v>1053</v>
      </c>
      <c r="C108" s="801"/>
      <c r="D108" s="801"/>
      <c r="E108" s="802"/>
      <c r="F108" s="867"/>
      <c r="G108" s="858"/>
      <c r="H108" s="864"/>
      <c r="I108" s="865"/>
      <c r="J108" s="864"/>
      <c r="K108" s="799">
        <f t="shared" si="4"/>
        <v>0</v>
      </c>
      <c r="L108" s="883"/>
    </row>
    <row r="109" spans="1:12" s="884" customFormat="1" ht="24" customHeight="1">
      <c r="A109" s="831"/>
      <c r="B109" s="720" t="s">
        <v>1055</v>
      </c>
      <c r="C109" s="792"/>
      <c r="D109" s="792"/>
      <c r="E109" s="793"/>
      <c r="F109" s="722" t="s">
        <v>240</v>
      </c>
      <c r="G109" s="795">
        <v>2400</v>
      </c>
      <c r="H109" s="796">
        <f t="shared" ref="H109:H124" si="6">ROUND(G109*E109,)</f>
        <v>0</v>
      </c>
      <c r="I109" s="797"/>
      <c r="J109" s="796"/>
      <c r="K109" s="799">
        <f t="shared" si="4"/>
        <v>0</v>
      </c>
      <c r="L109" s="883"/>
    </row>
    <row r="110" spans="1:12" s="884" customFormat="1" ht="24" customHeight="1">
      <c r="A110" s="831"/>
      <c r="B110" s="720" t="s">
        <v>1056</v>
      </c>
      <c r="C110" s="792"/>
      <c r="D110" s="792"/>
      <c r="E110" s="793">
        <v>1</v>
      </c>
      <c r="F110" s="722" t="s">
        <v>240</v>
      </c>
      <c r="G110" s="795">
        <v>2400</v>
      </c>
      <c r="H110" s="796">
        <f t="shared" si="6"/>
        <v>2400</v>
      </c>
      <c r="I110" s="797"/>
      <c r="J110" s="796"/>
      <c r="K110" s="799">
        <f t="shared" si="4"/>
        <v>2400</v>
      </c>
      <c r="L110" s="883"/>
    </row>
    <row r="111" spans="1:12" s="884" customFormat="1" ht="24" customHeight="1">
      <c r="A111" s="831"/>
      <c r="B111" s="720" t="s">
        <v>1057</v>
      </c>
      <c r="C111" s="792"/>
      <c r="D111" s="792"/>
      <c r="E111" s="793">
        <v>1</v>
      </c>
      <c r="F111" s="722" t="s">
        <v>240</v>
      </c>
      <c r="G111" s="795">
        <v>2400</v>
      </c>
      <c r="H111" s="796">
        <f t="shared" si="6"/>
        <v>2400</v>
      </c>
      <c r="I111" s="797"/>
      <c r="J111" s="796"/>
      <c r="K111" s="799">
        <f t="shared" si="4"/>
        <v>2400</v>
      </c>
      <c r="L111" s="883"/>
    </row>
    <row r="112" spans="1:12" s="884" customFormat="1" ht="24" customHeight="1">
      <c r="A112" s="831"/>
      <c r="B112" s="720" t="s">
        <v>1058</v>
      </c>
      <c r="C112" s="792"/>
      <c r="D112" s="792"/>
      <c r="E112" s="793"/>
      <c r="F112" s="722" t="s">
        <v>240</v>
      </c>
      <c r="G112" s="795">
        <v>2400</v>
      </c>
      <c r="H112" s="796">
        <f t="shared" si="6"/>
        <v>0</v>
      </c>
      <c r="I112" s="797"/>
      <c r="J112" s="796"/>
      <c r="K112" s="799">
        <f t="shared" si="4"/>
        <v>0</v>
      </c>
      <c r="L112" s="883"/>
    </row>
    <row r="113" spans="1:12" s="884" customFormat="1" ht="24" customHeight="1">
      <c r="A113" s="831"/>
      <c r="B113" s="720" t="s">
        <v>1059</v>
      </c>
      <c r="C113" s="792"/>
      <c r="D113" s="792"/>
      <c r="E113" s="793"/>
      <c r="F113" s="722" t="s">
        <v>240</v>
      </c>
      <c r="G113" s="795">
        <v>2600</v>
      </c>
      <c r="H113" s="796">
        <f t="shared" si="6"/>
        <v>0</v>
      </c>
      <c r="I113" s="797"/>
      <c r="J113" s="796"/>
      <c r="K113" s="799">
        <f t="shared" si="4"/>
        <v>0</v>
      </c>
      <c r="L113" s="883"/>
    </row>
    <row r="114" spans="1:12" s="884" customFormat="1" ht="24" customHeight="1">
      <c r="A114" s="831"/>
      <c r="B114" s="720" t="s">
        <v>1060</v>
      </c>
      <c r="C114" s="792"/>
      <c r="D114" s="792"/>
      <c r="E114" s="793">
        <v>2</v>
      </c>
      <c r="F114" s="722" t="s">
        <v>240</v>
      </c>
      <c r="G114" s="795">
        <v>3000</v>
      </c>
      <c r="H114" s="796">
        <f t="shared" si="6"/>
        <v>6000</v>
      </c>
      <c r="I114" s="797"/>
      <c r="J114" s="796"/>
      <c r="K114" s="799">
        <f t="shared" si="4"/>
        <v>6000</v>
      </c>
      <c r="L114" s="887"/>
    </row>
    <row r="115" spans="1:12" s="884" customFormat="1" ht="24" customHeight="1">
      <c r="A115" s="831"/>
      <c r="B115" s="720" t="s">
        <v>1088</v>
      </c>
      <c r="C115" s="801"/>
      <c r="D115" s="801"/>
      <c r="E115" s="802">
        <v>1</v>
      </c>
      <c r="F115" s="803" t="s">
        <v>240</v>
      </c>
      <c r="G115" s="858">
        <v>2400</v>
      </c>
      <c r="H115" s="864">
        <f t="shared" si="6"/>
        <v>2400</v>
      </c>
      <c r="I115" s="865"/>
      <c r="J115" s="864"/>
      <c r="K115" s="799">
        <f t="shared" si="4"/>
        <v>2400</v>
      </c>
      <c r="L115" s="887"/>
    </row>
    <row r="116" spans="1:12" s="884" customFormat="1" ht="24" customHeight="1">
      <c r="A116" s="831"/>
      <c r="B116" s="720" t="s">
        <v>1105</v>
      </c>
      <c r="C116" s="801"/>
      <c r="D116" s="801"/>
      <c r="E116" s="802"/>
      <c r="F116" s="803" t="s">
        <v>240</v>
      </c>
      <c r="G116" s="858">
        <v>2400</v>
      </c>
      <c r="H116" s="864">
        <f t="shared" si="6"/>
        <v>0</v>
      </c>
      <c r="I116" s="865"/>
      <c r="J116" s="864"/>
      <c r="K116" s="799">
        <f t="shared" si="4"/>
        <v>0</v>
      </c>
      <c r="L116" s="887"/>
    </row>
    <row r="117" spans="1:12" s="884" customFormat="1" ht="24" customHeight="1">
      <c r="A117" s="831"/>
      <c r="B117" s="720" t="s">
        <v>1086</v>
      </c>
      <c r="C117" s="801"/>
      <c r="D117" s="801"/>
      <c r="E117" s="802"/>
      <c r="F117" s="803" t="s">
        <v>240</v>
      </c>
      <c r="G117" s="858">
        <v>3000</v>
      </c>
      <c r="H117" s="864">
        <f t="shared" si="6"/>
        <v>0</v>
      </c>
      <c r="I117" s="865"/>
      <c r="J117" s="864"/>
      <c r="K117" s="799">
        <f t="shared" si="4"/>
        <v>0</v>
      </c>
      <c r="L117" s="887"/>
    </row>
    <row r="118" spans="1:12" s="884" customFormat="1" ht="24" customHeight="1">
      <c r="A118" s="2396"/>
      <c r="B118" s="720" t="s">
        <v>1061</v>
      </c>
      <c r="C118" s="801"/>
      <c r="D118" s="801"/>
      <c r="E118" s="802"/>
      <c r="F118" s="803" t="s">
        <v>240</v>
      </c>
      <c r="G118" s="858">
        <v>5700</v>
      </c>
      <c r="H118" s="864">
        <f t="shared" si="6"/>
        <v>0</v>
      </c>
      <c r="I118" s="865"/>
      <c r="J118" s="864"/>
      <c r="K118" s="799">
        <f t="shared" si="4"/>
        <v>0</v>
      </c>
      <c r="L118" s="887"/>
    </row>
    <row r="119" spans="1:12" s="884" customFormat="1" ht="24" customHeight="1">
      <c r="A119" s="831"/>
      <c r="B119" s="720" t="s">
        <v>1123</v>
      </c>
      <c r="C119" s="801"/>
      <c r="D119" s="801"/>
      <c r="E119" s="802">
        <v>1</v>
      </c>
      <c r="F119" s="803" t="s">
        <v>240</v>
      </c>
      <c r="G119" s="858">
        <v>5700</v>
      </c>
      <c r="H119" s="864">
        <f t="shared" si="6"/>
        <v>5700</v>
      </c>
      <c r="I119" s="865"/>
      <c r="J119" s="864"/>
      <c r="K119" s="799">
        <f t="shared" si="4"/>
        <v>5700</v>
      </c>
      <c r="L119" s="887"/>
    </row>
    <row r="120" spans="1:12" s="884" customFormat="1" ht="24" customHeight="1">
      <c r="A120" s="831"/>
      <c r="B120" s="720" t="s">
        <v>1062</v>
      </c>
      <c r="C120" s="801"/>
      <c r="D120" s="801"/>
      <c r="E120" s="802"/>
      <c r="F120" s="803" t="s">
        <v>240</v>
      </c>
      <c r="G120" s="858">
        <v>5700</v>
      </c>
      <c r="H120" s="864">
        <f t="shared" si="6"/>
        <v>0</v>
      </c>
      <c r="I120" s="865"/>
      <c r="J120" s="864"/>
      <c r="K120" s="799">
        <f t="shared" si="4"/>
        <v>0</v>
      </c>
      <c r="L120" s="887"/>
    </row>
    <row r="121" spans="1:12" s="884" customFormat="1" ht="24" customHeight="1">
      <c r="A121" s="831"/>
      <c r="B121" s="720" t="s">
        <v>1063</v>
      </c>
      <c r="C121" s="801"/>
      <c r="D121" s="801"/>
      <c r="E121" s="802"/>
      <c r="F121" s="803" t="s">
        <v>240</v>
      </c>
      <c r="G121" s="858">
        <v>5700</v>
      </c>
      <c r="H121" s="864">
        <f t="shared" si="6"/>
        <v>0</v>
      </c>
      <c r="I121" s="865"/>
      <c r="J121" s="864"/>
      <c r="K121" s="799">
        <f t="shared" si="4"/>
        <v>0</v>
      </c>
      <c r="L121" s="887"/>
    </row>
    <row r="122" spans="1:12" s="884" customFormat="1" ht="24" customHeight="1">
      <c r="A122" s="831"/>
      <c r="B122" s="720" t="s">
        <v>1106</v>
      </c>
      <c r="C122" s="801"/>
      <c r="D122" s="801"/>
      <c r="E122" s="802"/>
      <c r="F122" s="803" t="s">
        <v>240</v>
      </c>
      <c r="G122" s="858">
        <v>5700</v>
      </c>
      <c r="H122" s="864">
        <f t="shared" si="6"/>
        <v>0</v>
      </c>
      <c r="I122" s="865"/>
      <c r="J122" s="864"/>
      <c r="K122" s="799">
        <f t="shared" si="4"/>
        <v>0</v>
      </c>
      <c r="L122" s="887"/>
    </row>
    <row r="123" spans="1:12" s="884" customFormat="1" ht="24" customHeight="1">
      <c r="A123" s="2396"/>
      <c r="B123" s="720" t="s">
        <v>1107</v>
      </c>
      <c r="C123" s="801"/>
      <c r="D123" s="801"/>
      <c r="E123" s="802">
        <v>1</v>
      </c>
      <c r="F123" s="803" t="s">
        <v>240</v>
      </c>
      <c r="G123" s="858">
        <v>5700</v>
      </c>
      <c r="H123" s="864">
        <f t="shared" si="6"/>
        <v>5700</v>
      </c>
      <c r="I123" s="865"/>
      <c r="J123" s="864"/>
      <c r="K123" s="799">
        <f t="shared" si="4"/>
        <v>5700</v>
      </c>
      <c r="L123" s="887"/>
    </row>
    <row r="124" spans="1:12" s="884" customFormat="1" ht="24" customHeight="1">
      <c r="A124" s="2396"/>
      <c r="B124" s="720" t="s">
        <v>1108</v>
      </c>
      <c r="C124" s="801"/>
      <c r="D124" s="801"/>
      <c r="E124" s="802"/>
      <c r="F124" s="803" t="s">
        <v>240</v>
      </c>
      <c r="G124" s="858">
        <v>5700</v>
      </c>
      <c r="H124" s="864">
        <f t="shared" si="6"/>
        <v>0</v>
      </c>
      <c r="I124" s="865"/>
      <c r="J124" s="864"/>
      <c r="K124" s="799">
        <f t="shared" si="4"/>
        <v>0</v>
      </c>
      <c r="L124" s="887"/>
    </row>
    <row r="125" spans="1:12" s="884" customFormat="1" ht="24" customHeight="1">
      <c r="A125" s="831" t="s">
        <v>3097</v>
      </c>
      <c r="B125" s="800" t="s">
        <v>1001</v>
      </c>
      <c r="C125" s="801"/>
      <c r="D125" s="801"/>
      <c r="E125" s="802"/>
      <c r="F125" s="867"/>
      <c r="G125" s="858"/>
      <c r="H125" s="864"/>
      <c r="I125" s="865"/>
      <c r="J125" s="864"/>
      <c r="K125" s="799">
        <f t="shared" si="4"/>
        <v>0</v>
      </c>
      <c r="L125" s="887"/>
    </row>
    <row r="126" spans="1:12" s="884" customFormat="1" ht="24" customHeight="1">
      <c r="A126" s="831"/>
      <c r="B126" s="800" t="s">
        <v>1124</v>
      </c>
      <c r="C126" s="801"/>
      <c r="D126" s="801"/>
      <c r="E126" s="802">
        <v>3</v>
      </c>
      <c r="F126" s="803" t="s">
        <v>240</v>
      </c>
      <c r="G126" s="858">
        <v>600</v>
      </c>
      <c r="H126" s="864">
        <f>ROUND(G126*E126,)</f>
        <v>1800</v>
      </c>
      <c r="I126" s="865"/>
      <c r="J126" s="864"/>
      <c r="K126" s="799">
        <f t="shared" si="4"/>
        <v>1800</v>
      </c>
      <c r="L126" s="887"/>
    </row>
    <row r="127" spans="1:12" s="884" customFormat="1" ht="24" customHeight="1">
      <c r="A127" s="831"/>
      <c r="B127" s="800" t="s">
        <v>1003</v>
      </c>
      <c r="C127" s="801"/>
      <c r="D127" s="801"/>
      <c r="E127" s="802">
        <v>3</v>
      </c>
      <c r="F127" s="803" t="s">
        <v>240</v>
      </c>
      <c r="G127" s="858">
        <v>120</v>
      </c>
      <c r="H127" s="864">
        <f>ROUND(G127*E127,)</f>
        <v>360</v>
      </c>
      <c r="I127" s="865"/>
      <c r="J127" s="864"/>
      <c r="K127" s="799">
        <f t="shared" si="4"/>
        <v>360</v>
      </c>
      <c r="L127" s="887"/>
    </row>
    <row r="128" spans="1:12" s="884" customFormat="1" ht="24" customHeight="1">
      <c r="A128" s="2396"/>
      <c r="B128" s="800" t="s">
        <v>1004</v>
      </c>
      <c r="C128" s="801"/>
      <c r="D128" s="801"/>
      <c r="E128" s="802">
        <v>3</v>
      </c>
      <c r="F128" s="803" t="s">
        <v>240</v>
      </c>
      <c r="G128" s="858">
        <v>100</v>
      </c>
      <c r="H128" s="864">
        <f>ROUND(G128*E128,)</f>
        <v>300</v>
      </c>
      <c r="I128" s="865"/>
      <c r="J128" s="864"/>
      <c r="K128" s="799">
        <f t="shared" si="4"/>
        <v>300</v>
      </c>
      <c r="L128" s="887"/>
    </row>
    <row r="129" spans="1:17" s="714" customFormat="1" ht="24" customHeight="1">
      <c r="A129" s="1422"/>
      <c r="B129" s="800" t="s">
        <v>1065</v>
      </c>
      <c r="C129" s="801"/>
      <c r="D129" s="801"/>
      <c r="E129" s="802">
        <v>2</v>
      </c>
      <c r="F129" s="803" t="s">
        <v>240</v>
      </c>
      <c r="G129" s="858">
        <v>15435</v>
      </c>
      <c r="H129" s="864">
        <f>ROUND(G129*E129,)</f>
        <v>30870</v>
      </c>
      <c r="I129" s="865"/>
      <c r="J129" s="864"/>
      <c r="K129" s="799">
        <f t="shared" si="4"/>
        <v>30870</v>
      </c>
      <c r="L129" s="887"/>
      <c r="M129" s="729"/>
      <c r="N129" s="729"/>
      <c r="O129" s="729"/>
      <c r="P129" s="729"/>
      <c r="Q129" s="729"/>
    </row>
    <row r="130" spans="1:17" s="714" customFormat="1" ht="24" customHeight="1">
      <c r="A130" s="831" t="s">
        <v>3098</v>
      </c>
      <c r="B130" s="720" t="s">
        <v>1066</v>
      </c>
      <c r="C130" s="792"/>
      <c r="D130" s="792"/>
      <c r="E130" s="793">
        <v>1</v>
      </c>
      <c r="F130" s="722" t="s">
        <v>948</v>
      </c>
      <c r="G130" s="795">
        <v>33400</v>
      </c>
      <c r="H130" s="796">
        <f>ROUND(G130*E130,)</f>
        <v>33400</v>
      </c>
      <c r="I130" s="797">
        <f>G130*0.3</f>
        <v>10020</v>
      </c>
      <c r="J130" s="796">
        <f>ROUND(E130*I130,)</f>
        <v>10020</v>
      </c>
      <c r="K130" s="799">
        <f t="shared" si="4"/>
        <v>43420</v>
      </c>
      <c r="L130" s="964"/>
      <c r="M130" s="729"/>
      <c r="N130" s="729"/>
      <c r="O130" s="729"/>
      <c r="P130" s="729"/>
      <c r="Q130" s="729"/>
    </row>
    <row r="131" spans="1:17" s="884" customFormat="1" ht="24" customHeight="1">
      <c r="A131" s="878" t="s">
        <v>1415</v>
      </c>
      <c r="B131" s="894" t="s">
        <v>1132</v>
      </c>
      <c r="C131" s="895"/>
      <c r="D131" s="895"/>
      <c r="E131" s="896"/>
      <c r="F131" s="897"/>
      <c r="G131" s="858"/>
      <c r="H131" s="864"/>
      <c r="I131" s="865"/>
      <c r="J131" s="864"/>
      <c r="K131" s="799">
        <f t="shared" si="4"/>
        <v>0</v>
      </c>
      <c r="L131" s="887"/>
    </row>
    <row r="132" spans="1:17" s="884" customFormat="1" ht="24" customHeight="1">
      <c r="A132" s="831" t="s">
        <v>3104</v>
      </c>
      <c r="B132" s="800" t="s">
        <v>1053</v>
      </c>
      <c r="C132" s="801"/>
      <c r="D132" s="801"/>
      <c r="E132" s="802"/>
      <c r="F132" s="867"/>
      <c r="G132" s="858"/>
      <c r="H132" s="864"/>
      <c r="I132" s="865"/>
      <c r="J132" s="864"/>
      <c r="K132" s="799">
        <f t="shared" si="4"/>
        <v>0</v>
      </c>
      <c r="L132" s="887"/>
    </row>
    <row r="133" spans="1:17" s="884" customFormat="1" ht="24" customHeight="1">
      <c r="A133" s="831"/>
      <c r="B133" s="720" t="s">
        <v>1055</v>
      </c>
      <c r="C133" s="792"/>
      <c r="D133" s="792"/>
      <c r="E133" s="793"/>
      <c r="F133" s="722" t="s">
        <v>240</v>
      </c>
      <c r="G133" s="795">
        <v>2400</v>
      </c>
      <c r="H133" s="796">
        <f t="shared" ref="H133:H153" si="7">ROUND(G133*E133,)</f>
        <v>0</v>
      </c>
      <c r="I133" s="797"/>
      <c r="J133" s="796"/>
      <c r="K133" s="799">
        <f t="shared" si="4"/>
        <v>0</v>
      </c>
      <c r="L133" s="883"/>
    </row>
    <row r="134" spans="1:17" s="884" customFormat="1" ht="24" customHeight="1">
      <c r="A134" s="831"/>
      <c r="B134" s="720" t="s">
        <v>1056</v>
      </c>
      <c r="C134" s="792"/>
      <c r="D134" s="792"/>
      <c r="E134" s="793"/>
      <c r="F134" s="722" t="s">
        <v>240</v>
      </c>
      <c r="G134" s="795">
        <v>2400</v>
      </c>
      <c r="H134" s="796">
        <f t="shared" si="7"/>
        <v>0</v>
      </c>
      <c r="I134" s="797"/>
      <c r="J134" s="796"/>
      <c r="K134" s="799">
        <f t="shared" si="4"/>
        <v>0</v>
      </c>
      <c r="L134" s="883"/>
    </row>
    <row r="135" spans="1:17" s="884" customFormat="1" ht="24" customHeight="1">
      <c r="A135" s="831"/>
      <c r="B135" s="720" t="s">
        <v>1057</v>
      </c>
      <c r="C135" s="792"/>
      <c r="D135" s="792"/>
      <c r="E135" s="793">
        <v>2</v>
      </c>
      <c r="F135" s="722" t="s">
        <v>240</v>
      </c>
      <c r="G135" s="795">
        <v>2400</v>
      </c>
      <c r="H135" s="796">
        <f t="shared" si="7"/>
        <v>4800</v>
      </c>
      <c r="I135" s="797"/>
      <c r="J135" s="796"/>
      <c r="K135" s="799">
        <f t="shared" si="4"/>
        <v>4800</v>
      </c>
      <c r="L135" s="883"/>
    </row>
    <row r="136" spans="1:17" s="884" customFormat="1" ht="24" customHeight="1">
      <c r="A136" s="831"/>
      <c r="B136" s="720" t="s">
        <v>1058</v>
      </c>
      <c r="C136" s="792"/>
      <c r="D136" s="792"/>
      <c r="E136" s="793"/>
      <c r="F136" s="722" t="s">
        <v>240</v>
      </c>
      <c r="G136" s="795">
        <v>2400</v>
      </c>
      <c r="H136" s="796">
        <f t="shared" si="7"/>
        <v>0</v>
      </c>
      <c r="I136" s="797"/>
      <c r="J136" s="796"/>
      <c r="K136" s="799">
        <f t="shared" si="4"/>
        <v>0</v>
      </c>
      <c r="L136" s="883"/>
    </row>
    <row r="137" spans="1:17" s="884" customFormat="1" ht="24" customHeight="1">
      <c r="A137" s="831"/>
      <c r="B137" s="720" t="s">
        <v>1059</v>
      </c>
      <c r="C137" s="792"/>
      <c r="D137" s="792"/>
      <c r="E137" s="793">
        <v>1</v>
      </c>
      <c r="F137" s="722" t="s">
        <v>240</v>
      </c>
      <c r="G137" s="795">
        <v>2600</v>
      </c>
      <c r="H137" s="796">
        <f t="shared" si="7"/>
        <v>2600</v>
      </c>
      <c r="I137" s="797"/>
      <c r="J137" s="796"/>
      <c r="K137" s="799">
        <f t="shared" si="4"/>
        <v>2600</v>
      </c>
      <c r="L137" s="883"/>
    </row>
    <row r="138" spans="1:17" s="884" customFormat="1" ht="24" customHeight="1">
      <c r="A138" s="831"/>
      <c r="B138" s="720" t="s">
        <v>1060</v>
      </c>
      <c r="C138" s="792"/>
      <c r="D138" s="792"/>
      <c r="E138" s="793"/>
      <c r="F138" s="722" t="s">
        <v>240</v>
      </c>
      <c r="G138" s="795">
        <v>3000</v>
      </c>
      <c r="H138" s="796">
        <f t="shared" si="7"/>
        <v>0</v>
      </c>
      <c r="I138" s="797"/>
      <c r="J138" s="796"/>
      <c r="K138" s="799">
        <f t="shared" si="4"/>
        <v>0</v>
      </c>
      <c r="L138" s="883"/>
    </row>
    <row r="139" spans="1:17" s="884" customFormat="1" ht="24" customHeight="1">
      <c r="A139" s="831"/>
      <c r="B139" s="720" t="s">
        <v>1088</v>
      </c>
      <c r="C139" s="801"/>
      <c r="D139" s="801"/>
      <c r="E139" s="802"/>
      <c r="F139" s="803" t="s">
        <v>240</v>
      </c>
      <c r="G139" s="858">
        <v>2400</v>
      </c>
      <c r="H139" s="864">
        <f t="shared" si="7"/>
        <v>0</v>
      </c>
      <c r="I139" s="865"/>
      <c r="J139" s="864"/>
      <c r="K139" s="799">
        <f t="shared" si="4"/>
        <v>0</v>
      </c>
      <c r="L139" s="887"/>
    </row>
    <row r="140" spans="1:17" s="884" customFormat="1" ht="24" customHeight="1">
      <c r="A140" s="831"/>
      <c r="B140" s="720" t="s">
        <v>1105</v>
      </c>
      <c r="C140" s="801"/>
      <c r="D140" s="801"/>
      <c r="E140" s="802">
        <v>1</v>
      </c>
      <c r="F140" s="803" t="s">
        <v>240</v>
      </c>
      <c r="G140" s="858">
        <v>2400</v>
      </c>
      <c r="H140" s="864">
        <f t="shared" si="7"/>
        <v>2400</v>
      </c>
      <c r="I140" s="865"/>
      <c r="J140" s="864"/>
      <c r="K140" s="799">
        <f t="shared" si="4"/>
        <v>2400</v>
      </c>
      <c r="L140" s="887"/>
    </row>
    <row r="141" spans="1:17" s="884" customFormat="1" ht="24" customHeight="1">
      <c r="A141" s="831"/>
      <c r="B141" s="720" t="s">
        <v>1086</v>
      </c>
      <c r="C141" s="801"/>
      <c r="D141" s="801"/>
      <c r="E141" s="802"/>
      <c r="F141" s="803" t="s">
        <v>240</v>
      </c>
      <c r="G141" s="858">
        <v>3000</v>
      </c>
      <c r="H141" s="864">
        <f t="shared" si="7"/>
        <v>0</v>
      </c>
      <c r="I141" s="865"/>
      <c r="J141" s="864"/>
      <c r="K141" s="799">
        <f t="shared" si="4"/>
        <v>0</v>
      </c>
      <c r="L141" s="887"/>
    </row>
    <row r="142" spans="1:17" s="884" customFormat="1" ht="24" customHeight="1">
      <c r="A142" s="831"/>
      <c r="B142" s="720" t="s">
        <v>1061</v>
      </c>
      <c r="C142" s="801"/>
      <c r="D142" s="801"/>
      <c r="E142" s="802"/>
      <c r="F142" s="803" t="s">
        <v>240</v>
      </c>
      <c r="G142" s="858">
        <v>5700</v>
      </c>
      <c r="H142" s="864">
        <f t="shared" si="7"/>
        <v>0</v>
      </c>
      <c r="I142" s="865"/>
      <c r="J142" s="864"/>
      <c r="K142" s="799">
        <f t="shared" si="4"/>
        <v>0</v>
      </c>
      <c r="L142" s="887"/>
    </row>
    <row r="143" spans="1:17" s="884" customFormat="1" ht="24" customHeight="1">
      <c r="A143" s="2396"/>
      <c r="B143" s="720" t="s">
        <v>1062</v>
      </c>
      <c r="C143" s="801"/>
      <c r="D143" s="801"/>
      <c r="E143" s="802"/>
      <c r="F143" s="803" t="s">
        <v>240</v>
      </c>
      <c r="G143" s="858">
        <v>5700</v>
      </c>
      <c r="H143" s="864">
        <f t="shared" si="7"/>
        <v>0</v>
      </c>
      <c r="I143" s="865"/>
      <c r="J143" s="864"/>
      <c r="K143" s="799">
        <f t="shared" si="4"/>
        <v>0</v>
      </c>
      <c r="L143" s="887"/>
    </row>
    <row r="144" spans="1:17" s="884" customFormat="1" ht="24" customHeight="1">
      <c r="A144" s="831"/>
      <c r="B144" s="720" t="s">
        <v>1063</v>
      </c>
      <c r="C144" s="801"/>
      <c r="D144" s="801"/>
      <c r="E144" s="802"/>
      <c r="F144" s="803" t="s">
        <v>240</v>
      </c>
      <c r="G144" s="858">
        <v>5700</v>
      </c>
      <c r="H144" s="864">
        <f t="shared" si="7"/>
        <v>0</v>
      </c>
      <c r="I144" s="865"/>
      <c r="J144" s="864"/>
      <c r="K144" s="799">
        <f t="shared" si="4"/>
        <v>0</v>
      </c>
      <c r="L144" s="887"/>
    </row>
    <row r="145" spans="1:12" s="884" customFormat="1" ht="24" customHeight="1">
      <c r="A145" s="831"/>
      <c r="B145" s="720" t="s">
        <v>1106</v>
      </c>
      <c r="C145" s="801"/>
      <c r="D145" s="801"/>
      <c r="E145" s="802"/>
      <c r="F145" s="803" t="s">
        <v>240</v>
      </c>
      <c r="G145" s="858">
        <v>5700</v>
      </c>
      <c r="H145" s="864">
        <f t="shared" si="7"/>
        <v>0</v>
      </c>
      <c r="I145" s="865"/>
      <c r="J145" s="864"/>
      <c r="K145" s="799">
        <f t="shared" si="4"/>
        <v>0</v>
      </c>
      <c r="L145" s="887"/>
    </row>
    <row r="146" spans="1:12" s="884" customFormat="1" ht="24" customHeight="1">
      <c r="A146" s="831"/>
      <c r="B146" s="720" t="s">
        <v>1107</v>
      </c>
      <c r="C146" s="801"/>
      <c r="D146" s="801"/>
      <c r="E146" s="802"/>
      <c r="F146" s="803" t="s">
        <v>240</v>
      </c>
      <c r="G146" s="858">
        <v>5700</v>
      </c>
      <c r="H146" s="864">
        <f t="shared" si="7"/>
        <v>0</v>
      </c>
      <c r="I146" s="865"/>
      <c r="J146" s="864"/>
      <c r="K146" s="799">
        <f t="shared" si="4"/>
        <v>0</v>
      </c>
      <c r="L146" s="887"/>
    </row>
    <row r="147" spans="1:12" s="884" customFormat="1" ht="24" customHeight="1">
      <c r="A147" s="831"/>
      <c r="B147" s="720" t="s">
        <v>1108</v>
      </c>
      <c r="C147" s="801"/>
      <c r="D147" s="801"/>
      <c r="E147" s="802"/>
      <c r="F147" s="803" t="s">
        <v>240</v>
      </c>
      <c r="G147" s="858">
        <v>5700</v>
      </c>
      <c r="H147" s="864">
        <f t="shared" si="7"/>
        <v>0</v>
      </c>
      <c r="I147" s="865"/>
      <c r="J147" s="864"/>
      <c r="K147" s="799">
        <f t="shared" si="4"/>
        <v>0</v>
      </c>
      <c r="L147" s="887"/>
    </row>
    <row r="148" spans="1:12" s="884" customFormat="1" ht="24" customHeight="1">
      <c r="A148" s="831" t="s">
        <v>3105</v>
      </c>
      <c r="B148" s="800" t="s">
        <v>1001</v>
      </c>
      <c r="C148" s="801"/>
      <c r="D148" s="801"/>
      <c r="E148" s="802"/>
      <c r="F148" s="867"/>
      <c r="G148" s="858"/>
      <c r="H148" s="864">
        <f t="shared" si="7"/>
        <v>0</v>
      </c>
      <c r="I148" s="865"/>
      <c r="J148" s="864"/>
      <c r="K148" s="799">
        <f t="shared" ref="K148:K177" si="8">H148+J148</f>
        <v>0</v>
      </c>
      <c r="L148" s="887"/>
    </row>
    <row r="149" spans="1:12" s="884" customFormat="1" ht="24" customHeight="1">
      <c r="A149" s="831"/>
      <c r="B149" s="800" t="s">
        <v>1076</v>
      </c>
      <c r="C149" s="801"/>
      <c r="D149" s="801"/>
      <c r="E149" s="802">
        <v>3</v>
      </c>
      <c r="F149" s="803" t="s">
        <v>240</v>
      </c>
      <c r="G149" s="858">
        <v>600</v>
      </c>
      <c r="H149" s="864">
        <f t="shared" si="7"/>
        <v>1800</v>
      </c>
      <c r="I149" s="865"/>
      <c r="J149" s="864"/>
      <c r="K149" s="799">
        <f t="shared" si="8"/>
        <v>1800</v>
      </c>
      <c r="L149" s="887"/>
    </row>
    <row r="150" spans="1:12" s="884" customFormat="1" ht="24" customHeight="1">
      <c r="A150" s="831"/>
      <c r="B150" s="800" t="s">
        <v>1003</v>
      </c>
      <c r="C150" s="801"/>
      <c r="D150" s="801"/>
      <c r="E150" s="802">
        <v>3</v>
      </c>
      <c r="F150" s="803" t="s">
        <v>240</v>
      </c>
      <c r="G150" s="858">
        <v>120</v>
      </c>
      <c r="H150" s="864">
        <f t="shared" si="7"/>
        <v>360</v>
      </c>
      <c r="I150" s="865"/>
      <c r="J150" s="864"/>
      <c r="K150" s="799">
        <f t="shared" si="8"/>
        <v>360</v>
      </c>
      <c r="L150" s="887"/>
    </row>
    <row r="151" spans="1:12" s="884" customFormat="1" ht="24" customHeight="1">
      <c r="A151" s="831"/>
      <c r="B151" s="800" t="s">
        <v>1004</v>
      </c>
      <c r="C151" s="801"/>
      <c r="D151" s="801"/>
      <c r="E151" s="802">
        <v>3</v>
      </c>
      <c r="F151" s="803" t="s">
        <v>240</v>
      </c>
      <c r="G151" s="858">
        <v>100</v>
      </c>
      <c r="H151" s="864">
        <f t="shared" si="7"/>
        <v>300</v>
      </c>
      <c r="I151" s="865"/>
      <c r="J151" s="864"/>
      <c r="K151" s="799">
        <f t="shared" si="8"/>
        <v>300</v>
      </c>
      <c r="L151" s="887"/>
    </row>
    <row r="152" spans="1:12" s="884" customFormat="1" ht="24" customHeight="1">
      <c r="A152" s="2396"/>
      <c r="B152" s="800" t="s">
        <v>1065</v>
      </c>
      <c r="C152" s="801"/>
      <c r="D152" s="801"/>
      <c r="E152" s="802">
        <v>4</v>
      </c>
      <c r="F152" s="803" t="s">
        <v>240</v>
      </c>
      <c r="G152" s="858">
        <v>15435</v>
      </c>
      <c r="H152" s="864">
        <f t="shared" si="7"/>
        <v>61740</v>
      </c>
      <c r="I152" s="865"/>
      <c r="J152" s="864"/>
      <c r="K152" s="799">
        <f t="shared" si="8"/>
        <v>61740</v>
      </c>
      <c r="L152" s="887"/>
    </row>
    <row r="153" spans="1:12" s="884" customFormat="1" ht="24" customHeight="1">
      <c r="A153" s="831" t="s">
        <v>3106</v>
      </c>
      <c r="B153" s="800" t="s">
        <v>1066</v>
      </c>
      <c r="C153" s="801"/>
      <c r="D153" s="801"/>
      <c r="E153" s="802">
        <v>1</v>
      </c>
      <c r="F153" s="803" t="s">
        <v>948</v>
      </c>
      <c r="G153" s="795">
        <v>33400</v>
      </c>
      <c r="H153" s="864">
        <f t="shared" si="7"/>
        <v>33400</v>
      </c>
      <c r="I153" s="865">
        <f>G153*0.3</f>
        <v>10020</v>
      </c>
      <c r="J153" s="864">
        <f>ROUND(E153*I153,)</f>
        <v>10020</v>
      </c>
      <c r="K153" s="799">
        <f t="shared" si="8"/>
        <v>43420</v>
      </c>
      <c r="L153" s="887"/>
    </row>
    <row r="154" spans="1:12" s="884" customFormat="1" ht="24" customHeight="1">
      <c r="A154" s="831"/>
      <c r="B154" s="800"/>
      <c r="C154" s="801"/>
      <c r="D154" s="801"/>
      <c r="E154" s="802"/>
      <c r="F154" s="803"/>
      <c r="G154" s="795"/>
      <c r="H154" s="864"/>
      <c r="I154" s="865"/>
      <c r="J154" s="864"/>
      <c r="K154" s="799"/>
      <c r="L154" s="887"/>
    </row>
    <row r="155" spans="1:12" s="884" customFormat="1" ht="24" customHeight="1">
      <c r="A155" s="878" t="s">
        <v>3117</v>
      </c>
      <c r="B155" s="894" t="s">
        <v>1133</v>
      </c>
      <c r="C155" s="895"/>
      <c r="D155" s="895"/>
      <c r="E155" s="896"/>
      <c r="F155" s="897"/>
      <c r="G155" s="858"/>
      <c r="H155" s="864"/>
      <c r="I155" s="865"/>
      <c r="J155" s="864"/>
      <c r="K155" s="799">
        <f t="shared" si="8"/>
        <v>0</v>
      </c>
      <c r="L155" s="887"/>
    </row>
    <row r="156" spans="1:12" s="884" customFormat="1" ht="24" customHeight="1">
      <c r="A156" s="831" t="s">
        <v>3118</v>
      </c>
      <c r="B156" s="800" t="s">
        <v>1053</v>
      </c>
      <c r="C156" s="801"/>
      <c r="D156" s="801"/>
      <c r="E156" s="802"/>
      <c r="F156" s="867"/>
      <c r="G156" s="858"/>
      <c r="H156" s="864"/>
      <c r="I156" s="865"/>
      <c r="J156" s="864"/>
      <c r="K156" s="799">
        <f t="shared" si="8"/>
        <v>0</v>
      </c>
      <c r="L156" s="887"/>
    </row>
    <row r="157" spans="1:12" s="884" customFormat="1" ht="24" customHeight="1">
      <c r="A157" s="831"/>
      <c r="B157" s="720" t="s">
        <v>1055</v>
      </c>
      <c r="C157" s="792"/>
      <c r="D157" s="792"/>
      <c r="E157" s="793">
        <v>1</v>
      </c>
      <c r="F157" s="722" t="s">
        <v>240</v>
      </c>
      <c r="G157" s="795">
        <v>2400</v>
      </c>
      <c r="H157" s="796">
        <f t="shared" ref="H157:H177" si="9">ROUND(G157*E157,)</f>
        <v>2400</v>
      </c>
      <c r="I157" s="797"/>
      <c r="J157" s="796"/>
      <c r="K157" s="799">
        <f t="shared" si="8"/>
        <v>2400</v>
      </c>
      <c r="L157" s="883"/>
    </row>
    <row r="158" spans="1:12" s="884" customFormat="1" ht="24" customHeight="1">
      <c r="A158" s="831"/>
      <c r="B158" s="720" t="s">
        <v>1056</v>
      </c>
      <c r="C158" s="792"/>
      <c r="D158" s="792"/>
      <c r="E158" s="793"/>
      <c r="F158" s="722" t="s">
        <v>240</v>
      </c>
      <c r="G158" s="795">
        <v>2400</v>
      </c>
      <c r="H158" s="796">
        <f t="shared" si="9"/>
        <v>0</v>
      </c>
      <c r="I158" s="797"/>
      <c r="J158" s="796"/>
      <c r="K158" s="799">
        <f t="shared" si="8"/>
        <v>0</v>
      </c>
      <c r="L158" s="883"/>
    </row>
    <row r="159" spans="1:12" s="884" customFormat="1" ht="24" customHeight="1">
      <c r="A159" s="831"/>
      <c r="B159" s="720" t="s">
        <v>1057</v>
      </c>
      <c r="C159" s="792"/>
      <c r="D159" s="792"/>
      <c r="E159" s="793">
        <v>2</v>
      </c>
      <c r="F159" s="722" t="s">
        <v>240</v>
      </c>
      <c r="G159" s="795">
        <v>2400</v>
      </c>
      <c r="H159" s="796">
        <f t="shared" si="9"/>
        <v>4800</v>
      </c>
      <c r="I159" s="797"/>
      <c r="J159" s="796"/>
      <c r="K159" s="799">
        <f t="shared" si="8"/>
        <v>4800</v>
      </c>
      <c r="L159" s="883"/>
    </row>
    <row r="160" spans="1:12" s="884" customFormat="1" ht="24" customHeight="1">
      <c r="A160" s="831"/>
      <c r="B160" s="720" t="s">
        <v>1058</v>
      </c>
      <c r="C160" s="792"/>
      <c r="D160" s="792"/>
      <c r="E160" s="793"/>
      <c r="F160" s="722" t="s">
        <v>240</v>
      </c>
      <c r="G160" s="795">
        <v>2400</v>
      </c>
      <c r="H160" s="796">
        <f t="shared" si="9"/>
        <v>0</v>
      </c>
      <c r="I160" s="797"/>
      <c r="J160" s="796"/>
      <c r="K160" s="799">
        <f t="shared" si="8"/>
        <v>0</v>
      </c>
      <c r="L160" s="883"/>
    </row>
    <row r="161" spans="1:12" s="884" customFormat="1" ht="24" customHeight="1">
      <c r="A161" s="831"/>
      <c r="B161" s="720" t="s">
        <v>1059</v>
      </c>
      <c r="C161" s="792"/>
      <c r="D161" s="792"/>
      <c r="E161" s="793"/>
      <c r="F161" s="722" t="s">
        <v>240</v>
      </c>
      <c r="G161" s="795">
        <v>2600</v>
      </c>
      <c r="H161" s="796">
        <f t="shared" si="9"/>
        <v>0</v>
      </c>
      <c r="I161" s="797"/>
      <c r="J161" s="796"/>
      <c r="K161" s="799">
        <f t="shared" si="8"/>
        <v>0</v>
      </c>
      <c r="L161" s="883"/>
    </row>
    <row r="162" spans="1:12" s="884" customFormat="1" ht="24" customHeight="1">
      <c r="A162" s="831"/>
      <c r="B162" s="720" t="s">
        <v>1060</v>
      </c>
      <c r="C162" s="792"/>
      <c r="D162" s="792"/>
      <c r="E162" s="793">
        <v>2</v>
      </c>
      <c r="F162" s="722" t="s">
        <v>240</v>
      </c>
      <c r="G162" s="795">
        <v>3000</v>
      </c>
      <c r="H162" s="796">
        <f t="shared" si="9"/>
        <v>6000</v>
      </c>
      <c r="I162" s="797"/>
      <c r="J162" s="796"/>
      <c r="K162" s="799">
        <f t="shared" si="8"/>
        <v>6000</v>
      </c>
      <c r="L162" s="883"/>
    </row>
    <row r="163" spans="1:12" s="884" customFormat="1" ht="24" customHeight="1">
      <c r="A163" s="831"/>
      <c r="B163" s="720" t="s">
        <v>1088</v>
      </c>
      <c r="C163" s="801"/>
      <c r="D163" s="801"/>
      <c r="E163" s="802">
        <v>1</v>
      </c>
      <c r="F163" s="803" t="s">
        <v>240</v>
      </c>
      <c r="G163" s="858">
        <v>2400</v>
      </c>
      <c r="H163" s="864">
        <f t="shared" si="9"/>
        <v>2400</v>
      </c>
      <c r="I163" s="865"/>
      <c r="J163" s="864"/>
      <c r="K163" s="799">
        <f t="shared" si="8"/>
        <v>2400</v>
      </c>
      <c r="L163" s="887"/>
    </row>
    <row r="164" spans="1:12" s="884" customFormat="1" ht="24" customHeight="1">
      <c r="A164" s="831"/>
      <c r="B164" s="720" t="s">
        <v>1105</v>
      </c>
      <c r="C164" s="801"/>
      <c r="D164" s="801"/>
      <c r="E164" s="802"/>
      <c r="F164" s="803" t="s">
        <v>240</v>
      </c>
      <c r="G164" s="858">
        <v>2400</v>
      </c>
      <c r="H164" s="864">
        <f t="shared" si="9"/>
        <v>0</v>
      </c>
      <c r="I164" s="865"/>
      <c r="J164" s="864"/>
      <c r="K164" s="799">
        <f t="shared" si="8"/>
        <v>0</v>
      </c>
      <c r="L164" s="887"/>
    </row>
    <row r="165" spans="1:12" s="884" customFormat="1" ht="24" customHeight="1">
      <c r="A165" s="831"/>
      <c r="B165" s="720" t="s">
        <v>1086</v>
      </c>
      <c r="C165" s="801"/>
      <c r="D165" s="801"/>
      <c r="E165" s="802"/>
      <c r="F165" s="803" t="s">
        <v>240</v>
      </c>
      <c r="G165" s="858">
        <v>3000</v>
      </c>
      <c r="H165" s="864">
        <f t="shared" si="9"/>
        <v>0</v>
      </c>
      <c r="I165" s="865"/>
      <c r="J165" s="864"/>
      <c r="K165" s="799">
        <f t="shared" si="8"/>
        <v>0</v>
      </c>
      <c r="L165" s="887"/>
    </row>
    <row r="166" spans="1:12" s="884" customFormat="1" ht="24" customHeight="1">
      <c r="A166" s="831"/>
      <c r="B166" s="720" t="s">
        <v>1061</v>
      </c>
      <c r="C166" s="801"/>
      <c r="D166" s="801"/>
      <c r="E166" s="802"/>
      <c r="F166" s="803" t="s">
        <v>240</v>
      </c>
      <c r="G166" s="858">
        <v>5700</v>
      </c>
      <c r="H166" s="864">
        <f t="shared" si="9"/>
        <v>0</v>
      </c>
      <c r="I166" s="865"/>
      <c r="J166" s="864"/>
      <c r="K166" s="799">
        <f t="shared" si="8"/>
        <v>0</v>
      </c>
      <c r="L166" s="887"/>
    </row>
    <row r="167" spans="1:12" s="884" customFormat="1" ht="24" customHeight="1">
      <c r="A167" s="2396"/>
      <c r="B167" s="720" t="s">
        <v>1062</v>
      </c>
      <c r="C167" s="801"/>
      <c r="D167" s="801"/>
      <c r="E167" s="802"/>
      <c r="F167" s="803" t="s">
        <v>240</v>
      </c>
      <c r="G167" s="858">
        <v>5700</v>
      </c>
      <c r="H167" s="864">
        <f t="shared" si="9"/>
        <v>0</v>
      </c>
      <c r="I167" s="865"/>
      <c r="J167" s="864"/>
      <c r="K167" s="799">
        <f t="shared" si="8"/>
        <v>0</v>
      </c>
      <c r="L167" s="887"/>
    </row>
    <row r="168" spans="1:12" s="884" customFormat="1" ht="24" customHeight="1">
      <c r="A168" s="831"/>
      <c r="B168" s="720" t="s">
        <v>1063</v>
      </c>
      <c r="C168" s="801"/>
      <c r="D168" s="801"/>
      <c r="E168" s="802">
        <v>1</v>
      </c>
      <c r="F168" s="803" t="s">
        <v>240</v>
      </c>
      <c r="G168" s="858">
        <v>5700</v>
      </c>
      <c r="H168" s="864">
        <f t="shared" si="9"/>
        <v>5700</v>
      </c>
      <c r="I168" s="865"/>
      <c r="J168" s="864"/>
      <c r="K168" s="799">
        <f t="shared" si="8"/>
        <v>5700</v>
      </c>
      <c r="L168" s="887"/>
    </row>
    <row r="169" spans="1:12" s="884" customFormat="1" ht="24" customHeight="1">
      <c r="A169" s="831"/>
      <c r="B169" s="720" t="s">
        <v>1106</v>
      </c>
      <c r="C169" s="801"/>
      <c r="D169" s="801"/>
      <c r="E169" s="802"/>
      <c r="F169" s="803" t="s">
        <v>240</v>
      </c>
      <c r="G169" s="858">
        <v>5700</v>
      </c>
      <c r="H169" s="864">
        <f t="shared" si="9"/>
        <v>0</v>
      </c>
      <c r="I169" s="865"/>
      <c r="J169" s="864"/>
      <c r="K169" s="799">
        <f t="shared" si="8"/>
        <v>0</v>
      </c>
      <c r="L169" s="887"/>
    </row>
    <row r="170" spans="1:12" s="884" customFormat="1" ht="24" customHeight="1">
      <c r="A170" s="831"/>
      <c r="B170" s="720" t="s">
        <v>1107</v>
      </c>
      <c r="C170" s="801"/>
      <c r="D170" s="801"/>
      <c r="E170" s="802"/>
      <c r="F170" s="803" t="s">
        <v>240</v>
      </c>
      <c r="G170" s="858">
        <v>5700</v>
      </c>
      <c r="H170" s="864">
        <f t="shared" si="9"/>
        <v>0</v>
      </c>
      <c r="I170" s="865"/>
      <c r="J170" s="864"/>
      <c r="K170" s="799">
        <f t="shared" si="8"/>
        <v>0</v>
      </c>
      <c r="L170" s="887"/>
    </row>
    <row r="171" spans="1:12" s="884" customFormat="1" ht="24" customHeight="1">
      <c r="A171" s="831"/>
      <c r="B171" s="720" t="s">
        <v>1108</v>
      </c>
      <c r="C171" s="801"/>
      <c r="D171" s="801"/>
      <c r="E171" s="802"/>
      <c r="F171" s="803" t="s">
        <v>240</v>
      </c>
      <c r="G171" s="858">
        <v>5700</v>
      </c>
      <c r="H171" s="864">
        <f t="shared" si="9"/>
        <v>0</v>
      </c>
      <c r="I171" s="865"/>
      <c r="J171" s="864"/>
      <c r="K171" s="799">
        <f t="shared" si="8"/>
        <v>0</v>
      </c>
      <c r="L171" s="887"/>
    </row>
    <row r="172" spans="1:12" s="884" customFormat="1" ht="24" customHeight="1">
      <c r="A172" s="831" t="s">
        <v>3119</v>
      </c>
      <c r="B172" s="800" t="s">
        <v>1001</v>
      </c>
      <c r="C172" s="801"/>
      <c r="D172" s="801"/>
      <c r="E172" s="802"/>
      <c r="F172" s="867"/>
      <c r="G172" s="858"/>
      <c r="H172" s="864">
        <f t="shared" si="9"/>
        <v>0</v>
      </c>
      <c r="I172" s="865"/>
      <c r="J172" s="864"/>
      <c r="K172" s="799">
        <f t="shared" si="8"/>
        <v>0</v>
      </c>
      <c r="L172" s="887"/>
    </row>
    <row r="173" spans="1:12" s="884" customFormat="1" ht="24" customHeight="1">
      <c r="A173" s="831"/>
      <c r="B173" s="800" t="s">
        <v>1076</v>
      </c>
      <c r="C173" s="801"/>
      <c r="D173" s="801"/>
      <c r="E173" s="802">
        <v>3</v>
      </c>
      <c r="F173" s="803" t="s">
        <v>240</v>
      </c>
      <c r="G173" s="858">
        <v>600</v>
      </c>
      <c r="H173" s="864">
        <f t="shared" si="9"/>
        <v>1800</v>
      </c>
      <c r="I173" s="865"/>
      <c r="J173" s="864"/>
      <c r="K173" s="799">
        <f t="shared" si="8"/>
        <v>1800</v>
      </c>
      <c r="L173" s="887"/>
    </row>
    <row r="174" spans="1:12" s="884" customFormat="1" ht="24" customHeight="1">
      <c r="A174" s="831"/>
      <c r="B174" s="800" t="s">
        <v>1003</v>
      </c>
      <c r="C174" s="801"/>
      <c r="D174" s="801"/>
      <c r="E174" s="802">
        <v>3</v>
      </c>
      <c r="F174" s="803" t="s">
        <v>240</v>
      </c>
      <c r="G174" s="858">
        <v>120</v>
      </c>
      <c r="H174" s="864">
        <f t="shared" si="9"/>
        <v>360</v>
      </c>
      <c r="I174" s="865"/>
      <c r="J174" s="864"/>
      <c r="K174" s="799">
        <f t="shared" si="8"/>
        <v>360</v>
      </c>
      <c r="L174" s="887"/>
    </row>
    <row r="175" spans="1:12" s="884" customFormat="1" ht="24" customHeight="1">
      <c r="A175" s="831"/>
      <c r="B175" s="800" t="s">
        <v>1004</v>
      </c>
      <c r="C175" s="801"/>
      <c r="D175" s="801"/>
      <c r="E175" s="802">
        <v>3</v>
      </c>
      <c r="F175" s="803" t="s">
        <v>240</v>
      </c>
      <c r="G175" s="858">
        <v>100</v>
      </c>
      <c r="H175" s="864">
        <f t="shared" si="9"/>
        <v>300</v>
      </c>
      <c r="I175" s="865"/>
      <c r="J175" s="864"/>
      <c r="K175" s="799">
        <f t="shared" si="8"/>
        <v>300</v>
      </c>
      <c r="L175" s="887"/>
    </row>
    <row r="176" spans="1:12" s="884" customFormat="1" ht="24" customHeight="1">
      <c r="A176" s="2396"/>
      <c r="B176" s="800" t="s">
        <v>1065</v>
      </c>
      <c r="C176" s="801"/>
      <c r="D176" s="801"/>
      <c r="E176" s="802">
        <v>2</v>
      </c>
      <c r="F176" s="803" t="s">
        <v>240</v>
      </c>
      <c r="G176" s="858">
        <v>15435</v>
      </c>
      <c r="H176" s="864">
        <f t="shared" si="9"/>
        <v>30870</v>
      </c>
      <c r="I176" s="865"/>
      <c r="J176" s="864"/>
      <c r="K176" s="799">
        <f t="shared" si="8"/>
        <v>30870</v>
      </c>
      <c r="L176" s="887"/>
    </row>
    <row r="177" spans="1:17" s="884" customFormat="1" ht="24" customHeight="1">
      <c r="A177" s="831" t="s">
        <v>3120</v>
      </c>
      <c r="B177" s="800" t="s">
        <v>1066</v>
      </c>
      <c r="C177" s="801"/>
      <c r="D177" s="801"/>
      <c r="E177" s="802">
        <v>1</v>
      </c>
      <c r="F177" s="803" t="s">
        <v>948</v>
      </c>
      <c r="G177" s="795">
        <v>33400</v>
      </c>
      <c r="H177" s="864">
        <f t="shared" si="9"/>
        <v>33400</v>
      </c>
      <c r="I177" s="865">
        <f>G177*0.3</f>
        <v>10020</v>
      </c>
      <c r="J177" s="864">
        <f>ROUND(E177*I177,)</f>
        <v>10020</v>
      </c>
      <c r="K177" s="799">
        <f t="shared" si="8"/>
        <v>43420</v>
      </c>
      <c r="L177" s="887"/>
    </row>
    <row r="178" spans="1:17" s="714" customFormat="1" ht="24" customHeight="1">
      <c r="A178" s="775"/>
      <c r="B178" s="2475" t="str">
        <f>"รวมราคารายการที่ "&amp;A83</f>
        <v>รวมราคารายการที่ 3.2</v>
      </c>
      <c r="C178" s="2476"/>
      <c r="D178" s="2477"/>
      <c r="E178" s="776"/>
      <c r="F178" s="777"/>
      <c r="G178" s="959"/>
      <c r="H178" s="960">
        <f>SUM(H83:H177)</f>
        <v>397260</v>
      </c>
      <c r="I178" s="959"/>
      <c r="J178" s="960">
        <f>SUM(J83:J177)</f>
        <v>40080</v>
      </c>
      <c r="K178" s="960">
        <f>SUM(K83:K177)</f>
        <v>437340</v>
      </c>
      <c r="L178" s="777"/>
      <c r="M178" s="729"/>
      <c r="N178" s="729"/>
      <c r="O178" s="729"/>
      <c r="P178" s="729"/>
      <c r="Q178" s="729"/>
    </row>
    <row r="179" spans="1:17" s="714" customFormat="1" ht="24" customHeight="1">
      <c r="A179" s="961" t="s">
        <v>1279</v>
      </c>
      <c r="B179" s="782" t="s">
        <v>1267</v>
      </c>
      <c r="C179" s="784"/>
      <c r="D179" s="784"/>
      <c r="E179" s="785"/>
      <c r="F179" s="786"/>
      <c r="G179" s="787"/>
      <c r="H179" s="788"/>
      <c r="I179" s="789"/>
      <c r="J179" s="788"/>
      <c r="K179" s="965"/>
      <c r="L179" s="1074"/>
      <c r="M179" s="729"/>
      <c r="N179" s="729"/>
      <c r="O179" s="729"/>
      <c r="P179" s="729"/>
      <c r="Q179" s="729"/>
    </row>
    <row r="180" spans="1:17" s="714" customFormat="1" ht="24" customHeight="1">
      <c r="A180" s="911" t="s">
        <v>965</v>
      </c>
      <c r="B180" s="1043" t="s">
        <v>1389</v>
      </c>
      <c r="C180" s="859"/>
      <c r="D180" s="859"/>
      <c r="E180" s="851"/>
      <c r="F180" s="852"/>
      <c r="G180" s="853"/>
      <c r="H180" s="854"/>
      <c r="I180" s="855"/>
      <c r="J180" s="854"/>
      <c r="K180" s="1007"/>
      <c r="L180" s="1008"/>
      <c r="M180" s="729"/>
      <c r="N180" s="729"/>
      <c r="O180" s="729"/>
      <c r="P180" s="729"/>
      <c r="Q180" s="729"/>
    </row>
    <row r="181" spans="1:17" s="714" customFormat="1" ht="24" customHeight="1">
      <c r="A181" s="911"/>
      <c r="B181" s="800" t="s">
        <v>1569</v>
      </c>
      <c r="C181" s="859"/>
      <c r="D181" s="859"/>
      <c r="E181" s="851">
        <v>1</v>
      </c>
      <c r="F181" s="803" t="s">
        <v>240</v>
      </c>
      <c r="G181" s="853">
        <v>5500</v>
      </c>
      <c r="H181" s="864">
        <f t="shared" ref="H181:H190" si="10">ROUND(E181*G181,)</f>
        <v>5500</v>
      </c>
      <c r="I181" s="855">
        <v>1000</v>
      </c>
      <c r="J181" s="864">
        <f>ROUND(E181*I181,)</f>
        <v>1000</v>
      </c>
      <c r="K181" s="1030">
        <f t="shared" ref="K181:K201" si="11">H181+J181</f>
        <v>6500</v>
      </c>
      <c r="L181" s="1008"/>
      <c r="M181" s="729"/>
      <c r="N181" s="729"/>
      <c r="O181" s="729"/>
      <c r="P181" s="729"/>
      <c r="Q181" s="729"/>
    </row>
    <row r="182" spans="1:17" s="714" customFormat="1" ht="24" customHeight="1">
      <c r="A182" s="911"/>
      <c r="B182" s="800" t="s">
        <v>1271</v>
      </c>
      <c r="C182" s="801"/>
      <c r="D182" s="801"/>
      <c r="E182" s="802">
        <v>15</v>
      </c>
      <c r="F182" s="803" t="s">
        <v>240</v>
      </c>
      <c r="G182" s="858">
        <v>138</v>
      </c>
      <c r="H182" s="864">
        <f t="shared" si="10"/>
        <v>2070</v>
      </c>
      <c r="I182" s="865"/>
      <c r="J182" s="864"/>
      <c r="K182" s="1030">
        <f t="shared" si="11"/>
        <v>2070</v>
      </c>
      <c r="L182" s="1010"/>
      <c r="M182" s="729"/>
      <c r="N182" s="729"/>
      <c r="O182" s="729"/>
      <c r="P182" s="729"/>
      <c r="Q182" s="729"/>
    </row>
    <row r="183" spans="1:17" s="714" customFormat="1" ht="24" customHeight="1">
      <c r="A183" s="861"/>
      <c r="B183" s="800" t="s">
        <v>1397</v>
      </c>
      <c r="C183" s="801"/>
      <c r="D183" s="801"/>
      <c r="E183" s="802"/>
      <c r="F183" s="803" t="s">
        <v>240</v>
      </c>
      <c r="G183" s="858">
        <v>680</v>
      </c>
      <c r="H183" s="864">
        <f t="shared" si="10"/>
        <v>0</v>
      </c>
      <c r="I183" s="865"/>
      <c r="J183" s="864"/>
      <c r="K183" s="966">
        <f t="shared" si="11"/>
        <v>0</v>
      </c>
      <c r="L183" s="1010"/>
      <c r="M183" s="729"/>
      <c r="N183" s="729"/>
      <c r="O183" s="729"/>
      <c r="P183" s="729"/>
    </row>
    <row r="184" spans="1:17" s="714" customFormat="1" ht="24" customHeight="1">
      <c r="A184" s="861"/>
      <c r="B184" s="800" t="s">
        <v>1392</v>
      </c>
      <c r="C184" s="801"/>
      <c r="D184" s="801"/>
      <c r="E184" s="802"/>
      <c r="F184" s="803" t="s">
        <v>240</v>
      </c>
      <c r="G184" s="858">
        <v>680</v>
      </c>
      <c r="H184" s="864">
        <f t="shared" si="10"/>
        <v>0</v>
      </c>
      <c r="I184" s="865"/>
      <c r="J184" s="864"/>
      <c r="K184" s="966">
        <f t="shared" si="11"/>
        <v>0</v>
      </c>
      <c r="L184" s="1010"/>
      <c r="M184" s="729"/>
      <c r="N184" s="729"/>
      <c r="O184" s="729"/>
      <c r="P184" s="729"/>
    </row>
    <row r="185" spans="1:17" s="714" customFormat="1" ht="24" customHeight="1">
      <c r="A185" s="861"/>
      <c r="B185" s="800" t="s">
        <v>1477</v>
      </c>
      <c r="C185" s="801"/>
      <c r="D185" s="801"/>
      <c r="E185" s="802"/>
      <c r="F185" s="803" t="s">
        <v>240</v>
      </c>
      <c r="G185" s="858">
        <v>680</v>
      </c>
      <c r="H185" s="864">
        <f t="shared" si="10"/>
        <v>0</v>
      </c>
      <c r="I185" s="865"/>
      <c r="J185" s="864"/>
      <c r="K185" s="966">
        <f t="shared" si="11"/>
        <v>0</v>
      </c>
      <c r="L185" s="1010"/>
      <c r="M185" s="729"/>
      <c r="N185" s="729"/>
      <c r="O185" s="729"/>
      <c r="P185" s="729"/>
    </row>
    <row r="186" spans="1:17" s="884" customFormat="1" ht="24" customHeight="1">
      <c r="A186" s="1045"/>
      <c r="B186" s="800" t="s">
        <v>1570</v>
      </c>
      <c r="C186" s="859"/>
      <c r="D186" s="859"/>
      <c r="E186" s="851">
        <v>1</v>
      </c>
      <c r="F186" s="803" t="s">
        <v>240</v>
      </c>
      <c r="G186" s="853">
        <v>5500</v>
      </c>
      <c r="H186" s="864">
        <f t="shared" si="10"/>
        <v>5500</v>
      </c>
      <c r="I186" s="855">
        <v>1000</v>
      </c>
      <c r="J186" s="864">
        <f>ROUND(E186*I186,)</f>
        <v>1000</v>
      </c>
      <c r="K186" s="1030">
        <f t="shared" si="11"/>
        <v>6500</v>
      </c>
      <c r="L186" s="1075"/>
      <c r="M186" s="1027"/>
      <c r="N186" s="1027"/>
      <c r="O186" s="1027"/>
      <c r="P186" s="1027"/>
      <c r="Q186" s="1027"/>
    </row>
    <row r="187" spans="1:17" s="714" customFormat="1" ht="24" customHeight="1">
      <c r="A187" s="911"/>
      <c r="B187" s="800" t="s">
        <v>1271</v>
      </c>
      <c r="C187" s="801"/>
      <c r="D187" s="801"/>
      <c r="E187" s="802">
        <v>12</v>
      </c>
      <c r="F187" s="803" t="s">
        <v>240</v>
      </c>
      <c r="G187" s="858">
        <v>138</v>
      </c>
      <c r="H187" s="864">
        <f t="shared" si="10"/>
        <v>1656</v>
      </c>
      <c r="I187" s="865"/>
      <c r="J187" s="864"/>
      <c r="K187" s="1030">
        <f t="shared" si="11"/>
        <v>1656</v>
      </c>
      <c r="L187" s="1010"/>
      <c r="M187" s="729"/>
      <c r="N187" s="729"/>
      <c r="O187" s="729"/>
      <c r="P187" s="729"/>
      <c r="Q187" s="729"/>
    </row>
    <row r="188" spans="1:17" s="714" customFormat="1" ht="24" customHeight="1">
      <c r="A188" s="861"/>
      <c r="B188" s="800" t="s">
        <v>1397</v>
      </c>
      <c r="C188" s="801"/>
      <c r="D188" s="801"/>
      <c r="E188" s="802">
        <v>1</v>
      </c>
      <c r="F188" s="803" t="s">
        <v>240</v>
      </c>
      <c r="G188" s="858">
        <v>680</v>
      </c>
      <c r="H188" s="864">
        <f t="shared" si="10"/>
        <v>680</v>
      </c>
      <c r="I188" s="865"/>
      <c r="J188" s="864"/>
      <c r="K188" s="1030">
        <f t="shared" si="11"/>
        <v>680</v>
      </c>
      <c r="L188" s="1010"/>
      <c r="M188" s="729"/>
      <c r="N188" s="729"/>
      <c r="O188" s="729"/>
      <c r="P188" s="729"/>
    </row>
    <row r="189" spans="1:17" s="714" customFormat="1" ht="24" customHeight="1">
      <c r="A189" s="861"/>
      <c r="B189" s="800" t="s">
        <v>1392</v>
      </c>
      <c r="C189" s="801"/>
      <c r="D189" s="801"/>
      <c r="E189" s="802">
        <v>1</v>
      </c>
      <c r="F189" s="803" t="s">
        <v>240</v>
      </c>
      <c r="G189" s="858">
        <v>680</v>
      </c>
      <c r="H189" s="864">
        <f t="shared" si="10"/>
        <v>680</v>
      </c>
      <c r="I189" s="865"/>
      <c r="J189" s="864"/>
      <c r="K189" s="1030">
        <f t="shared" si="11"/>
        <v>680</v>
      </c>
      <c r="L189" s="1010"/>
      <c r="M189" s="729"/>
      <c r="N189" s="729"/>
      <c r="O189" s="729"/>
      <c r="P189" s="729"/>
    </row>
    <row r="190" spans="1:17" s="714" customFormat="1" ht="24" customHeight="1">
      <c r="A190" s="861"/>
      <c r="B190" s="800" t="s">
        <v>1477</v>
      </c>
      <c r="C190" s="801"/>
      <c r="D190" s="801"/>
      <c r="E190" s="802">
        <v>1</v>
      </c>
      <c r="F190" s="803" t="s">
        <v>240</v>
      </c>
      <c r="G190" s="858">
        <v>680</v>
      </c>
      <c r="H190" s="864">
        <f t="shared" si="10"/>
        <v>680</v>
      </c>
      <c r="I190" s="865"/>
      <c r="J190" s="864"/>
      <c r="K190" s="1030">
        <f t="shared" si="11"/>
        <v>680</v>
      </c>
      <c r="L190" s="1010"/>
      <c r="M190" s="729"/>
      <c r="N190" s="729"/>
      <c r="O190" s="729"/>
      <c r="P190" s="729"/>
    </row>
    <row r="191" spans="1:17" s="714" customFormat="1" ht="24" customHeight="1">
      <c r="A191" s="868" t="s">
        <v>969</v>
      </c>
      <c r="B191" s="1047" t="s">
        <v>1447</v>
      </c>
      <c r="C191" s="1048"/>
      <c r="D191" s="1048"/>
      <c r="E191" s="1049"/>
      <c r="F191" s="1050"/>
      <c r="G191" s="858"/>
      <c r="H191" s="864"/>
      <c r="I191" s="865"/>
      <c r="J191" s="864"/>
      <c r="K191" s="966"/>
      <c r="L191" s="1010"/>
      <c r="M191" s="729"/>
      <c r="N191" s="729"/>
      <c r="O191" s="729"/>
      <c r="P191" s="729"/>
      <c r="Q191" s="729"/>
    </row>
    <row r="192" spans="1:17" s="714" customFormat="1" ht="24" customHeight="1">
      <c r="A192" s="868"/>
      <c r="B192" s="800" t="s">
        <v>1571</v>
      </c>
      <c r="C192" s="801"/>
      <c r="D192" s="801"/>
      <c r="E192" s="802">
        <v>1</v>
      </c>
      <c r="F192" s="803" t="s">
        <v>240</v>
      </c>
      <c r="G192" s="858">
        <v>6800</v>
      </c>
      <c r="H192" s="864">
        <f t="shared" ref="H192:H201" si="12">ROUND(E192*G192,)</f>
        <v>6800</v>
      </c>
      <c r="I192" s="865">
        <v>1500</v>
      </c>
      <c r="J192" s="864">
        <f t="shared" ref="J192" si="13">ROUND(E192*I192,)</f>
        <v>1500</v>
      </c>
      <c r="K192" s="1030">
        <f t="shared" si="11"/>
        <v>8300</v>
      </c>
      <c r="L192" s="1010"/>
      <c r="M192" s="729"/>
      <c r="N192" s="729"/>
      <c r="O192" s="729"/>
      <c r="P192" s="729"/>
      <c r="Q192" s="729"/>
    </row>
    <row r="193" spans="1:17" s="714" customFormat="1" ht="24" customHeight="1">
      <c r="A193" s="868"/>
      <c r="B193" s="800" t="s">
        <v>1270</v>
      </c>
      <c r="C193" s="801"/>
      <c r="D193" s="801"/>
      <c r="E193" s="802">
        <v>1</v>
      </c>
      <c r="F193" s="803" t="s">
        <v>240</v>
      </c>
      <c r="G193" s="858">
        <v>3000</v>
      </c>
      <c r="H193" s="864">
        <f t="shared" si="12"/>
        <v>3000</v>
      </c>
      <c r="I193" s="865"/>
      <c r="J193" s="864"/>
      <c r="K193" s="1030">
        <f t="shared" si="11"/>
        <v>3000</v>
      </c>
      <c r="L193" s="1010"/>
      <c r="M193" s="729"/>
      <c r="N193" s="729"/>
      <c r="O193" s="729"/>
      <c r="P193" s="729"/>
      <c r="Q193" s="729"/>
    </row>
    <row r="194" spans="1:17" s="714" customFormat="1" ht="24" customHeight="1">
      <c r="A194" s="868"/>
      <c r="B194" s="800" t="s">
        <v>1271</v>
      </c>
      <c r="C194" s="801"/>
      <c r="D194" s="801"/>
      <c r="E194" s="802">
        <v>18</v>
      </c>
      <c r="F194" s="803" t="s">
        <v>240</v>
      </c>
      <c r="G194" s="858">
        <v>138</v>
      </c>
      <c r="H194" s="864">
        <f t="shared" si="12"/>
        <v>2484</v>
      </c>
      <c r="I194" s="865"/>
      <c r="J194" s="864"/>
      <c r="K194" s="1030">
        <f t="shared" si="11"/>
        <v>2484</v>
      </c>
      <c r="L194" s="1010"/>
      <c r="M194" s="729"/>
      <c r="N194" s="729"/>
      <c r="O194" s="729"/>
      <c r="P194" s="729"/>
      <c r="Q194" s="729"/>
    </row>
    <row r="195" spans="1:17" s="714" customFormat="1" ht="24" customHeight="1">
      <c r="A195" s="868"/>
      <c r="B195" s="800" t="s">
        <v>1391</v>
      </c>
      <c r="C195" s="801"/>
      <c r="D195" s="801"/>
      <c r="E195" s="802">
        <v>1</v>
      </c>
      <c r="F195" s="803" t="s">
        <v>240</v>
      </c>
      <c r="G195" s="858">
        <v>138</v>
      </c>
      <c r="H195" s="864">
        <f t="shared" si="12"/>
        <v>138</v>
      </c>
      <c r="I195" s="865"/>
      <c r="J195" s="864"/>
      <c r="K195" s="1030">
        <f t="shared" si="11"/>
        <v>138</v>
      </c>
      <c r="L195" s="1010"/>
      <c r="M195" s="729"/>
      <c r="N195" s="729"/>
      <c r="O195" s="729"/>
      <c r="P195" s="729"/>
      <c r="Q195" s="729"/>
    </row>
    <row r="196" spans="1:17" s="714" customFormat="1" ht="24" customHeight="1">
      <c r="A196" s="861"/>
      <c r="B196" s="800" t="s">
        <v>1273</v>
      </c>
      <c r="C196" s="801"/>
      <c r="D196" s="801"/>
      <c r="E196" s="802"/>
      <c r="F196" s="803" t="s">
        <v>240</v>
      </c>
      <c r="G196" s="858">
        <v>1288</v>
      </c>
      <c r="H196" s="864">
        <f t="shared" si="12"/>
        <v>0</v>
      </c>
      <c r="I196" s="865"/>
      <c r="J196" s="864"/>
      <c r="K196" s="966">
        <f t="shared" si="11"/>
        <v>0</v>
      </c>
      <c r="L196" s="1010"/>
      <c r="M196" s="729"/>
      <c r="N196" s="729"/>
      <c r="O196" s="729"/>
      <c r="P196" s="729"/>
    </row>
    <row r="197" spans="1:17" s="714" customFormat="1" ht="24" customHeight="1">
      <c r="A197" s="868"/>
      <c r="B197" s="800" t="s">
        <v>1572</v>
      </c>
      <c r="C197" s="801"/>
      <c r="D197" s="801"/>
      <c r="E197" s="802">
        <v>1</v>
      </c>
      <c r="F197" s="803" t="s">
        <v>240</v>
      </c>
      <c r="G197" s="858">
        <v>6800</v>
      </c>
      <c r="H197" s="864">
        <f t="shared" si="12"/>
        <v>6800</v>
      </c>
      <c r="I197" s="865">
        <v>1500</v>
      </c>
      <c r="J197" s="864">
        <f t="shared" ref="J197" si="14">ROUND(E197*I197,)</f>
        <v>1500</v>
      </c>
      <c r="K197" s="1030">
        <f t="shared" si="11"/>
        <v>8300</v>
      </c>
      <c r="L197" s="1010"/>
      <c r="M197" s="729"/>
      <c r="N197" s="729"/>
      <c r="O197" s="729"/>
      <c r="P197" s="729"/>
      <c r="Q197" s="729"/>
    </row>
    <row r="198" spans="1:17" s="714" customFormat="1" ht="24" customHeight="1">
      <c r="A198" s="868"/>
      <c r="B198" s="800" t="s">
        <v>1270</v>
      </c>
      <c r="C198" s="801"/>
      <c r="D198" s="801"/>
      <c r="E198" s="802">
        <v>1</v>
      </c>
      <c r="F198" s="803" t="s">
        <v>240</v>
      </c>
      <c r="G198" s="858">
        <v>3000</v>
      </c>
      <c r="H198" s="864">
        <f t="shared" si="12"/>
        <v>3000</v>
      </c>
      <c r="I198" s="865"/>
      <c r="J198" s="864"/>
      <c r="K198" s="1030">
        <f t="shared" si="11"/>
        <v>3000</v>
      </c>
      <c r="L198" s="1010"/>
      <c r="M198" s="729"/>
      <c r="N198" s="729"/>
      <c r="O198" s="729"/>
      <c r="P198" s="729"/>
      <c r="Q198" s="729"/>
    </row>
    <row r="199" spans="1:17" s="714" customFormat="1" ht="24" customHeight="1">
      <c r="A199" s="868"/>
      <c r="B199" s="800" t="s">
        <v>1271</v>
      </c>
      <c r="C199" s="801"/>
      <c r="D199" s="801"/>
      <c r="E199" s="802">
        <v>18</v>
      </c>
      <c r="F199" s="803" t="s">
        <v>240</v>
      </c>
      <c r="G199" s="858">
        <v>138</v>
      </c>
      <c r="H199" s="864">
        <f t="shared" si="12"/>
        <v>2484</v>
      </c>
      <c r="I199" s="865"/>
      <c r="J199" s="864"/>
      <c r="K199" s="1030">
        <f t="shared" si="11"/>
        <v>2484</v>
      </c>
      <c r="L199" s="1010"/>
      <c r="M199" s="729"/>
      <c r="N199" s="729"/>
      <c r="O199" s="729"/>
      <c r="P199" s="729"/>
      <c r="Q199" s="729"/>
    </row>
    <row r="200" spans="1:17" s="714" customFormat="1" ht="24" customHeight="1">
      <c r="A200" s="868"/>
      <c r="B200" s="800" t="s">
        <v>1391</v>
      </c>
      <c r="C200" s="801"/>
      <c r="D200" s="801"/>
      <c r="E200" s="802">
        <v>1</v>
      </c>
      <c r="F200" s="803" t="s">
        <v>240</v>
      </c>
      <c r="G200" s="858">
        <v>138</v>
      </c>
      <c r="H200" s="864">
        <f t="shared" si="12"/>
        <v>138</v>
      </c>
      <c r="I200" s="865"/>
      <c r="J200" s="864"/>
      <c r="K200" s="1030">
        <f t="shared" si="11"/>
        <v>138</v>
      </c>
      <c r="L200" s="1010"/>
      <c r="M200" s="729"/>
      <c r="N200" s="729"/>
      <c r="O200" s="729"/>
      <c r="P200" s="729"/>
      <c r="Q200" s="729"/>
    </row>
    <row r="201" spans="1:17" s="714" customFormat="1" ht="24" customHeight="1">
      <c r="A201" s="861"/>
      <c r="B201" s="800" t="s">
        <v>1273</v>
      </c>
      <c r="C201" s="801"/>
      <c r="D201" s="801"/>
      <c r="E201" s="802"/>
      <c r="F201" s="803" t="s">
        <v>240</v>
      </c>
      <c r="G201" s="858">
        <v>1288</v>
      </c>
      <c r="H201" s="864">
        <f t="shared" si="12"/>
        <v>0</v>
      </c>
      <c r="I201" s="865"/>
      <c r="J201" s="864"/>
      <c r="K201" s="966">
        <f t="shared" si="11"/>
        <v>0</v>
      </c>
      <c r="L201" s="1010"/>
      <c r="M201" s="729"/>
      <c r="N201" s="729"/>
      <c r="O201" s="729"/>
      <c r="P201" s="729"/>
    </row>
    <row r="202" spans="1:17" s="714" customFormat="1" ht="24" customHeight="1">
      <c r="A202" s="775"/>
      <c r="B202" s="2475" t="str">
        <f>"รวมราคารายการที่ "&amp;A179</f>
        <v>รวมราคารายการที่ 3.3</v>
      </c>
      <c r="C202" s="2476"/>
      <c r="D202" s="2477"/>
      <c r="E202" s="776"/>
      <c r="F202" s="777"/>
      <c r="G202" s="959"/>
      <c r="H202" s="960">
        <f>SUM(H179:H201)</f>
        <v>41610</v>
      </c>
      <c r="I202" s="959"/>
      <c r="J202" s="960">
        <f>SUM(J179:J201)</f>
        <v>5000</v>
      </c>
      <c r="K202" s="960">
        <f>SUM(K179:K201)</f>
        <v>46610</v>
      </c>
      <c r="L202" s="1006"/>
      <c r="M202" s="729"/>
      <c r="N202" s="729"/>
      <c r="O202" s="729"/>
      <c r="P202" s="729"/>
      <c r="Q202" s="729"/>
    </row>
    <row r="203" spans="1:17" s="714" customFormat="1" ht="24" customHeight="1">
      <c r="A203" s="1029">
        <v>3.4</v>
      </c>
      <c r="B203" s="816" t="s">
        <v>1159</v>
      </c>
      <c r="C203" s="770"/>
      <c r="D203" s="770"/>
      <c r="E203" s="930"/>
      <c r="F203" s="931"/>
      <c r="G203" s="932"/>
      <c r="H203" s="854"/>
      <c r="I203" s="934"/>
      <c r="J203" s="854"/>
      <c r="K203" s="1013"/>
      <c r="L203" s="935"/>
      <c r="M203" s="729"/>
      <c r="N203" s="729"/>
      <c r="O203" s="729"/>
      <c r="P203" s="729"/>
      <c r="Q203" s="729"/>
    </row>
    <row r="204" spans="1:17" s="714" customFormat="1" ht="24" customHeight="1">
      <c r="A204" s="831" t="s">
        <v>971</v>
      </c>
      <c r="B204" s="720" t="s">
        <v>1410</v>
      </c>
      <c r="C204" s="717"/>
      <c r="D204" s="717"/>
      <c r="E204" s="917"/>
      <c r="F204" s="916"/>
      <c r="G204" s="806"/>
      <c r="H204" s="796"/>
      <c r="I204" s="807"/>
      <c r="J204" s="796"/>
      <c r="K204" s="968"/>
      <c r="L204" s="919"/>
      <c r="M204" s="729"/>
      <c r="N204" s="729"/>
      <c r="O204" s="729"/>
      <c r="P204" s="729"/>
      <c r="Q204" s="729"/>
    </row>
    <row r="205" spans="1:17" s="714" customFormat="1" ht="24" customHeight="1">
      <c r="A205" s="831"/>
      <c r="B205" s="720" t="s">
        <v>1277</v>
      </c>
      <c r="C205" s="717"/>
      <c r="D205" s="717"/>
      <c r="E205" s="805">
        <v>2900</v>
      </c>
      <c r="F205" s="794" t="s">
        <v>438</v>
      </c>
      <c r="G205" s="806">
        <v>9</v>
      </c>
      <c r="H205" s="796">
        <f t="shared" ref="H205:H211" si="15">ROUND(E205*G205,)</f>
        <v>26100</v>
      </c>
      <c r="I205" s="807">
        <v>7</v>
      </c>
      <c r="J205" s="796">
        <f t="shared" ref="J205:J211" si="16">ROUND(E205*I205,)</f>
        <v>20300</v>
      </c>
      <c r="K205" s="1030">
        <f t="shared" ref="K205:K208" si="17">H205+J205</f>
        <v>46400</v>
      </c>
      <c r="L205" s="1718" t="s">
        <v>2974</v>
      </c>
      <c r="M205" s="729"/>
      <c r="N205" s="714">
        <v>912.1</v>
      </c>
      <c r="O205" s="714">
        <f>ROUND(N205/100,)</f>
        <v>9</v>
      </c>
      <c r="P205" s="729"/>
      <c r="Q205" s="729"/>
    </row>
    <row r="206" spans="1:17" s="714" customFormat="1" ht="24" customHeight="1">
      <c r="A206" s="831"/>
      <c r="B206" s="720" t="s">
        <v>1166</v>
      </c>
      <c r="C206" s="717"/>
      <c r="D206" s="717"/>
      <c r="E206" s="805">
        <v>6935</v>
      </c>
      <c r="F206" s="794" t="s">
        <v>438</v>
      </c>
      <c r="G206" s="806">
        <v>14</v>
      </c>
      <c r="H206" s="796">
        <f t="shared" si="15"/>
        <v>97090</v>
      </c>
      <c r="I206" s="807">
        <v>10</v>
      </c>
      <c r="J206" s="796">
        <f t="shared" si="16"/>
        <v>69350</v>
      </c>
      <c r="K206" s="1030">
        <f t="shared" si="17"/>
        <v>166440</v>
      </c>
      <c r="L206" s="1718" t="s">
        <v>2974</v>
      </c>
      <c r="M206" s="729"/>
      <c r="N206" s="714">
        <v>1375.8</v>
      </c>
      <c r="O206" s="714">
        <f>ROUND(N206/100,)</f>
        <v>14</v>
      </c>
      <c r="P206" s="729"/>
      <c r="Q206" s="729"/>
    </row>
    <row r="207" spans="1:17" s="714" customFormat="1" ht="24" customHeight="1">
      <c r="A207" s="831"/>
      <c r="B207" s="720" t="s">
        <v>1167</v>
      </c>
      <c r="C207" s="792"/>
      <c r="D207" s="792"/>
      <c r="E207" s="805"/>
      <c r="F207" s="794" t="s">
        <v>438</v>
      </c>
      <c r="G207" s="806">
        <v>23</v>
      </c>
      <c r="H207" s="796">
        <f t="shared" si="15"/>
        <v>0</v>
      </c>
      <c r="I207" s="797">
        <v>12</v>
      </c>
      <c r="J207" s="796">
        <f t="shared" si="16"/>
        <v>0</v>
      </c>
      <c r="K207" s="1014">
        <f t="shared" si="17"/>
        <v>0</v>
      </c>
      <c r="L207" s="1718" t="s">
        <v>2974</v>
      </c>
      <c r="N207" s="714">
        <v>2264.1999999999998</v>
      </c>
      <c r="O207" s="714">
        <f t="shared" ref="O207:O208" si="18">ROUND(N207/100,)</f>
        <v>23</v>
      </c>
    </row>
    <row r="208" spans="1:17" s="714" customFormat="1" ht="24" customHeight="1">
      <c r="A208" s="831"/>
      <c r="B208" s="720" t="s">
        <v>1168</v>
      </c>
      <c r="C208" s="792"/>
      <c r="D208" s="792"/>
      <c r="E208" s="805">
        <v>690</v>
      </c>
      <c r="F208" s="794" t="s">
        <v>438</v>
      </c>
      <c r="G208" s="806">
        <v>39</v>
      </c>
      <c r="H208" s="796">
        <f t="shared" si="15"/>
        <v>26910</v>
      </c>
      <c r="I208" s="797">
        <v>16</v>
      </c>
      <c r="J208" s="796">
        <f t="shared" si="16"/>
        <v>11040</v>
      </c>
      <c r="K208" s="1030">
        <f t="shared" si="17"/>
        <v>37950</v>
      </c>
      <c r="L208" s="1718" t="s">
        <v>2974</v>
      </c>
      <c r="N208" s="714">
        <v>3944.2</v>
      </c>
      <c r="O208" s="714">
        <f t="shared" si="18"/>
        <v>39</v>
      </c>
    </row>
    <row r="209" spans="1:17" s="714" customFormat="1" ht="24" customHeight="1">
      <c r="A209" s="831" t="s">
        <v>975</v>
      </c>
      <c r="B209" s="720" t="s">
        <v>1276</v>
      </c>
      <c r="C209" s="717"/>
      <c r="D209" s="717"/>
      <c r="E209" s="967"/>
      <c r="F209" s="916"/>
      <c r="G209" s="806"/>
      <c r="H209" s="796">
        <f t="shared" si="15"/>
        <v>0</v>
      </c>
      <c r="I209" s="807"/>
      <c r="J209" s="796">
        <f t="shared" si="16"/>
        <v>0</v>
      </c>
      <c r="K209" s="968"/>
      <c r="L209" s="919"/>
      <c r="M209" s="729"/>
      <c r="N209" s="729"/>
      <c r="O209" s="729"/>
      <c r="P209" s="729"/>
      <c r="Q209" s="729"/>
    </row>
    <row r="210" spans="1:17" s="714" customFormat="1" ht="24" customHeight="1">
      <c r="A210" s="831"/>
      <c r="B210" s="720" t="s">
        <v>1277</v>
      </c>
      <c r="C210" s="717"/>
      <c r="D210" s="717"/>
      <c r="E210" s="805"/>
      <c r="F210" s="794" t="s">
        <v>438</v>
      </c>
      <c r="G210" s="806">
        <v>41</v>
      </c>
      <c r="H210" s="796">
        <f t="shared" si="15"/>
        <v>0</v>
      </c>
      <c r="I210" s="807">
        <v>12</v>
      </c>
      <c r="J210" s="796">
        <f t="shared" si="16"/>
        <v>0</v>
      </c>
      <c r="K210" s="1014">
        <f t="shared" ref="K210:K211" si="19">H210+J210</f>
        <v>0</v>
      </c>
      <c r="L210" s="919"/>
      <c r="M210" s="729"/>
      <c r="N210" s="729"/>
      <c r="O210" s="729"/>
      <c r="P210" s="729"/>
      <c r="Q210" s="729"/>
    </row>
    <row r="211" spans="1:17" s="714" customFormat="1" ht="24" customHeight="1">
      <c r="A211" s="856"/>
      <c r="B211" s="720" t="s">
        <v>1278</v>
      </c>
      <c r="C211" s="717"/>
      <c r="D211" s="717"/>
      <c r="E211" s="805">
        <v>1</v>
      </c>
      <c r="F211" s="794" t="s">
        <v>948</v>
      </c>
      <c r="G211" s="806">
        <f>ROUND(SUM(H204:H210)*0.05,)</f>
        <v>7505</v>
      </c>
      <c r="H211" s="796">
        <f t="shared" si="15"/>
        <v>7505</v>
      </c>
      <c r="I211" s="807">
        <f>ROUND(G211*0.3,)</f>
        <v>2252</v>
      </c>
      <c r="J211" s="796">
        <f t="shared" si="16"/>
        <v>2252</v>
      </c>
      <c r="K211" s="1030">
        <f t="shared" si="19"/>
        <v>9757</v>
      </c>
      <c r="L211" s="919"/>
      <c r="M211" s="729"/>
      <c r="N211" s="729"/>
      <c r="O211" s="729"/>
      <c r="P211" s="729"/>
      <c r="Q211" s="729"/>
    </row>
    <row r="212" spans="1:17" s="714" customFormat="1" ht="24" customHeight="1">
      <c r="A212" s="831"/>
      <c r="B212" s="720" t="s">
        <v>957</v>
      </c>
      <c r="C212" s="717"/>
      <c r="D212" s="717"/>
      <c r="E212" s="917"/>
      <c r="F212" s="916"/>
      <c r="G212" s="806"/>
      <c r="H212" s="918"/>
      <c r="I212" s="807"/>
      <c r="J212" s="919"/>
      <c r="K212" s="968"/>
      <c r="L212" s="919"/>
      <c r="M212" s="729"/>
      <c r="N212" s="729"/>
      <c r="O212" s="729"/>
      <c r="P212" s="729"/>
      <c r="Q212" s="729"/>
    </row>
    <row r="213" spans="1:17" s="714" customFormat="1" ht="24" customHeight="1">
      <c r="A213" s="831"/>
      <c r="B213" s="720" t="s">
        <v>958</v>
      </c>
      <c r="C213" s="792"/>
      <c r="D213" s="792"/>
      <c r="E213" s="793"/>
      <c r="F213" s="722"/>
      <c r="G213" s="795"/>
      <c r="H213" s="796"/>
      <c r="I213" s="797"/>
      <c r="J213" s="796"/>
      <c r="K213" s="1014">
        <f t="shared" ref="K213:K214" si="20">H213+J213</f>
        <v>0</v>
      </c>
      <c r="L213" s="1010"/>
      <c r="M213" s="729"/>
      <c r="N213" s="729"/>
      <c r="O213" s="729"/>
      <c r="P213" s="729"/>
      <c r="Q213" s="729"/>
    </row>
    <row r="214" spans="1:17" s="714" customFormat="1" ht="24" customHeight="1">
      <c r="A214" s="831"/>
      <c r="B214" s="705" t="s">
        <v>958</v>
      </c>
      <c r="C214" s="792"/>
      <c r="D214" s="792"/>
      <c r="E214" s="793"/>
      <c r="F214" s="722"/>
      <c r="G214" s="795"/>
      <c r="H214" s="796"/>
      <c r="I214" s="797"/>
      <c r="J214" s="796"/>
      <c r="K214" s="1014">
        <f t="shared" si="20"/>
        <v>0</v>
      </c>
      <c r="L214" s="1010"/>
      <c r="M214" s="729"/>
      <c r="N214" s="729"/>
      <c r="O214" s="729"/>
      <c r="P214" s="729"/>
      <c r="Q214" s="729"/>
    </row>
    <row r="215" spans="1:17" s="714" customFormat="1" ht="24" customHeight="1">
      <c r="A215" s="775"/>
      <c r="B215" s="2475" t="str">
        <f>"รวมราคารายการที่ "&amp;A203</f>
        <v>รวมราคารายการที่ 3.4</v>
      </c>
      <c r="C215" s="2476"/>
      <c r="D215" s="2477"/>
      <c r="E215" s="776"/>
      <c r="F215" s="777"/>
      <c r="G215" s="959"/>
      <c r="H215" s="960">
        <f>SUM(H203:H212)</f>
        <v>157605</v>
      </c>
      <c r="I215" s="959"/>
      <c r="J215" s="960">
        <f t="shared" ref="J215:K215" si="21">SUM(J203:J212)</f>
        <v>102942</v>
      </c>
      <c r="K215" s="960">
        <f t="shared" si="21"/>
        <v>260547</v>
      </c>
      <c r="L215" s="1006"/>
      <c r="M215" s="729"/>
      <c r="N215" s="729"/>
      <c r="O215" s="729"/>
      <c r="P215" s="729"/>
      <c r="Q215" s="729"/>
    </row>
    <row r="216" spans="1:17" s="714" customFormat="1" ht="24" customHeight="1">
      <c r="A216" s="911" t="s">
        <v>1290</v>
      </c>
      <c r="B216" s="816" t="s">
        <v>1181</v>
      </c>
      <c r="C216" s="770"/>
      <c r="D216" s="770"/>
      <c r="E216" s="930"/>
      <c r="F216" s="931"/>
      <c r="G216" s="932"/>
      <c r="H216" s="933"/>
      <c r="I216" s="934"/>
      <c r="J216" s="935"/>
      <c r="K216" s="1013"/>
      <c r="L216" s="935"/>
      <c r="M216" s="729"/>
      <c r="N216" s="729"/>
      <c r="O216" s="729"/>
      <c r="P216" s="729"/>
      <c r="Q216" s="729"/>
    </row>
    <row r="217" spans="1:17" s="714" customFormat="1" ht="24" customHeight="1">
      <c r="A217" s="831" t="s">
        <v>991</v>
      </c>
      <c r="B217" s="720" t="s">
        <v>1280</v>
      </c>
      <c r="C217" s="717"/>
      <c r="D217" s="717"/>
      <c r="E217" s="917"/>
      <c r="F217" s="916"/>
      <c r="G217" s="806"/>
      <c r="H217" s="796">
        <f t="shared" ref="H217:H228" si="22">ROUND(E217*G217,)</f>
        <v>0</v>
      </c>
      <c r="I217" s="807"/>
      <c r="J217" s="796">
        <f t="shared" ref="J217:J228" si="23">ROUND(E217*I217,)</f>
        <v>0</v>
      </c>
      <c r="K217" s="968"/>
      <c r="L217" s="919"/>
      <c r="M217" s="729"/>
      <c r="N217" s="729"/>
      <c r="O217" s="729"/>
      <c r="P217" s="729"/>
      <c r="Q217" s="729"/>
    </row>
    <row r="218" spans="1:17" s="714" customFormat="1" ht="24" customHeight="1">
      <c r="A218" s="831"/>
      <c r="B218" s="720" t="s">
        <v>1201</v>
      </c>
      <c r="C218" s="717"/>
      <c r="D218" s="717"/>
      <c r="E218" s="917">
        <v>3160</v>
      </c>
      <c r="F218" s="794" t="s">
        <v>438</v>
      </c>
      <c r="G218" s="806">
        <v>27</v>
      </c>
      <c r="H218" s="796">
        <f t="shared" si="22"/>
        <v>85320</v>
      </c>
      <c r="I218" s="807">
        <v>22</v>
      </c>
      <c r="J218" s="796">
        <f t="shared" si="23"/>
        <v>69520</v>
      </c>
      <c r="K218" s="1030">
        <f t="shared" ref="K218:K222" si="24">H218+J218</f>
        <v>154840</v>
      </c>
      <c r="L218" s="1718" t="s">
        <v>2974</v>
      </c>
      <c r="M218" s="729"/>
      <c r="N218" s="714">
        <v>79.8</v>
      </c>
      <c r="O218" s="714">
        <f>ROUND(N218/3,)</f>
        <v>27</v>
      </c>
      <c r="P218" s="729"/>
      <c r="Q218" s="729"/>
    </row>
    <row r="219" spans="1:17" s="714" customFormat="1" ht="24" customHeight="1">
      <c r="A219" s="831"/>
      <c r="B219" s="720" t="s">
        <v>1184</v>
      </c>
      <c r="C219" s="717"/>
      <c r="D219" s="717"/>
      <c r="E219" s="917">
        <v>70</v>
      </c>
      <c r="F219" s="794" t="s">
        <v>438</v>
      </c>
      <c r="G219" s="806">
        <v>38</v>
      </c>
      <c r="H219" s="796">
        <f t="shared" si="22"/>
        <v>2660</v>
      </c>
      <c r="I219" s="807">
        <v>28</v>
      </c>
      <c r="J219" s="796">
        <f t="shared" si="23"/>
        <v>1960</v>
      </c>
      <c r="K219" s="1030">
        <f t="shared" si="24"/>
        <v>4620</v>
      </c>
      <c r="L219" s="1718" t="s">
        <v>2974</v>
      </c>
      <c r="M219" s="729"/>
      <c r="N219" s="729">
        <v>115.2</v>
      </c>
      <c r="O219" s="714">
        <f>ROUND(N219/3,)</f>
        <v>38</v>
      </c>
      <c r="P219" s="729"/>
    </row>
    <row r="220" spans="1:17" s="714" customFormat="1" ht="24" customHeight="1">
      <c r="A220" s="831"/>
      <c r="B220" s="720" t="s">
        <v>1185</v>
      </c>
      <c r="C220" s="717"/>
      <c r="D220" s="717"/>
      <c r="E220" s="917">
        <v>140</v>
      </c>
      <c r="F220" s="794" t="s">
        <v>438</v>
      </c>
      <c r="G220" s="806">
        <v>55</v>
      </c>
      <c r="H220" s="796">
        <f t="shared" si="22"/>
        <v>7700</v>
      </c>
      <c r="I220" s="807">
        <v>28</v>
      </c>
      <c r="J220" s="796">
        <f t="shared" si="23"/>
        <v>3920</v>
      </c>
      <c r="K220" s="1030">
        <f t="shared" si="24"/>
        <v>11620</v>
      </c>
      <c r="L220" s="1718" t="s">
        <v>2974</v>
      </c>
      <c r="M220" s="729"/>
      <c r="N220" s="729">
        <v>163.80000000000001</v>
      </c>
      <c r="O220" s="714">
        <f>ROUND(N220/3,)</f>
        <v>55</v>
      </c>
      <c r="P220" s="729"/>
      <c r="Q220" s="729"/>
    </row>
    <row r="221" spans="1:17" s="714" customFormat="1" ht="24" customHeight="1">
      <c r="A221" s="831"/>
      <c r="B221" s="720" t="s">
        <v>1186</v>
      </c>
      <c r="C221" s="717"/>
      <c r="D221" s="717"/>
      <c r="E221" s="917"/>
      <c r="F221" s="794" t="s">
        <v>438</v>
      </c>
      <c r="G221" s="806">
        <v>95</v>
      </c>
      <c r="H221" s="796">
        <f t="shared" si="22"/>
        <v>0</v>
      </c>
      <c r="I221" s="807">
        <v>32</v>
      </c>
      <c r="J221" s="796">
        <f t="shared" si="23"/>
        <v>0</v>
      </c>
      <c r="K221" s="1014">
        <f t="shared" si="24"/>
        <v>0</v>
      </c>
      <c r="L221" s="1718" t="s">
        <v>2974</v>
      </c>
      <c r="M221" s="729"/>
      <c r="N221" s="729">
        <v>285.60000000000002</v>
      </c>
      <c r="O221" s="714">
        <f>ROUND(N221/3,)</f>
        <v>95</v>
      </c>
      <c r="P221" s="729"/>
      <c r="Q221" s="729"/>
    </row>
    <row r="222" spans="1:17" s="714" customFormat="1" ht="24" customHeight="1">
      <c r="A222" s="831"/>
      <c r="B222" s="720" t="s">
        <v>952</v>
      </c>
      <c r="C222" s="717"/>
      <c r="D222" s="717"/>
      <c r="E222" s="917">
        <v>1</v>
      </c>
      <c r="F222" s="916" t="s">
        <v>948</v>
      </c>
      <c r="G222" s="806">
        <f>SUM(H218:H221)*15%</f>
        <v>14352</v>
      </c>
      <c r="H222" s="796">
        <f t="shared" si="22"/>
        <v>14352</v>
      </c>
      <c r="I222" s="949">
        <f>ROUND(G222*0.3,)</f>
        <v>4306</v>
      </c>
      <c r="J222" s="796">
        <f t="shared" si="23"/>
        <v>4306</v>
      </c>
      <c r="K222" s="1030">
        <f t="shared" si="24"/>
        <v>18658</v>
      </c>
      <c r="L222" s="920"/>
      <c r="M222" s="729"/>
      <c r="N222" s="729"/>
      <c r="O222" s="729"/>
      <c r="P222" s="729"/>
      <c r="Q222" s="729"/>
    </row>
    <row r="223" spans="1:17" s="714" customFormat="1" ht="24" customHeight="1">
      <c r="A223" s="831" t="s">
        <v>1020</v>
      </c>
      <c r="B223" s="720" t="s">
        <v>950</v>
      </c>
      <c r="C223" s="717"/>
      <c r="D223" s="717"/>
      <c r="E223" s="917"/>
      <c r="F223" s="916"/>
      <c r="G223" s="806"/>
      <c r="H223" s="796">
        <f t="shared" si="22"/>
        <v>0</v>
      </c>
      <c r="I223" s="807"/>
      <c r="J223" s="796">
        <f t="shared" si="23"/>
        <v>0</v>
      </c>
      <c r="K223" s="968"/>
      <c r="L223" s="920"/>
      <c r="M223" s="729"/>
      <c r="N223" s="729"/>
      <c r="O223" s="729"/>
      <c r="P223" s="729"/>
      <c r="Q223" s="729"/>
    </row>
    <row r="224" spans="1:17" s="714" customFormat="1" ht="24" customHeight="1">
      <c r="A224" s="831"/>
      <c r="B224" s="720" t="s">
        <v>1201</v>
      </c>
      <c r="C224" s="717"/>
      <c r="D224" s="717"/>
      <c r="E224" s="917"/>
      <c r="F224" s="794" t="s">
        <v>438</v>
      </c>
      <c r="G224" s="806">
        <v>56</v>
      </c>
      <c r="H224" s="796">
        <f t="shared" si="22"/>
        <v>0</v>
      </c>
      <c r="I224" s="807">
        <v>26</v>
      </c>
      <c r="J224" s="796">
        <f t="shared" si="23"/>
        <v>0</v>
      </c>
      <c r="K224" s="1014">
        <f t="shared" ref="K224:K226" si="25">H224+J224</f>
        <v>0</v>
      </c>
      <c r="L224" s="1718" t="s">
        <v>2974</v>
      </c>
      <c r="M224" s="729"/>
      <c r="N224" s="714">
        <v>169.2</v>
      </c>
      <c r="O224" s="714">
        <f>ROUND(N224/3,)</f>
        <v>56</v>
      </c>
      <c r="P224" s="729"/>
      <c r="Q224" s="729"/>
    </row>
    <row r="225" spans="1:21" s="714" customFormat="1" ht="24" customHeight="1">
      <c r="A225" s="831"/>
      <c r="B225" s="720" t="s">
        <v>1185</v>
      </c>
      <c r="C225" s="717"/>
      <c r="D225" s="717"/>
      <c r="E225" s="917"/>
      <c r="F225" s="794" t="s">
        <v>438</v>
      </c>
      <c r="G225" s="806">
        <v>101</v>
      </c>
      <c r="H225" s="796">
        <f t="shared" si="22"/>
        <v>0</v>
      </c>
      <c r="I225" s="807">
        <v>32</v>
      </c>
      <c r="J225" s="796">
        <f t="shared" si="23"/>
        <v>0</v>
      </c>
      <c r="K225" s="1014">
        <f t="shared" si="25"/>
        <v>0</v>
      </c>
      <c r="L225" s="1718" t="s">
        <v>2974</v>
      </c>
      <c r="M225" s="729"/>
      <c r="N225" s="729">
        <v>303.60000000000002</v>
      </c>
      <c r="O225" s="714">
        <f>ROUND(N225/3,)</f>
        <v>101</v>
      </c>
      <c r="P225" s="729"/>
      <c r="Q225" s="729"/>
    </row>
    <row r="226" spans="1:21" s="714" customFormat="1" ht="24" customHeight="1">
      <c r="A226" s="831"/>
      <c r="B226" s="720" t="s">
        <v>952</v>
      </c>
      <c r="C226" s="717"/>
      <c r="D226" s="717"/>
      <c r="E226" s="917">
        <v>1</v>
      </c>
      <c r="F226" s="916" t="s">
        <v>948</v>
      </c>
      <c r="G226" s="806">
        <f>SUM(H224:H225)*15%</f>
        <v>0</v>
      </c>
      <c r="H226" s="796">
        <f t="shared" si="22"/>
        <v>0</v>
      </c>
      <c r="I226" s="807">
        <f>G226*0.3</f>
        <v>0</v>
      </c>
      <c r="J226" s="796">
        <f t="shared" si="23"/>
        <v>0</v>
      </c>
      <c r="K226" s="1014">
        <f t="shared" si="25"/>
        <v>0</v>
      </c>
      <c r="L226" s="919"/>
      <c r="M226" s="729"/>
      <c r="N226" s="729"/>
      <c r="O226" s="729"/>
      <c r="P226" s="729"/>
      <c r="Q226" s="729"/>
    </row>
    <row r="227" spans="1:21" s="714" customFormat="1" ht="24" customHeight="1">
      <c r="A227" s="831" t="s">
        <v>1578</v>
      </c>
      <c r="B227" s="720" t="s">
        <v>1281</v>
      </c>
      <c r="C227" s="717"/>
      <c r="D227" s="717"/>
      <c r="E227" s="917"/>
      <c r="F227" s="916"/>
      <c r="G227" s="806"/>
      <c r="H227" s="796">
        <f t="shared" si="22"/>
        <v>0</v>
      </c>
      <c r="I227" s="807"/>
      <c r="J227" s="796">
        <f t="shared" si="23"/>
        <v>0</v>
      </c>
      <c r="K227" s="968"/>
      <c r="L227" s="919"/>
      <c r="M227" s="729"/>
      <c r="N227" s="729"/>
      <c r="O227" s="729"/>
      <c r="P227" s="729"/>
      <c r="Q227" s="729"/>
    </row>
    <row r="228" spans="1:21" s="714" customFormat="1" ht="24" customHeight="1">
      <c r="A228" s="831"/>
      <c r="B228" s="720" t="s">
        <v>1201</v>
      </c>
      <c r="C228" s="717"/>
      <c r="D228" s="717"/>
      <c r="E228" s="917">
        <v>809.58620689655163</v>
      </c>
      <c r="F228" s="794" t="s">
        <v>438</v>
      </c>
      <c r="G228" s="806">
        <v>14</v>
      </c>
      <c r="H228" s="796">
        <f t="shared" si="22"/>
        <v>11334</v>
      </c>
      <c r="I228" s="807">
        <v>11</v>
      </c>
      <c r="J228" s="796">
        <f t="shared" si="23"/>
        <v>8905</v>
      </c>
      <c r="K228" s="1030">
        <f t="shared" ref="K228" si="26">H228+J228</f>
        <v>20239</v>
      </c>
      <c r="L228" s="919"/>
      <c r="M228" s="729"/>
      <c r="N228" s="729"/>
      <c r="O228" s="729"/>
      <c r="P228" s="729"/>
      <c r="Q228" s="729"/>
    </row>
    <row r="229" spans="1:21" s="714" customFormat="1" ht="24" customHeight="1">
      <c r="A229" s="831"/>
      <c r="B229" s="720" t="s">
        <v>957</v>
      </c>
      <c r="C229" s="717"/>
      <c r="D229" s="717"/>
      <c r="E229" s="917"/>
      <c r="F229" s="916"/>
      <c r="G229" s="806"/>
      <c r="H229" s="918"/>
      <c r="I229" s="807"/>
      <c r="J229" s="919"/>
      <c r="K229" s="968"/>
      <c r="L229" s="919"/>
      <c r="M229" s="729"/>
      <c r="N229" s="729"/>
      <c r="O229" s="729"/>
      <c r="P229" s="729"/>
      <c r="Q229" s="729"/>
    </row>
    <row r="230" spans="1:21" s="714" customFormat="1" ht="24" customHeight="1">
      <c r="A230" s="921"/>
      <c r="B230" s="705" t="s">
        <v>958</v>
      </c>
      <c r="C230" s="761"/>
      <c r="D230" s="761"/>
      <c r="E230" s="923"/>
      <c r="F230" s="924"/>
      <c r="G230" s="925"/>
      <c r="H230" s="926"/>
      <c r="I230" s="927"/>
      <c r="J230" s="928"/>
      <c r="K230" s="1072"/>
      <c r="L230" s="928"/>
      <c r="M230" s="729"/>
      <c r="N230" s="729"/>
      <c r="O230" s="729"/>
      <c r="P230" s="729"/>
      <c r="Q230" s="729"/>
    </row>
    <row r="231" spans="1:21" s="714" customFormat="1" ht="24" customHeight="1">
      <c r="A231" s="831"/>
      <c r="B231" s="705" t="s">
        <v>958</v>
      </c>
      <c r="C231" s="792"/>
      <c r="D231" s="792"/>
      <c r="E231" s="793"/>
      <c r="F231" s="722"/>
      <c r="G231" s="795"/>
      <c r="H231" s="796"/>
      <c r="I231" s="797"/>
      <c r="J231" s="796"/>
      <c r="K231" s="1014">
        <f t="shared" ref="K231" si="27">H231+J231</f>
        <v>0</v>
      </c>
      <c r="L231" s="1010"/>
      <c r="M231" s="729"/>
      <c r="N231" s="729"/>
      <c r="O231" s="729"/>
      <c r="P231" s="729"/>
      <c r="Q231" s="729"/>
    </row>
    <row r="232" spans="1:21" s="714" customFormat="1" ht="24" customHeight="1">
      <c r="A232" s="1095"/>
      <c r="B232" s="1083"/>
      <c r="C232" s="1096"/>
      <c r="D232" s="1097"/>
      <c r="E232" s="1098"/>
      <c r="F232" s="1099"/>
      <c r="G232" s="1100"/>
      <c r="H232" s="1101"/>
      <c r="I232" s="1102"/>
      <c r="J232" s="1101"/>
      <c r="K232" s="1103"/>
      <c r="L232" s="1104"/>
      <c r="M232" s="1094"/>
      <c r="N232" s="1094"/>
      <c r="O232" s="1094"/>
      <c r="P232" s="729"/>
      <c r="Q232" s="729"/>
      <c r="R232" s="729"/>
      <c r="S232" s="729"/>
      <c r="T232" s="729"/>
      <c r="U232" s="729"/>
    </row>
    <row r="233" spans="1:21" s="714" customFormat="1" ht="24" customHeight="1">
      <c r="A233" s="775"/>
      <c r="B233" s="2475" t="str">
        <f>"รวมราคารายการที่ "&amp;A216</f>
        <v>รวมราคารายการที่ 3.5</v>
      </c>
      <c r="C233" s="2476"/>
      <c r="D233" s="2477"/>
      <c r="E233" s="776"/>
      <c r="F233" s="777"/>
      <c r="G233" s="959"/>
      <c r="H233" s="960">
        <f>SUM(H216:H230)</f>
        <v>121366</v>
      </c>
      <c r="I233" s="959"/>
      <c r="J233" s="960">
        <f>SUM(J216:J230)</f>
        <v>88611</v>
      </c>
      <c r="K233" s="960">
        <f>SUM(K216:K230)</f>
        <v>209977</v>
      </c>
      <c r="L233" s="1006"/>
      <c r="M233" s="729"/>
      <c r="N233" s="729"/>
      <c r="O233" s="729"/>
      <c r="P233" s="729"/>
      <c r="Q233" s="729"/>
    </row>
    <row r="234" spans="1:21" s="714" customFormat="1" ht="24" customHeight="1">
      <c r="A234" s="911" t="s">
        <v>1293</v>
      </c>
      <c r="B234" s="816" t="s">
        <v>1283</v>
      </c>
      <c r="C234" s="770"/>
      <c r="D234" s="770"/>
      <c r="E234" s="930"/>
      <c r="F234" s="931"/>
      <c r="G234" s="932"/>
      <c r="H234" s="933"/>
      <c r="I234" s="934"/>
      <c r="J234" s="935"/>
      <c r="K234" s="1013"/>
      <c r="L234" s="935"/>
      <c r="M234" s="729"/>
      <c r="N234" s="729"/>
      <c r="O234" s="729"/>
      <c r="P234" s="729"/>
      <c r="Q234" s="729"/>
    </row>
    <row r="235" spans="1:21" s="714" customFormat="1" ht="24" customHeight="1">
      <c r="A235" s="831" t="s">
        <v>1032</v>
      </c>
      <c r="B235" s="720" t="s">
        <v>1283</v>
      </c>
      <c r="C235" s="717"/>
      <c r="D235" s="717"/>
      <c r="E235" s="917"/>
      <c r="F235" s="916"/>
      <c r="G235" s="806"/>
      <c r="H235" s="918"/>
      <c r="I235" s="807"/>
      <c r="J235" s="919"/>
      <c r="K235" s="968"/>
      <c r="L235" s="919"/>
      <c r="M235" s="729"/>
      <c r="N235" s="729"/>
      <c r="O235" s="729"/>
      <c r="P235" s="729"/>
      <c r="Q235" s="729"/>
    </row>
    <row r="236" spans="1:21" s="714" customFormat="1" ht="24" customHeight="1">
      <c r="A236" s="831"/>
      <c r="B236" s="720" t="s">
        <v>1284</v>
      </c>
      <c r="C236" s="717"/>
      <c r="D236" s="717"/>
      <c r="E236" s="917">
        <v>31</v>
      </c>
      <c r="F236" s="722" t="s">
        <v>240</v>
      </c>
      <c r="G236" s="806">
        <v>90</v>
      </c>
      <c r="H236" s="796">
        <f t="shared" ref="H236:H244" si="28">ROUND(E236*G236,)</f>
        <v>2790</v>
      </c>
      <c r="I236" s="807">
        <v>80</v>
      </c>
      <c r="J236" s="796">
        <f t="shared" ref="J236:J244" si="29">ROUND(E236*I236,)</f>
        <v>2480</v>
      </c>
      <c r="K236" s="1030">
        <f t="shared" ref="K236:K244" si="30">H236+J236</f>
        <v>5270</v>
      </c>
      <c r="L236" s="919"/>
      <c r="M236" s="729"/>
      <c r="N236" s="729"/>
      <c r="O236" s="729"/>
      <c r="P236" s="729"/>
      <c r="Q236" s="729"/>
    </row>
    <row r="237" spans="1:21" s="714" customFormat="1" ht="24" customHeight="1">
      <c r="A237" s="831"/>
      <c r="B237" s="705" t="s">
        <v>1418</v>
      </c>
      <c r="C237" s="717"/>
      <c r="D237" s="717"/>
      <c r="E237" s="967">
        <v>28</v>
      </c>
      <c r="F237" s="709" t="s">
        <v>240</v>
      </c>
      <c r="G237" s="806">
        <v>130</v>
      </c>
      <c r="H237" s="796">
        <f t="shared" si="28"/>
        <v>3640</v>
      </c>
      <c r="I237" s="807">
        <v>90</v>
      </c>
      <c r="J237" s="796">
        <f t="shared" si="29"/>
        <v>2520</v>
      </c>
      <c r="K237" s="1030">
        <f t="shared" si="30"/>
        <v>6160</v>
      </c>
      <c r="L237" s="919"/>
    </row>
    <row r="238" spans="1:21" s="714" customFormat="1" ht="24" customHeight="1">
      <c r="A238" s="831"/>
      <c r="B238" s="720" t="s">
        <v>1285</v>
      </c>
      <c r="C238" s="717"/>
      <c r="D238" s="717"/>
      <c r="E238" s="917"/>
      <c r="F238" s="722" t="s">
        <v>240</v>
      </c>
      <c r="G238" s="806">
        <v>162</v>
      </c>
      <c r="H238" s="796">
        <f t="shared" si="28"/>
        <v>0</v>
      </c>
      <c r="I238" s="807">
        <v>90</v>
      </c>
      <c r="J238" s="796">
        <f t="shared" si="29"/>
        <v>0</v>
      </c>
      <c r="K238" s="1014">
        <f t="shared" si="30"/>
        <v>0</v>
      </c>
      <c r="L238" s="919"/>
      <c r="M238" s="729"/>
      <c r="N238" s="729"/>
      <c r="O238" s="729"/>
      <c r="P238" s="729"/>
      <c r="Q238" s="729"/>
    </row>
    <row r="239" spans="1:21" s="714" customFormat="1" ht="24" customHeight="1">
      <c r="A239" s="831"/>
      <c r="B239" s="720" t="s">
        <v>1286</v>
      </c>
      <c r="C239" s="717"/>
      <c r="D239" s="717"/>
      <c r="E239" s="917">
        <v>31</v>
      </c>
      <c r="F239" s="722" t="s">
        <v>240</v>
      </c>
      <c r="G239" s="806">
        <v>197</v>
      </c>
      <c r="H239" s="796">
        <f t="shared" si="28"/>
        <v>6107</v>
      </c>
      <c r="I239" s="807">
        <v>90</v>
      </c>
      <c r="J239" s="796">
        <f t="shared" si="29"/>
        <v>2790</v>
      </c>
      <c r="K239" s="1030">
        <f t="shared" si="30"/>
        <v>8897</v>
      </c>
      <c r="L239" s="919"/>
      <c r="M239" s="729"/>
      <c r="N239" s="729"/>
      <c r="O239" s="729"/>
      <c r="P239" s="729"/>
      <c r="Q239" s="729"/>
    </row>
    <row r="240" spans="1:21" s="714" customFormat="1" ht="24" customHeight="1">
      <c r="A240" s="831"/>
      <c r="B240" s="705" t="s">
        <v>1287</v>
      </c>
      <c r="C240" s="717"/>
      <c r="D240" s="717"/>
      <c r="E240" s="967"/>
      <c r="F240" s="709" t="s">
        <v>240</v>
      </c>
      <c r="G240" s="806">
        <v>1500</v>
      </c>
      <c r="H240" s="796">
        <f t="shared" si="28"/>
        <v>0</v>
      </c>
      <c r="I240" s="807">
        <v>265</v>
      </c>
      <c r="J240" s="796">
        <f t="shared" si="29"/>
        <v>0</v>
      </c>
      <c r="K240" s="968">
        <f t="shared" si="30"/>
        <v>0</v>
      </c>
      <c r="L240" s="919"/>
    </row>
    <row r="241" spans="1:21" s="714" customFormat="1" ht="24" customHeight="1">
      <c r="A241" s="831"/>
      <c r="B241" s="720" t="s">
        <v>1288</v>
      </c>
      <c r="C241" s="717"/>
      <c r="D241" s="717"/>
      <c r="E241" s="917"/>
      <c r="F241" s="722" t="s">
        <v>240</v>
      </c>
      <c r="G241" s="806">
        <v>320</v>
      </c>
      <c r="H241" s="796">
        <f t="shared" si="28"/>
        <v>0</v>
      </c>
      <c r="I241" s="807">
        <v>200</v>
      </c>
      <c r="J241" s="796">
        <f t="shared" si="29"/>
        <v>0</v>
      </c>
      <c r="K241" s="1014">
        <f t="shared" si="30"/>
        <v>0</v>
      </c>
      <c r="L241" s="919"/>
      <c r="M241" s="729"/>
      <c r="N241" s="729"/>
      <c r="O241" s="729"/>
      <c r="P241" s="729"/>
      <c r="Q241" s="729"/>
    </row>
    <row r="242" spans="1:21" s="714" customFormat="1" ht="24" customHeight="1">
      <c r="A242" s="831" t="s">
        <v>1598</v>
      </c>
      <c r="B242" s="720" t="s">
        <v>1289</v>
      </c>
      <c r="C242" s="717"/>
      <c r="D242" s="717"/>
      <c r="E242" s="917"/>
      <c r="F242" s="722" t="s">
        <v>240</v>
      </c>
      <c r="G242" s="806">
        <v>130</v>
      </c>
      <c r="H242" s="796">
        <f t="shared" si="28"/>
        <v>0</v>
      </c>
      <c r="I242" s="807">
        <v>90</v>
      </c>
      <c r="J242" s="796">
        <f t="shared" si="29"/>
        <v>0</v>
      </c>
      <c r="K242" s="1014">
        <f t="shared" si="30"/>
        <v>0</v>
      </c>
      <c r="L242" s="919"/>
      <c r="M242" s="729"/>
      <c r="N242" s="729"/>
      <c r="O242" s="729"/>
      <c r="P242" s="729"/>
      <c r="Q242" s="729"/>
    </row>
    <row r="243" spans="1:21" s="714" customFormat="1" ht="24" customHeight="1">
      <c r="A243" s="831" t="s">
        <v>1601</v>
      </c>
      <c r="B243" s="720" t="s">
        <v>1419</v>
      </c>
      <c r="C243" s="717"/>
      <c r="D243" s="717"/>
      <c r="E243" s="917"/>
      <c r="F243" s="722" t="s">
        <v>240</v>
      </c>
      <c r="G243" s="806">
        <v>150</v>
      </c>
      <c r="H243" s="796">
        <f t="shared" si="28"/>
        <v>0</v>
      </c>
      <c r="I243" s="807">
        <v>90</v>
      </c>
      <c r="J243" s="796">
        <f t="shared" si="29"/>
        <v>0</v>
      </c>
      <c r="K243" s="1014">
        <f t="shared" si="30"/>
        <v>0</v>
      </c>
      <c r="L243" s="919"/>
      <c r="M243" s="729"/>
      <c r="N243" s="729"/>
      <c r="O243" s="729"/>
      <c r="P243" s="729"/>
      <c r="Q243" s="729"/>
      <c r="R243" s="729"/>
      <c r="S243" s="729"/>
    </row>
    <row r="244" spans="1:21" s="714" customFormat="1" ht="24" customHeight="1">
      <c r="A244" s="831"/>
      <c r="B244" s="720" t="s">
        <v>1420</v>
      </c>
      <c r="C244" s="717"/>
      <c r="D244" s="717"/>
      <c r="E244" s="917">
        <v>2</v>
      </c>
      <c r="F244" s="722" t="s">
        <v>240</v>
      </c>
      <c r="G244" s="806">
        <v>4000</v>
      </c>
      <c r="H244" s="796">
        <f t="shared" si="28"/>
        <v>8000</v>
      </c>
      <c r="I244" s="807">
        <v>500</v>
      </c>
      <c r="J244" s="914">
        <f t="shared" si="29"/>
        <v>1000</v>
      </c>
      <c r="K244" s="1030">
        <f t="shared" si="30"/>
        <v>9000</v>
      </c>
      <c r="L244" s="919"/>
      <c r="M244" s="729"/>
      <c r="N244" s="729"/>
      <c r="O244" s="729"/>
      <c r="P244" s="729"/>
      <c r="Q244" s="729"/>
      <c r="R244" s="729"/>
      <c r="S244" s="729"/>
    </row>
    <row r="245" spans="1:21" s="714" customFormat="1" ht="24" customHeight="1">
      <c r="A245" s="831"/>
      <c r="B245" s="720" t="s">
        <v>957</v>
      </c>
      <c r="C245" s="717"/>
      <c r="D245" s="718"/>
      <c r="E245" s="1141"/>
      <c r="F245" s="916"/>
      <c r="G245" s="806"/>
      <c r="H245" s="918"/>
      <c r="I245" s="807"/>
      <c r="J245" s="919"/>
      <c r="K245" s="968"/>
      <c r="L245" s="919"/>
      <c r="M245" s="729"/>
      <c r="N245" s="729"/>
      <c r="O245" s="729"/>
      <c r="P245" s="729"/>
      <c r="Q245" s="729"/>
    </row>
    <row r="246" spans="1:21" s="714" customFormat="1" ht="24" customHeight="1">
      <c r="A246" s="831"/>
      <c r="B246" s="720" t="s">
        <v>958</v>
      </c>
      <c r="C246" s="717"/>
      <c r="D246" s="718"/>
      <c r="E246" s="1141"/>
      <c r="F246" s="916"/>
      <c r="G246" s="806"/>
      <c r="H246" s="918"/>
      <c r="I246" s="807"/>
      <c r="J246" s="919"/>
      <c r="K246" s="968"/>
      <c r="L246" s="919"/>
      <c r="M246" s="729"/>
      <c r="N246" s="729"/>
      <c r="O246" s="729"/>
      <c r="P246" s="729"/>
      <c r="Q246" s="729"/>
    </row>
    <row r="247" spans="1:21" s="714" customFormat="1" ht="24" customHeight="1">
      <c r="A247" s="831"/>
      <c r="B247" s="720" t="s">
        <v>958</v>
      </c>
      <c r="C247" s="717"/>
      <c r="D247" s="718"/>
      <c r="E247" s="1141"/>
      <c r="F247" s="916"/>
      <c r="G247" s="806"/>
      <c r="H247" s="918"/>
      <c r="I247" s="807"/>
      <c r="J247" s="919"/>
      <c r="K247" s="968"/>
      <c r="L247" s="919"/>
      <c r="M247" s="729"/>
      <c r="N247" s="729"/>
      <c r="O247" s="729"/>
      <c r="P247" s="729"/>
      <c r="Q247" s="729"/>
    </row>
    <row r="248" spans="1:21" s="714" customFormat="1" ht="24" customHeight="1">
      <c r="A248" s="921"/>
      <c r="B248" s="705"/>
      <c r="C248" s="761"/>
      <c r="D248" s="718"/>
      <c r="E248" s="1105"/>
      <c r="F248" s="1079"/>
      <c r="G248" s="925"/>
      <c r="H248" s="926"/>
      <c r="I248" s="925"/>
      <c r="J248" s="928"/>
      <c r="K248" s="1072"/>
      <c r="L248" s="928"/>
      <c r="M248" s="729"/>
      <c r="N248" s="729"/>
      <c r="O248" s="729"/>
      <c r="P248" s="729"/>
      <c r="Q248" s="729"/>
    </row>
    <row r="249" spans="1:21" s="714" customFormat="1" ht="24" customHeight="1">
      <c r="A249" s="1095"/>
      <c r="B249" s="1083"/>
      <c r="C249" s="1096"/>
      <c r="D249" s="2197"/>
      <c r="E249" s="1098"/>
      <c r="F249" s="1099"/>
      <c r="G249" s="1100"/>
      <c r="H249" s="1101"/>
      <c r="I249" s="1102"/>
      <c r="J249" s="1101"/>
      <c r="K249" s="1103"/>
      <c r="L249" s="1104"/>
      <c r="M249" s="1094"/>
      <c r="N249" s="1094"/>
      <c r="O249" s="1094"/>
      <c r="P249" s="729"/>
      <c r="Q249" s="729"/>
      <c r="R249" s="729"/>
      <c r="S249" s="729"/>
      <c r="T249" s="729"/>
      <c r="U249" s="729"/>
    </row>
    <row r="250" spans="1:21" s="714" customFormat="1" ht="24" customHeight="1">
      <c r="A250" s="775"/>
      <c r="B250" s="2475" t="str">
        <f>"รวมราคารายการที่ "&amp;A234</f>
        <v>รวมราคารายการที่ 3.6</v>
      </c>
      <c r="C250" s="2476"/>
      <c r="D250" s="2477"/>
      <c r="E250" s="776"/>
      <c r="F250" s="777"/>
      <c r="G250" s="959"/>
      <c r="H250" s="960">
        <f>SUM(H234:H247)</f>
        <v>20537</v>
      </c>
      <c r="I250" s="959"/>
      <c r="J250" s="960">
        <f>SUM(J234:J247)</f>
        <v>8790</v>
      </c>
      <c r="K250" s="960">
        <f>SUM(K234:K247)</f>
        <v>29327</v>
      </c>
      <c r="L250" s="1006"/>
      <c r="M250" s="729"/>
      <c r="N250" s="729"/>
      <c r="O250" s="729"/>
      <c r="P250" s="729"/>
      <c r="Q250" s="729"/>
    </row>
    <row r="251" spans="1:21" s="714" customFormat="1" ht="24" customHeight="1">
      <c r="A251" s="969" t="s">
        <v>1317</v>
      </c>
      <c r="B251" s="1015" t="s">
        <v>1197</v>
      </c>
      <c r="C251" s="770"/>
      <c r="D251" s="770"/>
      <c r="E251" s="930"/>
      <c r="F251" s="709"/>
      <c r="G251" s="932"/>
      <c r="H251" s="854"/>
      <c r="I251" s="934"/>
      <c r="J251" s="854"/>
      <c r="K251" s="1007"/>
      <c r="L251" s="935"/>
      <c r="M251" s="729"/>
      <c r="N251" s="729"/>
      <c r="O251" s="729"/>
      <c r="P251" s="729"/>
      <c r="Q251" s="729"/>
    </row>
    <row r="252" spans="1:21" s="714" customFormat="1" ht="24" customHeight="1">
      <c r="A252" s="791" t="s">
        <v>1051</v>
      </c>
      <c r="B252" s="972" t="s">
        <v>1291</v>
      </c>
      <c r="C252" s="717"/>
      <c r="D252" s="717"/>
      <c r="E252" s="917"/>
      <c r="F252" s="722"/>
      <c r="G252" s="806"/>
      <c r="H252" s="796"/>
      <c r="I252" s="807"/>
      <c r="J252" s="796"/>
      <c r="K252" s="1014"/>
      <c r="L252" s="919"/>
      <c r="M252" s="729"/>
      <c r="N252" s="729"/>
      <c r="O252" s="729"/>
      <c r="P252" s="729"/>
      <c r="Q252" s="729"/>
    </row>
    <row r="253" spans="1:21" s="714" customFormat="1" ht="24" customHeight="1">
      <c r="A253" s="704"/>
      <c r="B253" s="972" t="s">
        <v>1573</v>
      </c>
      <c r="C253" s="717"/>
      <c r="D253" s="717"/>
      <c r="E253" s="917">
        <v>1</v>
      </c>
      <c r="F253" s="722" t="s">
        <v>240</v>
      </c>
      <c r="G253" s="806">
        <f>72000+20280+5500</f>
        <v>97780</v>
      </c>
      <c r="H253" s="796">
        <f t="shared" ref="H253:H254" si="31">ROUND(E253*G253,)</f>
        <v>97780</v>
      </c>
      <c r="I253" s="807">
        <f t="shared" ref="I253:I254" si="32">G253*0.05</f>
        <v>4889</v>
      </c>
      <c r="J253" s="796">
        <f t="shared" ref="J253:J254" si="33">ROUND(E253*I253,)</f>
        <v>4889</v>
      </c>
      <c r="K253" s="1030">
        <f t="shared" ref="K253:K254" si="34">H253+J253</f>
        <v>102669</v>
      </c>
      <c r="L253" s="919"/>
      <c r="M253" s="729"/>
      <c r="N253" s="729"/>
      <c r="O253" s="729"/>
      <c r="P253" s="729"/>
      <c r="Q253" s="729"/>
    </row>
    <row r="254" spans="1:21" s="714" customFormat="1" ht="24" customHeight="1">
      <c r="A254" s="704"/>
      <c r="B254" s="972" t="s">
        <v>1574</v>
      </c>
      <c r="C254" s="717"/>
      <c r="D254" s="717"/>
      <c r="E254" s="917">
        <v>1</v>
      </c>
      <c r="F254" s="722" t="s">
        <v>240</v>
      </c>
      <c r="G254" s="806">
        <f>72000+20280+5500</f>
        <v>97780</v>
      </c>
      <c r="H254" s="796">
        <f t="shared" si="31"/>
        <v>97780</v>
      </c>
      <c r="I254" s="807">
        <f t="shared" si="32"/>
        <v>4889</v>
      </c>
      <c r="J254" s="796">
        <f t="shared" si="33"/>
        <v>4889</v>
      </c>
      <c r="K254" s="1030">
        <f t="shared" si="34"/>
        <v>102669</v>
      </c>
      <c r="L254" s="919"/>
      <c r="M254" s="729"/>
      <c r="N254" s="729"/>
      <c r="O254" s="729"/>
      <c r="P254" s="729"/>
      <c r="Q254" s="729"/>
    </row>
    <row r="255" spans="1:21" s="714" customFormat="1" ht="24" customHeight="1">
      <c r="A255" s="704"/>
      <c r="B255" s="972" t="s">
        <v>957</v>
      </c>
      <c r="C255" s="717"/>
      <c r="D255" s="717"/>
      <c r="E255" s="917"/>
      <c r="F255" s="916"/>
      <c r="G255" s="806"/>
      <c r="H255" s="918"/>
      <c r="I255" s="807"/>
      <c r="J255" s="919"/>
      <c r="K255" s="968"/>
      <c r="L255" s="919"/>
      <c r="M255" s="729"/>
      <c r="N255" s="729"/>
      <c r="O255" s="729"/>
      <c r="P255" s="729"/>
      <c r="Q255" s="729"/>
    </row>
    <row r="256" spans="1:21" s="714" customFormat="1" ht="24" customHeight="1">
      <c r="A256" s="704"/>
      <c r="B256" s="972" t="s">
        <v>958</v>
      </c>
      <c r="C256" s="717"/>
      <c r="D256" s="717"/>
      <c r="E256" s="917"/>
      <c r="F256" s="916"/>
      <c r="G256" s="806"/>
      <c r="H256" s="918"/>
      <c r="I256" s="807"/>
      <c r="J256" s="919"/>
      <c r="K256" s="968"/>
      <c r="L256" s="919"/>
      <c r="M256" s="729"/>
      <c r="N256" s="729"/>
      <c r="O256" s="729"/>
      <c r="P256" s="729"/>
      <c r="Q256" s="729"/>
    </row>
    <row r="257" spans="1:21" s="714" customFormat="1" ht="24" customHeight="1">
      <c r="A257" s="898"/>
      <c r="B257" s="1078" t="s">
        <v>958</v>
      </c>
      <c r="C257" s="761"/>
      <c r="D257" s="761"/>
      <c r="E257" s="923"/>
      <c r="F257" s="924"/>
      <c r="G257" s="925"/>
      <c r="H257" s="926"/>
      <c r="I257" s="927"/>
      <c r="J257" s="928"/>
      <c r="K257" s="1072"/>
      <c r="L257" s="928"/>
      <c r="M257" s="729"/>
      <c r="N257" s="729"/>
      <c r="O257" s="729"/>
      <c r="P257" s="729"/>
      <c r="Q257" s="729"/>
    </row>
    <row r="258" spans="1:21" s="714" customFormat="1" ht="24" customHeight="1">
      <c r="A258" s="1095"/>
      <c r="B258" s="1083"/>
      <c r="C258" s="1096"/>
      <c r="D258" s="1097"/>
      <c r="E258" s="1098"/>
      <c r="F258" s="1099"/>
      <c r="G258" s="1100"/>
      <c r="H258" s="1101"/>
      <c r="I258" s="1102"/>
      <c r="J258" s="1101"/>
      <c r="K258" s="1103"/>
      <c r="L258" s="1104"/>
      <c r="M258" s="1094"/>
      <c r="N258" s="1094"/>
      <c r="O258" s="1094"/>
      <c r="P258" s="729"/>
      <c r="Q258" s="729"/>
      <c r="R258" s="729"/>
      <c r="S258" s="729"/>
      <c r="T258" s="729"/>
      <c r="U258" s="729"/>
    </row>
    <row r="259" spans="1:21" s="714" customFormat="1" ht="24" customHeight="1">
      <c r="A259" s="775"/>
      <c r="B259" s="2475" t="str">
        <f>"รวมราคารายการที่ "&amp;A251</f>
        <v>รวมราคารายการที่ 3.7</v>
      </c>
      <c r="C259" s="2476"/>
      <c r="D259" s="2477"/>
      <c r="E259" s="776"/>
      <c r="F259" s="777"/>
      <c r="G259" s="959"/>
      <c r="H259" s="960">
        <f>SUM(H251:H257)</f>
        <v>195560</v>
      </c>
      <c r="I259" s="959"/>
      <c r="J259" s="960">
        <f t="shared" ref="J259:K259" si="35">SUM(J251:J257)</f>
        <v>9778</v>
      </c>
      <c r="K259" s="960">
        <f t="shared" si="35"/>
        <v>205338</v>
      </c>
      <c r="L259" s="1006"/>
      <c r="M259" s="729"/>
      <c r="N259" s="729"/>
      <c r="O259" s="729"/>
      <c r="P259" s="729"/>
      <c r="Q259" s="729"/>
    </row>
    <row r="260" spans="1:21" s="714" customFormat="1" ht="24" customHeight="1">
      <c r="A260" s="911" t="s">
        <v>1339</v>
      </c>
      <c r="B260" s="816" t="s">
        <v>1294</v>
      </c>
      <c r="C260" s="770"/>
      <c r="D260" s="770"/>
      <c r="E260" s="942"/>
      <c r="F260" s="803"/>
      <c r="G260" s="932"/>
      <c r="H260" s="796"/>
      <c r="I260" s="934"/>
      <c r="J260" s="796"/>
      <c r="K260" s="1014"/>
      <c r="L260" s="935"/>
      <c r="M260" s="729"/>
      <c r="N260" s="729"/>
      <c r="O260" s="729"/>
      <c r="P260" s="729"/>
      <c r="Q260" s="729"/>
    </row>
    <row r="261" spans="1:21" s="714" customFormat="1" ht="24" customHeight="1">
      <c r="A261" s="861"/>
      <c r="B261" s="756" t="s">
        <v>1295</v>
      </c>
      <c r="C261" s="717"/>
      <c r="D261" s="717"/>
      <c r="E261" s="942">
        <v>117</v>
      </c>
      <c r="F261" s="759" t="s">
        <v>240</v>
      </c>
      <c r="G261" s="752">
        <v>420</v>
      </c>
      <c r="H261" s="864">
        <f t="shared" ref="H261:H282" si="36">ROUND(E261*G261,)</f>
        <v>49140</v>
      </c>
      <c r="I261" s="949">
        <v>115</v>
      </c>
      <c r="J261" s="864">
        <f t="shared" ref="J261:J282" si="37">ROUND(E261*I261,)</f>
        <v>13455</v>
      </c>
      <c r="K261" s="1030">
        <f t="shared" ref="K261:K282" si="38">H261+J261</f>
        <v>62595</v>
      </c>
      <c r="L261" s="973"/>
      <c r="M261" s="729"/>
      <c r="N261" s="729"/>
      <c r="O261" s="729"/>
      <c r="P261" s="729"/>
    </row>
    <row r="262" spans="1:21" s="714" customFormat="1" ht="24" customHeight="1">
      <c r="A262" s="861"/>
      <c r="B262" s="756" t="s">
        <v>1296</v>
      </c>
      <c r="C262" s="717"/>
      <c r="D262" s="717"/>
      <c r="E262" s="942">
        <v>57</v>
      </c>
      <c r="F262" s="759" t="s">
        <v>240</v>
      </c>
      <c r="G262" s="752">
        <v>500</v>
      </c>
      <c r="H262" s="864">
        <f t="shared" si="36"/>
        <v>28500</v>
      </c>
      <c r="I262" s="949">
        <v>115</v>
      </c>
      <c r="J262" s="864">
        <f t="shared" si="37"/>
        <v>6555</v>
      </c>
      <c r="K262" s="1030">
        <f t="shared" si="38"/>
        <v>35055</v>
      </c>
      <c r="L262" s="973"/>
      <c r="M262" s="729"/>
      <c r="N262" s="729"/>
      <c r="O262" s="729"/>
      <c r="P262" s="729"/>
    </row>
    <row r="263" spans="1:21" s="714" customFormat="1" ht="24" customHeight="1">
      <c r="A263" s="861"/>
      <c r="B263" s="756" t="s">
        <v>1297</v>
      </c>
      <c r="C263" s="717"/>
      <c r="D263" s="717"/>
      <c r="E263" s="942">
        <v>190</v>
      </c>
      <c r="F263" s="759" t="s">
        <v>240</v>
      </c>
      <c r="G263" s="752">
        <v>550</v>
      </c>
      <c r="H263" s="864">
        <f t="shared" si="36"/>
        <v>104500</v>
      </c>
      <c r="I263" s="949">
        <v>115</v>
      </c>
      <c r="J263" s="864">
        <f t="shared" si="37"/>
        <v>21850</v>
      </c>
      <c r="K263" s="1030">
        <f t="shared" si="38"/>
        <v>126350</v>
      </c>
      <c r="L263" s="973"/>
      <c r="M263" s="729"/>
      <c r="N263" s="729"/>
      <c r="O263" s="729"/>
      <c r="P263" s="729"/>
    </row>
    <row r="264" spans="1:21" s="714" customFormat="1" ht="24" customHeight="1">
      <c r="A264" s="861"/>
      <c r="B264" s="756" t="s">
        <v>1298</v>
      </c>
      <c r="C264" s="717"/>
      <c r="D264" s="717"/>
      <c r="E264" s="942"/>
      <c r="F264" s="759" t="s">
        <v>240</v>
      </c>
      <c r="G264" s="752">
        <v>750</v>
      </c>
      <c r="H264" s="864">
        <f t="shared" si="36"/>
        <v>0</v>
      </c>
      <c r="I264" s="949">
        <v>135</v>
      </c>
      <c r="J264" s="864">
        <f t="shared" si="37"/>
        <v>0</v>
      </c>
      <c r="K264" s="966">
        <f t="shared" si="38"/>
        <v>0</v>
      </c>
      <c r="L264" s="973"/>
      <c r="M264" s="729"/>
      <c r="N264" s="729"/>
      <c r="O264" s="729"/>
      <c r="P264" s="729"/>
    </row>
    <row r="265" spans="1:21" s="714" customFormat="1" ht="24" customHeight="1">
      <c r="A265" s="861"/>
      <c r="B265" s="756" t="s">
        <v>1299</v>
      </c>
      <c r="C265" s="717"/>
      <c r="D265" s="717"/>
      <c r="E265" s="942"/>
      <c r="F265" s="759" t="s">
        <v>240</v>
      </c>
      <c r="G265" s="806">
        <v>2090</v>
      </c>
      <c r="H265" s="796">
        <f t="shared" si="36"/>
        <v>0</v>
      </c>
      <c r="I265" s="807">
        <v>135</v>
      </c>
      <c r="J265" s="864">
        <f t="shared" si="37"/>
        <v>0</v>
      </c>
      <c r="K265" s="966">
        <f t="shared" si="38"/>
        <v>0</v>
      </c>
      <c r="L265" s="973"/>
      <c r="M265" s="729"/>
      <c r="N265" s="729"/>
      <c r="O265" s="729"/>
      <c r="P265" s="729"/>
    </row>
    <row r="266" spans="1:21" s="714" customFormat="1" ht="24" customHeight="1">
      <c r="A266" s="861"/>
      <c r="B266" s="756" t="s">
        <v>1300</v>
      </c>
      <c r="C266" s="717"/>
      <c r="D266" s="717"/>
      <c r="E266" s="942"/>
      <c r="F266" s="759" t="s">
        <v>240</v>
      </c>
      <c r="G266" s="806">
        <v>650</v>
      </c>
      <c r="H266" s="796">
        <f t="shared" si="36"/>
        <v>0</v>
      </c>
      <c r="I266" s="807">
        <v>20</v>
      </c>
      <c r="J266" s="864">
        <f t="shared" si="37"/>
        <v>0</v>
      </c>
      <c r="K266" s="966">
        <f t="shared" si="38"/>
        <v>0</v>
      </c>
      <c r="L266" s="973"/>
      <c r="M266" s="729"/>
      <c r="N266" s="729"/>
      <c r="O266" s="729"/>
      <c r="P266" s="729"/>
    </row>
    <row r="267" spans="1:21" s="714" customFormat="1" ht="24" customHeight="1">
      <c r="A267" s="861"/>
      <c r="B267" s="756" t="s">
        <v>1301</v>
      </c>
      <c r="C267" s="717"/>
      <c r="D267" s="717"/>
      <c r="E267" s="942"/>
      <c r="F267" s="759" t="s">
        <v>240</v>
      </c>
      <c r="G267" s="806">
        <v>1200</v>
      </c>
      <c r="H267" s="796">
        <f t="shared" si="36"/>
        <v>0</v>
      </c>
      <c r="I267" s="807">
        <v>135</v>
      </c>
      <c r="J267" s="864">
        <f t="shared" si="37"/>
        <v>0</v>
      </c>
      <c r="K267" s="966">
        <f t="shared" si="38"/>
        <v>0</v>
      </c>
      <c r="L267" s="973"/>
      <c r="M267" s="729"/>
      <c r="N267" s="729"/>
      <c r="O267" s="729"/>
      <c r="P267" s="729"/>
    </row>
    <row r="268" spans="1:21" s="714" customFormat="1" ht="24" customHeight="1">
      <c r="A268" s="861"/>
      <c r="B268" s="756" t="s">
        <v>1302</v>
      </c>
      <c r="C268" s="717"/>
      <c r="D268" s="717"/>
      <c r="E268" s="942"/>
      <c r="F268" s="759" t="s">
        <v>240</v>
      </c>
      <c r="G268" s="806">
        <v>1200</v>
      </c>
      <c r="H268" s="796">
        <f t="shared" si="36"/>
        <v>0</v>
      </c>
      <c r="I268" s="807">
        <v>135</v>
      </c>
      <c r="J268" s="864">
        <f t="shared" si="37"/>
        <v>0</v>
      </c>
      <c r="K268" s="966">
        <f t="shared" si="38"/>
        <v>0</v>
      </c>
      <c r="L268" s="973"/>
      <c r="M268" s="729"/>
      <c r="N268" s="729"/>
      <c r="O268" s="729"/>
      <c r="P268" s="729"/>
    </row>
    <row r="269" spans="1:21" s="714" customFormat="1" ht="24" customHeight="1">
      <c r="A269" s="861"/>
      <c r="B269" s="756" t="s">
        <v>1303</v>
      </c>
      <c r="C269" s="717"/>
      <c r="D269" s="717"/>
      <c r="E269" s="942"/>
      <c r="F269" s="759" t="s">
        <v>240</v>
      </c>
      <c r="G269" s="806">
        <v>1200</v>
      </c>
      <c r="H269" s="796">
        <f t="shared" si="36"/>
        <v>0</v>
      </c>
      <c r="I269" s="807">
        <v>135</v>
      </c>
      <c r="J269" s="864">
        <f t="shared" si="37"/>
        <v>0</v>
      </c>
      <c r="K269" s="966">
        <f t="shared" si="38"/>
        <v>0</v>
      </c>
      <c r="L269" s="973"/>
      <c r="M269" s="729"/>
      <c r="N269" s="729"/>
      <c r="O269" s="729"/>
      <c r="P269" s="729"/>
    </row>
    <row r="270" spans="1:21" s="714" customFormat="1" ht="24" customHeight="1">
      <c r="A270" s="861"/>
      <c r="B270" s="756" t="s">
        <v>1304</v>
      </c>
      <c r="C270" s="717"/>
      <c r="D270" s="717"/>
      <c r="E270" s="942"/>
      <c r="F270" s="759" t="s">
        <v>240</v>
      </c>
      <c r="G270" s="806">
        <v>1200</v>
      </c>
      <c r="H270" s="796">
        <f t="shared" si="36"/>
        <v>0</v>
      </c>
      <c r="I270" s="807">
        <v>135</v>
      </c>
      <c r="J270" s="864">
        <f t="shared" si="37"/>
        <v>0</v>
      </c>
      <c r="K270" s="966">
        <f t="shared" si="38"/>
        <v>0</v>
      </c>
      <c r="L270" s="973"/>
      <c r="M270" s="729"/>
      <c r="N270" s="729"/>
      <c r="O270" s="729"/>
      <c r="P270" s="729"/>
    </row>
    <row r="271" spans="1:21" s="714" customFormat="1" ht="24" customHeight="1">
      <c r="A271" s="861"/>
      <c r="B271" s="756" t="s">
        <v>1305</v>
      </c>
      <c r="C271" s="717"/>
      <c r="D271" s="717"/>
      <c r="E271" s="942"/>
      <c r="F271" s="759" t="s">
        <v>240</v>
      </c>
      <c r="G271" s="806">
        <v>1200</v>
      </c>
      <c r="H271" s="796">
        <f t="shared" si="36"/>
        <v>0</v>
      </c>
      <c r="I271" s="807">
        <v>135</v>
      </c>
      <c r="J271" s="864">
        <f t="shared" si="37"/>
        <v>0</v>
      </c>
      <c r="K271" s="966">
        <f t="shared" si="38"/>
        <v>0</v>
      </c>
      <c r="L271" s="973"/>
      <c r="M271" s="729"/>
      <c r="N271" s="729"/>
      <c r="O271" s="729"/>
      <c r="P271" s="729"/>
    </row>
    <row r="272" spans="1:21" s="714" customFormat="1" ht="24" customHeight="1">
      <c r="A272" s="861"/>
      <c r="B272" s="756" t="s">
        <v>1306</v>
      </c>
      <c r="C272" s="717"/>
      <c r="D272" s="717"/>
      <c r="E272" s="942"/>
      <c r="F272" s="759" t="s">
        <v>240</v>
      </c>
      <c r="G272" s="806">
        <v>1860</v>
      </c>
      <c r="H272" s="796">
        <f t="shared" si="36"/>
        <v>0</v>
      </c>
      <c r="I272" s="807">
        <v>135</v>
      </c>
      <c r="J272" s="796">
        <f t="shared" si="37"/>
        <v>0</v>
      </c>
      <c r="K272" s="1014">
        <f t="shared" si="38"/>
        <v>0</v>
      </c>
      <c r="L272" s="973"/>
      <c r="M272" s="729"/>
      <c r="N272" s="729"/>
      <c r="O272" s="729"/>
      <c r="P272" s="729"/>
    </row>
    <row r="273" spans="1:21" s="714" customFormat="1" ht="24" customHeight="1">
      <c r="A273" s="861"/>
      <c r="B273" s="756" t="s">
        <v>1307</v>
      </c>
      <c r="C273" s="717"/>
      <c r="D273" s="717"/>
      <c r="E273" s="942"/>
      <c r="F273" s="759" t="s">
        <v>240</v>
      </c>
      <c r="G273" s="806">
        <v>1860</v>
      </c>
      <c r="H273" s="796">
        <f t="shared" si="36"/>
        <v>0</v>
      </c>
      <c r="I273" s="807">
        <v>135</v>
      </c>
      <c r="J273" s="796">
        <f t="shared" si="37"/>
        <v>0</v>
      </c>
      <c r="K273" s="1014">
        <f t="shared" si="38"/>
        <v>0</v>
      </c>
      <c r="L273" s="973"/>
      <c r="M273" s="729"/>
      <c r="N273" s="729"/>
      <c r="O273" s="729"/>
      <c r="P273" s="729"/>
    </row>
    <row r="274" spans="1:21" s="714" customFormat="1" ht="24" customHeight="1">
      <c r="A274" s="861"/>
      <c r="B274" s="756" t="s">
        <v>1308</v>
      </c>
      <c r="C274" s="717"/>
      <c r="D274" s="717"/>
      <c r="E274" s="942"/>
      <c r="F274" s="759" t="s">
        <v>240</v>
      </c>
      <c r="G274" s="806">
        <v>1250</v>
      </c>
      <c r="H274" s="796">
        <f t="shared" si="36"/>
        <v>0</v>
      </c>
      <c r="I274" s="807">
        <v>135</v>
      </c>
      <c r="J274" s="864">
        <f t="shared" si="37"/>
        <v>0</v>
      </c>
      <c r="K274" s="966">
        <f t="shared" si="38"/>
        <v>0</v>
      </c>
      <c r="L274" s="973"/>
      <c r="M274" s="729"/>
      <c r="N274" s="729"/>
      <c r="O274" s="729"/>
      <c r="P274" s="729"/>
    </row>
    <row r="275" spans="1:21" s="714" customFormat="1" ht="24" customHeight="1">
      <c r="A275" s="861"/>
      <c r="B275" s="756" t="s">
        <v>1309</v>
      </c>
      <c r="C275" s="717"/>
      <c r="D275" s="717"/>
      <c r="E275" s="942">
        <v>58</v>
      </c>
      <c r="F275" s="759" t="s">
        <v>240</v>
      </c>
      <c r="G275" s="806">
        <v>1860</v>
      </c>
      <c r="H275" s="796">
        <f t="shared" si="36"/>
        <v>107880</v>
      </c>
      <c r="I275" s="807">
        <v>135</v>
      </c>
      <c r="J275" s="796">
        <f t="shared" si="37"/>
        <v>7830</v>
      </c>
      <c r="K275" s="1030">
        <f t="shared" si="38"/>
        <v>115710</v>
      </c>
      <c r="L275" s="973"/>
      <c r="M275" s="729"/>
      <c r="N275" s="729"/>
      <c r="O275" s="729"/>
      <c r="P275" s="729"/>
    </row>
    <row r="276" spans="1:21" s="714" customFormat="1" ht="24" customHeight="1">
      <c r="A276" s="861"/>
      <c r="B276" s="756" t="s">
        <v>1310</v>
      </c>
      <c r="C276" s="717"/>
      <c r="D276" s="717"/>
      <c r="E276" s="942"/>
      <c r="F276" s="759" t="s">
        <v>240</v>
      </c>
      <c r="G276" s="806">
        <v>1200</v>
      </c>
      <c r="H276" s="796">
        <f t="shared" si="36"/>
        <v>0</v>
      </c>
      <c r="I276" s="807">
        <v>135</v>
      </c>
      <c r="J276" s="864">
        <f t="shared" si="37"/>
        <v>0</v>
      </c>
      <c r="K276" s="966">
        <f t="shared" si="38"/>
        <v>0</v>
      </c>
      <c r="L276" s="973"/>
      <c r="M276" s="729"/>
      <c r="N276" s="729"/>
      <c r="O276" s="729"/>
      <c r="P276" s="729"/>
    </row>
    <row r="277" spans="1:21" s="714" customFormat="1" ht="24" customHeight="1">
      <c r="A277" s="861"/>
      <c r="B277" s="756" t="s">
        <v>1311</v>
      </c>
      <c r="C277" s="717"/>
      <c r="D277" s="717"/>
      <c r="E277" s="942"/>
      <c r="F277" s="759" t="s">
        <v>240</v>
      </c>
      <c r="G277" s="806">
        <v>1200</v>
      </c>
      <c r="H277" s="796">
        <f t="shared" si="36"/>
        <v>0</v>
      </c>
      <c r="I277" s="807">
        <v>135</v>
      </c>
      <c r="J277" s="864">
        <f t="shared" si="37"/>
        <v>0</v>
      </c>
      <c r="K277" s="966">
        <f t="shared" si="38"/>
        <v>0</v>
      </c>
      <c r="L277" s="973"/>
      <c r="M277" s="729"/>
      <c r="N277" s="729"/>
      <c r="O277" s="729"/>
      <c r="P277" s="729"/>
    </row>
    <row r="278" spans="1:21" s="714" customFormat="1" ht="24" customHeight="1">
      <c r="A278" s="861"/>
      <c r="B278" s="756" t="s">
        <v>1312</v>
      </c>
      <c r="C278" s="757"/>
      <c r="D278" s="757"/>
      <c r="E278" s="942">
        <v>25</v>
      </c>
      <c r="F278" s="759" t="s">
        <v>240</v>
      </c>
      <c r="G278" s="752">
        <v>1830</v>
      </c>
      <c r="H278" s="864">
        <f t="shared" si="36"/>
        <v>45750</v>
      </c>
      <c r="I278" s="949">
        <v>500</v>
      </c>
      <c r="J278" s="864">
        <f t="shared" si="37"/>
        <v>12500</v>
      </c>
      <c r="K278" s="1030">
        <f t="shared" si="38"/>
        <v>58250</v>
      </c>
      <c r="L278" s="973"/>
      <c r="M278" s="729"/>
      <c r="N278" s="729"/>
      <c r="O278" s="729"/>
      <c r="P278" s="729"/>
    </row>
    <row r="279" spans="1:21" s="714" customFormat="1" ht="24" customHeight="1">
      <c r="A279" s="861"/>
      <c r="B279" s="756" t="s">
        <v>1313</v>
      </c>
      <c r="C279" s="974"/>
      <c r="D279" s="974"/>
      <c r="E279" s="942">
        <v>6</v>
      </c>
      <c r="F279" s="759" t="s">
        <v>240</v>
      </c>
      <c r="G279" s="766">
        <v>1620</v>
      </c>
      <c r="H279" s="864">
        <f t="shared" si="36"/>
        <v>9720</v>
      </c>
      <c r="I279" s="975">
        <v>500</v>
      </c>
      <c r="J279" s="864">
        <f t="shared" si="37"/>
        <v>3000</v>
      </c>
      <c r="K279" s="1030">
        <f t="shared" si="38"/>
        <v>12720</v>
      </c>
      <c r="L279" s="973"/>
      <c r="M279" s="729"/>
      <c r="N279" s="729"/>
      <c r="O279" s="729"/>
      <c r="P279" s="729"/>
    </row>
    <row r="280" spans="1:21" s="714" customFormat="1" ht="24" customHeight="1">
      <c r="A280" s="861"/>
      <c r="B280" s="756" t="s">
        <v>1314</v>
      </c>
      <c r="C280" s="757"/>
      <c r="D280" s="757"/>
      <c r="E280" s="942">
        <v>43</v>
      </c>
      <c r="F280" s="759" t="s">
        <v>240</v>
      </c>
      <c r="G280" s="752">
        <v>920</v>
      </c>
      <c r="H280" s="864">
        <f t="shared" si="36"/>
        <v>39560</v>
      </c>
      <c r="I280" s="949">
        <v>250</v>
      </c>
      <c r="J280" s="864">
        <f t="shared" si="37"/>
        <v>10750</v>
      </c>
      <c r="K280" s="1030">
        <f t="shared" si="38"/>
        <v>50310</v>
      </c>
      <c r="L280" s="973"/>
      <c r="M280" s="729"/>
      <c r="N280" s="729"/>
      <c r="O280" s="729"/>
      <c r="P280" s="729"/>
    </row>
    <row r="281" spans="1:21" s="714" customFormat="1" ht="24" customHeight="1">
      <c r="A281" s="861"/>
      <c r="B281" s="756" t="s">
        <v>1315</v>
      </c>
      <c r="C281" s="757"/>
      <c r="D281" s="757"/>
      <c r="E281" s="942">
        <v>2</v>
      </c>
      <c r="F281" s="759" t="s">
        <v>240</v>
      </c>
      <c r="G281" s="752">
        <v>2180</v>
      </c>
      <c r="H281" s="864">
        <f t="shared" si="36"/>
        <v>4360</v>
      </c>
      <c r="I281" s="949">
        <v>500</v>
      </c>
      <c r="J281" s="864">
        <f t="shared" si="37"/>
        <v>1000</v>
      </c>
      <c r="K281" s="1030">
        <f t="shared" si="38"/>
        <v>5360</v>
      </c>
      <c r="L281" s="973"/>
      <c r="M281" s="729"/>
      <c r="N281" s="729"/>
      <c r="O281" s="729"/>
      <c r="P281" s="729"/>
    </row>
    <row r="282" spans="1:21" s="714" customFormat="1" ht="24" customHeight="1">
      <c r="A282" s="861"/>
      <c r="B282" s="705" t="s">
        <v>1316</v>
      </c>
      <c r="C282" s="717"/>
      <c r="D282" s="717"/>
      <c r="E282" s="942">
        <v>1</v>
      </c>
      <c r="F282" s="759" t="s">
        <v>948</v>
      </c>
      <c r="G282" s="752">
        <f>ROUND(SUM(H260:H280)*5%,)</f>
        <v>19253</v>
      </c>
      <c r="H282" s="864">
        <f t="shared" si="36"/>
        <v>19253</v>
      </c>
      <c r="I282" s="949">
        <f>ROUND(G282*0.3,)</f>
        <v>5776</v>
      </c>
      <c r="J282" s="864">
        <f t="shared" si="37"/>
        <v>5776</v>
      </c>
      <c r="K282" s="1030">
        <f t="shared" si="38"/>
        <v>25029</v>
      </c>
      <c r="L282" s="973"/>
      <c r="M282" s="729"/>
      <c r="N282" s="729"/>
      <c r="O282" s="729"/>
      <c r="P282" s="729"/>
    </row>
    <row r="283" spans="1:21" s="714" customFormat="1" ht="24" customHeight="1">
      <c r="A283" s="831"/>
      <c r="B283" s="720" t="s">
        <v>957</v>
      </c>
      <c r="C283" s="717"/>
      <c r="D283" s="717"/>
      <c r="E283" s="917"/>
      <c r="F283" s="722"/>
      <c r="G283" s="806"/>
      <c r="H283" s="918"/>
      <c r="I283" s="807"/>
      <c r="J283" s="919"/>
      <c r="K283" s="968"/>
      <c r="L283" s="919"/>
      <c r="M283" s="729"/>
      <c r="N283" s="729"/>
      <c r="O283" s="729"/>
      <c r="P283" s="729"/>
      <c r="Q283" s="729"/>
    </row>
    <row r="284" spans="1:21" s="714" customFormat="1" ht="24" customHeight="1">
      <c r="A284" s="831"/>
      <c r="B284" s="720" t="s">
        <v>1239</v>
      </c>
      <c r="C284" s="717"/>
      <c r="D284" s="717"/>
      <c r="E284" s="917"/>
      <c r="F284" s="722"/>
      <c r="G284" s="806"/>
      <c r="H284" s="918"/>
      <c r="I284" s="807"/>
      <c r="J284" s="919"/>
      <c r="K284" s="968"/>
      <c r="L284" s="919"/>
      <c r="M284" s="729"/>
      <c r="N284" s="729"/>
      <c r="O284" s="729"/>
      <c r="P284" s="729"/>
      <c r="Q284" s="729"/>
    </row>
    <row r="285" spans="1:21" s="714" customFormat="1" ht="24" customHeight="1">
      <c r="A285" s="921"/>
      <c r="B285" s="705" t="s">
        <v>1239</v>
      </c>
      <c r="C285" s="761"/>
      <c r="D285" s="761"/>
      <c r="E285" s="923"/>
      <c r="F285" s="924"/>
      <c r="G285" s="925"/>
      <c r="H285" s="926"/>
      <c r="I285" s="927"/>
      <c r="J285" s="928"/>
      <c r="K285" s="1072"/>
      <c r="L285" s="928"/>
      <c r="M285" s="729"/>
      <c r="N285" s="729"/>
      <c r="O285" s="729"/>
      <c r="P285" s="729"/>
      <c r="Q285" s="729"/>
    </row>
    <row r="286" spans="1:21" s="714" customFormat="1" ht="24" customHeight="1">
      <c r="A286" s="1095"/>
      <c r="B286" s="1083"/>
      <c r="C286" s="1096"/>
      <c r="D286" s="1097"/>
      <c r="E286" s="1098"/>
      <c r="F286" s="1099"/>
      <c r="G286" s="1100"/>
      <c r="H286" s="1101"/>
      <c r="I286" s="1102"/>
      <c r="J286" s="1101"/>
      <c r="K286" s="1103"/>
      <c r="L286" s="1104"/>
      <c r="M286" s="1094"/>
      <c r="N286" s="1094"/>
      <c r="O286" s="1094"/>
      <c r="P286" s="729"/>
      <c r="Q286" s="729"/>
      <c r="R286" s="729"/>
      <c r="S286" s="729"/>
      <c r="T286" s="729"/>
      <c r="U286" s="729"/>
    </row>
    <row r="287" spans="1:21" s="714" customFormat="1" ht="24" customHeight="1">
      <c r="A287" s="775"/>
      <c r="B287" s="2475" t="str">
        <f>"รวมราคารายการที่ "&amp;A260</f>
        <v>รวมราคารายการที่ 3.8</v>
      </c>
      <c r="C287" s="2476"/>
      <c r="D287" s="2477"/>
      <c r="E287" s="776"/>
      <c r="F287" s="777"/>
      <c r="G287" s="959"/>
      <c r="H287" s="960">
        <f>SUM(H260:H285)</f>
        <v>408663</v>
      </c>
      <c r="I287" s="959"/>
      <c r="J287" s="960">
        <f t="shared" ref="J287:K287" si="39">SUM(J260:J285)</f>
        <v>82716</v>
      </c>
      <c r="K287" s="960">
        <f t="shared" si="39"/>
        <v>491379</v>
      </c>
      <c r="L287" s="1006"/>
      <c r="M287" s="729"/>
      <c r="N287" s="729"/>
      <c r="O287" s="729"/>
      <c r="P287" s="729"/>
      <c r="Q287" s="729"/>
    </row>
    <row r="288" spans="1:21" s="714" customFormat="1" ht="24" customHeight="1">
      <c r="A288" s="911">
        <v>3.9</v>
      </c>
      <c r="B288" s="816" t="s">
        <v>1225</v>
      </c>
      <c r="C288" s="770"/>
      <c r="D288" s="770"/>
      <c r="E288" s="930"/>
      <c r="F288" s="931"/>
      <c r="G288" s="932"/>
      <c r="H288" s="933"/>
      <c r="I288" s="934"/>
      <c r="J288" s="935"/>
      <c r="K288" s="1013"/>
      <c r="L288" s="935"/>
      <c r="M288" s="729"/>
      <c r="N288" s="729"/>
      <c r="O288" s="729"/>
      <c r="P288" s="729"/>
      <c r="Q288" s="729"/>
    </row>
    <row r="289" spans="1:17" s="714" customFormat="1" ht="24" customHeight="1">
      <c r="A289" s="856" t="s">
        <v>1136</v>
      </c>
      <c r="B289" s="720" t="s">
        <v>1318</v>
      </c>
      <c r="C289" s="717"/>
      <c r="D289" s="717"/>
      <c r="E289" s="917">
        <v>2</v>
      </c>
      <c r="F289" s="722" t="s">
        <v>240</v>
      </c>
      <c r="G289" s="806">
        <f>30000+13500</f>
        <v>43500</v>
      </c>
      <c r="H289" s="796">
        <f t="shared" ref="H289:H320" si="40">ROUND(E289*G289,)</f>
        <v>87000</v>
      </c>
      <c r="I289" s="807">
        <f>G289*0.1</f>
        <v>4350</v>
      </c>
      <c r="J289" s="796">
        <f t="shared" ref="J289:J320" si="41">ROUND(E289*I289,)</f>
        <v>8700</v>
      </c>
      <c r="K289" s="1030">
        <f t="shared" ref="K289:K320" si="42">H289+J289</f>
        <v>95700</v>
      </c>
      <c r="L289" s="919"/>
      <c r="M289" s="729"/>
      <c r="N289" s="729"/>
      <c r="O289" s="729"/>
      <c r="P289" s="729"/>
      <c r="Q289" s="729"/>
    </row>
    <row r="290" spans="1:17" s="714" customFormat="1" ht="24" customHeight="1">
      <c r="A290" s="856" t="s">
        <v>1144</v>
      </c>
      <c r="B290" s="720" t="s">
        <v>1319</v>
      </c>
      <c r="C290" s="717"/>
      <c r="D290" s="717"/>
      <c r="E290" s="917">
        <v>6</v>
      </c>
      <c r="F290" s="722" t="s">
        <v>240</v>
      </c>
      <c r="G290" s="806">
        <v>1850</v>
      </c>
      <c r="H290" s="796">
        <f t="shared" si="40"/>
        <v>11100</v>
      </c>
      <c r="I290" s="807">
        <v>250</v>
      </c>
      <c r="J290" s="796">
        <f t="shared" si="41"/>
        <v>1500</v>
      </c>
      <c r="K290" s="1030">
        <f t="shared" si="42"/>
        <v>12600</v>
      </c>
      <c r="L290" s="919"/>
      <c r="M290" s="729"/>
      <c r="N290" s="729"/>
      <c r="O290" s="729"/>
      <c r="P290" s="729"/>
      <c r="Q290" s="729"/>
    </row>
    <row r="291" spans="1:17" s="714" customFormat="1" ht="24" customHeight="1">
      <c r="A291" s="856" t="s">
        <v>1146</v>
      </c>
      <c r="B291" s="720" t="s">
        <v>1320</v>
      </c>
      <c r="C291" s="717"/>
      <c r="D291" s="717"/>
      <c r="E291" s="917">
        <v>6</v>
      </c>
      <c r="F291" s="722" t="s">
        <v>240</v>
      </c>
      <c r="G291" s="806">
        <v>1850</v>
      </c>
      <c r="H291" s="796">
        <f t="shared" si="40"/>
        <v>11100</v>
      </c>
      <c r="I291" s="807">
        <v>250</v>
      </c>
      <c r="J291" s="796">
        <f t="shared" si="41"/>
        <v>1500</v>
      </c>
      <c r="K291" s="1030">
        <f t="shared" si="42"/>
        <v>12600</v>
      </c>
      <c r="L291" s="919"/>
      <c r="M291" s="729"/>
      <c r="N291" s="729"/>
      <c r="O291" s="729"/>
      <c r="P291" s="729"/>
      <c r="Q291" s="729"/>
    </row>
    <row r="292" spans="1:17" s="714" customFormat="1" ht="24" customHeight="1">
      <c r="A292" s="856" t="s">
        <v>1156</v>
      </c>
      <c r="B292" s="720" t="s">
        <v>1321</v>
      </c>
      <c r="C292" s="717"/>
      <c r="D292" s="717"/>
      <c r="E292" s="917">
        <v>6</v>
      </c>
      <c r="F292" s="722" t="s">
        <v>240</v>
      </c>
      <c r="G292" s="806">
        <v>1850</v>
      </c>
      <c r="H292" s="796">
        <f t="shared" si="40"/>
        <v>11100</v>
      </c>
      <c r="I292" s="807">
        <v>250</v>
      </c>
      <c r="J292" s="796">
        <f t="shared" si="41"/>
        <v>1500</v>
      </c>
      <c r="K292" s="1030">
        <f t="shared" si="42"/>
        <v>12600</v>
      </c>
      <c r="L292" s="919"/>
      <c r="M292" s="729"/>
      <c r="N292" s="729"/>
      <c r="O292" s="729"/>
      <c r="P292" s="729"/>
      <c r="Q292" s="729"/>
    </row>
    <row r="293" spans="1:17" s="714" customFormat="1" ht="24" customHeight="1">
      <c r="A293" s="856" t="s">
        <v>1429</v>
      </c>
      <c r="B293" s="720" t="s">
        <v>1322</v>
      </c>
      <c r="C293" s="717"/>
      <c r="D293" s="717"/>
      <c r="E293" s="917">
        <v>6</v>
      </c>
      <c r="F293" s="722" t="s">
        <v>240</v>
      </c>
      <c r="G293" s="806">
        <v>1850</v>
      </c>
      <c r="H293" s="796">
        <f t="shared" si="40"/>
        <v>11100</v>
      </c>
      <c r="I293" s="807">
        <v>250</v>
      </c>
      <c r="J293" s="796">
        <f t="shared" si="41"/>
        <v>1500</v>
      </c>
      <c r="K293" s="1030">
        <f t="shared" si="42"/>
        <v>12600</v>
      </c>
      <c r="L293" s="919"/>
      <c r="M293" s="729"/>
      <c r="N293" s="729"/>
      <c r="O293" s="729"/>
      <c r="P293" s="729"/>
      <c r="Q293" s="729"/>
    </row>
    <row r="294" spans="1:17" s="714" customFormat="1" ht="24" customHeight="1">
      <c r="A294" s="856" t="s">
        <v>1486</v>
      </c>
      <c r="B294" s="720" t="s">
        <v>1323</v>
      </c>
      <c r="C294" s="717"/>
      <c r="D294" s="717"/>
      <c r="E294" s="917"/>
      <c r="F294" s="722" t="s">
        <v>240</v>
      </c>
      <c r="G294" s="806">
        <v>1850</v>
      </c>
      <c r="H294" s="796">
        <f t="shared" si="40"/>
        <v>0</v>
      </c>
      <c r="I294" s="807">
        <v>250</v>
      </c>
      <c r="J294" s="796">
        <f t="shared" si="41"/>
        <v>0</v>
      </c>
      <c r="K294" s="1030">
        <f t="shared" si="42"/>
        <v>0</v>
      </c>
      <c r="L294" s="919"/>
      <c r="M294" s="729"/>
      <c r="N294" s="729"/>
      <c r="O294" s="729"/>
      <c r="P294" s="729"/>
      <c r="Q294" s="729"/>
    </row>
    <row r="295" spans="1:17" s="714" customFormat="1" ht="24" customHeight="1">
      <c r="A295" s="856" t="s">
        <v>1432</v>
      </c>
      <c r="B295" s="720" t="s">
        <v>1324</v>
      </c>
      <c r="C295" s="717"/>
      <c r="D295" s="717"/>
      <c r="E295" s="917">
        <v>2</v>
      </c>
      <c r="F295" s="722" t="s">
        <v>240</v>
      </c>
      <c r="G295" s="806">
        <v>2750</v>
      </c>
      <c r="H295" s="796">
        <f t="shared" si="40"/>
        <v>5500</v>
      </c>
      <c r="I295" s="807">
        <v>250</v>
      </c>
      <c r="J295" s="796">
        <f t="shared" si="41"/>
        <v>500</v>
      </c>
      <c r="K295" s="1030">
        <f t="shared" si="42"/>
        <v>6000</v>
      </c>
      <c r="L295" s="919"/>
      <c r="M295" s="729"/>
      <c r="N295" s="729"/>
      <c r="O295" s="729"/>
      <c r="P295" s="729"/>
      <c r="Q295" s="729"/>
    </row>
    <row r="296" spans="1:17" s="714" customFormat="1" ht="24" customHeight="1">
      <c r="A296" s="856" t="s">
        <v>1433</v>
      </c>
      <c r="B296" s="720" t="s">
        <v>1325</v>
      </c>
      <c r="C296" s="717"/>
      <c r="D296" s="717"/>
      <c r="E296" s="917">
        <v>2</v>
      </c>
      <c r="F296" s="722" t="s">
        <v>240</v>
      </c>
      <c r="G296" s="806">
        <v>2750</v>
      </c>
      <c r="H296" s="796">
        <f t="shared" si="40"/>
        <v>5500</v>
      </c>
      <c r="I296" s="807">
        <v>250</v>
      </c>
      <c r="J296" s="796">
        <f t="shared" si="41"/>
        <v>500</v>
      </c>
      <c r="K296" s="1030">
        <f t="shared" si="42"/>
        <v>6000</v>
      </c>
      <c r="L296" s="919"/>
      <c r="M296" s="729"/>
      <c r="N296" s="729"/>
      <c r="O296" s="729"/>
      <c r="P296" s="729"/>
      <c r="Q296" s="729"/>
    </row>
    <row r="297" spans="1:17" s="714" customFormat="1" ht="24" customHeight="1">
      <c r="A297" s="856" t="s">
        <v>3070</v>
      </c>
      <c r="B297" s="720" t="s">
        <v>1326</v>
      </c>
      <c r="C297" s="717"/>
      <c r="D297" s="717"/>
      <c r="E297" s="917">
        <v>2</v>
      </c>
      <c r="F297" s="722" t="s">
        <v>240</v>
      </c>
      <c r="G297" s="806">
        <v>2750</v>
      </c>
      <c r="H297" s="796">
        <f t="shared" si="40"/>
        <v>5500</v>
      </c>
      <c r="I297" s="807">
        <v>250</v>
      </c>
      <c r="J297" s="796">
        <f t="shared" si="41"/>
        <v>500</v>
      </c>
      <c r="K297" s="1030">
        <f t="shared" si="42"/>
        <v>6000</v>
      </c>
      <c r="L297" s="919"/>
      <c r="M297" s="729"/>
      <c r="N297" s="729"/>
      <c r="O297" s="729"/>
      <c r="P297" s="729"/>
      <c r="Q297" s="729"/>
    </row>
    <row r="298" spans="1:17" s="714" customFormat="1" ht="24" customHeight="1">
      <c r="A298" s="856" t="s">
        <v>3071</v>
      </c>
      <c r="B298" s="720" t="s">
        <v>1327</v>
      </c>
      <c r="C298" s="717"/>
      <c r="D298" s="717"/>
      <c r="E298" s="917">
        <v>2</v>
      </c>
      <c r="F298" s="722" t="s">
        <v>240</v>
      </c>
      <c r="G298" s="806">
        <v>2750</v>
      </c>
      <c r="H298" s="796">
        <f t="shared" si="40"/>
        <v>5500</v>
      </c>
      <c r="I298" s="807">
        <v>250</v>
      </c>
      <c r="J298" s="796">
        <f t="shared" si="41"/>
        <v>500</v>
      </c>
      <c r="K298" s="1030">
        <f t="shared" si="42"/>
        <v>6000</v>
      </c>
      <c r="L298" s="919"/>
      <c r="M298" s="729"/>
      <c r="N298" s="729"/>
      <c r="O298" s="729"/>
      <c r="P298" s="729"/>
      <c r="Q298" s="729"/>
    </row>
    <row r="299" spans="1:17" s="714" customFormat="1" ht="24" customHeight="1">
      <c r="A299" s="856" t="s">
        <v>3072</v>
      </c>
      <c r="B299" s="720" t="s">
        <v>1328</v>
      </c>
      <c r="C299" s="717"/>
      <c r="D299" s="717"/>
      <c r="E299" s="917">
        <v>2</v>
      </c>
      <c r="F299" s="722" t="s">
        <v>240</v>
      </c>
      <c r="G299" s="806">
        <v>2750</v>
      </c>
      <c r="H299" s="796">
        <f t="shared" si="40"/>
        <v>5500</v>
      </c>
      <c r="I299" s="807">
        <v>250</v>
      </c>
      <c r="J299" s="796">
        <f t="shared" si="41"/>
        <v>500</v>
      </c>
      <c r="K299" s="1030">
        <f t="shared" si="42"/>
        <v>6000</v>
      </c>
      <c r="L299" s="919"/>
      <c r="M299" s="729"/>
      <c r="N299" s="729"/>
      <c r="O299" s="729"/>
      <c r="P299" s="729"/>
      <c r="Q299" s="729"/>
    </row>
    <row r="300" spans="1:17" s="714" customFormat="1" ht="24" customHeight="1">
      <c r="A300" s="856" t="s">
        <v>3073</v>
      </c>
      <c r="B300" s="720" t="s">
        <v>1329</v>
      </c>
      <c r="C300" s="717"/>
      <c r="D300" s="717"/>
      <c r="E300" s="917">
        <v>16</v>
      </c>
      <c r="F300" s="722" t="s">
        <v>240</v>
      </c>
      <c r="G300" s="806">
        <v>2750</v>
      </c>
      <c r="H300" s="796">
        <f t="shared" si="40"/>
        <v>44000</v>
      </c>
      <c r="I300" s="807">
        <v>250</v>
      </c>
      <c r="J300" s="796">
        <f t="shared" si="41"/>
        <v>4000</v>
      </c>
      <c r="K300" s="1030">
        <f t="shared" si="42"/>
        <v>48000</v>
      </c>
      <c r="L300" s="919"/>
      <c r="M300" s="729"/>
      <c r="N300" s="729"/>
      <c r="O300" s="729"/>
      <c r="P300" s="729"/>
      <c r="Q300" s="729"/>
    </row>
    <row r="301" spans="1:17" s="714" customFormat="1" ht="24" customHeight="1">
      <c r="A301" s="856" t="s">
        <v>3074</v>
      </c>
      <c r="B301" s="720" t="s">
        <v>1330</v>
      </c>
      <c r="C301" s="717"/>
      <c r="D301" s="717"/>
      <c r="E301" s="917">
        <v>2</v>
      </c>
      <c r="F301" s="722" t="s">
        <v>240</v>
      </c>
      <c r="G301" s="806">
        <v>2250</v>
      </c>
      <c r="H301" s="796">
        <f t="shared" si="40"/>
        <v>4500</v>
      </c>
      <c r="I301" s="807">
        <v>250</v>
      </c>
      <c r="J301" s="796">
        <f t="shared" si="41"/>
        <v>500</v>
      </c>
      <c r="K301" s="1030">
        <f t="shared" si="42"/>
        <v>5000</v>
      </c>
      <c r="L301" s="919"/>
      <c r="M301" s="729"/>
      <c r="N301" s="729"/>
      <c r="O301" s="729"/>
      <c r="P301" s="729"/>
      <c r="Q301" s="729"/>
    </row>
    <row r="302" spans="1:17" s="714" customFormat="1" ht="24" customHeight="1">
      <c r="A302" s="856" t="s">
        <v>3075</v>
      </c>
      <c r="B302" s="720" t="s">
        <v>1331</v>
      </c>
      <c r="C302" s="717"/>
      <c r="D302" s="717"/>
      <c r="E302" s="917">
        <v>82</v>
      </c>
      <c r="F302" s="722" t="s">
        <v>240</v>
      </c>
      <c r="G302" s="806">
        <f>3300+300</f>
        <v>3600</v>
      </c>
      <c r="H302" s="796">
        <f t="shared" si="40"/>
        <v>295200</v>
      </c>
      <c r="I302" s="807">
        <v>200</v>
      </c>
      <c r="J302" s="796">
        <f t="shared" si="41"/>
        <v>16400</v>
      </c>
      <c r="K302" s="1030">
        <f t="shared" si="42"/>
        <v>311600</v>
      </c>
      <c r="L302" s="919"/>
      <c r="M302" s="729"/>
      <c r="N302" s="729"/>
      <c r="O302" s="729"/>
      <c r="P302" s="729"/>
      <c r="Q302" s="729"/>
    </row>
    <row r="303" spans="1:17" s="714" customFormat="1" ht="24" customHeight="1">
      <c r="A303" s="856" t="s">
        <v>3076</v>
      </c>
      <c r="B303" s="720" t="s">
        <v>1332</v>
      </c>
      <c r="C303" s="717"/>
      <c r="D303" s="717"/>
      <c r="E303" s="917">
        <v>6</v>
      </c>
      <c r="F303" s="722" t="s">
        <v>240</v>
      </c>
      <c r="G303" s="806">
        <v>5000</v>
      </c>
      <c r="H303" s="796">
        <f t="shared" si="40"/>
        <v>30000</v>
      </c>
      <c r="I303" s="807">
        <v>500</v>
      </c>
      <c r="J303" s="796">
        <f t="shared" si="41"/>
        <v>3000</v>
      </c>
      <c r="K303" s="1030">
        <f t="shared" si="42"/>
        <v>33000</v>
      </c>
      <c r="L303" s="919"/>
      <c r="M303" s="729"/>
      <c r="N303" s="729"/>
      <c r="O303" s="729"/>
      <c r="P303" s="729"/>
      <c r="Q303" s="729"/>
    </row>
    <row r="304" spans="1:17" s="714" customFormat="1" ht="24" customHeight="1">
      <c r="A304" s="856" t="s">
        <v>3077</v>
      </c>
      <c r="B304" s="720" t="s">
        <v>1333</v>
      </c>
      <c r="C304" s="717"/>
      <c r="D304" s="717"/>
      <c r="E304" s="917">
        <v>12</v>
      </c>
      <c r="F304" s="722" t="s">
        <v>240</v>
      </c>
      <c r="G304" s="806">
        <v>350</v>
      </c>
      <c r="H304" s="796">
        <f t="shared" si="40"/>
        <v>4200</v>
      </c>
      <c r="I304" s="807">
        <v>200</v>
      </c>
      <c r="J304" s="796">
        <f t="shared" si="41"/>
        <v>2400</v>
      </c>
      <c r="K304" s="1030">
        <f t="shared" si="42"/>
        <v>6600</v>
      </c>
      <c r="L304" s="919"/>
      <c r="M304" s="729"/>
      <c r="N304" s="729"/>
      <c r="O304" s="729"/>
      <c r="P304" s="729"/>
      <c r="Q304" s="729"/>
    </row>
    <row r="305" spans="1:17" s="714" customFormat="1" ht="24" customHeight="1">
      <c r="A305" s="856" t="s">
        <v>3078</v>
      </c>
      <c r="B305" s="720" t="s">
        <v>1334</v>
      </c>
      <c r="C305" s="717"/>
      <c r="D305" s="717"/>
      <c r="E305" s="917">
        <v>6</v>
      </c>
      <c r="F305" s="722" t="s">
        <v>240</v>
      </c>
      <c r="G305" s="806">
        <v>4200</v>
      </c>
      <c r="H305" s="796">
        <f t="shared" si="40"/>
        <v>25200</v>
      </c>
      <c r="I305" s="807">
        <v>200</v>
      </c>
      <c r="J305" s="796">
        <f t="shared" si="41"/>
        <v>1200</v>
      </c>
      <c r="K305" s="1030">
        <f t="shared" si="42"/>
        <v>26400</v>
      </c>
      <c r="L305" s="919"/>
      <c r="M305" s="729"/>
      <c r="N305" s="729"/>
      <c r="O305" s="729"/>
      <c r="P305" s="729"/>
      <c r="Q305" s="729"/>
    </row>
    <row r="306" spans="1:17" s="714" customFormat="1" ht="24" customHeight="1">
      <c r="A306" s="856" t="s">
        <v>3079</v>
      </c>
      <c r="B306" s="720" t="s">
        <v>1335</v>
      </c>
      <c r="C306" s="717"/>
      <c r="D306" s="717"/>
      <c r="E306" s="917">
        <v>11</v>
      </c>
      <c r="F306" s="722" t="s">
        <v>240</v>
      </c>
      <c r="G306" s="806">
        <v>2200</v>
      </c>
      <c r="H306" s="796">
        <f t="shared" si="40"/>
        <v>24200</v>
      </c>
      <c r="I306" s="807">
        <v>200</v>
      </c>
      <c r="J306" s="796">
        <f t="shared" si="41"/>
        <v>2200</v>
      </c>
      <c r="K306" s="1030">
        <f t="shared" si="42"/>
        <v>26400</v>
      </c>
      <c r="L306" s="919"/>
      <c r="M306" s="729"/>
      <c r="N306" s="729"/>
      <c r="O306" s="729"/>
      <c r="P306" s="729"/>
      <c r="Q306" s="729"/>
    </row>
    <row r="307" spans="1:17" s="714" customFormat="1" ht="24" customHeight="1">
      <c r="A307" s="856" t="s">
        <v>3080</v>
      </c>
      <c r="B307" s="720" t="s">
        <v>1336</v>
      </c>
      <c r="C307" s="717"/>
      <c r="D307" s="717"/>
      <c r="E307" s="917">
        <v>2</v>
      </c>
      <c r="F307" s="722" t="s">
        <v>240</v>
      </c>
      <c r="G307" s="806">
        <v>5000</v>
      </c>
      <c r="H307" s="796">
        <f t="shared" si="40"/>
        <v>10000</v>
      </c>
      <c r="I307" s="807">
        <v>500</v>
      </c>
      <c r="J307" s="796">
        <f t="shared" si="41"/>
        <v>1000</v>
      </c>
      <c r="K307" s="1030">
        <f t="shared" si="42"/>
        <v>11000</v>
      </c>
      <c r="L307" s="919"/>
      <c r="M307" s="729"/>
      <c r="N307" s="729"/>
      <c r="O307" s="729"/>
      <c r="P307" s="729"/>
      <c r="Q307" s="729"/>
    </row>
    <row r="308" spans="1:17" s="714" customFormat="1" ht="24" customHeight="1">
      <c r="A308" s="856" t="s">
        <v>3081</v>
      </c>
      <c r="B308" s="720" t="s">
        <v>1159</v>
      </c>
      <c r="C308" s="717"/>
      <c r="D308" s="717"/>
      <c r="E308" s="917"/>
      <c r="F308" s="916"/>
      <c r="G308" s="806"/>
      <c r="H308" s="796">
        <f t="shared" si="40"/>
        <v>0</v>
      </c>
      <c r="I308" s="807"/>
      <c r="J308" s="796">
        <f t="shared" si="41"/>
        <v>0</v>
      </c>
      <c r="K308" s="1030">
        <f t="shared" si="42"/>
        <v>0</v>
      </c>
      <c r="L308" s="919"/>
      <c r="M308" s="729"/>
      <c r="N308" s="729"/>
      <c r="O308" s="729"/>
      <c r="P308" s="729"/>
      <c r="Q308" s="729"/>
    </row>
    <row r="309" spans="1:17" s="714" customFormat="1" ht="24" customHeight="1">
      <c r="A309" s="831"/>
      <c r="B309" s="720" t="s">
        <v>1337</v>
      </c>
      <c r="C309" s="717"/>
      <c r="D309" s="717"/>
      <c r="E309" s="917">
        <v>814</v>
      </c>
      <c r="F309" s="794" t="s">
        <v>438</v>
      </c>
      <c r="G309" s="806">
        <v>82</v>
      </c>
      <c r="H309" s="796">
        <f t="shared" si="40"/>
        <v>66748</v>
      </c>
      <c r="I309" s="807">
        <v>12</v>
      </c>
      <c r="J309" s="796">
        <f t="shared" si="41"/>
        <v>9768</v>
      </c>
      <c r="K309" s="1030">
        <f t="shared" si="42"/>
        <v>76516</v>
      </c>
      <c r="L309" s="919"/>
      <c r="M309" s="729"/>
      <c r="N309" s="729"/>
      <c r="O309" s="729"/>
      <c r="P309" s="729"/>
      <c r="Q309" s="729"/>
    </row>
    <row r="310" spans="1:17" s="714" customFormat="1" ht="24" customHeight="1">
      <c r="A310" s="831"/>
      <c r="B310" s="720" t="s">
        <v>2920</v>
      </c>
      <c r="C310" s="717"/>
      <c r="D310" s="717"/>
      <c r="E310" s="917">
        <v>646</v>
      </c>
      <c r="F310" s="794" t="s">
        <v>438</v>
      </c>
      <c r="G310" s="806">
        <v>6</v>
      </c>
      <c r="H310" s="796">
        <f t="shared" si="40"/>
        <v>3876</v>
      </c>
      <c r="I310" s="807">
        <v>6</v>
      </c>
      <c r="J310" s="796">
        <f t="shared" si="41"/>
        <v>3876</v>
      </c>
      <c r="K310" s="1030">
        <f t="shared" si="42"/>
        <v>7752</v>
      </c>
      <c r="L310" s="919"/>
      <c r="M310" s="729"/>
      <c r="N310" s="729"/>
      <c r="O310" s="729"/>
      <c r="P310" s="729"/>
      <c r="Q310" s="729"/>
    </row>
    <row r="311" spans="1:17" s="714" customFormat="1" ht="24" customHeight="1">
      <c r="A311" s="831"/>
      <c r="B311" s="720" t="s">
        <v>2921</v>
      </c>
      <c r="C311" s="717"/>
      <c r="D311" s="717"/>
      <c r="E311" s="917">
        <v>488</v>
      </c>
      <c r="F311" s="794" t="s">
        <v>438</v>
      </c>
      <c r="G311" s="806">
        <v>18</v>
      </c>
      <c r="H311" s="796">
        <f t="shared" si="40"/>
        <v>8784</v>
      </c>
      <c r="I311" s="807">
        <v>8</v>
      </c>
      <c r="J311" s="796">
        <f t="shared" si="41"/>
        <v>3904</v>
      </c>
      <c r="K311" s="1030">
        <f t="shared" si="42"/>
        <v>12688</v>
      </c>
      <c r="L311" s="919"/>
      <c r="M311" s="729"/>
      <c r="N311" s="729"/>
      <c r="O311" s="729"/>
      <c r="P311" s="729"/>
      <c r="Q311" s="729"/>
    </row>
    <row r="312" spans="1:17" s="714" customFormat="1" ht="24" customHeight="1">
      <c r="A312" s="831"/>
      <c r="B312" s="720" t="s">
        <v>1338</v>
      </c>
      <c r="C312" s="717"/>
      <c r="D312" s="717"/>
      <c r="E312" s="917">
        <v>1</v>
      </c>
      <c r="F312" s="916" t="s">
        <v>948</v>
      </c>
      <c r="G312" s="806">
        <f>ROUND(SUM(H309:H311)*5%,)</f>
        <v>3970</v>
      </c>
      <c r="H312" s="796">
        <f t="shared" si="40"/>
        <v>3970</v>
      </c>
      <c r="I312" s="949">
        <f>ROUND(G312*0.3,)</f>
        <v>1191</v>
      </c>
      <c r="J312" s="796">
        <f t="shared" si="41"/>
        <v>1191</v>
      </c>
      <c r="K312" s="1030">
        <f t="shared" si="42"/>
        <v>5161</v>
      </c>
      <c r="L312" s="919"/>
      <c r="M312" s="729"/>
      <c r="N312" s="729"/>
      <c r="O312" s="729"/>
      <c r="P312" s="729"/>
      <c r="Q312" s="729"/>
    </row>
    <row r="313" spans="1:17" s="714" customFormat="1" ht="21.3">
      <c r="A313" s="856" t="s">
        <v>3082</v>
      </c>
      <c r="B313" s="720" t="s">
        <v>1357</v>
      </c>
      <c r="C313" s="717"/>
      <c r="D313" s="717"/>
      <c r="E313" s="942"/>
      <c r="F313" s="916"/>
      <c r="G313" s="806"/>
      <c r="H313" s="796"/>
      <c r="I313" s="807"/>
      <c r="J313" s="796"/>
      <c r="K313" s="914"/>
      <c r="L313" s="919"/>
      <c r="M313" s="729"/>
      <c r="N313" s="729"/>
      <c r="O313" s="729"/>
      <c r="P313" s="729"/>
    </row>
    <row r="314" spans="1:17" s="714" customFormat="1" ht="21.3">
      <c r="A314" s="831"/>
      <c r="B314" s="720" t="s">
        <v>1201</v>
      </c>
      <c r="C314" s="717"/>
      <c r="D314" s="717"/>
      <c r="E314" s="917">
        <v>323</v>
      </c>
      <c r="F314" s="794" t="s">
        <v>438</v>
      </c>
      <c r="G314" s="806">
        <v>27</v>
      </c>
      <c r="H314" s="796">
        <f t="shared" ref="H314:H315" si="43">ROUND(E314*G314,)</f>
        <v>8721</v>
      </c>
      <c r="I314" s="807">
        <v>22</v>
      </c>
      <c r="J314" s="796">
        <f t="shared" ref="J314:J315" si="44">ROUND(E314*I314,)</f>
        <v>7106</v>
      </c>
      <c r="K314" s="1030">
        <f t="shared" ref="K314:K315" si="45">H314+J314</f>
        <v>15827</v>
      </c>
      <c r="L314" s="1718" t="s">
        <v>2974</v>
      </c>
      <c r="M314" s="729"/>
      <c r="N314" s="714">
        <v>79.8</v>
      </c>
      <c r="O314" s="714">
        <f>ROUND(N314/3,)</f>
        <v>27</v>
      </c>
      <c r="P314" s="729"/>
    </row>
    <row r="315" spans="1:17" s="714" customFormat="1" ht="21.3">
      <c r="A315" s="831"/>
      <c r="B315" s="720" t="s">
        <v>1237</v>
      </c>
      <c r="C315" s="717"/>
      <c r="D315" s="717"/>
      <c r="E315" s="917">
        <v>1</v>
      </c>
      <c r="F315" s="916" t="s">
        <v>948</v>
      </c>
      <c r="G315" s="806">
        <f>SUM(H314)*15%</f>
        <v>1308.1499999999999</v>
      </c>
      <c r="H315" s="796">
        <f t="shared" si="43"/>
        <v>1308</v>
      </c>
      <c r="I315" s="807">
        <f>ROUND(G315*0.3,)</f>
        <v>392</v>
      </c>
      <c r="J315" s="796">
        <f t="shared" si="44"/>
        <v>392</v>
      </c>
      <c r="K315" s="914">
        <f t="shared" si="45"/>
        <v>1700</v>
      </c>
      <c r="L315" s="919"/>
      <c r="M315" s="729"/>
      <c r="N315" s="729"/>
      <c r="O315" s="729"/>
      <c r="P315" s="729"/>
    </row>
    <row r="316" spans="1:17" s="714" customFormat="1" ht="24" customHeight="1">
      <c r="A316" s="856" t="s">
        <v>3083</v>
      </c>
      <c r="B316" s="720" t="s">
        <v>950</v>
      </c>
      <c r="C316" s="717"/>
      <c r="D316" s="717"/>
      <c r="E316" s="917"/>
      <c r="F316" s="916"/>
      <c r="G316" s="806"/>
      <c r="H316" s="796">
        <f t="shared" si="40"/>
        <v>0</v>
      </c>
      <c r="I316" s="807"/>
      <c r="J316" s="796">
        <f t="shared" si="41"/>
        <v>0</v>
      </c>
      <c r="K316" s="1030">
        <f t="shared" si="42"/>
        <v>0</v>
      </c>
      <c r="L316" s="919"/>
      <c r="M316" s="729"/>
      <c r="N316" s="729"/>
      <c r="O316" s="729"/>
      <c r="P316" s="729"/>
      <c r="Q316" s="729"/>
    </row>
    <row r="317" spans="1:17" s="714" customFormat="1" ht="24" customHeight="1">
      <c r="A317" s="831"/>
      <c r="B317" s="720" t="s">
        <v>1184</v>
      </c>
      <c r="C317" s="717"/>
      <c r="D317" s="717"/>
      <c r="E317" s="917">
        <v>1302</v>
      </c>
      <c r="F317" s="794" t="s">
        <v>438</v>
      </c>
      <c r="G317" s="806">
        <v>75</v>
      </c>
      <c r="H317" s="796">
        <f t="shared" si="40"/>
        <v>97650</v>
      </c>
      <c r="I317" s="807">
        <v>28</v>
      </c>
      <c r="J317" s="796">
        <f t="shared" si="41"/>
        <v>36456</v>
      </c>
      <c r="K317" s="1030">
        <f t="shared" si="42"/>
        <v>134106</v>
      </c>
      <c r="L317" s="1718" t="s">
        <v>2974</v>
      </c>
      <c r="M317" s="729"/>
      <c r="N317" s="714">
        <v>225</v>
      </c>
      <c r="O317" s="714">
        <f>ROUND(N317/3,)</f>
        <v>75</v>
      </c>
      <c r="P317" s="729"/>
      <c r="Q317" s="729"/>
    </row>
    <row r="318" spans="1:17" s="714" customFormat="1" ht="24" customHeight="1">
      <c r="A318" s="831"/>
      <c r="B318" s="720" t="s">
        <v>952</v>
      </c>
      <c r="C318" s="717"/>
      <c r="D318" s="717"/>
      <c r="E318" s="917">
        <v>1</v>
      </c>
      <c r="F318" s="916" t="s">
        <v>948</v>
      </c>
      <c r="G318" s="806">
        <f>SUM(H317:H317)*15%</f>
        <v>14647.5</v>
      </c>
      <c r="H318" s="796">
        <f t="shared" si="40"/>
        <v>14648</v>
      </c>
      <c r="I318" s="949">
        <f>ROUND(G318*0.3,)</f>
        <v>4394</v>
      </c>
      <c r="J318" s="796">
        <f t="shared" si="41"/>
        <v>4394</v>
      </c>
      <c r="K318" s="1030">
        <f t="shared" si="42"/>
        <v>19042</v>
      </c>
      <c r="L318" s="919"/>
      <c r="M318" s="729"/>
      <c r="N318" s="729"/>
      <c r="O318" s="729"/>
      <c r="P318" s="729"/>
      <c r="Q318" s="729"/>
    </row>
    <row r="319" spans="1:17" s="714" customFormat="1" ht="24" customHeight="1">
      <c r="A319" s="856" t="s">
        <v>3084</v>
      </c>
      <c r="B319" s="720" t="s">
        <v>1281</v>
      </c>
      <c r="C319" s="717"/>
      <c r="D319" s="717"/>
      <c r="E319" s="917"/>
      <c r="F319" s="916"/>
      <c r="G319" s="806"/>
      <c r="H319" s="796">
        <f t="shared" si="40"/>
        <v>0</v>
      </c>
      <c r="I319" s="807"/>
      <c r="J319" s="796">
        <f t="shared" si="41"/>
        <v>0</v>
      </c>
      <c r="K319" s="1030">
        <f t="shared" si="42"/>
        <v>0</v>
      </c>
      <c r="L319" s="919"/>
      <c r="M319" s="729"/>
      <c r="N319" s="729"/>
      <c r="O319" s="729"/>
      <c r="P319" s="729"/>
      <c r="Q319" s="729"/>
    </row>
    <row r="320" spans="1:17" s="714" customFormat="1" ht="24" customHeight="1">
      <c r="A320" s="831"/>
      <c r="B320" s="720" t="s">
        <v>1201</v>
      </c>
      <c r="C320" s="717"/>
      <c r="D320" s="717"/>
      <c r="E320" s="917">
        <f>E302</f>
        <v>82</v>
      </c>
      <c r="F320" s="794" t="s">
        <v>438</v>
      </c>
      <c r="G320" s="806">
        <v>14</v>
      </c>
      <c r="H320" s="796">
        <f t="shared" si="40"/>
        <v>1148</v>
      </c>
      <c r="I320" s="807">
        <v>11</v>
      </c>
      <c r="J320" s="796">
        <f t="shared" si="41"/>
        <v>902</v>
      </c>
      <c r="K320" s="1030">
        <f t="shared" si="42"/>
        <v>2050</v>
      </c>
      <c r="L320" s="919"/>
      <c r="M320" s="729"/>
      <c r="N320" s="729"/>
      <c r="O320" s="729"/>
      <c r="P320" s="729"/>
      <c r="Q320" s="729"/>
    </row>
    <row r="321" spans="1:17" s="714" customFormat="1" ht="24" customHeight="1">
      <c r="A321" s="831"/>
      <c r="B321" s="720" t="s">
        <v>957</v>
      </c>
      <c r="C321" s="717"/>
      <c r="D321" s="717"/>
      <c r="E321" s="917"/>
      <c r="F321" s="916"/>
      <c r="G321" s="806"/>
      <c r="H321" s="918"/>
      <c r="I321" s="807"/>
      <c r="J321" s="919"/>
      <c r="K321" s="968"/>
      <c r="L321" s="919"/>
      <c r="M321" s="729"/>
      <c r="N321" s="729"/>
      <c r="O321" s="729"/>
      <c r="P321" s="729"/>
      <c r="Q321" s="729"/>
    </row>
    <row r="322" spans="1:17" s="714" customFormat="1" ht="24" customHeight="1">
      <c r="A322" s="775"/>
      <c r="B322" s="2475" t="str">
        <f>"รวมราคารายการที่ "&amp;A288</f>
        <v>รวมราคารายการที่ 3.9</v>
      </c>
      <c r="C322" s="2476"/>
      <c r="D322" s="2477"/>
      <c r="E322" s="776"/>
      <c r="F322" s="777"/>
      <c r="G322" s="959"/>
      <c r="H322" s="960">
        <f>SUM(H289:H321)</f>
        <v>803053</v>
      </c>
      <c r="I322" s="959"/>
      <c r="J322" s="960">
        <f t="shared" ref="J322:K322" si="46">SUM(J289:J321)</f>
        <v>115889</v>
      </c>
      <c r="K322" s="960">
        <f t="shared" si="46"/>
        <v>918942</v>
      </c>
      <c r="L322" s="1006"/>
      <c r="M322" s="729"/>
      <c r="N322" s="729"/>
      <c r="O322" s="729"/>
      <c r="P322" s="729"/>
      <c r="Q322" s="729"/>
    </row>
    <row r="323" spans="1:17" s="714" customFormat="1" ht="24" customHeight="1">
      <c r="A323" s="911" t="s">
        <v>1158</v>
      </c>
      <c r="B323" s="816" t="s">
        <v>1241</v>
      </c>
      <c r="C323" s="770"/>
      <c r="D323" s="770"/>
      <c r="E323" s="930"/>
      <c r="F323" s="939"/>
      <c r="G323" s="932"/>
      <c r="H323" s="933"/>
      <c r="I323" s="934"/>
      <c r="J323" s="935"/>
      <c r="K323" s="1013"/>
      <c r="L323" s="935"/>
      <c r="M323" s="729"/>
      <c r="N323" s="729"/>
      <c r="O323" s="729"/>
      <c r="P323" s="729"/>
      <c r="Q323" s="729"/>
    </row>
    <row r="324" spans="1:17" s="714" customFormat="1" ht="24" customHeight="1">
      <c r="A324" s="831" t="s">
        <v>1160</v>
      </c>
      <c r="B324" s="720" t="s">
        <v>1423</v>
      </c>
      <c r="C324" s="717"/>
      <c r="D324" s="717"/>
      <c r="E324" s="917">
        <v>98</v>
      </c>
      <c r="F324" s="722" t="s">
        <v>240</v>
      </c>
      <c r="G324" s="806">
        <v>200</v>
      </c>
      <c r="H324" s="796">
        <f t="shared" ref="H324" si="47">ROUND(E324*G324,)</f>
        <v>19600</v>
      </c>
      <c r="I324" s="807">
        <v>90</v>
      </c>
      <c r="J324" s="796">
        <f t="shared" ref="J324" si="48">ROUND(E324*I324,)</f>
        <v>8820</v>
      </c>
      <c r="K324" s="1030">
        <f t="shared" ref="K324" si="49">H324+J324</f>
        <v>28420</v>
      </c>
      <c r="L324" s="919"/>
      <c r="M324" s="729"/>
      <c r="N324" s="729"/>
      <c r="O324" s="729"/>
      <c r="P324" s="729"/>
      <c r="Q324" s="729"/>
    </row>
    <row r="325" spans="1:17" s="714" customFormat="1" ht="24" customHeight="1">
      <c r="A325" s="831" t="s">
        <v>1362</v>
      </c>
      <c r="B325" s="720" t="s">
        <v>1575</v>
      </c>
      <c r="C325" s="717"/>
      <c r="D325" s="717"/>
      <c r="E325" s="917"/>
      <c r="F325" s="940"/>
      <c r="G325" s="806"/>
      <c r="H325" s="796"/>
      <c r="I325" s="807"/>
      <c r="J325" s="796"/>
      <c r="K325" s="1014"/>
      <c r="L325" s="919"/>
      <c r="M325" s="729"/>
      <c r="N325" s="729"/>
      <c r="O325" s="729"/>
      <c r="P325" s="729"/>
      <c r="Q325" s="729"/>
    </row>
    <row r="326" spans="1:17" s="714" customFormat="1" ht="24" customHeight="1">
      <c r="A326" s="831"/>
      <c r="B326" s="720" t="s">
        <v>1244</v>
      </c>
      <c r="C326" s="717"/>
      <c r="D326" s="717"/>
      <c r="E326" s="917">
        <v>2</v>
      </c>
      <c r="F326" s="940" t="s">
        <v>240</v>
      </c>
      <c r="G326" s="806">
        <v>27500</v>
      </c>
      <c r="H326" s="796">
        <f t="shared" ref="H326:H330" si="50">ROUND(E326*G326,)</f>
        <v>55000</v>
      </c>
      <c r="I326" s="807">
        <f>CEILING(G326*0.3,100)</f>
        <v>8300</v>
      </c>
      <c r="J326" s="796">
        <f t="shared" ref="J326:J328" si="51">ROUND(E326*I326,)</f>
        <v>16600</v>
      </c>
      <c r="K326" s="1030">
        <f t="shared" ref="K326:K330" si="52">H326+J326</f>
        <v>71600</v>
      </c>
      <c r="L326" s="919"/>
      <c r="M326" s="729"/>
      <c r="N326" s="729"/>
      <c r="O326" s="729"/>
      <c r="P326" s="729"/>
      <c r="Q326" s="729"/>
    </row>
    <row r="327" spans="1:17" s="714" customFormat="1" ht="24" customHeight="1">
      <c r="A327" s="831"/>
      <c r="B327" s="720" t="s">
        <v>1245</v>
      </c>
      <c r="C327" s="717"/>
      <c r="D327" s="717"/>
      <c r="E327" s="917">
        <v>2</v>
      </c>
      <c r="F327" s="940" t="s">
        <v>240</v>
      </c>
      <c r="G327" s="806">
        <v>3000</v>
      </c>
      <c r="H327" s="796">
        <f t="shared" si="50"/>
        <v>6000</v>
      </c>
      <c r="I327" s="807"/>
      <c r="J327" s="796">
        <f t="shared" si="51"/>
        <v>0</v>
      </c>
      <c r="K327" s="1030">
        <f t="shared" si="52"/>
        <v>6000</v>
      </c>
      <c r="L327" s="919"/>
      <c r="M327" s="729"/>
      <c r="N327" s="729"/>
      <c r="O327" s="729"/>
      <c r="P327" s="729"/>
      <c r="Q327" s="729"/>
    </row>
    <row r="328" spans="1:17" s="714" customFormat="1" ht="24" customHeight="1">
      <c r="A328" s="831"/>
      <c r="B328" s="720" t="s">
        <v>1425</v>
      </c>
      <c r="C328" s="717"/>
      <c r="D328" s="717"/>
      <c r="E328" s="917">
        <v>2</v>
      </c>
      <c r="F328" s="940" t="s">
        <v>240</v>
      </c>
      <c r="G328" s="806">
        <v>5700</v>
      </c>
      <c r="H328" s="796">
        <f t="shared" si="50"/>
        <v>11400</v>
      </c>
      <c r="I328" s="807"/>
      <c r="J328" s="796">
        <f t="shared" si="51"/>
        <v>0</v>
      </c>
      <c r="K328" s="1030">
        <f t="shared" si="52"/>
        <v>11400</v>
      </c>
      <c r="L328" s="919"/>
      <c r="M328" s="729"/>
      <c r="N328" s="729"/>
      <c r="O328" s="729"/>
      <c r="P328" s="729"/>
      <c r="Q328" s="729"/>
    </row>
    <row r="329" spans="1:17" s="714" customFormat="1" ht="24" customHeight="1">
      <c r="A329" s="831"/>
      <c r="B329" s="720" t="s">
        <v>1246</v>
      </c>
      <c r="C329" s="717"/>
      <c r="D329" s="717"/>
      <c r="E329" s="917">
        <f>E326*24</f>
        <v>48</v>
      </c>
      <c r="F329" s="940" t="s">
        <v>240</v>
      </c>
      <c r="G329" s="806">
        <v>255</v>
      </c>
      <c r="H329" s="796">
        <f t="shared" si="50"/>
        <v>12240</v>
      </c>
      <c r="I329" s="807"/>
      <c r="J329" s="796"/>
      <c r="K329" s="1030">
        <f t="shared" si="52"/>
        <v>12240</v>
      </c>
      <c r="L329" s="919"/>
      <c r="M329" s="729"/>
      <c r="N329" s="729"/>
      <c r="O329" s="729"/>
      <c r="P329" s="729"/>
      <c r="Q329" s="729"/>
    </row>
    <row r="330" spans="1:17" s="714" customFormat="1" ht="24" customHeight="1">
      <c r="A330" s="831"/>
      <c r="B330" s="720" t="s">
        <v>1426</v>
      </c>
      <c r="C330" s="717"/>
      <c r="D330" s="717"/>
      <c r="E330" s="917">
        <f>E327*24</f>
        <v>48</v>
      </c>
      <c r="F330" s="940" t="s">
        <v>240</v>
      </c>
      <c r="G330" s="806">
        <v>190</v>
      </c>
      <c r="H330" s="796">
        <f t="shared" si="50"/>
        <v>9120</v>
      </c>
      <c r="I330" s="807"/>
      <c r="J330" s="796"/>
      <c r="K330" s="1030">
        <f t="shared" si="52"/>
        <v>9120</v>
      </c>
      <c r="L330" s="919"/>
      <c r="M330" s="729"/>
      <c r="N330" s="729"/>
      <c r="O330" s="729"/>
      <c r="P330" s="729"/>
      <c r="Q330" s="729"/>
    </row>
    <row r="331" spans="1:17" s="714" customFormat="1" ht="24" customHeight="1">
      <c r="A331" s="831" t="s">
        <v>1366</v>
      </c>
      <c r="B331" s="720" t="s">
        <v>1248</v>
      </c>
      <c r="C331" s="717"/>
      <c r="D331" s="717"/>
      <c r="E331" s="917"/>
      <c r="F331" s="941"/>
      <c r="G331" s="806"/>
      <c r="H331" s="918"/>
      <c r="I331" s="807"/>
      <c r="J331" s="919"/>
      <c r="K331" s="968"/>
      <c r="L331" s="919"/>
      <c r="M331" s="729"/>
      <c r="N331" s="729"/>
      <c r="O331" s="729"/>
      <c r="P331" s="729"/>
      <c r="Q331" s="729"/>
    </row>
    <row r="332" spans="1:17" s="714" customFormat="1" ht="24" customHeight="1">
      <c r="A332" s="831" t="s">
        <v>3099</v>
      </c>
      <c r="B332" s="720" t="s">
        <v>1378</v>
      </c>
      <c r="C332" s="717"/>
      <c r="D332" s="717"/>
      <c r="E332" s="917"/>
      <c r="F332" s="941"/>
      <c r="G332" s="806"/>
      <c r="H332" s="918"/>
      <c r="I332" s="807"/>
      <c r="J332" s="919"/>
      <c r="K332" s="968"/>
      <c r="L332" s="919"/>
      <c r="M332" s="729"/>
      <c r="N332" s="729"/>
      <c r="O332" s="729"/>
      <c r="P332" s="729"/>
      <c r="Q332" s="729"/>
    </row>
    <row r="333" spans="1:17" s="714" customFormat="1" ht="24" customHeight="1">
      <c r="A333" s="831"/>
      <c r="B333" s="720" t="s">
        <v>1385</v>
      </c>
      <c r="C333" s="717"/>
      <c r="D333" s="717"/>
      <c r="E333" s="917">
        <f>E324*50</f>
        <v>4900</v>
      </c>
      <c r="F333" s="794" t="s">
        <v>438</v>
      </c>
      <c r="G333" s="806">
        <v>24</v>
      </c>
      <c r="H333" s="796">
        <f t="shared" ref="H333" si="53">ROUND(G333*E333,)</f>
        <v>117600</v>
      </c>
      <c r="I333" s="807">
        <v>5</v>
      </c>
      <c r="J333" s="796">
        <f t="shared" ref="J333:J334" si="54">ROUND(E333*I333,)</f>
        <v>24500</v>
      </c>
      <c r="K333" s="1030">
        <f t="shared" ref="K333:K337" si="55">H333+J333</f>
        <v>142100</v>
      </c>
      <c r="L333" s="919"/>
      <c r="M333" s="729"/>
      <c r="N333" s="729"/>
      <c r="O333" s="729"/>
      <c r="P333" s="729"/>
      <c r="Q333" s="729"/>
    </row>
    <row r="334" spans="1:17" s="714" customFormat="1" ht="24" customHeight="1">
      <c r="A334" s="831"/>
      <c r="B334" s="720" t="s">
        <v>1338</v>
      </c>
      <c r="C334" s="717"/>
      <c r="D334" s="717"/>
      <c r="E334" s="917">
        <v>1</v>
      </c>
      <c r="F334" s="916" t="s">
        <v>948</v>
      </c>
      <c r="G334" s="806">
        <f>SUM(H332:H333)*5%</f>
        <v>5880</v>
      </c>
      <c r="H334" s="796">
        <f t="shared" ref="H334" si="56">ROUND(E334*G334,)</f>
        <v>5880</v>
      </c>
      <c r="I334" s="949">
        <f>ROUND(G334*0.3,)</f>
        <v>1764</v>
      </c>
      <c r="J334" s="796">
        <f t="shared" si="54"/>
        <v>1764</v>
      </c>
      <c r="K334" s="1030">
        <f t="shared" si="55"/>
        <v>7644</v>
      </c>
      <c r="L334" s="919"/>
      <c r="M334" s="729"/>
      <c r="N334" s="729"/>
      <c r="O334" s="729"/>
      <c r="P334" s="729"/>
      <c r="Q334" s="729"/>
    </row>
    <row r="335" spans="1:17" s="714" customFormat="1" ht="24" customHeight="1">
      <c r="A335" s="831" t="s">
        <v>3024</v>
      </c>
      <c r="B335" s="720" t="s">
        <v>1357</v>
      </c>
      <c r="C335" s="717"/>
      <c r="D335" s="717"/>
      <c r="E335" s="917"/>
      <c r="F335" s="941"/>
      <c r="G335" s="806"/>
      <c r="H335" s="918"/>
      <c r="I335" s="807"/>
      <c r="J335" s="919"/>
      <c r="K335" s="1030">
        <f t="shared" si="55"/>
        <v>0</v>
      </c>
      <c r="L335" s="919"/>
      <c r="M335" s="729"/>
      <c r="N335" s="729"/>
      <c r="O335" s="729"/>
      <c r="P335" s="729"/>
      <c r="Q335" s="729"/>
    </row>
    <row r="336" spans="1:17" s="714" customFormat="1" ht="24" customHeight="1">
      <c r="A336" s="831"/>
      <c r="B336" s="720" t="s">
        <v>1201</v>
      </c>
      <c r="C336" s="717"/>
      <c r="D336" s="717"/>
      <c r="E336" s="917">
        <f>E333-E339</f>
        <v>4606</v>
      </c>
      <c r="F336" s="794" t="s">
        <v>438</v>
      </c>
      <c r="G336" s="806">
        <v>27</v>
      </c>
      <c r="H336" s="796">
        <f t="shared" ref="H336:H337" si="57">ROUND(G336*E336,)</f>
        <v>124362</v>
      </c>
      <c r="I336" s="807">
        <v>22</v>
      </c>
      <c r="J336" s="796">
        <f t="shared" ref="J336:J337" si="58">ROUND(E336*I336,)</f>
        <v>101332</v>
      </c>
      <c r="K336" s="1030">
        <f t="shared" si="55"/>
        <v>225694</v>
      </c>
      <c r="L336" s="1718" t="s">
        <v>2974</v>
      </c>
      <c r="M336" s="729"/>
      <c r="N336" s="714">
        <v>79.8</v>
      </c>
      <c r="O336" s="714">
        <f>ROUND(N336/3,)</f>
        <v>27</v>
      </c>
      <c r="P336" s="729"/>
      <c r="Q336" s="729"/>
    </row>
    <row r="337" spans="1:17" s="714" customFormat="1" ht="24" customHeight="1">
      <c r="A337" s="831"/>
      <c r="B337" s="720" t="s">
        <v>1237</v>
      </c>
      <c r="C337" s="717"/>
      <c r="D337" s="717"/>
      <c r="E337" s="917">
        <v>1</v>
      </c>
      <c r="F337" s="941" t="s">
        <v>948</v>
      </c>
      <c r="G337" s="806">
        <f>ROUND(SUM(H336:H336)*15%,)</f>
        <v>18654</v>
      </c>
      <c r="H337" s="796">
        <f t="shared" si="57"/>
        <v>18654</v>
      </c>
      <c r="I337" s="949">
        <f>ROUND(G337*0.3,)</f>
        <v>5596</v>
      </c>
      <c r="J337" s="796">
        <f t="shared" si="58"/>
        <v>5596</v>
      </c>
      <c r="K337" s="1030">
        <f t="shared" si="55"/>
        <v>24250</v>
      </c>
      <c r="L337" s="920"/>
      <c r="M337" s="729"/>
      <c r="N337" s="729"/>
      <c r="O337" s="729"/>
      <c r="P337" s="729"/>
      <c r="Q337" s="729"/>
    </row>
    <row r="338" spans="1:17" s="714" customFormat="1" ht="24" customHeight="1">
      <c r="A338" s="831" t="s">
        <v>1369</v>
      </c>
      <c r="B338" s="720" t="s">
        <v>950</v>
      </c>
      <c r="C338" s="717"/>
      <c r="D338" s="717"/>
      <c r="E338" s="917"/>
      <c r="F338" s="941"/>
      <c r="G338" s="806"/>
      <c r="H338" s="918"/>
      <c r="I338" s="807"/>
      <c r="J338" s="919"/>
      <c r="K338" s="968"/>
      <c r="L338" s="920"/>
      <c r="M338" s="729"/>
      <c r="N338" s="729"/>
      <c r="O338" s="729"/>
      <c r="P338" s="729"/>
      <c r="Q338" s="729"/>
    </row>
    <row r="339" spans="1:17" s="714" customFormat="1" ht="24" customHeight="1">
      <c r="A339" s="831"/>
      <c r="B339" s="720" t="s">
        <v>1201</v>
      </c>
      <c r="C339" s="717"/>
      <c r="D339" s="717"/>
      <c r="E339" s="917">
        <f>E324*3</f>
        <v>294</v>
      </c>
      <c r="F339" s="794" t="s">
        <v>438</v>
      </c>
      <c r="G339" s="806">
        <v>56</v>
      </c>
      <c r="H339" s="796">
        <f t="shared" ref="H339:H340" si="59">ROUND(G339*E339,)</f>
        <v>16464</v>
      </c>
      <c r="I339" s="807">
        <v>26</v>
      </c>
      <c r="J339" s="796">
        <f t="shared" ref="J339:J340" si="60">ROUND(E339*I339,)</f>
        <v>7644</v>
      </c>
      <c r="K339" s="1030">
        <f t="shared" ref="K339:K340" si="61">H339+J339</f>
        <v>24108</v>
      </c>
      <c r="L339" s="1718" t="s">
        <v>2974</v>
      </c>
      <c r="M339" s="729"/>
      <c r="N339" s="714">
        <v>169.2</v>
      </c>
      <c r="O339" s="714">
        <f>ROUND(N339/3,)</f>
        <v>56</v>
      </c>
      <c r="P339" s="729"/>
      <c r="Q339" s="729"/>
    </row>
    <row r="340" spans="1:17" s="714" customFormat="1" ht="24" customHeight="1">
      <c r="A340" s="831"/>
      <c r="B340" s="720" t="s">
        <v>1237</v>
      </c>
      <c r="C340" s="717"/>
      <c r="D340" s="717"/>
      <c r="E340" s="917">
        <v>1</v>
      </c>
      <c r="F340" s="941" t="s">
        <v>948</v>
      </c>
      <c r="G340" s="806">
        <f>ROUND(SUM(H339:H339)*15%,)</f>
        <v>2470</v>
      </c>
      <c r="H340" s="796">
        <f t="shared" si="59"/>
        <v>2470</v>
      </c>
      <c r="I340" s="949">
        <f>ROUND(G340*0.3,)</f>
        <v>741</v>
      </c>
      <c r="J340" s="796">
        <f t="shared" si="60"/>
        <v>741</v>
      </c>
      <c r="K340" s="1030">
        <f t="shared" si="61"/>
        <v>3211</v>
      </c>
      <c r="L340" s="919"/>
      <c r="M340" s="729"/>
      <c r="N340" s="729"/>
      <c r="O340" s="729"/>
      <c r="P340" s="729"/>
      <c r="Q340" s="729"/>
    </row>
    <row r="341" spans="1:17" s="714" customFormat="1" ht="24" customHeight="1">
      <c r="A341" s="831"/>
      <c r="B341" s="720" t="s">
        <v>957</v>
      </c>
      <c r="C341" s="717"/>
      <c r="D341" s="717"/>
      <c r="E341" s="917"/>
      <c r="F341" s="941"/>
      <c r="G341" s="806"/>
      <c r="H341" s="918"/>
      <c r="I341" s="807"/>
      <c r="J341" s="919"/>
      <c r="K341" s="968"/>
      <c r="L341" s="919"/>
      <c r="M341" s="729"/>
      <c r="N341" s="729"/>
      <c r="O341" s="729"/>
      <c r="P341" s="729"/>
      <c r="Q341" s="729"/>
    </row>
    <row r="342" spans="1:17" s="714" customFormat="1" ht="24" customHeight="1">
      <c r="A342" s="831"/>
      <c r="B342" s="720" t="s">
        <v>1239</v>
      </c>
      <c r="C342" s="717"/>
      <c r="D342" s="717"/>
      <c r="E342" s="917"/>
      <c r="F342" s="916"/>
      <c r="G342" s="806"/>
      <c r="H342" s="918"/>
      <c r="I342" s="807"/>
      <c r="J342" s="919"/>
      <c r="K342" s="968"/>
      <c r="L342" s="919"/>
      <c r="M342" s="729"/>
      <c r="N342" s="729"/>
      <c r="O342" s="729"/>
      <c r="P342" s="729"/>
      <c r="Q342" s="729"/>
    </row>
    <row r="343" spans="1:17" s="714" customFormat="1" ht="24" customHeight="1">
      <c r="A343" s="831"/>
      <c r="B343" s="720" t="s">
        <v>1239</v>
      </c>
      <c r="C343" s="717"/>
      <c r="D343" s="717"/>
      <c r="E343" s="917"/>
      <c r="F343" s="916"/>
      <c r="G343" s="806"/>
      <c r="H343" s="918"/>
      <c r="I343" s="807"/>
      <c r="J343" s="919"/>
      <c r="K343" s="968"/>
      <c r="L343" s="919"/>
      <c r="M343" s="729"/>
      <c r="N343" s="729"/>
      <c r="O343" s="729"/>
      <c r="P343" s="729"/>
      <c r="Q343" s="729"/>
    </row>
    <row r="344" spans="1:17" s="714" customFormat="1" ht="24" customHeight="1">
      <c r="A344" s="921"/>
      <c r="B344" s="1073"/>
      <c r="C344" s="761"/>
      <c r="D344" s="761"/>
      <c r="E344" s="923"/>
      <c r="F344" s="924"/>
      <c r="G344" s="925"/>
      <c r="H344" s="926"/>
      <c r="I344" s="927"/>
      <c r="J344" s="928"/>
      <c r="K344" s="1072"/>
      <c r="L344" s="928"/>
      <c r="M344" s="729"/>
      <c r="N344" s="729"/>
      <c r="O344" s="729"/>
      <c r="P344" s="729"/>
      <c r="Q344" s="729"/>
    </row>
    <row r="345" spans="1:17" s="714" customFormat="1" ht="24" customHeight="1">
      <c r="A345" s="921"/>
      <c r="B345" s="922"/>
      <c r="C345" s="761"/>
      <c r="D345" s="761"/>
      <c r="E345" s="923"/>
      <c r="F345" s="924"/>
      <c r="G345" s="925"/>
      <c r="H345" s="926"/>
      <c r="I345" s="927"/>
      <c r="J345" s="928"/>
      <c r="K345" s="1072"/>
      <c r="L345" s="928"/>
      <c r="M345" s="729"/>
      <c r="N345" s="729"/>
      <c r="O345" s="729"/>
      <c r="P345" s="729"/>
      <c r="Q345" s="729"/>
    </row>
    <row r="346" spans="1:17" s="714" customFormat="1" ht="24" customHeight="1">
      <c r="A346" s="775"/>
      <c r="B346" s="2475" t="str">
        <f>"รวมราคารายการที่ "&amp;A323</f>
        <v>รวมราคารายการที่ 3.10</v>
      </c>
      <c r="C346" s="2476"/>
      <c r="D346" s="2477"/>
      <c r="E346" s="776"/>
      <c r="F346" s="777"/>
      <c r="G346" s="959"/>
      <c r="H346" s="960">
        <f>SUM(H324:H341)</f>
        <v>398790</v>
      </c>
      <c r="I346" s="959"/>
      <c r="J346" s="960">
        <f t="shared" ref="J346:K346" si="62">SUM(J324:J341)</f>
        <v>166997</v>
      </c>
      <c r="K346" s="960">
        <f t="shared" si="62"/>
        <v>565787</v>
      </c>
      <c r="L346" s="1006"/>
      <c r="M346" s="729"/>
      <c r="N346" s="729"/>
      <c r="O346" s="729"/>
      <c r="P346" s="729"/>
      <c r="Q346" s="729"/>
    </row>
    <row r="347" spans="1:17" s="714" customFormat="1" ht="24" customHeight="1">
      <c r="A347" s="911" t="s">
        <v>1180</v>
      </c>
      <c r="B347" s="816" t="s">
        <v>1257</v>
      </c>
      <c r="C347" s="770"/>
      <c r="D347" s="770"/>
      <c r="E347" s="930"/>
      <c r="F347" s="939"/>
      <c r="G347" s="932"/>
      <c r="H347" s="933"/>
      <c r="I347" s="934"/>
      <c r="J347" s="935"/>
      <c r="K347" s="1013"/>
      <c r="L347" s="935"/>
      <c r="M347" s="729"/>
      <c r="N347" s="729"/>
      <c r="O347" s="729"/>
      <c r="P347" s="729"/>
      <c r="Q347" s="729"/>
    </row>
    <row r="348" spans="1:17" s="714" customFormat="1" ht="24" customHeight="1">
      <c r="A348" s="856" t="s">
        <v>1082</v>
      </c>
      <c r="B348" s="720" t="s">
        <v>1341</v>
      </c>
      <c r="C348" s="717"/>
      <c r="D348" s="717"/>
      <c r="E348" s="917">
        <v>24</v>
      </c>
      <c r="F348" s="722" t="s">
        <v>240</v>
      </c>
      <c r="G348" s="806">
        <v>900</v>
      </c>
      <c r="H348" s="796">
        <f t="shared" ref="H348:H360" si="63">ROUND(G348*E348,)</f>
        <v>21600</v>
      </c>
      <c r="I348" s="807">
        <v>140</v>
      </c>
      <c r="J348" s="796">
        <f t="shared" ref="J348:J360" si="64">ROUND(E348*I348,)</f>
        <v>3360</v>
      </c>
      <c r="K348" s="1030">
        <f t="shared" ref="K348:K360" si="65">H348+J348</f>
        <v>24960</v>
      </c>
      <c r="L348" s="919"/>
      <c r="M348" s="729"/>
      <c r="N348" s="729"/>
      <c r="O348" s="729"/>
      <c r="P348" s="729"/>
      <c r="Q348" s="729"/>
    </row>
    <row r="349" spans="1:17" s="714" customFormat="1" ht="24" customHeight="1">
      <c r="A349" s="856" t="s">
        <v>1377</v>
      </c>
      <c r="B349" s="720" t="s">
        <v>1343</v>
      </c>
      <c r="C349" s="717"/>
      <c r="D349" s="717"/>
      <c r="E349" s="917">
        <v>2</v>
      </c>
      <c r="F349" s="722" t="s">
        <v>240</v>
      </c>
      <c r="G349" s="806">
        <v>3800</v>
      </c>
      <c r="H349" s="796">
        <f t="shared" si="63"/>
        <v>7600</v>
      </c>
      <c r="I349" s="807">
        <v>200</v>
      </c>
      <c r="J349" s="796">
        <f t="shared" si="64"/>
        <v>400</v>
      </c>
      <c r="K349" s="1030">
        <f t="shared" si="65"/>
        <v>8000</v>
      </c>
      <c r="L349" s="919"/>
      <c r="M349" s="729"/>
      <c r="N349" s="729"/>
      <c r="O349" s="729"/>
      <c r="P349" s="729"/>
      <c r="Q349" s="729"/>
    </row>
    <row r="350" spans="1:17" s="714" customFormat="1" ht="24" customHeight="1">
      <c r="A350" s="856" t="s">
        <v>1380</v>
      </c>
      <c r="B350" s="720" t="s">
        <v>1344</v>
      </c>
      <c r="C350" s="717"/>
      <c r="D350" s="717"/>
      <c r="E350" s="917">
        <v>2</v>
      </c>
      <c r="F350" s="722" t="s">
        <v>240</v>
      </c>
      <c r="G350" s="806">
        <v>5000</v>
      </c>
      <c r="H350" s="796">
        <f t="shared" si="63"/>
        <v>10000</v>
      </c>
      <c r="I350" s="807">
        <f>G350*0.1</f>
        <v>500</v>
      </c>
      <c r="J350" s="796">
        <f t="shared" si="64"/>
        <v>1000</v>
      </c>
      <c r="K350" s="1030">
        <f t="shared" si="65"/>
        <v>11000</v>
      </c>
      <c r="L350" s="919"/>
      <c r="M350" s="729"/>
      <c r="N350" s="729"/>
      <c r="O350" s="729"/>
      <c r="P350" s="729"/>
      <c r="Q350" s="729"/>
    </row>
    <row r="351" spans="1:17" s="714" customFormat="1" ht="24" customHeight="1">
      <c r="A351" s="856" t="s">
        <v>1210</v>
      </c>
      <c r="B351" s="720" t="s">
        <v>1159</v>
      </c>
      <c r="C351" s="717"/>
      <c r="D351" s="717"/>
      <c r="E351" s="917"/>
      <c r="F351" s="916"/>
      <c r="G351" s="806"/>
      <c r="H351" s="796">
        <f t="shared" si="63"/>
        <v>0</v>
      </c>
      <c r="I351" s="807"/>
      <c r="J351" s="796">
        <f t="shared" si="64"/>
        <v>0</v>
      </c>
      <c r="K351" s="1014">
        <f t="shared" si="65"/>
        <v>0</v>
      </c>
      <c r="L351" s="919"/>
      <c r="M351" s="729"/>
      <c r="N351" s="729"/>
      <c r="O351" s="729"/>
      <c r="P351" s="729"/>
      <c r="Q351" s="729"/>
    </row>
    <row r="352" spans="1:17" s="714" customFormat="1" ht="24" customHeight="1">
      <c r="A352" s="831"/>
      <c r="B352" s="800" t="s">
        <v>1430</v>
      </c>
      <c r="C352" s="757"/>
      <c r="D352" s="757"/>
      <c r="E352" s="917">
        <f>E348*30</f>
        <v>720</v>
      </c>
      <c r="F352" s="794" t="s">
        <v>438</v>
      </c>
      <c r="G352" s="806">
        <v>32</v>
      </c>
      <c r="H352" s="796">
        <f t="shared" si="63"/>
        <v>23040</v>
      </c>
      <c r="I352" s="807">
        <v>11</v>
      </c>
      <c r="J352" s="796">
        <f t="shared" si="64"/>
        <v>7920</v>
      </c>
      <c r="K352" s="1030">
        <f t="shared" si="65"/>
        <v>30960</v>
      </c>
      <c r="L352" s="1718" t="s">
        <v>2974</v>
      </c>
      <c r="M352" s="729"/>
      <c r="N352" s="714">
        <v>3183</v>
      </c>
      <c r="O352" s="714">
        <f>ROUND(N352/100,)</f>
        <v>32</v>
      </c>
      <c r="P352" s="729"/>
      <c r="Q352" s="729"/>
    </row>
    <row r="353" spans="1:21" s="714" customFormat="1" ht="24" customHeight="1">
      <c r="A353" s="831"/>
      <c r="B353" s="800" t="s">
        <v>1431</v>
      </c>
      <c r="C353" s="757"/>
      <c r="D353" s="757"/>
      <c r="E353" s="917">
        <f>E348*10</f>
        <v>240</v>
      </c>
      <c r="F353" s="794" t="s">
        <v>438</v>
      </c>
      <c r="G353" s="806">
        <v>40</v>
      </c>
      <c r="H353" s="796">
        <f t="shared" si="63"/>
        <v>9600</v>
      </c>
      <c r="I353" s="807">
        <v>12</v>
      </c>
      <c r="J353" s="796">
        <f t="shared" si="64"/>
        <v>2880</v>
      </c>
      <c r="K353" s="1030">
        <f t="shared" si="65"/>
        <v>12480</v>
      </c>
      <c r="L353" s="1718" t="s">
        <v>2974</v>
      </c>
      <c r="M353" s="729"/>
      <c r="N353" s="714">
        <v>4039</v>
      </c>
      <c r="O353" s="714">
        <f>ROUND(N353/100,)</f>
        <v>40</v>
      </c>
      <c r="P353" s="729"/>
      <c r="Q353" s="729"/>
    </row>
    <row r="354" spans="1:21" s="714" customFormat="1" ht="24" customHeight="1">
      <c r="A354" s="831"/>
      <c r="B354" s="720" t="s">
        <v>1338</v>
      </c>
      <c r="C354" s="717"/>
      <c r="D354" s="717"/>
      <c r="E354" s="917">
        <v>1</v>
      </c>
      <c r="F354" s="916" t="s">
        <v>948</v>
      </c>
      <c r="G354" s="806">
        <f>SUM(H352:H353)*5%</f>
        <v>1632</v>
      </c>
      <c r="H354" s="796">
        <f t="shared" ref="H354" si="66">ROUND(E354*G354,)</f>
        <v>1632</v>
      </c>
      <c r="I354" s="949">
        <f>ROUND(G354*0.3,)</f>
        <v>490</v>
      </c>
      <c r="J354" s="796">
        <f t="shared" si="64"/>
        <v>490</v>
      </c>
      <c r="K354" s="1030">
        <f t="shared" si="65"/>
        <v>2122</v>
      </c>
      <c r="L354" s="919"/>
      <c r="M354" s="729"/>
      <c r="N354" s="729"/>
      <c r="O354" s="729"/>
      <c r="P354" s="729"/>
      <c r="Q354" s="729"/>
    </row>
    <row r="355" spans="1:21" s="714" customFormat="1" ht="24" customHeight="1">
      <c r="A355" s="831"/>
      <c r="B355" s="720"/>
      <c r="C355" s="717"/>
      <c r="D355" s="717"/>
      <c r="E355" s="917"/>
      <c r="F355" s="916"/>
      <c r="G355" s="806"/>
      <c r="H355" s="796"/>
      <c r="I355" s="807"/>
      <c r="J355" s="796"/>
      <c r="K355" s="1014"/>
      <c r="L355" s="919"/>
      <c r="M355" s="729"/>
      <c r="N355" s="729"/>
      <c r="O355" s="729"/>
      <c r="P355" s="729"/>
      <c r="Q355" s="729"/>
    </row>
    <row r="356" spans="1:21" s="714" customFormat="1" ht="24" customHeight="1">
      <c r="A356" s="856" t="s">
        <v>1212</v>
      </c>
      <c r="B356" s="720" t="s">
        <v>1357</v>
      </c>
      <c r="C356" s="717"/>
      <c r="D356" s="717"/>
      <c r="E356" s="917"/>
      <c r="F356" s="916"/>
      <c r="G356" s="806"/>
      <c r="H356" s="796">
        <f t="shared" si="63"/>
        <v>0</v>
      </c>
      <c r="I356" s="807"/>
      <c r="J356" s="796">
        <f t="shared" si="64"/>
        <v>0</v>
      </c>
      <c r="K356" s="1014">
        <f t="shared" si="65"/>
        <v>0</v>
      </c>
      <c r="L356" s="1718"/>
      <c r="M356" s="729"/>
      <c r="P356" s="729"/>
      <c r="Q356" s="729"/>
    </row>
    <row r="357" spans="1:21" s="714" customFormat="1" ht="24" customHeight="1">
      <c r="A357" s="831"/>
      <c r="B357" s="720" t="s">
        <v>1201</v>
      </c>
      <c r="C357" s="717"/>
      <c r="D357" s="717"/>
      <c r="E357" s="917">
        <v>960</v>
      </c>
      <c r="F357" s="794" t="s">
        <v>438</v>
      </c>
      <c r="G357" s="806">
        <v>27</v>
      </c>
      <c r="H357" s="796">
        <f t="shared" si="63"/>
        <v>25920</v>
      </c>
      <c r="I357" s="807">
        <v>22</v>
      </c>
      <c r="J357" s="796">
        <f t="shared" si="64"/>
        <v>21120</v>
      </c>
      <c r="K357" s="1030">
        <f t="shared" si="65"/>
        <v>47040</v>
      </c>
      <c r="L357" s="1718" t="s">
        <v>2974</v>
      </c>
      <c r="M357" s="729"/>
      <c r="N357" s="714">
        <v>79.8</v>
      </c>
      <c r="O357" s="714">
        <f>ROUND(N357/3,)</f>
        <v>27</v>
      </c>
      <c r="P357" s="729"/>
      <c r="Q357" s="729"/>
    </row>
    <row r="358" spans="1:21" s="714" customFormat="1" ht="24" customHeight="1">
      <c r="A358" s="831"/>
      <c r="B358" s="720" t="s">
        <v>1237</v>
      </c>
      <c r="C358" s="717"/>
      <c r="D358" s="717"/>
      <c r="E358" s="917">
        <v>1</v>
      </c>
      <c r="F358" s="941" t="s">
        <v>948</v>
      </c>
      <c r="G358" s="806">
        <f>SUM(H357:H357)*15%</f>
        <v>3888</v>
      </c>
      <c r="H358" s="796">
        <f t="shared" si="63"/>
        <v>3888</v>
      </c>
      <c r="I358" s="949">
        <f>ROUND(G358*0.3,)</f>
        <v>1166</v>
      </c>
      <c r="J358" s="796">
        <f t="shared" si="64"/>
        <v>1166</v>
      </c>
      <c r="K358" s="1014">
        <f t="shared" si="65"/>
        <v>5054</v>
      </c>
      <c r="L358" s="919"/>
      <c r="M358" s="729"/>
      <c r="N358" s="729"/>
      <c r="O358" s="729"/>
      <c r="P358" s="729"/>
      <c r="Q358" s="729"/>
    </row>
    <row r="359" spans="1:21" s="714" customFormat="1" ht="24" customHeight="1">
      <c r="A359" s="831" t="s">
        <v>1214</v>
      </c>
      <c r="B359" s="720" t="s">
        <v>1281</v>
      </c>
      <c r="C359" s="717"/>
      <c r="D359" s="717"/>
      <c r="E359" s="917"/>
      <c r="F359" s="916"/>
      <c r="G359" s="806"/>
      <c r="H359" s="796">
        <f t="shared" si="63"/>
        <v>0</v>
      </c>
      <c r="I359" s="807"/>
      <c r="J359" s="796">
        <f t="shared" si="64"/>
        <v>0</v>
      </c>
      <c r="K359" s="1014">
        <f t="shared" si="65"/>
        <v>0</v>
      </c>
      <c r="L359" s="919"/>
      <c r="M359" s="729"/>
      <c r="N359" s="729"/>
      <c r="O359" s="729"/>
      <c r="P359" s="729"/>
      <c r="Q359" s="729"/>
    </row>
    <row r="360" spans="1:21" s="714" customFormat="1" ht="24" customHeight="1">
      <c r="A360" s="831"/>
      <c r="B360" s="720" t="s">
        <v>1201</v>
      </c>
      <c r="C360" s="717"/>
      <c r="D360" s="717"/>
      <c r="E360" s="917">
        <v>55</v>
      </c>
      <c r="F360" s="794" t="s">
        <v>438</v>
      </c>
      <c r="G360" s="806">
        <v>14</v>
      </c>
      <c r="H360" s="796">
        <f t="shared" si="63"/>
        <v>770</v>
      </c>
      <c r="I360" s="807">
        <v>11</v>
      </c>
      <c r="J360" s="796">
        <f t="shared" si="64"/>
        <v>605</v>
      </c>
      <c r="K360" s="1030">
        <f t="shared" si="65"/>
        <v>1375</v>
      </c>
      <c r="L360" s="919"/>
      <c r="M360" s="729"/>
      <c r="N360" s="729"/>
      <c r="O360" s="729"/>
      <c r="P360" s="729"/>
      <c r="Q360" s="729"/>
    </row>
    <row r="361" spans="1:21" s="714" customFormat="1" ht="24" customHeight="1">
      <c r="A361" s="831"/>
      <c r="B361" s="720" t="s">
        <v>957</v>
      </c>
      <c r="C361" s="717"/>
      <c r="D361" s="717"/>
      <c r="E361" s="917"/>
      <c r="F361" s="794"/>
      <c r="G361" s="806"/>
      <c r="H361" s="796"/>
      <c r="I361" s="807"/>
      <c r="J361" s="796"/>
      <c r="K361" s="1014"/>
      <c r="L361" s="919"/>
      <c r="M361" s="729"/>
      <c r="N361" s="729"/>
      <c r="O361" s="729"/>
      <c r="P361" s="729"/>
      <c r="Q361" s="729"/>
    </row>
    <row r="362" spans="1:21" s="714" customFormat="1" ht="24" customHeight="1">
      <c r="A362" s="775"/>
      <c r="B362" s="2475" t="str">
        <f>"รวมราคารายการที่ "&amp;A347</f>
        <v>รวมราคารายการที่ 3.11</v>
      </c>
      <c r="C362" s="2476"/>
      <c r="D362" s="2477"/>
      <c r="E362" s="776"/>
      <c r="F362" s="777"/>
      <c r="G362" s="959"/>
      <c r="H362" s="960">
        <f>SUM(H348:H361)</f>
        <v>104050</v>
      </c>
      <c r="I362" s="959"/>
      <c r="J362" s="960">
        <f t="shared" ref="J362:K362" si="67">SUM(J348:J361)</f>
        <v>38941</v>
      </c>
      <c r="K362" s="960">
        <f t="shared" si="67"/>
        <v>142991</v>
      </c>
      <c r="L362" s="1006"/>
      <c r="M362" s="729"/>
      <c r="N362" s="729"/>
      <c r="O362" s="729"/>
      <c r="P362" s="729"/>
      <c r="Q362" s="729"/>
    </row>
    <row r="363" spans="1:21" s="714" customFormat="1" ht="24" customHeight="1">
      <c r="A363" s="911" t="s">
        <v>1196</v>
      </c>
      <c r="B363" s="816" t="s">
        <v>1347</v>
      </c>
      <c r="C363" s="770"/>
      <c r="D363" s="770"/>
      <c r="E363" s="930"/>
      <c r="F363" s="931"/>
      <c r="G363" s="932"/>
      <c r="H363" s="933"/>
      <c r="I363" s="934"/>
      <c r="J363" s="935"/>
      <c r="K363" s="1013"/>
      <c r="L363" s="935"/>
      <c r="M363" s="729"/>
      <c r="N363" s="729"/>
      <c r="O363" s="729"/>
      <c r="P363" s="729"/>
      <c r="Q363" s="729"/>
    </row>
    <row r="364" spans="1:21" s="714" customFormat="1" ht="24" customHeight="1">
      <c r="A364" s="992" t="s">
        <v>1198</v>
      </c>
      <c r="B364" s="720" t="s">
        <v>3033</v>
      </c>
      <c r="C364" s="706"/>
      <c r="D364" s="990"/>
      <c r="E364" s="721"/>
      <c r="F364" s="722"/>
      <c r="G364" s="1402"/>
      <c r="H364" s="914"/>
      <c r="I364" s="807"/>
      <c r="J364" s="796"/>
      <c r="K364" s="797"/>
      <c r="L364" s="830"/>
      <c r="M364" s="729"/>
      <c r="N364" s="729"/>
      <c r="O364" s="729"/>
      <c r="P364" s="729"/>
      <c r="Q364" s="729"/>
      <c r="R364" s="729"/>
      <c r="S364" s="729"/>
      <c r="T364" s="729"/>
      <c r="U364" s="729"/>
    </row>
    <row r="365" spans="1:21" s="714" customFormat="1" ht="24" customHeight="1">
      <c r="A365" s="992"/>
      <c r="B365" s="720" t="s">
        <v>3022</v>
      </c>
      <c r="C365" s="706"/>
      <c r="D365" s="990"/>
      <c r="E365" s="721">
        <v>2</v>
      </c>
      <c r="F365" s="722" t="s">
        <v>240</v>
      </c>
      <c r="G365" s="994">
        <v>28700</v>
      </c>
      <c r="H365" s="864">
        <f>ROUND(E365*G365,)</f>
        <v>57400</v>
      </c>
      <c r="I365" s="865">
        <f>G365*0.01</f>
        <v>287</v>
      </c>
      <c r="J365" s="864">
        <f>ROUND(I365*E365,)</f>
        <v>574</v>
      </c>
      <c r="K365" s="865">
        <f>H365+J365</f>
        <v>57974</v>
      </c>
      <c r="L365" s="830"/>
      <c r="M365" s="729"/>
      <c r="N365" s="729"/>
      <c r="O365" s="729"/>
      <c r="P365" s="729"/>
      <c r="Q365" s="729"/>
      <c r="R365" s="729"/>
      <c r="S365" s="729"/>
      <c r="T365" s="729"/>
      <c r="U365" s="729"/>
    </row>
    <row r="366" spans="1:21" s="714" customFormat="1" ht="24" customHeight="1">
      <c r="A366" s="992"/>
      <c r="B366" s="720" t="s">
        <v>1616</v>
      </c>
      <c r="C366" s="706"/>
      <c r="D366" s="990"/>
      <c r="E366" s="721">
        <v>2</v>
      </c>
      <c r="F366" s="722" t="s">
        <v>240</v>
      </c>
      <c r="G366" s="994">
        <v>25000</v>
      </c>
      <c r="H366" s="864">
        <f>ROUND(E366*G366,)</f>
        <v>50000</v>
      </c>
      <c r="I366" s="865">
        <f>ROUND(G366*0.01,)</f>
        <v>250</v>
      </c>
      <c r="J366" s="864">
        <f>ROUND(I366*E366,)</f>
        <v>500</v>
      </c>
      <c r="K366" s="865">
        <f>H366+J366</f>
        <v>50500</v>
      </c>
      <c r="L366" s="830"/>
      <c r="M366" s="729"/>
      <c r="N366" s="729"/>
      <c r="O366" s="729"/>
      <c r="P366" s="729"/>
      <c r="Q366" s="729"/>
      <c r="R366" s="729"/>
      <c r="S366" s="729"/>
      <c r="T366" s="729"/>
      <c r="U366" s="729"/>
    </row>
    <row r="367" spans="1:21" s="714" customFormat="1" ht="24" customHeight="1">
      <c r="A367" s="993"/>
      <c r="B367" s="720" t="s">
        <v>1375</v>
      </c>
      <c r="C367" s="706"/>
      <c r="D367" s="990"/>
      <c r="E367" s="721">
        <v>48</v>
      </c>
      <c r="F367" s="722" t="s">
        <v>240</v>
      </c>
      <c r="G367" s="994">
        <v>400</v>
      </c>
      <c r="H367" s="864">
        <f>ROUND(E367*G367,)</f>
        <v>19200</v>
      </c>
      <c r="I367" s="865">
        <f>ROUND(G367*0.01,)</f>
        <v>4</v>
      </c>
      <c r="J367" s="864">
        <f>ROUND(I367*E367,)</f>
        <v>192</v>
      </c>
      <c r="K367" s="865">
        <f>H367+J367</f>
        <v>19392</v>
      </c>
      <c r="L367" s="830"/>
      <c r="M367" s="729"/>
      <c r="N367" s="729"/>
      <c r="O367" s="729"/>
      <c r="P367" s="729"/>
      <c r="Q367" s="729"/>
      <c r="R367" s="729"/>
      <c r="S367" s="729"/>
      <c r="T367" s="729"/>
      <c r="U367" s="729"/>
    </row>
    <row r="368" spans="1:21" s="714" customFormat="1" ht="24" customHeight="1">
      <c r="A368" s="993"/>
      <c r="B368" s="720" t="s">
        <v>3023</v>
      </c>
      <c r="C368" s="706"/>
      <c r="D368" s="990"/>
      <c r="E368" s="721"/>
      <c r="F368" s="722" t="s">
        <v>240</v>
      </c>
      <c r="G368" s="994"/>
      <c r="H368" s="914"/>
      <c r="I368" s="797"/>
      <c r="J368" s="796"/>
      <c r="K368" s="797"/>
      <c r="L368" s="830"/>
      <c r="M368" s="729"/>
      <c r="N368" s="729"/>
      <c r="O368" s="729"/>
      <c r="P368" s="729"/>
      <c r="Q368" s="729"/>
      <c r="R368" s="729"/>
      <c r="S368" s="729"/>
      <c r="T368" s="729"/>
      <c r="U368" s="729"/>
    </row>
    <row r="369" spans="1:21" s="714" customFormat="1" ht="24" customHeight="1">
      <c r="A369" s="1138"/>
      <c r="B369" s="720" t="s">
        <v>1618</v>
      </c>
      <c r="C369" s="706"/>
      <c r="D369" s="990"/>
      <c r="E369" s="721"/>
      <c r="F369" s="722" t="s">
        <v>240</v>
      </c>
      <c r="G369" s="994"/>
      <c r="H369" s="914"/>
      <c r="I369" s="797"/>
      <c r="J369" s="796"/>
      <c r="K369" s="797"/>
      <c r="L369" s="988"/>
      <c r="M369" s="729"/>
      <c r="N369" s="729"/>
      <c r="O369" s="729"/>
      <c r="P369" s="729"/>
      <c r="Q369" s="729"/>
      <c r="R369" s="729"/>
      <c r="S369" s="729"/>
      <c r="T369" s="729"/>
      <c r="U369" s="729"/>
    </row>
    <row r="370" spans="1:21" s="714" customFormat="1" ht="24" customHeight="1">
      <c r="A370" s="1138"/>
      <c r="B370" s="720"/>
      <c r="C370" s="706"/>
      <c r="D370" s="716"/>
      <c r="E370" s="721"/>
      <c r="F370" s="722"/>
      <c r="G370" s="827"/>
      <c r="H370" s="914"/>
      <c r="I370" s="797"/>
      <c r="J370" s="914"/>
      <c r="K370" s="797"/>
      <c r="L370" s="1023"/>
      <c r="M370" s="729"/>
      <c r="N370" s="729"/>
      <c r="O370" s="729"/>
      <c r="P370" s="729"/>
      <c r="Q370" s="729"/>
      <c r="R370" s="729"/>
      <c r="S370" s="729"/>
      <c r="T370" s="729"/>
      <c r="U370" s="729"/>
    </row>
    <row r="371" spans="1:21" s="714" customFormat="1" ht="24" customHeight="1">
      <c r="A371" s="856" t="s">
        <v>1200</v>
      </c>
      <c r="B371" s="720" t="s">
        <v>1348</v>
      </c>
      <c r="C371" s="717"/>
      <c r="D371" s="717"/>
      <c r="E371" s="917"/>
      <c r="F371" s="916"/>
      <c r="G371" s="806"/>
      <c r="H371" s="918"/>
      <c r="I371" s="807"/>
      <c r="J371" s="919"/>
      <c r="K371" s="968"/>
      <c r="L371" s="919"/>
      <c r="M371" s="729"/>
      <c r="N371" s="729"/>
      <c r="O371" s="729"/>
      <c r="P371" s="729"/>
      <c r="Q371" s="729"/>
    </row>
    <row r="372" spans="1:21" s="714" customFormat="1" ht="24" customHeight="1">
      <c r="A372" s="831"/>
      <c r="B372" s="720" t="s">
        <v>1487</v>
      </c>
      <c r="C372" s="717"/>
      <c r="D372" s="717"/>
      <c r="E372" s="917">
        <v>2</v>
      </c>
      <c r="F372" s="722" t="s">
        <v>240</v>
      </c>
      <c r="G372" s="806">
        <f>(28000+6600+14500)*0.95</f>
        <v>46645</v>
      </c>
      <c r="H372" s="918">
        <f t="shared" ref="H372:H377" si="68">ROUND(E372*G372,)</f>
        <v>93290</v>
      </c>
      <c r="I372" s="807">
        <v>5000</v>
      </c>
      <c r="J372" s="919">
        <f>ROUND(E372*I372,)</f>
        <v>10000</v>
      </c>
      <c r="K372" s="1030">
        <f t="shared" ref="K372:K377" si="69">H372+J372</f>
        <v>103290</v>
      </c>
      <c r="L372" s="919"/>
      <c r="M372" s="729"/>
      <c r="N372" s="729"/>
      <c r="O372" s="729"/>
      <c r="P372" s="729"/>
      <c r="Q372" s="729"/>
    </row>
    <row r="373" spans="1:21" s="714" customFormat="1" ht="24" customHeight="1">
      <c r="A373" s="831"/>
      <c r="B373" s="720" t="s">
        <v>1350</v>
      </c>
      <c r="C373" s="717"/>
      <c r="D373" s="717"/>
      <c r="E373" s="917">
        <v>4</v>
      </c>
      <c r="F373" s="722" t="s">
        <v>240</v>
      </c>
      <c r="G373" s="806">
        <f>22500*0.95</f>
        <v>21375</v>
      </c>
      <c r="H373" s="918">
        <f t="shared" si="68"/>
        <v>85500</v>
      </c>
      <c r="I373" s="807" t="s">
        <v>1351</v>
      </c>
      <c r="J373" s="919"/>
      <c r="K373" s="1030">
        <f t="shared" si="69"/>
        <v>85500</v>
      </c>
      <c r="L373" s="919"/>
      <c r="M373" s="729"/>
      <c r="N373" s="729"/>
      <c r="O373" s="729"/>
      <c r="P373" s="729"/>
      <c r="Q373" s="729"/>
    </row>
    <row r="374" spans="1:21" s="714" customFormat="1" ht="24" customHeight="1">
      <c r="A374" s="831"/>
      <c r="B374" s="720" t="s">
        <v>1352</v>
      </c>
      <c r="C374" s="717"/>
      <c r="D374" s="717"/>
      <c r="E374" s="917">
        <v>2</v>
      </c>
      <c r="F374" s="722" t="s">
        <v>240</v>
      </c>
      <c r="G374" s="806">
        <f>9500*0.95</f>
        <v>9025</v>
      </c>
      <c r="H374" s="918">
        <f t="shared" si="68"/>
        <v>18050</v>
      </c>
      <c r="I374" s="807" t="s">
        <v>1351</v>
      </c>
      <c r="J374" s="919"/>
      <c r="K374" s="1030">
        <f t="shared" si="69"/>
        <v>18050</v>
      </c>
      <c r="L374" s="919"/>
      <c r="M374" s="729"/>
      <c r="N374" s="729"/>
      <c r="O374" s="729"/>
      <c r="P374" s="729"/>
      <c r="Q374" s="729"/>
    </row>
    <row r="375" spans="1:21" s="714" customFormat="1" ht="24" customHeight="1">
      <c r="A375" s="831"/>
      <c r="B375" s="720" t="s">
        <v>1353</v>
      </c>
      <c r="C375" s="717"/>
      <c r="D375" s="717"/>
      <c r="E375" s="917">
        <v>2</v>
      </c>
      <c r="F375" s="722" t="s">
        <v>240</v>
      </c>
      <c r="G375" s="806">
        <f>2100*0.95</f>
        <v>1995</v>
      </c>
      <c r="H375" s="918">
        <f t="shared" si="68"/>
        <v>3990</v>
      </c>
      <c r="I375" s="807" t="s">
        <v>1351</v>
      </c>
      <c r="J375" s="919"/>
      <c r="K375" s="1030">
        <f t="shared" si="69"/>
        <v>3990</v>
      </c>
      <c r="L375" s="919"/>
      <c r="M375" s="729"/>
      <c r="N375" s="729"/>
      <c r="O375" s="729"/>
      <c r="P375" s="729"/>
      <c r="Q375" s="729"/>
    </row>
    <row r="376" spans="1:21" s="714" customFormat="1" ht="24" customHeight="1">
      <c r="A376" s="831"/>
      <c r="B376" s="720" t="s">
        <v>1354</v>
      </c>
      <c r="C376" s="717"/>
      <c r="D376" s="717"/>
      <c r="E376" s="917">
        <v>2</v>
      </c>
      <c r="F376" s="722" t="s">
        <v>240</v>
      </c>
      <c r="G376" s="806">
        <f>ROUND(450*0.95,)</f>
        <v>428</v>
      </c>
      <c r="H376" s="918">
        <f t="shared" si="68"/>
        <v>856</v>
      </c>
      <c r="I376" s="807" t="s">
        <v>1351</v>
      </c>
      <c r="J376" s="919"/>
      <c r="K376" s="1030">
        <f t="shared" si="69"/>
        <v>856</v>
      </c>
      <c r="L376" s="919"/>
      <c r="M376" s="729"/>
      <c r="N376" s="729"/>
      <c r="O376" s="729"/>
      <c r="P376" s="729"/>
      <c r="Q376" s="729"/>
    </row>
    <row r="377" spans="1:21" s="714" customFormat="1" ht="24" customHeight="1">
      <c r="A377" s="831"/>
      <c r="B377" s="720" t="s">
        <v>1355</v>
      </c>
      <c r="C377" s="717"/>
      <c r="D377" s="717"/>
      <c r="E377" s="917">
        <v>2</v>
      </c>
      <c r="F377" s="722" t="s">
        <v>240</v>
      </c>
      <c r="G377" s="806">
        <f>ROUND(850*0.95,)</f>
        <v>808</v>
      </c>
      <c r="H377" s="918">
        <f t="shared" si="68"/>
        <v>1616</v>
      </c>
      <c r="I377" s="807" t="s">
        <v>1351</v>
      </c>
      <c r="J377" s="919"/>
      <c r="K377" s="1030">
        <f t="shared" si="69"/>
        <v>1616</v>
      </c>
      <c r="L377" s="919"/>
      <c r="M377" s="729"/>
      <c r="N377" s="729"/>
      <c r="O377" s="729"/>
      <c r="P377" s="729"/>
      <c r="Q377" s="729"/>
    </row>
    <row r="378" spans="1:21" s="714" customFormat="1" ht="24" customHeight="1">
      <c r="A378" s="856" t="s">
        <v>1440</v>
      </c>
      <c r="B378" s="720" t="s">
        <v>1159</v>
      </c>
      <c r="C378" s="717"/>
      <c r="D378" s="717"/>
      <c r="E378" s="917"/>
      <c r="F378" s="916"/>
      <c r="G378" s="806"/>
      <c r="H378" s="918"/>
      <c r="I378" s="807"/>
      <c r="J378" s="919"/>
      <c r="K378" s="968"/>
      <c r="L378" s="919"/>
      <c r="M378" s="729"/>
      <c r="N378" s="729"/>
      <c r="O378" s="729"/>
      <c r="P378" s="729"/>
      <c r="Q378" s="729"/>
    </row>
    <row r="379" spans="1:21" s="714" customFormat="1" ht="24" customHeight="1">
      <c r="A379" s="831"/>
      <c r="B379" s="720" t="s">
        <v>1356</v>
      </c>
      <c r="C379" s="717"/>
      <c r="D379" s="717"/>
      <c r="E379" s="917">
        <v>325</v>
      </c>
      <c r="F379" s="794" t="s">
        <v>438</v>
      </c>
      <c r="G379" s="806">
        <v>37</v>
      </c>
      <c r="H379" s="918">
        <f>ROUND(E379*G379,)</f>
        <v>12025</v>
      </c>
      <c r="I379" s="807">
        <v>5</v>
      </c>
      <c r="J379" s="919">
        <f>ROUND(E379*I379,)</f>
        <v>1625</v>
      </c>
      <c r="K379" s="1030">
        <f t="shared" ref="K379:K380" si="70">H379+J379</f>
        <v>13650</v>
      </c>
      <c r="L379" s="919"/>
      <c r="M379" s="729"/>
      <c r="N379" s="729"/>
      <c r="O379" s="729"/>
      <c r="P379" s="729"/>
      <c r="Q379" s="729"/>
    </row>
    <row r="380" spans="1:21" s="714" customFormat="1" ht="24" customHeight="1">
      <c r="A380" s="831"/>
      <c r="B380" s="720" t="s">
        <v>1338</v>
      </c>
      <c r="C380" s="717"/>
      <c r="D380" s="717"/>
      <c r="E380" s="917">
        <v>1</v>
      </c>
      <c r="F380" s="916" t="s">
        <v>948</v>
      </c>
      <c r="G380" s="806">
        <f>ROUND(SUM(H379)*5%,)</f>
        <v>601</v>
      </c>
      <c r="H380" s="796">
        <f t="shared" ref="H380" si="71">ROUND(E380*G380,)</f>
        <v>601</v>
      </c>
      <c r="I380" s="949">
        <f>ROUND(G380*0.3,)</f>
        <v>180</v>
      </c>
      <c r="J380" s="796">
        <f t="shared" ref="J380" si="72">ROUND(E380*I380,)</f>
        <v>180</v>
      </c>
      <c r="K380" s="1030">
        <f t="shared" si="70"/>
        <v>781</v>
      </c>
      <c r="L380" s="919"/>
      <c r="M380" s="729"/>
      <c r="N380" s="729"/>
      <c r="O380" s="729"/>
      <c r="P380" s="729"/>
      <c r="Q380" s="729"/>
    </row>
    <row r="381" spans="1:21" s="714" customFormat="1" ht="24" customHeight="1">
      <c r="A381" s="856" t="s">
        <v>2984</v>
      </c>
      <c r="B381" s="720" t="s">
        <v>1357</v>
      </c>
      <c r="C381" s="717"/>
      <c r="D381" s="717"/>
      <c r="E381" s="917"/>
      <c r="F381" s="916"/>
      <c r="G381" s="806"/>
      <c r="H381" s="918"/>
      <c r="I381" s="807"/>
      <c r="J381" s="919"/>
      <c r="K381" s="968"/>
      <c r="L381" s="919"/>
      <c r="M381" s="729"/>
      <c r="N381" s="729"/>
      <c r="O381" s="729"/>
      <c r="P381" s="729"/>
      <c r="Q381" s="729"/>
    </row>
    <row r="382" spans="1:21" s="714" customFormat="1" ht="24" customHeight="1">
      <c r="A382" s="831"/>
      <c r="B382" s="720" t="s">
        <v>1201</v>
      </c>
      <c r="C382" s="717"/>
      <c r="D382" s="717"/>
      <c r="E382" s="917">
        <f>E379</f>
        <v>325</v>
      </c>
      <c r="F382" s="794" t="s">
        <v>438</v>
      </c>
      <c r="G382" s="806">
        <v>27</v>
      </c>
      <c r="H382" s="796">
        <f t="shared" ref="H382:H383" si="73">ROUND(G382*E382,)</f>
        <v>8775</v>
      </c>
      <c r="I382" s="807">
        <v>22</v>
      </c>
      <c r="J382" s="796">
        <f>ROUND(E382*I382,)</f>
        <v>7150</v>
      </c>
      <c r="K382" s="1030">
        <f t="shared" ref="K382:K383" si="74">H382+J382</f>
        <v>15925</v>
      </c>
      <c r="L382" s="1718" t="s">
        <v>2974</v>
      </c>
      <c r="M382" s="729"/>
      <c r="N382" s="714">
        <v>79.8</v>
      </c>
      <c r="O382" s="714">
        <f>ROUND(N382/3,)</f>
        <v>27</v>
      </c>
      <c r="P382" s="729"/>
      <c r="Q382" s="729"/>
    </row>
    <row r="383" spans="1:21" s="714" customFormat="1" ht="24" customHeight="1">
      <c r="A383" s="831"/>
      <c r="B383" s="720" t="s">
        <v>1237</v>
      </c>
      <c r="C383" s="717"/>
      <c r="D383" s="717"/>
      <c r="E383" s="917">
        <v>1</v>
      </c>
      <c r="F383" s="916" t="s">
        <v>948</v>
      </c>
      <c r="G383" s="806">
        <f>ROUND(H382*15%,)</f>
        <v>1316</v>
      </c>
      <c r="H383" s="796">
        <f t="shared" si="73"/>
        <v>1316</v>
      </c>
      <c r="I383" s="949">
        <f>ROUND(G383*0.3,)</f>
        <v>395</v>
      </c>
      <c r="J383" s="796">
        <f t="shared" ref="J383" si="75">ROUND(E383*I383,)</f>
        <v>395</v>
      </c>
      <c r="K383" s="1030">
        <f t="shared" si="74"/>
        <v>1711</v>
      </c>
      <c r="L383" s="919"/>
      <c r="M383" s="729"/>
      <c r="N383" s="729"/>
      <c r="O383" s="729"/>
      <c r="P383" s="729"/>
      <c r="Q383" s="729"/>
    </row>
    <row r="384" spans="1:21" s="714" customFormat="1" ht="24" customHeight="1">
      <c r="A384" s="921"/>
      <c r="B384" s="705" t="s">
        <v>957</v>
      </c>
      <c r="C384" s="761"/>
      <c r="D384" s="761"/>
      <c r="E384" s="923"/>
      <c r="F384" s="924"/>
      <c r="G384" s="925"/>
      <c r="H384" s="926"/>
      <c r="I384" s="927"/>
      <c r="J384" s="928"/>
      <c r="K384" s="1072"/>
      <c r="L384" s="928"/>
      <c r="M384" s="729"/>
      <c r="N384" s="729"/>
      <c r="O384" s="729"/>
      <c r="P384" s="729"/>
      <c r="Q384" s="729"/>
    </row>
    <row r="385" spans="1:21" s="714" customFormat="1" ht="24" customHeight="1">
      <c r="A385" s="831"/>
      <c r="B385" s="720" t="s">
        <v>1239</v>
      </c>
      <c r="C385" s="717"/>
      <c r="D385" s="717"/>
      <c r="E385" s="917"/>
      <c r="F385" s="916"/>
      <c r="G385" s="806"/>
      <c r="H385" s="918"/>
      <c r="I385" s="807"/>
      <c r="J385" s="919"/>
      <c r="K385" s="968"/>
      <c r="L385" s="919"/>
      <c r="M385" s="729"/>
      <c r="N385" s="729"/>
      <c r="O385" s="729"/>
      <c r="P385" s="729"/>
      <c r="Q385" s="729"/>
    </row>
    <row r="386" spans="1:21" s="714" customFormat="1" ht="24" customHeight="1">
      <c r="A386" s="831"/>
      <c r="B386" s="720"/>
      <c r="C386" s="717"/>
      <c r="D386" s="717"/>
      <c r="E386" s="917"/>
      <c r="F386" s="916"/>
      <c r="G386" s="806"/>
      <c r="H386" s="918"/>
      <c r="I386" s="807"/>
      <c r="J386" s="919"/>
      <c r="K386" s="968"/>
      <c r="L386" s="919"/>
      <c r="M386" s="729"/>
      <c r="N386" s="729"/>
      <c r="O386" s="729"/>
      <c r="P386" s="729"/>
      <c r="Q386" s="729"/>
    </row>
    <row r="387" spans="1:21" s="714" customFormat="1" ht="24" customHeight="1">
      <c r="A387" s="831"/>
      <c r="B387" s="720"/>
      <c r="C387" s="717"/>
      <c r="D387" s="717"/>
      <c r="E387" s="917"/>
      <c r="F387" s="916"/>
      <c r="G387" s="806"/>
      <c r="H387" s="918"/>
      <c r="I387" s="807"/>
      <c r="J387" s="919"/>
      <c r="K387" s="968"/>
      <c r="L387" s="919"/>
      <c r="M387" s="729"/>
      <c r="N387" s="729"/>
      <c r="O387" s="729"/>
      <c r="P387" s="729"/>
      <c r="Q387" s="729"/>
    </row>
    <row r="388" spans="1:21" s="714" customFormat="1" ht="24" customHeight="1">
      <c r="A388" s="831"/>
      <c r="B388" s="720"/>
      <c r="C388" s="717"/>
      <c r="D388" s="717"/>
      <c r="E388" s="917"/>
      <c r="F388" s="916"/>
      <c r="G388" s="806"/>
      <c r="H388" s="918"/>
      <c r="I388" s="807"/>
      <c r="J388" s="919"/>
      <c r="K388" s="968"/>
      <c r="L388" s="919"/>
      <c r="M388" s="729"/>
      <c r="N388" s="729"/>
      <c r="O388" s="729"/>
      <c r="P388" s="729"/>
      <c r="Q388" s="729"/>
    </row>
    <row r="389" spans="1:21" s="714" customFormat="1" ht="24" customHeight="1">
      <c r="A389" s="831"/>
      <c r="B389" s="720"/>
      <c r="C389" s="717"/>
      <c r="D389" s="717"/>
      <c r="E389" s="917"/>
      <c r="F389" s="916"/>
      <c r="G389" s="806"/>
      <c r="H389" s="918"/>
      <c r="I389" s="807"/>
      <c r="J389" s="919"/>
      <c r="K389" s="968"/>
      <c r="L389" s="919"/>
      <c r="M389" s="729"/>
      <c r="N389" s="729"/>
      <c r="O389" s="729"/>
      <c r="P389" s="729"/>
      <c r="Q389" s="729"/>
    </row>
    <row r="390" spans="1:21" s="714" customFormat="1" ht="24" customHeight="1">
      <c r="A390" s="831"/>
      <c r="B390" s="720"/>
      <c r="C390" s="717"/>
      <c r="D390" s="717"/>
      <c r="E390" s="917"/>
      <c r="F390" s="916"/>
      <c r="G390" s="806"/>
      <c r="H390" s="918"/>
      <c r="I390" s="807"/>
      <c r="J390" s="919"/>
      <c r="K390" s="968"/>
      <c r="L390" s="919"/>
      <c r="M390" s="729"/>
      <c r="N390" s="729"/>
      <c r="O390" s="729"/>
      <c r="P390" s="729"/>
      <c r="Q390" s="729"/>
    </row>
    <row r="391" spans="1:21" s="714" customFormat="1" ht="24" customHeight="1">
      <c r="A391" s="831"/>
      <c r="B391" s="720"/>
      <c r="C391" s="717"/>
      <c r="D391" s="717"/>
      <c r="E391" s="917"/>
      <c r="F391" s="916"/>
      <c r="G391" s="806"/>
      <c r="H391" s="918"/>
      <c r="I391" s="807"/>
      <c r="J391" s="919"/>
      <c r="K391" s="968"/>
      <c r="L391" s="919"/>
      <c r="M391" s="729"/>
      <c r="N391" s="729"/>
      <c r="O391" s="729"/>
      <c r="P391" s="729"/>
      <c r="Q391" s="729"/>
    </row>
    <row r="392" spans="1:21" s="714" customFormat="1" ht="24" customHeight="1">
      <c r="A392" s="831"/>
      <c r="B392" s="720"/>
      <c r="C392" s="717"/>
      <c r="D392" s="717"/>
      <c r="E392" s="917"/>
      <c r="F392" s="916"/>
      <c r="G392" s="806"/>
      <c r="H392" s="918"/>
      <c r="I392" s="807"/>
      <c r="J392" s="919"/>
      <c r="K392" s="968"/>
      <c r="L392" s="919"/>
      <c r="M392" s="729"/>
      <c r="N392" s="729"/>
      <c r="O392" s="729"/>
      <c r="P392" s="729"/>
      <c r="Q392" s="729"/>
    </row>
    <row r="393" spans="1:21" s="714" customFormat="1" ht="24" customHeight="1">
      <c r="A393" s="831"/>
      <c r="B393" s="720"/>
      <c r="C393" s="717"/>
      <c r="D393" s="717"/>
      <c r="E393" s="917"/>
      <c r="F393" s="916"/>
      <c r="G393" s="806"/>
      <c r="H393" s="918"/>
      <c r="I393" s="807"/>
      <c r="J393" s="919"/>
      <c r="K393" s="968"/>
      <c r="L393" s="919"/>
      <c r="M393" s="729"/>
      <c r="N393" s="729"/>
      <c r="O393" s="729"/>
      <c r="P393" s="729"/>
      <c r="Q393" s="729"/>
    </row>
    <row r="394" spans="1:21" s="714" customFormat="1" ht="24" customHeight="1">
      <c r="A394" s="775"/>
      <c r="B394" s="2475" t="str">
        <f>"รวมราคารายการที่ "&amp;A363</f>
        <v>รวมราคารายการที่ 3.12</v>
      </c>
      <c r="C394" s="2476"/>
      <c r="D394" s="2477"/>
      <c r="E394" s="776"/>
      <c r="F394" s="777"/>
      <c r="G394" s="959"/>
      <c r="H394" s="960">
        <f>SUM(H363:H384)</f>
        <v>352619</v>
      </c>
      <c r="I394" s="959"/>
      <c r="J394" s="960">
        <f>SUM(J363:J384)</f>
        <v>20616</v>
      </c>
      <c r="K394" s="960">
        <f>SUM(K363:K384)</f>
        <v>373235</v>
      </c>
      <c r="L394" s="1006"/>
    </row>
    <row r="395" spans="1:21" s="714" customFormat="1" ht="21.3">
      <c r="A395" s="899" t="s">
        <v>1202</v>
      </c>
      <c r="B395" s="900" t="s">
        <v>1358</v>
      </c>
      <c r="C395" s="943"/>
      <c r="D395" s="943"/>
      <c r="E395" s="944"/>
      <c r="F395" s="978"/>
      <c r="G395" s="774"/>
      <c r="H395" s="773"/>
      <c r="I395" s="946"/>
      <c r="J395" s="947"/>
      <c r="K395" s="1019"/>
      <c r="L395" s="947"/>
    </row>
    <row r="396" spans="1:21" s="714" customFormat="1" ht="24" customHeight="1">
      <c r="A396" s="992" t="s">
        <v>1204</v>
      </c>
      <c r="B396" s="720" t="s">
        <v>3033</v>
      </c>
      <c r="C396" s="706"/>
      <c r="D396" s="990"/>
      <c r="E396" s="721"/>
      <c r="F396" s="722"/>
      <c r="G396" s="1402"/>
      <c r="H396" s="914"/>
      <c r="I396" s="807"/>
      <c r="J396" s="796"/>
      <c r="K396" s="797"/>
      <c r="L396" s="830"/>
      <c r="M396" s="729"/>
      <c r="N396" s="729"/>
      <c r="O396" s="729"/>
      <c r="P396" s="729"/>
      <c r="Q396" s="729"/>
      <c r="R396" s="729"/>
      <c r="S396" s="729"/>
      <c r="T396" s="729"/>
      <c r="U396" s="729"/>
    </row>
    <row r="397" spans="1:21" s="714" customFormat="1" ht="24" customHeight="1">
      <c r="A397" s="992"/>
      <c r="B397" s="720" t="s">
        <v>3022</v>
      </c>
      <c r="C397" s="706"/>
      <c r="D397" s="990"/>
      <c r="E397" s="721">
        <v>2</v>
      </c>
      <c r="F397" s="722" t="s">
        <v>240</v>
      </c>
      <c r="G397" s="994">
        <v>28700</v>
      </c>
      <c r="H397" s="864">
        <f>ROUND(E397*G397,)</f>
        <v>57400</v>
      </c>
      <c r="I397" s="865">
        <f>G397*0.01</f>
        <v>287</v>
      </c>
      <c r="J397" s="864">
        <f>ROUND(I397*E397,)</f>
        <v>574</v>
      </c>
      <c r="K397" s="865">
        <f>H397+J397</f>
        <v>57974</v>
      </c>
      <c r="L397" s="830"/>
      <c r="M397" s="729"/>
      <c r="N397" s="729"/>
      <c r="O397" s="729"/>
      <c r="P397" s="729"/>
      <c r="Q397" s="729"/>
      <c r="R397" s="729"/>
      <c r="S397" s="729"/>
      <c r="T397" s="729"/>
      <c r="U397" s="729"/>
    </row>
    <row r="398" spans="1:21" s="714" customFormat="1" ht="24" customHeight="1">
      <c r="A398" s="992"/>
      <c r="B398" s="720" t="s">
        <v>1616</v>
      </c>
      <c r="C398" s="706"/>
      <c r="D398" s="990"/>
      <c r="E398" s="721">
        <v>2</v>
      </c>
      <c r="F398" s="722" t="s">
        <v>240</v>
      </c>
      <c r="G398" s="994">
        <v>25000</v>
      </c>
      <c r="H398" s="864">
        <f>ROUND(E398*G398,)</f>
        <v>50000</v>
      </c>
      <c r="I398" s="865">
        <f>ROUND(G398*0.01,)</f>
        <v>250</v>
      </c>
      <c r="J398" s="864">
        <f>ROUND(I398*E398,)</f>
        <v>500</v>
      </c>
      <c r="K398" s="865">
        <f>H398+J398</f>
        <v>50500</v>
      </c>
      <c r="L398" s="830"/>
      <c r="M398" s="729"/>
      <c r="N398" s="729"/>
      <c r="O398" s="729"/>
      <c r="P398" s="729"/>
      <c r="Q398" s="729"/>
      <c r="R398" s="729"/>
      <c r="S398" s="729"/>
      <c r="T398" s="729"/>
      <c r="U398" s="729"/>
    </row>
    <row r="399" spans="1:21" s="714" customFormat="1" ht="24" customHeight="1">
      <c r="A399" s="993"/>
      <c r="B399" s="720" t="s">
        <v>1375</v>
      </c>
      <c r="C399" s="706"/>
      <c r="D399" s="990"/>
      <c r="E399" s="721">
        <v>48</v>
      </c>
      <c r="F399" s="722" t="s">
        <v>240</v>
      </c>
      <c r="G399" s="994">
        <v>400</v>
      </c>
      <c r="H399" s="864">
        <f>ROUND(E399*G399,)</f>
        <v>19200</v>
      </c>
      <c r="I399" s="865">
        <f>ROUND(G399*0.01,)</f>
        <v>4</v>
      </c>
      <c r="J399" s="864">
        <f>ROUND(I399*E399,)</f>
        <v>192</v>
      </c>
      <c r="K399" s="865">
        <f>H399+J399</f>
        <v>19392</v>
      </c>
      <c r="L399" s="830"/>
      <c r="M399" s="729"/>
      <c r="N399" s="729"/>
      <c r="O399" s="729"/>
      <c r="P399" s="729"/>
      <c r="Q399" s="729"/>
      <c r="R399" s="729"/>
      <c r="S399" s="729"/>
      <c r="T399" s="729"/>
      <c r="U399" s="729"/>
    </row>
    <row r="400" spans="1:21" s="714" customFormat="1" ht="24" customHeight="1">
      <c r="A400" s="993"/>
      <c r="B400" s="720" t="s">
        <v>3023</v>
      </c>
      <c r="C400" s="706"/>
      <c r="D400" s="990"/>
      <c r="E400" s="721"/>
      <c r="F400" s="722" t="s">
        <v>240</v>
      </c>
      <c r="G400" s="994"/>
      <c r="H400" s="914"/>
      <c r="I400" s="797"/>
      <c r="J400" s="796"/>
      <c r="K400" s="797"/>
      <c r="L400" s="830"/>
      <c r="M400" s="729"/>
      <c r="N400" s="729"/>
      <c r="O400" s="729"/>
      <c r="P400" s="729"/>
      <c r="Q400" s="729"/>
      <c r="R400" s="729"/>
      <c r="S400" s="729"/>
      <c r="T400" s="729"/>
      <c r="U400" s="729"/>
    </row>
    <row r="401" spans="1:21" s="714" customFormat="1" ht="24" customHeight="1">
      <c r="A401" s="1138"/>
      <c r="B401" s="720" t="s">
        <v>1618</v>
      </c>
      <c r="C401" s="706"/>
      <c r="D401" s="990"/>
      <c r="E401" s="721"/>
      <c r="F401" s="722" t="s">
        <v>240</v>
      </c>
      <c r="G401" s="994"/>
      <c r="H401" s="914"/>
      <c r="I401" s="797"/>
      <c r="J401" s="796"/>
      <c r="K401" s="797"/>
      <c r="L401" s="988"/>
      <c r="M401" s="729"/>
      <c r="N401" s="729"/>
      <c r="O401" s="729"/>
      <c r="P401" s="729"/>
      <c r="Q401" s="729"/>
      <c r="R401" s="729"/>
      <c r="S401" s="729"/>
      <c r="T401" s="729"/>
      <c r="U401" s="729"/>
    </row>
    <row r="402" spans="1:21" s="714" customFormat="1" ht="21.3">
      <c r="A402" s="976" t="s">
        <v>1206</v>
      </c>
      <c r="B402" s="800" t="s">
        <v>1359</v>
      </c>
      <c r="C402" s="757"/>
      <c r="D402" s="757"/>
      <c r="E402" s="979"/>
      <c r="F402" s="980"/>
      <c r="G402" s="981"/>
      <c r="H402" s="982"/>
      <c r="I402" s="983"/>
      <c r="J402" s="982"/>
      <c r="K402" s="1021"/>
      <c r="L402" s="973"/>
    </row>
    <row r="403" spans="1:21" s="714" customFormat="1" ht="21.3">
      <c r="A403" s="861"/>
      <c r="B403" s="800" t="s">
        <v>1564</v>
      </c>
      <c r="C403" s="757"/>
      <c r="D403" s="757"/>
      <c r="E403" s="942">
        <v>1</v>
      </c>
      <c r="F403" s="803" t="s">
        <v>240</v>
      </c>
      <c r="G403" s="752">
        <f>40590+10000+33400</f>
        <v>83990</v>
      </c>
      <c r="H403" s="751">
        <f t="shared" ref="H403:H404" si="76">ROUND(E403*G403,)</f>
        <v>83990</v>
      </c>
      <c r="I403" s="949">
        <f>G403*0.1</f>
        <v>8399</v>
      </c>
      <c r="J403" s="973">
        <f>ROUND(E403*I403,)</f>
        <v>8399</v>
      </c>
      <c r="K403" s="1030">
        <f t="shared" ref="K403:K404" si="77">H403+J403</f>
        <v>92389</v>
      </c>
      <c r="L403" s="973"/>
    </row>
    <row r="404" spans="1:21" s="714" customFormat="1" ht="21.3">
      <c r="A404" s="861"/>
      <c r="B404" s="800" t="s">
        <v>1565</v>
      </c>
      <c r="C404" s="757"/>
      <c r="D404" s="757"/>
      <c r="E404" s="942">
        <v>1</v>
      </c>
      <c r="F404" s="803" t="s">
        <v>240</v>
      </c>
      <c r="G404" s="752">
        <v>228010</v>
      </c>
      <c r="H404" s="751">
        <f t="shared" si="76"/>
        <v>228010</v>
      </c>
      <c r="I404" s="949">
        <f t="shared" ref="I404" si="78">G404*0.1</f>
        <v>22801</v>
      </c>
      <c r="J404" s="973">
        <f t="shared" ref="J404" si="79">ROUND(E404*I404,)</f>
        <v>22801</v>
      </c>
      <c r="K404" s="1030">
        <f t="shared" si="77"/>
        <v>250811</v>
      </c>
      <c r="L404" s="973"/>
    </row>
    <row r="405" spans="1:21" s="714" customFormat="1" ht="21.3">
      <c r="A405" s="976" t="s">
        <v>1208</v>
      </c>
      <c r="B405" s="800" t="s">
        <v>1363</v>
      </c>
      <c r="C405" s="757"/>
      <c r="D405" s="757"/>
      <c r="E405" s="979"/>
      <c r="F405" s="980"/>
      <c r="G405" s="981"/>
      <c r="H405" s="982"/>
      <c r="I405" s="983"/>
      <c r="J405" s="982"/>
      <c r="K405" s="1021"/>
      <c r="L405" s="973"/>
    </row>
    <row r="406" spans="1:21" s="714" customFormat="1" ht="21.3">
      <c r="A406" s="861"/>
      <c r="B406" s="800" t="s">
        <v>1566</v>
      </c>
      <c r="C406" s="757"/>
      <c r="D406" s="757"/>
      <c r="E406" s="942">
        <v>5</v>
      </c>
      <c r="F406" s="803" t="s">
        <v>240</v>
      </c>
      <c r="G406" s="752">
        <v>3500</v>
      </c>
      <c r="H406" s="751">
        <f t="shared" ref="H406:H407" si="80">ROUND(E406*G406,)</f>
        <v>17500</v>
      </c>
      <c r="I406" s="949">
        <f t="shared" ref="I406:I407" si="81">G406*0.1</f>
        <v>350</v>
      </c>
      <c r="J406" s="973">
        <f t="shared" ref="J406:J407" si="82">ROUND(E406*I406,)</f>
        <v>1750</v>
      </c>
      <c r="K406" s="1030">
        <f t="shared" ref="K406:K407" si="83">H406+J406</f>
        <v>19250</v>
      </c>
      <c r="L406" s="973"/>
    </row>
    <row r="407" spans="1:21" s="714" customFormat="1" ht="21.3">
      <c r="A407" s="861"/>
      <c r="B407" s="800" t="s">
        <v>1567</v>
      </c>
      <c r="C407" s="757"/>
      <c r="D407" s="757"/>
      <c r="E407" s="942">
        <v>5</v>
      </c>
      <c r="F407" s="803" t="s">
        <v>240</v>
      </c>
      <c r="G407" s="752">
        <v>3500</v>
      </c>
      <c r="H407" s="751">
        <f t="shared" si="80"/>
        <v>17500</v>
      </c>
      <c r="I407" s="949">
        <f t="shared" si="81"/>
        <v>350</v>
      </c>
      <c r="J407" s="973">
        <f t="shared" si="82"/>
        <v>1750</v>
      </c>
      <c r="K407" s="1030">
        <f t="shared" si="83"/>
        <v>19250</v>
      </c>
      <c r="L407" s="973"/>
    </row>
    <row r="408" spans="1:21">
      <c r="A408" s="976" t="s">
        <v>3057</v>
      </c>
      <c r="B408" s="800" t="s">
        <v>1159</v>
      </c>
      <c r="C408" s="757"/>
      <c r="D408" s="757"/>
      <c r="E408" s="942"/>
      <c r="F408" s="948"/>
      <c r="G408" s="752"/>
      <c r="H408" s="751"/>
      <c r="I408" s="949"/>
      <c r="J408" s="973"/>
      <c r="K408" s="1022"/>
      <c r="L408" s="973"/>
    </row>
    <row r="409" spans="1:21">
      <c r="A409" s="861"/>
      <c r="B409" s="800" t="s">
        <v>1367</v>
      </c>
      <c r="C409" s="757"/>
      <c r="D409" s="757"/>
      <c r="E409" s="942">
        <v>440</v>
      </c>
      <c r="F409" s="867" t="s">
        <v>438</v>
      </c>
      <c r="G409" s="752">
        <v>103</v>
      </c>
      <c r="H409" s="751">
        <f>ROUND(E409*G409,)</f>
        <v>45320</v>
      </c>
      <c r="I409" s="949">
        <v>21</v>
      </c>
      <c r="J409" s="973">
        <f>ROUND(E409*I409,)</f>
        <v>9240</v>
      </c>
      <c r="K409" s="1030">
        <f t="shared" ref="K409:K411" si="84">H409+J409</f>
        <v>54560</v>
      </c>
      <c r="L409" s="973"/>
    </row>
    <row r="410" spans="1:21">
      <c r="A410" s="861"/>
      <c r="B410" s="800" t="s">
        <v>1368</v>
      </c>
      <c r="C410" s="757"/>
      <c r="D410" s="757"/>
      <c r="E410" s="942">
        <v>20</v>
      </c>
      <c r="F410" s="867" t="s">
        <v>438</v>
      </c>
      <c r="G410" s="752">
        <v>139</v>
      </c>
      <c r="H410" s="751">
        <f>ROUND(E410*G410,)</f>
        <v>2780</v>
      </c>
      <c r="I410" s="949">
        <v>21</v>
      </c>
      <c r="J410" s="973">
        <f>ROUND(E410*I410,)</f>
        <v>420</v>
      </c>
      <c r="K410" s="1030">
        <f t="shared" si="84"/>
        <v>3200</v>
      </c>
      <c r="L410" s="973"/>
    </row>
    <row r="411" spans="1:21">
      <c r="A411" s="861"/>
      <c r="B411" s="800" t="s">
        <v>1338</v>
      </c>
      <c r="C411" s="757"/>
      <c r="D411" s="757"/>
      <c r="E411" s="942">
        <v>1</v>
      </c>
      <c r="F411" s="948" t="s">
        <v>948</v>
      </c>
      <c r="G411" s="752">
        <f>SUM(H409:H410)*5%</f>
        <v>2405</v>
      </c>
      <c r="H411" s="864">
        <f>ROUND(E411*G411,)</f>
        <v>2405</v>
      </c>
      <c r="I411" s="949">
        <f>ROUND(G411*0.3,)</f>
        <v>722</v>
      </c>
      <c r="J411" s="864">
        <f>ROUND(E411*I411,)</f>
        <v>722</v>
      </c>
      <c r="K411" s="1030">
        <f t="shared" si="84"/>
        <v>3127</v>
      </c>
      <c r="L411" s="973"/>
    </row>
    <row r="412" spans="1:21">
      <c r="A412" s="861"/>
      <c r="B412" s="800"/>
      <c r="C412" s="757"/>
      <c r="D412" s="757"/>
      <c r="E412" s="942"/>
      <c r="F412" s="948"/>
      <c r="G412" s="752"/>
      <c r="H412" s="864"/>
      <c r="I412" s="949"/>
      <c r="J412" s="864"/>
      <c r="K412" s="1030"/>
      <c r="L412" s="973"/>
    </row>
    <row r="413" spans="1:21">
      <c r="A413" s="861" t="s">
        <v>3058</v>
      </c>
      <c r="B413" s="800" t="s">
        <v>1252</v>
      </c>
      <c r="C413" s="757"/>
      <c r="D413" s="757"/>
      <c r="E413" s="942"/>
      <c r="F413" s="948"/>
      <c r="G413" s="752"/>
      <c r="H413" s="864"/>
      <c r="I413" s="949"/>
      <c r="J413" s="864"/>
      <c r="K413" s="966"/>
      <c r="L413" s="985"/>
    </row>
    <row r="414" spans="1:21">
      <c r="A414" s="861"/>
      <c r="B414" s="800" t="s">
        <v>1193</v>
      </c>
      <c r="C414" s="757"/>
      <c r="D414" s="757"/>
      <c r="E414" s="942">
        <v>262</v>
      </c>
      <c r="F414" s="867" t="s">
        <v>438</v>
      </c>
      <c r="G414" s="752">
        <v>316</v>
      </c>
      <c r="H414" s="864">
        <f>ROUND(E414*G414,)</f>
        <v>82792</v>
      </c>
      <c r="I414" s="949">
        <v>50</v>
      </c>
      <c r="J414" s="864">
        <f>ROUND(E414*I414,)</f>
        <v>13100</v>
      </c>
      <c r="K414" s="1030">
        <f t="shared" ref="K414:K416" si="85">H414+J414</f>
        <v>95892</v>
      </c>
      <c r="L414" s="985"/>
    </row>
    <row r="415" spans="1:21">
      <c r="A415" s="861"/>
      <c r="B415" s="800" t="s">
        <v>1237</v>
      </c>
      <c r="C415" s="757"/>
      <c r="D415" s="757"/>
      <c r="E415" s="942">
        <v>1</v>
      </c>
      <c r="F415" s="948" t="s">
        <v>948</v>
      </c>
      <c r="G415" s="752">
        <f>ROUND(SUM(H414)*15%,)</f>
        <v>12419</v>
      </c>
      <c r="H415" s="864">
        <f>ROUND(G415*E415,)</f>
        <v>12419</v>
      </c>
      <c r="I415" s="949">
        <f>ROUND(G415*0.3,)</f>
        <v>3726</v>
      </c>
      <c r="J415" s="864">
        <f>ROUND(E415*I415,)</f>
        <v>3726</v>
      </c>
      <c r="K415" s="1030">
        <f t="shared" si="85"/>
        <v>16145</v>
      </c>
      <c r="L415" s="985"/>
    </row>
    <row r="416" spans="1:21">
      <c r="A416" s="889"/>
      <c r="B416" s="756" t="s">
        <v>957</v>
      </c>
      <c r="C416" s="974"/>
      <c r="D416" s="974"/>
      <c r="E416" s="1040"/>
      <c r="F416" s="1041"/>
      <c r="G416" s="766"/>
      <c r="H416" s="765"/>
      <c r="I416" s="975"/>
      <c r="J416" s="1042"/>
      <c r="K416" s="1030">
        <f t="shared" si="85"/>
        <v>0</v>
      </c>
      <c r="L416" s="1042"/>
    </row>
    <row r="417" spans="1:21" s="714" customFormat="1" ht="24" customHeight="1">
      <c r="A417" s="995"/>
      <c r="B417" s="800" t="s">
        <v>1428</v>
      </c>
      <c r="C417" s="706"/>
      <c r="D417" s="990"/>
      <c r="E417" s="721"/>
      <c r="F417" s="722"/>
      <c r="G417" s="795"/>
      <c r="H417" s="796"/>
      <c r="I417" s="1039"/>
      <c r="J417" s="796"/>
      <c r="K417" s="1014"/>
      <c r="L417" s="1024"/>
      <c r="M417" s="729"/>
      <c r="N417" s="729"/>
      <c r="O417" s="729"/>
      <c r="P417" s="729"/>
      <c r="Q417" s="729"/>
      <c r="R417" s="729"/>
      <c r="S417" s="729"/>
      <c r="T417" s="729"/>
      <c r="U417" s="729"/>
    </row>
    <row r="418" spans="1:21">
      <c r="A418" s="775"/>
      <c r="B418" s="2475" t="str">
        <f>"รวมราคารายการที่ "&amp;A395</f>
        <v>รวมราคารายการที่ 3.13</v>
      </c>
      <c r="C418" s="2476"/>
      <c r="D418" s="2477"/>
      <c r="E418" s="776"/>
      <c r="F418" s="777"/>
      <c r="G418" s="959"/>
      <c r="H418" s="960">
        <f>SUM(H395:H416)</f>
        <v>619316</v>
      </c>
      <c r="I418" s="959"/>
      <c r="J418" s="960">
        <f t="shared" ref="J418:K418" si="86">SUM(J395:J416)</f>
        <v>63174</v>
      </c>
      <c r="K418" s="960">
        <f t="shared" si="86"/>
        <v>682490</v>
      </c>
      <c r="L418" s="1006"/>
    </row>
  </sheetData>
  <mergeCells count="22">
    <mergeCell ref="B394:D394"/>
    <mergeCell ref="B418:D418"/>
    <mergeCell ref="B250:D250"/>
    <mergeCell ref="B259:D259"/>
    <mergeCell ref="B287:D287"/>
    <mergeCell ref="B322:D322"/>
    <mergeCell ref="B346:D346"/>
    <mergeCell ref="B362:D362"/>
    <mergeCell ref="B233:D233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82:D82"/>
    <mergeCell ref="B178:D178"/>
    <mergeCell ref="B202:D202"/>
    <mergeCell ref="B215:D215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8-อาคารสนับนุน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8D1A4-E0BC-4AD7-B05F-28BABBD495B1}">
  <sheetPr>
    <tabColor rgb="FF92D050"/>
  </sheetPr>
  <dimension ref="A1:R155"/>
  <sheetViews>
    <sheetView tabSelected="1" view="pageBreakPreview" topLeftCell="A73" zoomScale="70" zoomScaleNormal="10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5859375" style="1" customWidth="1"/>
    <col min="13" max="96" width="7.703125" style="1" customWidth="1"/>
    <col min="97" max="16384" width="9" style="1"/>
  </cols>
  <sheetData>
    <row r="1" spans="1:12" ht="35.200000000000003" customHeight="1">
      <c r="A1" s="681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683" t="s">
        <v>2</v>
      </c>
      <c r="B2" s="33"/>
      <c r="C2" s="34"/>
      <c r="D2" s="11" t="s">
        <v>938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685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687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685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6.2" customHeight="1">
      <c r="A7" s="6" t="s">
        <v>26</v>
      </c>
      <c r="B7" s="20"/>
      <c r="C7" s="20"/>
      <c r="D7" s="21"/>
      <c r="E7" s="20"/>
      <c r="F7" s="689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362" t="s">
        <v>14</v>
      </c>
      <c r="L9" s="2480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364" t="s">
        <v>17</v>
      </c>
      <c r="I10" s="28" t="s">
        <v>16</v>
      </c>
      <c r="J10" s="2364" t="s">
        <v>17</v>
      </c>
      <c r="K10" s="2363" t="s">
        <v>18</v>
      </c>
      <c r="L10" s="2481"/>
    </row>
    <row r="11" spans="1:12" ht="24" customHeight="1">
      <c r="A11" s="2399" t="s">
        <v>25</v>
      </c>
      <c r="B11" s="691" t="s">
        <v>1576</v>
      </c>
      <c r="C11" s="692"/>
      <c r="D11" s="693"/>
      <c r="E11" s="694"/>
      <c r="F11" s="695"/>
      <c r="G11" s="696"/>
      <c r="H11" s="697"/>
      <c r="I11" s="698"/>
      <c r="J11" s="697"/>
      <c r="K11" s="699"/>
      <c r="L11" s="954"/>
    </row>
    <row r="12" spans="1:12" s="714" customFormat="1" ht="24" customHeight="1">
      <c r="A12" s="719">
        <f>A35</f>
        <v>3.1</v>
      </c>
      <c r="B12" s="705" t="str">
        <f>B35</f>
        <v>สายไฟฟ้า (Cable &amp; Wire)</v>
      </c>
      <c r="C12" s="717"/>
      <c r="D12" s="718"/>
      <c r="E12" s="708">
        <v>1</v>
      </c>
      <c r="F12" s="709" t="s">
        <v>19</v>
      </c>
      <c r="G12" s="710"/>
      <c r="H12" s="711">
        <f>H43</f>
        <v>4725</v>
      </c>
      <c r="I12" s="712"/>
      <c r="J12" s="711">
        <f>J43</f>
        <v>3568</v>
      </c>
      <c r="K12" s="711">
        <f>K43</f>
        <v>8293</v>
      </c>
      <c r="L12" s="954"/>
    </row>
    <row r="13" spans="1:12" s="714" customFormat="1" ht="24" customHeight="1">
      <c r="A13" s="719" t="str">
        <f>A44</f>
        <v>3.2</v>
      </c>
      <c r="B13" s="705" t="str">
        <f>B44</f>
        <v>รางเดินสายไฟฟ้า (Raceway)</v>
      </c>
      <c r="C13" s="717"/>
      <c r="D13" s="718"/>
      <c r="E13" s="708">
        <v>1</v>
      </c>
      <c r="F13" s="709" t="s">
        <v>19</v>
      </c>
      <c r="G13" s="710"/>
      <c r="H13" s="711">
        <f>H58</f>
        <v>12179</v>
      </c>
      <c r="I13" s="712"/>
      <c r="J13" s="711">
        <f>J58</f>
        <v>8140</v>
      </c>
      <c r="K13" s="711">
        <f>K58</f>
        <v>20319</v>
      </c>
      <c r="L13" s="954"/>
    </row>
    <row r="14" spans="1:12" s="714" customFormat="1" ht="24" customHeight="1">
      <c r="A14" s="719" t="str">
        <f>A59</f>
        <v>3.3</v>
      </c>
      <c r="B14" s="705" t="str">
        <f>B59</f>
        <v>สวิทช์และเต้ารับ (Switch &amp; Outlet)</v>
      </c>
      <c r="C14" s="717"/>
      <c r="D14" s="718"/>
      <c r="E14" s="708">
        <v>1</v>
      </c>
      <c r="F14" s="709" t="s">
        <v>19</v>
      </c>
      <c r="G14" s="710"/>
      <c r="H14" s="711">
        <f>H73</f>
        <v>1148</v>
      </c>
      <c r="I14" s="712"/>
      <c r="J14" s="711">
        <f>J73</f>
        <v>680</v>
      </c>
      <c r="K14" s="711">
        <f>K73</f>
        <v>1828</v>
      </c>
      <c r="L14" s="954"/>
    </row>
    <row r="15" spans="1:12" s="714" customFormat="1" ht="24" customHeight="1">
      <c r="A15" s="719" t="str">
        <f>A74</f>
        <v>3.4</v>
      </c>
      <c r="B15" s="705" t="str">
        <f>B74</f>
        <v>โคมไฟฟ้า (Luminaire)</v>
      </c>
      <c r="C15" s="717"/>
      <c r="D15" s="718"/>
      <c r="E15" s="708">
        <v>1</v>
      </c>
      <c r="F15" s="709" t="s">
        <v>19</v>
      </c>
      <c r="G15" s="710"/>
      <c r="H15" s="711">
        <f>H99</f>
        <v>17760</v>
      </c>
      <c r="I15" s="712"/>
      <c r="J15" s="711">
        <f>J99</f>
        <v>4260</v>
      </c>
      <c r="K15" s="711">
        <f>K99</f>
        <v>22020</v>
      </c>
      <c r="L15" s="954"/>
    </row>
    <row r="16" spans="1:12" s="714" customFormat="1" ht="25.5" customHeight="1">
      <c r="A16" s="719">
        <f>A100</f>
        <v>3.5</v>
      </c>
      <c r="B16" s="720" t="str">
        <f>B100</f>
        <v>ระบบสัญญาณแจ้งเหตุเพลิงไหม้ (Fire Alarm System)</v>
      </c>
      <c r="C16" s="717"/>
      <c r="D16" s="718"/>
      <c r="E16" s="708">
        <v>1</v>
      </c>
      <c r="F16" s="722" t="s">
        <v>19</v>
      </c>
      <c r="G16" s="723"/>
      <c r="H16" s="711">
        <f>H130</f>
        <v>52638</v>
      </c>
      <c r="I16" s="712"/>
      <c r="J16" s="711">
        <f>J130</f>
        <v>9056</v>
      </c>
      <c r="K16" s="711">
        <f>K130</f>
        <v>61694</v>
      </c>
      <c r="L16" s="954"/>
    </row>
    <row r="17" spans="1:12" s="714" customFormat="1" ht="24" customHeight="1">
      <c r="A17" s="719">
        <f>A131</f>
        <v>3.6</v>
      </c>
      <c r="B17" s="955" t="str">
        <f>B131</f>
        <v>ระบบบริหารจัดการอาคาร (Building Management System : BMS)</v>
      </c>
      <c r="C17" s="717"/>
      <c r="D17" s="718"/>
      <c r="E17" s="708">
        <v>1</v>
      </c>
      <c r="F17" s="722" t="s">
        <v>19</v>
      </c>
      <c r="G17" s="710"/>
      <c r="H17" s="711">
        <f>H155</f>
        <v>235902</v>
      </c>
      <c r="I17" s="956"/>
      <c r="J17" s="711">
        <f>J155</f>
        <v>29508</v>
      </c>
      <c r="K17" s="711">
        <f>K155</f>
        <v>265410</v>
      </c>
      <c r="L17" s="954"/>
    </row>
    <row r="18" spans="1:12" s="714" customFormat="1" ht="24" customHeight="1">
      <c r="A18" s="719"/>
      <c r="B18" s="955"/>
      <c r="C18" s="717"/>
      <c r="D18" s="718"/>
      <c r="E18" s="708"/>
      <c r="F18" s="722"/>
      <c r="G18" s="710"/>
      <c r="H18" s="711"/>
      <c r="I18" s="956"/>
      <c r="J18" s="957"/>
      <c r="K18" s="958"/>
      <c r="L18" s="954"/>
    </row>
    <row r="19" spans="1:12" s="714" customFormat="1" ht="24" customHeight="1">
      <c r="A19" s="719"/>
      <c r="B19" s="955"/>
      <c r="C19" s="717"/>
      <c r="D19" s="718"/>
      <c r="E19" s="721"/>
      <c r="F19" s="722"/>
      <c r="G19" s="710"/>
      <c r="H19" s="711"/>
      <c r="I19" s="956"/>
      <c r="J19" s="957"/>
      <c r="K19" s="958"/>
      <c r="L19" s="954"/>
    </row>
    <row r="20" spans="1:12" s="714" customFormat="1" ht="24" customHeight="1">
      <c r="A20" s="719"/>
      <c r="B20" s="955"/>
      <c r="C20" s="717"/>
      <c r="D20" s="718"/>
      <c r="E20" s="721"/>
      <c r="F20" s="722"/>
      <c r="G20" s="710"/>
      <c r="H20" s="711"/>
      <c r="I20" s="956"/>
      <c r="J20" s="957"/>
      <c r="K20" s="958"/>
      <c r="L20" s="954"/>
    </row>
    <row r="21" spans="1:12" s="714" customFormat="1" ht="24" customHeight="1">
      <c r="A21" s="719"/>
      <c r="B21" s="955"/>
      <c r="C21" s="717"/>
      <c r="D21" s="718"/>
      <c r="E21" s="721"/>
      <c r="F21" s="722"/>
      <c r="G21" s="710"/>
      <c r="H21" s="711"/>
      <c r="I21" s="956"/>
      <c r="J21" s="957"/>
      <c r="K21" s="958"/>
      <c r="L21" s="954"/>
    </row>
    <row r="22" spans="1:12" s="714" customFormat="1" ht="24" customHeight="1">
      <c r="A22" s="719"/>
      <c r="B22" s="955"/>
      <c r="C22" s="717"/>
      <c r="D22" s="718"/>
      <c r="E22" s="721"/>
      <c r="F22" s="722"/>
      <c r="G22" s="710"/>
      <c r="H22" s="711"/>
      <c r="I22" s="956"/>
      <c r="J22" s="957"/>
      <c r="K22" s="958"/>
      <c r="L22" s="954"/>
    </row>
    <row r="23" spans="1:12" s="714" customFormat="1" ht="24" customHeight="1">
      <c r="A23" s="719"/>
      <c r="B23" s="955"/>
      <c r="C23" s="717"/>
      <c r="D23" s="718"/>
      <c r="E23" s="721"/>
      <c r="F23" s="722"/>
      <c r="G23" s="710"/>
      <c r="H23" s="711"/>
      <c r="I23" s="956"/>
      <c r="J23" s="957"/>
      <c r="K23" s="958"/>
      <c r="L23" s="954"/>
    </row>
    <row r="24" spans="1:12" s="714" customFormat="1" ht="24" customHeight="1">
      <c r="A24" s="719"/>
      <c r="B24" s="955"/>
      <c r="C24" s="717"/>
      <c r="D24" s="718"/>
      <c r="E24" s="721"/>
      <c r="F24" s="722"/>
      <c r="G24" s="710"/>
      <c r="H24" s="711"/>
      <c r="I24" s="956"/>
      <c r="J24" s="957"/>
      <c r="K24" s="958"/>
      <c r="L24" s="954"/>
    </row>
    <row r="25" spans="1:12" s="714" customFormat="1" ht="24" customHeight="1">
      <c r="A25" s="719"/>
      <c r="B25" s="955"/>
      <c r="C25" s="717"/>
      <c r="D25" s="718"/>
      <c r="E25" s="721"/>
      <c r="F25" s="722"/>
      <c r="G25" s="710"/>
      <c r="H25" s="711"/>
      <c r="I25" s="956"/>
      <c r="J25" s="957"/>
      <c r="K25" s="958"/>
      <c r="L25" s="954"/>
    </row>
    <row r="26" spans="1:12" s="714" customFormat="1" ht="24" customHeight="1">
      <c r="A26" s="719"/>
      <c r="B26" s="955"/>
      <c r="C26" s="717"/>
      <c r="D26" s="718"/>
      <c r="E26" s="721"/>
      <c r="F26" s="722"/>
      <c r="G26" s="710"/>
      <c r="H26" s="711"/>
      <c r="I26" s="956"/>
      <c r="J26" s="957"/>
      <c r="K26" s="958"/>
      <c r="L26" s="954"/>
    </row>
    <row r="27" spans="1:12" s="714" customFormat="1" ht="24" customHeight="1">
      <c r="A27" s="719"/>
      <c r="B27" s="955"/>
      <c r="C27" s="717"/>
      <c r="D27" s="718"/>
      <c r="E27" s="721"/>
      <c r="F27" s="722"/>
      <c r="G27" s="710"/>
      <c r="H27" s="711"/>
      <c r="I27" s="956"/>
      <c r="J27" s="957"/>
      <c r="K27" s="958"/>
      <c r="L27" s="954"/>
    </row>
    <row r="28" spans="1:12" s="714" customFormat="1" ht="24" customHeight="1">
      <c r="A28" s="719"/>
      <c r="B28" s="955"/>
      <c r="C28" s="717"/>
      <c r="D28" s="718"/>
      <c r="E28" s="721"/>
      <c r="F28" s="722"/>
      <c r="G28" s="710"/>
      <c r="H28" s="711"/>
      <c r="I28" s="956"/>
      <c r="J28" s="957"/>
      <c r="K28" s="958"/>
      <c r="L28" s="954"/>
    </row>
    <row r="29" spans="1:12" s="714" customFormat="1" ht="24" customHeight="1">
      <c r="A29" s="719"/>
      <c r="B29" s="955"/>
      <c r="C29" s="717"/>
      <c r="D29" s="718"/>
      <c r="E29" s="721"/>
      <c r="F29" s="722"/>
      <c r="G29" s="710"/>
      <c r="H29" s="711"/>
      <c r="I29" s="956"/>
      <c r="J29" s="957"/>
      <c r="K29" s="958"/>
      <c r="L29" s="954"/>
    </row>
    <row r="30" spans="1:12" s="714" customFormat="1" ht="24" customHeight="1">
      <c r="A30" s="719"/>
      <c r="B30" s="955"/>
      <c r="C30" s="717"/>
      <c r="D30" s="718"/>
      <c r="E30" s="721"/>
      <c r="F30" s="722"/>
      <c r="G30" s="710"/>
      <c r="H30" s="711"/>
      <c r="I30" s="956"/>
      <c r="J30" s="957"/>
      <c r="K30" s="958"/>
      <c r="L30" s="954"/>
    </row>
    <row r="31" spans="1:12" s="714" customFormat="1" ht="24" customHeight="1">
      <c r="A31" s="719"/>
      <c r="B31" s="955"/>
      <c r="C31" s="717"/>
      <c r="D31" s="718"/>
      <c r="E31" s="721"/>
      <c r="F31" s="722"/>
      <c r="G31" s="710"/>
      <c r="H31" s="711"/>
      <c r="I31" s="956"/>
      <c r="J31" s="957"/>
      <c r="K31" s="958"/>
      <c r="L31" s="954"/>
    </row>
    <row r="32" spans="1:12" s="714" customFormat="1" ht="24" customHeight="1">
      <c r="A32" s="719"/>
      <c r="B32" s="955"/>
      <c r="C32" s="717"/>
      <c r="D32" s="718"/>
      <c r="E32" s="721"/>
      <c r="F32" s="722"/>
      <c r="G32" s="710"/>
      <c r="H32" s="711"/>
      <c r="I32" s="956"/>
      <c r="J32" s="957"/>
      <c r="K32" s="958"/>
      <c r="L32" s="954"/>
    </row>
    <row r="33" spans="1:18" s="714" customFormat="1" ht="24" customHeight="1">
      <c r="A33" s="719"/>
      <c r="B33" s="955"/>
      <c r="C33" s="717"/>
      <c r="D33" s="718"/>
      <c r="E33" s="721"/>
      <c r="F33" s="722"/>
      <c r="G33" s="710"/>
      <c r="H33" s="711"/>
      <c r="I33" s="956"/>
      <c r="J33" s="957"/>
      <c r="K33" s="958"/>
      <c r="L33" s="954"/>
    </row>
    <row r="34" spans="1:18" s="714" customFormat="1" ht="24" customHeight="1">
      <c r="A34" s="775"/>
      <c r="B34" s="2475" t="str">
        <f>"รวมราคา"&amp;B11</f>
        <v>รวมราคางานระบบไฟฟ้าและสื่อสาร ชั้น ดาดฟ้า</v>
      </c>
      <c r="C34" s="2476"/>
      <c r="D34" s="2477"/>
      <c r="E34" s="776"/>
      <c r="F34" s="777"/>
      <c r="G34" s="959"/>
      <c r="H34" s="960">
        <f>SUM(H12:H33)</f>
        <v>324352</v>
      </c>
      <c r="I34" s="959"/>
      <c r="J34" s="960">
        <f t="shared" ref="J34:K34" si="0">SUM(J12:J33)</f>
        <v>55212</v>
      </c>
      <c r="K34" s="960">
        <f t="shared" si="0"/>
        <v>379564</v>
      </c>
      <c r="L34" s="777"/>
      <c r="M34" s="729"/>
      <c r="N34" s="729"/>
      <c r="O34" s="729"/>
      <c r="P34" s="729"/>
      <c r="Q34" s="729"/>
      <c r="R34" s="729"/>
    </row>
    <row r="35" spans="1:18" s="714" customFormat="1" ht="24" customHeight="1">
      <c r="A35" s="1029">
        <v>3.1</v>
      </c>
      <c r="B35" s="816" t="s">
        <v>1159</v>
      </c>
      <c r="C35" s="770"/>
      <c r="D35" s="770"/>
      <c r="E35" s="930"/>
      <c r="F35" s="931"/>
      <c r="G35" s="932"/>
      <c r="H35" s="854"/>
      <c r="I35" s="934"/>
      <c r="J35" s="854"/>
      <c r="K35" s="935"/>
      <c r="L35" s="935"/>
      <c r="M35" s="729"/>
      <c r="N35" s="729"/>
      <c r="O35" s="729"/>
      <c r="P35" s="729"/>
      <c r="Q35" s="729"/>
      <c r="R35" s="729"/>
    </row>
    <row r="36" spans="1:18" s="714" customFormat="1" ht="24" customHeight="1">
      <c r="A36" s="831" t="s">
        <v>941</v>
      </c>
      <c r="B36" s="720" t="s">
        <v>1410</v>
      </c>
      <c r="C36" s="717"/>
      <c r="D36" s="717"/>
      <c r="E36" s="917"/>
      <c r="F36" s="916"/>
      <c r="G36" s="806"/>
      <c r="H36" s="796">
        <f t="shared" ref="H36:H38" si="1">ROUND(E36*G36,)</f>
        <v>0</v>
      </c>
      <c r="I36" s="807"/>
      <c r="J36" s="796">
        <f t="shared" ref="J36:J38" si="2">ROUND(E36*I36,)</f>
        <v>0</v>
      </c>
      <c r="K36" s="919"/>
      <c r="L36" s="919"/>
      <c r="M36" s="729"/>
      <c r="N36" s="729"/>
      <c r="O36" s="729"/>
      <c r="P36" s="729"/>
      <c r="Q36" s="729"/>
      <c r="R36" s="729"/>
    </row>
    <row r="37" spans="1:18" s="714" customFormat="1" ht="24" customHeight="1">
      <c r="A37" s="831"/>
      <c r="B37" s="720" t="s">
        <v>1277</v>
      </c>
      <c r="C37" s="717"/>
      <c r="D37" s="717"/>
      <c r="E37" s="805">
        <v>500</v>
      </c>
      <c r="F37" s="794" t="s">
        <v>438</v>
      </c>
      <c r="G37" s="806">
        <v>9</v>
      </c>
      <c r="H37" s="796">
        <f t="shared" si="1"/>
        <v>4500</v>
      </c>
      <c r="I37" s="807">
        <v>7</v>
      </c>
      <c r="J37" s="796">
        <f t="shared" si="2"/>
        <v>3500</v>
      </c>
      <c r="K37" s="914">
        <f t="shared" ref="K37:K38" si="3">H37+J37</f>
        <v>8000</v>
      </c>
      <c r="L37" s="1718" t="s">
        <v>2974</v>
      </c>
      <c r="M37" s="729"/>
      <c r="N37" s="714">
        <v>912.1</v>
      </c>
      <c r="O37" s="714">
        <f>ROUND(N37/100,)</f>
        <v>9</v>
      </c>
      <c r="P37" s="729"/>
      <c r="Q37" s="729"/>
      <c r="R37" s="729"/>
    </row>
    <row r="38" spans="1:18" s="714" customFormat="1" ht="24" customHeight="1">
      <c r="A38" s="831"/>
      <c r="B38" s="720" t="s">
        <v>1278</v>
      </c>
      <c r="C38" s="717"/>
      <c r="D38" s="717"/>
      <c r="E38" s="805">
        <v>1</v>
      </c>
      <c r="F38" s="794" t="s">
        <v>948</v>
      </c>
      <c r="G38" s="806">
        <f>SUM(H37)*0.05</f>
        <v>225</v>
      </c>
      <c r="H38" s="796">
        <f t="shared" si="1"/>
        <v>225</v>
      </c>
      <c r="I38" s="949">
        <f>ROUND(G38*0.3,)</f>
        <v>68</v>
      </c>
      <c r="J38" s="796">
        <f t="shared" si="2"/>
        <v>68</v>
      </c>
      <c r="K38" s="914">
        <f t="shared" si="3"/>
        <v>293</v>
      </c>
      <c r="L38" s="919"/>
      <c r="M38" s="729"/>
      <c r="N38" s="729"/>
      <c r="O38" s="729"/>
      <c r="P38" s="729"/>
      <c r="Q38" s="729"/>
      <c r="R38" s="729"/>
    </row>
    <row r="39" spans="1:18" s="714" customFormat="1" ht="24" customHeight="1">
      <c r="A39" s="831"/>
      <c r="B39" s="720" t="s">
        <v>957</v>
      </c>
      <c r="C39" s="717"/>
      <c r="D39" s="717"/>
      <c r="E39" s="917"/>
      <c r="F39" s="916"/>
      <c r="G39" s="806"/>
      <c r="H39" s="918"/>
      <c r="I39" s="807"/>
      <c r="J39" s="919"/>
      <c r="K39" s="919"/>
      <c r="L39" s="919"/>
      <c r="M39" s="729"/>
      <c r="N39" s="729"/>
      <c r="O39" s="729"/>
      <c r="P39" s="729"/>
      <c r="Q39" s="729"/>
      <c r="R39" s="729"/>
    </row>
    <row r="40" spans="1:18" s="714" customFormat="1" ht="24" customHeight="1">
      <c r="A40" s="921"/>
      <c r="B40" s="705" t="s">
        <v>958</v>
      </c>
      <c r="C40" s="761"/>
      <c r="D40" s="761"/>
      <c r="E40" s="923"/>
      <c r="F40" s="924"/>
      <c r="G40" s="925"/>
      <c r="H40" s="926"/>
      <c r="I40" s="927"/>
      <c r="J40" s="928"/>
      <c r="K40" s="928"/>
      <c r="L40" s="928"/>
      <c r="M40" s="729"/>
      <c r="N40" s="729"/>
      <c r="O40" s="729"/>
      <c r="P40" s="729"/>
      <c r="Q40" s="729"/>
      <c r="R40" s="729"/>
    </row>
    <row r="41" spans="1:18" s="714" customFormat="1" ht="24" customHeight="1">
      <c r="A41" s="831"/>
      <c r="B41" s="720" t="s">
        <v>1239</v>
      </c>
      <c r="C41" s="717"/>
      <c r="D41" s="717"/>
      <c r="E41" s="917"/>
      <c r="F41" s="916"/>
      <c r="G41" s="806"/>
      <c r="H41" s="918"/>
      <c r="I41" s="807"/>
      <c r="J41" s="919"/>
      <c r="K41" s="919"/>
      <c r="L41" s="919"/>
      <c r="M41" s="729"/>
      <c r="N41" s="729"/>
      <c r="O41" s="729"/>
      <c r="P41" s="729"/>
      <c r="Q41" s="729"/>
    </row>
    <row r="42" spans="1:18" s="714" customFormat="1" ht="24" customHeight="1">
      <c r="A42" s="921"/>
      <c r="B42" s="922"/>
      <c r="C42" s="761"/>
      <c r="D42" s="761"/>
      <c r="E42" s="923"/>
      <c r="F42" s="924"/>
      <c r="G42" s="925"/>
      <c r="H42" s="926"/>
      <c r="I42" s="927"/>
      <c r="J42" s="928"/>
      <c r="K42" s="928"/>
      <c r="L42" s="928"/>
      <c r="M42" s="729"/>
      <c r="N42" s="729"/>
      <c r="O42" s="729"/>
      <c r="P42" s="729"/>
      <c r="Q42" s="729"/>
    </row>
    <row r="43" spans="1:18" s="714" customFormat="1" ht="24" customHeight="1">
      <c r="A43" s="775"/>
      <c r="B43" s="2475" t="str">
        <f>"รวมราคารายการที่ "&amp;A35</f>
        <v>รวมราคารายการที่ 3.1</v>
      </c>
      <c r="C43" s="2476"/>
      <c r="D43" s="2477"/>
      <c r="E43" s="776"/>
      <c r="F43" s="777"/>
      <c r="G43" s="959"/>
      <c r="H43" s="960">
        <f>SUM(H35:H39)</f>
        <v>4725</v>
      </c>
      <c r="I43" s="959"/>
      <c r="J43" s="960">
        <f t="shared" ref="J43:K43" si="4">SUM(J35:J39)</f>
        <v>3568</v>
      </c>
      <c r="K43" s="960">
        <f t="shared" si="4"/>
        <v>8293</v>
      </c>
      <c r="L43" s="777"/>
      <c r="M43" s="729"/>
      <c r="N43" s="729"/>
      <c r="O43" s="729"/>
      <c r="P43" s="729"/>
      <c r="Q43" s="729"/>
      <c r="R43" s="729"/>
    </row>
    <row r="44" spans="1:18" s="714" customFormat="1" ht="24" customHeight="1">
      <c r="A44" s="911" t="s">
        <v>1275</v>
      </c>
      <c r="B44" s="816" t="s">
        <v>1181</v>
      </c>
      <c r="C44" s="770"/>
      <c r="D44" s="770"/>
      <c r="E44" s="930"/>
      <c r="F44" s="931"/>
      <c r="G44" s="932"/>
      <c r="H44" s="933"/>
      <c r="I44" s="934"/>
      <c r="J44" s="935"/>
      <c r="K44" s="935"/>
      <c r="L44" s="935"/>
      <c r="M44" s="729"/>
      <c r="N44" s="729"/>
      <c r="O44" s="729"/>
      <c r="P44" s="729"/>
      <c r="Q44" s="729"/>
      <c r="R44" s="729"/>
    </row>
    <row r="45" spans="1:18" s="714" customFormat="1" ht="24" customHeight="1">
      <c r="A45" s="831" t="s">
        <v>960</v>
      </c>
      <c r="B45" s="720" t="s">
        <v>1280</v>
      </c>
      <c r="C45" s="717"/>
      <c r="D45" s="717"/>
      <c r="E45" s="917"/>
      <c r="F45" s="916"/>
      <c r="G45" s="806"/>
      <c r="H45" s="796">
        <f t="shared" ref="H45:H52" si="5">ROUND(E45*G45,)</f>
        <v>0</v>
      </c>
      <c r="I45" s="807"/>
      <c r="J45" s="796">
        <f t="shared" ref="J45:J52" si="6">ROUND(E45*I45,)</f>
        <v>0</v>
      </c>
      <c r="K45" s="919"/>
      <c r="L45" s="919"/>
      <c r="M45" s="729"/>
      <c r="N45" s="729"/>
      <c r="O45" s="729"/>
      <c r="P45" s="729"/>
      <c r="Q45" s="729"/>
      <c r="R45" s="729"/>
    </row>
    <row r="46" spans="1:18" s="714" customFormat="1" ht="24" customHeight="1">
      <c r="A46" s="831"/>
      <c r="B46" s="720" t="s">
        <v>1201</v>
      </c>
      <c r="C46" s="717"/>
      <c r="D46" s="717"/>
      <c r="E46" s="917">
        <v>275</v>
      </c>
      <c r="F46" s="794" t="s">
        <v>438</v>
      </c>
      <c r="G46" s="806">
        <v>27</v>
      </c>
      <c r="H46" s="796">
        <f t="shared" si="5"/>
        <v>7425</v>
      </c>
      <c r="I46" s="807">
        <v>22</v>
      </c>
      <c r="J46" s="796">
        <f t="shared" si="6"/>
        <v>6050</v>
      </c>
      <c r="K46" s="914">
        <f t="shared" ref="K46:K47" si="7">H46+J46</f>
        <v>13475</v>
      </c>
      <c r="L46" s="1718" t="s">
        <v>2974</v>
      </c>
      <c r="M46" s="729"/>
      <c r="N46" s="714">
        <v>79.8</v>
      </c>
      <c r="O46" s="714">
        <f>ROUND(N46/3,)</f>
        <v>27</v>
      </c>
      <c r="P46" s="729"/>
      <c r="Q46" s="729"/>
      <c r="R46" s="729"/>
    </row>
    <row r="47" spans="1:18" s="714" customFormat="1" ht="24" customHeight="1">
      <c r="A47" s="831"/>
      <c r="B47" s="720" t="s">
        <v>952</v>
      </c>
      <c r="C47" s="717"/>
      <c r="D47" s="717"/>
      <c r="E47" s="917">
        <v>1</v>
      </c>
      <c r="F47" s="916" t="s">
        <v>948</v>
      </c>
      <c r="G47" s="806">
        <f>ROUND(SUM(H46:H46)*15%,)</f>
        <v>1114</v>
      </c>
      <c r="H47" s="796">
        <f t="shared" si="5"/>
        <v>1114</v>
      </c>
      <c r="I47" s="949">
        <f>ROUND(G47*0.3,)</f>
        <v>334</v>
      </c>
      <c r="J47" s="796">
        <f t="shared" si="6"/>
        <v>334</v>
      </c>
      <c r="K47" s="914">
        <f t="shared" si="7"/>
        <v>1448</v>
      </c>
      <c r="L47" s="919"/>
      <c r="M47" s="729"/>
      <c r="N47" s="729"/>
      <c r="O47" s="729"/>
      <c r="P47" s="729"/>
      <c r="Q47" s="729"/>
      <c r="R47" s="729"/>
    </row>
    <row r="48" spans="1:18" s="714" customFormat="1" ht="24" customHeight="1">
      <c r="A48" s="831" t="s">
        <v>962</v>
      </c>
      <c r="B48" s="720" t="s">
        <v>950</v>
      </c>
      <c r="C48" s="717"/>
      <c r="D48" s="717"/>
      <c r="E48" s="917"/>
      <c r="F48" s="916"/>
      <c r="G48" s="806"/>
      <c r="H48" s="796">
        <f t="shared" si="5"/>
        <v>0</v>
      </c>
      <c r="I48" s="807"/>
      <c r="J48" s="796">
        <f t="shared" si="6"/>
        <v>0</v>
      </c>
      <c r="K48" s="919"/>
      <c r="L48" s="919"/>
      <c r="M48" s="729"/>
      <c r="N48" s="729"/>
      <c r="O48" s="729"/>
      <c r="P48" s="729"/>
      <c r="Q48" s="729"/>
      <c r="R48" s="729"/>
    </row>
    <row r="49" spans="1:18" s="714" customFormat="1" ht="24" customHeight="1">
      <c r="A49" s="831"/>
      <c r="B49" s="720" t="s">
        <v>1201</v>
      </c>
      <c r="C49" s="717"/>
      <c r="D49" s="717"/>
      <c r="E49" s="917">
        <v>50</v>
      </c>
      <c r="F49" s="794" t="s">
        <v>438</v>
      </c>
      <c r="G49" s="806">
        <v>56</v>
      </c>
      <c r="H49" s="796">
        <f t="shared" si="5"/>
        <v>2800</v>
      </c>
      <c r="I49" s="807">
        <v>26</v>
      </c>
      <c r="J49" s="796">
        <f t="shared" si="6"/>
        <v>1300</v>
      </c>
      <c r="K49" s="914">
        <f t="shared" ref="K49:K50" si="8">H49+J49</f>
        <v>4100</v>
      </c>
      <c r="L49" s="1718" t="s">
        <v>2974</v>
      </c>
      <c r="M49" s="729"/>
      <c r="N49" s="714">
        <v>169.2</v>
      </c>
      <c r="O49" s="714">
        <f>ROUND(N49/3,)</f>
        <v>56</v>
      </c>
      <c r="P49" s="729"/>
      <c r="Q49" s="729"/>
      <c r="R49" s="729"/>
    </row>
    <row r="50" spans="1:18" s="714" customFormat="1" ht="24" customHeight="1">
      <c r="A50" s="831"/>
      <c r="B50" s="720" t="s">
        <v>952</v>
      </c>
      <c r="C50" s="717"/>
      <c r="D50" s="717"/>
      <c r="E50" s="917">
        <v>1</v>
      </c>
      <c r="F50" s="916" t="s">
        <v>948</v>
      </c>
      <c r="G50" s="806">
        <f>SUM(H49:H49)*15%</f>
        <v>420</v>
      </c>
      <c r="H50" s="796">
        <f t="shared" si="5"/>
        <v>420</v>
      </c>
      <c r="I50" s="807">
        <f>G50*0.3</f>
        <v>126</v>
      </c>
      <c r="J50" s="796">
        <f t="shared" si="6"/>
        <v>126</v>
      </c>
      <c r="K50" s="914">
        <f t="shared" si="8"/>
        <v>546</v>
      </c>
      <c r="L50" s="919"/>
      <c r="M50" s="729"/>
      <c r="N50" s="729"/>
      <c r="O50" s="729"/>
      <c r="P50" s="729"/>
      <c r="Q50" s="729"/>
      <c r="R50" s="729"/>
    </row>
    <row r="51" spans="1:18" s="714" customFormat="1" ht="24" customHeight="1">
      <c r="A51" s="831" t="s">
        <v>1415</v>
      </c>
      <c r="B51" s="720" t="s">
        <v>1281</v>
      </c>
      <c r="C51" s="717"/>
      <c r="D51" s="717"/>
      <c r="E51" s="917"/>
      <c r="F51" s="916"/>
      <c r="G51" s="806"/>
      <c r="H51" s="796">
        <f t="shared" si="5"/>
        <v>0</v>
      </c>
      <c r="I51" s="807"/>
      <c r="J51" s="796">
        <f t="shared" si="6"/>
        <v>0</v>
      </c>
      <c r="K51" s="919"/>
      <c r="L51" s="919"/>
      <c r="M51" s="729"/>
      <c r="N51" s="729"/>
      <c r="O51" s="729"/>
      <c r="P51" s="729"/>
    </row>
    <row r="52" spans="1:18" s="714" customFormat="1" ht="24" customHeight="1">
      <c r="A52" s="831"/>
      <c r="B52" s="720" t="s">
        <v>1201</v>
      </c>
      <c r="C52" s="717"/>
      <c r="D52" s="717"/>
      <c r="E52" s="917">
        <v>30</v>
      </c>
      <c r="F52" s="794" t="s">
        <v>438</v>
      </c>
      <c r="G52" s="806">
        <v>14</v>
      </c>
      <c r="H52" s="796">
        <f t="shared" si="5"/>
        <v>420</v>
      </c>
      <c r="I52" s="807">
        <v>11</v>
      </c>
      <c r="J52" s="796">
        <f t="shared" si="6"/>
        <v>330</v>
      </c>
      <c r="K52" s="914">
        <f t="shared" ref="K52" si="9">H52+J52</f>
        <v>750</v>
      </c>
      <c r="L52" s="919"/>
      <c r="M52" s="729"/>
      <c r="N52" s="729"/>
      <c r="O52" s="729"/>
      <c r="P52" s="729"/>
    </row>
    <row r="53" spans="1:18" s="714" customFormat="1" ht="24" customHeight="1">
      <c r="A53" s="831"/>
      <c r="B53" s="720" t="s">
        <v>957</v>
      </c>
      <c r="C53" s="717"/>
      <c r="D53" s="717"/>
      <c r="E53" s="917"/>
      <c r="F53" s="916"/>
      <c r="G53" s="806"/>
      <c r="H53" s="918"/>
      <c r="I53" s="807"/>
      <c r="J53" s="919"/>
      <c r="K53" s="919"/>
      <c r="L53" s="919"/>
      <c r="M53" s="729"/>
      <c r="N53" s="729"/>
      <c r="O53" s="729"/>
      <c r="P53" s="729"/>
      <c r="Q53" s="729"/>
      <c r="R53" s="729"/>
    </row>
    <row r="54" spans="1:18" s="714" customFormat="1" ht="24" customHeight="1">
      <c r="A54" s="921"/>
      <c r="B54" s="705" t="s">
        <v>958</v>
      </c>
      <c r="C54" s="761"/>
      <c r="D54" s="761"/>
      <c r="E54" s="923"/>
      <c r="F54" s="924"/>
      <c r="G54" s="925"/>
      <c r="H54" s="926"/>
      <c r="I54" s="927"/>
      <c r="J54" s="928"/>
      <c r="K54" s="928"/>
      <c r="L54" s="928"/>
      <c r="M54" s="729"/>
      <c r="N54" s="729"/>
      <c r="O54" s="729"/>
      <c r="P54" s="729"/>
      <c r="Q54" s="729"/>
      <c r="R54" s="729"/>
    </row>
    <row r="55" spans="1:18" s="714" customFormat="1" ht="24" customHeight="1">
      <c r="A55" s="831"/>
      <c r="B55" s="720" t="s">
        <v>1239</v>
      </c>
      <c r="C55" s="717"/>
      <c r="D55" s="717"/>
      <c r="E55" s="917"/>
      <c r="F55" s="916"/>
      <c r="G55" s="806"/>
      <c r="H55" s="918"/>
      <c r="I55" s="807"/>
      <c r="J55" s="919"/>
      <c r="K55" s="919"/>
      <c r="L55" s="919"/>
      <c r="M55" s="729"/>
      <c r="N55" s="729"/>
      <c r="O55" s="729"/>
      <c r="P55" s="729"/>
      <c r="Q55" s="729"/>
    </row>
    <row r="56" spans="1:18" s="714" customFormat="1" ht="24" customHeight="1">
      <c r="A56" s="921"/>
      <c r="B56" s="1073"/>
      <c r="C56" s="761"/>
      <c r="D56" s="761"/>
      <c r="E56" s="923"/>
      <c r="F56" s="924"/>
      <c r="G56" s="925"/>
      <c r="H56" s="926"/>
      <c r="I56" s="927"/>
      <c r="J56" s="928"/>
      <c r="K56" s="928"/>
      <c r="L56" s="928"/>
      <c r="M56" s="729"/>
      <c r="N56" s="729"/>
      <c r="O56" s="729"/>
      <c r="P56" s="729"/>
      <c r="Q56" s="729"/>
    </row>
    <row r="57" spans="1:18" s="714" customFormat="1" ht="24" customHeight="1">
      <c r="A57" s="921"/>
      <c r="B57" s="922"/>
      <c r="C57" s="761"/>
      <c r="D57" s="761"/>
      <c r="E57" s="923"/>
      <c r="F57" s="924"/>
      <c r="G57" s="925"/>
      <c r="H57" s="926"/>
      <c r="I57" s="927"/>
      <c r="J57" s="928"/>
      <c r="K57" s="928"/>
      <c r="L57" s="928"/>
      <c r="M57" s="729"/>
      <c r="N57" s="729"/>
      <c r="O57" s="729"/>
      <c r="P57" s="729"/>
      <c r="Q57" s="729"/>
    </row>
    <row r="58" spans="1:18" s="714" customFormat="1" ht="24" customHeight="1">
      <c r="A58" s="775"/>
      <c r="B58" s="2475" t="str">
        <f>"รวมราคารายการที่ "&amp;A44</f>
        <v>รวมราคารายการที่ 3.2</v>
      </c>
      <c r="C58" s="2476"/>
      <c r="D58" s="2477"/>
      <c r="E58" s="776"/>
      <c r="F58" s="777"/>
      <c r="G58" s="959"/>
      <c r="H58" s="960">
        <f>SUM(H45:H54)</f>
        <v>12179</v>
      </c>
      <c r="I58" s="959"/>
      <c r="J58" s="960">
        <f t="shared" ref="J58:K58" si="10">SUM(J45:J54)</f>
        <v>8140</v>
      </c>
      <c r="K58" s="960">
        <f t="shared" si="10"/>
        <v>20319</v>
      </c>
      <c r="L58" s="777"/>
      <c r="M58" s="729"/>
      <c r="N58" s="729"/>
      <c r="O58" s="729"/>
      <c r="P58" s="729"/>
      <c r="Q58" s="729"/>
      <c r="R58" s="729"/>
    </row>
    <row r="59" spans="1:18" s="714" customFormat="1" ht="24" customHeight="1">
      <c r="A59" s="911" t="s">
        <v>1279</v>
      </c>
      <c r="B59" s="816" t="s">
        <v>1283</v>
      </c>
      <c r="C59" s="770"/>
      <c r="D59" s="770"/>
      <c r="E59" s="930"/>
      <c r="F59" s="931"/>
      <c r="G59" s="932"/>
      <c r="H59" s="933"/>
      <c r="I59" s="934"/>
      <c r="J59" s="935"/>
      <c r="K59" s="935"/>
      <c r="L59" s="935"/>
      <c r="M59" s="729"/>
      <c r="N59" s="729"/>
      <c r="O59" s="729"/>
      <c r="P59" s="729"/>
      <c r="Q59" s="729"/>
      <c r="R59" s="729"/>
    </row>
    <row r="60" spans="1:18" s="714" customFormat="1" ht="24" customHeight="1">
      <c r="A60" s="831" t="s">
        <v>965</v>
      </c>
      <c r="B60" s="720" t="s">
        <v>1283</v>
      </c>
      <c r="C60" s="717"/>
      <c r="D60" s="717"/>
      <c r="E60" s="917"/>
      <c r="F60" s="916"/>
      <c r="G60" s="806"/>
      <c r="H60" s="918"/>
      <c r="I60" s="807"/>
      <c r="J60" s="919"/>
      <c r="K60" s="919"/>
      <c r="L60" s="919"/>
      <c r="M60" s="729"/>
      <c r="N60" s="729"/>
      <c r="O60" s="729"/>
      <c r="P60" s="729"/>
      <c r="Q60" s="729"/>
      <c r="R60" s="729"/>
    </row>
    <row r="61" spans="1:18" s="714" customFormat="1" ht="24" customHeight="1">
      <c r="A61" s="831"/>
      <c r="B61" s="720" t="s">
        <v>1284</v>
      </c>
      <c r="C61" s="717"/>
      <c r="D61" s="717"/>
      <c r="E61" s="917">
        <v>4</v>
      </c>
      <c r="F61" s="722" t="s">
        <v>240</v>
      </c>
      <c r="G61" s="806">
        <v>90</v>
      </c>
      <c r="H61" s="796">
        <f t="shared" ref="H61:H68" si="11">ROUND(E61*G61,)</f>
        <v>360</v>
      </c>
      <c r="I61" s="807">
        <v>80</v>
      </c>
      <c r="J61" s="796">
        <f t="shared" ref="J61:J68" si="12">ROUND(E61*I61,)</f>
        <v>320</v>
      </c>
      <c r="K61" s="914">
        <f t="shared" ref="K61:K68" si="13">H61+J61</f>
        <v>680</v>
      </c>
      <c r="L61" s="919"/>
      <c r="M61" s="729"/>
      <c r="N61" s="729"/>
      <c r="O61" s="729"/>
      <c r="P61" s="729"/>
      <c r="Q61" s="729"/>
    </row>
    <row r="62" spans="1:18" s="714" customFormat="1" ht="24" customHeight="1">
      <c r="A62" s="831"/>
      <c r="B62" s="705" t="s">
        <v>1418</v>
      </c>
      <c r="C62" s="717"/>
      <c r="D62" s="717"/>
      <c r="E62" s="967"/>
      <c r="F62" s="709" t="s">
        <v>240</v>
      </c>
      <c r="G62" s="806">
        <v>130</v>
      </c>
      <c r="H62" s="796">
        <f t="shared" si="11"/>
        <v>0</v>
      </c>
      <c r="I62" s="807">
        <v>90</v>
      </c>
      <c r="J62" s="796">
        <f t="shared" si="12"/>
        <v>0</v>
      </c>
      <c r="K62" s="914">
        <f t="shared" si="13"/>
        <v>0</v>
      </c>
      <c r="L62" s="919"/>
    </row>
    <row r="63" spans="1:18" s="714" customFormat="1" ht="24" customHeight="1">
      <c r="A63" s="831"/>
      <c r="B63" s="720" t="s">
        <v>1285</v>
      </c>
      <c r="C63" s="717"/>
      <c r="D63" s="717"/>
      <c r="E63" s="917"/>
      <c r="F63" s="722" t="s">
        <v>240</v>
      </c>
      <c r="G63" s="806">
        <v>162</v>
      </c>
      <c r="H63" s="796">
        <f t="shared" si="11"/>
        <v>0</v>
      </c>
      <c r="I63" s="807">
        <v>90</v>
      </c>
      <c r="J63" s="796">
        <f t="shared" si="12"/>
        <v>0</v>
      </c>
      <c r="K63" s="914">
        <f t="shared" si="13"/>
        <v>0</v>
      </c>
      <c r="L63" s="919"/>
      <c r="M63" s="729"/>
      <c r="N63" s="729"/>
      <c r="O63" s="729"/>
      <c r="P63" s="729"/>
      <c r="Q63" s="729"/>
    </row>
    <row r="64" spans="1:18" s="714" customFormat="1" ht="24" customHeight="1">
      <c r="A64" s="831"/>
      <c r="B64" s="720" t="s">
        <v>1286</v>
      </c>
      <c r="C64" s="717"/>
      <c r="D64" s="717"/>
      <c r="E64" s="917">
        <v>4</v>
      </c>
      <c r="F64" s="722" t="s">
        <v>240</v>
      </c>
      <c r="G64" s="806">
        <v>197</v>
      </c>
      <c r="H64" s="796">
        <f t="shared" si="11"/>
        <v>788</v>
      </c>
      <c r="I64" s="807">
        <v>90</v>
      </c>
      <c r="J64" s="796">
        <f t="shared" si="12"/>
        <v>360</v>
      </c>
      <c r="K64" s="914">
        <f t="shared" si="13"/>
        <v>1148</v>
      </c>
      <c r="L64" s="919"/>
      <c r="M64" s="729"/>
      <c r="N64" s="729"/>
      <c r="O64" s="729"/>
      <c r="P64" s="729"/>
      <c r="Q64" s="729"/>
    </row>
    <row r="65" spans="1:18" s="714" customFormat="1" ht="24" customHeight="1">
      <c r="A65" s="831"/>
      <c r="B65" s="705" t="s">
        <v>1287</v>
      </c>
      <c r="C65" s="717"/>
      <c r="D65" s="717"/>
      <c r="E65" s="967"/>
      <c r="F65" s="709" t="s">
        <v>240</v>
      </c>
      <c r="G65" s="806">
        <v>1500</v>
      </c>
      <c r="H65" s="796">
        <f t="shared" si="11"/>
        <v>0</v>
      </c>
      <c r="I65" s="807">
        <v>265</v>
      </c>
      <c r="J65" s="796">
        <f t="shared" si="12"/>
        <v>0</v>
      </c>
      <c r="K65" s="919">
        <f t="shared" si="13"/>
        <v>0</v>
      </c>
      <c r="L65" s="919"/>
    </row>
    <row r="66" spans="1:18" s="714" customFormat="1" ht="24" customHeight="1">
      <c r="A66" s="831"/>
      <c r="B66" s="720" t="s">
        <v>1288</v>
      </c>
      <c r="C66" s="717"/>
      <c r="D66" s="717"/>
      <c r="E66" s="917"/>
      <c r="F66" s="722" t="s">
        <v>240</v>
      </c>
      <c r="G66" s="806">
        <v>320</v>
      </c>
      <c r="H66" s="796">
        <f t="shared" si="11"/>
        <v>0</v>
      </c>
      <c r="I66" s="807">
        <v>200</v>
      </c>
      <c r="J66" s="796">
        <f t="shared" si="12"/>
        <v>0</v>
      </c>
      <c r="K66" s="914">
        <f t="shared" si="13"/>
        <v>0</v>
      </c>
      <c r="L66" s="919"/>
      <c r="M66" s="729"/>
      <c r="N66" s="729"/>
      <c r="O66" s="729"/>
      <c r="P66" s="729"/>
      <c r="Q66" s="729"/>
    </row>
    <row r="67" spans="1:18" s="714" customFormat="1" ht="24" customHeight="1">
      <c r="A67" s="831" t="s">
        <v>975</v>
      </c>
      <c r="B67" s="720" t="s">
        <v>1289</v>
      </c>
      <c r="C67" s="717"/>
      <c r="D67" s="717"/>
      <c r="E67" s="917"/>
      <c r="F67" s="722" t="s">
        <v>240</v>
      </c>
      <c r="G67" s="806">
        <v>130</v>
      </c>
      <c r="H67" s="796">
        <f t="shared" si="11"/>
        <v>0</v>
      </c>
      <c r="I67" s="807">
        <v>90</v>
      </c>
      <c r="J67" s="796">
        <f t="shared" si="12"/>
        <v>0</v>
      </c>
      <c r="K67" s="914">
        <f t="shared" si="13"/>
        <v>0</v>
      </c>
      <c r="L67" s="919"/>
      <c r="M67" s="729"/>
      <c r="N67" s="729"/>
      <c r="O67" s="729"/>
      <c r="P67" s="729"/>
      <c r="Q67" s="729"/>
    </row>
    <row r="68" spans="1:18" s="714" customFormat="1" ht="24" customHeight="1">
      <c r="A68" s="831" t="s">
        <v>978</v>
      </c>
      <c r="B68" s="720" t="s">
        <v>1577</v>
      </c>
      <c r="C68" s="717"/>
      <c r="D68" s="717"/>
      <c r="E68" s="917"/>
      <c r="F68" s="722" t="s">
        <v>240</v>
      </c>
      <c r="G68" s="806">
        <v>150</v>
      </c>
      <c r="H68" s="796">
        <f t="shared" si="11"/>
        <v>0</v>
      </c>
      <c r="I68" s="807">
        <v>90</v>
      </c>
      <c r="J68" s="796">
        <f t="shared" si="12"/>
        <v>0</v>
      </c>
      <c r="K68" s="914">
        <f t="shared" si="13"/>
        <v>0</v>
      </c>
      <c r="L68" s="919"/>
      <c r="M68" s="729"/>
      <c r="N68" s="729"/>
      <c r="O68" s="729"/>
      <c r="P68" s="729"/>
      <c r="Q68" s="729"/>
    </row>
    <row r="69" spans="1:18" s="714" customFormat="1" ht="24" customHeight="1">
      <c r="A69" s="831"/>
      <c r="B69" s="720" t="s">
        <v>957</v>
      </c>
      <c r="C69" s="717"/>
      <c r="D69" s="717"/>
      <c r="E69" s="917"/>
      <c r="F69" s="916"/>
      <c r="G69" s="806"/>
      <c r="H69" s="918"/>
      <c r="I69" s="807"/>
      <c r="J69" s="919"/>
      <c r="K69" s="919"/>
      <c r="L69" s="919"/>
      <c r="M69" s="729"/>
      <c r="N69" s="729"/>
      <c r="O69" s="729"/>
      <c r="P69" s="729"/>
      <c r="Q69" s="729"/>
      <c r="R69" s="729"/>
    </row>
    <row r="70" spans="1:18" s="714" customFormat="1" ht="24" customHeight="1">
      <c r="A70" s="831"/>
      <c r="B70" s="720" t="s">
        <v>1239</v>
      </c>
      <c r="C70" s="717"/>
      <c r="D70" s="717"/>
      <c r="E70" s="917"/>
      <c r="F70" s="916"/>
      <c r="G70" s="806"/>
      <c r="H70" s="918"/>
      <c r="I70" s="807"/>
      <c r="J70" s="919"/>
      <c r="K70" s="919"/>
      <c r="L70" s="919"/>
      <c r="M70" s="729"/>
      <c r="N70" s="729"/>
      <c r="O70" s="729"/>
      <c r="P70" s="729"/>
      <c r="Q70" s="729"/>
    </row>
    <row r="71" spans="1:18" s="714" customFormat="1" ht="24" customHeight="1">
      <c r="A71" s="831"/>
      <c r="B71" s="720" t="s">
        <v>1239</v>
      </c>
      <c r="C71" s="717"/>
      <c r="D71" s="717"/>
      <c r="E71" s="917"/>
      <c r="F71" s="916"/>
      <c r="G71" s="806"/>
      <c r="H71" s="918"/>
      <c r="I71" s="807"/>
      <c r="J71" s="919"/>
      <c r="K71" s="919"/>
      <c r="L71" s="919"/>
      <c r="M71" s="729"/>
      <c r="N71" s="729"/>
      <c r="O71" s="729"/>
      <c r="P71" s="729"/>
      <c r="Q71" s="729"/>
    </row>
    <row r="72" spans="1:18" s="714" customFormat="1" ht="24" customHeight="1">
      <c r="A72" s="921"/>
      <c r="B72" s="922"/>
      <c r="C72" s="761"/>
      <c r="D72" s="761"/>
      <c r="E72" s="923"/>
      <c r="F72" s="924"/>
      <c r="G72" s="925"/>
      <c r="H72" s="926"/>
      <c r="I72" s="927"/>
      <c r="J72" s="928"/>
      <c r="K72" s="928"/>
      <c r="L72" s="928"/>
      <c r="M72" s="729"/>
      <c r="N72" s="729"/>
      <c r="O72" s="729"/>
      <c r="P72" s="729"/>
      <c r="Q72" s="729"/>
    </row>
    <row r="73" spans="1:18" s="714" customFormat="1" ht="24" customHeight="1">
      <c r="A73" s="775"/>
      <c r="B73" s="2475" t="str">
        <f>"รวมราคารายการที่ "&amp;A59</f>
        <v>รวมราคารายการที่ 3.3</v>
      </c>
      <c r="C73" s="2476"/>
      <c r="D73" s="2477"/>
      <c r="E73" s="776"/>
      <c r="F73" s="777"/>
      <c r="G73" s="959"/>
      <c r="H73" s="960">
        <f>SUM(H60:H69)</f>
        <v>1148</v>
      </c>
      <c r="I73" s="959"/>
      <c r="J73" s="960">
        <f t="shared" ref="J73:K73" si="14">SUM(J60:J69)</f>
        <v>680</v>
      </c>
      <c r="K73" s="960">
        <f t="shared" si="14"/>
        <v>1828</v>
      </c>
      <c r="L73" s="777"/>
      <c r="M73" s="729"/>
      <c r="N73" s="729"/>
      <c r="O73" s="729"/>
      <c r="P73" s="729"/>
      <c r="Q73" s="729"/>
      <c r="R73" s="729"/>
    </row>
    <row r="74" spans="1:18" s="714" customFormat="1" ht="24" customHeight="1">
      <c r="A74" s="911" t="s">
        <v>1282</v>
      </c>
      <c r="B74" s="816" t="s">
        <v>1294</v>
      </c>
      <c r="C74" s="770"/>
      <c r="D74" s="770"/>
      <c r="E74" s="930"/>
      <c r="F74" s="709"/>
      <c r="G74" s="932"/>
      <c r="H74" s="854"/>
      <c r="I74" s="934"/>
      <c r="J74" s="854"/>
      <c r="K74" s="912"/>
      <c r="L74" s="935"/>
      <c r="M74" s="729"/>
      <c r="N74" s="729"/>
      <c r="O74" s="729"/>
      <c r="P74" s="729"/>
      <c r="Q74" s="729"/>
      <c r="R74" s="729"/>
    </row>
    <row r="75" spans="1:18" s="714" customFormat="1" ht="24" customHeight="1">
      <c r="A75" s="861"/>
      <c r="B75" s="756" t="s">
        <v>1295</v>
      </c>
      <c r="C75" s="717"/>
      <c r="D75" s="717"/>
      <c r="E75" s="942">
        <v>4</v>
      </c>
      <c r="F75" s="759" t="s">
        <v>240</v>
      </c>
      <c r="G75" s="752">
        <v>420</v>
      </c>
      <c r="H75" s="864">
        <f t="shared" ref="H75:H96" si="15">ROUND(E75*G75,)</f>
        <v>1680</v>
      </c>
      <c r="I75" s="949">
        <v>115</v>
      </c>
      <c r="J75" s="864">
        <f t="shared" ref="J75:J96" si="16">ROUND(E75*I75,)</f>
        <v>460</v>
      </c>
      <c r="K75" s="867">
        <f t="shared" ref="K75:K96" si="17">H75+J75</f>
        <v>2140</v>
      </c>
      <c r="L75" s="973"/>
      <c r="M75" s="729"/>
      <c r="N75" s="729"/>
      <c r="O75" s="729"/>
      <c r="P75" s="729"/>
    </row>
    <row r="76" spans="1:18" s="714" customFormat="1" ht="24" customHeight="1">
      <c r="A76" s="861"/>
      <c r="B76" s="756" t="s">
        <v>1296</v>
      </c>
      <c r="C76" s="717"/>
      <c r="D76" s="717"/>
      <c r="E76" s="942"/>
      <c r="F76" s="759" t="s">
        <v>240</v>
      </c>
      <c r="G76" s="752">
        <v>500</v>
      </c>
      <c r="H76" s="864">
        <f t="shared" si="15"/>
        <v>0</v>
      </c>
      <c r="I76" s="949">
        <v>115</v>
      </c>
      <c r="J76" s="864">
        <f t="shared" si="16"/>
        <v>0</v>
      </c>
      <c r="K76" s="867">
        <f t="shared" si="17"/>
        <v>0</v>
      </c>
      <c r="L76" s="973"/>
      <c r="M76" s="729"/>
      <c r="N76" s="729"/>
      <c r="O76" s="729"/>
      <c r="P76" s="729"/>
    </row>
    <row r="77" spans="1:18" s="714" customFormat="1" ht="24" customHeight="1">
      <c r="A77" s="861"/>
      <c r="B77" s="756" t="s">
        <v>1297</v>
      </c>
      <c r="C77" s="717"/>
      <c r="D77" s="717"/>
      <c r="E77" s="942">
        <v>20</v>
      </c>
      <c r="F77" s="759" t="s">
        <v>240</v>
      </c>
      <c r="G77" s="752">
        <v>550</v>
      </c>
      <c r="H77" s="864">
        <f t="shared" si="15"/>
        <v>11000</v>
      </c>
      <c r="I77" s="949">
        <v>115</v>
      </c>
      <c r="J77" s="864">
        <f t="shared" si="16"/>
        <v>2300</v>
      </c>
      <c r="K77" s="867">
        <f t="shared" si="17"/>
        <v>13300</v>
      </c>
      <c r="L77" s="973"/>
      <c r="M77" s="729"/>
      <c r="N77" s="729"/>
      <c r="O77" s="729"/>
      <c r="P77" s="729"/>
    </row>
    <row r="78" spans="1:18" s="714" customFormat="1" ht="24" customHeight="1">
      <c r="A78" s="861"/>
      <c r="B78" s="756" t="s">
        <v>1298</v>
      </c>
      <c r="C78" s="717"/>
      <c r="D78" s="717"/>
      <c r="E78" s="942"/>
      <c r="F78" s="759" t="s">
        <v>240</v>
      </c>
      <c r="G78" s="752">
        <v>750</v>
      </c>
      <c r="H78" s="864">
        <f t="shared" si="15"/>
        <v>0</v>
      </c>
      <c r="I78" s="949">
        <v>135</v>
      </c>
      <c r="J78" s="864">
        <f t="shared" si="16"/>
        <v>0</v>
      </c>
      <c r="K78" s="867">
        <f t="shared" si="17"/>
        <v>0</v>
      </c>
      <c r="L78" s="973"/>
      <c r="M78" s="729"/>
      <c r="N78" s="729"/>
      <c r="O78" s="729"/>
      <c r="P78" s="729"/>
    </row>
    <row r="79" spans="1:18" s="714" customFormat="1" ht="24" customHeight="1">
      <c r="A79" s="861"/>
      <c r="B79" s="756" t="s">
        <v>1299</v>
      </c>
      <c r="C79" s="717"/>
      <c r="D79" s="717"/>
      <c r="E79" s="942"/>
      <c r="F79" s="759" t="s">
        <v>240</v>
      </c>
      <c r="G79" s="806">
        <v>2090</v>
      </c>
      <c r="H79" s="796">
        <f t="shared" si="15"/>
        <v>0</v>
      </c>
      <c r="I79" s="807">
        <v>135</v>
      </c>
      <c r="J79" s="864">
        <f t="shared" si="16"/>
        <v>0</v>
      </c>
      <c r="K79" s="867">
        <f t="shared" si="17"/>
        <v>0</v>
      </c>
      <c r="L79" s="973"/>
      <c r="M79" s="729"/>
      <c r="N79" s="729"/>
      <c r="O79" s="729"/>
      <c r="P79" s="729"/>
    </row>
    <row r="80" spans="1:18" s="714" customFormat="1" ht="24" customHeight="1">
      <c r="A80" s="861"/>
      <c r="B80" s="800" t="s">
        <v>1300</v>
      </c>
      <c r="C80" s="717"/>
      <c r="D80" s="717"/>
      <c r="E80" s="942"/>
      <c r="F80" s="803" t="s">
        <v>240</v>
      </c>
      <c r="G80" s="806">
        <v>650</v>
      </c>
      <c r="H80" s="796">
        <f t="shared" si="15"/>
        <v>0</v>
      </c>
      <c r="I80" s="807">
        <v>20</v>
      </c>
      <c r="J80" s="864">
        <f t="shared" si="16"/>
        <v>0</v>
      </c>
      <c r="K80" s="867">
        <f t="shared" si="17"/>
        <v>0</v>
      </c>
      <c r="L80" s="973"/>
      <c r="M80" s="729"/>
      <c r="N80" s="729"/>
      <c r="O80" s="729"/>
      <c r="P80" s="729"/>
    </row>
    <row r="81" spans="1:16" s="714" customFormat="1" ht="24" customHeight="1">
      <c r="A81" s="861"/>
      <c r="B81" s="800" t="s">
        <v>1301</v>
      </c>
      <c r="C81" s="717"/>
      <c r="D81" s="717"/>
      <c r="E81" s="942"/>
      <c r="F81" s="803" t="s">
        <v>240</v>
      </c>
      <c r="G81" s="806">
        <v>1200</v>
      </c>
      <c r="H81" s="796">
        <f t="shared" si="15"/>
        <v>0</v>
      </c>
      <c r="I81" s="807">
        <v>135</v>
      </c>
      <c r="J81" s="864">
        <f t="shared" si="16"/>
        <v>0</v>
      </c>
      <c r="K81" s="867">
        <f t="shared" si="17"/>
        <v>0</v>
      </c>
      <c r="L81" s="973"/>
      <c r="M81" s="729"/>
      <c r="N81" s="729"/>
      <c r="O81" s="729"/>
      <c r="P81" s="729"/>
    </row>
    <row r="82" spans="1:16" s="714" customFormat="1" ht="24" customHeight="1">
      <c r="A82" s="861"/>
      <c r="B82" s="800" t="s">
        <v>1302</v>
      </c>
      <c r="C82" s="717"/>
      <c r="D82" s="717"/>
      <c r="E82" s="942"/>
      <c r="F82" s="803" t="s">
        <v>240</v>
      </c>
      <c r="G82" s="806">
        <v>1200</v>
      </c>
      <c r="H82" s="796">
        <f t="shared" si="15"/>
        <v>0</v>
      </c>
      <c r="I82" s="807">
        <v>135</v>
      </c>
      <c r="J82" s="864">
        <f t="shared" si="16"/>
        <v>0</v>
      </c>
      <c r="K82" s="867">
        <f t="shared" si="17"/>
        <v>0</v>
      </c>
      <c r="L82" s="973"/>
      <c r="M82" s="729"/>
      <c r="N82" s="729"/>
      <c r="O82" s="729"/>
      <c r="P82" s="729"/>
    </row>
    <row r="83" spans="1:16" s="714" customFormat="1" ht="24" customHeight="1">
      <c r="A83" s="861"/>
      <c r="B83" s="800" t="s">
        <v>1303</v>
      </c>
      <c r="C83" s="717"/>
      <c r="D83" s="717"/>
      <c r="E83" s="942"/>
      <c r="F83" s="803" t="s">
        <v>240</v>
      </c>
      <c r="G83" s="806">
        <v>1200</v>
      </c>
      <c r="H83" s="796">
        <f t="shared" si="15"/>
        <v>0</v>
      </c>
      <c r="I83" s="807">
        <v>135</v>
      </c>
      <c r="J83" s="864">
        <f t="shared" si="16"/>
        <v>0</v>
      </c>
      <c r="K83" s="867">
        <f t="shared" si="17"/>
        <v>0</v>
      </c>
      <c r="L83" s="973"/>
      <c r="M83" s="729"/>
      <c r="N83" s="729"/>
      <c r="O83" s="729"/>
      <c r="P83" s="729"/>
    </row>
    <row r="84" spans="1:16" s="714" customFormat="1" ht="24" customHeight="1">
      <c r="A84" s="861"/>
      <c r="B84" s="800" t="s">
        <v>1304</v>
      </c>
      <c r="C84" s="717"/>
      <c r="D84" s="717"/>
      <c r="E84" s="942"/>
      <c r="F84" s="803" t="s">
        <v>240</v>
      </c>
      <c r="G84" s="806">
        <v>1200</v>
      </c>
      <c r="H84" s="796">
        <f t="shared" si="15"/>
        <v>0</v>
      </c>
      <c r="I84" s="807">
        <v>135</v>
      </c>
      <c r="J84" s="864">
        <f t="shared" si="16"/>
        <v>0</v>
      </c>
      <c r="K84" s="867">
        <f t="shared" si="17"/>
        <v>0</v>
      </c>
      <c r="L84" s="973"/>
      <c r="M84" s="729"/>
      <c r="N84" s="729"/>
      <c r="O84" s="729"/>
      <c r="P84" s="729"/>
    </row>
    <row r="85" spans="1:16" s="714" customFormat="1" ht="24" customHeight="1">
      <c r="A85" s="861"/>
      <c r="B85" s="800" t="s">
        <v>1305</v>
      </c>
      <c r="C85" s="717"/>
      <c r="D85" s="717"/>
      <c r="E85" s="942"/>
      <c r="F85" s="803" t="s">
        <v>240</v>
      </c>
      <c r="G85" s="806">
        <v>1200</v>
      </c>
      <c r="H85" s="796">
        <f t="shared" si="15"/>
        <v>0</v>
      </c>
      <c r="I85" s="807">
        <v>135</v>
      </c>
      <c r="J85" s="864">
        <f t="shared" si="16"/>
        <v>0</v>
      </c>
      <c r="K85" s="867">
        <f t="shared" si="17"/>
        <v>0</v>
      </c>
      <c r="L85" s="973"/>
      <c r="M85" s="729"/>
      <c r="N85" s="729"/>
      <c r="O85" s="729"/>
      <c r="P85" s="729"/>
    </row>
    <row r="86" spans="1:16" s="714" customFormat="1" ht="24" customHeight="1">
      <c r="A86" s="861"/>
      <c r="B86" s="800" t="s">
        <v>1306</v>
      </c>
      <c r="C86" s="717"/>
      <c r="D86" s="717"/>
      <c r="E86" s="942"/>
      <c r="F86" s="803" t="s">
        <v>240</v>
      </c>
      <c r="G86" s="806">
        <v>1860</v>
      </c>
      <c r="H86" s="796">
        <f t="shared" si="15"/>
        <v>0</v>
      </c>
      <c r="I86" s="807">
        <v>135</v>
      </c>
      <c r="J86" s="796">
        <f t="shared" si="16"/>
        <v>0</v>
      </c>
      <c r="K86" s="914">
        <f t="shared" si="17"/>
        <v>0</v>
      </c>
      <c r="L86" s="973"/>
      <c r="M86" s="729"/>
      <c r="N86" s="729"/>
      <c r="O86" s="729"/>
      <c r="P86" s="729"/>
    </row>
    <row r="87" spans="1:16" s="714" customFormat="1" ht="24" customHeight="1">
      <c r="A87" s="861"/>
      <c r="B87" s="800" t="s">
        <v>1307</v>
      </c>
      <c r="C87" s="717"/>
      <c r="D87" s="717"/>
      <c r="E87" s="942"/>
      <c r="F87" s="803" t="s">
        <v>240</v>
      </c>
      <c r="G87" s="806">
        <v>1860</v>
      </c>
      <c r="H87" s="796">
        <f t="shared" si="15"/>
        <v>0</v>
      </c>
      <c r="I87" s="807">
        <v>135</v>
      </c>
      <c r="J87" s="796">
        <f t="shared" si="16"/>
        <v>0</v>
      </c>
      <c r="K87" s="914">
        <f t="shared" si="17"/>
        <v>0</v>
      </c>
      <c r="L87" s="973"/>
      <c r="M87" s="729"/>
      <c r="N87" s="729"/>
      <c r="O87" s="729"/>
      <c r="P87" s="729"/>
    </row>
    <row r="88" spans="1:16" s="714" customFormat="1" ht="24" customHeight="1">
      <c r="A88" s="861"/>
      <c r="B88" s="800" t="s">
        <v>1308</v>
      </c>
      <c r="C88" s="717"/>
      <c r="D88" s="717"/>
      <c r="E88" s="942"/>
      <c r="F88" s="803" t="s">
        <v>240</v>
      </c>
      <c r="G88" s="806">
        <v>1250</v>
      </c>
      <c r="H88" s="796">
        <f t="shared" si="15"/>
        <v>0</v>
      </c>
      <c r="I88" s="807">
        <v>135</v>
      </c>
      <c r="J88" s="864">
        <f t="shared" si="16"/>
        <v>0</v>
      </c>
      <c r="K88" s="867">
        <f t="shared" si="17"/>
        <v>0</v>
      </c>
      <c r="L88" s="973"/>
      <c r="M88" s="729"/>
      <c r="N88" s="729"/>
      <c r="O88" s="729"/>
      <c r="P88" s="729"/>
    </row>
    <row r="89" spans="1:16" s="714" customFormat="1" ht="24" customHeight="1">
      <c r="A89" s="861"/>
      <c r="B89" s="800" t="s">
        <v>1309</v>
      </c>
      <c r="C89" s="717"/>
      <c r="D89" s="717"/>
      <c r="E89" s="942"/>
      <c r="F89" s="803" t="s">
        <v>240</v>
      </c>
      <c r="G89" s="806">
        <v>1860</v>
      </c>
      <c r="H89" s="796">
        <f t="shared" si="15"/>
        <v>0</v>
      </c>
      <c r="I89" s="807">
        <v>135</v>
      </c>
      <c r="J89" s="796">
        <f t="shared" si="16"/>
        <v>0</v>
      </c>
      <c r="K89" s="914">
        <f t="shared" si="17"/>
        <v>0</v>
      </c>
      <c r="L89" s="973"/>
      <c r="M89" s="729"/>
      <c r="N89" s="729"/>
      <c r="O89" s="729"/>
      <c r="P89" s="729"/>
    </row>
    <row r="90" spans="1:16" s="714" customFormat="1" ht="24" customHeight="1">
      <c r="A90" s="861"/>
      <c r="B90" s="800" t="s">
        <v>1310</v>
      </c>
      <c r="C90" s="717"/>
      <c r="D90" s="717"/>
      <c r="E90" s="942"/>
      <c r="F90" s="803" t="s">
        <v>240</v>
      </c>
      <c r="G90" s="806">
        <v>1200</v>
      </c>
      <c r="H90" s="796">
        <f t="shared" si="15"/>
        <v>0</v>
      </c>
      <c r="I90" s="807">
        <v>135</v>
      </c>
      <c r="J90" s="864">
        <f t="shared" si="16"/>
        <v>0</v>
      </c>
      <c r="K90" s="867">
        <f t="shared" si="17"/>
        <v>0</v>
      </c>
      <c r="L90" s="973"/>
      <c r="M90" s="729"/>
      <c r="N90" s="729"/>
      <c r="O90" s="729"/>
      <c r="P90" s="729"/>
    </row>
    <row r="91" spans="1:16" s="714" customFormat="1" ht="24" customHeight="1">
      <c r="A91" s="861"/>
      <c r="B91" s="800" t="s">
        <v>1311</v>
      </c>
      <c r="C91" s="717"/>
      <c r="D91" s="717"/>
      <c r="E91" s="942"/>
      <c r="F91" s="803" t="s">
        <v>240</v>
      </c>
      <c r="G91" s="806">
        <v>1200</v>
      </c>
      <c r="H91" s="796">
        <f t="shared" si="15"/>
        <v>0</v>
      </c>
      <c r="I91" s="807">
        <v>135</v>
      </c>
      <c r="J91" s="864">
        <f t="shared" si="16"/>
        <v>0</v>
      </c>
      <c r="K91" s="867">
        <f t="shared" si="17"/>
        <v>0</v>
      </c>
      <c r="L91" s="973"/>
      <c r="M91" s="729"/>
      <c r="N91" s="729"/>
      <c r="O91" s="729"/>
      <c r="P91" s="729"/>
    </row>
    <row r="92" spans="1:16" s="714" customFormat="1" ht="24" customHeight="1">
      <c r="A92" s="861"/>
      <c r="B92" s="756" t="s">
        <v>1312</v>
      </c>
      <c r="C92" s="757"/>
      <c r="D92" s="757"/>
      <c r="E92" s="942"/>
      <c r="F92" s="759" t="s">
        <v>240</v>
      </c>
      <c r="G92" s="752">
        <v>1830</v>
      </c>
      <c r="H92" s="864">
        <f t="shared" si="15"/>
        <v>0</v>
      </c>
      <c r="I92" s="949">
        <v>500</v>
      </c>
      <c r="J92" s="864">
        <f t="shared" si="16"/>
        <v>0</v>
      </c>
      <c r="K92" s="867">
        <f t="shared" si="17"/>
        <v>0</v>
      </c>
      <c r="L92" s="973"/>
      <c r="M92" s="729"/>
      <c r="N92" s="729"/>
      <c r="O92" s="729"/>
      <c r="P92" s="729"/>
    </row>
    <row r="93" spans="1:16" s="714" customFormat="1" ht="24" customHeight="1">
      <c r="A93" s="861"/>
      <c r="B93" s="756" t="s">
        <v>1313</v>
      </c>
      <c r="C93" s="974"/>
      <c r="D93" s="974"/>
      <c r="E93" s="942">
        <v>2</v>
      </c>
      <c r="F93" s="759" t="s">
        <v>240</v>
      </c>
      <c r="G93" s="766">
        <v>1620</v>
      </c>
      <c r="H93" s="864">
        <f t="shared" si="15"/>
        <v>3240</v>
      </c>
      <c r="I93" s="975">
        <v>500</v>
      </c>
      <c r="J93" s="864">
        <f t="shared" si="16"/>
        <v>1000</v>
      </c>
      <c r="K93" s="867">
        <f t="shared" si="17"/>
        <v>4240</v>
      </c>
      <c r="L93" s="973"/>
      <c r="M93" s="729"/>
      <c r="N93" s="729"/>
      <c r="O93" s="729"/>
      <c r="P93" s="729"/>
    </row>
    <row r="94" spans="1:16" s="714" customFormat="1" ht="24" customHeight="1">
      <c r="A94" s="861"/>
      <c r="B94" s="756" t="s">
        <v>1314</v>
      </c>
      <c r="C94" s="757"/>
      <c r="D94" s="757"/>
      <c r="E94" s="942">
        <v>2</v>
      </c>
      <c r="F94" s="759" t="s">
        <v>240</v>
      </c>
      <c r="G94" s="752">
        <v>920</v>
      </c>
      <c r="H94" s="864">
        <f t="shared" si="15"/>
        <v>1840</v>
      </c>
      <c r="I94" s="949">
        <v>250</v>
      </c>
      <c r="J94" s="864">
        <f t="shared" si="16"/>
        <v>500</v>
      </c>
      <c r="K94" s="867">
        <f t="shared" si="17"/>
        <v>2340</v>
      </c>
      <c r="L94" s="973"/>
      <c r="M94" s="729"/>
      <c r="N94" s="729"/>
      <c r="O94" s="729"/>
      <c r="P94" s="729"/>
    </row>
    <row r="95" spans="1:16" s="714" customFormat="1" ht="24" customHeight="1">
      <c r="A95" s="861"/>
      <c r="B95" s="756" t="s">
        <v>1315</v>
      </c>
      <c r="C95" s="757"/>
      <c r="D95" s="757"/>
      <c r="E95" s="942"/>
      <c r="F95" s="759" t="s">
        <v>240</v>
      </c>
      <c r="G95" s="752">
        <v>2180</v>
      </c>
      <c r="H95" s="864">
        <f t="shared" si="15"/>
        <v>0</v>
      </c>
      <c r="I95" s="949">
        <v>500</v>
      </c>
      <c r="J95" s="864">
        <f t="shared" si="16"/>
        <v>0</v>
      </c>
      <c r="K95" s="867">
        <f t="shared" si="17"/>
        <v>0</v>
      </c>
      <c r="L95" s="973"/>
      <c r="M95" s="729"/>
      <c r="N95" s="729"/>
      <c r="O95" s="729"/>
      <c r="P95" s="729"/>
    </row>
    <row r="96" spans="1:16" s="714" customFormat="1" ht="24" customHeight="1">
      <c r="A96" s="861"/>
      <c r="B96" s="705" t="s">
        <v>1316</v>
      </c>
      <c r="C96" s="717"/>
      <c r="D96" s="717"/>
      <c r="E96" s="942"/>
      <c r="F96" s="759" t="s">
        <v>948</v>
      </c>
      <c r="G96" s="752">
        <f>SUM(H74:H94)*5%</f>
        <v>888</v>
      </c>
      <c r="H96" s="864">
        <f t="shared" si="15"/>
        <v>0</v>
      </c>
      <c r="I96" s="949">
        <f>ROUND(G96*0.3,)</f>
        <v>266</v>
      </c>
      <c r="J96" s="864">
        <f t="shared" si="16"/>
        <v>0</v>
      </c>
      <c r="K96" s="867">
        <f t="shared" si="17"/>
        <v>0</v>
      </c>
      <c r="L96" s="973"/>
      <c r="M96" s="729"/>
      <c r="N96" s="729"/>
      <c r="O96" s="729"/>
      <c r="P96" s="729"/>
    </row>
    <row r="97" spans="1:18" s="714" customFormat="1" ht="24" customHeight="1">
      <c r="A97" s="831"/>
      <c r="B97" s="720" t="s">
        <v>957</v>
      </c>
      <c r="C97" s="717"/>
      <c r="D97" s="717"/>
      <c r="E97" s="917"/>
      <c r="F97" s="722"/>
      <c r="G97" s="806"/>
      <c r="H97" s="918"/>
      <c r="I97" s="807"/>
      <c r="J97" s="919"/>
      <c r="K97" s="919"/>
      <c r="L97" s="919"/>
      <c r="M97" s="729"/>
      <c r="N97" s="729"/>
      <c r="O97" s="729"/>
      <c r="P97" s="729"/>
      <c r="Q97" s="729"/>
      <c r="R97" s="729"/>
    </row>
    <row r="98" spans="1:18" s="714" customFormat="1" ht="24" customHeight="1">
      <c r="A98" s="831"/>
      <c r="B98" s="720" t="s">
        <v>1239</v>
      </c>
      <c r="C98" s="717"/>
      <c r="D98" s="717"/>
      <c r="E98" s="917"/>
      <c r="F98" s="722"/>
      <c r="G98" s="806"/>
      <c r="H98" s="918"/>
      <c r="I98" s="807"/>
      <c r="J98" s="919"/>
      <c r="K98" s="919"/>
      <c r="L98" s="919"/>
      <c r="M98" s="729"/>
      <c r="N98" s="729"/>
      <c r="O98" s="729"/>
      <c r="P98" s="729"/>
      <c r="Q98" s="729"/>
      <c r="R98" s="729"/>
    </row>
    <row r="99" spans="1:18" s="714" customFormat="1" ht="24" customHeight="1">
      <c r="A99" s="775"/>
      <c r="B99" s="2475" t="str">
        <f>"รวมราคารายการที่ "&amp;A74</f>
        <v>รวมราคารายการที่ 3.4</v>
      </c>
      <c r="C99" s="2476"/>
      <c r="D99" s="2477"/>
      <c r="E99" s="776"/>
      <c r="F99" s="777"/>
      <c r="G99" s="959"/>
      <c r="H99" s="960">
        <f>SUM(H74:H98)</f>
        <v>17760</v>
      </c>
      <c r="I99" s="959"/>
      <c r="J99" s="960">
        <f t="shared" ref="J99:K99" si="18">SUM(J74:J98)</f>
        <v>4260</v>
      </c>
      <c r="K99" s="960">
        <f t="shared" si="18"/>
        <v>22020</v>
      </c>
      <c r="L99" s="777"/>
      <c r="M99" s="729"/>
      <c r="N99" s="729"/>
      <c r="O99" s="729"/>
      <c r="P99" s="729"/>
      <c r="Q99" s="729"/>
      <c r="R99" s="729"/>
    </row>
    <row r="100" spans="1:18" s="714" customFormat="1" ht="24" customHeight="1">
      <c r="A100" s="911">
        <v>3.5</v>
      </c>
      <c r="B100" s="816" t="s">
        <v>1225</v>
      </c>
      <c r="C100" s="770"/>
      <c r="D100" s="770"/>
      <c r="E100" s="930"/>
      <c r="F100" s="931"/>
      <c r="G100" s="932"/>
      <c r="H100" s="933"/>
      <c r="I100" s="934"/>
      <c r="J100" s="935"/>
      <c r="K100" s="935"/>
      <c r="L100" s="935"/>
      <c r="M100" s="729"/>
      <c r="N100" s="729"/>
      <c r="O100" s="729"/>
      <c r="P100" s="729"/>
      <c r="Q100" s="729"/>
      <c r="R100" s="729"/>
    </row>
    <row r="101" spans="1:18" s="714" customFormat="1" ht="24" customHeight="1">
      <c r="A101" s="856" t="s">
        <v>991</v>
      </c>
      <c r="B101" s="720" t="s">
        <v>1319</v>
      </c>
      <c r="C101" s="717"/>
      <c r="D101" s="717"/>
      <c r="E101" s="917">
        <v>1</v>
      </c>
      <c r="F101" s="722" t="s">
        <v>240</v>
      </c>
      <c r="G101" s="806">
        <v>1850</v>
      </c>
      <c r="H101" s="796">
        <f t="shared" ref="H101:H126" si="19">ROUND(E101*G101,)</f>
        <v>1850</v>
      </c>
      <c r="I101" s="807">
        <v>250</v>
      </c>
      <c r="J101" s="796">
        <f t="shared" ref="J101:J126" si="20">ROUND(E101*I101,)</f>
        <v>250</v>
      </c>
      <c r="K101" s="914">
        <f t="shared" ref="K101:K126" si="21">H101+J101</f>
        <v>2100</v>
      </c>
      <c r="L101" s="919"/>
      <c r="M101" s="729"/>
      <c r="N101" s="729"/>
      <c r="O101" s="729"/>
      <c r="P101" s="729"/>
      <c r="Q101" s="729"/>
      <c r="R101" s="729"/>
    </row>
    <row r="102" spans="1:18" s="714" customFormat="1" ht="24" customHeight="1">
      <c r="A102" s="856" t="s">
        <v>1020</v>
      </c>
      <c r="B102" s="720" t="s">
        <v>1320</v>
      </c>
      <c r="C102" s="717"/>
      <c r="D102" s="717"/>
      <c r="E102" s="917">
        <v>1</v>
      </c>
      <c r="F102" s="722" t="s">
        <v>240</v>
      </c>
      <c r="G102" s="806">
        <v>1850</v>
      </c>
      <c r="H102" s="796">
        <f t="shared" si="19"/>
        <v>1850</v>
      </c>
      <c r="I102" s="807">
        <v>250</v>
      </c>
      <c r="J102" s="796">
        <f t="shared" si="20"/>
        <v>250</v>
      </c>
      <c r="K102" s="914">
        <f t="shared" si="21"/>
        <v>2100</v>
      </c>
      <c r="L102" s="919"/>
      <c r="M102" s="729"/>
      <c r="N102" s="729"/>
      <c r="O102" s="729"/>
      <c r="P102" s="729"/>
      <c r="Q102" s="729"/>
      <c r="R102" s="729"/>
    </row>
    <row r="103" spans="1:18" s="714" customFormat="1" ht="24" customHeight="1">
      <c r="A103" s="856" t="s">
        <v>1578</v>
      </c>
      <c r="B103" s="720" t="s">
        <v>1321</v>
      </c>
      <c r="C103" s="717"/>
      <c r="D103" s="717"/>
      <c r="E103" s="917">
        <v>1</v>
      </c>
      <c r="F103" s="722" t="s">
        <v>240</v>
      </c>
      <c r="G103" s="806">
        <v>1850</v>
      </c>
      <c r="H103" s="796">
        <f t="shared" si="19"/>
        <v>1850</v>
      </c>
      <c r="I103" s="807">
        <v>250</v>
      </c>
      <c r="J103" s="796">
        <f t="shared" si="20"/>
        <v>250</v>
      </c>
      <c r="K103" s="914">
        <f t="shared" si="21"/>
        <v>2100</v>
      </c>
      <c r="L103" s="919"/>
      <c r="M103" s="729"/>
      <c r="N103" s="729"/>
      <c r="O103" s="729"/>
      <c r="P103" s="729"/>
      <c r="Q103" s="729"/>
      <c r="R103" s="729"/>
    </row>
    <row r="104" spans="1:18" s="714" customFormat="1" ht="24" customHeight="1">
      <c r="A104" s="856" t="s">
        <v>1579</v>
      </c>
      <c r="B104" s="720" t="s">
        <v>1322</v>
      </c>
      <c r="C104" s="717"/>
      <c r="D104" s="717"/>
      <c r="E104" s="917">
        <v>1</v>
      </c>
      <c r="F104" s="722" t="s">
        <v>240</v>
      </c>
      <c r="G104" s="806">
        <v>1850</v>
      </c>
      <c r="H104" s="796">
        <f t="shared" si="19"/>
        <v>1850</v>
      </c>
      <c r="I104" s="807">
        <v>250</v>
      </c>
      <c r="J104" s="796">
        <f t="shared" si="20"/>
        <v>250</v>
      </c>
      <c r="K104" s="914">
        <f t="shared" si="21"/>
        <v>2100</v>
      </c>
      <c r="L104" s="919"/>
      <c r="M104" s="729"/>
      <c r="N104" s="729"/>
      <c r="O104" s="729"/>
      <c r="P104" s="729"/>
      <c r="Q104" s="729"/>
      <c r="R104" s="729"/>
    </row>
    <row r="105" spans="1:18" s="714" customFormat="1" ht="24" customHeight="1">
      <c r="A105" s="856" t="s">
        <v>1580</v>
      </c>
      <c r="B105" s="720" t="s">
        <v>1484</v>
      </c>
      <c r="C105" s="717"/>
      <c r="D105" s="717"/>
      <c r="E105" s="917"/>
      <c r="F105" s="722" t="s">
        <v>240</v>
      </c>
      <c r="G105" s="806">
        <v>1850</v>
      </c>
      <c r="H105" s="796">
        <f t="shared" si="19"/>
        <v>0</v>
      </c>
      <c r="I105" s="807">
        <v>250</v>
      </c>
      <c r="J105" s="796">
        <f t="shared" si="20"/>
        <v>0</v>
      </c>
      <c r="K105" s="914">
        <f t="shared" si="21"/>
        <v>0</v>
      </c>
      <c r="L105" s="919"/>
      <c r="M105" s="729"/>
      <c r="N105" s="729"/>
      <c r="O105" s="729"/>
      <c r="P105" s="729"/>
      <c r="Q105" s="729"/>
      <c r="R105" s="729"/>
    </row>
    <row r="106" spans="1:18" s="714" customFormat="1" ht="24" customHeight="1">
      <c r="A106" s="856" t="s">
        <v>1581</v>
      </c>
      <c r="B106" s="720" t="s">
        <v>1324</v>
      </c>
      <c r="C106" s="717"/>
      <c r="D106" s="717"/>
      <c r="E106" s="917"/>
      <c r="F106" s="722" t="s">
        <v>240</v>
      </c>
      <c r="G106" s="806">
        <v>2750</v>
      </c>
      <c r="H106" s="796">
        <f t="shared" si="19"/>
        <v>0</v>
      </c>
      <c r="I106" s="807">
        <v>250</v>
      </c>
      <c r="J106" s="796">
        <f t="shared" si="20"/>
        <v>0</v>
      </c>
      <c r="K106" s="914">
        <f t="shared" si="21"/>
        <v>0</v>
      </c>
      <c r="L106" s="919"/>
      <c r="M106" s="729"/>
      <c r="N106" s="729"/>
      <c r="O106" s="729"/>
      <c r="P106" s="729"/>
      <c r="Q106" s="729"/>
      <c r="R106" s="729"/>
    </row>
    <row r="107" spans="1:18" s="714" customFormat="1" ht="24" customHeight="1">
      <c r="A107" s="856" t="s">
        <v>1582</v>
      </c>
      <c r="B107" s="720" t="s">
        <v>1325</v>
      </c>
      <c r="C107" s="717"/>
      <c r="D107" s="717"/>
      <c r="E107" s="917"/>
      <c r="F107" s="722" t="s">
        <v>240</v>
      </c>
      <c r="G107" s="806">
        <v>2750</v>
      </c>
      <c r="H107" s="796">
        <f t="shared" si="19"/>
        <v>0</v>
      </c>
      <c r="I107" s="807">
        <v>250</v>
      </c>
      <c r="J107" s="796">
        <f t="shared" si="20"/>
        <v>0</v>
      </c>
      <c r="K107" s="914">
        <f t="shared" si="21"/>
        <v>0</v>
      </c>
      <c r="L107" s="919"/>
      <c r="M107" s="729"/>
      <c r="N107" s="729"/>
      <c r="O107" s="729"/>
      <c r="P107" s="729"/>
      <c r="Q107" s="729"/>
      <c r="R107" s="729"/>
    </row>
    <row r="108" spans="1:18" s="714" customFormat="1" ht="24" customHeight="1">
      <c r="A108" s="856" t="s">
        <v>1583</v>
      </c>
      <c r="B108" s="720" t="s">
        <v>1326</v>
      </c>
      <c r="C108" s="717"/>
      <c r="D108" s="717"/>
      <c r="E108" s="917"/>
      <c r="F108" s="722" t="s">
        <v>240</v>
      </c>
      <c r="G108" s="806">
        <v>2750</v>
      </c>
      <c r="H108" s="796">
        <f t="shared" si="19"/>
        <v>0</v>
      </c>
      <c r="I108" s="807">
        <v>250</v>
      </c>
      <c r="J108" s="796">
        <f t="shared" si="20"/>
        <v>0</v>
      </c>
      <c r="K108" s="914">
        <f t="shared" si="21"/>
        <v>0</v>
      </c>
      <c r="L108" s="919"/>
      <c r="M108" s="729"/>
      <c r="N108" s="729"/>
      <c r="O108" s="729"/>
      <c r="P108" s="729"/>
      <c r="Q108" s="729"/>
      <c r="R108" s="729"/>
    </row>
    <row r="109" spans="1:18" s="714" customFormat="1" ht="24" customHeight="1">
      <c r="A109" s="856" t="s">
        <v>1584</v>
      </c>
      <c r="B109" s="720" t="s">
        <v>1327</v>
      </c>
      <c r="C109" s="717"/>
      <c r="D109" s="717"/>
      <c r="E109" s="917"/>
      <c r="F109" s="722" t="s">
        <v>240</v>
      </c>
      <c r="G109" s="806">
        <v>2750</v>
      </c>
      <c r="H109" s="796">
        <f t="shared" si="19"/>
        <v>0</v>
      </c>
      <c r="I109" s="807">
        <v>250</v>
      </c>
      <c r="J109" s="796">
        <f t="shared" si="20"/>
        <v>0</v>
      </c>
      <c r="K109" s="914">
        <f t="shared" si="21"/>
        <v>0</v>
      </c>
      <c r="L109" s="919"/>
      <c r="M109" s="729"/>
      <c r="N109" s="729"/>
      <c r="O109" s="729"/>
      <c r="P109" s="729"/>
      <c r="Q109" s="729"/>
      <c r="R109" s="729"/>
    </row>
    <row r="110" spans="1:18" s="714" customFormat="1" ht="24" customHeight="1">
      <c r="A110" s="856" t="s">
        <v>1585</v>
      </c>
      <c r="B110" s="720" t="s">
        <v>1328</v>
      </c>
      <c r="C110" s="717"/>
      <c r="D110" s="717"/>
      <c r="E110" s="917"/>
      <c r="F110" s="722" t="s">
        <v>240</v>
      </c>
      <c r="G110" s="806">
        <v>2750</v>
      </c>
      <c r="H110" s="796">
        <f t="shared" si="19"/>
        <v>0</v>
      </c>
      <c r="I110" s="807">
        <v>250</v>
      </c>
      <c r="J110" s="796">
        <f t="shared" si="20"/>
        <v>0</v>
      </c>
      <c r="K110" s="914">
        <f t="shared" si="21"/>
        <v>0</v>
      </c>
      <c r="L110" s="919"/>
      <c r="M110" s="729"/>
      <c r="N110" s="729"/>
      <c r="O110" s="729"/>
      <c r="P110" s="729"/>
      <c r="Q110" s="729"/>
      <c r="R110" s="729"/>
    </row>
    <row r="111" spans="1:18" s="714" customFormat="1" ht="24" customHeight="1">
      <c r="A111" s="856" t="s">
        <v>1586</v>
      </c>
      <c r="B111" s="720" t="s">
        <v>1329</v>
      </c>
      <c r="C111" s="717"/>
      <c r="D111" s="717"/>
      <c r="E111" s="917">
        <v>3</v>
      </c>
      <c r="F111" s="722" t="s">
        <v>240</v>
      </c>
      <c r="G111" s="806">
        <v>2750</v>
      </c>
      <c r="H111" s="796">
        <f t="shared" si="19"/>
        <v>8250</v>
      </c>
      <c r="I111" s="807">
        <v>250</v>
      </c>
      <c r="J111" s="796">
        <f t="shared" si="20"/>
        <v>750</v>
      </c>
      <c r="K111" s="914">
        <f t="shared" si="21"/>
        <v>9000</v>
      </c>
      <c r="L111" s="919"/>
      <c r="M111" s="729"/>
      <c r="N111" s="729"/>
      <c r="O111" s="729"/>
      <c r="P111" s="729"/>
      <c r="Q111" s="729"/>
      <c r="R111" s="729"/>
    </row>
    <row r="112" spans="1:18" s="714" customFormat="1" ht="24" customHeight="1">
      <c r="A112" s="856" t="s">
        <v>1587</v>
      </c>
      <c r="B112" s="720" t="s">
        <v>1331</v>
      </c>
      <c r="C112" s="717"/>
      <c r="D112" s="717"/>
      <c r="E112" s="917">
        <v>2</v>
      </c>
      <c r="F112" s="722" t="s">
        <v>240</v>
      </c>
      <c r="G112" s="806">
        <f>3300+300</f>
        <v>3600</v>
      </c>
      <c r="H112" s="796">
        <f t="shared" si="19"/>
        <v>7200</v>
      </c>
      <c r="I112" s="807">
        <v>200</v>
      </c>
      <c r="J112" s="796">
        <f t="shared" si="20"/>
        <v>400</v>
      </c>
      <c r="K112" s="914">
        <f t="shared" si="21"/>
        <v>7600</v>
      </c>
      <c r="L112" s="919"/>
      <c r="M112" s="729"/>
      <c r="N112" s="729"/>
      <c r="O112" s="729"/>
      <c r="P112" s="729"/>
      <c r="Q112" s="729"/>
      <c r="R112" s="729"/>
    </row>
    <row r="113" spans="1:18" s="714" customFormat="1" ht="24" customHeight="1">
      <c r="A113" s="856" t="s">
        <v>1588</v>
      </c>
      <c r="B113" s="720" t="s">
        <v>1589</v>
      </c>
      <c r="C113" s="717"/>
      <c r="D113" s="717"/>
      <c r="E113" s="917"/>
      <c r="F113" s="722" t="s">
        <v>240</v>
      </c>
      <c r="G113" s="806">
        <v>33500</v>
      </c>
      <c r="H113" s="796">
        <f t="shared" si="19"/>
        <v>0</v>
      </c>
      <c r="I113" s="807">
        <v>500</v>
      </c>
      <c r="J113" s="796">
        <f t="shared" si="20"/>
        <v>0</v>
      </c>
      <c r="K113" s="914">
        <f t="shared" si="21"/>
        <v>0</v>
      </c>
      <c r="L113" s="919"/>
      <c r="M113" s="729"/>
      <c r="N113" s="729"/>
      <c r="O113" s="729"/>
      <c r="P113" s="729"/>
      <c r="Q113" s="729"/>
      <c r="R113" s="729"/>
    </row>
    <row r="114" spans="1:18" s="714" customFormat="1" ht="24" customHeight="1">
      <c r="A114" s="856" t="s">
        <v>1590</v>
      </c>
      <c r="B114" s="720" t="s">
        <v>1591</v>
      </c>
      <c r="C114" s="717"/>
      <c r="D114" s="717"/>
      <c r="E114" s="917"/>
      <c r="F114" s="722" t="s">
        <v>240</v>
      </c>
      <c r="G114" s="806">
        <v>33500</v>
      </c>
      <c r="H114" s="796">
        <f t="shared" si="19"/>
        <v>0</v>
      </c>
      <c r="I114" s="807">
        <v>500</v>
      </c>
      <c r="J114" s="796">
        <f t="shared" si="20"/>
        <v>0</v>
      </c>
      <c r="K114" s="914">
        <f t="shared" si="21"/>
        <v>0</v>
      </c>
      <c r="L114" s="919"/>
      <c r="M114" s="729"/>
      <c r="N114" s="729"/>
      <c r="O114" s="729"/>
      <c r="P114" s="729"/>
      <c r="Q114" s="729"/>
      <c r="R114" s="729"/>
    </row>
    <row r="115" spans="1:18" s="714" customFormat="1" ht="24" customHeight="1">
      <c r="A115" s="856" t="s">
        <v>1592</v>
      </c>
      <c r="B115" s="720" t="s">
        <v>1333</v>
      </c>
      <c r="C115" s="717"/>
      <c r="D115" s="717"/>
      <c r="E115" s="917">
        <v>1</v>
      </c>
      <c r="F115" s="722" t="s">
        <v>240</v>
      </c>
      <c r="G115" s="806">
        <v>350</v>
      </c>
      <c r="H115" s="796">
        <f t="shared" si="19"/>
        <v>350</v>
      </c>
      <c r="I115" s="807">
        <v>200</v>
      </c>
      <c r="J115" s="796">
        <f t="shared" si="20"/>
        <v>200</v>
      </c>
      <c r="K115" s="914">
        <f t="shared" si="21"/>
        <v>550</v>
      </c>
      <c r="L115" s="919"/>
      <c r="M115" s="729"/>
      <c r="N115" s="729"/>
      <c r="O115" s="729"/>
      <c r="P115" s="729"/>
      <c r="Q115" s="729"/>
      <c r="R115" s="729"/>
    </row>
    <row r="116" spans="1:18" s="714" customFormat="1" ht="24" customHeight="1">
      <c r="A116" s="856" t="s">
        <v>1593</v>
      </c>
      <c r="B116" s="720" t="s">
        <v>1334</v>
      </c>
      <c r="C116" s="717"/>
      <c r="D116" s="717"/>
      <c r="E116" s="917">
        <v>1</v>
      </c>
      <c r="F116" s="722" t="s">
        <v>240</v>
      </c>
      <c r="G116" s="806">
        <v>4200</v>
      </c>
      <c r="H116" s="796">
        <f t="shared" si="19"/>
        <v>4200</v>
      </c>
      <c r="I116" s="807">
        <v>200</v>
      </c>
      <c r="J116" s="796">
        <f t="shared" si="20"/>
        <v>200</v>
      </c>
      <c r="K116" s="914">
        <f t="shared" si="21"/>
        <v>4400</v>
      </c>
      <c r="L116" s="919"/>
      <c r="M116" s="729"/>
      <c r="N116" s="729"/>
      <c r="O116" s="729"/>
      <c r="P116" s="729"/>
      <c r="Q116" s="729"/>
      <c r="R116" s="729"/>
    </row>
    <row r="117" spans="1:18" s="714" customFormat="1" ht="24" customHeight="1">
      <c r="A117" s="856" t="s">
        <v>1594</v>
      </c>
      <c r="B117" s="720" t="s">
        <v>1159</v>
      </c>
      <c r="C117" s="717"/>
      <c r="D117" s="717"/>
      <c r="E117" s="917"/>
      <c r="F117" s="916"/>
      <c r="G117" s="806"/>
      <c r="H117" s="796">
        <f t="shared" si="19"/>
        <v>0</v>
      </c>
      <c r="I117" s="807"/>
      <c r="J117" s="796">
        <f t="shared" si="20"/>
        <v>0</v>
      </c>
      <c r="K117" s="914">
        <f t="shared" si="21"/>
        <v>0</v>
      </c>
      <c r="L117" s="919"/>
      <c r="M117" s="729"/>
      <c r="N117" s="729"/>
      <c r="O117" s="729"/>
      <c r="P117" s="729"/>
      <c r="Q117" s="729"/>
      <c r="R117" s="729"/>
    </row>
    <row r="118" spans="1:18" s="714" customFormat="1" ht="24" customHeight="1">
      <c r="A118" s="831"/>
      <c r="B118" s="720" t="s">
        <v>1337</v>
      </c>
      <c r="C118" s="717"/>
      <c r="D118" s="717"/>
      <c r="E118" s="917">
        <v>150</v>
      </c>
      <c r="F118" s="794" t="s">
        <v>438</v>
      </c>
      <c r="G118" s="806">
        <v>82</v>
      </c>
      <c r="H118" s="796">
        <f t="shared" si="19"/>
        <v>12300</v>
      </c>
      <c r="I118" s="807">
        <v>12</v>
      </c>
      <c r="J118" s="796">
        <f t="shared" si="20"/>
        <v>1800</v>
      </c>
      <c r="K118" s="914">
        <f t="shared" si="21"/>
        <v>14100</v>
      </c>
      <c r="L118" s="919"/>
      <c r="M118" s="729"/>
      <c r="N118" s="729"/>
      <c r="O118" s="729"/>
      <c r="P118" s="729"/>
      <c r="Q118" s="729"/>
      <c r="R118" s="729"/>
    </row>
    <row r="119" spans="1:18" s="714" customFormat="1" ht="21.3">
      <c r="A119" s="856" t="s">
        <v>1093</v>
      </c>
      <c r="B119" s="720" t="s">
        <v>1357</v>
      </c>
      <c r="C119" s="717"/>
      <c r="D119" s="717"/>
      <c r="E119" s="942"/>
      <c r="F119" s="916"/>
      <c r="G119" s="806"/>
      <c r="H119" s="796"/>
      <c r="I119" s="807"/>
      <c r="J119" s="796"/>
      <c r="K119" s="914"/>
      <c r="L119" s="919"/>
      <c r="M119" s="729"/>
      <c r="N119" s="729"/>
      <c r="O119" s="729"/>
      <c r="P119" s="729"/>
    </row>
    <row r="120" spans="1:18" s="714" customFormat="1" ht="21.3">
      <c r="A120" s="831"/>
      <c r="B120" s="720" t="s">
        <v>1201</v>
      </c>
      <c r="C120" s="717"/>
      <c r="D120" s="717"/>
      <c r="E120" s="917"/>
      <c r="F120" s="794" t="s">
        <v>438</v>
      </c>
      <c r="G120" s="806">
        <v>27</v>
      </c>
      <c r="H120" s="796">
        <f t="shared" ref="H120:H121" si="22">ROUND(E120*G120,)</f>
        <v>0</v>
      </c>
      <c r="I120" s="807">
        <v>22</v>
      </c>
      <c r="J120" s="796">
        <f t="shared" ref="J120:J121" si="23">ROUND(E120*I120,)</f>
        <v>0</v>
      </c>
      <c r="K120" s="1030">
        <f t="shared" ref="K120:K121" si="24">H120+J120</f>
        <v>0</v>
      </c>
      <c r="L120" s="1718" t="s">
        <v>2974</v>
      </c>
      <c r="M120" s="729"/>
      <c r="N120" s="714">
        <v>79.8</v>
      </c>
      <c r="O120" s="714">
        <f>ROUND(N120/3,)</f>
        <v>27</v>
      </c>
      <c r="P120" s="729"/>
    </row>
    <row r="121" spans="1:18" s="714" customFormat="1" ht="21.3">
      <c r="A121" s="831"/>
      <c r="B121" s="720" t="s">
        <v>1237</v>
      </c>
      <c r="C121" s="717"/>
      <c r="D121" s="717"/>
      <c r="E121" s="917">
        <v>1</v>
      </c>
      <c r="F121" s="916" t="s">
        <v>948</v>
      </c>
      <c r="G121" s="806">
        <f>SUM(H120)*15%</f>
        <v>0</v>
      </c>
      <c r="H121" s="796">
        <f t="shared" si="22"/>
        <v>0</v>
      </c>
      <c r="I121" s="807">
        <f>ROUND(G121*0.3,)</f>
        <v>0</v>
      </c>
      <c r="J121" s="796">
        <f t="shared" si="23"/>
        <v>0</v>
      </c>
      <c r="K121" s="914">
        <f t="shared" si="24"/>
        <v>0</v>
      </c>
      <c r="L121" s="919"/>
      <c r="M121" s="729"/>
      <c r="N121" s="729"/>
      <c r="O121" s="729"/>
      <c r="P121" s="729"/>
    </row>
    <row r="122" spans="1:18" s="714" customFormat="1" ht="24" customHeight="1">
      <c r="A122" s="856" t="s">
        <v>1595</v>
      </c>
      <c r="B122" s="720" t="s">
        <v>950</v>
      </c>
      <c r="C122" s="717"/>
      <c r="D122" s="717"/>
      <c r="E122" s="917"/>
      <c r="F122" s="916"/>
      <c r="G122" s="806"/>
      <c r="H122" s="796">
        <f t="shared" si="19"/>
        <v>0</v>
      </c>
      <c r="I122" s="807"/>
      <c r="J122" s="796">
        <f t="shared" si="20"/>
        <v>0</v>
      </c>
      <c r="K122" s="914">
        <f t="shared" si="21"/>
        <v>0</v>
      </c>
      <c r="L122" s="919"/>
      <c r="M122" s="729"/>
      <c r="N122" s="729"/>
      <c r="O122" s="729"/>
      <c r="P122" s="729"/>
      <c r="Q122" s="729"/>
      <c r="R122" s="729"/>
    </row>
    <row r="123" spans="1:18" s="714" customFormat="1" ht="24" customHeight="1">
      <c r="A123" s="831"/>
      <c r="B123" s="720" t="s">
        <v>1184</v>
      </c>
      <c r="C123" s="717"/>
      <c r="D123" s="717"/>
      <c r="E123" s="917">
        <v>150</v>
      </c>
      <c r="F123" s="794" t="s">
        <v>438</v>
      </c>
      <c r="G123" s="806">
        <v>75</v>
      </c>
      <c r="H123" s="796">
        <f t="shared" si="19"/>
        <v>11250</v>
      </c>
      <c r="I123" s="807">
        <v>28</v>
      </c>
      <c r="J123" s="796">
        <f t="shared" si="20"/>
        <v>4200</v>
      </c>
      <c r="K123" s="1030">
        <f t="shared" si="21"/>
        <v>15450</v>
      </c>
      <c r="L123" s="1718" t="s">
        <v>2974</v>
      </c>
      <c r="M123" s="729"/>
      <c r="N123" s="714">
        <v>225</v>
      </c>
      <c r="O123" s="714">
        <f>ROUND(N123/3,)</f>
        <v>75</v>
      </c>
      <c r="P123" s="729"/>
      <c r="Q123" s="729"/>
    </row>
    <row r="124" spans="1:18" s="714" customFormat="1" ht="24" customHeight="1">
      <c r="A124" s="831"/>
      <c r="B124" s="720" t="s">
        <v>952</v>
      </c>
      <c r="C124" s="717"/>
      <c r="D124" s="717"/>
      <c r="E124" s="917">
        <v>1</v>
      </c>
      <c r="F124" s="916" t="s">
        <v>948</v>
      </c>
      <c r="G124" s="806">
        <f>ROUND(SUM(H123)*15%,)</f>
        <v>1688</v>
      </c>
      <c r="H124" s="796">
        <f t="shared" si="19"/>
        <v>1688</v>
      </c>
      <c r="I124" s="807">
        <f>ROUND(G124*0.3,)</f>
        <v>506</v>
      </c>
      <c r="J124" s="796">
        <f t="shared" si="20"/>
        <v>506</v>
      </c>
      <c r="K124" s="914">
        <f t="shared" si="21"/>
        <v>2194</v>
      </c>
      <c r="L124" s="919"/>
      <c r="M124" s="729"/>
      <c r="N124" s="729"/>
      <c r="O124" s="729"/>
      <c r="P124" s="729"/>
      <c r="Q124" s="729"/>
      <c r="R124" s="729"/>
    </row>
    <row r="125" spans="1:18" s="714" customFormat="1" ht="24" customHeight="1">
      <c r="A125" s="856" t="s">
        <v>2922</v>
      </c>
      <c r="B125" s="720" t="s">
        <v>1281</v>
      </c>
      <c r="C125" s="717"/>
      <c r="D125" s="717"/>
      <c r="E125" s="917"/>
      <c r="F125" s="916"/>
      <c r="G125" s="806"/>
      <c r="H125" s="796">
        <f t="shared" si="19"/>
        <v>0</v>
      </c>
      <c r="I125" s="807"/>
      <c r="J125" s="796">
        <f t="shared" si="20"/>
        <v>0</v>
      </c>
      <c r="K125" s="914">
        <f t="shared" si="21"/>
        <v>0</v>
      </c>
      <c r="L125" s="919"/>
      <c r="M125" s="729"/>
      <c r="N125" s="729"/>
      <c r="O125" s="729"/>
      <c r="P125" s="729"/>
      <c r="Q125" s="729"/>
      <c r="R125" s="729"/>
    </row>
    <row r="126" spans="1:18" s="714" customFormat="1" ht="24" customHeight="1">
      <c r="A126" s="831"/>
      <c r="B126" s="720" t="s">
        <v>1201</v>
      </c>
      <c r="C126" s="717"/>
      <c r="D126" s="717"/>
      <c r="E126" s="917"/>
      <c r="F126" s="794" t="s">
        <v>438</v>
      </c>
      <c r="G126" s="806">
        <v>14</v>
      </c>
      <c r="H126" s="796">
        <f t="shared" si="19"/>
        <v>0</v>
      </c>
      <c r="I126" s="807">
        <v>11</v>
      </c>
      <c r="J126" s="796">
        <f t="shared" si="20"/>
        <v>0</v>
      </c>
      <c r="K126" s="914">
        <f t="shared" si="21"/>
        <v>0</v>
      </c>
      <c r="L126" s="919"/>
      <c r="M126" s="729"/>
      <c r="N126" s="729"/>
      <c r="O126" s="729"/>
      <c r="P126" s="729"/>
      <c r="Q126" s="729"/>
      <c r="R126" s="729"/>
    </row>
    <row r="127" spans="1:18" s="714" customFormat="1" ht="24" customHeight="1">
      <c r="A127" s="831"/>
      <c r="B127" s="720" t="s">
        <v>957</v>
      </c>
      <c r="C127" s="717"/>
      <c r="D127" s="717"/>
      <c r="E127" s="917"/>
      <c r="F127" s="916"/>
      <c r="G127" s="806"/>
      <c r="H127" s="918"/>
      <c r="I127" s="807"/>
      <c r="J127" s="919"/>
      <c r="K127" s="919"/>
      <c r="L127" s="919"/>
      <c r="M127" s="729"/>
      <c r="N127" s="729"/>
      <c r="O127" s="729"/>
      <c r="P127" s="729"/>
      <c r="Q127" s="729"/>
      <c r="R127" s="729"/>
    </row>
    <row r="128" spans="1:18" s="714" customFormat="1" ht="24" customHeight="1">
      <c r="A128" s="831"/>
      <c r="B128" s="720" t="s">
        <v>1239</v>
      </c>
      <c r="C128" s="717"/>
      <c r="D128" s="717"/>
      <c r="E128" s="917"/>
      <c r="F128" s="722"/>
      <c r="G128" s="806"/>
      <c r="H128" s="918"/>
      <c r="I128" s="807"/>
      <c r="J128" s="919"/>
      <c r="K128" s="919"/>
      <c r="L128" s="919"/>
      <c r="M128" s="729"/>
      <c r="N128" s="729"/>
      <c r="O128" s="729"/>
      <c r="P128" s="729"/>
      <c r="Q128" s="729"/>
      <c r="R128" s="729"/>
    </row>
    <row r="129" spans="1:18" s="714" customFormat="1" ht="24" customHeight="1">
      <c r="A129" s="831"/>
      <c r="B129" s="720" t="s">
        <v>1239</v>
      </c>
      <c r="C129" s="717"/>
      <c r="D129" s="717"/>
      <c r="E129" s="917"/>
      <c r="F129" s="916"/>
      <c r="G129" s="806"/>
      <c r="H129" s="918"/>
      <c r="I129" s="807"/>
      <c r="J129" s="919"/>
      <c r="K129" s="919"/>
      <c r="L129" s="919"/>
      <c r="M129" s="729"/>
      <c r="N129" s="729"/>
      <c r="O129" s="729"/>
      <c r="P129" s="729"/>
      <c r="Q129" s="729"/>
      <c r="R129" s="729"/>
    </row>
    <row r="130" spans="1:18" s="714" customFormat="1" ht="24" customHeight="1">
      <c r="A130" s="775"/>
      <c r="B130" s="2475" t="str">
        <f>"รวมราคารายการที่ "&amp;A100</f>
        <v>รวมราคารายการที่ 3.5</v>
      </c>
      <c r="C130" s="2476"/>
      <c r="D130" s="2477"/>
      <c r="E130" s="776"/>
      <c r="F130" s="777"/>
      <c r="G130" s="959"/>
      <c r="H130" s="960">
        <f>SUM(H101:H129)</f>
        <v>52638</v>
      </c>
      <c r="I130" s="959"/>
      <c r="J130" s="960">
        <f t="shared" ref="J130:K130" si="25">SUM(J101:J129)</f>
        <v>9056</v>
      </c>
      <c r="K130" s="960">
        <f t="shared" si="25"/>
        <v>61694</v>
      </c>
      <c r="L130" s="777"/>
      <c r="M130" s="729"/>
      <c r="N130" s="729"/>
      <c r="O130" s="729"/>
      <c r="P130" s="729"/>
      <c r="Q130" s="729"/>
      <c r="R130" s="729"/>
    </row>
    <row r="131" spans="1:18" s="714" customFormat="1" ht="24" customHeight="1">
      <c r="A131" s="899">
        <v>3.6</v>
      </c>
      <c r="B131" s="900" t="s">
        <v>1358</v>
      </c>
      <c r="C131" s="943"/>
      <c r="D131" s="943"/>
      <c r="E131" s="944"/>
      <c r="F131" s="978"/>
      <c r="G131" s="774"/>
      <c r="H131" s="773"/>
      <c r="I131" s="946"/>
      <c r="J131" s="947"/>
      <c r="K131" s="947"/>
      <c r="L131" s="947"/>
    </row>
    <row r="132" spans="1:18" s="714" customFormat="1" ht="24" customHeight="1">
      <c r="A132" s="976" t="s">
        <v>1032</v>
      </c>
      <c r="B132" s="800" t="s">
        <v>1359</v>
      </c>
      <c r="C132" s="757"/>
      <c r="D132" s="757"/>
      <c r="E132" s="979"/>
      <c r="F132" s="980"/>
      <c r="G132" s="981"/>
      <c r="H132" s="982"/>
      <c r="I132" s="983"/>
      <c r="J132" s="982"/>
      <c r="K132" s="984"/>
      <c r="L132" s="973"/>
    </row>
    <row r="133" spans="1:18" s="714" customFormat="1" ht="21.3">
      <c r="A133" s="861"/>
      <c r="B133" s="800" t="s">
        <v>1596</v>
      </c>
      <c r="C133" s="757"/>
      <c r="D133" s="757"/>
      <c r="E133" s="942">
        <v>1</v>
      </c>
      <c r="F133" s="803" t="s">
        <v>240</v>
      </c>
      <c r="G133" s="752">
        <v>81070</v>
      </c>
      <c r="H133" s="751">
        <f t="shared" ref="H133:H134" si="26">ROUND(E133*G133,)</f>
        <v>81070</v>
      </c>
      <c r="I133" s="949">
        <f>G133*0.1</f>
        <v>8107</v>
      </c>
      <c r="J133" s="973">
        <f>ROUND(E133*I133,)</f>
        <v>8107</v>
      </c>
      <c r="K133" s="973">
        <f t="shared" ref="K133:K134" si="27">H133+J133</f>
        <v>89177</v>
      </c>
      <c r="L133" s="973"/>
    </row>
    <row r="134" spans="1:18" s="714" customFormat="1" ht="21.3">
      <c r="A134" s="861"/>
      <c r="B134" s="800" t="s">
        <v>1597</v>
      </c>
      <c r="C134" s="757"/>
      <c r="D134" s="757"/>
      <c r="E134" s="942">
        <v>1</v>
      </c>
      <c r="F134" s="803" t="s">
        <v>240</v>
      </c>
      <c r="G134" s="752">
        <v>81070</v>
      </c>
      <c r="H134" s="751">
        <f t="shared" si="26"/>
        <v>81070</v>
      </c>
      <c r="I134" s="949">
        <f>G134*0.1</f>
        <v>8107</v>
      </c>
      <c r="J134" s="973">
        <f>ROUND(E134*I134,)</f>
        <v>8107</v>
      </c>
      <c r="K134" s="973">
        <f t="shared" si="27"/>
        <v>89177</v>
      </c>
      <c r="L134" s="973"/>
    </row>
    <row r="135" spans="1:18" s="714" customFormat="1" ht="21.3">
      <c r="A135" s="976" t="s">
        <v>1598</v>
      </c>
      <c r="B135" s="800" t="s">
        <v>1363</v>
      </c>
      <c r="C135" s="757"/>
      <c r="D135" s="757"/>
      <c r="E135" s="979"/>
      <c r="F135" s="980"/>
      <c r="G135" s="981"/>
      <c r="H135" s="982"/>
      <c r="I135" s="983"/>
      <c r="J135" s="982"/>
      <c r="K135" s="984"/>
      <c r="L135" s="973"/>
    </row>
    <row r="136" spans="1:18" s="714" customFormat="1" ht="21.3">
      <c r="A136" s="861"/>
      <c r="B136" s="800" t="s">
        <v>1599</v>
      </c>
      <c r="C136" s="757"/>
      <c r="D136" s="757"/>
      <c r="E136" s="942"/>
      <c r="F136" s="803" t="s">
        <v>240</v>
      </c>
      <c r="G136" s="752">
        <v>3500</v>
      </c>
      <c r="H136" s="751">
        <f t="shared" ref="H136:H137" si="28">ROUND(E136*G136,)</f>
        <v>0</v>
      </c>
      <c r="I136" s="949">
        <f>G136*0.1</f>
        <v>350</v>
      </c>
      <c r="J136" s="973">
        <f>ROUND(E136*I136,)</f>
        <v>0</v>
      </c>
      <c r="K136" s="973">
        <f t="shared" ref="K136:K137" si="29">H136+J136</f>
        <v>0</v>
      </c>
      <c r="L136" s="973"/>
    </row>
    <row r="137" spans="1:18" s="714" customFormat="1" ht="21.3">
      <c r="A137" s="861"/>
      <c r="B137" s="800" t="s">
        <v>1600</v>
      </c>
      <c r="C137" s="757"/>
      <c r="D137" s="757"/>
      <c r="E137" s="942"/>
      <c r="F137" s="803" t="s">
        <v>240</v>
      </c>
      <c r="G137" s="752">
        <v>3500</v>
      </c>
      <c r="H137" s="751">
        <f t="shared" si="28"/>
        <v>0</v>
      </c>
      <c r="I137" s="949">
        <f t="shared" ref="I137" si="30">G137*0.1</f>
        <v>350</v>
      </c>
      <c r="J137" s="973">
        <f t="shared" ref="J137" si="31">ROUND(E137*I137,)</f>
        <v>0</v>
      </c>
      <c r="K137" s="973">
        <f t="shared" si="29"/>
        <v>0</v>
      </c>
      <c r="L137" s="973"/>
    </row>
    <row r="138" spans="1:18">
      <c r="A138" s="976" t="s">
        <v>1601</v>
      </c>
      <c r="B138" s="800" t="s">
        <v>1159</v>
      </c>
      <c r="C138" s="757"/>
      <c r="D138" s="757"/>
      <c r="E138" s="942"/>
      <c r="F138" s="948"/>
      <c r="G138" s="752"/>
      <c r="H138" s="751"/>
      <c r="I138" s="949"/>
      <c r="J138" s="973"/>
      <c r="K138" s="973"/>
      <c r="L138" s="973"/>
    </row>
    <row r="139" spans="1:18">
      <c r="A139" s="861"/>
      <c r="B139" s="800" t="s">
        <v>1367</v>
      </c>
      <c r="C139" s="757"/>
      <c r="D139" s="757"/>
      <c r="E139" s="942">
        <v>200</v>
      </c>
      <c r="F139" s="867" t="s">
        <v>438</v>
      </c>
      <c r="G139" s="752">
        <v>103</v>
      </c>
      <c r="H139" s="751">
        <f>ROUND(E139*G139,)</f>
        <v>20600</v>
      </c>
      <c r="I139" s="949">
        <v>21</v>
      </c>
      <c r="J139" s="973">
        <f>ROUND(E139*I139,)</f>
        <v>4200</v>
      </c>
      <c r="K139" s="973">
        <f>H139+J139</f>
        <v>24800</v>
      </c>
      <c r="L139" s="973"/>
    </row>
    <row r="140" spans="1:18">
      <c r="A140" s="861"/>
      <c r="B140" s="800" t="s">
        <v>1368</v>
      </c>
      <c r="C140" s="757"/>
      <c r="D140" s="757"/>
      <c r="E140" s="942">
        <v>158</v>
      </c>
      <c r="F140" s="867" t="s">
        <v>438</v>
      </c>
      <c r="G140" s="752">
        <v>139</v>
      </c>
      <c r="H140" s="751">
        <f>ROUND(E140*G140,)</f>
        <v>21962</v>
      </c>
      <c r="I140" s="949">
        <v>21</v>
      </c>
      <c r="J140" s="973">
        <f>ROUND(E140*I140,)</f>
        <v>3318</v>
      </c>
      <c r="K140" s="973">
        <f>H140+J140</f>
        <v>25280</v>
      </c>
      <c r="L140" s="973"/>
    </row>
    <row r="141" spans="1:18">
      <c r="A141" s="861"/>
      <c r="B141" s="800" t="s">
        <v>1338</v>
      </c>
      <c r="C141" s="757"/>
      <c r="D141" s="757"/>
      <c r="E141" s="942">
        <v>1</v>
      </c>
      <c r="F141" s="948" t="s">
        <v>948</v>
      </c>
      <c r="G141" s="752">
        <f>ROUND(SUM(H139:H140)*5%,)</f>
        <v>2128</v>
      </c>
      <c r="H141" s="864">
        <f t="shared" ref="H141" si="32">ROUND(E141*G141,)</f>
        <v>2128</v>
      </c>
      <c r="I141" s="949">
        <f>ROUND(G141*0.3,)</f>
        <v>638</v>
      </c>
      <c r="J141" s="864">
        <f t="shared" ref="J141" si="33">ROUND(E141*I141,)</f>
        <v>638</v>
      </c>
      <c r="K141" s="867">
        <f t="shared" ref="K141" si="34">H141+J141</f>
        <v>2766</v>
      </c>
      <c r="L141" s="973"/>
    </row>
    <row r="142" spans="1:18">
      <c r="A142" s="861" t="s">
        <v>1602</v>
      </c>
      <c r="B142" s="800" t="s">
        <v>1252</v>
      </c>
      <c r="C142" s="757"/>
      <c r="D142" s="757"/>
      <c r="E142" s="942"/>
      <c r="F142" s="948"/>
      <c r="G142" s="752"/>
      <c r="H142" s="864"/>
      <c r="I142" s="949"/>
      <c r="J142" s="864"/>
      <c r="K142" s="867"/>
      <c r="L142" s="985"/>
    </row>
    <row r="143" spans="1:18">
      <c r="A143" s="861"/>
      <c r="B143" s="800" t="s">
        <v>1193</v>
      </c>
      <c r="C143" s="757"/>
      <c r="D143" s="757"/>
      <c r="E143" s="942">
        <v>80</v>
      </c>
      <c r="F143" s="867" t="s">
        <v>438</v>
      </c>
      <c r="G143" s="752">
        <v>316</v>
      </c>
      <c r="H143" s="864">
        <f t="shared" ref="H143" si="35">ROUND(E143*G143,)</f>
        <v>25280</v>
      </c>
      <c r="I143" s="949">
        <v>50</v>
      </c>
      <c r="J143" s="864">
        <f t="shared" ref="J143:J144" si="36">ROUND(E143*I143,)</f>
        <v>4000</v>
      </c>
      <c r="K143" s="867">
        <f t="shared" ref="K143:K144" si="37">H143+J143</f>
        <v>29280</v>
      </c>
      <c r="L143" s="985"/>
    </row>
    <row r="144" spans="1:18">
      <c r="A144" s="861"/>
      <c r="B144" s="800" t="s">
        <v>1237</v>
      </c>
      <c r="C144" s="757"/>
      <c r="D144" s="757"/>
      <c r="E144" s="942">
        <v>1</v>
      </c>
      <c r="F144" s="948" t="s">
        <v>948</v>
      </c>
      <c r="G144" s="752">
        <f>SUM(H143)*15%</f>
        <v>3792</v>
      </c>
      <c r="H144" s="864">
        <f t="shared" ref="H144" si="38">ROUND(G144*E144,)</f>
        <v>3792</v>
      </c>
      <c r="I144" s="949">
        <f>ROUND(G144*0.3,)</f>
        <v>1138</v>
      </c>
      <c r="J144" s="864">
        <f t="shared" si="36"/>
        <v>1138</v>
      </c>
      <c r="K144" s="867">
        <f t="shared" si="37"/>
        <v>4930</v>
      </c>
      <c r="L144" s="985"/>
    </row>
    <row r="145" spans="1:18">
      <c r="A145" s="861"/>
      <c r="B145" s="800" t="s">
        <v>957</v>
      </c>
      <c r="C145" s="757"/>
      <c r="D145" s="757"/>
      <c r="E145" s="942"/>
      <c r="F145" s="948"/>
      <c r="G145" s="752"/>
      <c r="H145" s="751"/>
      <c r="I145" s="949"/>
      <c r="J145" s="973"/>
      <c r="K145" s="973"/>
      <c r="L145" s="973"/>
    </row>
    <row r="146" spans="1:18" s="714" customFormat="1" ht="21.3">
      <c r="A146" s="831"/>
      <c r="B146" s="720" t="s">
        <v>1239</v>
      </c>
      <c r="C146" s="717"/>
      <c r="D146" s="717"/>
      <c r="E146" s="917"/>
      <c r="F146" s="722"/>
      <c r="G146" s="806"/>
      <c r="H146" s="918"/>
      <c r="I146" s="807"/>
      <c r="J146" s="919"/>
      <c r="K146" s="919"/>
      <c r="L146" s="919"/>
      <c r="M146" s="729"/>
      <c r="N146" s="729"/>
      <c r="O146" s="729"/>
      <c r="P146" s="729"/>
      <c r="Q146" s="729"/>
      <c r="R146" s="729"/>
    </row>
    <row r="147" spans="1:18" s="714" customFormat="1" ht="21.3">
      <c r="A147" s="831"/>
      <c r="B147" s="720" t="s">
        <v>1239</v>
      </c>
      <c r="C147" s="717"/>
      <c r="D147" s="717"/>
      <c r="E147" s="917"/>
      <c r="F147" s="916"/>
      <c r="G147" s="806"/>
      <c r="H147" s="918"/>
      <c r="I147" s="807"/>
      <c r="J147" s="919"/>
      <c r="K147" s="919"/>
      <c r="L147" s="919"/>
      <c r="M147" s="729"/>
      <c r="N147" s="729"/>
      <c r="O147" s="729"/>
      <c r="P147" s="729"/>
      <c r="Q147" s="729"/>
      <c r="R147" s="729"/>
    </row>
    <row r="148" spans="1:18" s="714" customFormat="1" ht="21.3">
      <c r="A148" s="921"/>
      <c r="B148" s="705"/>
      <c r="C148" s="761"/>
      <c r="D148" s="761"/>
      <c r="E148" s="923"/>
      <c r="F148" s="924"/>
      <c r="G148" s="925"/>
      <c r="H148" s="926"/>
      <c r="I148" s="927"/>
      <c r="J148" s="928"/>
      <c r="K148" s="928"/>
      <c r="L148" s="928"/>
      <c r="M148" s="729"/>
      <c r="N148" s="729"/>
      <c r="O148" s="729"/>
      <c r="P148" s="729"/>
      <c r="Q148" s="729"/>
      <c r="R148" s="729"/>
    </row>
    <row r="149" spans="1:18" s="714" customFormat="1" ht="21.3">
      <c r="A149" s="921"/>
      <c r="B149" s="705"/>
      <c r="C149" s="761"/>
      <c r="D149" s="761"/>
      <c r="E149" s="923"/>
      <c r="F149" s="924"/>
      <c r="G149" s="925"/>
      <c r="H149" s="926"/>
      <c r="I149" s="927"/>
      <c r="J149" s="928"/>
      <c r="K149" s="928"/>
      <c r="L149" s="928"/>
      <c r="M149" s="729"/>
      <c r="N149" s="729"/>
      <c r="O149" s="729"/>
      <c r="P149" s="729"/>
      <c r="Q149" s="729"/>
      <c r="R149" s="729"/>
    </row>
    <row r="150" spans="1:18" s="714" customFormat="1" ht="21.3">
      <c r="A150" s="921"/>
      <c r="B150" s="705"/>
      <c r="C150" s="761"/>
      <c r="D150" s="761"/>
      <c r="E150" s="923"/>
      <c r="F150" s="924"/>
      <c r="G150" s="925"/>
      <c r="H150" s="926"/>
      <c r="I150" s="927"/>
      <c r="J150" s="928"/>
      <c r="K150" s="928"/>
      <c r="L150" s="928"/>
      <c r="M150" s="729"/>
      <c r="N150" s="729"/>
      <c r="O150" s="729"/>
      <c r="P150" s="729"/>
      <c r="Q150" s="729"/>
      <c r="R150" s="729"/>
    </row>
    <row r="151" spans="1:18" s="714" customFormat="1" ht="21.3">
      <c r="A151" s="921"/>
      <c r="B151" s="705"/>
      <c r="C151" s="761"/>
      <c r="D151" s="761"/>
      <c r="E151" s="923"/>
      <c r="F151" s="924"/>
      <c r="G151" s="925"/>
      <c r="H151" s="926"/>
      <c r="I151" s="927"/>
      <c r="J151" s="928"/>
      <c r="K151" s="928"/>
      <c r="L151" s="928"/>
      <c r="M151" s="729"/>
      <c r="N151" s="729"/>
      <c r="O151" s="729"/>
      <c r="P151" s="729"/>
      <c r="Q151" s="729"/>
      <c r="R151" s="729"/>
    </row>
    <row r="152" spans="1:18" s="714" customFormat="1" ht="21.3">
      <c r="A152" s="921"/>
      <c r="B152" s="705"/>
      <c r="C152" s="761"/>
      <c r="D152" s="761"/>
      <c r="E152" s="923"/>
      <c r="F152" s="924"/>
      <c r="G152" s="925"/>
      <c r="H152" s="926"/>
      <c r="I152" s="927"/>
      <c r="J152" s="928"/>
      <c r="K152" s="928"/>
      <c r="L152" s="928"/>
      <c r="M152" s="729"/>
      <c r="N152" s="729"/>
      <c r="O152" s="729"/>
      <c r="P152" s="729"/>
      <c r="Q152" s="729"/>
      <c r="R152" s="729"/>
    </row>
    <row r="153" spans="1:18" s="714" customFormat="1" ht="21.3">
      <c r="A153" s="921"/>
      <c r="B153" s="705"/>
      <c r="C153" s="761"/>
      <c r="D153" s="761"/>
      <c r="E153" s="923"/>
      <c r="F153" s="924"/>
      <c r="G153" s="925"/>
      <c r="H153" s="926"/>
      <c r="I153" s="927"/>
      <c r="J153" s="928"/>
      <c r="K153" s="928"/>
      <c r="L153" s="928"/>
      <c r="M153" s="729"/>
      <c r="N153" s="729"/>
      <c r="O153" s="729"/>
      <c r="P153" s="729"/>
      <c r="Q153" s="729"/>
      <c r="R153" s="729"/>
    </row>
    <row r="154" spans="1:18">
      <c r="A154" s="1106"/>
      <c r="B154" s="1107"/>
      <c r="C154" s="1108"/>
      <c r="D154" s="1108"/>
      <c r="E154" s="1109"/>
      <c r="F154" s="1110"/>
      <c r="G154" s="1111"/>
      <c r="H154" s="1112"/>
      <c r="I154" s="1113"/>
      <c r="J154" s="1114"/>
      <c r="K154" s="1114"/>
      <c r="L154" s="1114"/>
    </row>
    <row r="155" spans="1:18">
      <c r="A155" s="775"/>
      <c r="B155" s="2475" t="str">
        <f>"รวมราคารายการที่ "&amp;A131</f>
        <v>รวมราคารายการที่ 3.6</v>
      </c>
      <c r="C155" s="2476"/>
      <c r="D155" s="2477"/>
      <c r="E155" s="776"/>
      <c r="F155" s="777"/>
      <c r="G155" s="959"/>
      <c r="H155" s="960">
        <f>SUM(H132:H145)</f>
        <v>235902</v>
      </c>
      <c r="I155" s="959"/>
      <c r="J155" s="960">
        <f t="shared" ref="J155:K155" si="39">SUM(J132:J145)</f>
        <v>29508</v>
      </c>
      <c r="K155" s="960">
        <f t="shared" si="39"/>
        <v>265410</v>
      </c>
      <c r="L155" s="777"/>
    </row>
  </sheetData>
  <mergeCells count="15">
    <mergeCell ref="B155:D155"/>
    <mergeCell ref="B34:D34"/>
    <mergeCell ref="B43:D43"/>
    <mergeCell ref="B58:D58"/>
    <mergeCell ref="B73:D73"/>
    <mergeCell ref="B99:D99"/>
    <mergeCell ref="B130:D130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ดาดฟ้า-อาคารสนับนุน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CB91D-D86A-4CD1-BE63-7991084FA6E3}">
  <sheetPr>
    <tabColor rgb="FF92D050"/>
  </sheetPr>
  <dimension ref="A1:U32"/>
  <sheetViews>
    <sheetView tabSelected="1" view="pageBreakPreview" zoomScale="55" zoomScaleNormal="100" zoomScaleSheetLayoutView="5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15.703125" style="1" customWidth="1"/>
    <col min="13" max="13" width="20" style="1" customWidth="1"/>
    <col min="14" max="99" width="7.703125" style="1" customWidth="1"/>
    <col min="100" max="16384" width="9" style="1"/>
  </cols>
  <sheetData>
    <row r="1" spans="1:13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3" ht="25.15" customHeight="1">
      <c r="A2" s="42" t="s">
        <v>2</v>
      </c>
      <c r="B2" s="33"/>
      <c r="C2" s="34"/>
      <c r="D2" s="11" t="s">
        <v>1603</v>
      </c>
      <c r="E2" s="34"/>
      <c r="F2" s="12"/>
      <c r="G2" s="12"/>
      <c r="H2" s="12"/>
      <c r="I2" s="12"/>
      <c r="J2" s="13"/>
      <c r="K2" s="12"/>
      <c r="L2" s="14"/>
    </row>
    <row r="3" spans="1:13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3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3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3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3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84" t="s">
        <v>7</v>
      </c>
    </row>
    <row r="8" spans="1:13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85"/>
    </row>
    <row r="9" spans="1:13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80" t="s">
        <v>15</v>
      </c>
    </row>
    <row r="10" spans="1:13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81"/>
    </row>
    <row r="11" spans="1:13" ht="24" customHeight="1">
      <c r="A11" s="1115" t="s">
        <v>27</v>
      </c>
      <c r="B11" s="1116" t="s">
        <v>28</v>
      </c>
      <c r="C11" s="1117"/>
      <c r="D11" s="1118"/>
      <c r="E11" s="694"/>
      <c r="F11" s="695"/>
      <c r="G11" s="696"/>
      <c r="H11" s="697"/>
      <c r="I11" s="698"/>
      <c r="J11" s="697"/>
      <c r="K11" s="699"/>
      <c r="L11" s="953"/>
    </row>
    <row r="12" spans="1:13" ht="24" customHeight="1">
      <c r="A12" s="1119"/>
      <c r="B12" s="1120"/>
      <c r="C12" s="1121"/>
      <c r="D12" s="1122"/>
      <c r="E12" s="694"/>
      <c r="F12" s="695"/>
      <c r="G12" s="696"/>
      <c r="H12" s="697"/>
      <c r="I12" s="698"/>
      <c r="J12" s="697"/>
      <c r="K12" s="699"/>
      <c r="L12" s="953"/>
    </row>
    <row r="13" spans="1:13" s="714" customFormat="1" ht="24" customHeight="1">
      <c r="A13" s="704">
        <v>1</v>
      </c>
      <c r="B13" s="705" t="str">
        <f>'04.TV.ศูนย์ประชุม (Main)'!B11</f>
        <v>ระบบโทรทัศน์วงจรปิด (Closed Circuit TV System) Main Equipment</v>
      </c>
      <c r="C13" s="706"/>
      <c r="D13" s="707"/>
      <c r="E13" s="708">
        <v>1</v>
      </c>
      <c r="F13" s="709" t="s">
        <v>19</v>
      </c>
      <c r="G13" s="710"/>
      <c r="H13" s="711">
        <f>'04.TV.ศูนย์ประชุม (Main)'!H34</f>
        <v>717306</v>
      </c>
      <c r="I13" s="712"/>
      <c r="J13" s="711">
        <f>'04.TV.ศูนย์ประชุม (Main)'!J34</f>
        <v>196008</v>
      </c>
      <c r="K13" s="711">
        <f>'04.TV.ศูนย์ประชุม (Main)'!K34</f>
        <v>913314</v>
      </c>
      <c r="L13" s="1024"/>
      <c r="M13" s="715"/>
    </row>
    <row r="14" spans="1:13" s="714" customFormat="1" ht="24" customHeight="1">
      <c r="A14" s="704">
        <v>2</v>
      </c>
      <c r="B14" s="720" t="str">
        <f>'04.TV.ศูนย์ประชุม (B2)'!B11</f>
        <v>ระบบโทรทัศน์วงจรปิด (Closed Circuit TV System) ชั้น B2</v>
      </c>
      <c r="C14" s="716"/>
      <c r="D14" s="990"/>
      <c r="E14" s="708">
        <v>1</v>
      </c>
      <c r="F14" s="709" t="s">
        <v>19</v>
      </c>
      <c r="G14" s="710"/>
      <c r="H14" s="711">
        <f>'04.TV.ศูนย์ประชุม (B2)'!H34</f>
        <v>1634675</v>
      </c>
      <c r="I14" s="712"/>
      <c r="J14" s="711">
        <f>'04.TV.ศูนย์ประชุม (B2)'!J34</f>
        <v>60323</v>
      </c>
      <c r="K14" s="711">
        <f>'04.TV.ศูนย์ประชุม (B2)'!K34</f>
        <v>1694998</v>
      </c>
      <c r="L14" s="1024"/>
      <c r="M14" s="715"/>
    </row>
    <row r="15" spans="1:13" s="714" customFormat="1" ht="24" customHeight="1">
      <c r="A15" s="704">
        <v>3</v>
      </c>
      <c r="B15" s="720" t="str">
        <f>'04.TV.ศูนย์ประชุม (B1)'!B11</f>
        <v>ระบบโทรทัศน์วงจรปิด (Closed Circuit TV System) ชั้น B1</v>
      </c>
      <c r="C15" s="717"/>
      <c r="D15" s="718"/>
      <c r="E15" s="708">
        <v>1</v>
      </c>
      <c r="F15" s="709" t="s">
        <v>19</v>
      </c>
      <c r="G15" s="710"/>
      <c r="H15" s="711">
        <f>'04.TV.ศูนย์ประชุม (B1)'!H34</f>
        <v>1629500</v>
      </c>
      <c r="I15" s="712"/>
      <c r="J15" s="711">
        <f>'04.TV.ศูนย์ประชุม (B1)'!J34</f>
        <v>60120</v>
      </c>
      <c r="K15" s="711">
        <f>'04.TV.ศูนย์ประชุม (B1)'!K34</f>
        <v>1689620</v>
      </c>
      <c r="L15" s="1024"/>
      <c r="M15" s="715"/>
    </row>
    <row r="16" spans="1:13" s="714" customFormat="1" ht="24" customHeight="1">
      <c r="A16" s="704">
        <v>4</v>
      </c>
      <c r="B16" s="720" t="str">
        <f>'04.TV.ศูนย์ประชุม (1FL)'!B11</f>
        <v>ระบบโทรทัศน์วงจรปิด (Closed Circuit TV System) ชั้น 1</v>
      </c>
      <c r="C16" s="717"/>
      <c r="D16" s="718"/>
      <c r="E16" s="708">
        <v>1</v>
      </c>
      <c r="F16" s="709" t="s">
        <v>19</v>
      </c>
      <c r="G16" s="710"/>
      <c r="H16" s="711">
        <f>'04.TV.ศูนย์ประชุม (1FL)'!H34</f>
        <v>757285</v>
      </c>
      <c r="I16" s="712"/>
      <c r="J16" s="711">
        <f>'04.TV.ศูนย์ประชุม (1FL)'!J34</f>
        <v>52680</v>
      </c>
      <c r="K16" s="711">
        <f>'04.TV.ศูนย์ประชุม (1FL)'!K34</f>
        <v>809965</v>
      </c>
      <c r="L16" s="1024"/>
      <c r="M16" s="715"/>
    </row>
    <row r="17" spans="1:21" s="714" customFormat="1" ht="24" customHeight="1">
      <c r="A17" s="704">
        <v>5</v>
      </c>
      <c r="B17" s="720" t="str">
        <f>'04.TV.ศูนย์ประชุม (2FL)'!B11</f>
        <v>ระบบโทรทัศน์วงจรปิด (Closed Circuit TV System) ชั้น 2</v>
      </c>
      <c r="C17" s="717"/>
      <c r="D17" s="718"/>
      <c r="E17" s="708">
        <v>1</v>
      </c>
      <c r="F17" s="709" t="s">
        <v>19</v>
      </c>
      <c r="G17" s="710"/>
      <c r="H17" s="711">
        <f>'04.TV.ศูนย์ประชุม (2FL)'!H34</f>
        <v>757285</v>
      </c>
      <c r="I17" s="712"/>
      <c r="J17" s="711">
        <f>'04.TV.ศูนย์ประชุม (2FL)'!J34</f>
        <v>52680</v>
      </c>
      <c r="K17" s="711">
        <f>'04.TV.ศูนย์ประชุม (2FL)'!K34</f>
        <v>809965</v>
      </c>
      <c r="L17" s="1024"/>
      <c r="M17" s="715"/>
    </row>
    <row r="18" spans="1:21" s="714" customFormat="1" ht="24" customHeight="1">
      <c r="A18" s="704">
        <v>6</v>
      </c>
      <c r="B18" s="720" t="str">
        <f>'04.TV.ศูนย์ประชุม (3FL)'!B11</f>
        <v>ระบบโทรทัศน์วงจรปิด (Closed Circuit TV System) ชั้น 3</v>
      </c>
      <c r="C18" s="717"/>
      <c r="D18" s="718"/>
      <c r="E18" s="708">
        <v>1</v>
      </c>
      <c r="F18" s="709" t="s">
        <v>19</v>
      </c>
      <c r="G18" s="710"/>
      <c r="H18" s="711">
        <f>'04.TV.ศูนย์ประชุม (3FL)'!H34</f>
        <v>757285</v>
      </c>
      <c r="I18" s="712"/>
      <c r="J18" s="711">
        <f>'04.TV.ศูนย์ประชุม (3FL)'!J34</f>
        <v>52680</v>
      </c>
      <c r="K18" s="711">
        <f>'04.TV.ศูนย์ประชุม (3FL)'!K34</f>
        <v>809965</v>
      </c>
      <c r="L18" s="1024"/>
      <c r="M18" s="715"/>
    </row>
    <row r="19" spans="1:21" s="714" customFormat="1" ht="24" customHeight="1">
      <c r="A19" s="704">
        <v>7</v>
      </c>
      <c r="B19" s="720" t="str">
        <f>'04.TV.ศูนย์ประชุม (4FL)'!B11</f>
        <v>ระบบโทรทัศน์วงจรปิด (Closed Circuit TV System) ชั้น 4</v>
      </c>
      <c r="C19" s="717"/>
      <c r="D19" s="718"/>
      <c r="E19" s="708">
        <v>1</v>
      </c>
      <c r="F19" s="709" t="s">
        <v>19</v>
      </c>
      <c r="G19" s="710"/>
      <c r="H19" s="711">
        <f>'04.TV.ศูนย์ประชุม (4FL)'!H34</f>
        <v>707760</v>
      </c>
      <c r="I19" s="712"/>
      <c r="J19" s="711">
        <f>'04.TV.ศูนย์ประชุม (4FL)'!J34</f>
        <v>48858</v>
      </c>
      <c r="K19" s="711">
        <f>'04.TV.ศูนย์ประชุม (4FL)'!K34</f>
        <v>756618</v>
      </c>
      <c r="L19" s="1024"/>
      <c r="M19" s="715"/>
    </row>
    <row r="20" spans="1:21" s="714" customFormat="1" ht="24" customHeight="1">
      <c r="A20" s="704">
        <v>8</v>
      </c>
      <c r="B20" s="720" t="str">
        <f>'04.TV.ศูนย์ประชุม (5FL)'!B11</f>
        <v>ระบบโทรทัศน์วงจรปิด (Closed Circuit TV System) ชั้น 5</v>
      </c>
      <c r="C20" s="717"/>
      <c r="D20" s="718"/>
      <c r="E20" s="708">
        <v>1</v>
      </c>
      <c r="F20" s="709" t="s">
        <v>19</v>
      </c>
      <c r="G20" s="710"/>
      <c r="H20" s="711">
        <f>'04.TV.ศูนย์ประชุม (5FL)'!H34</f>
        <v>707760</v>
      </c>
      <c r="I20" s="712"/>
      <c r="J20" s="711">
        <f>'04.TV.ศูนย์ประชุม (5FL)'!J34</f>
        <v>48858</v>
      </c>
      <c r="K20" s="711">
        <f>'04.TV.ศูนย์ประชุม (5FL)'!K34</f>
        <v>756618</v>
      </c>
      <c r="L20" s="1024"/>
      <c r="M20" s="715"/>
    </row>
    <row r="21" spans="1:21" s="714" customFormat="1" ht="24" customHeight="1">
      <c r="A21" s="704">
        <v>9</v>
      </c>
      <c r="B21" s="720" t="str">
        <f>'04.TV.ศูนย์ประชุม (6FL)'!B11</f>
        <v>ระบบโทรทัศน์วงจรปิด (Closed Circuit TV System) ชั้น 6</v>
      </c>
      <c r="C21" s="717"/>
      <c r="D21" s="718"/>
      <c r="E21" s="708">
        <v>1</v>
      </c>
      <c r="F21" s="709" t="s">
        <v>19</v>
      </c>
      <c r="G21" s="710"/>
      <c r="H21" s="711">
        <f>'04.TV.ศูนย์ประชุม (6FL)'!H34</f>
        <v>707760</v>
      </c>
      <c r="I21" s="712"/>
      <c r="J21" s="711">
        <f>'04.TV.ศูนย์ประชุม (6FL)'!J34</f>
        <v>48858</v>
      </c>
      <c r="K21" s="711">
        <f>'04.TV.ศูนย์ประชุม (6FL)'!K34</f>
        <v>756618</v>
      </c>
      <c r="L21" s="1024"/>
      <c r="M21" s="715"/>
    </row>
    <row r="22" spans="1:21" s="714" customFormat="1" ht="24" customHeight="1">
      <c r="A22" s="704">
        <v>10</v>
      </c>
      <c r="B22" s="720" t="str">
        <f>'04.TV.ศูนย์ประชุม (7FL)'!B11</f>
        <v>ระบบโทรทัศน์วงจรปิด (Closed Circuit TV System) ชั้น 7</v>
      </c>
      <c r="C22" s="717"/>
      <c r="D22" s="718"/>
      <c r="E22" s="708">
        <v>1</v>
      </c>
      <c r="F22" s="709" t="s">
        <v>19</v>
      </c>
      <c r="G22" s="710"/>
      <c r="H22" s="711">
        <f>'04.TV.ศูนย์ประชุม (7FL)'!H34</f>
        <v>682998</v>
      </c>
      <c r="I22" s="712"/>
      <c r="J22" s="711">
        <f>'04.TV.ศูนย์ประชุม (7FL)'!J34</f>
        <v>46947</v>
      </c>
      <c r="K22" s="711">
        <f>'04.TV.ศูนย์ประชุม (7FL)'!K34</f>
        <v>729945</v>
      </c>
      <c r="L22" s="1024"/>
      <c r="M22" s="715"/>
    </row>
    <row r="23" spans="1:21" s="714" customFormat="1" ht="24" customHeight="1">
      <c r="A23" s="704">
        <v>11</v>
      </c>
      <c r="B23" s="720" t="str">
        <f>'04.TV.ศูนย์ประชุม (8FL)'!B11</f>
        <v>ระบบโทรทัศน์วงจรปิด (Closed Circuit TV System) ชั้น 8</v>
      </c>
      <c r="C23" s="1123"/>
      <c r="D23" s="1124"/>
      <c r="E23" s="708">
        <v>1</v>
      </c>
      <c r="F23" s="709" t="s">
        <v>19</v>
      </c>
      <c r="G23" s="710"/>
      <c r="H23" s="711">
        <f>'04.TV.ศูนย์ประชุม (8FL)'!H34</f>
        <v>361085</v>
      </c>
      <c r="I23" s="712"/>
      <c r="J23" s="711">
        <f>'04.TV.ศูนย์ประชุม (8FL)'!J34</f>
        <v>22108</v>
      </c>
      <c r="K23" s="711">
        <f>'04.TV.ศูนย์ประชุม (8FL)'!K34</f>
        <v>383193</v>
      </c>
      <c r="L23" s="1024"/>
      <c r="M23" s="715"/>
    </row>
    <row r="24" spans="1:21" s="714" customFormat="1" ht="24" customHeight="1">
      <c r="A24" s="704"/>
      <c r="B24" s="720"/>
      <c r="C24" s="1123"/>
      <c r="D24" s="1124"/>
      <c r="E24" s="708"/>
      <c r="F24" s="709"/>
      <c r="G24" s="710"/>
      <c r="H24" s="711"/>
      <c r="I24" s="712"/>
      <c r="J24" s="711"/>
      <c r="K24" s="711"/>
      <c r="L24" s="1024"/>
      <c r="M24" s="715"/>
    </row>
    <row r="25" spans="1:21" s="714" customFormat="1" ht="24" customHeight="1">
      <c r="A25" s="704"/>
      <c r="B25" s="720"/>
      <c r="C25" s="1123"/>
      <c r="D25" s="1124"/>
      <c r="E25" s="708"/>
      <c r="F25" s="709"/>
      <c r="G25" s="710"/>
      <c r="H25" s="711"/>
      <c r="I25" s="712"/>
      <c r="J25" s="711"/>
      <c r="K25" s="711"/>
      <c r="L25" s="1024"/>
      <c r="M25" s="715"/>
    </row>
    <row r="26" spans="1:21" s="714" customFormat="1" ht="24" customHeight="1">
      <c r="A26" s="704"/>
      <c r="B26" s="720"/>
      <c r="C26" s="1123"/>
      <c r="D26" s="1124"/>
      <c r="E26" s="708"/>
      <c r="F26" s="709"/>
      <c r="G26" s="710"/>
      <c r="H26" s="711"/>
      <c r="I26" s="712"/>
      <c r="J26" s="711"/>
      <c r="K26" s="711"/>
      <c r="L26" s="1024"/>
      <c r="M26" s="715"/>
    </row>
    <row r="27" spans="1:21" s="714" customFormat="1" ht="24" customHeight="1">
      <c r="A27" s="704"/>
      <c r="B27" s="720"/>
      <c r="C27" s="1123"/>
      <c r="D27" s="1124"/>
      <c r="E27" s="708"/>
      <c r="F27" s="709"/>
      <c r="G27" s="710"/>
      <c r="H27" s="711"/>
      <c r="I27" s="712"/>
      <c r="J27" s="711"/>
      <c r="K27" s="711"/>
      <c r="L27" s="1024"/>
      <c r="M27" s="715"/>
    </row>
    <row r="28" spans="1:21" s="714" customFormat="1" ht="24" customHeight="1">
      <c r="A28" s="1125"/>
      <c r="B28" s="720"/>
      <c r="C28" s="1123"/>
      <c r="D28" s="1124"/>
      <c r="E28" s="721"/>
      <c r="F28" s="722"/>
      <c r="G28" s="710"/>
      <c r="H28" s="711"/>
      <c r="I28" s="712"/>
      <c r="J28" s="711"/>
      <c r="K28" s="711"/>
      <c r="L28" s="1024"/>
    </row>
    <row r="29" spans="1:21" s="714" customFormat="1" ht="24" customHeight="1">
      <c r="A29" s="1125"/>
      <c r="B29" s="720"/>
      <c r="C29" s="1123"/>
      <c r="D29" s="1124"/>
      <c r="E29" s="721"/>
      <c r="F29" s="722"/>
      <c r="G29" s="710"/>
      <c r="H29" s="711"/>
      <c r="I29" s="712"/>
      <c r="J29" s="711"/>
      <c r="K29" s="711"/>
      <c r="L29" s="1024"/>
    </row>
    <row r="30" spans="1:21" s="714" customFormat="1" ht="24" customHeight="1">
      <c r="A30" s="1125"/>
      <c r="B30" s="720"/>
      <c r="C30" s="1123"/>
      <c r="D30" s="1124"/>
      <c r="E30" s="721"/>
      <c r="F30" s="722"/>
      <c r="G30" s="710"/>
      <c r="H30" s="711"/>
      <c r="I30" s="712"/>
      <c r="J30" s="711"/>
      <c r="K30" s="711"/>
      <c r="L30" s="1024"/>
    </row>
    <row r="31" spans="1:21" s="714" customFormat="1" ht="24" customHeight="1">
      <c r="A31" s="1125"/>
      <c r="B31" s="720"/>
      <c r="C31" s="1123"/>
      <c r="D31" s="1124"/>
      <c r="E31" s="721"/>
      <c r="F31" s="722"/>
      <c r="G31" s="710"/>
      <c r="H31" s="711"/>
      <c r="I31" s="712"/>
      <c r="J31" s="711"/>
      <c r="K31" s="711"/>
      <c r="L31" s="1024"/>
    </row>
    <row r="32" spans="1:21" s="714" customFormat="1" ht="25.15" customHeight="1">
      <c r="A32" s="724"/>
      <c r="B32" s="2468" t="str">
        <f>"รวมราคา"&amp;B11</f>
        <v>รวมราคาระบบโทรทัศน์วงจรปิด (Closed Circuit TV System)</v>
      </c>
      <c r="C32" s="2468"/>
      <c r="D32" s="2468"/>
      <c r="E32" s="725"/>
      <c r="F32" s="726"/>
      <c r="G32" s="727"/>
      <c r="H32" s="728">
        <f>SUM(H13:H31)</f>
        <v>9420699</v>
      </c>
      <c r="I32" s="728"/>
      <c r="J32" s="728">
        <f>SUM(J13:J31)</f>
        <v>690120</v>
      </c>
      <c r="K32" s="728">
        <f>SUM(K13:K31)</f>
        <v>10110819</v>
      </c>
      <c r="L32" s="728"/>
      <c r="M32" s="729"/>
      <c r="N32" s="729"/>
      <c r="O32" s="729"/>
      <c r="P32" s="729"/>
      <c r="Q32" s="729"/>
      <c r="R32" s="729"/>
      <c r="S32" s="729"/>
      <c r="T32" s="729"/>
      <c r="U32" s="729"/>
    </row>
  </sheetData>
  <mergeCells count="9">
    <mergeCell ref="B32:D32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74803149606299202" bottom="0.74803149606299202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&amp;Rหน้าสรุปงานระบบโทรทัศน์วงจรปิด-อาคารสนับนุน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6"/>
  <sheetViews>
    <sheetView view="pageBreakPreview" topLeftCell="A16" zoomScale="85" zoomScaleNormal="70" zoomScaleSheetLayoutView="85" workbookViewId="0">
      <selection activeCell="L35" sqref="L35"/>
    </sheetView>
  </sheetViews>
  <sheetFormatPr defaultColWidth="9" defaultRowHeight="23.4"/>
  <cols>
    <col min="1" max="1" width="10.703125" style="303" customWidth="1"/>
    <col min="2" max="2" width="25.703125" style="356" customWidth="1"/>
    <col min="3" max="3" width="8.703125" style="303" customWidth="1"/>
    <col min="4" max="4" width="9.703125" style="303" customWidth="1"/>
    <col min="5" max="5" width="10.703125" style="303" customWidth="1"/>
    <col min="6" max="6" width="27.703125" style="303" customWidth="1"/>
    <col min="7" max="7" width="13.703125" style="303" customWidth="1"/>
    <col min="8" max="8" width="27.703125" style="303" customWidth="1"/>
    <col min="9" max="9" width="14.703125" style="303" customWidth="1"/>
    <col min="10" max="11" width="9" style="303"/>
    <col min="12" max="12" width="12.41015625" style="303" customWidth="1"/>
    <col min="13" max="13" width="24" style="303" customWidth="1"/>
    <col min="14" max="14" width="17.41015625" style="303" customWidth="1"/>
    <col min="15" max="15" width="20.703125" style="303" customWidth="1"/>
    <col min="16" max="16384" width="9" style="303"/>
  </cols>
  <sheetData>
    <row r="1" spans="1:9" s="289" customFormat="1" ht="24" customHeight="1">
      <c r="A1" s="202"/>
      <c r="B1" s="286"/>
      <c r="C1" s="202"/>
      <c r="D1" s="202"/>
      <c r="E1" s="202"/>
      <c r="F1" s="202"/>
      <c r="G1" s="202"/>
      <c r="H1" s="287" t="s">
        <v>114</v>
      </c>
      <c r="I1" s="288"/>
    </row>
    <row r="2" spans="1:9" s="289" customFormat="1" ht="24" customHeight="1">
      <c r="A2" s="2406" t="s">
        <v>115</v>
      </c>
      <c r="B2" s="2406"/>
      <c r="C2" s="2406"/>
      <c r="D2" s="2406"/>
      <c r="E2" s="2406"/>
      <c r="F2" s="2406"/>
      <c r="G2" s="2406"/>
      <c r="H2" s="2406"/>
      <c r="I2" s="2406"/>
    </row>
    <row r="3" spans="1:9" s="292" customFormat="1" ht="24" customHeight="1">
      <c r="A3" s="175" t="s">
        <v>116</v>
      </c>
      <c r="B3" s="172"/>
      <c r="C3" s="172" t="s">
        <v>117</v>
      </c>
      <c r="D3" s="290"/>
      <c r="E3" s="290"/>
      <c r="F3" s="290"/>
      <c r="G3" s="290"/>
      <c r="H3" s="291"/>
      <c r="I3" s="291"/>
    </row>
    <row r="4" spans="1:9" s="292" customFormat="1" ht="24" customHeight="1">
      <c r="A4" s="175"/>
      <c r="B4" s="172"/>
      <c r="C4" s="172" t="s">
        <v>118</v>
      </c>
      <c r="D4" s="290"/>
      <c r="E4" s="290"/>
      <c r="F4" s="290"/>
      <c r="G4" s="290"/>
      <c r="H4" s="291"/>
      <c r="I4" s="291"/>
    </row>
    <row r="5" spans="1:9" s="292" customFormat="1" ht="24" customHeight="1">
      <c r="A5" s="195" t="s">
        <v>119</v>
      </c>
      <c r="B5" s="193"/>
      <c r="C5" s="193" t="s">
        <v>120</v>
      </c>
      <c r="D5" s="293"/>
      <c r="E5" s="293"/>
      <c r="F5" s="293"/>
      <c r="G5" s="293"/>
      <c r="H5" s="185"/>
      <c r="I5" s="185"/>
    </row>
    <row r="6" spans="1:9" s="292" customFormat="1" ht="24" customHeight="1">
      <c r="A6" s="195" t="s">
        <v>121</v>
      </c>
      <c r="B6" s="193"/>
      <c r="C6" s="193" t="s">
        <v>122</v>
      </c>
      <c r="D6" s="293"/>
      <c r="E6" s="293"/>
      <c r="F6" s="293"/>
      <c r="G6" s="293"/>
      <c r="H6" s="185"/>
      <c r="I6" s="185"/>
    </row>
    <row r="7" spans="1:9" s="292" customFormat="1" ht="24" customHeight="1">
      <c r="A7" s="180" t="s">
        <v>123</v>
      </c>
      <c r="B7" s="183"/>
      <c r="C7" s="175" t="s">
        <v>87</v>
      </c>
      <c r="D7" s="180"/>
      <c r="E7" s="180"/>
      <c r="F7" s="180"/>
      <c r="G7" s="180"/>
      <c r="H7" s="185"/>
      <c r="I7" s="185"/>
    </row>
    <row r="8" spans="1:9" s="292" customFormat="1" ht="24" customHeight="1">
      <c r="A8" s="180"/>
      <c r="B8" s="183"/>
      <c r="C8" s="41" t="s">
        <v>2970</v>
      </c>
      <c r="D8" s="180"/>
      <c r="E8" s="180"/>
      <c r="F8" s="180"/>
      <c r="G8" s="180"/>
      <c r="H8" s="185"/>
      <c r="I8" s="185"/>
    </row>
    <row r="9" spans="1:9" s="292" customFormat="1" ht="24" customHeight="1">
      <c r="A9" s="180" t="s">
        <v>62</v>
      </c>
      <c r="B9" s="183"/>
      <c r="C9" s="180" t="s">
        <v>21</v>
      </c>
      <c r="D9" s="180"/>
      <c r="E9" s="180"/>
      <c r="F9" s="180"/>
      <c r="G9" s="180"/>
      <c r="H9" s="294"/>
      <c r="I9" s="295"/>
    </row>
    <row r="10" spans="1:9" s="292" customFormat="1" ht="24" customHeight="1">
      <c r="A10" s="180" t="s">
        <v>64</v>
      </c>
      <c r="B10" s="183"/>
      <c r="C10" s="180"/>
      <c r="D10" s="293"/>
      <c r="E10" s="293"/>
      <c r="F10" s="293"/>
      <c r="G10" s="293"/>
      <c r="H10" s="185"/>
      <c r="I10" s="185"/>
    </row>
    <row r="11" spans="1:9" s="292" customFormat="1" ht="24" customHeight="1">
      <c r="A11" s="193" t="s">
        <v>20</v>
      </c>
      <c r="B11" s="183"/>
      <c r="C11" s="296"/>
      <c r="D11" s="297"/>
      <c r="E11" s="190"/>
      <c r="F11" s="190"/>
      <c r="G11" s="190"/>
      <c r="H11" s="185"/>
      <c r="I11" s="185"/>
    </row>
    <row r="12" spans="1:9" s="292" customFormat="1" ht="24" customHeight="1">
      <c r="A12" s="180" t="s">
        <v>124</v>
      </c>
      <c r="B12" s="183"/>
      <c r="C12" s="180"/>
      <c r="D12" s="180" t="s">
        <v>125</v>
      </c>
      <c r="E12" s="180"/>
      <c r="F12" s="180"/>
      <c r="G12" s="180"/>
      <c r="H12" s="185"/>
      <c r="I12" s="185"/>
    </row>
    <row r="13" spans="1:9" s="292" customFormat="1" ht="24" customHeight="1">
      <c r="A13" s="298" t="s">
        <v>26</v>
      </c>
      <c r="B13" s="183"/>
      <c r="C13" s="297"/>
      <c r="D13" s="180"/>
      <c r="E13" s="180"/>
      <c r="F13" s="180"/>
      <c r="G13" s="193" t="s">
        <v>126</v>
      </c>
      <c r="H13" s="299"/>
      <c r="I13" s="300"/>
    </row>
    <row r="14" spans="1:9" s="289" customFormat="1" ht="22.15" customHeight="1">
      <c r="A14" s="6"/>
      <c r="B14" s="197"/>
      <c r="C14" s="47"/>
      <c r="D14" s="301"/>
      <c r="E14" s="48"/>
      <c r="F14" s="48"/>
      <c r="G14" s="48"/>
      <c r="H14" s="49"/>
      <c r="I14" s="2425" t="s">
        <v>127</v>
      </c>
    </row>
    <row r="15" spans="1:9" ht="10.5" customHeight="1">
      <c r="A15" s="46"/>
      <c r="B15" s="200"/>
      <c r="C15" s="201"/>
      <c r="D15" s="202"/>
      <c r="E15" s="202"/>
      <c r="F15" s="202"/>
      <c r="G15" s="202"/>
      <c r="H15" s="302"/>
      <c r="I15" s="2426"/>
    </row>
    <row r="16" spans="1:9" s="292" customFormat="1" ht="22.15" customHeight="1">
      <c r="A16" s="2409" t="s">
        <v>8</v>
      </c>
      <c r="B16" s="2411" t="s">
        <v>9</v>
      </c>
      <c r="C16" s="2412"/>
      <c r="D16" s="2412"/>
      <c r="E16" s="2413"/>
      <c r="F16" s="2409" t="s">
        <v>128</v>
      </c>
      <c r="G16" s="2409" t="s">
        <v>129</v>
      </c>
      <c r="H16" s="2417" t="s">
        <v>92</v>
      </c>
      <c r="I16" s="2417" t="s">
        <v>15</v>
      </c>
    </row>
    <row r="17" spans="1:15" s="292" customFormat="1" ht="22.15" customHeight="1">
      <c r="A17" s="2410"/>
      <c r="B17" s="2414"/>
      <c r="C17" s="2415"/>
      <c r="D17" s="2415"/>
      <c r="E17" s="2416"/>
      <c r="F17" s="2410"/>
      <c r="G17" s="2410"/>
      <c r="H17" s="2418"/>
      <c r="I17" s="2418"/>
    </row>
    <row r="18" spans="1:15" ht="24" customHeight="1">
      <c r="A18" s="304"/>
      <c r="B18" s="305" t="s">
        <v>130</v>
      </c>
      <c r="C18" s="306"/>
      <c r="D18" s="307"/>
      <c r="E18" s="307"/>
      <c r="F18" s="308"/>
      <c r="G18" s="309"/>
      <c r="H18" s="223"/>
      <c r="I18" s="310"/>
      <c r="M18" s="659"/>
    </row>
    <row r="19" spans="1:15" s="187" customFormat="1" ht="24" customHeight="1">
      <c r="A19" s="311">
        <v>1</v>
      </c>
      <c r="B19" s="312" t="s">
        <v>131</v>
      </c>
      <c r="C19" s="210"/>
      <c r="D19" s="232"/>
      <c r="E19" s="232"/>
      <c r="F19" s="313">
        <f>'Sum-ศูนย์ประชุม'!K13</f>
        <v>236215915.25</v>
      </c>
      <c r="G19" s="314">
        <v>1.1719999999999999</v>
      </c>
      <c r="H19" s="218">
        <f>ROUND(F19*G19,2)</f>
        <v>276845052.67000002</v>
      </c>
      <c r="I19" s="234"/>
    </row>
    <row r="20" spans="1:15" s="187" customFormat="1" ht="24" customHeight="1">
      <c r="A20" s="311">
        <v>2</v>
      </c>
      <c r="B20" s="312" t="s">
        <v>132</v>
      </c>
      <c r="C20" s="216"/>
      <c r="D20" s="232"/>
      <c r="E20" s="232"/>
      <c r="F20" s="313">
        <f>'Sum-ศูนย์ประชุม'!K14</f>
        <v>472735553.96146798</v>
      </c>
      <c r="G20" s="314">
        <v>1.1719999999999999</v>
      </c>
      <c r="H20" s="218">
        <f t="shared" ref="H20:H30" si="0">ROUND(F20*G20,2)</f>
        <v>554046069.24000001</v>
      </c>
      <c r="I20" s="234"/>
    </row>
    <row r="21" spans="1:15" s="187" customFormat="1" ht="24" customHeight="1">
      <c r="A21" s="311">
        <v>3</v>
      </c>
      <c r="B21" s="312" t="s">
        <v>24</v>
      </c>
      <c r="C21" s="216"/>
      <c r="D21" s="232"/>
      <c r="E21" s="232"/>
      <c r="F21" s="313">
        <f>'Sum-ศูนย์ประชุม'!K15</f>
        <v>126607471</v>
      </c>
      <c r="G21" s="314">
        <v>1.1719999999999999</v>
      </c>
      <c r="H21" s="218">
        <f t="shared" si="0"/>
        <v>148383956.00999999</v>
      </c>
      <c r="I21" s="234"/>
      <c r="L21" s="660"/>
      <c r="M21" s="661" t="s">
        <v>315</v>
      </c>
      <c r="N21" s="661" t="s">
        <v>309</v>
      </c>
      <c r="O21" s="661" t="s">
        <v>310</v>
      </c>
    </row>
    <row r="22" spans="1:15" s="187" customFormat="1" ht="24" customHeight="1">
      <c r="A22" s="311">
        <v>4</v>
      </c>
      <c r="B22" s="312" t="s">
        <v>28</v>
      </c>
      <c r="C22" s="216"/>
      <c r="D22" s="232"/>
      <c r="E22" s="232"/>
      <c r="F22" s="313">
        <f>'Sum-ศูนย์ประชุม'!K16</f>
        <v>10110819</v>
      </c>
      <c r="G22" s="314">
        <v>1.1719999999999999</v>
      </c>
      <c r="H22" s="218">
        <f t="shared" si="0"/>
        <v>11849879.869999999</v>
      </c>
      <c r="I22" s="234"/>
      <c r="L22" s="660" t="s">
        <v>311</v>
      </c>
      <c r="M22" s="662">
        <f>SUM(H21:H28)</f>
        <v>424973164.30999994</v>
      </c>
      <c r="N22" s="663">
        <v>680597163.15508306</v>
      </c>
      <c r="O22" s="662">
        <f>N22-M22</f>
        <v>255623998.84508312</v>
      </c>
    </row>
    <row r="23" spans="1:15" s="187" customFormat="1" ht="24" customHeight="1">
      <c r="A23" s="311">
        <v>5</v>
      </c>
      <c r="B23" s="312" t="s">
        <v>30</v>
      </c>
      <c r="C23" s="216"/>
      <c r="D23" s="232"/>
      <c r="E23" s="232"/>
      <c r="F23" s="313">
        <f>'Sum-ศูนย์ประชุม'!K17</f>
        <v>19941320</v>
      </c>
      <c r="G23" s="314">
        <v>1.1719999999999999</v>
      </c>
      <c r="H23" s="218">
        <f t="shared" si="0"/>
        <v>23371227.039999999</v>
      </c>
      <c r="I23" s="234"/>
      <c r="L23" s="660" t="s">
        <v>312</v>
      </c>
      <c r="M23" s="662">
        <f>H19+ปร.6!F33</f>
        <v>323253688.13999999</v>
      </c>
      <c r="N23" s="663">
        <v>709730705.10588372</v>
      </c>
      <c r="O23" s="662">
        <f>N23-M23</f>
        <v>386477016.96588373</v>
      </c>
    </row>
    <row r="24" spans="1:15" s="187" customFormat="1" ht="24" customHeight="1">
      <c r="A24" s="311">
        <v>6</v>
      </c>
      <c r="B24" s="312" t="s">
        <v>31</v>
      </c>
      <c r="C24" s="216"/>
      <c r="D24" s="232"/>
      <c r="E24" s="232"/>
      <c r="F24" s="313">
        <f>'Sum-ศูนย์ประชุม'!K18</f>
        <v>25576847</v>
      </c>
      <c r="G24" s="314">
        <v>1.1719999999999999</v>
      </c>
      <c r="H24" s="218">
        <f t="shared" si="0"/>
        <v>29976064.68</v>
      </c>
      <c r="I24" s="234"/>
      <c r="L24" s="660" t="s">
        <v>313</v>
      </c>
      <c r="M24" s="664">
        <f>H33</f>
        <v>24171034.780000001</v>
      </c>
      <c r="N24" s="663">
        <v>62335545.63032271</v>
      </c>
      <c r="O24" s="662">
        <f>N24-M24</f>
        <v>38164510.850322708</v>
      </c>
    </row>
    <row r="25" spans="1:15" s="187" customFormat="1" ht="24" customHeight="1">
      <c r="A25" s="311">
        <v>7</v>
      </c>
      <c r="B25" s="312" t="s">
        <v>33</v>
      </c>
      <c r="C25" s="216"/>
      <c r="D25" s="232"/>
      <c r="E25" s="232"/>
      <c r="F25" s="313">
        <f>'Sum-ศูนย์ประชุม'!K19</f>
        <v>116301653</v>
      </c>
      <c r="G25" s="314">
        <v>1.1719999999999999</v>
      </c>
      <c r="H25" s="218">
        <f t="shared" si="0"/>
        <v>136305537.31999999</v>
      </c>
      <c r="I25" s="234"/>
      <c r="L25" s="660" t="s">
        <v>314</v>
      </c>
      <c r="M25" s="662">
        <f>H20+H30+ปร.6!F31</f>
        <v>554046069.24000001</v>
      </c>
      <c r="N25" s="663">
        <v>697336586.10871041</v>
      </c>
      <c r="O25" s="662">
        <f>N25-M25</f>
        <v>143290516.8687104</v>
      </c>
    </row>
    <row r="26" spans="1:15" s="187" customFormat="1" ht="24" customHeight="1">
      <c r="A26" s="311">
        <v>8</v>
      </c>
      <c r="B26" s="312" t="str">
        <f>'Sum-ศูนย์ประชุม'!B20</f>
        <v>ระบบก๊าซหุงต้ม (LPG System)</v>
      </c>
      <c r="C26" s="216"/>
      <c r="D26" s="232"/>
      <c r="E26" s="232"/>
      <c r="F26" s="313">
        <f>'Sum-ศูนย์ประชุม'!K20</f>
        <v>1966979</v>
      </c>
      <c r="G26" s="314">
        <v>1.1719999999999999</v>
      </c>
      <c r="H26" s="218">
        <f t="shared" si="0"/>
        <v>2305299.39</v>
      </c>
      <c r="I26" s="234"/>
      <c r="L26" s="660"/>
      <c r="M26" s="664"/>
      <c r="N26" s="660"/>
      <c r="O26" s="662"/>
    </row>
    <row r="27" spans="1:15" s="187" customFormat="1" ht="24" customHeight="1">
      <c r="A27" s="665">
        <v>9</v>
      </c>
      <c r="B27" s="666" t="str">
        <f>'Sum-ศูนย์ประชุม'!B21</f>
        <v>งานระบบลิฟต์และบันไดเลื่อน (Lift &amp; Escalator System)</v>
      </c>
      <c r="C27" s="247"/>
      <c r="D27" s="247"/>
      <c r="E27" s="247"/>
      <c r="F27" s="667">
        <f>'Sum-ศูนย์ประชุม'!K21</f>
        <v>62100000</v>
      </c>
      <c r="G27" s="668">
        <v>1.1719999999999999</v>
      </c>
      <c r="H27" s="249">
        <f t="shared" si="0"/>
        <v>72781200</v>
      </c>
      <c r="I27" s="669"/>
      <c r="L27" s="660"/>
      <c r="M27" s="664"/>
      <c r="N27" s="660"/>
      <c r="O27" s="660"/>
    </row>
    <row r="28" spans="1:15" s="187" customFormat="1" ht="24" customHeight="1">
      <c r="A28" s="315"/>
      <c r="B28" s="475"/>
      <c r="C28" s="237"/>
      <c r="D28" s="237"/>
      <c r="E28" s="237"/>
      <c r="F28" s="316"/>
      <c r="G28" s="317"/>
      <c r="H28" s="239"/>
      <c r="I28" s="240"/>
      <c r="L28" s="660"/>
      <c r="M28" s="664"/>
      <c r="N28" s="660"/>
      <c r="O28" s="660"/>
    </row>
    <row r="29" spans="1:15" s="187" customFormat="1" ht="24" customHeight="1">
      <c r="A29" s="318"/>
      <c r="B29" s="319" t="s">
        <v>133</v>
      </c>
      <c r="C29" s="232"/>
      <c r="D29" s="232"/>
      <c r="E29" s="232"/>
      <c r="F29" s="320"/>
      <c r="G29" s="321"/>
      <c r="H29" s="218"/>
      <c r="I29" s="234"/>
      <c r="L29" s="660" t="s">
        <v>316</v>
      </c>
      <c r="M29" s="662">
        <f>SUM(M22:M25)</f>
        <v>1326443956.4699998</v>
      </c>
      <c r="N29" s="664">
        <f>SUM(N22:N25)</f>
        <v>2150000000</v>
      </c>
      <c r="O29" s="662">
        <f>SUM(O22:O25)</f>
        <v>823556043.52999997</v>
      </c>
    </row>
    <row r="30" spans="1:15" s="187" customFormat="1" ht="24" customHeight="1">
      <c r="A30" s="311" t="s">
        <v>34</v>
      </c>
      <c r="B30" s="322" t="s">
        <v>35</v>
      </c>
      <c r="C30" s="216"/>
      <c r="D30" s="232"/>
      <c r="E30" s="232"/>
      <c r="F30" s="313"/>
      <c r="G30" s="314"/>
      <c r="H30" s="218">
        <f t="shared" si="0"/>
        <v>0</v>
      </c>
      <c r="I30" s="234"/>
    </row>
    <row r="31" spans="1:15" s="187" customFormat="1" ht="24" customHeight="1">
      <c r="A31" s="315"/>
      <c r="B31" s="237"/>
      <c r="C31" s="237"/>
      <c r="D31" s="237"/>
      <c r="E31" s="237"/>
      <c r="F31" s="239"/>
      <c r="G31" s="323"/>
      <c r="H31" s="239"/>
      <c r="I31" s="240"/>
    </row>
    <row r="32" spans="1:15" s="187" customFormat="1" ht="24" customHeight="1">
      <c r="A32" s="214"/>
      <c r="B32" s="319" t="s">
        <v>134</v>
      </c>
      <c r="C32" s="232"/>
      <c r="D32" s="232"/>
      <c r="E32" s="232"/>
      <c r="F32" s="218"/>
      <c r="G32" s="321"/>
      <c r="H32" s="218"/>
      <c r="I32" s="234"/>
    </row>
    <row r="33" spans="1:9" s="187" customFormat="1" ht="24" customHeight="1">
      <c r="A33" s="311" t="s">
        <v>34</v>
      </c>
      <c r="B33" s="232" t="s">
        <v>135</v>
      </c>
      <c r="C33" s="216"/>
      <c r="D33" s="232"/>
      <c r="E33" s="232"/>
      <c r="F33" s="243">
        <f>'07-HARDSCAPE-อาคารเอเทรี่ยม'!K34</f>
        <v>20623749.809999999</v>
      </c>
      <c r="G33" s="314">
        <v>1.1719999999999999</v>
      </c>
      <c r="H33" s="218">
        <f t="shared" ref="H33" si="1">ROUND(F33*G33,2)</f>
        <v>24171034.780000001</v>
      </c>
      <c r="I33" s="234"/>
    </row>
    <row r="34" spans="1:9" s="187" customFormat="1" ht="24" customHeight="1">
      <c r="A34" s="311"/>
      <c r="B34" s="232"/>
      <c r="C34" s="216"/>
      <c r="D34" s="232"/>
      <c r="E34" s="232"/>
      <c r="F34" s="313"/>
      <c r="G34" s="314"/>
      <c r="H34" s="218"/>
      <c r="I34" s="234"/>
    </row>
    <row r="35" spans="1:9" s="187" customFormat="1" ht="24" customHeight="1">
      <c r="A35" s="235"/>
      <c r="B35" s="324"/>
      <c r="C35" s="325"/>
      <c r="D35" s="325"/>
      <c r="E35" s="325"/>
      <c r="F35" s="326"/>
      <c r="G35" s="327"/>
      <c r="H35" s="328"/>
      <c r="I35" s="329"/>
    </row>
    <row r="36" spans="1:9" s="334" customFormat="1" ht="24" customHeight="1">
      <c r="A36" s="261"/>
      <c r="B36" s="2419" t="s">
        <v>136</v>
      </c>
      <c r="C36" s="2420"/>
      <c r="D36" s="2420"/>
      <c r="E36" s="2421"/>
      <c r="F36" s="330"/>
      <c r="G36" s="331"/>
      <c r="H36" s="332"/>
      <c r="I36" s="333"/>
    </row>
    <row r="37" spans="1:9" s="334" customFormat="1" ht="24" customHeight="1">
      <c r="A37" s="335"/>
      <c r="B37" s="216" t="s">
        <v>137</v>
      </c>
      <c r="C37" s="336">
        <v>10</v>
      </c>
      <c r="D37" s="337" t="s">
        <v>138</v>
      </c>
      <c r="E37" s="338"/>
      <c r="F37" s="339"/>
      <c r="G37" s="340"/>
      <c r="H37" s="332"/>
      <c r="I37" s="333"/>
    </row>
    <row r="38" spans="1:9" s="334" customFormat="1" ht="24" customHeight="1">
      <c r="A38" s="335"/>
      <c r="B38" s="216" t="s">
        <v>139</v>
      </c>
      <c r="C38" s="341">
        <v>5</v>
      </c>
      <c r="D38" s="337" t="s">
        <v>138</v>
      </c>
      <c r="E38" s="338"/>
      <c r="F38" s="339"/>
      <c r="G38" s="340"/>
      <c r="H38" s="332"/>
      <c r="I38" s="342"/>
    </row>
    <row r="39" spans="1:9" s="334" customFormat="1" ht="24" customHeight="1">
      <c r="A39" s="335"/>
      <c r="B39" s="232" t="s">
        <v>70</v>
      </c>
      <c r="C39" s="341">
        <v>5</v>
      </c>
      <c r="D39" s="337" t="s">
        <v>138</v>
      </c>
      <c r="E39" s="338"/>
      <c r="F39" s="330"/>
      <c r="G39" s="343"/>
      <c r="H39" s="332"/>
      <c r="I39" s="342"/>
    </row>
    <row r="40" spans="1:9" s="334" customFormat="1" ht="24" customHeight="1">
      <c r="A40" s="344"/>
      <c r="B40" s="237" t="s">
        <v>140</v>
      </c>
      <c r="C40" s="345">
        <v>7</v>
      </c>
      <c r="D40" s="346" t="s">
        <v>138</v>
      </c>
      <c r="E40" s="347"/>
      <c r="F40" s="348"/>
      <c r="G40" s="349"/>
      <c r="H40" s="350"/>
      <c r="I40" s="351"/>
    </row>
    <row r="41" spans="1:9" s="355" customFormat="1" ht="30" customHeight="1">
      <c r="A41" s="352" t="s">
        <v>111</v>
      </c>
      <c r="B41" s="2422" t="s">
        <v>141</v>
      </c>
      <c r="C41" s="2423"/>
      <c r="D41" s="2423"/>
      <c r="E41" s="2423"/>
      <c r="F41" s="2423"/>
      <c r="G41" s="2424"/>
      <c r="H41" s="353">
        <f>SUM(H19:H40)</f>
        <v>1280035321</v>
      </c>
      <c r="I41" s="354"/>
    </row>
    <row r="42" spans="1:9" ht="18" customHeight="1">
      <c r="A42" s="285"/>
      <c r="B42" s="285"/>
      <c r="C42" s="285"/>
      <c r="D42" s="285"/>
      <c r="E42" s="285"/>
      <c r="F42" s="285"/>
      <c r="G42" s="285"/>
      <c r="H42" s="45"/>
      <c r="I42" s="25"/>
    </row>
    <row r="43" spans="1:9" ht="18" customHeight="1">
      <c r="A43" s="171"/>
      <c r="B43" s="171"/>
      <c r="C43" s="170"/>
      <c r="D43" s="171"/>
      <c r="E43" s="171"/>
      <c r="F43" s="171"/>
      <c r="G43" s="171"/>
    </row>
    <row r="44" spans="1:9" ht="18" customHeight="1"/>
    <row r="45" spans="1:9">
      <c r="E45" s="357" t="s">
        <v>142</v>
      </c>
      <c r="F45" s="358">
        <v>39820</v>
      </c>
      <c r="G45" s="359" t="s">
        <v>37</v>
      </c>
    </row>
    <row r="46" spans="1:9" ht="18" customHeight="1">
      <c r="E46" s="357" t="s">
        <v>143</v>
      </c>
      <c r="F46" s="360">
        <f>_xlfn.CEILING.MATH(H41/F45,100)</f>
        <v>32200</v>
      </c>
      <c r="G46" s="170" t="s">
        <v>144</v>
      </c>
    </row>
  </sheetData>
  <mergeCells count="10">
    <mergeCell ref="B36:E36"/>
    <mergeCell ref="B41:G41"/>
    <mergeCell ref="A2:I2"/>
    <mergeCell ref="I14:I15"/>
    <mergeCell ref="A16:A17"/>
    <mergeCell ref="B16:E17"/>
    <mergeCell ref="F16:F17"/>
    <mergeCell ref="G16:G17"/>
    <mergeCell ref="H16:H17"/>
    <mergeCell ref="I16:I17"/>
  </mergeCells>
  <pageMargins left="0.59055118110236227" right="0.19685039370078741" top="0.94488188976377963" bottom="0.59055118110236227" header="0.31496062992125984" footer="0.31496062992125984"/>
  <pageSetup paperSize="9" scale="6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83291-A775-4FBD-B00D-A95DAC957DCA}">
  <sheetPr>
    <tabColor rgb="FF92D050"/>
  </sheetPr>
  <dimension ref="A1:U58"/>
  <sheetViews>
    <sheetView tabSelected="1" view="pageBreakPreview" topLeftCell="A31" zoomScale="55" zoomScaleNormal="100" zoomScaleSheetLayoutView="5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13.703125" style="1" customWidth="1"/>
    <col min="13" max="13" width="7.703125" style="1" customWidth="1"/>
    <col min="14" max="14" width="12.5859375" style="1" bestFit="1" customWidth="1"/>
    <col min="15" max="99" width="7.703125" style="1" customWidth="1"/>
    <col min="100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1603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84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85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80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81"/>
    </row>
    <row r="11" spans="1:12" ht="24" customHeight="1">
      <c r="A11" s="1115" t="s">
        <v>27</v>
      </c>
      <c r="B11" s="1116" t="s">
        <v>1604</v>
      </c>
      <c r="C11" s="1117"/>
      <c r="D11" s="1118"/>
      <c r="E11" s="694"/>
      <c r="F11" s="695"/>
      <c r="G11" s="696"/>
      <c r="H11" s="697"/>
      <c r="I11" s="698"/>
      <c r="J11" s="697"/>
      <c r="K11" s="699"/>
      <c r="L11" s="953"/>
    </row>
    <row r="12" spans="1:12" ht="24" customHeight="1">
      <c r="A12" s="1119"/>
      <c r="B12" s="1120"/>
      <c r="C12" s="1121"/>
      <c r="D12" s="1122"/>
      <c r="E12" s="694"/>
      <c r="F12" s="695"/>
      <c r="G12" s="696"/>
      <c r="H12" s="697"/>
      <c r="I12" s="698"/>
      <c r="J12" s="697"/>
      <c r="K12" s="699"/>
      <c r="L12" s="953"/>
    </row>
    <row r="13" spans="1:12" s="714" customFormat="1" ht="24" customHeight="1">
      <c r="A13" s="704">
        <f>A35</f>
        <v>4.0999999999999996</v>
      </c>
      <c r="B13" s="705" t="str">
        <f>B35</f>
        <v>ระบบโทรทัศน์วงจรปิด (Closed Circuit TV System)</v>
      </c>
      <c r="C13" s="706"/>
      <c r="D13" s="707"/>
      <c r="E13" s="708">
        <v>1</v>
      </c>
      <c r="F13" s="709" t="s">
        <v>19</v>
      </c>
      <c r="G13" s="710"/>
      <c r="H13" s="711">
        <f>H58</f>
        <v>717306</v>
      </c>
      <c r="I13" s="712"/>
      <c r="J13" s="711">
        <f>J58</f>
        <v>196008</v>
      </c>
      <c r="K13" s="711">
        <f>SUM(H13:J13)</f>
        <v>913314</v>
      </c>
      <c r="L13" s="1024"/>
    </row>
    <row r="14" spans="1:12" s="714" customFormat="1" ht="24" customHeight="1">
      <c r="A14" s="704"/>
      <c r="B14" s="720"/>
      <c r="C14" s="716"/>
      <c r="D14" s="990"/>
      <c r="E14" s="721"/>
      <c r="F14" s="722"/>
      <c r="G14" s="710"/>
      <c r="H14" s="711"/>
      <c r="I14" s="712"/>
      <c r="J14" s="711"/>
      <c r="K14" s="711"/>
      <c r="L14" s="1024"/>
    </row>
    <row r="15" spans="1:12" s="714" customFormat="1" ht="24" customHeight="1">
      <c r="A15" s="719"/>
      <c r="B15" s="720"/>
      <c r="C15" s="717"/>
      <c r="D15" s="718"/>
      <c r="E15" s="721"/>
      <c r="F15" s="722"/>
      <c r="G15" s="710"/>
      <c r="H15" s="711"/>
      <c r="I15" s="712"/>
      <c r="J15" s="711"/>
      <c r="K15" s="711"/>
      <c r="L15" s="1024"/>
    </row>
    <row r="16" spans="1:12" s="714" customFormat="1" ht="24" customHeight="1">
      <c r="A16" s="719"/>
      <c r="B16" s="720"/>
      <c r="C16" s="717"/>
      <c r="D16" s="718"/>
      <c r="E16" s="721"/>
      <c r="F16" s="722"/>
      <c r="G16" s="710"/>
      <c r="H16" s="711"/>
      <c r="I16" s="712"/>
      <c r="J16" s="711"/>
      <c r="K16" s="711"/>
      <c r="L16" s="1024"/>
    </row>
    <row r="17" spans="1:12" s="714" customFormat="1" ht="24" customHeight="1">
      <c r="A17" s="719"/>
      <c r="B17" s="720"/>
      <c r="C17" s="717"/>
      <c r="D17" s="718"/>
      <c r="E17" s="721"/>
      <c r="F17" s="722"/>
      <c r="G17" s="710"/>
      <c r="H17" s="711"/>
      <c r="I17" s="712"/>
      <c r="J17" s="711"/>
      <c r="K17" s="711"/>
      <c r="L17" s="1024"/>
    </row>
    <row r="18" spans="1:12" s="714" customFormat="1" ht="24" customHeight="1">
      <c r="A18" s="719"/>
      <c r="B18" s="720"/>
      <c r="C18" s="717"/>
      <c r="D18" s="718"/>
      <c r="E18" s="721"/>
      <c r="F18" s="722"/>
      <c r="G18" s="710"/>
      <c r="H18" s="711"/>
      <c r="I18" s="712"/>
      <c r="J18" s="711"/>
      <c r="K18" s="711"/>
      <c r="L18" s="1024"/>
    </row>
    <row r="19" spans="1:12" s="714" customFormat="1" ht="24" customHeight="1">
      <c r="A19" s="719"/>
      <c r="B19" s="720"/>
      <c r="C19" s="717"/>
      <c r="D19" s="718"/>
      <c r="E19" s="721"/>
      <c r="F19" s="722"/>
      <c r="G19" s="710"/>
      <c r="H19" s="711"/>
      <c r="I19" s="712"/>
      <c r="J19" s="711"/>
      <c r="K19" s="711"/>
      <c r="L19" s="1024"/>
    </row>
    <row r="20" spans="1:12" s="714" customFormat="1" ht="24" customHeight="1">
      <c r="A20" s="719"/>
      <c r="B20" s="720"/>
      <c r="C20" s="717"/>
      <c r="D20" s="718"/>
      <c r="E20" s="721"/>
      <c r="F20" s="722"/>
      <c r="G20" s="710"/>
      <c r="H20" s="711"/>
      <c r="I20" s="712"/>
      <c r="J20" s="711"/>
      <c r="K20" s="711"/>
      <c r="L20" s="1024"/>
    </row>
    <row r="21" spans="1:12" s="714" customFormat="1" ht="24" customHeight="1">
      <c r="A21" s="719"/>
      <c r="B21" s="720"/>
      <c r="C21" s="717"/>
      <c r="D21" s="718"/>
      <c r="E21" s="721"/>
      <c r="F21" s="722"/>
      <c r="G21" s="710"/>
      <c r="H21" s="711"/>
      <c r="I21" s="712"/>
      <c r="J21" s="711"/>
      <c r="K21" s="711"/>
      <c r="L21" s="1024"/>
    </row>
    <row r="22" spans="1:12" s="714" customFormat="1" ht="24" customHeight="1">
      <c r="A22" s="719"/>
      <c r="B22" s="720"/>
      <c r="C22" s="717"/>
      <c r="D22" s="718"/>
      <c r="E22" s="721"/>
      <c r="F22" s="722"/>
      <c r="G22" s="710"/>
      <c r="H22" s="711"/>
      <c r="I22" s="712"/>
      <c r="J22" s="711"/>
      <c r="K22" s="711"/>
      <c r="L22" s="1024"/>
    </row>
    <row r="23" spans="1:12" s="714" customFormat="1" ht="24" customHeight="1">
      <c r="A23" s="1125"/>
      <c r="B23" s="720"/>
      <c r="C23" s="1123"/>
      <c r="D23" s="1124"/>
      <c r="E23" s="721"/>
      <c r="F23" s="722"/>
      <c r="G23" s="710"/>
      <c r="H23" s="711"/>
      <c r="I23" s="712"/>
      <c r="J23" s="711"/>
      <c r="K23" s="711"/>
      <c r="L23" s="1024"/>
    </row>
    <row r="24" spans="1:12" s="714" customFormat="1" ht="24" customHeight="1">
      <c r="A24" s="1125"/>
      <c r="B24" s="720"/>
      <c r="C24" s="1123"/>
      <c r="D24" s="1124"/>
      <c r="E24" s="721"/>
      <c r="F24" s="722"/>
      <c r="G24" s="710"/>
      <c r="H24" s="711"/>
      <c r="I24" s="712"/>
      <c r="J24" s="711"/>
      <c r="K24" s="711"/>
      <c r="L24" s="1024"/>
    </row>
    <row r="25" spans="1:12" s="714" customFormat="1" ht="24" customHeight="1">
      <c r="A25" s="1125"/>
      <c r="B25" s="720"/>
      <c r="C25" s="1123"/>
      <c r="D25" s="1124"/>
      <c r="E25" s="721"/>
      <c r="F25" s="722"/>
      <c r="G25" s="710"/>
      <c r="H25" s="711"/>
      <c r="I25" s="712"/>
      <c r="J25" s="711"/>
      <c r="K25" s="711"/>
      <c r="L25" s="1024"/>
    </row>
    <row r="26" spans="1:12" s="714" customFormat="1" ht="24" customHeight="1">
      <c r="A26" s="1125"/>
      <c r="B26" s="720"/>
      <c r="C26" s="1123"/>
      <c r="D26" s="1124"/>
      <c r="E26" s="721"/>
      <c r="F26" s="722"/>
      <c r="G26" s="710"/>
      <c r="H26" s="711"/>
      <c r="I26" s="712"/>
      <c r="J26" s="711"/>
      <c r="K26" s="711"/>
      <c r="L26" s="1024"/>
    </row>
    <row r="27" spans="1:12" s="714" customFormat="1" ht="24" customHeight="1">
      <c r="A27" s="1125"/>
      <c r="B27" s="720"/>
      <c r="C27" s="1123"/>
      <c r="D27" s="1124"/>
      <c r="E27" s="721"/>
      <c r="F27" s="722"/>
      <c r="G27" s="710"/>
      <c r="H27" s="711"/>
      <c r="I27" s="712"/>
      <c r="J27" s="711"/>
      <c r="K27" s="711"/>
      <c r="L27" s="1024"/>
    </row>
    <row r="28" spans="1:12" s="714" customFormat="1" ht="24" customHeight="1">
      <c r="A28" s="1125"/>
      <c r="B28" s="720"/>
      <c r="C28" s="1123"/>
      <c r="D28" s="1124"/>
      <c r="E28" s="721"/>
      <c r="F28" s="722"/>
      <c r="G28" s="710"/>
      <c r="H28" s="711"/>
      <c r="I28" s="712"/>
      <c r="J28" s="711"/>
      <c r="K28" s="711"/>
      <c r="L28" s="1024"/>
    </row>
    <row r="29" spans="1:12" s="714" customFormat="1" ht="24" customHeight="1">
      <c r="A29" s="1125"/>
      <c r="B29" s="720"/>
      <c r="C29" s="1123"/>
      <c r="D29" s="1124"/>
      <c r="E29" s="721"/>
      <c r="F29" s="722"/>
      <c r="G29" s="710"/>
      <c r="H29" s="711"/>
      <c r="I29" s="712"/>
      <c r="J29" s="711"/>
      <c r="K29" s="711"/>
      <c r="L29" s="1024"/>
    </row>
    <row r="30" spans="1:12" s="714" customFormat="1" ht="24" customHeight="1">
      <c r="A30" s="1125"/>
      <c r="B30" s="720"/>
      <c r="C30" s="1123"/>
      <c r="D30" s="1124"/>
      <c r="E30" s="721"/>
      <c r="F30" s="722"/>
      <c r="G30" s="710"/>
      <c r="H30" s="711"/>
      <c r="I30" s="712"/>
      <c r="J30" s="711"/>
      <c r="K30" s="711"/>
      <c r="L30" s="1024"/>
    </row>
    <row r="31" spans="1:12" s="714" customFormat="1" ht="24" customHeight="1">
      <c r="A31" s="1125"/>
      <c r="B31" s="720"/>
      <c r="C31" s="1123"/>
      <c r="D31" s="1124"/>
      <c r="E31" s="721"/>
      <c r="F31" s="722"/>
      <c r="G31" s="710"/>
      <c r="H31" s="711"/>
      <c r="I31" s="712"/>
      <c r="J31" s="711"/>
      <c r="K31" s="711"/>
      <c r="L31" s="1024"/>
    </row>
    <row r="32" spans="1:12" s="714" customFormat="1" ht="24" customHeight="1">
      <c r="A32" s="1125"/>
      <c r="B32" s="720"/>
      <c r="C32" s="1123"/>
      <c r="D32" s="1124"/>
      <c r="E32" s="721"/>
      <c r="F32" s="722"/>
      <c r="G32" s="710"/>
      <c r="H32" s="711"/>
      <c r="I32" s="712"/>
      <c r="J32" s="711"/>
      <c r="K32" s="711"/>
      <c r="L32" s="1024"/>
    </row>
    <row r="33" spans="1:21" s="714" customFormat="1" ht="24" customHeight="1">
      <c r="A33" s="1126"/>
      <c r="B33" s="1127"/>
      <c r="C33" s="1123"/>
      <c r="D33" s="1124"/>
      <c r="E33" s="1128"/>
      <c r="F33" s="722"/>
      <c r="G33" s="710"/>
      <c r="H33" s="711"/>
      <c r="I33" s="712"/>
      <c r="J33" s="711"/>
      <c r="K33" s="1129"/>
      <c r="L33" s="1024"/>
    </row>
    <row r="34" spans="1:21" s="714" customFormat="1" ht="25.15" customHeight="1">
      <c r="A34" s="777"/>
      <c r="B34" s="2475" t="str">
        <f>"รวมราคา"&amp;B11</f>
        <v>รวมราคาระบบโทรทัศน์วงจรปิด (Closed Circuit TV System) Main Equipment</v>
      </c>
      <c r="C34" s="2476"/>
      <c r="D34" s="2477"/>
      <c r="E34" s="997"/>
      <c r="F34" s="777"/>
      <c r="G34" s="959"/>
      <c r="H34" s="960">
        <f>SUM(H12:H33)</f>
        <v>717306</v>
      </c>
      <c r="I34" s="959"/>
      <c r="J34" s="960">
        <f>SUM(J11:J33)</f>
        <v>196008</v>
      </c>
      <c r="K34" s="1130">
        <f>SUM(K11:K33)</f>
        <v>913314</v>
      </c>
      <c r="L34" s="777"/>
      <c r="M34" s="729"/>
      <c r="N34" s="1131"/>
      <c r="O34" s="729"/>
      <c r="P34" s="729"/>
      <c r="Q34" s="729"/>
      <c r="R34" s="729"/>
      <c r="S34" s="729"/>
      <c r="T34" s="729"/>
      <c r="U34" s="729"/>
    </row>
    <row r="35" spans="1:21" s="714" customFormat="1" ht="24" customHeight="1">
      <c r="A35" s="986">
        <v>4.0999999999999996</v>
      </c>
      <c r="B35" s="816" t="s">
        <v>28</v>
      </c>
      <c r="C35" s="987"/>
      <c r="D35" s="707"/>
      <c r="E35" s="708"/>
      <c r="F35" s="709"/>
      <c r="G35" s="853"/>
      <c r="H35" s="854"/>
      <c r="I35" s="855"/>
      <c r="J35" s="854"/>
      <c r="K35" s="855"/>
      <c r="L35" s="988"/>
      <c r="M35" s="729"/>
      <c r="N35" s="729"/>
      <c r="O35" s="729"/>
      <c r="P35" s="729"/>
      <c r="Q35" s="729"/>
      <c r="R35" s="729"/>
      <c r="S35" s="729"/>
      <c r="T35" s="729"/>
      <c r="U35" s="729"/>
    </row>
    <row r="36" spans="1:21" s="886" customFormat="1" ht="24" customHeight="1">
      <c r="A36" s="2268" t="s">
        <v>1610</v>
      </c>
      <c r="B36" s="720" t="s">
        <v>3034</v>
      </c>
      <c r="C36" s="706"/>
      <c r="D36" s="990"/>
      <c r="E36" s="721"/>
      <c r="F36" s="722"/>
      <c r="G36" s="795"/>
      <c r="H36" s="796"/>
      <c r="I36" s="797"/>
      <c r="J36" s="796"/>
      <c r="K36" s="797"/>
      <c r="L36" s="885"/>
      <c r="M36" s="1482"/>
      <c r="N36" s="1482"/>
      <c r="O36" s="1482"/>
      <c r="P36" s="1482"/>
      <c r="Q36" s="1482"/>
      <c r="R36" s="1482"/>
      <c r="S36" s="1482"/>
      <c r="T36" s="1482"/>
      <c r="U36" s="1482"/>
    </row>
    <row r="37" spans="1:21" s="886" customFormat="1" ht="24" customHeight="1">
      <c r="A37" s="2269"/>
      <c r="B37" s="720" t="s">
        <v>2996</v>
      </c>
      <c r="C37" s="706"/>
      <c r="D37" s="990"/>
      <c r="E37" s="721"/>
      <c r="F37" s="722" t="s">
        <v>240</v>
      </c>
      <c r="G37" s="858">
        <v>68500</v>
      </c>
      <c r="H37" s="796">
        <f>ROUND(E37*G37,)</f>
        <v>0</v>
      </c>
      <c r="I37" s="865">
        <f>ROUND(G37*0.01,)</f>
        <v>685</v>
      </c>
      <c r="J37" s="796">
        <f>ROUND(I37*E37,)</f>
        <v>0</v>
      </c>
      <c r="K37" s="797">
        <f>H37+J37</f>
        <v>0</v>
      </c>
      <c r="L37" s="885"/>
      <c r="M37" s="1482"/>
      <c r="N37" s="1482"/>
      <c r="O37" s="1482"/>
      <c r="P37" s="1482"/>
      <c r="Q37" s="1482"/>
      <c r="R37" s="1482"/>
      <c r="S37" s="1482"/>
      <c r="T37" s="1482"/>
      <c r="U37" s="1482"/>
    </row>
    <row r="38" spans="1:21" s="886" customFormat="1" ht="24" customHeight="1">
      <c r="A38" s="2269"/>
      <c r="B38" s="720" t="s">
        <v>1614</v>
      </c>
      <c r="C38" s="706"/>
      <c r="D38" s="990"/>
      <c r="E38" s="721">
        <v>1</v>
      </c>
      <c r="F38" s="722" t="s">
        <v>240</v>
      </c>
      <c r="G38" s="795">
        <v>3598</v>
      </c>
      <c r="H38" s="796">
        <f>ROUND(E38*G38,)</f>
        <v>3598</v>
      </c>
      <c r="I38" s="865">
        <f>ROUND(G38*0.01,)</f>
        <v>36</v>
      </c>
      <c r="J38" s="796">
        <f>ROUND(I38*E38,)</f>
        <v>36</v>
      </c>
      <c r="K38" s="797">
        <f>H38+J38</f>
        <v>3634</v>
      </c>
      <c r="L38" s="885"/>
      <c r="M38" s="1482"/>
      <c r="N38" s="1482"/>
      <c r="O38" s="1482"/>
      <c r="P38" s="1482"/>
      <c r="Q38" s="1482"/>
      <c r="R38" s="1482"/>
      <c r="S38" s="1482"/>
      <c r="T38" s="1482"/>
      <c r="U38" s="1482"/>
    </row>
    <row r="39" spans="1:21" s="886" customFormat="1" ht="24" customHeight="1">
      <c r="A39" s="2269"/>
      <c r="B39" s="720" t="s">
        <v>2997</v>
      </c>
      <c r="C39" s="706"/>
      <c r="D39" s="990"/>
      <c r="E39" s="721">
        <v>24</v>
      </c>
      <c r="F39" s="722" t="s">
        <v>240</v>
      </c>
      <c r="G39" s="795">
        <v>245</v>
      </c>
      <c r="H39" s="796">
        <f>ROUND(E39*G39,)</f>
        <v>5880</v>
      </c>
      <c r="I39" s="865">
        <f>ROUND(G39*0.01,)</f>
        <v>2</v>
      </c>
      <c r="J39" s="796">
        <f>ROUND(I39*E39,)</f>
        <v>48</v>
      </c>
      <c r="K39" s="797">
        <f>H39+J39</f>
        <v>5928</v>
      </c>
      <c r="L39" s="885"/>
      <c r="M39" s="1482"/>
      <c r="N39" s="1482"/>
      <c r="O39" s="1482"/>
      <c r="P39" s="1482"/>
      <c r="Q39" s="1482"/>
      <c r="R39" s="1482"/>
      <c r="S39" s="1482"/>
      <c r="T39" s="1482"/>
      <c r="U39" s="1482"/>
    </row>
    <row r="40" spans="1:21" s="886" customFormat="1" ht="24" customHeight="1">
      <c r="A40" s="2269"/>
      <c r="B40" s="720" t="s">
        <v>2998</v>
      </c>
      <c r="C40" s="706"/>
      <c r="D40" s="990"/>
      <c r="E40" s="721"/>
      <c r="F40" s="722" t="s">
        <v>240</v>
      </c>
      <c r="G40" s="795">
        <v>22500</v>
      </c>
      <c r="H40" s="796">
        <f>ROUND(E40*G40,)</f>
        <v>0</v>
      </c>
      <c r="I40" s="865">
        <f>ROUND(G40*0.01,)</f>
        <v>225</v>
      </c>
      <c r="J40" s="796">
        <f>ROUND(I40*E40,)</f>
        <v>0</v>
      </c>
      <c r="K40" s="797">
        <f>H40+J40</f>
        <v>0</v>
      </c>
      <c r="L40" s="885"/>
      <c r="M40" s="1482"/>
      <c r="N40" s="1482"/>
      <c r="O40" s="1482"/>
      <c r="P40" s="1482"/>
      <c r="Q40" s="1482"/>
      <c r="R40" s="1482"/>
      <c r="S40" s="1482"/>
      <c r="T40" s="1482"/>
      <c r="U40" s="1482"/>
    </row>
    <row r="41" spans="1:21" s="886" customFormat="1" ht="24" customHeight="1">
      <c r="A41" s="1132" t="s">
        <v>1607</v>
      </c>
      <c r="B41" s="720" t="s">
        <v>3000</v>
      </c>
      <c r="C41" s="706"/>
      <c r="D41" s="990"/>
      <c r="E41" s="721"/>
      <c r="F41" s="722"/>
      <c r="G41" s="795"/>
      <c r="H41" s="796"/>
      <c r="I41" s="797"/>
      <c r="J41" s="796"/>
      <c r="K41" s="797"/>
      <c r="L41" s="885"/>
      <c r="M41" s="1482"/>
      <c r="N41" s="1482"/>
      <c r="O41" s="1482"/>
      <c r="P41" s="1482"/>
      <c r="Q41" s="1482"/>
      <c r="R41" s="1482"/>
      <c r="S41" s="1482"/>
      <c r="T41" s="1482"/>
      <c r="U41" s="1482"/>
    </row>
    <row r="42" spans="1:21" s="886" customFormat="1" ht="24" customHeight="1">
      <c r="A42" s="2269"/>
      <c r="B42" s="720" t="s">
        <v>2996</v>
      </c>
      <c r="C42" s="706"/>
      <c r="D42" s="990"/>
      <c r="E42" s="721">
        <v>2</v>
      </c>
      <c r="F42" s="722" t="s">
        <v>240</v>
      </c>
      <c r="G42" s="858">
        <v>68500</v>
      </c>
      <c r="H42" s="796">
        <f t="shared" ref="H42:H47" si="0">ROUND(E42*G42,)</f>
        <v>137000</v>
      </c>
      <c r="I42" s="865">
        <f>ROUND(G42*0.01,)</f>
        <v>685</v>
      </c>
      <c r="J42" s="796">
        <f t="shared" ref="J42:J47" si="1">ROUND(I42*E42,)</f>
        <v>1370</v>
      </c>
      <c r="K42" s="797">
        <f t="shared" ref="K42:K47" si="2">H42+J42</f>
        <v>138370</v>
      </c>
      <c r="L42" s="885"/>
      <c r="M42" s="1482"/>
      <c r="N42" s="1482"/>
      <c r="O42" s="1482"/>
      <c r="P42" s="1482"/>
      <c r="Q42" s="1482"/>
      <c r="R42" s="1482"/>
      <c r="S42" s="1482"/>
      <c r="T42" s="1482"/>
      <c r="U42" s="1482"/>
    </row>
    <row r="43" spans="1:21" s="886" customFormat="1" ht="24" customHeight="1">
      <c r="A43" s="2269"/>
      <c r="B43" s="720" t="s">
        <v>1614</v>
      </c>
      <c r="C43" s="706"/>
      <c r="D43" s="990"/>
      <c r="E43" s="721">
        <v>10</v>
      </c>
      <c r="F43" s="722" t="s">
        <v>240</v>
      </c>
      <c r="G43" s="795">
        <v>3598</v>
      </c>
      <c r="H43" s="796">
        <f t="shared" si="0"/>
        <v>35980</v>
      </c>
      <c r="I43" s="865">
        <f>ROUND(G43*0.01,)</f>
        <v>36</v>
      </c>
      <c r="J43" s="796">
        <f t="shared" si="1"/>
        <v>360</v>
      </c>
      <c r="K43" s="797">
        <f t="shared" si="2"/>
        <v>36340</v>
      </c>
      <c r="L43" s="885"/>
      <c r="M43" s="1482"/>
      <c r="N43" s="1482"/>
      <c r="O43" s="1482"/>
      <c r="P43" s="1482"/>
      <c r="Q43" s="1482"/>
      <c r="R43" s="1482"/>
      <c r="S43" s="1482"/>
      <c r="T43" s="1482"/>
      <c r="U43" s="1482"/>
    </row>
    <row r="44" spans="1:21" s="886" customFormat="1" ht="24" customHeight="1">
      <c r="A44" s="2269"/>
      <c r="B44" s="720" t="s">
        <v>2997</v>
      </c>
      <c r="C44" s="706"/>
      <c r="D44" s="990"/>
      <c r="E44" s="721">
        <v>240</v>
      </c>
      <c r="F44" s="722" t="s">
        <v>240</v>
      </c>
      <c r="G44" s="795">
        <v>245</v>
      </c>
      <c r="H44" s="796">
        <f t="shared" si="0"/>
        <v>58800</v>
      </c>
      <c r="I44" s="865">
        <f>ROUND(G44*0.01,)</f>
        <v>2</v>
      </c>
      <c r="J44" s="796">
        <f t="shared" si="1"/>
        <v>480</v>
      </c>
      <c r="K44" s="797">
        <f t="shared" si="2"/>
        <v>59280</v>
      </c>
      <c r="L44" s="885"/>
      <c r="M44" s="1482"/>
      <c r="N44" s="1482"/>
      <c r="O44" s="1482"/>
      <c r="P44" s="1482"/>
      <c r="Q44" s="1482"/>
      <c r="R44" s="1482"/>
      <c r="S44" s="1482"/>
      <c r="T44" s="1482"/>
      <c r="U44" s="1482"/>
    </row>
    <row r="45" spans="1:21" s="886" customFormat="1" ht="24" customHeight="1">
      <c r="A45" s="2269"/>
      <c r="B45" s="720" t="s">
        <v>2998</v>
      </c>
      <c r="C45" s="706"/>
      <c r="D45" s="990"/>
      <c r="E45" s="721">
        <v>1</v>
      </c>
      <c r="F45" s="722" t="s">
        <v>240</v>
      </c>
      <c r="G45" s="795">
        <v>22500</v>
      </c>
      <c r="H45" s="796">
        <f t="shared" si="0"/>
        <v>22500</v>
      </c>
      <c r="I45" s="865">
        <f>ROUND(G45*0.01,)</f>
        <v>225</v>
      </c>
      <c r="J45" s="796">
        <f t="shared" si="1"/>
        <v>225</v>
      </c>
      <c r="K45" s="797">
        <f t="shared" si="2"/>
        <v>22725</v>
      </c>
      <c r="L45" s="885"/>
      <c r="M45" s="1482"/>
      <c r="N45" s="1482"/>
      <c r="O45" s="1482"/>
      <c r="P45" s="1482"/>
      <c r="Q45" s="1482"/>
      <c r="R45" s="1482"/>
      <c r="S45" s="1482"/>
      <c r="T45" s="1482"/>
      <c r="U45" s="1482"/>
    </row>
    <row r="46" spans="1:21" s="714" customFormat="1" ht="24" customHeight="1">
      <c r="A46" s="989" t="s">
        <v>1608</v>
      </c>
      <c r="B46" s="720" t="s">
        <v>2983</v>
      </c>
      <c r="C46" s="706"/>
      <c r="D46" s="990"/>
      <c r="E46" s="721">
        <v>1</v>
      </c>
      <c r="F46" s="722" t="s">
        <v>240</v>
      </c>
      <c r="G46" s="795">
        <v>45000</v>
      </c>
      <c r="H46" s="796">
        <f t="shared" si="0"/>
        <v>45000</v>
      </c>
      <c r="I46" s="797"/>
      <c r="J46" s="796">
        <f t="shared" si="1"/>
        <v>0</v>
      </c>
      <c r="K46" s="797">
        <f t="shared" si="2"/>
        <v>45000</v>
      </c>
      <c r="L46" s="830"/>
      <c r="M46" s="729"/>
      <c r="N46" s="729"/>
      <c r="O46" s="729"/>
      <c r="P46" s="729"/>
      <c r="Q46" s="729"/>
      <c r="R46" s="729"/>
      <c r="S46" s="729"/>
      <c r="T46" s="729"/>
      <c r="U46" s="729"/>
    </row>
    <row r="47" spans="1:21" s="714" customFormat="1" ht="24" customHeight="1">
      <c r="A47" s="989" t="s">
        <v>1619</v>
      </c>
      <c r="B47" s="720" t="s">
        <v>2985</v>
      </c>
      <c r="C47" s="706"/>
      <c r="D47" s="990"/>
      <c r="E47" s="721">
        <v>1</v>
      </c>
      <c r="F47" s="722" t="s">
        <v>240</v>
      </c>
      <c r="G47" s="795">
        <v>7500</v>
      </c>
      <c r="H47" s="796">
        <f t="shared" si="0"/>
        <v>7500</v>
      </c>
      <c r="I47" s="797"/>
      <c r="J47" s="796">
        <f t="shared" si="1"/>
        <v>0</v>
      </c>
      <c r="K47" s="797">
        <f t="shared" si="2"/>
        <v>7500</v>
      </c>
      <c r="L47" s="830"/>
      <c r="M47" s="729"/>
      <c r="N47" s="729"/>
      <c r="O47" s="729"/>
      <c r="P47" s="729"/>
      <c r="Q47" s="729"/>
      <c r="R47" s="729"/>
      <c r="S47" s="729"/>
      <c r="T47" s="729"/>
      <c r="U47" s="729"/>
    </row>
    <row r="48" spans="1:21" s="714" customFormat="1" ht="24" customHeight="1">
      <c r="A48" s="1132" t="s">
        <v>1605</v>
      </c>
      <c r="B48" s="720" t="s">
        <v>1235</v>
      </c>
      <c r="C48" s="706"/>
      <c r="D48" s="990"/>
      <c r="E48" s="721"/>
      <c r="F48" s="722"/>
      <c r="G48" s="795"/>
      <c r="H48" s="796"/>
      <c r="I48" s="797"/>
      <c r="J48" s="796"/>
      <c r="K48" s="797"/>
      <c r="L48" s="830"/>
      <c r="M48" s="729"/>
      <c r="N48" s="729"/>
      <c r="O48" s="729"/>
      <c r="P48" s="729"/>
      <c r="Q48" s="729"/>
      <c r="R48" s="729"/>
      <c r="S48" s="729"/>
      <c r="T48" s="729"/>
      <c r="U48" s="729"/>
    </row>
    <row r="49" spans="1:21" s="714" customFormat="1" ht="24" customHeight="1">
      <c r="A49" s="1133"/>
      <c r="B49" s="720" t="s">
        <v>1606</v>
      </c>
      <c r="C49" s="706"/>
      <c r="D49" s="990"/>
      <c r="E49" s="721">
        <v>3200</v>
      </c>
      <c r="F49" s="722" t="s">
        <v>438</v>
      </c>
      <c r="G49" s="806">
        <v>27</v>
      </c>
      <c r="H49" s="796">
        <f>ROUND(E49*G49,)</f>
        <v>86400</v>
      </c>
      <c r="I49" s="807">
        <v>12</v>
      </c>
      <c r="J49" s="796">
        <f t="shared" ref="J49:J53" si="3">ROUND(E49*I49,)</f>
        <v>38400</v>
      </c>
      <c r="K49" s="914">
        <f t="shared" ref="K49:K53" si="4">H49+J49</f>
        <v>124800</v>
      </c>
      <c r="L49" s="830"/>
      <c r="M49" s="729"/>
      <c r="N49" s="729"/>
      <c r="O49" s="729"/>
      <c r="P49" s="729"/>
      <c r="Q49" s="729"/>
      <c r="R49" s="729"/>
      <c r="S49" s="729"/>
      <c r="T49" s="729"/>
      <c r="U49" s="729"/>
    </row>
    <row r="50" spans="1:21" s="714" customFormat="1" ht="24" customHeight="1">
      <c r="A50" s="831"/>
      <c r="B50" s="720" t="s">
        <v>947</v>
      </c>
      <c r="C50" s="717"/>
      <c r="D50" s="717"/>
      <c r="E50" s="942">
        <v>1</v>
      </c>
      <c r="F50" s="916" t="s">
        <v>948</v>
      </c>
      <c r="G50" s="806">
        <f>ROUND(SUM(H49)*5%,)</f>
        <v>4320</v>
      </c>
      <c r="H50" s="796">
        <f>ROUND(E50*G50,)</f>
        <v>4320</v>
      </c>
      <c r="I50" s="807">
        <f>ROUND(G50*0.3,)</f>
        <v>1296</v>
      </c>
      <c r="J50" s="796">
        <f>ROUND(E50*I50,)</f>
        <v>1296</v>
      </c>
      <c r="K50" s="914">
        <f>H50+J50</f>
        <v>5616</v>
      </c>
      <c r="L50" s="920"/>
    </row>
    <row r="51" spans="1:21" s="714" customFormat="1" ht="24" customHeight="1">
      <c r="A51" s="1134" t="s">
        <v>1607</v>
      </c>
      <c r="B51" s="705" t="s">
        <v>1252</v>
      </c>
      <c r="C51" s="717"/>
      <c r="D51" s="990"/>
      <c r="E51" s="721"/>
      <c r="F51" s="939"/>
      <c r="G51" s="806"/>
      <c r="H51" s="918"/>
      <c r="I51" s="807"/>
      <c r="J51" s="919"/>
      <c r="K51" s="919"/>
      <c r="L51" s="830"/>
      <c r="M51" s="729"/>
      <c r="N51" s="729"/>
      <c r="O51" s="729"/>
      <c r="P51" s="729"/>
      <c r="Q51" s="729"/>
      <c r="R51" s="729"/>
      <c r="S51" s="729"/>
      <c r="T51" s="729"/>
      <c r="U51" s="729"/>
    </row>
    <row r="52" spans="1:21" s="714" customFormat="1" ht="24" customHeight="1">
      <c r="A52" s="996"/>
      <c r="B52" s="705" t="s">
        <v>1193</v>
      </c>
      <c r="C52" s="717"/>
      <c r="D52" s="716"/>
      <c r="E52" s="1136">
        <v>350</v>
      </c>
      <c r="F52" s="794" t="s">
        <v>438</v>
      </c>
      <c r="G52" s="1135">
        <v>316</v>
      </c>
      <c r="H52" s="796">
        <f t="shared" ref="H52" si="5">ROUND(E52*G52,)</f>
        <v>110600</v>
      </c>
      <c r="I52" s="807">
        <v>50</v>
      </c>
      <c r="J52" s="796">
        <f t="shared" si="3"/>
        <v>17500</v>
      </c>
      <c r="K52" s="914">
        <f t="shared" si="4"/>
        <v>128100</v>
      </c>
      <c r="L52" s="830"/>
      <c r="M52" s="729"/>
      <c r="N52" s="729"/>
      <c r="O52" s="729"/>
      <c r="P52" s="729"/>
      <c r="Q52" s="729"/>
      <c r="R52" s="729"/>
      <c r="S52" s="729"/>
      <c r="T52" s="729"/>
      <c r="U52" s="729"/>
    </row>
    <row r="53" spans="1:21" s="714" customFormat="1" ht="24" customHeight="1">
      <c r="A53" s="831"/>
      <c r="B53" s="720" t="s">
        <v>1253</v>
      </c>
      <c r="C53" s="717"/>
      <c r="D53" s="717"/>
      <c r="E53" s="1136">
        <v>350</v>
      </c>
      <c r="F53" s="794" t="s">
        <v>438</v>
      </c>
      <c r="G53" s="806">
        <v>455</v>
      </c>
      <c r="H53" s="918">
        <f>ROUND(E53*G53,)</f>
        <v>159250</v>
      </c>
      <c r="I53" s="807">
        <v>69</v>
      </c>
      <c r="J53" s="914">
        <f t="shared" si="3"/>
        <v>24150</v>
      </c>
      <c r="K53" s="914">
        <f t="shared" si="4"/>
        <v>183400</v>
      </c>
      <c r="L53" s="920"/>
    </row>
    <row r="54" spans="1:21" s="714" customFormat="1" ht="24" customHeight="1">
      <c r="A54" s="996"/>
      <c r="B54" s="720" t="s">
        <v>1237</v>
      </c>
      <c r="C54" s="706"/>
      <c r="D54" s="990"/>
      <c r="E54" s="721">
        <v>1</v>
      </c>
      <c r="F54" s="722" t="s">
        <v>948</v>
      </c>
      <c r="G54" s="795">
        <f>ROUND(SUM(H52:H53)*15%,0)</f>
        <v>40478</v>
      </c>
      <c r="H54" s="796">
        <f>ROUND(E54*G54,)</f>
        <v>40478</v>
      </c>
      <c r="I54" s="797">
        <f>ROUND(G54*0.3,0)</f>
        <v>12143</v>
      </c>
      <c r="J54" s="796">
        <f>ROUND(I54*E54,)</f>
        <v>12143</v>
      </c>
      <c r="K54" s="797">
        <f>H54+J54</f>
        <v>52621</v>
      </c>
      <c r="L54" s="830"/>
      <c r="M54" s="729"/>
      <c r="N54" s="729"/>
      <c r="O54" s="729"/>
      <c r="P54" s="729"/>
      <c r="Q54" s="729"/>
      <c r="R54" s="729"/>
      <c r="S54" s="729"/>
      <c r="T54" s="729"/>
      <c r="U54" s="729"/>
    </row>
    <row r="55" spans="1:21" s="714" customFormat="1" ht="24" customHeight="1">
      <c r="A55" s="1134" t="s">
        <v>1608</v>
      </c>
      <c r="B55" s="720" t="s">
        <v>1238</v>
      </c>
      <c r="C55" s="706"/>
      <c r="D55" s="990"/>
      <c r="E55" s="721">
        <v>1</v>
      </c>
      <c r="F55" s="722" t="s">
        <v>948</v>
      </c>
      <c r="G55" s="795"/>
      <c r="H55" s="796"/>
      <c r="I55" s="797">
        <v>100000</v>
      </c>
      <c r="J55" s="796">
        <f>I55*E55</f>
        <v>100000</v>
      </c>
      <c r="K55" s="797">
        <f>J55+H55</f>
        <v>100000</v>
      </c>
      <c r="L55" s="830"/>
      <c r="M55" s="729"/>
      <c r="N55" s="729"/>
      <c r="O55" s="729"/>
      <c r="P55" s="729"/>
      <c r="Q55" s="729"/>
      <c r="R55" s="729"/>
      <c r="S55" s="729"/>
      <c r="T55" s="729"/>
      <c r="U55" s="729"/>
    </row>
    <row r="56" spans="1:21" s="714" customFormat="1" ht="24" customHeight="1">
      <c r="A56" s="996"/>
      <c r="B56" s="720" t="s">
        <v>957</v>
      </c>
      <c r="C56" s="706"/>
      <c r="D56" s="990"/>
      <c r="E56" s="721"/>
      <c r="F56" s="722"/>
      <c r="G56" s="795"/>
      <c r="H56" s="796"/>
      <c r="I56" s="797"/>
      <c r="J56" s="796"/>
      <c r="K56" s="797"/>
      <c r="L56" s="830"/>
      <c r="M56" s="729"/>
      <c r="N56" s="729"/>
      <c r="O56" s="729"/>
      <c r="P56" s="729"/>
      <c r="Q56" s="729"/>
      <c r="R56" s="729"/>
      <c r="S56" s="729"/>
      <c r="T56" s="729"/>
      <c r="U56" s="729"/>
    </row>
    <row r="57" spans="1:21" s="714" customFormat="1" ht="24" customHeight="1">
      <c r="A57" s="996"/>
      <c r="B57" s="720" t="s">
        <v>958</v>
      </c>
      <c r="C57" s="706"/>
      <c r="D57" s="990"/>
      <c r="E57" s="721"/>
      <c r="F57" s="722"/>
      <c r="G57" s="795"/>
      <c r="H57" s="796"/>
      <c r="I57" s="797"/>
      <c r="J57" s="796"/>
      <c r="K57" s="797"/>
      <c r="L57" s="830"/>
      <c r="M57" s="729"/>
      <c r="N57" s="729"/>
      <c r="O57" s="729"/>
      <c r="P57" s="729"/>
      <c r="Q57" s="729"/>
      <c r="R57" s="729"/>
      <c r="S57" s="729"/>
      <c r="T57" s="729"/>
      <c r="U57" s="729"/>
    </row>
    <row r="58" spans="1:21" s="714" customFormat="1" ht="24" customHeight="1">
      <c r="A58" s="777"/>
      <c r="B58" s="2475" t="str">
        <f>"รวมราคารายการที่ "&amp;A35</f>
        <v>รวมราคารายการที่ 4.1</v>
      </c>
      <c r="C58" s="2476"/>
      <c r="D58" s="2477"/>
      <c r="E58" s="997"/>
      <c r="F58" s="777"/>
      <c r="G58" s="959"/>
      <c r="H58" s="960">
        <f>SUM(H35:H57)</f>
        <v>717306</v>
      </c>
      <c r="I58" s="959"/>
      <c r="J58" s="960">
        <f>SUM(J35:J57)</f>
        <v>196008</v>
      </c>
      <c r="K58" s="960">
        <f>SUM(K35:K57)</f>
        <v>913314</v>
      </c>
      <c r="L58" s="777"/>
      <c r="M58" s="729"/>
      <c r="N58" s="729"/>
      <c r="O58" s="729"/>
      <c r="P58" s="729"/>
      <c r="Q58" s="729"/>
      <c r="R58" s="729"/>
      <c r="S58" s="729"/>
      <c r="T58" s="729"/>
      <c r="U58" s="729"/>
    </row>
  </sheetData>
  <mergeCells count="10">
    <mergeCell ref="B34:D34"/>
    <mergeCell ref="B58:D58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(Main Equipment)-อาคารสนับนุน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278ED-FD20-49FD-ADDD-66491B92D143}">
  <sheetPr>
    <tabColor rgb="FF92D050"/>
  </sheetPr>
  <dimension ref="A1:U57"/>
  <sheetViews>
    <sheetView tabSelected="1" view="pageBreakPreview" topLeftCell="A29" zoomScale="55" zoomScaleNormal="100" zoomScaleSheetLayoutView="5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8.1171875" style="1" customWidth="1"/>
    <col min="13" max="99" width="7.703125" style="1" customWidth="1"/>
    <col min="100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1603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84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85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80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81"/>
    </row>
    <row r="11" spans="1:12" ht="24" customHeight="1">
      <c r="A11" s="1115" t="s">
        <v>27</v>
      </c>
      <c r="B11" s="1116" t="s">
        <v>1609</v>
      </c>
      <c r="C11" s="1117"/>
      <c r="D11" s="1118"/>
      <c r="E11" s="694"/>
      <c r="F11" s="695"/>
      <c r="G11" s="696"/>
      <c r="H11" s="697"/>
      <c r="I11" s="698"/>
      <c r="J11" s="697"/>
      <c r="K11" s="699"/>
      <c r="L11" s="953"/>
    </row>
    <row r="12" spans="1:12" ht="24" customHeight="1">
      <c r="A12" s="1119"/>
      <c r="B12" s="1120"/>
      <c r="C12" s="1121"/>
      <c r="D12" s="1122"/>
      <c r="E12" s="694"/>
      <c r="F12" s="695"/>
      <c r="G12" s="696"/>
      <c r="H12" s="697"/>
      <c r="I12" s="698"/>
      <c r="J12" s="697"/>
      <c r="K12" s="699"/>
      <c r="L12" s="953"/>
    </row>
    <row r="13" spans="1:12" s="714" customFormat="1" ht="24" customHeight="1">
      <c r="A13" s="704">
        <f>A35</f>
        <v>4.0999999999999996</v>
      </c>
      <c r="B13" s="705" t="str">
        <f>B35</f>
        <v>ระบบโทรทัศน์วงจรปิด (Closed Circuit TV System)</v>
      </c>
      <c r="C13" s="706"/>
      <c r="D13" s="707"/>
      <c r="E13" s="708">
        <v>1</v>
      </c>
      <c r="F13" s="709" t="s">
        <v>19</v>
      </c>
      <c r="G13" s="710"/>
      <c r="H13" s="711">
        <f>H57</f>
        <v>1634675</v>
      </c>
      <c r="I13" s="712"/>
      <c r="J13" s="711">
        <f>J57</f>
        <v>60323</v>
      </c>
      <c r="K13" s="711">
        <f>SUM(H13:J13)</f>
        <v>1694998</v>
      </c>
      <c r="L13" s="1024"/>
    </row>
    <row r="14" spans="1:12" s="714" customFormat="1" ht="24" customHeight="1">
      <c r="A14" s="704"/>
      <c r="B14" s="720"/>
      <c r="C14" s="716"/>
      <c r="D14" s="990"/>
      <c r="E14" s="721"/>
      <c r="F14" s="722"/>
      <c r="G14" s="710"/>
      <c r="H14" s="711"/>
      <c r="I14" s="712"/>
      <c r="J14" s="711"/>
      <c r="K14" s="711"/>
      <c r="L14" s="1024"/>
    </row>
    <row r="15" spans="1:12" s="714" customFormat="1" ht="24" customHeight="1">
      <c r="A15" s="719"/>
      <c r="B15" s="720"/>
      <c r="C15" s="717"/>
      <c r="D15" s="718"/>
      <c r="E15" s="721"/>
      <c r="F15" s="722"/>
      <c r="G15" s="710"/>
      <c r="H15" s="711"/>
      <c r="I15" s="712"/>
      <c r="J15" s="711"/>
      <c r="K15" s="711"/>
      <c r="L15" s="1024"/>
    </row>
    <row r="16" spans="1:12" s="714" customFormat="1" ht="24" customHeight="1">
      <c r="A16" s="719"/>
      <c r="B16" s="720"/>
      <c r="C16" s="717"/>
      <c r="D16" s="718"/>
      <c r="E16" s="721"/>
      <c r="F16" s="722"/>
      <c r="G16" s="710"/>
      <c r="H16" s="711"/>
      <c r="I16" s="712"/>
      <c r="J16" s="711"/>
      <c r="K16" s="711"/>
      <c r="L16" s="1024"/>
    </row>
    <row r="17" spans="1:12" s="714" customFormat="1" ht="24" customHeight="1">
      <c r="A17" s="719"/>
      <c r="B17" s="720"/>
      <c r="C17" s="717"/>
      <c r="D17" s="718"/>
      <c r="E17" s="721"/>
      <c r="F17" s="722"/>
      <c r="G17" s="710"/>
      <c r="H17" s="711"/>
      <c r="I17" s="712"/>
      <c r="J17" s="711"/>
      <c r="K17" s="711"/>
      <c r="L17" s="1024"/>
    </row>
    <row r="18" spans="1:12" s="714" customFormat="1" ht="24" customHeight="1">
      <c r="A18" s="719"/>
      <c r="B18" s="720"/>
      <c r="C18" s="717"/>
      <c r="D18" s="718"/>
      <c r="E18" s="721"/>
      <c r="F18" s="722"/>
      <c r="G18" s="710"/>
      <c r="H18" s="711"/>
      <c r="I18" s="712"/>
      <c r="J18" s="711"/>
      <c r="K18" s="711"/>
      <c r="L18" s="1024"/>
    </row>
    <row r="19" spans="1:12" s="714" customFormat="1" ht="24" customHeight="1">
      <c r="A19" s="719"/>
      <c r="B19" s="720"/>
      <c r="C19" s="717"/>
      <c r="D19" s="718"/>
      <c r="E19" s="721"/>
      <c r="F19" s="722"/>
      <c r="G19" s="710"/>
      <c r="H19" s="711"/>
      <c r="I19" s="712"/>
      <c r="J19" s="711"/>
      <c r="K19" s="711"/>
      <c r="L19" s="1024"/>
    </row>
    <row r="20" spans="1:12" s="714" customFormat="1" ht="24" customHeight="1">
      <c r="A20" s="719"/>
      <c r="B20" s="720"/>
      <c r="C20" s="717"/>
      <c r="D20" s="718"/>
      <c r="E20" s="721"/>
      <c r="F20" s="722"/>
      <c r="G20" s="710"/>
      <c r="H20" s="711"/>
      <c r="I20" s="712"/>
      <c r="J20" s="711"/>
      <c r="K20" s="711"/>
      <c r="L20" s="1024"/>
    </row>
    <row r="21" spans="1:12" s="714" customFormat="1" ht="24" customHeight="1">
      <c r="A21" s="719"/>
      <c r="B21" s="720"/>
      <c r="C21" s="717"/>
      <c r="D21" s="718"/>
      <c r="E21" s="721"/>
      <c r="F21" s="722"/>
      <c r="G21" s="710"/>
      <c r="H21" s="711"/>
      <c r="I21" s="712"/>
      <c r="J21" s="711"/>
      <c r="K21" s="711"/>
      <c r="L21" s="1024"/>
    </row>
    <row r="22" spans="1:12" s="714" customFormat="1" ht="24" customHeight="1">
      <c r="A22" s="719"/>
      <c r="B22" s="720"/>
      <c r="C22" s="717"/>
      <c r="D22" s="718"/>
      <c r="E22" s="721"/>
      <c r="F22" s="722"/>
      <c r="G22" s="710"/>
      <c r="H22" s="711"/>
      <c r="I22" s="712"/>
      <c r="J22" s="711"/>
      <c r="K22" s="711"/>
      <c r="L22" s="1024"/>
    </row>
    <row r="23" spans="1:12" s="714" customFormat="1" ht="24" customHeight="1">
      <c r="A23" s="1125"/>
      <c r="B23" s="720"/>
      <c r="C23" s="1123"/>
      <c r="D23" s="1124"/>
      <c r="E23" s="721"/>
      <c r="F23" s="722"/>
      <c r="G23" s="710"/>
      <c r="H23" s="711"/>
      <c r="I23" s="712"/>
      <c r="J23" s="711"/>
      <c r="K23" s="711"/>
      <c r="L23" s="1024"/>
    </row>
    <row r="24" spans="1:12" s="714" customFormat="1" ht="24" customHeight="1">
      <c r="A24" s="1125"/>
      <c r="B24" s="720"/>
      <c r="C24" s="1123"/>
      <c r="D24" s="1124"/>
      <c r="E24" s="721"/>
      <c r="F24" s="722"/>
      <c r="G24" s="710"/>
      <c r="H24" s="711"/>
      <c r="I24" s="712"/>
      <c r="J24" s="711"/>
      <c r="K24" s="711"/>
      <c r="L24" s="1024"/>
    </row>
    <row r="25" spans="1:12" s="714" customFormat="1" ht="24" customHeight="1">
      <c r="A25" s="1125"/>
      <c r="B25" s="720"/>
      <c r="C25" s="1123"/>
      <c r="D25" s="1124"/>
      <c r="E25" s="721"/>
      <c r="F25" s="722"/>
      <c r="G25" s="710"/>
      <c r="H25" s="711"/>
      <c r="I25" s="712"/>
      <c r="J25" s="711"/>
      <c r="K25" s="711"/>
      <c r="L25" s="1024"/>
    </row>
    <row r="26" spans="1:12" s="714" customFormat="1" ht="24" customHeight="1">
      <c r="A26" s="1125"/>
      <c r="B26" s="720"/>
      <c r="C26" s="1123"/>
      <c r="D26" s="1124"/>
      <c r="E26" s="721"/>
      <c r="F26" s="722"/>
      <c r="G26" s="710"/>
      <c r="H26" s="711"/>
      <c r="I26" s="712"/>
      <c r="J26" s="711"/>
      <c r="K26" s="711"/>
      <c r="L26" s="1024"/>
    </row>
    <row r="27" spans="1:12" s="714" customFormat="1" ht="24" customHeight="1">
      <c r="A27" s="1125"/>
      <c r="B27" s="720"/>
      <c r="C27" s="1123"/>
      <c r="D27" s="1124"/>
      <c r="E27" s="721"/>
      <c r="F27" s="722"/>
      <c r="G27" s="710"/>
      <c r="H27" s="711"/>
      <c r="I27" s="712"/>
      <c r="J27" s="711"/>
      <c r="K27" s="711"/>
      <c r="L27" s="1024"/>
    </row>
    <row r="28" spans="1:12" s="714" customFormat="1" ht="24" customHeight="1">
      <c r="A28" s="1125"/>
      <c r="B28" s="720"/>
      <c r="C28" s="1123"/>
      <c r="D28" s="1124"/>
      <c r="E28" s="721"/>
      <c r="F28" s="722"/>
      <c r="G28" s="710"/>
      <c r="H28" s="711"/>
      <c r="I28" s="712"/>
      <c r="J28" s="711"/>
      <c r="K28" s="711"/>
      <c r="L28" s="1024"/>
    </row>
    <row r="29" spans="1:12" s="714" customFormat="1" ht="24" customHeight="1">
      <c r="A29" s="1125"/>
      <c r="B29" s="720"/>
      <c r="C29" s="1123"/>
      <c r="D29" s="1124"/>
      <c r="E29" s="721"/>
      <c r="F29" s="722"/>
      <c r="G29" s="710"/>
      <c r="H29" s="711"/>
      <c r="I29" s="712"/>
      <c r="J29" s="711"/>
      <c r="K29" s="711"/>
      <c r="L29" s="1024"/>
    </row>
    <row r="30" spans="1:12" s="714" customFormat="1" ht="24" customHeight="1">
      <c r="A30" s="1125"/>
      <c r="B30" s="720"/>
      <c r="C30" s="1123"/>
      <c r="D30" s="1124"/>
      <c r="E30" s="721"/>
      <c r="F30" s="722"/>
      <c r="G30" s="710"/>
      <c r="H30" s="711"/>
      <c r="I30" s="712"/>
      <c r="J30" s="711"/>
      <c r="K30" s="711"/>
      <c r="L30" s="1024"/>
    </row>
    <row r="31" spans="1:12" s="714" customFormat="1" ht="24" customHeight="1">
      <c r="A31" s="1125"/>
      <c r="B31" s="720"/>
      <c r="C31" s="1123"/>
      <c r="D31" s="1124"/>
      <c r="E31" s="721"/>
      <c r="F31" s="722"/>
      <c r="G31" s="710"/>
      <c r="H31" s="711"/>
      <c r="I31" s="712"/>
      <c r="J31" s="711"/>
      <c r="K31" s="711"/>
      <c r="L31" s="1024"/>
    </row>
    <row r="32" spans="1:12" s="714" customFormat="1" ht="24" customHeight="1">
      <c r="A32" s="1125"/>
      <c r="B32" s="720"/>
      <c r="C32" s="1123"/>
      <c r="D32" s="1124"/>
      <c r="E32" s="721"/>
      <c r="F32" s="722"/>
      <c r="G32" s="710"/>
      <c r="H32" s="711"/>
      <c r="I32" s="712"/>
      <c r="J32" s="711"/>
      <c r="K32" s="711"/>
      <c r="L32" s="1024"/>
    </row>
    <row r="33" spans="1:21" s="714" customFormat="1" ht="24" customHeight="1">
      <c r="A33" s="1126"/>
      <c r="B33" s="1127"/>
      <c r="C33" s="1123"/>
      <c r="D33" s="1124"/>
      <c r="E33" s="1128"/>
      <c r="F33" s="722"/>
      <c r="G33" s="710"/>
      <c r="H33" s="711"/>
      <c r="I33" s="712"/>
      <c r="J33" s="711"/>
      <c r="K33" s="1129"/>
      <c r="L33" s="1024"/>
    </row>
    <row r="34" spans="1:21" s="714" customFormat="1" ht="25.15" customHeight="1">
      <c r="A34" s="777"/>
      <c r="B34" s="2475" t="str">
        <f>"รวมราคา"&amp;B11</f>
        <v>รวมราคาระบบโทรทัศน์วงจรปิด (Closed Circuit TV System) ชั้น B2</v>
      </c>
      <c r="C34" s="2476"/>
      <c r="D34" s="2477"/>
      <c r="E34" s="997"/>
      <c r="F34" s="777"/>
      <c r="G34" s="959"/>
      <c r="H34" s="960">
        <f>SUM(H12:H33)</f>
        <v>1634675</v>
      </c>
      <c r="I34" s="959"/>
      <c r="J34" s="960">
        <f>SUM(J11:J33)</f>
        <v>60323</v>
      </c>
      <c r="K34" s="1130">
        <f>SUM(K11:K33)</f>
        <v>1694998</v>
      </c>
      <c r="L34" s="777"/>
      <c r="M34" s="729"/>
      <c r="N34" s="729"/>
      <c r="O34" s="729"/>
      <c r="P34" s="729"/>
      <c r="Q34" s="729"/>
      <c r="R34" s="729"/>
      <c r="S34" s="729"/>
      <c r="T34" s="729"/>
      <c r="U34" s="729"/>
    </row>
    <row r="35" spans="1:21" s="714" customFormat="1" ht="24" customHeight="1">
      <c r="A35" s="986">
        <v>4.0999999999999996</v>
      </c>
      <c r="B35" s="816" t="s">
        <v>28</v>
      </c>
      <c r="C35" s="987"/>
      <c r="D35" s="707"/>
      <c r="E35" s="708"/>
      <c r="F35" s="709"/>
      <c r="G35" s="853"/>
      <c r="H35" s="854"/>
      <c r="I35" s="855"/>
      <c r="J35" s="854"/>
      <c r="K35" s="855"/>
      <c r="L35" s="988"/>
      <c r="M35" s="729"/>
      <c r="N35" s="729"/>
      <c r="O35" s="729"/>
      <c r="P35" s="729"/>
      <c r="Q35" s="729"/>
      <c r="R35" s="729"/>
      <c r="S35" s="729"/>
      <c r="T35" s="729"/>
      <c r="U35" s="729"/>
    </row>
    <row r="36" spans="1:21" s="714" customFormat="1" ht="24" customHeight="1">
      <c r="A36" s="989" t="s">
        <v>1610</v>
      </c>
      <c r="B36" s="720" t="s">
        <v>1611</v>
      </c>
      <c r="C36" s="706"/>
      <c r="D36" s="990"/>
      <c r="E36" s="721">
        <v>4</v>
      </c>
      <c r="F36" s="722" t="s">
        <v>240</v>
      </c>
      <c r="G36" s="795">
        <v>22110</v>
      </c>
      <c r="H36" s="796">
        <f>ROUND(E36*G36,)</f>
        <v>88440</v>
      </c>
      <c r="I36" s="797">
        <v>500</v>
      </c>
      <c r="J36" s="796">
        <f>ROUND(I36*E36,)</f>
        <v>2000</v>
      </c>
      <c r="K36" s="797">
        <f>H36+J36</f>
        <v>90440</v>
      </c>
      <c r="L36" s="830"/>
      <c r="M36" s="729"/>
      <c r="N36" s="729"/>
      <c r="O36" s="729"/>
      <c r="P36" s="729"/>
      <c r="Q36" s="729"/>
      <c r="R36" s="729"/>
      <c r="S36" s="729"/>
      <c r="T36" s="729"/>
      <c r="U36" s="729"/>
    </row>
    <row r="37" spans="1:21" s="714" customFormat="1" ht="24" customHeight="1">
      <c r="A37" s="989" t="s">
        <v>1607</v>
      </c>
      <c r="B37" s="800" t="s">
        <v>1612</v>
      </c>
      <c r="C37" s="706"/>
      <c r="D37" s="990"/>
      <c r="E37" s="721">
        <v>17</v>
      </c>
      <c r="F37" s="722" t="s">
        <v>240</v>
      </c>
      <c r="G37" s="795">
        <v>31000</v>
      </c>
      <c r="H37" s="796">
        <f>ROUND(E37*G37,)</f>
        <v>527000</v>
      </c>
      <c r="I37" s="797">
        <v>500</v>
      </c>
      <c r="J37" s="796">
        <f>ROUND(I37*E37,)</f>
        <v>8500</v>
      </c>
      <c r="K37" s="797">
        <f>H37+J37</f>
        <v>535500</v>
      </c>
      <c r="L37" s="830"/>
      <c r="M37" s="729"/>
      <c r="N37" s="729"/>
      <c r="O37" s="729"/>
      <c r="P37" s="729"/>
      <c r="Q37" s="729"/>
      <c r="R37" s="729"/>
      <c r="S37" s="729"/>
      <c r="T37" s="729"/>
      <c r="U37" s="729"/>
    </row>
    <row r="38" spans="1:21" s="714" customFormat="1" ht="24" customHeight="1">
      <c r="A38" s="989" t="s">
        <v>1608</v>
      </c>
      <c r="B38" s="800" t="s">
        <v>1613</v>
      </c>
      <c r="C38" s="706"/>
      <c r="D38" s="990"/>
      <c r="E38" s="721">
        <v>9</v>
      </c>
      <c r="F38" s="722" t="s">
        <v>240</v>
      </c>
      <c r="G38" s="795">
        <v>91800</v>
      </c>
      <c r="H38" s="796">
        <f>ROUND(E38*G38,)</f>
        <v>826200</v>
      </c>
      <c r="I38" s="797">
        <v>500</v>
      </c>
      <c r="J38" s="796">
        <f>ROUND(I38*E38,)</f>
        <v>4500</v>
      </c>
      <c r="K38" s="797">
        <f>H38+J38</f>
        <v>830700</v>
      </c>
      <c r="L38" s="830"/>
      <c r="M38" s="729"/>
      <c r="N38" s="729"/>
      <c r="O38" s="729"/>
      <c r="P38" s="729"/>
      <c r="Q38" s="729"/>
      <c r="R38" s="729"/>
      <c r="S38" s="729"/>
      <c r="T38" s="729"/>
      <c r="U38" s="729"/>
    </row>
    <row r="39" spans="1:21" s="714" customFormat="1" ht="24" customHeight="1">
      <c r="A39" s="992" t="s">
        <v>1608</v>
      </c>
      <c r="B39" s="720" t="s">
        <v>3021</v>
      </c>
      <c r="C39" s="706"/>
      <c r="D39" s="990"/>
      <c r="E39" s="721">
        <v>2</v>
      </c>
      <c r="F39" s="722" t="s">
        <v>240</v>
      </c>
      <c r="G39" s="806">
        <f>5230+1640+2260+30800+12320+4480</f>
        <v>56730</v>
      </c>
      <c r="H39" s="796">
        <f>ROUND(E39*G39,)</f>
        <v>113460</v>
      </c>
      <c r="I39" s="807">
        <f>CEILING(G39*0.025,100)</f>
        <v>1500</v>
      </c>
      <c r="J39" s="796">
        <f>ROUND(I39*E39,)</f>
        <v>3000</v>
      </c>
      <c r="K39" s="797">
        <f>H39+J39</f>
        <v>116460</v>
      </c>
      <c r="L39" s="830"/>
      <c r="M39" s="729"/>
      <c r="N39" s="729"/>
      <c r="O39" s="729"/>
      <c r="P39" s="729"/>
      <c r="Q39" s="729"/>
      <c r="R39" s="729"/>
      <c r="S39" s="729"/>
      <c r="T39" s="729"/>
      <c r="U39" s="729"/>
    </row>
    <row r="40" spans="1:21" s="714" customFormat="1" ht="24" customHeight="1">
      <c r="A40" s="992"/>
      <c r="B40" s="720" t="s">
        <v>1614</v>
      </c>
      <c r="C40" s="706"/>
      <c r="D40" s="990"/>
      <c r="E40" s="721"/>
      <c r="F40" s="722" t="s">
        <v>240</v>
      </c>
      <c r="G40" s="795" t="s">
        <v>974</v>
      </c>
      <c r="H40" s="796"/>
      <c r="I40" s="797"/>
      <c r="J40" s="796"/>
      <c r="K40" s="797"/>
      <c r="L40" s="830"/>
      <c r="M40" s="729"/>
      <c r="N40" s="729"/>
      <c r="O40" s="729"/>
      <c r="P40" s="729"/>
      <c r="Q40" s="729"/>
      <c r="R40" s="729"/>
      <c r="S40" s="729"/>
      <c r="T40" s="729"/>
      <c r="U40" s="729"/>
    </row>
    <row r="41" spans="1:21" s="714" customFormat="1" ht="24" customHeight="1">
      <c r="A41" s="992"/>
      <c r="B41" s="720" t="s">
        <v>1615</v>
      </c>
      <c r="C41" s="706"/>
      <c r="D41" s="990"/>
      <c r="E41" s="721"/>
      <c r="F41" s="722" t="s">
        <v>240</v>
      </c>
      <c r="G41" s="795" t="s">
        <v>974</v>
      </c>
      <c r="H41" s="796"/>
      <c r="I41" s="797"/>
      <c r="J41" s="796"/>
      <c r="K41" s="797"/>
      <c r="L41" s="830"/>
      <c r="M41" s="729"/>
      <c r="N41" s="729"/>
      <c r="O41" s="729"/>
      <c r="P41" s="729"/>
      <c r="Q41" s="729"/>
      <c r="R41" s="729"/>
      <c r="S41" s="729"/>
      <c r="T41" s="729"/>
      <c r="U41" s="729"/>
    </row>
    <row r="42" spans="1:21" s="714" customFormat="1" ht="24" customHeight="1">
      <c r="A42" s="993"/>
      <c r="B42" s="720" t="s">
        <v>1616</v>
      </c>
      <c r="C42" s="706"/>
      <c r="D42" s="990"/>
      <c r="E42" s="721"/>
      <c r="F42" s="722" t="s">
        <v>240</v>
      </c>
      <c r="G42" s="795" t="s">
        <v>974</v>
      </c>
      <c r="H42" s="796"/>
      <c r="I42" s="797"/>
      <c r="J42" s="796"/>
      <c r="K42" s="797"/>
      <c r="L42" s="830"/>
      <c r="M42" s="729"/>
      <c r="N42" s="729"/>
      <c r="O42" s="729"/>
      <c r="P42" s="729"/>
      <c r="Q42" s="729"/>
      <c r="R42" s="729"/>
      <c r="S42" s="729"/>
      <c r="T42" s="729"/>
      <c r="U42" s="729"/>
    </row>
    <row r="43" spans="1:21" s="714" customFormat="1" ht="24" customHeight="1">
      <c r="A43" s="993"/>
      <c r="B43" s="720" t="s">
        <v>1375</v>
      </c>
      <c r="C43" s="706"/>
      <c r="D43" s="990"/>
      <c r="E43" s="721"/>
      <c r="F43" s="722" t="s">
        <v>240</v>
      </c>
      <c r="G43" s="795" t="s">
        <v>974</v>
      </c>
      <c r="H43" s="796"/>
      <c r="I43" s="797"/>
      <c r="J43" s="796"/>
      <c r="K43" s="797"/>
      <c r="L43" s="830"/>
      <c r="M43" s="729"/>
      <c r="N43" s="729"/>
      <c r="O43" s="729"/>
      <c r="P43" s="729"/>
      <c r="Q43" s="729"/>
      <c r="R43" s="729"/>
      <c r="S43" s="729"/>
      <c r="T43" s="729"/>
      <c r="U43" s="729"/>
    </row>
    <row r="44" spans="1:21" s="714" customFormat="1" ht="24" customHeight="1">
      <c r="A44" s="1138"/>
      <c r="B44" s="720" t="s">
        <v>1617</v>
      </c>
      <c r="C44" s="987"/>
      <c r="D44" s="707"/>
      <c r="E44" s="708"/>
      <c r="F44" s="709" t="s">
        <v>240</v>
      </c>
      <c r="G44" s="795" t="s">
        <v>974</v>
      </c>
      <c r="H44" s="854"/>
      <c r="I44" s="855"/>
      <c r="J44" s="854"/>
      <c r="K44" s="855"/>
      <c r="L44" s="988"/>
      <c r="M44" s="729"/>
      <c r="N44" s="729"/>
      <c r="O44" s="729"/>
      <c r="P44" s="729"/>
      <c r="Q44" s="729"/>
      <c r="R44" s="729"/>
      <c r="S44" s="729"/>
      <c r="T44" s="729"/>
      <c r="U44" s="729"/>
    </row>
    <row r="45" spans="1:21" s="714" customFormat="1" ht="24" customHeight="1">
      <c r="A45" s="996"/>
      <c r="B45" s="720" t="s">
        <v>1618</v>
      </c>
      <c r="C45" s="706"/>
      <c r="D45" s="990"/>
      <c r="E45" s="721"/>
      <c r="F45" s="722" t="s">
        <v>240</v>
      </c>
      <c r="G45" s="795" t="s">
        <v>974</v>
      </c>
      <c r="H45" s="796"/>
      <c r="I45" s="797"/>
      <c r="J45" s="796"/>
      <c r="K45" s="797"/>
      <c r="L45" s="830"/>
      <c r="M45" s="729"/>
      <c r="N45" s="729"/>
      <c r="O45" s="729"/>
      <c r="P45" s="729"/>
      <c r="Q45" s="729"/>
      <c r="R45" s="729"/>
      <c r="S45" s="729"/>
      <c r="T45" s="729"/>
      <c r="U45" s="729"/>
    </row>
    <row r="46" spans="1:21" s="714" customFormat="1" ht="24" customHeight="1">
      <c r="A46" s="1132" t="s">
        <v>1619</v>
      </c>
      <c r="B46" s="720" t="s">
        <v>1378</v>
      </c>
      <c r="C46" s="706"/>
      <c r="D46" s="990"/>
      <c r="E46" s="721"/>
      <c r="F46" s="722"/>
      <c r="G46" s="795"/>
      <c r="H46" s="796"/>
      <c r="I46" s="797"/>
      <c r="J46" s="796"/>
      <c r="K46" s="797"/>
      <c r="L46" s="830"/>
      <c r="M46" s="729"/>
      <c r="N46" s="729"/>
      <c r="O46" s="729"/>
      <c r="P46" s="729"/>
      <c r="Q46" s="729"/>
      <c r="R46" s="729"/>
      <c r="S46" s="729"/>
      <c r="T46" s="729"/>
      <c r="U46" s="729"/>
    </row>
    <row r="47" spans="1:21" s="714" customFormat="1" ht="24" customHeight="1">
      <c r="A47" s="1134"/>
      <c r="B47" s="720" t="s">
        <v>1621</v>
      </c>
      <c r="C47" s="706"/>
      <c r="D47" s="990"/>
      <c r="E47" s="991">
        <v>1500</v>
      </c>
      <c r="F47" s="722" t="s">
        <v>438</v>
      </c>
      <c r="G47" s="795">
        <v>22</v>
      </c>
      <c r="H47" s="796">
        <f>ROUND(E47*G47,)</f>
        <v>33000</v>
      </c>
      <c r="I47" s="797">
        <v>5</v>
      </c>
      <c r="J47" s="796">
        <f>ROUND(I47*E47,)</f>
        <v>7500</v>
      </c>
      <c r="K47" s="797">
        <f>H47+J47</f>
        <v>40500</v>
      </c>
      <c r="L47" s="830"/>
      <c r="M47" s="729"/>
      <c r="N47" s="729"/>
      <c r="O47" s="729"/>
      <c r="P47" s="729"/>
      <c r="Q47" s="729"/>
      <c r="R47" s="729"/>
      <c r="S47" s="729"/>
      <c r="T47" s="729"/>
      <c r="U47" s="729"/>
    </row>
    <row r="48" spans="1:21" s="714" customFormat="1" ht="24" customHeight="1">
      <c r="A48" s="993" t="s">
        <v>1626</v>
      </c>
      <c r="B48" s="720" t="s">
        <v>1357</v>
      </c>
      <c r="C48" s="706"/>
      <c r="D48" s="990"/>
      <c r="E48" s="991"/>
      <c r="F48" s="722"/>
      <c r="G48" s="795"/>
      <c r="H48" s="796"/>
      <c r="I48" s="797"/>
      <c r="J48" s="796"/>
      <c r="K48" s="797"/>
      <c r="L48" s="830"/>
      <c r="M48" s="729"/>
      <c r="N48" s="729"/>
      <c r="O48" s="729"/>
      <c r="P48" s="729"/>
      <c r="Q48" s="729"/>
      <c r="R48" s="729"/>
      <c r="S48" s="729"/>
      <c r="T48" s="729"/>
      <c r="U48" s="729"/>
    </row>
    <row r="49" spans="1:21" s="714" customFormat="1" ht="24" customHeight="1">
      <c r="A49" s="1133"/>
      <c r="B49" s="720" t="s">
        <v>1201</v>
      </c>
      <c r="C49" s="706"/>
      <c r="D49" s="990"/>
      <c r="E49" s="942">
        <v>1500</v>
      </c>
      <c r="F49" s="794" t="s">
        <v>438</v>
      </c>
      <c r="G49" s="806">
        <v>27</v>
      </c>
      <c r="H49" s="796">
        <f>ROUND(E49*G49,)</f>
        <v>40500</v>
      </c>
      <c r="I49" s="807">
        <v>22</v>
      </c>
      <c r="J49" s="796">
        <f t="shared" ref="J49" si="0">ROUND(E49*I49,)</f>
        <v>33000</v>
      </c>
      <c r="K49" s="914">
        <f t="shared" ref="K49" si="1">H49+J49</f>
        <v>73500</v>
      </c>
      <c r="L49" s="1718" t="s">
        <v>2974</v>
      </c>
      <c r="M49" s="729"/>
      <c r="N49" s="714">
        <v>912.1</v>
      </c>
      <c r="O49" s="714">
        <f>ROUND(N49/100,)</f>
        <v>9</v>
      </c>
      <c r="P49" s="729"/>
      <c r="Q49" s="729"/>
      <c r="R49" s="729"/>
      <c r="S49" s="729"/>
      <c r="T49" s="729"/>
      <c r="U49" s="729"/>
    </row>
    <row r="50" spans="1:21" s="714" customFormat="1" ht="24" customHeight="1">
      <c r="A50" s="1134" t="s">
        <v>1624</v>
      </c>
      <c r="B50" s="720" t="s">
        <v>950</v>
      </c>
      <c r="C50" s="706"/>
      <c r="D50" s="990"/>
      <c r="E50" s="721"/>
      <c r="F50" s="722"/>
      <c r="G50" s="795"/>
      <c r="H50" s="796"/>
      <c r="I50" s="797"/>
      <c r="J50" s="796"/>
      <c r="K50" s="797"/>
      <c r="L50" s="830"/>
      <c r="M50" s="729"/>
      <c r="N50" s="729"/>
      <c r="O50" s="729"/>
      <c r="P50" s="729"/>
      <c r="Q50" s="729"/>
      <c r="R50" s="729"/>
      <c r="S50" s="729"/>
      <c r="T50" s="729"/>
      <c r="U50" s="729"/>
    </row>
    <row r="51" spans="1:21" s="714" customFormat="1" ht="24" customHeight="1">
      <c r="A51" s="996"/>
      <c r="B51" s="720" t="s">
        <v>1201</v>
      </c>
      <c r="C51" s="706"/>
      <c r="D51" s="990"/>
      <c r="E51" s="917"/>
      <c r="F51" s="794" t="s">
        <v>438</v>
      </c>
      <c r="G51" s="806">
        <v>56</v>
      </c>
      <c r="H51" s="796">
        <f>ROUND(E51*G51,)</f>
        <v>0</v>
      </c>
      <c r="I51" s="807">
        <v>26</v>
      </c>
      <c r="J51" s="796">
        <f t="shared" ref="J51" si="2">ROUND(E51*I51,)</f>
        <v>0</v>
      </c>
      <c r="K51" s="914">
        <f t="shared" ref="K51" si="3">H51+J51</f>
        <v>0</v>
      </c>
      <c r="L51" s="1718" t="s">
        <v>2974</v>
      </c>
      <c r="M51" s="729"/>
      <c r="N51" s="714">
        <v>912.1</v>
      </c>
      <c r="O51" s="714">
        <f>ROUND(N51/100,)</f>
        <v>9</v>
      </c>
      <c r="P51" s="729"/>
      <c r="Q51" s="729"/>
      <c r="R51" s="729"/>
      <c r="S51" s="729"/>
      <c r="T51" s="729"/>
      <c r="U51" s="729"/>
    </row>
    <row r="52" spans="1:21" s="714" customFormat="1" ht="24" customHeight="1">
      <c r="A52" s="996"/>
      <c r="B52" s="720" t="s">
        <v>1237</v>
      </c>
      <c r="C52" s="706"/>
      <c r="D52" s="990"/>
      <c r="E52" s="721">
        <v>1</v>
      </c>
      <c r="F52" s="722" t="s">
        <v>948</v>
      </c>
      <c r="G52" s="795">
        <f>SUM(H49:H51)*15%</f>
        <v>6075</v>
      </c>
      <c r="H52" s="796">
        <f>ROUND(E52*G52,)</f>
        <v>6075</v>
      </c>
      <c r="I52" s="797">
        <f>ROUND(G52*0.3,)</f>
        <v>1823</v>
      </c>
      <c r="J52" s="796">
        <f>ROUND(I52*E52,)</f>
        <v>1823</v>
      </c>
      <c r="K52" s="797">
        <f>H52+I52</f>
        <v>7898</v>
      </c>
      <c r="L52" s="830"/>
      <c r="M52" s="729"/>
      <c r="N52" s="729"/>
      <c r="O52" s="729"/>
      <c r="P52" s="729"/>
      <c r="Q52" s="729"/>
      <c r="R52" s="729"/>
      <c r="S52" s="729"/>
      <c r="T52" s="729"/>
      <c r="U52" s="729"/>
    </row>
    <row r="53" spans="1:21" s="714" customFormat="1" ht="24" customHeight="1">
      <c r="A53" s="996"/>
      <c r="B53" s="720" t="s">
        <v>957</v>
      </c>
      <c r="C53" s="706"/>
      <c r="D53" s="990"/>
      <c r="E53" s="721"/>
      <c r="F53" s="722"/>
      <c r="G53" s="1140"/>
      <c r="H53" s="796"/>
      <c r="I53" s="797"/>
      <c r="J53" s="796"/>
      <c r="K53" s="797"/>
      <c r="L53" s="830"/>
      <c r="M53" s="729"/>
      <c r="N53" s="729"/>
      <c r="O53" s="729"/>
      <c r="P53" s="729"/>
      <c r="Q53" s="729"/>
      <c r="R53" s="729"/>
      <c r="S53" s="729"/>
      <c r="T53" s="729"/>
      <c r="U53" s="729"/>
    </row>
    <row r="54" spans="1:21" s="714" customFormat="1" ht="24" customHeight="1">
      <c r="A54" s="996"/>
      <c r="B54" s="720" t="s">
        <v>1102</v>
      </c>
      <c r="C54" s="706"/>
      <c r="D54" s="990"/>
      <c r="E54" s="721"/>
      <c r="F54" s="722"/>
      <c r="G54" s="1140"/>
      <c r="H54" s="796"/>
      <c r="I54" s="797"/>
      <c r="J54" s="796"/>
      <c r="K54" s="797"/>
      <c r="L54" s="830"/>
      <c r="M54" s="729"/>
      <c r="N54" s="729"/>
      <c r="O54" s="729"/>
      <c r="P54" s="729"/>
      <c r="Q54" s="729"/>
      <c r="R54" s="729"/>
      <c r="S54" s="729"/>
      <c r="T54" s="729"/>
      <c r="U54" s="729"/>
    </row>
    <row r="55" spans="1:21" s="714" customFormat="1" ht="24" customHeight="1">
      <c r="A55" s="996"/>
      <c r="B55" s="720" t="s">
        <v>1102</v>
      </c>
      <c r="C55" s="706"/>
      <c r="D55" s="990"/>
      <c r="E55" s="721"/>
      <c r="F55" s="722"/>
      <c r="G55" s="795"/>
      <c r="H55" s="796"/>
      <c r="I55" s="797"/>
      <c r="J55" s="796"/>
      <c r="K55" s="797"/>
      <c r="L55" s="830"/>
      <c r="M55" s="729"/>
      <c r="N55" s="729"/>
      <c r="O55" s="729"/>
      <c r="P55" s="729"/>
      <c r="Q55" s="729"/>
      <c r="R55" s="729"/>
      <c r="S55" s="729"/>
      <c r="T55" s="729"/>
      <c r="U55" s="729"/>
    </row>
    <row r="56" spans="1:21" s="714" customFormat="1" ht="24" customHeight="1">
      <c r="A56" s="996"/>
      <c r="B56" s="720"/>
      <c r="C56" s="706"/>
      <c r="D56" s="990"/>
      <c r="E56" s="721"/>
      <c r="F56" s="722"/>
      <c r="G56" s="795"/>
      <c r="H56" s="796"/>
      <c r="I56" s="797"/>
      <c r="J56" s="796"/>
      <c r="K56" s="797"/>
      <c r="L56" s="830"/>
      <c r="M56" s="729"/>
      <c r="N56" s="729"/>
      <c r="O56" s="729"/>
      <c r="P56" s="729"/>
      <c r="Q56" s="729"/>
      <c r="R56" s="729"/>
      <c r="S56" s="729"/>
      <c r="T56" s="729"/>
      <c r="U56" s="729"/>
    </row>
    <row r="57" spans="1:21" s="714" customFormat="1" ht="24" customHeight="1">
      <c r="A57" s="777"/>
      <c r="B57" s="2475" t="str">
        <f>"รวมราคารายการที่ "&amp;A35</f>
        <v>รวมราคารายการที่ 4.1</v>
      </c>
      <c r="C57" s="2476"/>
      <c r="D57" s="2477"/>
      <c r="E57" s="997"/>
      <c r="F57" s="777"/>
      <c r="G57" s="959"/>
      <c r="H57" s="960">
        <f>SUM(H36:H53)</f>
        <v>1634675</v>
      </c>
      <c r="I57" s="959"/>
      <c r="J57" s="960">
        <f t="shared" ref="J57:K57" si="4">SUM(J36:J53)</f>
        <v>60323</v>
      </c>
      <c r="K57" s="960">
        <f t="shared" si="4"/>
        <v>1694998</v>
      </c>
      <c r="L57" s="777"/>
      <c r="M57" s="729"/>
      <c r="N57" s="729"/>
      <c r="O57" s="729"/>
      <c r="P57" s="729"/>
      <c r="Q57" s="729"/>
      <c r="R57" s="729"/>
      <c r="S57" s="729"/>
      <c r="T57" s="729"/>
      <c r="U57" s="729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B2-อาคารสนับนุน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35592-65E8-4CD6-ABA4-8C298853E146}">
  <sheetPr>
    <tabColor rgb="FF92D050"/>
  </sheetPr>
  <dimension ref="A1:U57"/>
  <sheetViews>
    <sheetView tabSelected="1" view="pageBreakPreview" topLeftCell="A46" zoomScale="70" zoomScaleNormal="10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9" style="1" customWidth="1"/>
    <col min="13" max="99" width="7.703125" style="1" customWidth="1"/>
    <col min="100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1603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84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85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80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81"/>
    </row>
    <row r="11" spans="1:12" ht="24" customHeight="1">
      <c r="A11" s="1115" t="s">
        <v>27</v>
      </c>
      <c r="B11" s="1116" t="s">
        <v>1623</v>
      </c>
      <c r="C11" s="1117"/>
      <c r="D11" s="1118"/>
      <c r="E11" s="694"/>
      <c r="F11" s="695"/>
      <c r="G11" s="696"/>
      <c r="H11" s="697"/>
      <c r="I11" s="698"/>
      <c r="J11" s="697"/>
      <c r="K11" s="699"/>
      <c r="L11" s="953"/>
    </row>
    <row r="12" spans="1:12" ht="24" customHeight="1">
      <c r="A12" s="1119"/>
      <c r="B12" s="1120"/>
      <c r="C12" s="1121"/>
      <c r="D12" s="1122"/>
      <c r="E12" s="694"/>
      <c r="F12" s="695"/>
      <c r="G12" s="696"/>
      <c r="H12" s="697"/>
      <c r="I12" s="698"/>
      <c r="J12" s="697"/>
      <c r="K12" s="699"/>
      <c r="L12" s="953"/>
    </row>
    <row r="13" spans="1:12" s="714" customFormat="1" ht="24" customHeight="1">
      <c r="A13" s="704">
        <f>A35</f>
        <v>4.0999999999999996</v>
      </c>
      <c r="B13" s="705" t="str">
        <f>B35</f>
        <v>ระบบโทรทัศน์วงจรปิด (Closed Circuit TV System)</v>
      </c>
      <c r="C13" s="706"/>
      <c r="D13" s="707"/>
      <c r="E13" s="708">
        <v>1</v>
      </c>
      <c r="F13" s="709" t="s">
        <v>19</v>
      </c>
      <c r="G13" s="710"/>
      <c r="H13" s="711">
        <f>H57</f>
        <v>1629500</v>
      </c>
      <c r="I13" s="712"/>
      <c r="J13" s="711">
        <f>J57</f>
        <v>60120</v>
      </c>
      <c r="K13" s="711">
        <f>SUM(H13:J13)</f>
        <v>1689620</v>
      </c>
      <c r="L13" s="1024"/>
    </row>
    <row r="14" spans="1:12" s="714" customFormat="1" ht="24" customHeight="1">
      <c r="A14" s="704"/>
      <c r="B14" s="720"/>
      <c r="C14" s="716"/>
      <c r="D14" s="990"/>
      <c r="E14" s="721"/>
      <c r="F14" s="722"/>
      <c r="G14" s="710"/>
      <c r="H14" s="711"/>
      <c r="I14" s="712"/>
      <c r="J14" s="711"/>
      <c r="K14" s="711"/>
      <c r="L14" s="1024"/>
    </row>
    <row r="15" spans="1:12" s="714" customFormat="1" ht="24" customHeight="1">
      <c r="A15" s="719"/>
      <c r="B15" s="720"/>
      <c r="C15" s="717"/>
      <c r="D15" s="718"/>
      <c r="E15" s="721"/>
      <c r="F15" s="722"/>
      <c r="G15" s="710"/>
      <c r="H15" s="711"/>
      <c r="I15" s="712"/>
      <c r="J15" s="711"/>
      <c r="K15" s="711"/>
      <c r="L15" s="1024"/>
    </row>
    <row r="16" spans="1:12" s="714" customFormat="1" ht="24" customHeight="1">
      <c r="A16" s="719"/>
      <c r="B16" s="720"/>
      <c r="C16" s="717"/>
      <c r="D16" s="718"/>
      <c r="E16" s="721"/>
      <c r="F16" s="722"/>
      <c r="G16" s="710"/>
      <c r="H16" s="711"/>
      <c r="I16" s="712"/>
      <c r="J16" s="711"/>
      <c r="K16" s="711"/>
      <c r="L16" s="1024"/>
    </row>
    <row r="17" spans="1:12" s="714" customFormat="1" ht="24" customHeight="1">
      <c r="A17" s="719"/>
      <c r="B17" s="720"/>
      <c r="C17" s="717"/>
      <c r="D17" s="718"/>
      <c r="E17" s="721"/>
      <c r="F17" s="722"/>
      <c r="G17" s="710"/>
      <c r="H17" s="711"/>
      <c r="I17" s="712"/>
      <c r="J17" s="711"/>
      <c r="K17" s="711"/>
      <c r="L17" s="1024"/>
    </row>
    <row r="18" spans="1:12" s="714" customFormat="1" ht="24" customHeight="1">
      <c r="A18" s="719"/>
      <c r="B18" s="720"/>
      <c r="C18" s="717"/>
      <c r="D18" s="718"/>
      <c r="E18" s="721"/>
      <c r="F18" s="722"/>
      <c r="G18" s="710"/>
      <c r="H18" s="711"/>
      <c r="I18" s="712"/>
      <c r="J18" s="711"/>
      <c r="K18" s="711"/>
      <c r="L18" s="1024"/>
    </row>
    <row r="19" spans="1:12" s="714" customFormat="1" ht="24" customHeight="1">
      <c r="A19" s="719"/>
      <c r="B19" s="720"/>
      <c r="C19" s="717"/>
      <c r="D19" s="718"/>
      <c r="E19" s="721"/>
      <c r="F19" s="722"/>
      <c r="G19" s="710"/>
      <c r="H19" s="711"/>
      <c r="I19" s="712"/>
      <c r="J19" s="711"/>
      <c r="K19" s="711"/>
      <c r="L19" s="1024"/>
    </row>
    <row r="20" spans="1:12" s="714" customFormat="1" ht="24" customHeight="1">
      <c r="A20" s="719"/>
      <c r="B20" s="720"/>
      <c r="C20" s="717"/>
      <c r="D20" s="718"/>
      <c r="E20" s="721"/>
      <c r="F20" s="722"/>
      <c r="G20" s="710"/>
      <c r="H20" s="711"/>
      <c r="I20" s="712"/>
      <c r="J20" s="711"/>
      <c r="K20" s="711"/>
      <c r="L20" s="1024"/>
    </row>
    <row r="21" spans="1:12" s="714" customFormat="1" ht="24" customHeight="1">
      <c r="A21" s="719"/>
      <c r="B21" s="720"/>
      <c r="C21" s="717"/>
      <c r="D21" s="718"/>
      <c r="E21" s="721"/>
      <c r="F21" s="722"/>
      <c r="G21" s="710"/>
      <c r="H21" s="711"/>
      <c r="I21" s="712"/>
      <c r="J21" s="711"/>
      <c r="K21" s="711"/>
      <c r="L21" s="1024"/>
    </row>
    <row r="22" spans="1:12" s="714" customFormat="1" ht="24" customHeight="1">
      <c r="A22" s="719"/>
      <c r="B22" s="720"/>
      <c r="C22" s="717"/>
      <c r="D22" s="718"/>
      <c r="E22" s="721"/>
      <c r="F22" s="722"/>
      <c r="G22" s="710"/>
      <c r="H22" s="711"/>
      <c r="I22" s="712"/>
      <c r="J22" s="711"/>
      <c r="K22" s="711"/>
      <c r="L22" s="1024"/>
    </row>
    <row r="23" spans="1:12" s="714" customFormat="1" ht="24" customHeight="1">
      <c r="A23" s="1125"/>
      <c r="B23" s="720"/>
      <c r="C23" s="1123"/>
      <c r="D23" s="1124"/>
      <c r="E23" s="721"/>
      <c r="F23" s="722"/>
      <c r="G23" s="710"/>
      <c r="H23" s="711"/>
      <c r="I23" s="712"/>
      <c r="J23" s="711"/>
      <c r="K23" s="711"/>
      <c r="L23" s="1024"/>
    </row>
    <row r="24" spans="1:12" s="714" customFormat="1" ht="24" customHeight="1">
      <c r="A24" s="1125"/>
      <c r="B24" s="720"/>
      <c r="C24" s="1123"/>
      <c r="D24" s="1124"/>
      <c r="E24" s="721"/>
      <c r="F24" s="722"/>
      <c r="G24" s="710"/>
      <c r="H24" s="711"/>
      <c r="I24" s="712"/>
      <c r="J24" s="711"/>
      <c r="K24" s="711"/>
      <c r="L24" s="1024"/>
    </row>
    <row r="25" spans="1:12" s="714" customFormat="1" ht="24" customHeight="1">
      <c r="A25" s="1125"/>
      <c r="B25" s="720"/>
      <c r="C25" s="1123"/>
      <c r="D25" s="1124"/>
      <c r="E25" s="721"/>
      <c r="F25" s="722"/>
      <c r="G25" s="710"/>
      <c r="H25" s="711"/>
      <c r="I25" s="712"/>
      <c r="J25" s="711"/>
      <c r="K25" s="711"/>
      <c r="L25" s="1024"/>
    </row>
    <row r="26" spans="1:12" s="714" customFormat="1" ht="24" customHeight="1">
      <c r="A26" s="1125"/>
      <c r="B26" s="720"/>
      <c r="C26" s="1123"/>
      <c r="D26" s="1124"/>
      <c r="E26" s="721"/>
      <c r="F26" s="722"/>
      <c r="G26" s="710"/>
      <c r="H26" s="711"/>
      <c r="I26" s="712"/>
      <c r="J26" s="711"/>
      <c r="K26" s="711"/>
      <c r="L26" s="1024"/>
    </row>
    <row r="27" spans="1:12" s="714" customFormat="1" ht="24" customHeight="1">
      <c r="A27" s="1125"/>
      <c r="B27" s="720"/>
      <c r="C27" s="1123"/>
      <c r="D27" s="1124"/>
      <c r="E27" s="721"/>
      <c r="F27" s="722"/>
      <c r="G27" s="710"/>
      <c r="H27" s="711"/>
      <c r="I27" s="712"/>
      <c r="J27" s="711"/>
      <c r="K27" s="711"/>
      <c r="L27" s="1024"/>
    </row>
    <row r="28" spans="1:12" s="714" customFormat="1" ht="24" customHeight="1">
      <c r="A28" s="1125"/>
      <c r="B28" s="720"/>
      <c r="C28" s="1123"/>
      <c r="D28" s="1124"/>
      <c r="E28" s="721"/>
      <c r="F28" s="722"/>
      <c r="G28" s="710"/>
      <c r="H28" s="711"/>
      <c r="I28" s="712"/>
      <c r="J28" s="711"/>
      <c r="K28" s="711"/>
      <c r="L28" s="1024"/>
    </row>
    <row r="29" spans="1:12" s="714" customFormat="1" ht="24" customHeight="1">
      <c r="A29" s="1125"/>
      <c r="B29" s="720"/>
      <c r="C29" s="1123"/>
      <c r="D29" s="1124"/>
      <c r="E29" s="721"/>
      <c r="F29" s="722"/>
      <c r="G29" s="710"/>
      <c r="H29" s="711"/>
      <c r="I29" s="712"/>
      <c r="J29" s="711"/>
      <c r="K29" s="711"/>
      <c r="L29" s="1024"/>
    </row>
    <row r="30" spans="1:12" s="714" customFormat="1" ht="24" customHeight="1">
      <c r="A30" s="1125"/>
      <c r="B30" s="720"/>
      <c r="C30" s="1123"/>
      <c r="D30" s="1124"/>
      <c r="E30" s="721"/>
      <c r="F30" s="722"/>
      <c r="G30" s="710"/>
      <c r="H30" s="711"/>
      <c r="I30" s="712"/>
      <c r="J30" s="711"/>
      <c r="K30" s="711"/>
      <c r="L30" s="1024"/>
    </row>
    <row r="31" spans="1:12" s="714" customFormat="1" ht="24" customHeight="1">
      <c r="A31" s="1125"/>
      <c r="B31" s="720"/>
      <c r="C31" s="1123"/>
      <c r="D31" s="1124"/>
      <c r="E31" s="721"/>
      <c r="F31" s="722"/>
      <c r="G31" s="710"/>
      <c r="H31" s="711"/>
      <c r="I31" s="712"/>
      <c r="J31" s="711"/>
      <c r="K31" s="711"/>
      <c r="L31" s="1024"/>
    </row>
    <row r="32" spans="1:12" s="714" customFormat="1" ht="24" customHeight="1">
      <c r="A32" s="1125"/>
      <c r="B32" s="720"/>
      <c r="C32" s="1123"/>
      <c r="D32" s="1124"/>
      <c r="E32" s="721"/>
      <c r="F32" s="722"/>
      <c r="G32" s="710"/>
      <c r="H32" s="711"/>
      <c r="I32" s="712"/>
      <c r="J32" s="711"/>
      <c r="K32" s="711"/>
      <c r="L32" s="1024"/>
    </row>
    <row r="33" spans="1:21" s="714" customFormat="1" ht="24" customHeight="1">
      <c r="A33" s="1126"/>
      <c r="B33" s="1127"/>
      <c r="C33" s="1123"/>
      <c r="D33" s="1124"/>
      <c r="E33" s="1128"/>
      <c r="F33" s="722"/>
      <c r="G33" s="710"/>
      <c r="H33" s="711"/>
      <c r="I33" s="712"/>
      <c r="J33" s="711"/>
      <c r="K33" s="1129"/>
      <c r="L33" s="1024"/>
    </row>
    <row r="34" spans="1:21" s="714" customFormat="1" ht="25.15" customHeight="1">
      <c r="A34" s="777"/>
      <c r="B34" s="2475" t="str">
        <f>"รวมราคา"&amp;B11</f>
        <v>รวมราคาระบบโทรทัศน์วงจรปิด (Closed Circuit TV System) ชั้น B1</v>
      </c>
      <c r="C34" s="2476"/>
      <c r="D34" s="2477"/>
      <c r="E34" s="997"/>
      <c r="F34" s="777"/>
      <c r="G34" s="959"/>
      <c r="H34" s="960">
        <f>SUM(H12:H33)</f>
        <v>1629500</v>
      </c>
      <c r="I34" s="959"/>
      <c r="J34" s="960">
        <f>SUM(J11:J33)</f>
        <v>60120</v>
      </c>
      <c r="K34" s="1130">
        <f>SUM(K11:K33)</f>
        <v>1689620</v>
      </c>
      <c r="L34" s="777"/>
      <c r="M34" s="729"/>
      <c r="N34" s="729"/>
      <c r="O34" s="729"/>
      <c r="P34" s="729"/>
      <c r="Q34" s="729"/>
      <c r="R34" s="729"/>
      <c r="S34" s="729"/>
      <c r="T34" s="729"/>
      <c r="U34" s="729"/>
    </row>
    <row r="35" spans="1:21" s="714" customFormat="1" ht="24" customHeight="1">
      <c r="A35" s="986">
        <v>4.0999999999999996</v>
      </c>
      <c r="B35" s="816" t="s">
        <v>28</v>
      </c>
      <c r="C35" s="987"/>
      <c r="D35" s="707"/>
      <c r="E35" s="708"/>
      <c r="F35" s="709"/>
      <c r="G35" s="853"/>
      <c r="H35" s="854"/>
      <c r="I35" s="855"/>
      <c r="J35" s="854"/>
      <c r="K35" s="855"/>
      <c r="L35" s="988"/>
      <c r="M35" s="729"/>
      <c r="N35" s="729"/>
      <c r="O35" s="729"/>
      <c r="P35" s="729"/>
      <c r="Q35" s="729"/>
      <c r="R35" s="729"/>
      <c r="S35" s="729"/>
      <c r="T35" s="729"/>
      <c r="U35" s="729"/>
    </row>
    <row r="36" spans="1:21" s="714" customFormat="1" ht="24" customHeight="1">
      <c r="A36" s="989" t="s">
        <v>1610</v>
      </c>
      <c r="B36" s="720" t="s">
        <v>1611</v>
      </c>
      <c r="C36" s="706"/>
      <c r="D36" s="990"/>
      <c r="E36" s="721">
        <v>4</v>
      </c>
      <c r="F36" s="722" t="s">
        <v>240</v>
      </c>
      <c r="G36" s="795">
        <v>22110</v>
      </c>
      <c r="H36" s="796">
        <f>ROUND(E36*G36,)</f>
        <v>88440</v>
      </c>
      <c r="I36" s="797">
        <v>500</v>
      </c>
      <c r="J36" s="796">
        <f>ROUND(I36*E36,)</f>
        <v>2000</v>
      </c>
      <c r="K36" s="797">
        <f>H36+J36</f>
        <v>90440</v>
      </c>
      <c r="L36" s="830"/>
      <c r="M36" s="729"/>
      <c r="N36" s="729"/>
      <c r="O36" s="729"/>
      <c r="P36" s="729"/>
      <c r="Q36" s="729"/>
      <c r="R36" s="729"/>
      <c r="S36" s="729"/>
      <c r="T36" s="729"/>
      <c r="U36" s="729"/>
    </row>
    <row r="37" spans="1:21" s="714" customFormat="1" ht="24" customHeight="1">
      <c r="A37" s="989" t="s">
        <v>1607</v>
      </c>
      <c r="B37" s="800" t="s">
        <v>1612</v>
      </c>
      <c r="C37" s="706"/>
      <c r="D37" s="990"/>
      <c r="E37" s="721">
        <v>17</v>
      </c>
      <c r="F37" s="722" t="s">
        <v>240</v>
      </c>
      <c r="G37" s="795">
        <v>31000</v>
      </c>
      <c r="H37" s="796">
        <f>ROUND(E37*G37,)</f>
        <v>527000</v>
      </c>
      <c r="I37" s="797">
        <v>500</v>
      </c>
      <c r="J37" s="796">
        <f>ROUND(I37*E37,)</f>
        <v>8500</v>
      </c>
      <c r="K37" s="797">
        <f>H37+J37</f>
        <v>535500</v>
      </c>
      <c r="L37" s="830"/>
      <c r="M37" s="729"/>
      <c r="N37" s="729"/>
      <c r="O37" s="729"/>
      <c r="P37" s="729"/>
      <c r="Q37" s="729"/>
      <c r="R37" s="729"/>
      <c r="S37" s="729"/>
      <c r="T37" s="729"/>
      <c r="U37" s="729"/>
    </row>
    <row r="38" spans="1:21" s="714" customFormat="1" ht="24" customHeight="1">
      <c r="A38" s="989" t="s">
        <v>1608</v>
      </c>
      <c r="B38" s="800" t="s">
        <v>1613</v>
      </c>
      <c r="C38" s="706"/>
      <c r="D38" s="990"/>
      <c r="E38" s="721">
        <v>9</v>
      </c>
      <c r="F38" s="722" t="s">
        <v>240</v>
      </c>
      <c r="G38" s="795">
        <v>91800</v>
      </c>
      <c r="H38" s="796">
        <f>ROUND(E38*G38,)</f>
        <v>826200</v>
      </c>
      <c r="I38" s="797">
        <v>500</v>
      </c>
      <c r="J38" s="796">
        <f>ROUND(I38*E38,)</f>
        <v>4500</v>
      </c>
      <c r="K38" s="797">
        <f>H38+J38</f>
        <v>830700</v>
      </c>
      <c r="L38" s="830"/>
      <c r="M38" s="729"/>
      <c r="N38" s="729"/>
      <c r="O38" s="729"/>
      <c r="P38" s="729"/>
      <c r="Q38" s="729"/>
      <c r="R38" s="729"/>
      <c r="S38" s="729"/>
      <c r="T38" s="729"/>
      <c r="U38" s="729"/>
    </row>
    <row r="39" spans="1:21" s="714" customFormat="1" ht="24" customHeight="1">
      <c r="A39" s="992" t="s">
        <v>1619</v>
      </c>
      <c r="B39" s="720" t="s">
        <v>3025</v>
      </c>
      <c r="C39" s="706"/>
      <c r="D39" s="990"/>
      <c r="E39" s="721">
        <v>2</v>
      </c>
      <c r="F39" s="722" t="s">
        <v>240</v>
      </c>
      <c r="G39" s="806">
        <f>5230+1640+2260+30800+12320+4480</f>
        <v>56730</v>
      </c>
      <c r="H39" s="796">
        <f>ROUND(E39*G39,)</f>
        <v>113460</v>
      </c>
      <c r="I39" s="807">
        <f>CEILING(G39*0.025,100)</f>
        <v>1500</v>
      </c>
      <c r="J39" s="796">
        <f>ROUND(I39*E39,)</f>
        <v>3000</v>
      </c>
      <c r="K39" s="797">
        <f>H39+J39</f>
        <v>116460</v>
      </c>
      <c r="L39" s="830"/>
      <c r="M39" s="729"/>
      <c r="N39" s="729"/>
      <c r="O39" s="729"/>
      <c r="P39" s="729"/>
      <c r="Q39" s="729"/>
      <c r="R39" s="729"/>
      <c r="S39" s="729"/>
      <c r="T39" s="729"/>
      <c r="U39" s="729"/>
    </row>
    <row r="40" spans="1:21" s="714" customFormat="1" ht="24" customHeight="1">
      <c r="A40" s="992"/>
      <c r="B40" s="720" t="s">
        <v>1614</v>
      </c>
      <c r="C40" s="706"/>
      <c r="D40" s="990"/>
      <c r="E40" s="721"/>
      <c r="F40" s="722" t="s">
        <v>240</v>
      </c>
      <c r="G40" s="795" t="s">
        <v>974</v>
      </c>
      <c r="H40" s="796"/>
      <c r="I40" s="797"/>
      <c r="J40" s="796"/>
      <c r="K40" s="797"/>
      <c r="L40" s="830"/>
      <c r="M40" s="729"/>
      <c r="N40" s="729"/>
      <c r="O40" s="729"/>
      <c r="P40" s="729"/>
      <c r="Q40" s="729"/>
      <c r="R40" s="729"/>
      <c r="S40" s="729"/>
      <c r="T40" s="729"/>
      <c r="U40" s="729"/>
    </row>
    <row r="41" spans="1:21" s="714" customFormat="1" ht="24" customHeight="1">
      <c r="A41" s="992"/>
      <c r="B41" s="720" t="s">
        <v>1615</v>
      </c>
      <c r="C41" s="706"/>
      <c r="D41" s="990"/>
      <c r="E41" s="721"/>
      <c r="F41" s="722" t="s">
        <v>240</v>
      </c>
      <c r="G41" s="795" t="s">
        <v>974</v>
      </c>
      <c r="H41" s="796"/>
      <c r="I41" s="797"/>
      <c r="J41" s="796"/>
      <c r="K41" s="797"/>
      <c r="L41" s="830"/>
      <c r="M41" s="729"/>
      <c r="N41" s="729"/>
      <c r="O41" s="729"/>
      <c r="P41" s="729"/>
      <c r="Q41" s="729"/>
      <c r="R41" s="729"/>
      <c r="S41" s="729"/>
      <c r="T41" s="729"/>
      <c r="U41" s="729"/>
    </row>
    <row r="42" spans="1:21" s="714" customFormat="1" ht="24" customHeight="1">
      <c r="A42" s="993"/>
      <c r="B42" s="720" t="s">
        <v>1616</v>
      </c>
      <c r="C42" s="706"/>
      <c r="D42" s="990"/>
      <c r="E42" s="721"/>
      <c r="F42" s="722" t="s">
        <v>240</v>
      </c>
      <c r="G42" s="795" t="s">
        <v>974</v>
      </c>
      <c r="H42" s="796"/>
      <c r="I42" s="797"/>
      <c r="J42" s="796"/>
      <c r="K42" s="797"/>
      <c r="L42" s="830"/>
      <c r="M42" s="729"/>
      <c r="N42" s="729"/>
      <c r="O42" s="729"/>
      <c r="P42" s="729"/>
      <c r="Q42" s="729"/>
      <c r="R42" s="729"/>
      <c r="S42" s="729"/>
      <c r="T42" s="729"/>
      <c r="U42" s="729"/>
    </row>
    <row r="43" spans="1:21" s="714" customFormat="1" ht="24" customHeight="1">
      <c r="A43" s="993"/>
      <c r="B43" s="720" t="s">
        <v>1375</v>
      </c>
      <c r="C43" s="706"/>
      <c r="D43" s="990"/>
      <c r="E43" s="721"/>
      <c r="F43" s="722" t="s">
        <v>240</v>
      </c>
      <c r="G43" s="795" t="s">
        <v>974</v>
      </c>
      <c r="H43" s="796"/>
      <c r="I43" s="797"/>
      <c r="J43" s="796"/>
      <c r="K43" s="797"/>
      <c r="L43" s="830"/>
      <c r="M43" s="729"/>
      <c r="N43" s="729"/>
      <c r="O43" s="729"/>
      <c r="P43" s="729"/>
      <c r="Q43" s="729"/>
      <c r="R43" s="729"/>
      <c r="S43" s="729"/>
      <c r="T43" s="729"/>
      <c r="U43" s="729"/>
    </row>
    <row r="44" spans="1:21" s="714" customFormat="1" ht="24" customHeight="1">
      <c r="A44" s="1138"/>
      <c r="B44" s="720" t="s">
        <v>1617</v>
      </c>
      <c r="C44" s="987"/>
      <c r="D44" s="707"/>
      <c r="E44" s="708"/>
      <c r="F44" s="709" t="s">
        <v>240</v>
      </c>
      <c r="G44" s="795" t="s">
        <v>974</v>
      </c>
      <c r="H44" s="854"/>
      <c r="I44" s="855"/>
      <c r="J44" s="854"/>
      <c r="K44" s="855"/>
      <c r="L44" s="988"/>
      <c r="M44" s="729"/>
      <c r="N44" s="729"/>
      <c r="O44" s="729"/>
      <c r="P44" s="729"/>
      <c r="Q44" s="729"/>
      <c r="R44" s="729"/>
      <c r="S44" s="729"/>
      <c r="T44" s="729"/>
      <c r="U44" s="729"/>
    </row>
    <row r="45" spans="1:21" s="714" customFormat="1" ht="24" customHeight="1">
      <c r="A45" s="1132" t="s">
        <v>1620</v>
      </c>
      <c r="B45" s="720" t="s">
        <v>1378</v>
      </c>
      <c r="C45" s="706"/>
      <c r="D45" s="990"/>
      <c r="E45" s="721"/>
      <c r="F45" s="722"/>
      <c r="G45" s="795"/>
      <c r="H45" s="796"/>
      <c r="I45" s="797"/>
      <c r="J45" s="796"/>
      <c r="K45" s="797"/>
      <c r="L45" s="830"/>
      <c r="M45" s="729"/>
      <c r="N45" s="729"/>
      <c r="O45" s="729"/>
      <c r="P45" s="729"/>
      <c r="Q45" s="729"/>
      <c r="R45" s="729"/>
      <c r="S45" s="729"/>
      <c r="T45" s="729"/>
      <c r="U45" s="729"/>
    </row>
    <row r="46" spans="1:21" s="714" customFormat="1" ht="24" customHeight="1">
      <c r="A46" s="1134"/>
      <c r="B46" s="720" t="s">
        <v>1621</v>
      </c>
      <c r="C46" s="706"/>
      <c r="D46" s="990"/>
      <c r="E46" s="991">
        <v>1500</v>
      </c>
      <c r="F46" s="722" t="s">
        <v>438</v>
      </c>
      <c r="G46" s="795">
        <v>22</v>
      </c>
      <c r="H46" s="796">
        <f>ROUND(E46*G46,)</f>
        <v>33000</v>
      </c>
      <c r="I46" s="797">
        <v>5</v>
      </c>
      <c r="J46" s="796">
        <f>ROUND(I46*E46,)</f>
        <v>7500</v>
      </c>
      <c r="K46" s="797">
        <f>H46+J46</f>
        <v>40500</v>
      </c>
      <c r="L46" s="830"/>
      <c r="M46" s="729"/>
      <c r="N46" s="729"/>
      <c r="O46" s="729"/>
      <c r="P46" s="729"/>
      <c r="Q46" s="729"/>
      <c r="R46" s="729"/>
      <c r="S46" s="729"/>
      <c r="T46" s="729"/>
      <c r="U46" s="729"/>
    </row>
    <row r="47" spans="1:21" s="714" customFormat="1" ht="24" customHeight="1">
      <c r="A47" s="993" t="s">
        <v>1622</v>
      </c>
      <c r="B47" s="720" t="s">
        <v>1357</v>
      </c>
      <c r="C47" s="706"/>
      <c r="D47" s="990"/>
      <c r="E47" s="991"/>
      <c r="F47" s="722"/>
      <c r="G47" s="795"/>
      <c r="H47" s="796"/>
      <c r="I47" s="797"/>
      <c r="J47" s="796"/>
      <c r="K47" s="797"/>
      <c r="L47" s="830"/>
      <c r="M47" s="729"/>
      <c r="N47" s="729"/>
      <c r="O47" s="729"/>
      <c r="P47" s="729"/>
      <c r="Q47" s="729"/>
      <c r="R47" s="729"/>
      <c r="S47" s="729"/>
      <c r="T47" s="729"/>
      <c r="U47" s="729"/>
    </row>
    <row r="48" spans="1:21" s="714" customFormat="1" ht="24" customHeight="1">
      <c r="A48" s="1133"/>
      <c r="B48" s="720" t="s">
        <v>1201</v>
      </c>
      <c r="C48" s="706"/>
      <c r="D48" s="990"/>
      <c r="E48" s="942">
        <v>1500</v>
      </c>
      <c r="F48" s="794" t="s">
        <v>438</v>
      </c>
      <c r="G48" s="806">
        <v>24</v>
      </c>
      <c r="H48" s="796">
        <f>ROUND(E48*G48,)</f>
        <v>36000</v>
      </c>
      <c r="I48" s="807">
        <v>22</v>
      </c>
      <c r="J48" s="796">
        <f t="shared" ref="J48" si="0">ROUND(E48*I48,)</f>
        <v>33000</v>
      </c>
      <c r="K48" s="914">
        <f t="shared" ref="K48" si="1">H48+J48</f>
        <v>69000</v>
      </c>
      <c r="L48" s="1718" t="s">
        <v>2974</v>
      </c>
      <c r="M48" s="729"/>
      <c r="N48" s="714">
        <v>912.1</v>
      </c>
      <c r="O48" s="714">
        <f>ROUND(N48/100,)</f>
        <v>9</v>
      </c>
      <c r="P48" s="729"/>
      <c r="Q48" s="729"/>
      <c r="R48" s="729"/>
      <c r="S48" s="729"/>
      <c r="T48" s="729"/>
      <c r="U48" s="729"/>
    </row>
    <row r="49" spans="1:21" s="714" customFormat="1" ht="24" customHeight="1">
      <c r="A49" s="996"/>
      <c r="B49" s="720" t="s">
        <v>1237</v>
      </c>
      <c r="C49" s="706"/>
      <c r="D49" s="990"/>
      <c r="E49" s="721">
        <v>1</v>
      </c>
      <c r="F49" s="722" t="s">
        <v>948</v>
      </c>
      <c r="G49" s="795">
        <f>SUM(H48:H48)*15%</f>
        <v>5400</v>
      </c>
      <c r="H49" s="796">
        <f>ROUND(E49*G49,)</f>
        <v>5400</v>
      </c>
      <c r="I49" s="797">
        <f>G49*0.3</f>
        <v>1620</v>
      </c>
      <c r="J49" s="796">
        <f>ROUND(I49*E49,)</f>
        <v>1620</v>
      </c>
      <c r="K49" s="797">
        <f>H49+J49</f>
        <v>7020</v>
      </c>
      <c r="L49" s="830"/>
      <c r="M49" s="729"/>
      <c r="N49" s="729"/>
      <c r="O49" s="729"/>
      <c r="P49" s="729"/>
      <c r="Q49" s="729"/>
      <c r="R49" s="729"/>
      <c r="S49" s="729"/>
      <c r="T49" s="729"/>
      <c r="U49" s="729"/>
    </row>
    <row r="50" spans="1:21" s="714" customFormat="1" ht="24" customHeight="1">
      <c r="A50" s="996"/>
      <c r="B50" s="720" t="s">
        <v>957</v>
      </c>
      <c r="C50" s="706"/>
      <c r="D50" s="990"/>
      <c r="E50" s="721"/>
      <c r="F50" s="722"/>
      <c r="G50" s="795"/>
      <c r="H50" s="796"/>
      <c r="I50" s="797"/>
      <c r="J50" s="796"/>
      <c r="K50" s="797"/>
      <c r="L50" s="830"/>
      <c r="M50" s="729"/>
      <c r="N50" s="729"/>
      <c r="O50" s="729"/>
      <c r="P50" s="729"/>
      <c r="Q50" s="729"/>
      <c r="R50" s="729"/>
      <c r="S50" s="729"/>
      <c r="T50" s="729"/>
      <c r="U50" s="729"/>
    </row>
    <row r="51" spans="1:21" s="714" customFormat="1" ht="24" customHeight="1">
      <c r="A51" s="996"/>
      <c r="B51" s="720" t="s">
        <v>1102</v>
      </c>
      <c r="C51" s="706"/>
      <c r="D51" s="990"/>
      <c r="E51" s="721"/>
      <c r="F51" s="722"/>
      <c r="G51" s="795"/>
      <c r="H51" s="796"/>
      <c r="I51" s="797"/>
      <c r="J51" s="796"/>
      <c r="K51" s="797"/>
      <c r="L51" s="830"/>
      <c r="M51" s="729"/>
      <c r="N51" s="729"/>
      <c r="O51" s="729"/>
      <c r="P51" s="729"/>
      <c r="Q51" s="729"/>
      <c r="R51" s="729"/>
      <c r="S51" s="729"/>
      <c r="T51" s="729"/>
      <c r="U51" s="729"/>
    </row>
    <row r="52" spans="1:21" s="714" customFormat="1" ht="24" customHeight="1">
      <c r="A52" s="996"/>
      <c r="B52" s="720" t="s">
        <v>1102</v>
      </c>
      <c r="C52" s="706"/>
      <c r="D52" s="990"/>
      <c r="E52" s="721"/>
      <c r="F52" s="722"/>
      <c r="G52" s="795"/>
      <c r="H52" s="796"/>
      <c r="I52" s="797"/>
      <c r="J52" s="796"/>
      <c r="K52" s="797"/>
      <c r="L52" s="830"/>
      <c r="M52" s="729"/>
      <c r="N52" s="729"/>
      <c r="O52" s="729"/>
      <c r="P52" s="729"/>
      <c r="Q52" s="729"/>
      <c r="R52" s="729"/>
      <c r="S52" s="729"/>
      <c r="T52" s="729"/>
      <c r="U52" s="729"/>
    </row>
    <row r="53" spans="1:21" s="714" customFormat="1" ht="24" customHeight="1">
      <c r="A53" s="996"/>
      <c r="B53" s="720"/>
      <c r="C53" s="706"/>
      <c r="D53" s="990"/>
      <c r="E53" s="721"/>
      <c r="F53" s="722"/>
      <c r="G53" s="795"/>
      <c r="H53" s="796"/>
      <c r="I53" s="797"/>
      <c r="J53" s="796"/>
      <c r="K53" s="797"/>
      <c r="L53" s="830"/>
      <c r="M53" s="729"/>
      <c r="N53" s="729"/>
      <c r="O53" s="729"/>
      <c r="P53" s="729"/>
      <c r="Q53" s="729"/>
      <c r="R53" s="729"/>
      <c r="S53" s="729"/>
      <c r="T53" s="729"/>
      <c r="U53" s="729"/>
    </row>
    <row r="54" spans="1:21" s="714" customFormat="1" ht="24" customHeight="1">
      <c r="A54" s="996"/>
      <c r="B54" s="720"/>
      <c r="C54" s="706"/>
      <c r="D54" s="990"/>
      <c r="E54" s="721"/>
      <c r="F54" s="722"/>
      <c r="G54" s="795"/>
      <c r="H54" s="796"/>
      <c r="I54" s="797"/>
      <c r="J54" s="796"/>
      <c r="K54" s="797"/>
      <c r="L54" s="830"/>
      <c r="M54" s="729"/>
      <c r="N54" s="729"/>
      <c r="O54" s="729"/>
      <c r="P54" s="729"/>
      <c r="Q54" s="729"/>
      <c r="R54" s="729"/>
      <c r="S54" s="729"/>
      <c r="T54" s="729"/>
      <c r="U54" s="729"/>
    </row>
    <row r="55" spans="1:21" s="714" customFormat="1" ht="24" customHeight="1">
      <c r="A55" s="996"/>
      <c r="B55" s="720"/>
      <c r="C55" s="706"/>
      <c r="D55" s="990"/>
      <c r="E55" s="721"/>
      <c r="F55" s="722"/>
      <c r="G55" s="795"/>
      <c r="H55" s="796"/>
      <c r="I55" s="797"/>
      <c r="J55" s="796"/>
      <c r="K55" s="797"/>
      <c r="L55" s="830"/>
      <c r="M55" s="729"/>
      <c r="N55" s="729"/>
      <c r="O55" s="729"/>
      <c r="P55" s="729"/>
      <c r="Q55" s="729"/>
      <c r="R55" s="729"/>
      <c r="S55" s="729"/>
      <c r="T55" s="729"/>
      <c r="U55" s="729"/>
    </row>
    <row r="56" spans="1:21" s="714" customFormat="1" ht="24" customHeight="1">
      <c r="A56" s="996"/>
      <c r="B56" s="720"/>
      <c r="C56" s="706"/>
      <c r="D56" s="990"/>
      <c r="E56" s="721"/>
      <c r="F56" s="722"/>
      <c r="G56" s="795"/>
      <c r="H56" s="796"/>
      <c r="I56" s="797"/>
      <c r="J56" s="796"/>
      <c r="K56" s="797"/>
      <c r="L56" s="830"/>
      <c r="M56" s="729"/>
      <c r="N56" s="729"/>
      <c r="O56" s="729"/>
      <c r="P56" s="729"/>
      <c r="Q56" s="729"/>
      <c r="R56" s="729"/>
      <c r="S56" s="729"/>
      <c r="T56" s="729"/>
      <c r="U56" s="729"/>
    </row>
    <row r="57" spans="1:21" s="714" customFormat="1" ht="24" customHeight="1">
      <c r="A57" s="777"/>
      <c r="B57" s="2475" t="str">
        <f>"รวมราคารายการที่ "&amp;A35</f>
        <v>รวมราคารายการที่ 4.1</v>
      </c>
      <c r="C57" s="2476"/>
      <c r="D57" s="2477"/>
      <c r="E57" s="997"/>
      <c r="F57" s="777"/>
      <c r="G57" s="959"/>
      <c r="H57" s="960">
        <f>SUM(H36:H50)</f>
        <v>1629500</v>
      </c>
      <c r="I57" s="959"/>
      <c r="J57" s="960">
        <f t="shared" ref="J57:K57" si="2">SUM(J36:J50)</f>
        <v>60120</v>
      </c>
      <c r="K57" s="960">
        <f t="shared" si="2"/>
        <v>1689620</v>
      </c>
      <c r="L57" s="777"/>
      <c r="M57" s="729"/>
      <c r="N57" s="729"/>
      <c r="O57" s="729"/>
      <c r="P57" s="729"/>
      <c r="Q57" s="729"/>
      <c r="R57" s="729"/>
      <c r="S57" s="729"/>
      <c r="T57" s="729"/>
      <c r="U57" s="729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B1-อาคารสนับนุน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D7B66-502A-49FE-9B1A-EF26BB96C24B}">
  <sheetPr>
    <tabColor rgb="FF92D050"/>
  </sheetPr>
  <dimension ref="A1:U57"/>
  <sheetViews>
    <sheetView tabSelected="1" view="pageBreakPreview" topLeftCell="A40" zoomScale="70" zoomScaleNormal="10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9" style="1" customWidth="1"/>
    <col min="13" max="99" width="7.703125" style="1" customWidth="1"/>
    <col min="100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1603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84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85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80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81"/>
    </row>
    <row r="11" spans="1:12" ht="24" customHeight="1">
      <c r="A11" s="1115" t="s">
        <v>27</v>
      </c>
      <c r="B11" s="1116" t="s">
        <v>1625</v>
      </c>
      <c r="C11" s="1117"/>
      <c r="D11" s="1118"/>
      <c r="E11" s="694"/>
      <c r="F11" s="695"/>
      <c r="G11" s="696"/>
      <c r="H11" s="697"/>
      <c r="I11" s="698"/>
      <c r="J11" s="697"/>
      <c r="K11" s="699"/>
      <c r="L11" s="953"/>
    </row>
    <row r="12" spans="1:12" ht="24" customHeight="1">
      <c r="A12" s="1119"/>
      <c r="B12" s="1120"/>
      <c r="C12" s="1121"/>
      <c r="D12" s="1122"/>
      <c r="E12" s="694"/>
      <c r="F12" s="695"/>
      <c r="G12" s="696"/>
      <c r="H12" s="697"/>
      <c r="I12" s="698"/>
      <c r="J12" s="697"/>
      <c r="K12" s="699"/>
      <c r="L12" s="953"/>
    </row>
    <row r="13" spans="1:12" s="714" customFormat="1" ht="24" customHeight="1">
      <c r="A13" s="704">
        <f>A35</f>
        <v>4.0999999999999996</v>
      </c>
      <c r="B13" s="705" t="str">
        <f>B35</f>
        <v>ระบบโทรทัศน์วงจรปิด (Closed Circuit TV System)</v>
      </c>
      <c r="C13" s="706"/>
      <c r="D13" s="707"/>
      <c r="E13" s="708">
        <v>1</v>
      </c>
      <c r="F13" s="709" t="s">
        <v>19</v>
      </c>
      <c r="G13" s="710"/>
      <c r="H13" s="711">
        <f>H57</f>
        <v>757285</v>
      </c>
      <c r="I13" s="712"/>
      <c r="J13" s="711">
        <f>J57</f>
        <v>52680</v>
      </c>
      <c r="K13" s="711">
        <f>SUM(H13:J13)</f>
        <v>809965</v>
      </c>
      <c r="L13" s="1024"/>
    </row>
    <row r="14" spans="1:12" s="714" customFormat="1" ht="24" customHeight="1">
      <c r="A14" s="704"/>
      <c r="B14" s="720"/>
      <c r="C14" s="716"/>
      <c r="D14" s="990"/>
      <c r="E14" s="721"/>
      <c r="F14" s="722"/>
      <c r="G14" s="710"/>
      <c r="H14" s="711"/>
      <c r="I14" s="712"/>
      <c r="J14" s="711"/>
      <c r="K14" s="711"/>
      <c r="L14" s="1024"/>
    </row>
    <row r="15" spans="1:12" s="714" customFormat="1" ht="24" customHeight="1">
      <c r="A15" s="719"/>
      <c r="B15" s="720"/>
      <c r="C15" s="717"/>
      <c r="D15" s="718"/>
      <c r="E15" s="721"/>
      <c r="F15" s="722"/>
      <c r="G15" s="710"/>
      <c r="H15" s="711"/>
      <c r="I15" s="712"/>
      <c r="J15" s="711"/>
      <c r="K15" s="711"/>
      <c r="L15" s="1024"/>
    </row>
    <row r="16" spans="1:12" s="714" customFormat="1" ht="24" customHeight="1">
      <c r="A16" s="719"/>
      <c r="B16" s="720"/>
      <c r="C16" s="717"/>
      <c r="D16" s="718"/>
      <c r="E16" s="721"/>
      <c r="F16" s="722"/>
      <c r="G16" s="710"/>
      <c r="H16" s="711"/>
      <c r="I16" s="712"/>
      <c r="J16" s="711"/>
      <c r="K16" s="711"/>
      <c r="L16" s="1024"/>
    </row>
    <row r="17" spans="1:12" s="714" customFormat="1" ht="24" customHeight="1">
      <c r="A17" s="719"/>
      <c r="B17" s="720"/>
      <c r="C17" s="717"/>
      <c r="D17" s="718"/>
      <c r="E17" s="721"/>
      <c r="F17" s="722"/>
      <c r="G17" s="710"/>
      <c r="H17" s="711"/>
      <c r="I17" s="712"/>
      <c r="J17" s="711"/>
      <c r="K17" s="711"/>
      <c r="L17" s="1024"/>
    </row>
    <row r="18" spans="1:12" s="714" customFormat="1" ht="24" customHeight="1">
      <c r="A18" s="719"/>
      <c r="B18" s="720"/>
      <c r="C18" s="717"/>
      <c r="D18" s="718"/>
      <c r="E18" s="721"/>
      <c r="F18" s="722"/>
      <c r="G18" s="710"/>
      <c r="H18" s="711"/>
      <c r="I18" s="712"/>
      <c r="J18" s="711"/>
      <c r="K18" s="711"/>
      <c r="L18" s="1024"/>
    </row>
    <row r="19" spans="1:12" s="714" customFormat="1" ht="24" customHeight="1">
      <c r="A19" s="719"/>
      <c r="B19" s="720"/>
      <c r="C19" s="717"/>
      <c r="D19" s="718"/>
      <c r="E19" s="721"/>
      <c r="F19" s="722"/>
      <c r="G19" s="710"/>
      <c r="H19" s="711"/>
      <c r="I19" s="712"/>
      <c r="J19" s="711"/>
      <c r="K19" s="711"/>
      <c r="L19" s="1024"/>
    </row>
    <row r="20" spans="1:12" s="714" customFormat="1" ht="24" customHeight="1">
      <c r="A20" s="719"/>
      <c r="B20" s="720"/>
      <c r="C20" s="717"/>
      <c r="D20" s="718"/>
      <c r="E20" s="721"/>
      <c r="F20" s="722"/>
      <c r="G20" s="710"/>
      <c r="H20" s="711"/>
      <c r="I20" s="712"/>
      <c r="J20" s="711"/>
      <c r="K20" s="711"/>
      <c r="L20" s="1024"/>
    </row>
    <row r="21" spans="1:12" s="714" customFormat="1" ht="24" customHeight="1">
      <c r="A21" s="719"/>
      <c r="B21" s="720"/>
      <c r="C21" s="717"/>
      <c r="D21" s="718"/>
      <c r="E21" s="721"/>
      <c r="F21" s="722"/>
      <c r="G21" s="710"/>
      <c r="H21" s="711"/>
      <c r="I21" s="712"/>
      <c r="J21" s="711"/>
      <c r="K21" s="711"/>
      <c r="L21" s="1024"/>
    </row>
    <row r="22" spans="1:12" s="714" customFormat="1" ht="24" customHeight="1">
      <c r="A22" s="719"/>
      <c r="B22" s="720"/>
      <c r="C22" s="717"/>
      <c r="D22" s="718"/>
      <c r="E22" s="721"/>
      <c r="F22" s="722"/>
      <c r="G22" s="710"/>
      <c r="H22" s="711"/>
      <c r="I22" s="712"/>
      <c r="J22" s="711"/>
      <c r="K22" s="711"/>
      <c r="L22" s="1024"/>
    </row>
    <row r="23" spans="1:12" s="714" customFormat="1" ht="24" customHeight="1">
      <c r="A23" s="1125"/>
      <c r="B23" s="720"/>
      <c r="C23" s="1123"/>
      <c r="D23" s="1124"/>
      <c r="E23" s="721"/>
      <c r="F23" s="722"/>
      <c r="G23" s="710"/>
      <c r="H23" s="711"/>
      <c r="I23" s="712"/>
      <c r="J23" s="711"/>
      <c r="K23" s="711"/>
      <c r="L23" s="1024"/>
    </row>
    <row r="24" spans="1:12" s="714" customFormat="1" ht="24" customHeight="1">
      <c r="A24" s="1125"/>
      <c r="B24" s="720"/>
      <c r="C24" s="1123"/>
      <c r="D24" s="1124"/>
      <c r="E24" s="721"/>
      <c r="F24" s="722"/>
      <c r="G24" s="710"/>
      <c r="H24" s="711"/>
      <c r="I24" s="712"/>
      <c r="J24" s="711"/>
      <c r="K24" s="711"/>
      <c r="L24" s="1024"/>
    </row>
    <row r="25" spans="1:12" s="714" customFormat="1" ht="24" customHeight="1">
      <c r="A25" s="1125"/>
      <c r="B25" s="720"/>
      <c r="C25" s="1123"/>
      <c r="D25" s="1124"/>
      <c r="E25" s="721"/>
      <c r="F25" s="722"/>
      <c r="G25" s="710"/>
      <c r="H25" s="711"/>
      <c r="I25" s="712"/>
      <c r="J25" s="711"/>
      <c r="K25" s="711"/>
      <c r="L25" s="1024"/>
    </row>
    <row r="26" spans="1:12" s="714" customFormat="1" ht="24" customHeight="1">
      <c r="A26" s="1125"/>
      <c r="B26" s="720"/>
      <c r="C26" s="1123"/>
      <c r="D26" s="1124"/>
      <c r="E26" s="721"/>
      <c r="F26" s="722"/>
      <c r="G26" s="710"/>
      <c r="H26" s="711"/>
      <c r="I26" s="712"/>
      <c r="J26" s="711"/>
      <c r="K26" s="711"/>
      <c r="L26" s="1024"/>
    </row>
    <row r="27" spans="1:12" s="714" customFormat="1" ht="24" customHeight="1">
      <c r="A27" s="1125"/>
      <c r="B27" s="720"/>
      <c r="C27" s="1123"/>
      <c r="D27" s="1124"/>
      <c r="E27" s="721"/>
      <c r="F27" s="722"/>
      <c r="G27" s="710"/>
      <c r="H27" s="711"/>
      <c r="I27" s="712"/>
      <c r="J27" s="711"/>
      <c r="K27" s="711"/>
      <c r="L27" s="1024"/>
    </row>
    <row r="28" spans="1:12" s="714" customFormat="1" ht="24" customHeight="1">
      <c r="A28" s="1125"/>
      <c r="B28" s="720"/>
      <c r="C28" s="1123"/>
      <c r="D28" s="1124"/>
      <c r="E28" s="721"/>
      <c r="F28" s="722"/>
      <c r="G28" s="710"/>
      <c r="H28" s="711"/>
      <c r="I28" s="712"/>
      <c r="J28" s="711"/>
      <c r="K28" s="711"/>
      <c r="L28" s="1024"/>
    </row>
    <row r="29" spans="1:12" s="714" customFormat="1" ht="24" customHeight="1">
      <c r="A29" s="1125"/>
      <c r="B29" s="720"/>
      <c r="C29" s="1123"/>
      <c r="D29" s="1124"/>
      <c r="E29" s="721"/>
      <c r="F29" s="722"/>
      <c r="G29" s="710"/>
      <c r="H29" s="711"/>
      <c r="I29" s="712"/>
      <c r="J29" s="711"/>
      <c r="K29" s="711"/>
      <c r="L29" s="1024"/>
    </row>
    <row r="30" spans="1:12" s="714" customFormat="1" ht="24" customHeight="1">
      <c r="A30" s="1125"/>
      <c r="B30" s="720"/>
      <c r="C30" s="1123"/>
      <c r="D30" s="1124"/>
      <c r="E30" s="721"/>
      <c r="F30" s="722"/>
      <c r="G30" s="710"/>
      <c r="H30" s="711"/>
      <c r="I30" s="712"/>
      <c r="J30" s="711"/>
      <c r="K30" s="711"/>
      <c r="L30" s="1024"/>
    </row>
    <row r="31" spans="1:12" s="714" customFormat="1" ht="24" customHeight="1">
      <c r="A31" s="1125"/>
      <c r="B31" s="720"/>
      <c r="C31" s="1123"/>
      <c r="D31" s="1124"/>
      <c r="E31" s="721"/>
      <c r="F31" s="722"/>
      <c r="G31" s="710"/>
      <c r="H31" s="711"/>
      <c r="I31" s="712"/>
      <c r="J31" s="711"/>
      <c r="K31" s="711"/>
      <c r="L31" s="1024"/>
    </row>
    <row r="32" spans="1:12" s="714" customFormat="1" ht="24" customHeight="1">
      <c r="A32" s="1125"/>
      <c r="B32" s="720"/>
      <c r="C32" s="1123"/>
      <c r="D32" s="1124"/>
      <c r="E32" s="721"/>
      <c r="F32" s="722"/>
      <c r="G32" s="710"/>
      <c r="H32" s="711"/>
      <c r="I32" s="712"/>
      <c r="J32" s="711"/>
      <c r="K32" s="711"/>
      <c r="L32" s="1024"/>
    </row>
    <row r="33" spans="1:21" s="714" customFormat="1" ht="24" customHeight="1">
      <c r="A33" s="1126"/>
      <c r="B33" s="1127"/>
      <c r="C33" s="1123"/>
      <c r="D33" s="1124"/>
      <c r="E33" s="1128"/>
      <c r="F33" s="722"/>
      <c r="G33" s="710"/>
      <c r="H33" s="711"/>
      <c r="I33" s="712"/>
      <c r="J33" s="711"/>
      <c r="K33" s="1129"/>
      <c r="L33" s="1024"/>
    </row>
    <row r="34" spans="1:21" s="714" customFormat="1" ht="25.15" customHeight="1">
      <c r="A34" s="777"/>
      <c r="B34" s="2475" t="str">
        <f>"รวมราคา"&amp;B11</f>
        <v>รวมราคาระบบโทรทัศน์วงจรปิด (Closed Circuit TV System) ชั้น 1</v>
      </c>
      <c r="C34" s="2476"/>
      <c r="D34" s="2477"/>
      <c r="E34" s="997"/>
      <c r="F34" s="777"/>
      <c r="G34" s="959"/>
      <c r="H34" s="960">
        <f>SUM(H12:H33)</f>
        <v>757285</v>
      </c>
      <c r="I34" s="959"/>
      <c r="J34" s="960">
        <f>SUM(J11:J33)</f>
        <v>52680</v>
      </c>
      <c r="K34" s="1130">
        <f>SUM(K11:K33)</f>
        <v>809965</v>
      </c>
      <c r="L34" s="777"/>
      <c r="M34" s="729"/>
      <c r="N34" s="729"/>
      <c r="O34" s="729"/>
      <c r="P34" s="729"/>
      <c r="Q34" s="729"/>
      <c r="R34" s="729"/>
      <c r="S34" s="729"/>
      <c r="T34" s="729"/>
      <c r="U34" s="729"/>
    </row>
    <row r="35" spans="1:21" s="714" customFormat="1" ht="24" customHeight="1">
      <c r="A35" s="986">
        <v>4.0999999999999996</v>
      </c>
      <c r="B35" s="816" t="s">
        <v>28</v>
      </c>
      <c r="C35" s="987"/>
      <c r="D35" s="707"/>
      <c r="E35" s="708"/>
      <c r="F35" s="709"/>
      <c r="G35" s="853"/>
      <c r="H35" s="854"/>
      <c r="I35" s="855"/>
      <c r="J35" s="854"/>
      <c r="K35" s="855"/>
      <c r="L35" s="988"/>
      <c r="M35" s="729"/>
      <c r="N35" s="729"/>
      <c r="O35" s="729"/>
      <c r="P35" s="729"/>
      <c r="Q35" s="729"/>
      <c r="R35" s="729"/>
      <c r="S35" s="729"/>
      <c r="T35" s="729"/>
      <c r="U35" s="729"/>
    </row>
    <row r="36" spans="1:21" s="714" customFormat="1" ht="24" customHeight="1">
      <c r="A36" s="989" t="s">
        <v>1610</v>
      </c>
      <c r="B36" s="720" t="s">
        <v>1611</v>
      </c>
      <c r="C36" s="706"/>
      <c r="D36" s="990"/>
      <c r="E36" s="721">
        <v>26</v>
      </c>
      <c r="F36" s="722" t="s">
        <v>240</v>
      </c>
      <c r="G36" s="795">
        <v>22110</v>
      </c>
      <c r="H36" s="796">
        <f>ROUND(E36*G36,)</f>
        <v>574860</v>
      </c>
      <c r="I36" s="797">
        <v>500</v>
      </c>
      <c r="J36" s="796">
        <f>ROUND(I36*E36,)</f>
        <v>13000</v>
      </c>
      <c r="K36" s="797">
        <f>H36+J36</f>
        <v>587860</v>
      </c>
      <c r="L36" s="830"/>
      <c r="M36" s="729"/>
      <c r="N36" s="729"/>
      <c r="O36" s="729"/>
      <c r="P36" s="729"/>
      <c r="Q36" s="729"/>
      <c r="R36" s="729"/>
      <c r="S36" s="729"/>
      <c r="T36" s="729"/>
      <c r="U36" s="729"/>
    </row>
    <row r="37" spans="1:21" s="714" customFormat="1" ht="24" customHeight="1">
      <c r="A37" s="992" t="s">
        <v>1607</v>
      </c>
      <c r="B37" s="720" t="s">
        <v>3026</v>
      </c>
      <c r="C37" s="706"/>
      <c r="D37" s="990"/>
      <c r="E37" s="721">
        <v>2</v>
      </c>
      <c r="F37" s="722" t="s">
        <v>240</v>
      </c>
      <c r="G37" s="806">
        <f>5230+1640+2260+30800+12320+4480</f>
        <v>56730</v>
      </c>
      <c r="H37" s="796">
        <f>ROUND(E37*G37,)</f>
        <v>113460</v>
      </c>
      <c r="I37" s="807">
        <f>CEILING(G37*0.025,100)</f>
        <v>1500</v>
      </c>
      <c r="J37" s="796">
        <f>ROUND(I37*E37,)</f>
        <v>3000</v>
      </c>
      <c r="K37" s="797">
        <f>H37+J37</f>
        <v>116460</v>
      </c>
      <c r="L37" s="830"/>
      <c r="M37" s="729"/>
      <c r="N37" s="729"/>
      <c r="O37" s="729"/>
      <c r="P37" s="729"/>
      <c r="Q37" s="729"/>
      <c r="R37" s="729"/>
      <c r="S37" s="729"/>
      <c r="T37" s="729"/>
      <c r="U37" s="729"/>
    </row>
    <row r="38" spans="1:21" s="714" customFormat="1" ht="24" customHeight="1">
      <c r="A38" s="992"/>
      <c r="B38" s="720" t="s">
        <v>1614</v>
      </c>
      <c r="C38" s="706"/>
      <c r="D38" s="990"/>
      <c r="E38" s="721"/>
      <c r="F38" s="722" t="s">
        <v>240</v>
      </c>
      <c r="G38" s="795" t="s">
        <v>974</v>
      </c>
      <c r="H38" s="796"/>
      <c r="I38" s="797"/>
      <c r="J38" s="796"/>
      <c r="K38" s="797"/>
      <c r="L38" s="830"/>
      <c r="M38" s="729"/>
      <c r="N38" s="729"/>
      <c r="O38" s="729"/>
      <c r="P38" s="729"/>
      <c r="Q38" s="729"/>
      <c r="R38" s="729"/>
      <c r="S38" s="729"/>
      <c r="T38" s="729"/>
      <c r="U38" s="729"/>
    </row>
    <row r="39" spans="1:21" s="714" customFormat="1" ht="24" customHeight="1">
      <c r="A39" s="992"/>
      <c r="B39" s="720" t="s">
        <v>1615</v>
      </c>
      <c r="C39" s="706"/>
      <c r="D39" s="990"/>
      <c r="E39" s="721"/>
      <c r="F39" s="722" t="s">
        <v>240</v>
      </c>
      <c r="G39" s="795" t="s">
        <v>974</v>
      </c>
      <c r="H39" s="796"/>
      <c r="I39" s="797"/>
      <c r="J39" s="796"/>
      <c r="K39" s="797"/>
      <c r="L39" s="830"/>
      <c r="M39" s="729"/>
      <c r="N39" s="729"/>
      <c r="O39" s="729"/>
      <c r="P39" s="729"/>
      <c r="Q39" s="729"/>
      <c r="R39" s="729"/>
      <c r="S39" s="729"/>
      <c r="T39" s="729"/>
      <c r="U39" s="729"/>
    </row>
    <row r="40" spans="1:21" s="714" customFormat="1" ht="24" customHeight="1">
      <c r="A40" s="993"/>
      <c r="B40" s="720" t="s">
        <v>1616</v>
      </c>
      <c r="C40" s="706"/>
      <c r="D40" s="990"/>
      <c r="E40" s="721"/>
      <c r="F40" s="722" t="s">
        <v>240</v>
      </c>
      <c r="G40" s="795" t="s">
        <v>974</v>
      </c>
      <c r="H40" s="796"/>
      <c r="I40" s="797"/>
      <c r="J40" s="796"/>
      <c r="K40" s="797"/>
      <c r="L40" s="830"/>
      <c r="M40" s="729"/>
      <c r="N40" s="729"/>
      <c r="O40" s="729"/>
      <c r="P40" s="729"/>
      <c r="Q40" s="729"/>
      <c r="R40" s="729"/>
      <c r="S40" s="729"/>
      <c r="T40" s="729"/>
      <c r="U40" s="729"/>
    </row>
    <row r="41" spans="1:21" s="714" customFormat="1" ht="24" customHeight="1">
      <c r="A41" s="993"/>
      <c r="B41" s="720" t="s">
        <v>1375</v>
      </c>
      <c r="C41" s="706"/>
      <c r="D41" s="990"/>
      <c r="E41" s="721"/>
      <c r="F41" s="722" t="s">
        <v>240</v>
      </c>
      <c r="G41" s="795" t="s">
        <v>974</v>
      </c>
      <c r="H41" s="796"/>
      <c r="I41" s="797"/>
      <c r="J41" s="796"/>
      <c r="K41" s="797"/>
      <c r="L41" s="830"/>
      <c r="M41" s="729"/>
      <c r="N41" s="729"/>
      <c r="O41" s="729"/>
      <c r="P41" s="729"/>
      <c r="Q41" s="729"/>
      <c r="R41" s="729"/>
      <c r="S41" s="729"/>
      <c r="T41" s="729"/>
      <c r="U41" s="729"/>
    </row>
    <row r="42" spans="1:21" s="714" customFormat="1" ht="24" customHeight="1">
      <c r="A42" s="1138"/>
      <c r="B42" s="720" t="s">
        <v>1617</v>
      </c>
      <c r="C42" s="987"/>
      <c r="D42" s="707"/>
      <c r="E42" s="708"/>
      <c r="F42" s="709" t="s">
        <v>240</v>
      </c>
      <c r="G42" s="795" t="s">
        <v>974</v>
      </c>
      <c r="H42" s="854"/>
      <c r="I42" s="855"/>
      <c r="J42" s="854"/>
      <c r="K42" s="855"/>
      <c r="L42" s="988"/>
      <c r="M42" s="729"/>
      <c r="N42" s="729"/>
      <c r="O42" s="729"/>
      <c r="P42" s="729"/>
      <c r="Q42" s="729"/>
      <c r="R42" s="729"/>
      <c r="S42" s="729"/>
      <c r="T42" s="729"/>
      <c r="U42" s="729"/>
    </row>
    <row r="43" spans="1:21" s="714" customFormat="1" ht="24" customHeight="1">
      <c r="A43" s="1132" t="s">
        <v>1608</v>
      </c>
      <c r="B43" s="720" t="s">
        <v>1378</v>
      </c>
      <c r="C43" s="706"/>
      <c r="D43" s="990"/>
      <c r="E43" s="721"/>
      <c r="F43" s="722"/>
      <c r="G43" s="795"/>
      <c r="H43" s="796"/>
      <c r="I43" s="797"/>
      <c r="J43" s="796"/>
      <c r="K43" s="797"/>
      <c r="L43" s="830"/>
      <c r="M43" s="729"/>
      <c r="N43" s="729"/>
      <c r="O43" s="729"/>
      <c r="P43" s="729"/>
      <c r="Q43" s="729"/>
      <c r="R43" s="729"/>
      <c r="S43" s="729"/>
      <c r="T43" s="729"/>
      <c r="U43" s="729"/>
    </row>
    <row r="44" spans="1:21" s="714" customFormat="1" ht="24" customHeight="1">
      <c r="A44" s="1134"/>
      <c r="B44" s="720" t="s">
        <v>1621</v>
      </c>
      <c r="C44" s="706"/>
      <c r="D44" s="990"/>
      <c r="E44" s="991">
        <v>1300</v>
      </c>
      <c r="F44" s="722" t="s">
        <v>438</v>
      </c>
      <c r="G44" s="795">
        <v>22</v>
      </c>
      <c r="H44" s="796">
        <f>ROUND(E44*G44,)</f>
        <v>28600</v>
      </c>
      <c r="I44" s="797">
        <v>5</v>
      </c>
      <c r="J44" s="796">
        <f>ROUND(I44*E44,)</f>
        <v>6500</v>
      </c>
      <c r="K44" s="797">
        <f>H44+J44</f>
        <v>35100</v>
      </c>
      <c r="L44" s="830"/>
      <c r="M44" s="729"/>
      <c r="N44" s="729"/>
      <c r="O44" s="729"/>
      <c r="P44" s="729"/>
      <c r="Q44" s="729"/>
      <c r="R44" s="729"/>
      <c r="S44" s="729"/>
      <c r="T44" s="729"/>
      <c r="U44" s="729"/>
    </row>
    <row r="45" spans="1:21" s="714" customFormat="1" ht="24" customHeight="1">
      <c r="A45" s="993" t="s">
        <v>1633</v>
      </c>
      <c r="B45" s="720" t="s">
        <v>1357</v>
      </c>
      <c r="C45" s="706"/>
      <c r="D45" s="990"/>
      <c r="E45" s="991"/>
      <c r="F45" s="722"/>
      <c r="G45" s="795"/>
      <c r="H45" s="796"/>
      <c r="I45" s="797"/>
      <c r="J45" s="796"/>
      <c r="K45" s="797"/>
      <c r="L45" s="830"/>
      <c r="M45" s="729"/>
      <c r="N45" s="729"/>
      <c r="O45" s="729"/>
      <c r="P45" s="729"/>
      <c r="Q45" s="729"/>
      <c r="R45" s="729"/>
      <c r="S45" s="729"/>
      <c r="T45" s="729"/>
      <c r="U45" s="729"/>
    </row>
    <row r="46" spans="1:21" s="714" customFormat="1" ht="24" customHeight="1">
      <c r="A46" s="1133"/>
      <c r="B46" s="720" t="s">
        <v>1201</v>
      </c>
      <c r="C46" s="706"/>
      <c r="D46" s="990"/>
      <c r="E46" s="942">
        <v>1300</v>
      </c>
      <c r="F46" s="794" t="s">
        <v>438</v>
      </c>
      <c r="G46" s="806">
        <v>27</v>
      </c>
      <c r="H46" s="796">
        <f>ROUND(E46*G46,)</f>
        <v>35100</v>
      </c>
      <c r="I46" s="807">
        <v>22</v>
      </c>
      <c r="J46" s="796">
        <f t="shared" ref="J46" si="0">ROUND(E46*I46,)</f>
        <v>28600</v>
      </c>
      <c r="K46" s="914">
        <f t="shared" ref="K46" si="1">H46+J46</f>
        <v>63700</v>
      </c>
      <c r="L46" s="1718" t="s">
        <v>2915</v>
      </c>
      <c r="M46" s="729"/>
      <c r="N46" s="714">
        <v>79.8</v>
      </c>
      <c r="O46" s="714">
        <f>ROUND(N46/3,)</f>
        <v>27</v>
      </c>
      <c r="P46" s="729"/>
      <c r="Q46" s="729"/>
      <c r="R46" s="729"/>
      <c r="S46" s="729"/>
      <c r="T46" s="729"/>
      <c r="U46" s="729"/>
    </row>
    <row r="47" spans="1:21" s="714" customFormat="1" ht="24" customHeight="1">
      <c r="A47" s="996"/>
      <c r="B47" s="720" t="s">
        <v>1237</v>
      </c>
      <c r="C47" s="706"/>
      <c r="D47" s="990"/>
      <c r="E47" s="721">
        <v>1</v>
      </c>
      <c r="F47" s="722" t="s">
        <v>948</v>
      </c>
      <c r="G47" s="795">
        <f>SUM(H46:H46)*15%</f>
        <v>5265</v>
      </c>
      <c r="H47" s="796">
        <f>ROUND(E47*G47,)</f>
        <v>5265</v>
      </c>
      <c r="I47" s="797">
        <f>ROUND(G47*0.3,)</f>
        <v>1580</v>
      </c>
      <c r="J47" s="796">
        <f>ROUND(I47*E47,)</f>
        <v>1580</v>
      </c>
      <c r="K47" s="797">
        <f>H47+J47</f>
        <v>6845</v>
      </c>
      <c r="L47" s="830"/>
      <c r="M47" s="729"/>
      <c r="N47" s="729"/>
      <c r="O47" s="729"/>
      <c r="P47" s="729"/>
      <c r="Q47" s="729"/>
      <c r="R47" s="729"/>
      <c r="S47" s="729"/>
      <c r="T47" s="729"/>
      <c r="U47" s="729"/>
    </row>
    <row r="48" spans="1:21" s="714" customFormat="1" ht="24" customHeight="1">
      <c r="A48" s="1134"/>
      <c r="B48" s="720" t="s">
        <v>957</v>
      </c>
      <c r="C48" s="706"/>
      <c r="D48" s="990"/>
      <c r="E48" s="721"/>
      <c r="F48" s="722"/>
      <c r="G48" s="795"/>
      <c r="H48" s="796"/>
      <c r="I48" s="1039"/>
      <c r="J48" s="796"/>
      <c r="K48" s="797"/>
      <c r="L48" s="830"/>
      <c r="M48" s="729"/>
      <c r="N48" s="729"/>
      <c r="O48" s="729"/>
      <c r="P48" s="729"/>
      <c r="Q48" s="729"/>
      <c r="R48" s="729"/>
      <c r="S48" s="729"/>
      <c r="T48" s="729"/>
      <c r="U48" s="729"/>
    </row>
    <row r="49" spans="1:21" s="714" customFormat="1" ht="24" customHeight="1">
      <c r="A49" s="1134"/>
      <c r="B49" s="720" t="s">
        <v>1102</v>
      </c>
      <c r="C49" s="706"/>
      <c r="D49" s="990"/>
      <c r="E49" s="721"/>
      <c r="F49" s="722"/>
      <c r="G49" s="795"/>
      <c r="H49" s="796"/>
      <c r="I49" s="1039"/>
      <c r="J49" s="796"/>
      <c r="K49" s="797"/>
      <c r="L49" s="830"/>
      <c r="M49" s="729"/>
      <c r="N49" s="729"/>
      <c r="O49" s="729"/>
      <c r="P49" s="729"/>
      <c r="Q49" s="729"/>
      <c r="R49" s="729"/>
      <c r="S49" s="729"/>
      <c r="T49" s="729"/>
      <c r="U49" s="729"/>
    </row>
    <row r="50" spans="1:21" s="714" customFormat="1" ht="24" customHeight="1">
      <c r="A50" s="1134"/>
      <c r="B50" s="720" t="s">
        <v>1102</v>
      </c>
      <c r="C50" s="706"/>
      <c r="D50" s="990"/>
      <c r="E50" s="721"/>
      <c r="F50" s="722"/>
      <c r="G50" s="795"/>
      <c r="H50" s="796"/>
      <c r="I50" s="1039"/>
      <c r="J50" s="796"/>
      <c r="K50" s="797"/>
      <c r="L50" s="830"/>
      <c r="M50" s="729"/>
      <c r="N50" s="729"/>
      <c r="O50" s="729"/>
      <c r="P50" s="729"/>
      <c r="Q50" s="729"/>
      <c r="R50" s="729"/>
      <c r="S50" s="729"/>
      <c r="T50" s="729"/>
      <c r="U50" s="729"/>
    </row>
    <row r="51" spans="1:21" s="714" customFormat="1" ht="24" customHeight="1">
      <c r="A51" s="1134"/>
      <c r="B51" s="720"/>
      <c r="C51" s="706"/>
      <c r="D51" s="990"/>
      <c r="E51" s="721"/>
      <c r="F51" s="722"/>
      <c r="G51" s="795"/>
      <c r="H51" s="796"/>
      <c r="I51" s="1039"/>
      <c r="J51" s="796"/>
      <c r="K51" s="797"/>
      <c r="L51" s="830"/>
      <c r="M51" s="729"/>
      <c r="N51" s="729"/>
      <c r="O51" s="729"/>
      <c r="P51" s="729"/>
      <c r="Q51" s="729"/>
      <c r="R51" s="729"/>
      <c r="S51" s="729"/>
      <c r="T51" s="729"/>
      <c r="U51" s="729"/>
    </row>
    <row r="52" spans="1:21" s="714" customFormat="1" ht="24" customHeight="1">
      <c r="A52" s="1134"/>
      <c r="B52" s="720"/>
      <c r="C52" s="706"/>
      <c r="D52" s="990"/>
      <c r="E52" s="721"/>
      <c r="F52" s="722"/>
      <c r="G52" s="795"/>
      <c r="H52" s="796"/>
      <c r="I52" s="1039"/>
      <c r="J52" s="796"/>
      <c r="K52" s="797"/>
      <c r="L52" s="830"/>
      <c r="M52" s="729"/>
      <c r="N52" s="729"/>
      <c r="O52" s="729"/>
      <c r="P52" s="729"/>
      <c r="Q52" s="729"/>
      <c r="R52" s="729"/>
      <c r="S52" s="729"/>
      <c r="T52" s="729"/>
      <c r="U52" s="729"/>
    </row>
    <row r="53" spans="1:21" s="714" customFormat="1" ht="24" customHeight="1">
      <c r="A53" s="1134"/>
      <c r="B53" s="720"/>
      <c r="C53" s="706"/>
      <c r="D53" s="990"/>
      <c r="E53" s="721"/>
      <c r="F53" s="722"/>
      <c r="G53" s="795"/>
      <c r="H53" s="796"/>
      <c r="I53" s="1039"/>
      <c r="J53" s="796"/>
      <c r="K53" s="797"/>
      <c r="L53" s="830"/>
      <c r="M53" s="729"/>
      <c r="N53" s="729"/>
      <c r="O53" s="729"/>
      <c r="P53" s="729"/>
      <c r="Q53" s="729"/>
      <c r="R53" s="729"/>
      <c r="S53" s="729"/>
      <c r="T53" s="729"/>
      <c r="U53" s="729"/>
    </row>
    <row r="54" spans="1:21" s="714" customFormat="1" ht="24" customHeight="1">
      <c r="A54" s="1134"/>
      <c r="B54" s="720"/>
      <c r="C54" s="706"/>
      <c r="D54" s="990"/>
      <c r="E54" s="721"/>
      <c r="F54" s="722"/>
      <c r="G54" s="795"/>
      <c r="H54" s="796"/>
      <c r="I54" s="1039"/>
      <c r="J54" s="796"/>
      <c r="K54" s="797"/>
      <c r="L54" s="830"/>
      <c r="M54" s="729"/>
      <c r="N54" s="729"/>
      <c r="O54" s="729"/>
      <c r="P54" s="729"/>
      <c r="Q54" s="729"/>
      <c r="R54" s="729"/>
      <c r="S54" s="729"/>
      <c r="T54" s="729"/>
      <c r="U54" s="729"/>
    </row>
    <row r="55" spans="1:21" s="714" customFormat="1" ht="24" customHeight="1">
      <c r="A55" s="1134"/>
      <c r="B55" s="720"/>
      <c r="C55" s="706"/>
      <c r="D55" s="990"/>
      <c r="E55" s="721"/>
      <c r="F55" s="722"/>
      <c r="G55" s="795"/>
      <c r="H55" s="796"/>
      <c r="I55" s="1039"/>
      <c r="J55" s="796"/>
      <c r="K55" s="797"/>
      <c r="L55" s="830"/>
      <c r="M55" s="729"/>
      <c r="N55" s="729"/>
      <c r="O55" s="729"/>
      <c r="P55" s="729"/>
      <c r="Q55" s="729"/>
      <c r="R55" s="729"/>
      <c r="S55" s="729"/>
      <c r="T55" s="729"/>
      <c r="U55" s="729"/>
    </row>
    <row r="56" spans="1:21" s="714" customFormat="1" ht="24" customHeight="1">
      <c r="A56" s="996"/>
      <c r="B56" s="720"/>
      <c r="C56" s="706"/>
      <c r="D56" s="990"/>
      <c r="E56" s="721"/>
      <c r="F56" s="722"/>
      <c r="G56" s="795"/>
      <c r="H56" s="796"/>
      <c r="I56" s="797"/>
      <c r="J56" s="796"/>
      <c r="K56" s="797"/>
      <c r="L56" s="830"/>
      <c r="M56" s="729"/>
      <c r="N56" s="729"/>
      <c r="O56" s="729"/>
      <c r="P56" s="729"/>
      <c r="Q56" s="729"/>
      <c r="R56" s="729"/>
      <c r="S56" s="729"/>
      <c r="T56" s="729"/>
      <c r="U56" s="729"/>
    </row>
    <row r="57" spans="1:21" s="714" customFormat="1" ht="24" customHeight="1">
      <c r="A57" s="777"/>
      <c r="B57" s="2475" t="str">
        <f>"รวมราคารายการที่ "&amp;A35</f>
        <v>รวมราคารายการที่ 4.1</v>
      </c>
      <c r="C57" s="2476"/>
      <c r="D57" s="2477"/>
      <c r="E57" s="997"/>
      <c r="F57" s="777"/>
      <c r="G57" s="959"/>
      <c r="H57" s="960">
        <f>SUM(H36:H56)</f>
        <v>757285</v>
      </c>
      <c r="I57" s="959"/>
      <c r="J57" s="960">
        <f t="shared" ref="J57:K57" si="2">SUM(J36:J56)</f>
        <v>52680</v>
      </c>
      <c r="K57" s="960">
        <f t="shared" si="2"/>
        <v>809965</v>
      </c>
      <c r="L57" s="777"/>
      <c r="M57" s="729"/>
      <c r="N57" s="729"/>
      <c r="O57" s="729"/>
      <c r="P57" s="729"/>
      <c r="Q57" s="729"/>
      <c r="R57" s="729"/>
      <c r="S57" s="729"/>
      <c r="T57" s="729"/>
      <c r="U57" s="729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1-อาคารสนับนุน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DF814-A925-4716-A883-A751B688C381}">
  <sheetPr>
    <tabColor rgb="FF92D050"/>
  </sheetPr>
  <dimension ref="A1:U57"/>
  <sheetViews>
    <sheetView tabSelected="1" view="pageBreakPreview" topLeftCell="A40" zoomScale="70" zoomScaleNormal="10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9.1171875" style="1" customWidth="1"/>
    <col min="13" max="99" width="7.703125" style="1" customWidth="1"/>
    <col min="100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1603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84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85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80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81"/>
    </row>
    <row r="11" spans="1:12" ht="24" customHeight="1">
      <c r="A11" s="1115" t="s">
        <v>27</v>
      </c>
      <c r="B11" s="1116" t="s">
        <v>1627</v>
      </c>
      <c r="C11" s="1117"/>
      <c r="D11" s="1118"/>
      <c r="E11" s="694"/>
      <c r="F11" s="695"/>
      <c r="G11" s="696"/>
      <c r="H11" s="697"/>
      <c r="I11" s="698"/>
      <c r="J11" s="697"/>
      <c r="K11" s="699"/>
      <c r="L11" s="953"/>
    </row>
    <row r="12" spans="1:12" ht="24" customHeight="1">
      <c r="A12" s="1119"/>
      <c r="B12" s="1120"/>
      <c r="C12" s="1121"/>
      <c r="D12" s="1122"/>
      <c r="E12" s="694"/>
      <c r="F12" s="695"/>
      <c r="G12" s="696"/>
      <c r="H12" s="697"/>
      <c r="I12" s="698"/>
      <c r="J12" s="697"/>
      <c r="K12" s="699"/>
      <c r="L12" s="953"/>
    </row>
    <row r="13" spans="1:12" s="714" customFormat="1" ht="24" customHeight="1">
      <c r="A13" s="704">
        <f>A35</f>
        <v>4.0999999999999996</v>
      </c>
      <c r="B13" s="705" t="str">
        <f>B35</f>
        <v>ระบบโทรทัศน์วงจรปิด (Closed Circuit TV System)</v>
      </c>
      <c r="C13" s="706"/>
      <c r="D13" s="707"/>
      <c r="E13" s="708">
        <v>1</v>
      </c>
      <c r="F13" s="709" t="s">
        <v>19</v>
      </c>
      <c r="G13" s="710"/>
      <c r="H13" s="711">
        <f>H57</f>
        <v>757285</v>
      </c>
      <c r="I13" s="712"/>
      <c r="J13" s="711">
        <f>J57</f>
        <v>52680</v>
      </c>
      <c r="K13" s="711">
        <f>SUM(H13:J13)</f>
        <v>809965</v>
      </c>
      <c r="L13" s="1024"/>
    </row>
    <row r="14" spans="1:12" s="714" customFormat="1" ht="24" customHeight="1">
      <c r="A14" s="704"/>
      <c r="B14" s="720"/>
      <c r="C14" s="716"/>
      <c r="D14" s="990"/>
      <c r="E14" s="721"/>
      <c r="F14" s="722"/>
      <c r="G14" s="710"/>
      <c r="H14" s="711"/>
      <c r="I14" s="712"/>
      <c r="J14" s="711"/>
      <c r="K14" s="711"/>
      <c r="L14" s="1024"/>
    </row>
    <row r="15" spans="1:12" s="714" customFormat="1" ht="24" customHeight="1">
      <c r="A15" s="719"/>
      <c r="B15" s="720"/>
      <c r="C15" s="717"/>
      <c r="D15" s="718"/>
      <c r="E15" s="721"/>
      <c r="F15" s="722"/>
      <c r="G15" s="710"/>
      <c r="H15" s="711"/>
      <c r="I15" s="712"/>
      <c r="J15" s="711"/>
      <c r="K15" s="711"/>
      <c r="L15" s="1024"/>
    </row>
    <row r="16" spans="1:12" s="714" customFormat="1" ht="24" customHeight="1">
      <c r="A16" s="719"/>
      <c r="B16" s="720"/>
      <c r="C16" s="717"/>
      <c r="D16" s="718"/>
      <c r="E16" s="721"/>
      <c r="F16" s="722"/>
      <c r="G16" s="710"/>
      <c r="H16" s="711"/>
      <c r="I16" s="712"/>
      <c r="J16" s="711"/>
      <c r="K16" s="711"/>
      <c r="L16" s="1024"/>
    </row>
    <row r="17" spans="1:12" s="714" customFormat="1" ht="24" customHeight="1">
      <c r="A17" s="719"/>
      <c r="B17" s="720"/>
      <c r="C17" s="717"/>
      <c r="D17" s="718"/>
      <c r="E17" s="721"/>
      <c r="F17" s="722"/>
      <c r="G17" s="710"/>
      <c r="H17" s="711"/>
      <c r="I17" s="712"/>
      <c r="J17" s="711"/>
      <c r="K17" s="711"/>
      <c r="L17" s="1024"/>
    </row>
    <row r="18" spans="1:12" s="714" customFormat="1" ht="24" customHeight="1">
      <c r="A18" s="719"/>
      <c r="B18" s="720"/>
      <c r="C18" s="717"/>
      <c r="D18" s="718"/>
      <c r="E18" s="721"/>
      <c r="F18" s="722"/>
      <c r="G18" s="710"/>
      <c r="H18" s="711"/>
      <c r="I18" s="712"/>
      <c r="J18" s="711"/>
      <c r="K18" s="711"/>
      <c r="L18" s="1024"/>
    </row>
    <row r="19" spans="1:12" s="714" customFormat="1" ht="24" customHeight="1">
      <c r="A19" s="719"/>
      <c r="B19" s="720"/>
      <c r="C19" s="717"/>
      <c r="D19" s="718"/>
      <c r="E19" s="721"/>
      <c r="F19" s="722"/>
      <c r="G19" s="710"/>
      <c r="H19" s="711"/>
      <c r="I19" s="712"/>
      <c r="J19" s="711"/>
      <c r="K19" s="711"/>
      <c r="L19" s="1024"/>
    </row>
    <row r="20" spans="1:12" s="714" customFormat="1" ht="24" customHeight="1">
      <c r="A20" s="719"/>
      <c r="B20" s="720"/>
      <c r="C20" s="717"/>
      <c r="D20" s="718"/>
      <c r="E20" s="721"/>
      <c r="F20" s="722"/>
      <c r="G20" s="710"/>
      <c r="H20" s="711"/>
      <c r="I20" s="712"/>
      <c r="J20" s="711"/>
      <c r="K20" s="711"/>
      <c r="L20" s="1024"/>
    </row>
    <row r="21" spans="1:12" s="714" customFormat="1" ht="24" customHeight="1">
      <c r="A21" s="719"/>
      <c r="B21" s="720"/>
      <c r="C21" s="717"/>
      <c r="D21" s="718"/>
      <c r="E21" s="721"/>
      <c r="F21" s="722"/>
      <c r="G21" s="710"/>
      <c r="H21" s="711"/>
      <c r="I21" s="712"/>
      <c r="J21" s="711"/>
      <c r="K21" s="711"/>
      <c r="L21" s="1024"/>
    </row>
    <row r="22" spans="1:12" s="714" customFormat="1" ht="24" customHeight="1">
      <c r="A22" s="719"/>
      <c r="B22" s="720"/>
      <c r="C22" s="717"/>
      <c r="D22" s="718"/>
      <c r="E22" s="721"/>
      <c r="F22" s="722"/>
      <c r="G22" s="710"/>
      <c r="H22" s="711"/>
      <c r="I22" s="712"/>
      <c r="J22" s="711"/>
      <c r="K22" s="711"/>
      <c r="L22" s="1024"/>
    </row>
    <row r="23" spans="1:12" s="714" customFormat="1" ht="24" customHeight="1">
      <c r="A23" s="1125"/>
      <c r="B23" s="720"/>
      <c r="C23" s="1123"/>
      <c r="D23" s="1124"/>
      <c r="E23" s="721"/>
      <c r="F23" s="722"/>
      <c r="G23" s="710"/>
      <c r="H23" s="711"/>
      <c r="I23" s="712"/>
      <c r="J23" s="711"/>
      <c r="K23" s="711"/>
      <c r="L23" s="1024"/>
    </row>
    <row r="24" spans="1:12" s="714" customFormat="1" ht="24" customHeight="1">
      <c r="A24" s="1125"/>
      <c r="B24" s="720"/>
      <c r="C24" s="1123"/>
      <c r="D24" s="1124"/>
      <c r="E24" s="721"/>
      <c r="F24" s="722"/>
      <c r="G24" s="710"/>
      <c r="H24" s="711"/>
      <c r="I24" s="712"/>
      <c r="J24" s="711"/>
      <c r="K24" s="711"/>
      <c r="L24" s="1024"/>
    </row>
    <row r="25" spans="1:12" s="714" customFormat="1" ht="24" customHeight="1">
      <c r="A25" s="1125"/>
      <c r="B25" s="720"/>
      <c r="C25" s="1123"/>
      <c r="D25" s="1124"/>
      <c r="E25" s="721"/>
      <c r="F25" s="722"/>
      <c r="G25" s="710"/>
      <c r="H25" s="711"/>
      <c r="I25" s="712"/>
      <c r="J25" s="711"/>
      <c r="K25" s="711"/>
      <c r="L25" s="1024"/>
    </row>
    <row r="26" spans="1:12" s="714" customFormat="1" ht="24" customHeight="1">
      <c r="A26" s="1125"/>
      <c r="B26" s="720"/>
      <c r="C26" s="1123"/>
      <c r="D26" s="1124"/>
      <c r="E26" s="721"/>
      <c r="F26" s="722"/>
      <c r="G26" s="710"/>
      <c r="H26" s="711"/>
      <c r="I26" s="712"/>
      <c r="J26" s="711"/>
      <c r="K26" s="711"/>
      <c r="L26" s="1024"/>
    </row>
    <row r="27" spans="1:12" s="714" customFormat="1" ht="24" customHeight="1">
      <c r="A27" s="1125"/>
      <c r="B27" s="720"/>
      <c r="C27" s="1123"/>
      <c r="D27" s="1124"/>
      <c r="E27" s="721"/>
      <c r="F27" s="722"/>
      <c r="G27" s="710"/>
      <c r="H27" s="711"/>
      <c r="I27" s="712"/>
      <c r="J27" s="711"/>
      <c r="K27" s="711"/>
      <c r="L27" s="1024"/>
    </row>
    <row r="28" spans="1:12" s="714" customFormat="1" ht="24" customHeight="1">
      <c r="A28" s="1125"/>
      <c r="B28" s="720"/>
      <c r="C28" s="1123"/>
      <c r="D28" s="1124"/>
      <c r="E28" s="721"/>
      <c r="F28" s="722"/>
      <c r="G28" s="710"/>
      <c r="H28" s="711"/>
      <c r="I28" s="712"/>
      <c r="J28" s="711"/>
      <c r="K28" s="711"/>
      <c r="L28" s="1024"/>
    </row>
    <row r="29" spans="1:12" s="714" customFormat="1" ht="24" customHeight="1">
      <c r="A29" s="1125"/>
      <c r="B29" s="720"/>
      <c r="C29" s="1123"/>
      <c r="D29" s="1124"/>
      <c r="E29" s="721"/>
      <c r="F29" s="722"/>
      <c r="G29" s="710"/>
      <c r="H29" s="711"/>
      <c r="I29" s="712"/>
      <c r="J29" s="711"/>
      <c r="K29" s="711"/>
      <c r="L29" s="1024"/>
    </row>
    <row r="30" spans="1:12" s="714" customFormat="1" ht="24" customHeight="1">
      <c r="A30" s="1125"/>
      <c r="B30" s="720"/>
      <c r="C30" s="1123"/>
      <c r="D30" s="1124"/>
      <c r="E30" s="721"/>
      <c r="F30" s="722"/>
      <c r="G30" s="710"/>
      <c r="H30" s="711"/>
      <c r="I30" s="712"/>
      <c r="J30" s="711"/>
      <c r="K30" s="711"/>
      <c r="L30" s="1024"/>
    </row>
    <row r="31" spans="1:12" s="714" customFormat="1" ht="24" customHeight="1">
      <c r="A31" s="1125"/>
      <c r="B31" s="720"/>
      <c r="C31" s="1123"/>
      <c r="D31" s="1124"/>
      <c r="E31" s="721"/>
      <c r="F31" s="722"/>
      <c r="G31" s="710"/>
      <c r="H31" s="711"/>
      <c r="I31" s="712"/>
      <c r="J31" s="711"/>
      <c r="K31" s="711"/>
      <c r="L31" s="1024"/>
    </row>
    <row r="32" spans="1:12" s="714" customFormat="1" ht="24" customHeight="1">
      <c r="A32" s="1125"/>
      <c r="B32" s="720"/>
      <c r="C32" s="1123"/>
      <c r="D32" s="1124"/>
      <c r="E32" s="721"/>
      <c r="F32" s="722"/>
      <c r="G32" s="710"/>
      <c r="H32" s="711"/>
      <c r="I32" s="712"/>
      <c r="J32" s="711"/>
      <c r="K32" s="711"/>
      <c r="L32" s="1024"/>
    </row>
    <row r="33" spans="1:21" s="714" customFormat="1" ht="24" customHeight="1">
      <c r="A33" s="1126"/>
      <c r="B33" s="1127"/>
      <c r="C33" s="1123"/>
      <c r="D33" s="1124"/>
      <c r="E33" s="1128"/>
      <c r="F33" s="722"/>
      <c r="G33" s="710"/>
      <c r="H33" s="711"/>
      <c r="I33" s="712"/>
      <c r="J33" s="711"/>
      <c r="K33" s="1129"/>
      <c r="L33" s="1024"/>
    </row>
    <row r="34" spans="1:21" s="714" customFormat="1" ht="25.15" customHeight="1">
      <c r="A34" s="777"/>
      <c r="B34" s="2475" t="str">
        <f>"รวมราคา"&amp;B11</f>
        <v>รวมราคาระบบโทรทัศน์วงจรปิด (Closed Circuit TV System) ชั้น 2</v>
      </c>
      <c r="C34" s="2476"/>
      <c r="D34" s="2477"/>
      <c r="E34" s="997"/>
      <c r="F34" s="777"/>
      <c r="G34" s="959"/>
      <c r="H34" s="960">
        <f>SUM(H12:H33)</f>
        <v>757285</v>
      </c>
      <c r="I34" s="959"/>
      <c r="J34" s="960">
        <f>SUM(J11:J33)</f>
        <v>52680</v>
      </c>
      <c r="K34" s="1130">
        <f>SUM(K11:K33)</f>
        <v>809965</v>
      </c>
      <c r="L34" s="777"/>
      <c r="M34" s="729"/>
      <c r="N34" s="729"/>
      <c r="O34" s="729"/>
      <c r="P34" s="729"/>
      <c r="Q34" s="729"/>
      <c r="R34" s="729"/>
      <c r="S34" s="729"/>
      <c r="T34" s="729"/>
      <c r="U34" s="729"/>
    </row>
    <row r="35" spans="1:21" s="714" customFormat="1" ht="24" customHeight="1">
      <c r="A35" s="986">
        <v>4.0999999999999996</v>
      </c>
      <c r="B35" s="816" t="s">
        <v>28</v>
      </c>
      <c r="C35" s="987"/>
      <c r="D35" s="707"/>
      <c r="E35" s="708"/>
      <c r="F35" s="709"/>
      <c r="G35" s="853"/>
      <c r="H35" s="854"/>
      <c r="I35" s="855"/>
      <c r="J35" s="854"/>
      <c r="K35" s="855"/>
      <c r="L35" s="988"/>
      <c r="M35" s="729"/>
      <c r="N35" s="729"/>
      <c r="O35" s="729"/>
      <c r="P35" s="729"/>
      <c r="Q35" s="729"/>
      <c r="R35" s="729"/>
      <c r="S35" s="729"/>
      <c r="T35" s="729"/>
      <c r="U35" s="729"/>
    </row>
    <row r="36" spans="1:21" s="714" customFormat="1" ht="24" customHeight="1">
      <c r="A36" s="989" t="s">
        <v>1610</v>
      </c>
      <c r="B36" s="720" t="s">
        <v>1611</v>
      </c>
      <c r="C36" s="706"/>
      <c r="D36" s="990"/>
      <c r="E36" s="721">
        <v>26</v>
      </c>
      <c r="F36" s="722" t="s">
        <v>240</v>
      </c>
      <c r="G36" s="795">
        <f>22110</f>
        <v>22110</v>
      </c>
      <c r="H36" s="796">
        <f>ROUND(E36*G36,)</f>
        <v>574860</v>
      </c>
      <c r="I36" s="797">
        <v>500</v>
      </c>
      <c r="J36" s="796">
        <f>ROUND(I36*E36,)</f>
        <v>13000</v>
      </c>
      <c r="K36" s="797">
        <f>H36+J36</f>
        <v>587860</v>
      </c>
      <c r="L36" s="830"/>
      <c r="M36" s="729"/>
      <c r="N36" s="729"/>
      <c r="O36" s="729"/>
      <c r="P36" s="729"/>
      <c r="Q36" s="729"/>
      <c r="R36" s="729"/>
      <c r="S36" s="729"/>
      <c r="T36" s="729"/>
      <c r="U36" s="729"/>
    </row>
    <row r="37" spans="1:21" s="714" customFormat="1" ht="24" customHeight="1">
      <c r="A37" s="992" t="s">
        <v>1607</v>
      </c>
      <c r="B37" s="720" t="s">
        <v>3027</v>
      </c>
      <c r="C37" s="706"/>
      <c r="D37" s="990"/>
      <c r="E37" s="721">
        <v>2</v>
      </c>
      <c r="F37" s="722" t="s">
        <v>240</v>
      </c>
      <c r="G37" s="806">
        <f>5230+1640+2260+30800+12320+4480</f>
        <v>56730</v>
      </c>
      <c r="H37" s="796">
        <f>ROUND(E37*G37,)</f>
        <v>113460</v>
      </c>
      <c r="I37" s="807">
        <f>CEILING(G37*0.025,100)</f>
        <v>1500</v>
      </c>
      <c r="J37" s="796">
        <f>ROUND(I37*E37,)</f>
        <v>3000</v>
      </c>
      <c r="K37" s="797">
        <f>H37+J37</f>
        <v>116460</v>
      </c>
      <c r="L37" s="830"/>
      <c r="M37" s="729"/>
      <c r="N37" s="729"/>
      <c r="O37" s="729"/>
      <c r="P37" s="729"/>
      <c r="Q37" s="729"/>
      <c r="R37" s="729"/>
      <c r="S37" s="729"/>
      <c r="T37" s="729"/>
      <c r="U37" s="729"/>
    </row>
    <row r="38" spans="1:21" s="714" customFormat="1" ht="24" customHeight="1">
      <c r="A38" s="992"/>
      <c r="B38" s="720" t="s">
        <v>1614</v>
      </c>
      <c r="C38" s="706"/>
      <c r="D38" s="990"/>
      <c r="E38" s="721"/>
      <c r="F38" s="722" t="s">
        <v>240</v>
      </c>
      <c r="G38" s="795" t="s">
        <v>974</v>
      </c>
      <c r="H38" s="796"/>
      <c r="I38" s="797"/>
      <c r="J38" s="796"/>
      <c r="K38" s="797"/>
      <c r="L38" s="830"/>
      <c r="M38" s="729"/>
      <c r="N38" s="729"/>
      <c r="O38" s="729"/>
      <c r="P38" s="729"/>
      <c r="Q38" s="729"/>
      <c r="R38" s="729"/>
      <c r="S38" s="729"/>
      <c r="T38" s="729"/>
      <c r="U38" s="729"/>
    </row>
    <row r="39" spans="1:21" s="714" customFormat="1" ht="24" customHeight="1">
      <c r="A39" s="992"/>
      <c r="B39" s="720" t="s">
        <v>1615</v>
      </c>
      <c r="C39" s="706"/>
      <c r="D39" s="990"/>
      <c r="E39" s="721"/>
      <c r="F39" s="722" t="s">
        <v>240</v>
      </c>
      <c r="G39" s="795" t="s">
        <v>974</v>
      </c>
      <c r="H39" s="796"/>
      <c r="I39" s="797"/>
      <c r="J39" s="796"/>
      <c r="K39" s="797"/>
      <c r="L39" s="830"/>
      <c r="M39" s="729"/>
      <c r="N39" s="729"/>
      <c r="O39" s="729"/>
      <c r="P39" s="729"/>
      <c r="Q39" s="729"/>
      <c r="R39" s="729"/>
      <c r="S39" s="729"/>
      <c r="T39" s="729"/>
      <c r="U39" s="729"/>
    </row>
    <row r="40" spans="1:21" s="714" customFormat="1" ht="24" customHeight="1">
      <c r="A40" s="993"/>
      <c r="B40" s="720" t="s">
        <v>1616</v>
      </c>
      <c r="C40" s="706"/>
      <c r="D40" s="990"/>
      <c r="E40" s="721"/>
      <c r="F40" s="722" t="s">
        <v>240</v>
      </c>
      <c r="G40" s="795" t="s">
        <v>974</v>
      </c>
      <c r="H40" s="796"/>
      <c r="I40" s="797"/>
      <c r="J40" s="796"/>
      <c r="K40" s="797"/>
      <c r="L40" s="830"/>
      <c r="M40" s="729"/>
      <c r="N40" s="729"/>
      <c r="O40" s="729"/>
      <c r="P40" s="729"/>
      <c r="Q40" s="729"/>
      <c r="R40" s="729"/>
      <c r="S40" s="729"/>
      <c r="T40" s="729"/>
      <c r="U40" s="729"/>
    </row>
    <row r="41" spans="1:21" s="714" customFormat="1" ht="24" customHeight="1">
      <c r="A41" s="993"/>
      <c r="B41" s="720" t="s">
        <v>1375</v>
      </c>
      <c r="C41" s="706"/>
      <c r="D41" s="990"/>
      <c r="E41" s="721"/>
      <c r="F41" s="722" t="s">
        <v>240</v>
      </c>
      <c r="G41" s="795" t="s">
        <v>974</v>
      </c>
      <c r="H41" s="796"/>
      <c r="I41" s="797"/>
      <c r="J41" s="796"/>
      <c r="K41" s="797"/>
      <c r="L41" s="830"/>
      <c r="M41" s="729"/>
      <c r="N41" s="729"/>
      <c r="O41" s="729"/>
      <c r="P41" s="729"/>
      <c r="Q41" s="729"/>
      <c r="R41" s="729"/>
      <c r="S41" s="729"/>
      <c r="T41" s="729"/>
      <c r="U41" s="729"/>
    </row>
    <row r="42" spans="1:21" s="714" customFormat="1" ht="24" customHeight="1">
      <c r="A42" s="1138"/>
      <c r="B42" s="720" t="s">
        <v>1617</v>
      </c>
      <c r="C42" s="987"/>
      <c r="D42" s="707"/>
      <c r="E42" s="708"/>
      <c r="F42" s="709" t="s">
        <v>240</v>
      </c>
      <c r="G42" s="795" t="s">
        <v>974</v>
      </c>
      <c r="H42" s="854"/>
      <c r="I42" s="855"/>
      <c r="J42" s="854"/>
      <c r="K42" s="855"/>
      <c r="L42" s="988"/>
      <c r="M42" s="729"/>
      <c r="N42" s="729"/>
      <c r="O42" s="729"/>
      <c r="P42" s="729"/>
      <c r="Q42" s="729"/>
      <c r="R42" s="729"/>
      <c r="S42" s="729"/>
      <c r="T42" s="729"/>
      <c r="U42" s="729"/>
    </row>
    <row r="43" spans="1:21" s="714" customFormat="1" ht="24" customHeight="1">
      <c r="A43" s="1132" t="s">
        <v>1608</v>
      </c>
      <c r="B43" s="720" t="s">
        <v>1378</v>
      </c>
      <c r="C43" s="706"/>
      <c r="D43" s="990"/>
      <c r="E43" s="721"/>
      <c r="F43" s="722"/>
      <c r="G43" s="795"/>
      <c r="H43" s="796"/>
      <c r="I43" s="797"/>
      <c r="J43" s="796"/>
      <c r="K43" s="797"/>
      <c r="L43" s="830"/>
      <c r="M43" s="729"/>
      <c r="N43" s="729"/>
      <c r="O43" s="729"/>
      <c r="P43" s="729"/>
      <c r="Q43" s="729"/>
      <c r="R43" s="729"/>
      <c r="S43" s="729"/>
      <c r="T43" s="729"/>
      <c r="U43" s="729"/>
    </row>
    <row r="44" spans="1:21" s="714" customFormat="1" ht="24" customHeight="1">
      <c r="A44" s="1134"/>
      <c r="B44" s="720" t="s">
        <v>1621</v>
      </c>
      <c r="C44" s="706"/>
      <c r="D44" s="990"/>
      <c r="E44" s="991">
        <v>1300</v>
      </c>
      <c r="F44" s="722" t="s">
        <v>438</v>
      </c>
      <c r="G44" s="795">
        <v>22</v>
      </c>
      <c r="H44" s="796">
        <f>ROUND(E44*G44,)</f>
        <v>28600</v>
      </c>
      <c r="I44" s="797">
        <v>5</v>
      </c>
      <c r="J44" s="796">
        <f>ROUND(I44*E44,)</f>
        <v>6500</v>
      </c>
      <c r="K44" s="797">
        <f>H44+J44</f>
        <v>35100</v>
      </c>
      <c r="L44" s="830"/>
      <c r="M44" s="729"/>
      <c r="N44" s="729"/>
      <c r="O44" s="729"/>
      <c r="P44" s="729"/>
      <c r="Q44" s="729"/>
      <c r="R44" s="729"/>
      <c r="S44" s="729"/>
      <c r="T44" s="729"/>
      <c r="U44" s="729"/>
    </row>
    <row r="45" spans="1:21" s="714" customFormat="1" ht="24" customHeight="1">
      <c r="A45" s="993" t="s">
        <v>1633</v>
      </c>
      <c r="B45" s="720" t="s">
        <v>1357</v>
      </c>
      <c r="C45" s="706"/>
      <c r="D45" s="990"/>
      <c r="E45" s="991"/>
      <c r="F45" s="722"/>
      <c r="G45" s="795"/>
      <c r="H45" s="796"/>
      <c r="I45" s="797"/>
      <c r="J45" s="796"/>
      <c r="K45" s="797"/>
      <c r="L45" s="830"/>
      <c r="M45" s="729"/>
      <c r="N45" s="729"/>
      <c r="O45" s="729"/>
      <c r="P45" s="729"/>
      <c r="Q45" s="729"/>
      <c r="R45" s="729"/>
      <c r="S45" s="729"/>
      <c r="T45" s="729"/>
      <c r="U45" s="729"/>
    </row>
    <row r="46" spans="1:21" s="714" customFormat="1" ht="24" customHeight="1">
      <c r="A46" s="1133"/>
      <c r="B46" s="720" t="s">
        <v>1201</v>
      </c>
      <c r="C46" s="706"/>
      <c r="D46" s="990"/>
      <c r="E46" s="942">
        <v>1300</v>
      </c>
      <c r="F46" s="794" t="s">
        <v>438</v>
      </c>
      <c r="G46" s="806">
        <v>27</v>
      </c>
      <c r="H46" s="796">
        <f>ROUND(E46*G46,)</f>
        <v>35100</v>
      </c>
      <c r="I46" s="807">
        <v>22</v>
      </c>
      <c r="J46" s="796">
        <f t="shared" ref="J46" si="0">ROUND(E46*I46,)</f>
        <v>28600</v>
      </c>
      <c r="K46" s="914">
        <f t="shared" ref="K46" si="1">H46+J46</f>
        <v>63700</v>
      </c>
      <c r="L46" s="1718" t="s">
        <v>2915</v>
      </c>
      <c r="M46" s="729"/>
      <c r="N46" s="714">
        <v>79.8</v>
      </c>
      <c r="O46" s="714">
        <f>ROUND(N46/3,)</f>
        <v>27</v>
      </c>
      <c r="P46" s="729"/>
      <c r="Q46" s="729"/>
      <c r="R46" s="729"/>
      <c r="S46" s="729"/>
      <c r="T46" s="729"/>
      <c r="U46" s="729"/>
    </row>
    <row r="47" spans="1:21" s="714" customFormat="1" ht="24" customHeight="1">
      <c r="A47" s="996"/>
      <c r="B47" s="720" t="s">
        <v>1237</v>
      </c>
      <c r="C47" s="706"/>
      <c r="D47" s="990"/>
      <c r="E47" s="721">
        <v>1</v>
      </c>
      <c r="F47" s="722" t="s">
        <v>948</v>
      </c>
      <c r="G47" s="795">
        <f>SUM(H46:H46)*15%</f>
        <v>5265</v>
      </c>
      <c r="H47" s="796">
        <f>ROUND(E47*G47,)</f>
        <v>5265</v>
      </c>
      <c r="I47" s="797">
        <f>ROUND(G47*0.3,)</f>
        <v>1580</v>
      </c>
      <c r="J47" s="796">
        <f>ROUND(I47*E47,)</f>
        <v>1580</v>
      </c>
      <c r="K47" s="797">
        <f>H47+J47</f>
        <v>6845</v>
      </c>
      <c r="L47" s="830"/>
      <c r="M47" s="729"/>
      <c r="N47" s="729"/>
      <c r="O47" s="729"/>
      <c r="P47" s="729"/>
      <c r="Q47" s="729"/>
      <c r="R47" s="729"/>
      <c r="S47" s="729"/>
      <c r="T47" s="729"/>
      <c r="U47" s="729"/>
    </row>
    <row r="48" spans="1:21" s="714" customFormat="1" ht="24" customHeight="1">
      <c r="A48" s="1134"/>
      <c r="B48" s="720" t="s">
        <v>957</v>
      </c>
      <c r="C48" s="706"/>
      <c r="D48" s="990"/>
      <c r="E48" s="721"/>
      <c r="F48" s="722"/>
      <c r="G48" s="795"/>
      <c r="H48" s="796"/>
      <c r="I48" s="1039"/>
      <c r="J48" s="796"/>
      <c r="K48" s="797"/>
      <c r="L48" s="830"/>
      <c r="M48" s="729"/>
      <c r="N48" s="729"/>
      <c r="O48" s="729"/>
      <c r="P48" s="729"/>
      <c r="Q48" s="729"/>
      <c r="R48" s="729"/>
      <c r="S48" s="729"/>
      <c r="T48" s="729"/>
      <c r="U48" s="729"/>
    </row>
    <row r="49" spans="1:21" s="714" customFormat="1" ht="24" customHeight="1">
      <c r="A49" s="1134"/>
      <c r="B49" s="720" t="s">
        <v>1102</v>
      </c>
      <c r="C49" s="706"/>
      <c r="D49" s="990"/>
      <c r="E49" s="721"/>
      <c r="F49" s="722"/>
      <c r="G49" s="795"/>
      <c r="H49" s="796"/>
      <c r="I49" s="797"/>
      <c r="J49" s="796"/>
      <c r="K49" s="797"/>
      <c r="L49" s="830"/>
      <c r="M49" s="729"/>
      <c r="N49" s="729"/>
      <c r="O49" s="729"/>
      <c r="P49" s="729"/>
      <c r="Q49" s="729"/>
      <c r="R49" s="729"/>
      <c r="S49" s="729"/>
      <c r="T49" s="729"/>
      <c r="U49" s="729"/>
    </row>
    <row r="50" spans="1:21" s="714" customFormat="1" ht="24" customHeight="1">
      <c r="A50" s="996"/>
      <c r="B50" s="720" t="s">
        <v>1102</v>
      </c>
      <c r="C50" s="706"/>
      <c r="D50" s="990"/>
      <c r="E50" s="917"/>
      <c r="F50" s="794"/>
      <c r="G50" s="806"/>
      <c r="H50" s="796"/>
      <c r="I50" s="807"/>
      <c r="J50" s="796"/>
      <c r="K50" s="914"/>
      <c r="L50" s="830"/>
      <c r="M50" s="729"/>
      <c r="N50" s="729"/>
      <c r="O50" s="729"/>
      <c r="P50" s="729"/>
      <c r="Q50" s="729"/>
      <c r="R50" s="729"/>
      <c r="S50" s="729"/>
      <c r="T50" s="729"/>
      <c r="U50" s="729"/>
    </row>
    <row r="51" spans="1:21" s="714" customFormat="1" ht="24" customHeight="1">
      <c r="A51" s="996"/>
      <c r="B51" s="720"/>
      <c r="C51" s="706"/>
      <c r="D51" s="990"/>
      <c r="E51" s="1141"/>
      <c r="F51" s="794"/>
      <c r="G51" s="806"/>
      <c r="H51" s="796"/>
      <c r="I51" s="806"/>
      <c r="J51" s="796"/>
      <c r="K51" s="797"/>
      <c r="L51" s="830"/>
      <c r="M51" s="729"/>
      <c r="N51" s="729"/>
      <c r="O51" s="729"/>
      <c r="P51" s="729"/>
      <c r="Q51" s="729"/>
      <c r="R51" s="729"/>
      <c r="S51" s="729"/>
      <c r="T51" s="729"/>
      <c r="U51" s="729"/>
    </row>
    <row r="52" spans="1:21" s="714" customFormat="1" ht="24" customHeight="1">
      <c r="A52" s="996"/>
      <c r="B52" s="720"/>
      <c r="C52" s="706"/>
      <c r="D52" s="990"/>
      <c r="E52" s="1141"/>
      <c r="F52" s="794"/>
      <c r="G52" s="806"/>
      <c r="H52" s="796"/>
      <c r="I52" s="806"/>
      <c r="J52" s="796"/>
      <c r="K52" s="797"/>
      <c r="L52" s="830"/>
      <c r="M52" s="729"/>
      <c r="N52" s="729"/>
      <c r="O52" s="729"/>
      <c r="P52" s="729"/>
      <c r="Q52" s="729"/>
      <c r="R52" s="729"/>
      <c r="S52" s="729"/>
      <c r="T52" s="729"/>
      <c r="U52" s="729"/>
    </row>
    <row r="53" spans="1:21" s="714" customFormat="1" ht="24" customHeight="1">
      <c r="A53" s="996"/>
      <c r="B53" s="720"/>
      <c r="C53" s="706"/>
      <c r="D53" s="990"/>
      <c r="E53" s="1141"/>
      <c r="F53" s="794"/>
      <c r="G53" s="806"/>
      <c r="H53" s="796"/>
      <c r="I53" s="806"/>
      <c r="J53" s="796"/>
      <c r="K53" s="797"/>
      <c r="L53" s="830"/>
      <c r="M53" s="729"/>
      <c r="N53" s="729"/>
      <c r="O53" s="729"/>
      <c r="P53" s="729"/>
      <c r="Q53" s="729"/>
      <c r="R53" s="729"/>
      <c r="S53" s="729"/>
      <c r="T53" s="729"/>
      <c r="U53" s="729"/>
    </row>
    <row r="54" spans="1:21" s="714" customFormat="1" ht="24" customHeight="1">
      <c r="A54" s="996"/>
      <c r="B54" s="720"/>
      <c r="C54" s="706"/>
      <c r="D54" s="990"/>
      <c r="E54" s="1141"/>
      <c r="F54" s="794"/>
      <c r="G54" s="806"/>
      <c r="H54" s="796"/>
      <c r="I54" s="806"/>
      <c r="J54" s="796"/>
      <c r="K54" s="797"/>
      <c r="L54" s="830"/>
      <c r="M54" s="729"/>
      <c r="N54" s="729"/>
      <c r="O54" s="729"/>
      <c r="P54" s="729"/>
      <c r="Q54" s="729"/>
      <c r="R54" s="729"/>
      <c r="S54" s="729"/>
      <c r="T54" s="729"/>
      <c r="U54" s="729"/>
    </row>
    <row r="55" spans="1:21" s="714" customFormat="1" ht="24" customHeight="1">
      <c r="A55" s="996"/>
      <c r="B55" s="720"/>
      <c r="C55" s="706"/>
      <c r="D55" s="990"/>
      <c r="E55" s="1141"/>
      <c r="F55" s="794"/>
      <c r="G55" s="806"/>
      <c r="H55" s="796"/>
      <c r="I55" s="806"/>
      <c r="J55" s="796"/>
      <c r="K55" s="797"/>
      <c r="L55" s="830"/>
      <c r="M55" s="729"/>
      <c r="N55" s="729"/>
      <c r="O55" s="729"/>
      <c r="P55" s="729"/>
      <c r="Q55" s="729"/>
      <c r="R55" s="729"/>
      <c r="S55" s="729"/>
      <c r="T55" s="729"/>
      <c r="U55" s="729"/>
    </row>
    <row r="56" spans="1:21" s="714" customFormat="1" ht="24" customHeight="1">
      <c r="A56" s="996"/>
      <c r="B56" s="720"/>
      <c r="C56" s="706"/>
      <c r="D56" s="990"/>
      <c r="E56" s="721"/>
      <c r="F56" s="722"/>
      <c r="G56" s="795"/>
      <c r="H56" s="796"/>
      <c r="I56" s="797"/>
      <c r="J56" s="796"/>
      <c r="K56" s="797"/>
      <c r="L56" s="830"/>
      <c r="M56" s="729"/>
      <c r="N56" s="729"/>
      <c r="O56" s="729"/>
      <c r="P56" s="729"/>
      <c r="Q56" s="729"/>
      <c r="R56" s="729"/>
      <c r="S56" s="729"/>
      <c r="T56" s="729"/>
      <c r="U56" s="729"/>
    </row>
    <row r="57" spans="1:21" s="714" customFormat="1" ht="24" customHeight="1">
      <c r="A57" s="777"/>
      <c r="B57" s="2475" t="str">
        <f>"รวมราคารายการที่ "&amp;A35</f>
        <v>รวมราคารายการที่ 4.1</v>
      </c>
      <c r="C57" s="2476"/>
      <c r="D57" s="2477"/>
      <c r="E57" s="997"/>
      <c r="F57" s="777"/>
      <c r="G57" s="959"/>
      <c r="H57" s="960">
        <f>SUM(H36:H56)</f>
        <v>757285</v>
      </c>
      <c r="I57" s="959"/>
      <c r="J57" s="960">
        <f t="shared" ref="J57:K57" si="2">SUM(J36:J56)</f>
        <v>52680</v>
      </c>
      <c r="K57" s="960">
        <f t="shared" si="2"/>
        <v>809965</v>
      </c>
      <c r="L57" s="777"/>
      <c r="M57" s="729"/>
      <c r="N57" s="729"/>
      <c r="O57" s="729"/>
      <c r="P57" s="729"/>
      <c r="Q57" s="729"/>
      <c r="R57" s="729"/>
      <c r="S57" s="729"/>
      <c r="T57" s="729"/>
      <c r="U57" s="729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2-อาคารสนับนุน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F7C58-C35F-448A-B285-908DF81816F7}">
  <sheetPr>
    <tabColor rgb="FF92D050"/>
  </sheetPr>
  <dimension ref="A1:U57"/>
  <sheetViews>
    <sheetView tabSelected="1" view="pageBreakPreview" topLeftCell="A40" zoomScale="70" zoomScaleNormal="10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9" style="1" customWidth="1"/>
    <col min="13" max="99" width="7.703125" style="1" customWidth="1"/>
    <col min="100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1603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84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85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80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81"/>
    </row>
    <row r="11" spans="1:12" ht="24" customHeight="1">
      <c r="A11" s="1115" t="s">
        <v>27</v>
      </c>
      <c r="B11" s="1116" t="s">
        <v>1628</v>
      </c>
      <c r="C11" s="1117"/>
      <c r="D11" s="1118"/>
      <c r="E11" s="694"/>
      <c r="F11" s="695"/>
      <c r="G11" s="696"/>
      <c r="H11" s="697"/>
      <c r="I11" s="698"/>
      <c r="J11" s="697"/>
      <c r="K11" s="699"/>
      <c r="L11" s="953"/>
    </row>
    <row r="12" spans="1:12" ht="24" customHeight="1">
      <c r="A12" s="1119"/>
      <c r="B12" s="1120"/>
      <c r="C12" s="1121"/>
      <c r="D12" s="1122"/>
      <c r="E12" s="694"/>
      <c r="F12" s="695"/>
      <c r="G12" s="696"/>
      <c r="H12" s="697"/>
      <c r="I12" s="698"/>
      <c r="J12" s="697"/>
      <c r="K12" s="699"/>
      <c r="L12" s="953"/>
    </row>
    <row r="13" spans="1:12" s="714" customFormat="1" ht="24" customHeight="1">
      <c r="A13" s="704">
        <f>A35</f>
        <v>4.0999999999999996</v>
      </c>
      <c r="B13" s="705" t="str">
        <f>B35</f>
        <v>ระบบโทรทัศน์วงจรปิด (Closed Circuit TV System)</v>
      </c>
      <c r="C13" s="706"/>
      <c r="D13" s="707"/>
      <c r="E13" s="708">
        <v>1</v>
      </c>
      <c r="F13" s="709" t="s">
        <v>19</v>
      </c>
      <c r="G13" s="710"/>
      <c r="H13" s="711">
        <f>H57</f>
        <v>757285</v>
      </c>
      <c r="I13" s="712"/>
      <c r="J13" s="711">
        <f>J57</f>
        <v>52680</v>
      </c>
      <c r="K13" s="711">
        <f>SUM(H13:J13)</f>
        <v>809965</v>
      </c>
      <c r="L13" s="1024"/>
    </row>
    <row r="14" spans="1:12" s="714" customFormat="1" ht="24" customHeight="1">
      <c r="A14" s="704"/>
      <c r="B14" s="720"/>
      <c r="C14" s="716"/>
      <c r="D14" s="990"/>
      <c r="E14" s="721"/>
      <c r="F14" s="722"/>
      <c r="G14" s="710"/>
      <c r="H14" s="711"/>
      <c r="I14" s="712"/>
      <c r="J14" s="711"/>
      <c r="K14" s="711"/>
      <c r="L14" s="1024"/>
    </row>
    <row r="15" spans="1:12" s="714" customFormat="1" ht="24" customHeight="1">
      <c r="A15" s="719"/>
      <c r="B15" s="720"/>
      <c r="C15" s="717"/>
      <c r="D15" s="718"/>
      <c r="E15" s="721"/>
      <c r="F15" s="722"/>
      <c r="G15" s="710"/>
      <c r="H15" s="711"/>
      <c r="I15" s="712"/>
      <c r="J15" s="711"/>
      <c r="K15" s="711"/>
      <c r="L15" s="1024"/>
    </row>
    <row r="16" spans="1:12" s="714" customFormat="1" ht="24" customHeight="1">
      <c r="A16" s="719"/>
      <c r="B16" s="720"/>
      <c r="C16" s="717"/>
      <c r="D16" s="718"/>
      <c r="E16" s="721"/>
      <c r="F16" s="722"/>
      <c r="G16" s="710"/>
      <c r="H16" s="711"/>
      <c r="I16" s="712"/>
      <c r="J16" s="711"/>
      <c r="K16" s="711"/>
      <c r="L16" s="1024"/>
    </row>
    <row r="17" spans="1:12" s="714" customFormat="1" ht="24" customHeight="1">
      <c r="A17" s="719"/>
      <c r="B17" s="720"/>
      <c r="C17" s="717"/>
      <c r="D17" s="718"/>
      <c r="E17" s="721"/>
      <c r="F17" s="722"/>
      <c r="G17" s="710"/>
      <c r="H17" s="711"/>
      <c r="I17" s="712"/>
      <c r="J17" s="711"/>
      <c r="K17" s="711"/>
      <c r="L17" s="1024"/>
    </row>
    <row r="18" spans="1:12" s="714" customFormat="1" ht="24" customHeight="1">
      <c r="A18" s="719"/>
      <c r="B18" s="720"/>
      <c r="C18" s="717"/>
      <c r="D18" s="718"/>
      <c r="E18" s="721"/>
      <c r="F18" s="722"/>
      <c r="G18" s="710"/>
      <c r="H18" s="711"/>
      <c r="I18" s="712"/>
      <c r="J18" s="711"/>
      <c r="K18" s="711"/>
      <c r="L18" s="1024"/>
    </row>
    <row r="19" spans="1:12" s="714" customFormat="1" ht="24" customHeight="1">
      <c r="A19" s="719"/>
      <c r="B19" s="720"/>
      <c r="C19" s="717"/>
      <c r="D19" s="718"/>
      <c r="E19" s="721"/>
      <c r="F19" s="722"/>
      <c r="G19" s="710"/>
      <c r="H19" s="711"/>
      <c r="I19" s="712"/>
      <c r="J19" s="711"/>
      <c r="K19" s="711"/>
      <c r="L19" s="1024"/>
    </row>
    <row r="20" spans="1:12" s="714" customFormat="1" ht="24" customHeight="1">
      <c r="A20" s="719"/>
      <c r="B20" s="720"/>
      <c r="C20" s="717"/>
      <c r="D20" s="718"/>
      <c r="E20" s="721"/>
      <c r="F20" s="722"/>
      <c r="G20" s="710"/>
      <c r="H20" s="711"/>
      <c r="I20" s="712"/>
      <c r="J20" s="711"/>
      <c r="K20" s="711"/>
      <c r="L20" s="1024"/>
    </row>
    <row r="21" spans="1:12" s="714" customFormat="1" ht="24" customHeight="1">
      <c r="A21" s="719"/>
      <c r="B21" s="720"/>
      <c r="C21" s="717"/>
      <c r="D21" s="718"/>
      <c r="E21" s="721"/>
      <c r="F21" s="722"/>
      <c r="G21" s="710"/>
      <c r="H21" s="711"/>
      <c r="I21" s="712"/>
      <c r="J21" s="711"/>
      <c r="K21" s="711"/>
      <c r="L21" s="1024"/>
    </row>
    <row r="22" spans="1:12" s="714" customFormat="1" ht="24" customHeight="1">
      <c r="A22" s="719"/>
      <c r="B22" s="720"/>
      <c r="C22" s="717"/>
      <c r="D22" s="718"/>
      <c r="E22" s="721"/>
      <c r="F22" s="722"/>
      <c r="G22" s="710"/>
      <c r="H22" s="711"/>
      <c r="I22" s="712"/>
      <c r="J22" s="711"/>
      <c r="K22" s="711"/>
      <c r="L22" s="1024"/>
    </row>
    <row r="23" spans="1:12" s="714" customFormat="1" ht="24" customHeight="1">
      <c r="A23" s="1125"/>
      <c r="B23" s="720"/>
      <c r="C23" s="1123"/>
      <c r="D23" s="1124"/>
      <c r="E23" s="721"/>
      <c r="F23" s="722"/>
      <c r="G23" s="710"/>
      <c r="H23" s="711"/>
      <c r="I23" s="712"/>
      <c r="J23" s="711"/>
      <c r="K23" s="711"/>
      <c r="L23" s="1024"/>
    </row>
    <row r="24" spans="1:12" s="714" customFormat="1" ht="24" customHeight="1">
      <c r="A24" s="1125"/>
      <c r="B24" s="720"/>
      <c r="C24" s="1123"/>
      <c r="D24" s="1124"/>
      <c r="E24" s="721"/>
      <c r="F24" s="722"/>
      <c r="G24" s="710"/>
      <c r="H24" s="711"/>
      <c r="I24" s="712"/>
      <c r="J24" s="711"/>
      <c r="K24" s="711"/>
      <c r="L24" s="1024"/>
    </row>
    <row r="25" spans="1:12" s="714" customFormat="1" ht="24" customHeight="1">
      <c r="A25" s="1125"/>
      <c r="B25" s="720"/>
      <c r="C25" s="1123"/>
      <c r="D25" s="1124"/>
      <c r="E25" s="721"/>
      <c r="F25" s="722"/>
      <c r="G25" s="710"/>
      <c r="H25" s="711"/>
      <c r="I25" s="712"/>
      <c r="J25" s="711"/>
      <c r="K25" s="711"/>
      <c r="L25" s="1024"/>
    </row>
    <row r="26" spans="1:12" s="714" customFormat="1" ht="24" customHeight="1">
      <c r="A26" s="1125"/>
      <c r="B26" s="720"/>
      <c r="C26" s="1123"/>
      <c r="D26" s="1124"/>
      <c r="E26" s="721"/>
      <c r="F26" s="722"/>
      <c r="G26" s="710"/>
      <c r="H26" s="711"/>
      <c r="I26" s="712"/>
      <c r="J26" s="711"/>
      <c r="K26" s="711"/>
      <c r="L26" s="1024"/>
    </row>
    <row r="27" spans="1:12" s="714" customFormat="1" ht="24" customHeight="1">
      <c r="A27" s="1125"/>
      <c r="B27" s="720"/>
      <c r="C27" s="1123"/>
      <c r="D27" s="1124"/>
      <c r="E27" s="721"/>
      <c r="F27" s="722"/>
      <c r="G27" s="710"/>
      <c r="H27" s="711"/>
      <c r="I27" s="712"/>
      <c r="J27" s="711"/>
      <c r="K27" s="711"/>
      <c r="L27" s="1024"/>
    </row>
    <row r="28" spans="1:12" s="714" customFormat="1" ht="24" customHeight="1">
      <c r="A28" s="1125"/>
      <c r="B28" s="720"/>
      <c r="C28" s="1123"/>
      <c r="D28" s="1124"/>
      <c r="E28" s="721"/>
      <c r="F28" s="722"/>
      <c r="G28" s="710"/>
      <c r="H28" s="711"/>
      <c r="I28" s="712"/>
      <c r="J28" s="711"/>
      <c r="K28" s="711"/>
      <c r="L28" s="1024"/>
    </row>
    <row r="29" spans="1:12" s="714" customFormat="1" ht="24" customHeight="1">
      <c r="A29" s="1125"/>
      <c r="B29" s="720"/>
      <c r="C29" s="1123"/>
      <c r="D29" s="1124"/>
      <c r="E29" s="721"/>
      <c r="F29" s="722"/>
      <c r="G29" s="710"/>
      <c r="H29" s="711"/>
      <c r="I29" s="712"/>
      <c r="J29" s="711"/>
      <c r="K29" s="711"/>
      <c r="L29" s="1024"/>
    </row>
    <row r="30" spans="1:12" s="714" customFormat="1" ht="24" customHeight="1">
      <c r="A30" s="1125"/>
      <c r="B30" s="720"/>
      <c r="C30" s="1123"/>
      <c r="D30" s="1124"/>
      <c r="E30" s="721"/>
      <c r="F30" s="722"/>
      <c r="G30" s="710"/>
      <c r="H30" s="711"/>
      <c r="I30" s="712"/>
      <c r="J30" s="711"/>
      <c r="K30" s="711"/>
      <c r="L30" s="1024"/>
    </row>
    <row r="31" spans="1:12" s="714" customFormat="1" ht="24" customHeight="1">
      <c r="A31" s="1125"/>
      <c r="B31" s="720"/>
      <c r="C31" s="1123"/>
      <c r="D31" s="1124"/>
      <c r="E31" s="721"/>
      <c r="F31" s="722"/>
      <c r="G31" s="710"/>
      <c r="H31" s="711"/>
      <c r="I31" s="712"/>
      <c r="J31" s="711"/>
      <c r="K31" s="711"/>
      <c r="L31" s="1024"/>
    </row>
    <row r="32" spans="1:12" s="714" customFormat="1" ht="24" customHeight="1">
      <c r="A32" s="1125"/>
      <c r="B32" s="720"/>
      <c r="C32" s="1123"/>
      <c r="D32" s="1124"/>
      <c r="E32" s="721"/>
      <c r="F32" s="722"/>
      <c r="G32" s="710"/>
      <c r="H32" s="711"/>
      <c r="I32" s="712"/>
      <c r="J32" s="711"/>
      <c r="K32" s="711"/>
      <c r="L32" s="1024"/>
    </row>
    <row r="33" spans="1:21" s="714" customFormat="1" ht="24" customHeight="1">
      <c r="A33" s="1126"/>
      <c r="B33" s="1127"/>
      <c r="C33" s="1123"/>
      <c r="D33" s="1124"/>
      <c r="E33" s="1128"/>
      <c r="F33" s="722"/>
      <c r="G33" s="710"/>
      <c r="H33" s="711"/>
      <c r="I33" s="712"/>
      <c r="J33" s="711"/>
      <c r="K33" s="1129"/>
      <c r="L33" s="1024"/>
    </row>
    <row r="34" spans="1:21" s="714" customFormat="1" ht="25.15" customHeight="1">
      <c r="A34" s="777"/>
      <c r="B34" s="2475" t="str">
        <f>"รวมราคา"&amp;B11</f>
        <v>รวมราคาระบบโทรทัศน์วงจรปิด (Closed Circuit TV System) ชั้น 3</v>
      </c>
      <c r="C34" s="2476"/>
      <c r="D34" s="2477"/>
      <c r="E34" s="997"/>
      <c r="F34" s="777"/>
      <c r="G34" s="959"/>
      <c r="H34" s="960">
        <f>SUM(H12:H33)</f>
        <v>757285</v>
      </c>
      <c r="I34" s="959"/>
      <c r="J34" s="960">
        <f>SUM(J11:J33)</f>
        <v>52680</v>
      </c>
      <c r="K34" s="1130">
        <f>SUM(K11:K33)</f>
        <v>809965</v>
      </c>
      <c r="L34" s="777"/>
      <c r="M34" s="729"/>
      <c r="N34" s="729"/>
      <c r="O34" s="729"/>
      <c r="P34" s="729"/>
      <c r="Q34" s="729"/>
      <c r="R34" s="729"/>
      <c r="S34" s="729"/>
      <c r="T34" s="729"/>
      <c r="U34" s="729"/>
    </row>
    <row r="35" spans="1:21" s="714" customFormat="1" ht="24" customHeight="1">
      <c r="A35" s="986">
        <v>4.0999999999999996</v>
      </c>
      <c r="B35" s="816" t="s">
        <v>28</v>
      </c>
      <c r="C35" s="987"/>
      <c r="D35" s="707"/>
      <c r="E35" s="708"/>
      <c r="F35" s="709"/>
      <c r="G35" s="853"/>
      <c r="H35" s="854"/>
      <c r="I35" s="855"/>
      <c r="J35" s="854"/>
      <c r="K35" s="855"/>
      <c r="L35" s="988"/>
      <c r="M35" s="729"/>
      <c r="N35" s="729"/>
      <c r="O35" s="729"/>
      <c r="P35" s="729"/>
      <c r="Q35" s="729"/>
      <c r="R35" s="729"/>
      <c r="S35" s="729"/>
      <c r="T35" s="729"/>
      <c r="U35" s="729"/>
    </row>
    <row r="36" spans="1:21" s="714" customFormat="1" ht="24" customHeight="1">
      <c r="A36" s="989" t="s">
        <v>1610</v>
      </c>
      <c r="B36" s="720" t="s">
        <v>1611</v>
      </c>
      <c r="C36" s="706"/>
      <c r="D36" s="990"/>
      <c r="E36" s="721">
        <v>26</v>
      </c>
      <c r="F36" s="722" t="s">
        <v>240</v>
      </c>
      <c r="G36" s="795">
        <f>22110</f>
        <v>22110</v>
      </c>
      <c r="H36" s="796">
        <f>ROUND(E36*G36,)</f>
        <v>574860</v>
      </c>
      <c r="I36" s="797">
        <v>500</v>
      </c>
      <c r="J36" s="796">
        <f>ROUND(I36*E36,)</f>
        <v>13000</v>
      </c>
      <c r="K36" s="797">
        <f>H36+J36</f>
        <v>587860</v>
      </c>
      <c r="L36" s="830"/>
      <c r="M36" s="729"/>
      <c r="N36" s="729"/>
      <c r="O36" s="729"/>
      <c r="P36" s="729"/>
      <c r="Q36" s="729"/>
      <c r="R36" s="729"/>
      <c r="S36" s="729"/>
      <c r="T36" s="729"/>
      <c r="U36" s="729"/>
    </row>
    <row r="37" spans="1:21" s="714" customFormat="1" ht="24" customHeight="1">
      <c r="A37" s="992" t="s">
        <v>1607</v>
      </c>
      <c r="B37" s="720" t="s">
        <v>3028</v>
      </c>
      <c r="C37" s="706"/>
      <c r="D37" s="990"/>
      <c r="E37" s="721">
        <v>2</v>
      </c>
      <c r="F37" s="722" t="s">
        <v>240</v>
      </c>
      <c r="G37" s="806">
        <f>5230+1640+2260+30800+12320+4480</f>
        <v>56730</v>
      </c>
      <c r="H37" s="796">
        <f>ROUND(E37*G37,)</f>
        <v>113460</v>
      </c>
      <c r="I37" s="807">
        <f>CEILING(G37*0.025,100)</f>
        <v>1500</v>
      </c>
      <c r="J37" s="796">
        <f>ROUND(I37*E37,)</f>
        <v>3000</v>
      </c>
      <c r="K37" s="797">
        <f>H37+J37</f>
        <v>116460</v>
      </c>
      <c r="L37" s="830"/>
      <c r="M37" s="729"/>
      <c r="N37" s="729"/>
      <c r="O37" s="729"/>
      <c r="P37" s="729"/>
      <c r="Q37" s="729"/>
      <c r="R37" s="729"/>
      <c r="S37" s="729"/>
      <c r="T37" s="729"/>
      <c r="U37" s="729"/>
    </row>
    <row r="38" spans="1:21" s="714" customFormat="1" ht="24" customHeight="1">
      <c r="A38" s="992"/>
      <c r="B38" s="720" t="s">
        <v>1614</v>
      </c>
      <c r="C38" s="706"/>
      <c r="D38" s="990"/>
      <c r="E38" s="721"/>
      <c r="F38" s="722" t="s">
        <v>240</v>
      </c>
      <c r="G38" s="795" t="s">
        <v>974</v>
      </c>
      <c r="H38" s="796"/>
      <c r="I38" s="797"/>
      <c r="J38" s="796"/>
      <c r="K38" s="797"/>
      <c r="L38" s="830"/>
      <c r="M38" s="729"/>
      <c r="N38" s="729"/>
      <c r="O38" s="729"/>
      <c r="P38" s="729"/>
      <c r="Q38" s="729"/>
      <c r="R38" s="729"/>
      <c r="S38" s="729"/>
      <c r="T38" s="729"/>
      <c r="U38" s="729"/>
    </row>
    <row r="39" spans="1:21" s="714" customFormat="1" ht="24" customHeight="1">
      <c r="A39" s="992"/>
      <c r="B39" s="720" t="s">
        <v>1615</v>
      </c>
      <c r="C39" s="706"/>
      <c r="D39" s="990"/>
      <c r="E39" s="721"/>
      <c r="F39" s="722" t="s">
        <v>240</v>
      </c>
      <c r="G39" s="795" t="s">
        <v>974</v>
      </c>
      <c r="H39" s="796"/>
      <c r="I39" s="797"/>
      <c r="J39" s="796"/>
      <c r="K39" s="797"/>
      <c r="L39" s="830"/>
      <c r="M39" s="729"/>
      <c r="N39" s="729"/>
      <c r="O39" s="729"/>
      <c r="P39" s="729"/>
      <c r="Q39" s="729"/>
      <c r="R39" s="729"/>
      <c r="S39" s="729"/>
      <c r="T39" s="729"/>
      <c r="U39" s="729"/>
    </row>
    <row r="40" spans="1:21" s="714" customFormat="1" ht="24" customHeight="1">
      <c r="A40" s="993"/>
      <c r="B40" s="720" t="s">
        <v>1616</v>
      </c>
      <c r="C40" s="706"/>
      <c r="D40" s="990"/>
      <c r="E40" s="721"/>
      <c r="F40" s="722" t="s">
        <v>240</v>
      </c>
      <c r="G40" s="795" t="s">
        <v>974</v>
      </c>
      <c r="H40" s="796"/>
      <c r="I40" s="797"/>
      <c r="J40" s="796"/>
      <c r="K40" s="797"/>
      <c r="L40" s="830"/>
      <c r="M40" s="729"/>
      <c r="N40" s="729"/>
      <c r="O40" s="729"/>
      <c r="P40" s="729"/>
      <c r="Q40" s="729"/>
      <c r="R40" s="729"/>
      <c r="S40" s="729"/>
      <c r="T40" s="729"/>
      <c r="U40" s="729"/>
    </row>
    <row r="41" spans="1:21" s="714" customFormat="1" ht="24" customHeight="1">
      <c r="A41" s="993"/>
      <c r="B41" s="720" t="s">
        <v>1375</v>
      </c>
      <c r="C41" s="706"/>
      <c r="D41" s="990"/>
      <c r="E41" s="721"/>
      <c r="F41" s="722" t="s">
        <v>240</v>
      </c>
      <c r="G41" s="795" t="s">
        <v>974</v>
      </c>
      <c r="H41" s="796"/>
      <c r="I41" s="797"/>
      <c r="J41" s="796"/>
      <c r="K41" s="797"/>
      <c r="L41" s="830"/>
      <c r="M41" s="729"/>
      <c r="N41" s="729"/>
      <c r="O41" s="729"/>
      <c r="P41" s="729"/>
      <c r="Q41" s="729"/>
      <c r="R41" s="729"/>
      <c r="S41" s="729"/>
      <c r="T41" s="729"/>
      <c r="U41" s="729"/>
    </row>
    <row r="42" spans="1:21" s="714" customFormat="1" ht="24" customHeight="1">
      <c r="A42" s="1138"/>
      <c r="B42" s="720" t="s">
        <v>1617</v>
      </c>
      <c r="C42" s="987"/>
      <c r="D42" s="707"/>
      <c r="E42" s="708"/>
      <c r="F42" s="709" t="s">
        <v>240</v>
      </c>
      <c r="G42" s="795" t="s">
        <v>974</v>
      </c>
      <c r="H42" s="854"/>
      <c r="I42" s="855"/>
      <c r="J42" s="854"/>
      <c r="K42" s="855"/>
      <c r="L42" s="988"/>
      <c r="M42" s="729"/>
      <c r="N42" s="729"/>
      <c r="O42" s="729"/>
      <c r="P42" s="729"/>
      <c r="Q42" s="729"/>
      <c r="R42" s="729"/>
      <c r="S42" s="729"/>
      <c r="T42" s="729"/>
      <c r="U42" s="729"/>
    </row>
    <row r="43" spans="1:21" s="714" customFormat="1" ht="24" customHeight="1">
      <c r="A43" s="1132" t="s">
        <v>1608</v>
      </c>
      <c r="B43" s="720" t="s">
        <v>1378</v>
      </c>
      <c r="C43" s="706"/>
      <c r="D43" s="990"/>
      <c r="E43" s="721"/>
      <c r="F43" s="722"/>
      <c r="G43" s="795"/>
      <c r="H43" s="796"/>
      <c r="I43" s="797"/>
      <c r="J43" s="796"/>
      <c r="K43" s="797"/>
      <c r="L43" s="830"/>
      <c r="M43" s="729"/>
      <c r="N43" s="729"/>
      <c r="O43" s="729"/>
      <c r="P43" s="729"/>
      <c r="Q43" s="729"/>
      <c r="R43" s="729"/>
      <c r="S43" s="729"/>
      <c r="T43" s="729"/>
      <c r="U43" s="729"/>
    </row>
    <row r="44" spans="1:21" s="714" customFormat="1" ht="24" customHeight="1">
      <c r="A44" s="1134"/>
      <c r="B44" s="720" t="s">
        <v>1621</v>
      </c>
      <c r="C44" s="706"/>
      <c r="D44" s="990"/>
      <c r="E44" s="991">
        <v>1300</v>
      </c>
      <c r="F44" s="722" t="s">
        <v>438</v>
      </c>
      <c r="G44" s="795">
        <v>22</v>
      </c>
      <c r="H44" s="796">
        <f>ROUND(E44*G44,)</f>
        <v>28600</v>
      </c>
      <c r="I44" s="797">
        <v>5</v>
      </c>
      <c r="J44" s="796">
        <f>ROUND(I44*E44,)</f>
        <v>6500</v>
      </c>
      <c r="K44" s="797">
        <f>H44+J44</f>
        <v>35100</v>
      </c>
      <c r="L44" s="830"/>
      <c r="M44" s="729"/>
      <c r="N44" s="729"/>
      <c r="O44" s="729"/>
      <c r="P44" s="729"/>
      <c r="Q44" s="729"/>
      <c r="R44" s="729"/>
      <c r="S44" s="729"/>
      <c r="T44" s="729"/>
      <c r="U44" s="729"/>
    </row>
    <row r="45" spans="1:21" s="714" customFormat="1" ht="24" customHeight="1">
      <c r="A45" s="993" t="s">
        <v>1633</v>
      </c>
      <c r="B45" s="720" t="s">
        <v>1357</v>
      </c>
      <c r="C45" s="706"/>
      <c r="D45" s="990"/>
      <c r="E45" s="991"/>
      <c r="F45" s="722"/>
      <c r="G45" s="795"/>
      <c r="H45" s="796"/>
      <c r="I45" s="797"/>
      <c r="J45" s="796"/>
      <c r="K45" s="797"/>
      <c r="L45" s="830"/>
      <c r="M45" s="729"/>
      <c r="N45" s="729"/>
      <c r="O45" s="729"/>
      <c r="P45" s="729"/>
      <c r="Q45" s="729"/>
      <c r="R45" s="729"/>
      <c r="S45" s="729"/>
      <c r="T45" s="729"/>
      <c r="U45" s="729"/>
    </row>
    <row r="46" spans="1:21" s="714" customFormat="1" ht="24" customHeight="1">
      <c r="A46" s="1133"/>
      <c r="B46" s="720" t="s">
        <v>1201</v>
      </c>
      <c r="C46" s="706"/>
      <c r="D46" s="990"/>
      <c r="E46" s="942">
        <v>1300</v>
      </c>
      <c r="F46" s="794" t="s">
        <v>438</v>
      </c>
      <c r="G46" s="806">
        <v>27</v>
      </c>
      <c r="H46" s="796">
        <f>ROUND(E46*G46,)</f>
        <v>35100</v>
      </c>
      <c r="I46" s="807">
        <v>22</v>
      </c>
      <c r="J46" s="796">
        <f t="shared" ref="J46" si="0">ROUND(E46*I46,)</f>
        <v>28600</v>
      </c>
      <c r="K46" s="914">
        <f t="shared" ref="K46" si="1">H46+J46</f>
        <v>63700</v>
      </c>
      <c r="L46" s="1718" t="s">
        <v>2915</v>
      </c>
      <c r="M46" s="729"/>
      <c r="N46" s="714">
        <v>79.8</v>
      </c>
      <c r="O46" s="714">
        <f>ROUND(N46/3,)</f>
        <v>27</v>
      </c>
      <c r="P46" s="729"/>
      <c r="Q46" s="729"/>
      <c r="R46" s="729"/>
      <c r="S46" s="729"/>
      <c r="T46" s="729"/>
      <c r="U46" s="729"/>
    </row>
    <row r="47" spans="1:21" s="714" customFormat="1" ht="24" customHeight="1">
      <c r="A47" s="996"/>
      <c r="B47" s="720" t="s">
        <v>1237</v>
      </c>
      <c r="C47" s="706"/>
      <c r="D47" s="990"/>
      <c r="E47" s="721">
        <v>1</v>
      </c>
      <c r="F47" s="722" t="s">
        <v>948</v>
      </c>
      <c r="G47" s="795">
        <f>SUM(H46:H46)*15%</f>
        <v>5265</v>
      </c>
      <c r="H47" s="796">
        <f>ROUND(E47*G47,)</f>
        <v>5265</v>
      </c>
      <c r="I47" s="797">
        <f>ROUND(G47*0.3,)</f>
        <v>1580</v>
      </c>
      <c r="J47" s="796">
        <f>ROUND(I47*E47,)</f>
        <v>1580</v>
      </c>
      <c r="K47" s="797">
        <f>H47+J47</f>
        <v>6845</v>
      </c>
      <c r="L47" s="830"/>
      <c r="M47" s="729"/>
      <c r="N47" s="729"/>
      <c r="O47" s="729"/>
      <c r="P47" s="729"/>
      <c r="Q47" s="729"/>
      <c r="R47" s="729"/>
      <c r="S47" s="729"/>
      <c r="T47" s="729"/>
      <c r="U47" s="729"/>
    </row>
    <row r="48" spans="1:21" s="714" customFormat="1" ht="24" customHeight="1">
      <c r="A48" s="1134"/>
      <c r="B48" s="720" t="s">
        <v>957</v>
      </c>
      <c r="C48" s="706"/>
      <c r="D48" s="990"/>
      <c r="E48" s="721"/>
      <c r="F48" s="722"/>
      <c r="G48" s="795"/>
      <c r="H48" s="796"/>
      <c r="I48" s="1039"/>
      <c r="J48" s="796"/>
      <c r="K48" s="797"/>
      <c r="L48" s="830"/>
      <c r="M48" s="729"/>
      <c r="N48" s="729"/>
      <c r="O48" s="729"/>
      <c r="P48" s="729"/>
      <c r="Q48" s="729"/>
      <c r="R48" s="729"/>
      <c r="S48" s="729"/>
      <c r="T48" s="729"/>
      <c r="U48" s="729"/>
    </row>
    <row r="49" spans="1:21" s="714" customFormat="1" ht="24" customHeight="1">
      <c r="A49" s="1133"/>
      <c r="B49" s="720" t="s">
        <v>1102</v>
      </c>
      <c r="C49" s="706"/>
      <c r="D49" s="990"/>
      <c r="E49" s="917"/>
      <c r="F49" s="794"/>
      <c r="G49" s="806"/>
      <c r="H49" s="796"/>
      <c r="I49" s="807"/>
      <c r="J49" s="796"/>
      <c r="K49" s="914"/>
      <c r="L49" s="830"/>
      <c r="M49" s="729"/>
      <c r="N49" s="729"/>
      <c r="O49" s="729"/>
      <c r="P49" s="729"/>
      <c r="Q49" s="729"/>
      <c r="R49" s="729"/>
      <c r="S49" s="729"/>
      <c r="T49" s="729"/>
      <c r="U49" s="729"/>
    </row>
    <row r="50" spans="1:21" s="714" customFormat="1" ht="24" customHeight="1">
      <c r="A50" s="1134"/>
      <c r="B50" s="720" t="s">
        <v>1102</v>
      </c>
      <c r="C50" s="706"/>
      <c r="D50" s="990"/>
      <c r="E50" s="721"/>
      <c r="F50" s="722"/>
      <c r="G50" s="795"/>
      <c r="H50" s="796"/>
      <c r="I50" s="797"/>
      <c r="J50" s="796"/>
      <c r="K50" s="797"/>
      <c r="L50" s="830"/>
      <c r="M50" s="729"/>
      <c r="N50" s="729"/>
      <c r="O50" s="729"/>
      <c r="P50" s="729"/>
      <c r="Q50" s="729"/>
      <c r="R50" s="729"/>
      <c r="S50" s="729"/>
      <c r="T50" s="729"/>
      <c r="U50" s="729"/>
    </row>
    <row r="51" spans="1:21" s="714" customFormat="1" ht="24" customHeight="1">
      <c r="A51" s="1134"/>
      <c r="B51" s="720"/>
      <c r="C51" s="706"/>
      <c r="D51" s="990"/>
      <c r="E51" s="721"/>
      <c r="F51" s="722"/>
      <c r="G51" s="795"/>
      <c r="H51" s="796"/>
      <c r="I51" s="797"/>
      <c r="J51" s="796"/>
      <c r="K51" s="797"/>
      <c r="L51" s="830"/>
      <c r="M51" s="729"/>
      <c r="N51" s="729"/>
      <c r="O51" s="729"/>
      <c r="P51" s="729"/>
      <c r="Q51" s="729"/>
      <c r="R51" s="729"/>
      <c r="S51" s="729"/>
      <c r="T51" s="729"/>
      <c r="U51" s="729"/>
    </row>
    <row r="52" spans="1:21" s="714" customFormat="1" ht="24" customHeight="1">
      <c r="A52" s="1134"/>
      <c r="B52" s="720"/>
      <c r="C52" s="706"/>
      <c r="D52" s="990"/>
      <c r="E52" s="721"/>
      <c r="F52" s="722"/>
      <c r="G52" s="795"/>
      <c r="H52" s="796"/>
      <c r="I52" s="797"/>
      <c r="J52" s="796"/>
      <c r="K52" s="797"/>
      <c r="L52" s="830"/>
      <c r="M52" s="729"/>
      <c r="N52" s="729"/>
      <c r="O52" s="729"/>
      <c r="P52" s="729"/>
      <c r="Q52" s="729"/>
      <c r="R52" s="729"/>
      <c r="S52" s="729"/>
      <c r="T52" s="729"/>
      <c r="U52" s="729"/>
    </row>
    <row r="53" spans="1:21" s="714" customFormat="1" ht="24" customHeight="1">
      <c r="A53" s="1134"/>
      <c r="B53" s="720"/>
      <c r="C53" s="706"/>
      <c r="D53" s="990"/>
      <c r="E53" s="721"/>
      <c r="F53" s="722"/>
      <c r="G53" s="795"/>
      <c r="H53" s="796"/>
      <c r="I53" s="797"/>
      <c r="J53" s="796"/>
      <c r="K53" s="797"/>
      <c r="L53" s="830"/>
      <c r="M53" s="729"/>
      <c r="N53" s="729"/>
      <c r="O53" s="729"/>
      <c r="P53" s="729"/>
      <c r="Q53" s="729"/>
      <c r="R53" s="729"/>
      <c r="S53" s="729"/>
      <c r="T53" s="729"/>
      <c r="U53" s="729"/>
    </row>
    <row r="54" spans="1:21" s="714" customFormat="1" ht="24" customHeight="1">
      <c r="A54" s="1134"/>
      <c r="B54" s="720"/>
      <c r="C54" s="706"/>
      <c r="D54" s="990"/>
      <c r="E54" s="721"/>
      <c r="F54" s="722"/>
      <c r="G54" s="795"/>
      <c r="H54" s="796"/>
      <c r="I54" s="797"/>
      <c r="J54" s="796"/>
      <c r="K54" s="797"/>
      <c r="L54" s="830"/>
      <c r="M54" s="729"/>
      <c r="N54" s="729"/>
      <c r="O54" s="729"/>
      <c r="P54" s="729"/>
      <c r="Q54" s="729"/>
      <c r="R54" s="729"/>
      <c r="S54" s="729"/>
      <c r="T54" s="729"/>
      <c r="U54" s="729"/>
    </row>
    <row r="55" spans="1:21" s="714" customFormat="1" ht="24" customHeight="1">
      <c r="A55" s="1134"/>
      <c r="B55" s="720"/>
      <c r="C55" s="706"/>
      <c r="D55" s="990"/>
      <c r="E55" s="721"/>
      <c r="F55" s="722"/>
      <c r="G55" s="795"/>
      <c r="H55" s="796"/>
      <c r="I55" s="797"/>
      <c r="J55" s="796"/>
      <c r="K55" s="797"/>
      <c r="L55" s="830"/>
      <c r="M55" s="729"/>
      <c r="N55" s="729"/>
      <c r="O55" s="729"/>
      <c r="P55" s="729"/>
      <c r="Q55" s="729"/>
      <c r="R55" s="729"/>
      <c r="S55" s="729"/>
      <c r="T55" s="729"/>
      <c r="U55" s="729"/>
    </row>
    <row r="56" spans="1:21" s="714" customFormat="1" ht="24" customHeight="1">
      <c r="A56" s="996"/>
      <c r="B56" s="720"/>
      <c r="C56" s="706"/>
      <c r="D56" s="990"/>
      <c r="E56" s="721"/>
      <c r="F56" s="722"/>
      <c r="G56" s="795"/>
      <c r="H56" s="796"/>
      <c r="I56" s="797"/>
      <c r="J56" s="796"/>
      <c r="K56" s="797"/>
      <c r="L56" s="830"/>
      <c r="M56" s="729"/>
      <c r="N56" s="729"/>
      <c r="O56" s="729"/>
      <c r="P56" s="729"/>
      <c r="Q56" s="729"/>
      <c r="R56" s="729"/>
      <c r="S56" s="729"/>
      <c r="T56" s="729"/>
      <c r="U56" s="729"/>
    </row>
    <row r="57" spans="1:21" s="714" customFormat="1" ht="24" customHeight="1">
      <c r="A57" s="777"/>
      <c r="B57" s="2475" t="str">
        <f>"รวมราคารายการที่ "&amp;A35</f>
        <v>รวมราคารายการที่ 4.1</v>
      </c>
      <c r="C57" s="2476"/>
      <c r="D57" s="2477"/>
      <c r="E57" s="997"/>
      <c r="F57" s="777"/>
      <c r="G57" s="959"/>
      <c r="H57" s="960">
        <f>SUM(H36:H56)</f>
        <v>757285</v>
      </c>
      <c r="I57" s="959"/>
      <c r="J57" s="960">
        <f t="shared" ref="J57:K57" si="2">SUM(J36:J56)</f>
        <v>52680</v>
      </c>
      <c r="K57" s="960">
        <f t="shared" si="2"/>
        <v>809965</v>
      </c>
      <c r="L57" s="777"/>
      <c r="M57" s="729"/>
      <c r="N57" s="729"/>
      <c r="O57" s="729"/>
      <c r="P57" s="729"/>
      <c r="Q57" s="729"/>
      <c r="R57" s="729"/>
      <c r="S57" s="729"/>
      <c r="T57" s="729"/>
      <c r="U57" s="729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3-อาคารสนับนุน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3E55A-C347-4B0E-BC37-7E98B5C2B944}">
  <sheetPr>
    <tabColor rgb="FF92D050"/>
  </sheetPr>
  <dimension ref="A1:U57"/>
  <sheetViews>
    <sheetView tabSelected="1" view="pageBreakPreview" topLeftCell="B40" zoomScale="70" zoomScaleNormal="10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8.29296875" style="1" customWidth="1"/>
    <col min="13" max="99" width="7.703125" style="1" customWidth="1"/>
    <col min="100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1603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84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85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80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81"/>
    </row>
    <row r="11" spans="1:12" ht="24" customHeight="1">
      <c r="A11" s="1115" t="s">
        <v>27</v>
      </c>
      <c r="B11" s="1116" t="s">
        <v>1629</v>
      </c>
      <c r="C11" s="1117"/>
      <c r="D11" s="1118"/>
      <c r="E11" s="694"/>
      <c r="F11" s="695"/>
      <c r="G11" s="696"/>
      <c r="H11" s="697"/>
      <c r="I11" s="698"/>
      <c r="J11" s="697"/>
      <c r="K11" s="699"/>
      <c r="L11" s="953"/>
    </row>
    <row r="12" spans="1:12" ht="24" customHeight="1">
      <c r="A12" s="1119"/>
      <c r="B12" s="1120"/>
      <c r="C12" s="1121"/>
      <c r="D12" s="1122"/>
      <c r="E12" s="694"/>
      <c r="F12" s="695"/>
      <c r="G12" s="696"/>
      <c r="H12" s="697"/>
      <c r="I12" s="698"/>
      <c r="J12" s="697"/>
      <c r="K12" s="699"/>
      <c r="L12" s="953"/>
    </row>
    <row r="13" spans="1:12" s="714" customFormat="1" ht="24" customHeight="1">
      <c r="A13" s="704">
        <f>A35</f>
        <v>4.0999999999999996</v>
      </c>
      <c r="B13" s="705" t="str">
        <f>B35</f>
        <v>ระบบโทรทัศน์วงจรปิด (Closed Circuit TV System)</v>
      </c>
      <c r="C13" s="706"/>
      <c r="D13" s="707"/>
      <c r="E13" s="708">
        <v>1</v>
      </c>
      <c r="F13" s="709" t="s">
        <v>19</v>
      </c>
      <c r="G13" s="710"/>
      <c r="H13" s="711">
        <f>H57</f>
        <v>707760</v>
      </c>
      <c r="I13" s="712"/>
      <c r="J13" s="711">
        <f>J57</f>
        <v>48858</v>
      </c>
      <c r="K13" s="711">
        <f>SUM(H13:J13)</f>
        <v>756618</v>
      </c>
      <c r="L13" s="1024"/>
    </row>
    <row r="14" spans="1:12" s="714" customFormat="1" ht="24" customHeight="1">
      <c r="A14" s="704"/>
      <c r="B14" s="720"/>
      <c r="C14" s="716"/>
      <c r="D14" s="990"/>
      <c r="E14" s="721"/>
      <c r="F14" s="722"/>
      <c r="G14" s="710"/>
      <c r="H14" s="711"/>
      <c r="I14" s="712"/>
      <c r="J14" s="711"/>
      <c r="K14" s="711"/>
      <c r="L14" s="1024"/>
    </row>
    <row r="15" spans="1:12" s="714" customFormat="1" ht="24" customHeight="1">
      <c r="A15" s="719"/>
      <c r="B15" s="720"/>
      <c r="C15" s="717"/>
      <c r="D15" s="718"/>
      <c r="E15" s="721"/>
      <c r="F15" s="722"/>
      <c r="G15" s="710"/>
      <c r="H15" s="711"/>
      <c r="I15" s="712"/>
      <c r="J15" s="711"/>
      <c r="K15" s="711"/>
      <c r="L15" s="1024"/>
    </row>
    <row r="16" spans="1:12" s="714" customFormat="1" ht="24" customHeight="1">
      <c r="A16" s="719"/>
      <c r="B16" s="720"/>
      <c r="C16" s="717"/>
      <c r="D16" s="718"/>
      <c r="E16" s="721"/>
      <c r="F16" s="722"/>
      <c r="G16" s="710"/>
      <c r="H16" s="711"/>
      <c r="I16" s="712"/>
      <c r="J16" s="711"/>
      <c r="K16" s="711"/>
      <c r="L16" s="1024"/>
    </row>
    <row r="17" spans="1:12" s="714" customFormat="1" ht="24" customHeight="1">
      <c r="A17" s="719"/>
      <c r="B17" s="720"/>
      <c r="C17" s="717"/>
      <c r="D17" s="718"/>
      <c r="E17" s="721"/>
      <c r="F17" s="722"/>
      <c r="G17" s="710"/>
      <c r="H17" s="711"/>
      <c r="I17" s="712"/>
      <c r="J17" s="711"/>
      <c r="K17" s="711"/>
      <c r="L17" s="1024"/>
    </row>
    <row r="18" spans="1:12" s="714" customFormat="1" ht="24" customHeight="1">
      <c r="A18" s="719"/>
      <c r="B18" s="720"/>
      <c r="C18" s="717"/>
      <c r="D18" s="718"/>
      <c r="E18" s="721"/>
      <c r="F18" s="722"/>
      <c r="G18" s="710"/>
      <c r="H18" s="711"/>
      <c r="I18" s="712"/>
      <c r="J18" s="711"/>
      <c r="K18" s="711"/>
      <c r="L18" s="1024"/>
    </row>
    <row r="19" spans="1:12" s="714" customFormat="1" ht="24" customHeight="1">
      <c r="A19" s="719"/>
      <c r="B19" s="720"/>
      <c r="C19" s="717"/>
      <c r="D19" s="718"/>
      <c r="E19" s="721"/>
      <c r="F19" s="722"/>
      <c r="G19" s="710"/>
      <c r="H19" s="711"/>
      <c r="I19" s="712"/>
      <c r="J19" s="711"/>
      <c r="K19" s="711"/>
      <c r="L19" s="1024"/>
    </row>
    <row r="20" spans="1:12" s="714" customFormat="1" ht="24" customHeight="1">
      <c r="A20" s="719"/>
      <c r="B20" s="720"/>
      <c r="C20" s="717"/>
      <c r="D20" s="718"/>
      <c r="E20" s="721"/>
      <c r="F20" s="722"/>
      <c r="G20" s="710"/>
      <c r="H20" s="711"/>
      <c r="I20" s="712"/>
      <c r="J20" s="711"/>
      <c r="K20" s="711"/>
      <c r="L20" s="1024"/>
    </row>
    <row r="21" spans="1:12" s="714" customFormat="1" ht="24" customHeight="1">
      <c r="A21" s="719"/>
      <c r="B21" s="720"/>
      <c r="C21" s="717"/>
      <c r="D21" s="718"/>
      <c r="E21" s="721"/>
      <c r="F21" s="722"/>
      <c r="G21" s="710"/>
      <c r="H21" s="711"/>
      <c r="I21" s="712"/>
      <c r="J21" s="711"/>
      <c r="K21" s="711"/>
      <c r="L21" s="1024"/>
    </row>
    <row r="22" spans="1:12" s="714" customFormat="1" ht="24" customHeight="1">
      <c r="A22" s="719"/>
      <c r="B22" s="720"/>
      <c r="C22" s="717"/>
      <c r="D22" s="718"/>
      <c r="E22" s="721"/>
      <c r="F22" s="722"/>
      <c r="G22" s="710"/>
      <c r="H22" s="711"/>
      <c r="I22" s="712"/>
      <c r="J22" s="711"/>
      <c r="K22" s="711"/>
      <c r="L22" s="1024"/>
    </row>
    <row r="23" spans="1:12" s="714" customFormat="1" ht="24" customHeight="1">
      <c r="A23" s="1125"/>
      <c r="B23" s="720"/>
      <c r="C23" s="1123"/>
      <c r="D23" s="1124"/>
      <c r="E23" s="721"/>
      <c r="F23" s="722"/>
      <c r="G23" s="710"/>
      <c r="H23" s="711"/>
      <c r="I23" s="712"/>
      <c r="J23" s="711"/>
      <c r="K23" s="711"/>
      <c r="L23" s="1024"/>
    </row>
    <row r="24" spans="1:12" s="714" customFormat="1" ht="24" customHeight="1">
      <c r="A24" s="1125"/>
      <c r="B24" s="720"/>
      <c r="C24" s="1123"/>
      <c r="D24" s="1124"/>
      <c r="E24" s="721"/>
      <c r="F24" s="722"/>
      <c r="G24" s="710"/>
      <c r="H24" s="711"/>
      <c r="I24" s="712"/>
      <c r="J24" s="711"/>
      <c r="K24" s="711"/>
      <c r="L24" s="1024"/>
    </row>
    <row r="25" spans="1:12" s="714" customFormat="1" ht="24" customHeight="1">
      <c r="A25" s="1125"/>
      <c r="B25" s="720"/>
      <c r="C25" s="1123"/>
      <c r="D25" s="1124"/>
      <c r="E25" s="721"/>
      <c r="F25" s="722"/>
      <c r="G25" s="710"/>
      <c r="H25" s="711"/>
      <c r="I25" s="712"/>
      <c r="J25" s="711"/>
      <c r="K25" s="711"/>
      <c r="L25" s="1024"/>
    </row>
    <row r="26" spans="1:12" s="714" customFormat="1" ht="24" customHeight="1">
      <c r="A26" s="1125"/>
      <c r="B26" s="720"/>
      <c r="C26" s="1123"/>
      <c r="D26" s="1124"/>
      <c r="E26" s="721"/>
      <c r="F26" s="722"/>
      <c r="G26" s="710"/>
      <c r="H26" s="711"/>
      <c r="I26" s="712"/>
      <c r="J26" s="711"/>
      <c r="K26" s="711"/>
      <c r="L26" s="1024"/>
    </row>
    <row r="27" spans="1:12" s="714" customFormat="1" ht="24" customHeight="1">
      <c r="A27" s="1125"/>
      <c r="B27" s="720"/>
      <c r="C27" s="1123"/>
      <c r="D27" s="1124"/>
      <c r="E27" s="721"/>
      <c r="F27" s="722"/>
      <c r="G27" s="710"/>
      <c r="H27" s="711"/>
      <c r="I27" s="712"/>
      <c r="J27" s="711"/>
      <c r="K27" s="711"/>
      <c r="L27" s="1024"/>
    </row>
    <row r="28" spans="1:12" s="714" customFormat="1" ht="24" customHeight="1">
      <c r="A28" s="1125"/>
      <c r="B28" s="720"/>
      <c r="C28" s="1123"/>
      <c r="D28" s="1124"/>
      <c r="E28" s="721"/>
      <c r="F28" s="722"/>
      <c r="G28" s="710"/>
      <c r="H28" s="711"/>
      <c r="I28" s="712"/>
      <c r="J28" s="711"/>
      <c r="K28" s="711"/>
      <c r="L28" s="1024"/>
    </row>
    <row r="29" spans="1:12" s="714" customFormat="1" ht="24" customHeight="1">
      <c r="A29" s="1125"/>
      <c r="B29" s="720"/>
      <c r="C29" s="1123"/>
      <c r="D29" s="1124"/>
      <c r="E29" s="721"/>
      <c r="F29" s="722"/>
      <c r="G29" s="710"/>
      <c r="H29" s="711"/>
      <c r="I29" s="712"/>
      <c r="J29" s="711"/>
      <c r="K29" s="711"/>
      <c r="L29" s="1024"/>
    </row>
    <row r="30" spans="1:12" s="714" customFormat="1" ht="24" customHeight="1">
      <c r="A30" s="1125"/>
      <c r="B30" s="720"/>
      <c r="C30" s="1123"/>
      <c r="D30" s="1124"/>
      <c r="E30" s="721"/>
      <c r="F30" s="722"/>
      <c r="G30" s="710"/>
      <c r="H30" s="711"/>
      <c r="I30" s="712"/>
      <c r="J30" s="711"/>
      <c r="K30" s="711"/>
      <c r="L30" s="1024"/>
    </row>
    <row r="31" spans="1:12" s="714" customFormat="1" ht="24" customHeight="1">
      <c r="A31" s="1125"/>
      <c r="B31" s="720"/>
      <c r="C31" s="1123"/>
      <c r="D31" s="1124"/>
      <c r="E31" s="721"/>
      <c r="F31" s="722"/>
      <c r="G31" s="710"/>
      <c r="H31" s="711"/>
      <c r="I31" s="712"/>
      <c r="J31" s="711"/>
      <c r="K31" s="711"/>
      <c r="L31" s="1024"/>
    </row>
    <row r="32" spans="1:12" s="714" customFormat="1" ht="24" customHeight="1">
      <c r="A32" s="1125"/>
      <c r="B32" s="720"/>
      <c r="C32" s="1123"/>
      <c r="D32" s="1124"/>
      <c r="E32" s="721"/>
      <c r="F32" s="722"/>
      <c r="G32" s="710"/>
      <c r="H32" s="711"/>
      <c r="I32" s="712"/>
      <c r="J32" s="711"/>
      <c r="K32" s="711"/>
      <c r="L32" s="1024"/>
    </row>
    <row r="33" spans="1:21" s="714" customFormat="1" ht="24" customHeight="1">
      <c r="A33" s="1126"/>
      <c r="B33" s="1127"/>
      <c r="C33" s="1123"/>
      <c r="D33" s="1124"/>
      <c r="E33" s="1128"/>
      <c r="F33" s="722"/>
      <c r="G33" s="710"/>
      <c r="H33" s="711"/>
      <c r="I33" s="712"/>
      <c r="J33" s="711"/>
      <c r="K33" s="1129"/>
      <c r="L33" s="1024"/>
    </row>
    <row r="34" spans="1:21" s="714" customFormat="1" ht="25.15" customHeight="1">
      <c r="A34" s="777"/>
      <c r="B34" s="2475" t="str">
        <f>"รวมราคา"&amp;B11</f>
        <v>รวมราคาระบบโทรทัศน์วงจรปิด (Closed Circuit TV System) ชั้น 4</v>
      </c>
      <c r="C34" s="2476"/>
      <c r="D34" s="2477"/>
      <c r="E34" s="997"/>
      <c r="F34" s="777"/>
      <c r="G34" s="959"/>
      <c r="H34" s="960">
        <f>SUM(H12:H33)</f>
        <v>707760</v>
      </c>
      <c r="I34" s="959"/>
      <c r="J34" s="960">
        <f>SUM(J11:J33)</f>
        <v>48858</v>
      </c>
      <c r="K34" s="1130">
        <f>SUM(K11:K33)</f>
        <v>756618</v>
      </c>
      <c r="L34" s="777"/>
      <c r="M34" s="729"/>
      <c r="N34" s="729"/>
      <c r="O34" s="729"/>
      <c r="P34" s="729"/>
      <c r="Q34" s="729"/>
      <c r="R34" s="729"/>
      <c r="S34" s="729"/>
      <c r="T34" s="729"/>
      <c r="U34" s="729"/>
    </row>
    <row r="35" spans="1:21" s="714" customFormat="1" ht="24" customHeight="1">
      <c r="A35" s="986">
        <v>4.0999999999999996</v>
      </c>
      <c r="B35" s="816" t="s">
        <v>28</v>
      </c>
      <c r="C35" s="987"/>
      <c r="D35" s="707"/>
      <c r="E35" s="708"/>
      <c r="F35" s="709"/>
      <c r="G35" s="853"/>
      <c r="H35" s="854"/>
      <c r="I35" s="855"/>
      <c r="J35" s="854"/>
      <c r="K35" s="855"/>
      <c r="L35" s="988"/>
      <c r="M35" s="729"/>
      <c r="N35" s="729"/>
      <c r="O35" s="729"/>
      <c r="P35" s="729"/>
      <c r="Q35" s="729"/>
      <c r="R35" s="729"/>
      <c r="S35" s="729"/>
      <c r="T35" s="729"/>
      <c r="U35" s="729"/>
    </row>
    <row r="36" spans="1:21" s="714" customFormat="1" ht="24" customHeight="1">
      <c r="A36" s="989" t="s">
        <v>1610</v>
      </c>
      <c r="B36" s="720" t="s">
        <v>1611</v>
      </c>
      <c r="C36" s="706"/>
      <c r="D36" s="990"/>
      <c r="E36" s="721">
        <v>24</v>
      </c>
      <c r="F36" s="722" t="s">
        <v>240</v>
      </c>
      <c r="G36" s="795">
        <f>22110</f>
        <v>22110</v>
      </c>
      <c r="H36" s="796">
        <f>ROUND(E36*G36,)</f>
        <v>530640</v>
      </c>
      <c r="I36" s="797">
        <v>500</v>
      </c>
      <c r="J36" s="796">
        <f>ROUND(I36*E36,)</f>
        <v>12000</v>
      </c>
      <c r="K36" s="797">
        <f>H36+J36</f>
        <v>542640</v>
      </c>
      <c r="L36" s="830"/>
      <c r="M36" s="729"/>
      <c r="N36" s="729"/>
      <c r="O36" s="729"/>
      <c r="P36" s="729"/>
      <c r="Q36" s="729"/>
      <c r="R36" s="729"/>
      <c r="S36" s="729"/>
      <c r="T36" s="729"/>
      <c r="U36" s="729"/>
    </row>
    <row r="37" spans="1:21" s="714" customFormat="1" ht="24" customHeight="1">
      <c r="A37" s="992" t="s">
        <v>1607</v>
      </c>
      <c r="B37" s="720" t="s">
        <v>3029</v>
      </c>
      <c r="C37" s="706"/>
      <c r="D37" s="990"/>
      <c r="E37" s="721">
        <v>2</v>
      </c>
      <c r="F37" s="722" t="s">
        <v>240</v>
      </c>
      <c r="G37" s="806">
        <f>5230+1640+2260+30800+12320+4480</f>
        <v>56730</v>
      </c>
      <c r="H37" s="796">
        <f>ROUND(E37*G37,)</f>
        <v>113460</v>
      </c>
      <c r="I37" s="807">
        <f>CEILING(G37*0.025,100)</f>
        <v>1500</v>
      </c>
      <c r="J37" s="796">
        <f>ROUND(I37*E37,)</f>
        <v>3000</v>
      </c>
      <c r="K37" s="797">
        <f>H37+J37</f>
        <v>116460</v>
      </c>
      <c r="L37" s="988"/>
      <c r="M37" s="729"/>
      <c r="N37" s="729"/>
      <c r="O37" s="729"/>
      <c r="P37" s="729"/>
      <c r="Q37" s="729"/>
      <c r="R37" s="729"/>
      <c r="S37" s="729"/>
      <c r="T37" s="729"/>
      <c r="U37" s="729"/>
    </row>
    <row r="38" spans="1:21" s="714" customFormat="1" ht="24" customHeight="1">
      <c r="A38" s="992"/>
      <c r="B38" s="720" t="s">
        <v>1614</v>
      </c>
      <c r="C38" s="706"/>
      <c r="D38" s="990"/>
      <c r="E38" s="721"/>
      <c r="F38" s="722" t="s">
        <v>240</v>
      </c>
      <c r="G38" s="795" t="s">
        <v>974</v>
      </c>
      <c r="H38" s="796"/>
      <c r="I38" s="797"/>
      <c r="J38" s="796"/>
      <c r="K38" s="797"/>
      <c r="L38" s="988"/>
      <c r="M38" s="729"/>
      <c r="N38" s="729"/>
      <c r="O38" s="729"/>
      <c r="P38" s="729"/>
      <c r="Q38" s="729"/>
      <c r="R38" s="729"/>
      <c r="S38" s="729"/>
      <c r="T38" s="729"/>
      <c r="U38" s="729"/>
    </row>
    <row r="39" spans="1:21" s="714" customFormat="1" ht="24" customHeight="1">
      <c r="A39" s="992"/>
      <c r="B39" s="720" t="s">
        <v>1615</v>
      </c>
      <c r="C39" s="706"/>
      <c r="D39" s="990"/>
      <c r="E39" s="721"/>
      <c r="F39" s="722" t="s">
        <v>240</v>
      </c>
      <c r="G39" s="795" t="s">
        <v>974</v>
      </c>
      <c r="H39" s="796"/>
      <c r="I39" s="797"/>
      <c r="J39" s="796"/>
      <c r="K39" s="797"/>
      <c r="L39" s="988"/>
      <c r="M39" s="729"/>
      <c r="N39" s="729"/>
      <c r="O39" s="729"/>
      <c r="P39" s="729"/>
      <c r="Q39" s="729"/>
      <c r="R39" s="729"/>
      <c r="S39" s="729"/>
      <c r="T39" s="729"/>
      <c r="U39" s="729"/>
    </row>
    <row r="40" spans="1:21" s="714" customFormat="1" ht="24" customHeight="1">
      <c r="A40" s="993"/>
      <c r="B40" s="720" t="s">
        <v>1616</v>
      </c>
      <c r="C40" s="706"/>
      <c r="D40" s="990"/>
      <c r="E40" s="721"/>
      <c r="F40" s="722" t="s">
        <v>240</v>
      </c>
      <c r="G40" s="795" t="s">
        <v>974</v>
      </c>
      <c r="H40" s="796"/>
      <c r="I40" s="797"/>
      <c r="J40" s="796"/>
      <c r="K40" s="797"/>
      <c r="L40" s="988"/>
      <c r="M40" s="729"/>
      <c r="N40" s="729"/>
      <c r="O40" s="729"/>
      <c r="P40" s="729"/>
      <c r="Q40" s="729"/>
      <c r="R40" s="729"/>
      <c r="S40" s="729"/>
      <c r="T40" s="729"/>
      <c r="U40" s="729"/>
    </row>
    <row r="41" spans="1:21" s="714" customFormat="1" ht="24" customHeight="1">
      <c r="A41" s="993"/>
      <c r="B41" s="720" t="s">
        <v>1375</v>
      </c>
      <c r="C41" s="706"/>
      <c r="D41" s="990"/>
      <c r="E41" s="721"/>
      <c r="F41" s="722" t="s">
        <v>240</v>
      </c>
      <c r="G41" s="795" t="s">
        <v>974</v>
      </c>
      <c r="H41" s="796"/>
      <c r="I41" s="797"/>
      <c r="J41" s="796"/>
      <c r="K41" s="797"/>
      <c r="L41" s="988"/>
      <c r="M41" s="729"/>
      <c r="N41" s="729"/>
      <c r="O41" s="729"/>
      <c r="P41" s="729"/>
      <c r="Q41" s="729"/>
      <c r="R41" s="729"/>
      <c r="S41" s="729"/>
      <c r="T41" s="729"/>
      <c r="U41" s="729"/>
    </row>
    <row r="42" spans="1:21" s="714" customFormat="1" ht="24" customHeight="1">
      <c r="A42" s="1138"/>
      <c r="B42" s="720" t="s">
        <v>1617</v>
      </c>
      <c r="C42" s="987"/>
      <c r="D42" s="707"/>
      <c r="E42" s="708"/>
      <c r="F42" s="709" t="s">
        <v>240</v>
      </c>
      <c r="G42" s="795" t="s">
        <v>974</v>
      </c>
      <c r="H42" s="854"/>
      <c r="I42" s="855"/>
      <c r="J42" s="854"/>
      <c r="K42" s="855"/>
      <c r="L42" s="988"/>
      <c r="M42" s="729"/>
      <c r="N42" s="729"/>
      <c r="O42" s="729"/>
      <c r="P42" s="729"/>
      <c r="Q42" s="729"/>
      <c r="R42" s="729"/>
      <c r="S42" s="729"/>
      <c r="T42" s="729"/>
      <c r="U42" s="729"/>
    </row>
    <row r="43" spans="1:21" s="714" customFormat="1" ht="24" customHeight="1">
      <c r="A43" s="1132" t="s">
        <v>1608</v>
      </c>
      <c r="B43" s="720" t="s">
        <v>1378</v>
      </c>
      <c r="C43" s="706"/>
      <c r="D43" s="990"/>
      <c r="E43" s="721"/>
      <c r="F43" s="722"/>
      <c r="G43" s="795"/>
      <c r="H43" s="796"/>
      <c r="I43" s="797"/>
      <c r="J43" s="796"/>
      <c r="K43" s="797"/>
      <c r="L43" s="830"/>
      <c r="M43" s="729"/>
      <c r="N43" s="729"/>
      <c r="O43" s="729"/>
      <c r="P43" s="729"/>
      <c r="Q43" s="729"/>
      <c r="R43" s="729"/>
      <c r="S43" s="729"/>
      <c r="T43" s="729"/>
      <c r="U43" s="729"/>
    </row>
    <row r="44" spans="1:21" s="714" customFormat="1" ht="24" customHeight="1">
      <c r="A44" s="1134"/>
      <c r="B44" s="720" t="s">
        <v>1621</v>
      </c>
      <c r="C44" s="706"/>
      <c r="D44" s="990"/>
      <c r="E44" s="991">
        <v>1200</v>
      </c>
      <c r="F44" s="722" t="s">
        <v>438</v>
      </c>
      <c r="G44" s="795">
        <v>22</v>
      </c>
      <c r="H44" s="796">
        <f>ROUND(E44*G44,)</f>
        <v>26400</v>
      </c>
      <c r="I44" s="797">
        <v>5</v>
      </c>
      <c r="J44" s="796">
        <f>ROUND(I44*E44,)</f>
        <v>6000</v>
      </c>
      <c r="K44" s="797">
        <f>H44+J44</f>
        <v>32400</v>
      </c>
      <c r="L44" s="830"/>
      <c r="M44" s="729"/>
      <c r="N44" s="729"/>
      <c r="O44" s="729"/>
      <c r="P44" s="729"/>
      <c r="Q44" s="729"/>
      <c r="R44" s="729"/>
      <c r="S44" s="729"/>
      <c r="T44" s="729"/>
      <c r="U44" s="729"/>
    </row>
    <row r="45" spans="1:21" s="714" customFormat="1" ht="24" customHeight="1">
      <c r="A45" s="993" t="s">
        <v>1633</v>
      </c>
      <c r="B45" s="720" t="s">
        <v>1357</v>
      </c>
      <c r="C45" s="706"/>
      <c r="D45" s="990"/>
      <c r="E45" s="991"/>
      <c r="F45" s="722"/>
      <c r="G45" s="795"/>
      <c r="H45" s="796"/>
      <c r="I45" s="797"/>
      <c r="J45" s="796"/>
      <c r="K45" s="797"/>
      <c r="L45" s="830"/>
      <c r="M45" s="729"/>
      <c r="N45" s="729"/>
      <c r="O45" s="729"/>
      <c r="P45" s="729"/>
      <c r="Q45" s="729"/>
      <c r="R45" s="729"/>
      <c r="S45" s="729"/>
      <c r="T45" s="729"/>
      <c r="U45" s="729"/>
    </row>
    <row r="46" spans="1:21" s="714" customFormat="1" ht="24" customHeight="1">
      <c r="A46" s="1133"/>
      <c r="B46" s="720" t="s">
        <v>1201</v>
      </c>
      <c r="C46" s="706"/>
      <c r="D46" s="990"/>
      <c r="E46" s="942">
        <v>1200</v>
      </c>
      <c r="F46" s="794" t="s">
        <v>438</v>
      </c>
      <c r="G46" s="806">
        <v>27</v>
      </c>
      <c r="H46" s="796">
        <f>ROUND(E46*G46,)</f>
        <v>32400</v>
      </c>
      <c r="I46" s="807">
        <v>22</v>
      </c>
      <c r="J46" s="796">
        <f t="shared" ref="J46" si="0">ROUND(E46*I46,)</f>
        <v>26400</v>
      </c>
      <c r="K46" s="914">
        <f t="shared" ref="K46" si="1">H46+J46</f>
        <v>58800</v>
      </c>
      <c r="L46" s="1718" t="s">
        <v>2915</v>
      </c>
      <c r="M46" s="729"/>
      <c r="N46" s="714">
        <v>79.8</v>
      </c>
      <c r="O46" s="714">
        <f>ROUND(N46/3,)</f>
        <v>27</v>
      </c>
      <c r="P46" s="729"/>
      <c r="Q46" s="729"/>
      <c r="R46" s="729"/>
      <c r="S46" s="729"/>
      <c r="T46" s="729"/>
      <c r="U46" s="729"/>
    </row>
    <row r="47" spans="1:21" s="714" customFormat="1" ht="24" customHeight="1">
      <c r="A47" s="996"/>
      <c r="B47" s="720" t="s">
        <v>1237</v>
      </c>
      <c r="C47" s="706"/>
      <c r="D47" s="990"/>
      <c r="E47" s="721">
        <v>1</v>
      </c>
      <c r="F47" s="722" t="s">
        <v>948</v>
      </c>
      <c r="G47" s="795">
        <f>SUM(H46:H46)*15%</f>
        <v>4860</v>
      </c>
      <c r="H47" s="796">
        <f>ROUND(E47*G47,)</f>
        <v>4860</v>
      </c>
      <c r="I47" s="797">
        <f>G47*0.3</f>
        <v>1458</v>
      </c>
      <c r="J47" s="796">
        <f>ROUND(I47*E47,)</f>
        <v>1458</v>
      </c>
      <c r="K47" s="797">
        <f>H47+J47</f>
        <v>6318</v>
      </c>
      <c r="L47" s="830"/>
      <c r="M47" s="729"/>
      <c r="N47" s="729"/>
      <c r="O47" s="729"/>
      <c r="P47" s="729"/>
      <c r="Q47" s="729"/>
      <c r="R47" s="729"/>
      <c r="S47" s="729"/>
      <c r="T47" s="729"/>
      <c r="U47" s="729"/>
    </row>
    <row r="48" spans="1:21" s="714" customFormat="1" ht="24" customHeight="1">
      <c r="A48" s="993"/>
      <c r="B48" s="720" t="s">
        <v>957</v>
      </c>
      <c r="C48" s="706"/>
      <c r="D48" s="990"/>
      <c r="E48" s="721"/>
      <c r="F48" s="722"/>
      <c r="G48" s="994"/>
      <c r="H48" s="796"/>
      <c r="I48" s="797"/>
      <c r="J48" s="796"/>
      <c r="K48" s="797"/>
      <c r="L48" s="830"/>
      <c r="M48" s="729"/>
      <c r="N48" s="729"/>
      <c r="O48" s="729"/>
      <c r="P48" s="729"/>
      <c r="Q48" s="729"/>
      <c r="R48" s="729"/>
      <c r="S48" s="729"/>
      <c r="T48" s="729"/>
      <c r="U48" s="729"/>
    </row>
    <row r="49" spans="1:21" s="714" customFormat="1" ht="24" customHeight="1">
      <c r="A49" s="1138"/>
      <c r="B49" s="720" t="s">
        <v>1102</v>
      </c>
      <c r="C49" s="987"/>
      <c r="D49" s="707"/>
      <c r="E49" s="708"/>
      <c r="F49" s="709"/>
      <c r="G49" s="1142"/>
      <c r="H49" s="854"/>
      <c r="I49" s="855"/>
      <c r="J49" s="854"/>
      <c r="K49" s="855"/>
      <c r="L49" s="988"/>
      <c r="M49" s="729"/>
      <c r="N49" s="729"/>
      <c r="O49" s="729"/>
      <c r="P49" s="729"/>
      <c r="Q49" s="729"/>
      <c r="R49" s="729"/>
      <c r="S49" s="729"/>
      <c r="T49" s="729"/>
      <c r="U49" s="729"/>
    </row>
    <row r="50" spans="1:21" s="714" customFormat="1" ht="24" customHeight="1">
      <c r="A50" s="996"/>
      <c r="B50" s="720" t="s">
        <v>1102</v>
      </c>
      <c r="C50" s="706"/>
      <c r="D50" s="990"/>
      <c r="E50" s="721"/>
      <c r="F50" s="722"/>
      <c r="G50" s="994"/>
      <c r="H50" s="796"/>
      <c r="I50" s="797"/>
      <c r="J50" s="796"/>
      <c r="K50" s="797"/>
      <c r="L50" s="830"/>
      <c r="M50" s="729"/>
      <c r="N50" s="729"/>
      <c r="O50" s="729"/>
      <c r="P50" s="729"/>
      <c r="Q50" s="729"/>
      <c r="R50" s="729"/>
      <c r="S50" s="729"/>
      <c r="T50" s="729"/>
      <c r="U50" s="729"/>
    </row>
    <row r="51" spans="1:21" s="714" customFormat="1" ht="24" customHeight="1">
      <c r="A51" s="1088"/>
      <c r="B51" s="720"/>
      <c r="C51" s="706"/>
      <c r="D51" s="990"/>
      <c r="E51" s="721"/>
      <c r="F51" s="722"/>
      <c r="G51" s="795"/>
      <c r="H51" s="796"/>
      <c r="I51" s="797"/>
      <c r="J51" s="796"/>
      <c r="K51" s="797"/>
      <c r="L51" s="830"/>
      <c r="M51" s="729"/>
      <c r="N51" s="729"/>
      <c r="O51" s="729"/>
      <c r="P51" s="729"/>
      <c r="Q51" s="729"/>
      <c r="R51" s="729"/>
      <c r="S51" s="729"/>
      <c r="T51" s="729"/>
      <c r="U51" s="729"/>
    </row>
    <row r="52" spans="1:21" s="714" customFormat="1" ht="24" customHeight="1">
      <c r="A52" s="1088"/>
      <c r="B52" s="720"/>
      <c r="C52" s="706"/>
      <c r="D52" s="990"/>
      <c r="E52" s="721"/>
      <c r="F52" s="722"/>
      <c r="G52" s="795"/>
      <c r="H52" s="796"/>
      <c r="I52" s="797"/>
      <c r="J52" s="796"/>
      <c r="K52" s="797"/>
      <c r="L52" s="830"/>
      <c r="M52" s="729"/>
      <c r="N52" s="729"/>
      <c r="O52" s="729"/>
      <c r="P52" s="729"/>
      <c r="Q52" s="729"/>
      <c r="R52" s="729"/>
      <c r="S52" s="729"/>
      <c r="T52" s="729"/>
      <c r="U52" s="729"/>
    </row>
    <row r="53" spans="1:21" s="714" customFormat="1" ht="24" customHeight="1">
      <c r="A53" s="1088"/>
      <c r="B53" s="720"/>
      <c r="C53" s="706"/>
      <c r="D53" s="990"/>
      <c r="E53" s="721"/>
      <c r="F53" s="722"/>
      <c r="G53" s="795"/>
      <c r="H53" s="796"/>
      <c r="I53" s="797"/>
      <c r="J53" s="796"/>
      <c r="K53" s="797"/>
      <c r="L53" s="830"/>
      <c r="M53" s="729"/>
      <c r="N53" s="729"/>
      <c r="O53" s="729"/>
      <c r="P53" s="729"/>
      <c r="Q53" s="729"/>
      <c r="R53" s="729"/>
      <c r="S53" s="729"/>
      <c r="T53" s="729"/>
      <c r="U53" s="729"/>
    </row>
    <row r="54" spans="1:21" s="714" customFormat="1" ht="24" customHeight="1">
      <c r="A54" s="1088"/>
      <c r="B54" s="720"/>
      <c r="C54" s="706"/>
      <c r="D54" s="990"/>
      <c r="E54" s="721"/>
      <c r="F54" s="722"/>
      <c r="G54" s="795"/>
      <c r="H54" s="796"/>
      <c r="I54" s="797"/>
      <c r="J54" s="796"/>
      <c r="K54" s="797"/>
      <c r="L54" s="830"/>
      <c r="M54" s="729"/>
      <c r="N54" s="729"/>
      <c r="O54" s="729"/>
      <c r="P54" s="729"/>
      <c r="Q54" s="729"/>
      <c r="R54" s="729"/>
      <c r="S54" s="729"/>
      <c r="T54" s="729"/>
      <c r="U54" s="729"/>
    </row>
    <row r="55" spans="1:21" s="714" customFormat="1" ht="24" customHeight="1">
      <c r="A55" s="1088"/>
      <c r="B55" s="720"/>
      <c r="C55" s="706"/>
      <c r="D55" s="990"/>
      <c r="E55" s="721"/>
      <c r="F55" s="722"/>
      <c r="G55" s="795"/>
      <c r="H55" s="796"/>
      <c r="I55" s="797"/>
      <c r="J55" s="796"/>
      <c r="K55" s="797"/>
      <c r="L55" s="830"/>
      <c r="M55" s="729"/>
      <c r="N55" s="729"/>
      <c r="O55" s="729"/>
      <c r="P55" s="729"/>
      <c r="Q55" s="729"/>
      <c r="R55" s="729"/>
      <c r="S55" s="729"/>
      <c r="T55" s="729"/>
      <c r="U55" s="729"/>
    </row>
    <row r="56" spans="1:21" s="714" customFormat="1" ht="24" customHeight="1">
      <c r="A56" s="1134"/>
      <c r="B56" s="720"/>
      <c r="C56" s="706"/>
      <c r="D56" s="990"/>
      <c r="E56" s="721"/>
      <c r="F56" s="722"/>
      <c r="G56" s="795"/>
      <c r="H56" s="796"/>
      <c r="I56" s="797"/>
      <c r="J56" s="796"/>
      <c r="K56" s="797"/>
      <c r="L56" s="830"/>
      <c r="M56" s="729"/>
      <c r="N56" s="729"/>
      <c r="O56" s="729"/>
      <c r="P56" s="729"/>
      <c r="Q56" s="729"/>
      <c r="R56" s="729"/>
      <c r="S56" s="729"/>
      <c r="T56" s="729"/>
      <c r="U56" s="729"/>
    </row>
    <row r="57" spans="1:21" s="714" customFormat="1" ht="24" customHeight="1">
      <c r="A57" s="777"/>
      <c r="B57" s="2475" t="str">
        <f>"รวมราคารายการที่ "&amp;A35</f>
        <v>รวมราคารายการที่ 4.1</v>
      </c>
      <c r="C57" s="2476"/>
      <c r="D57" s="2477"/>
      <c r="E57" s="997"/>
      <c r="F57" s="777"/>
      <c r="G57" s="959"/>
      <c r="H57" s="960">
        <f>SUM(H36:H56)</f>
        <v>707760</v>
      </c>
      <c r="I57" s="959"/>
      <c r="J57" s="960">
        <f t="shared" ref="J57:K57" si="2">SUM(J36:J56)</f>
        <v>48858</v>
      </c>
      <c r="K57" s="960">
        <f t="shared" si="2"/>
        <v>756618</v>
      </c>
      <c r="L57" s="777"/>
      <c r="M57" s="729"/>
      <c r="N57" s="729"/>
      <c r="O57" s="729"/>
      <c r="P57" s="729"/>
      <c r="Q57" s="729"/>
      <c r="R57" s="729"/>
      <c r="S57" s="729"/>
      <c r="T57" s="729"/>
      <c r="U57" s="729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4-อาคารสนับนุน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26A78-ACD2-4521-BC6B-CC0BC431FED2}">
  <sheetPr>
    <tabColor rgb="FF92D050"/>
  </sheetPr>
  <dimension ref="A1:U57"/>
  <sheetViews>
    <sheetView tabSelected="1" view="pageBreakPreview" topLeftCell="A37" zoomScale="70" zoomScaleNormal="10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8.5859375" style="1" customWidth="1"/>
    <col min="13" max="99" width="7.703125" style="1" customWidth="1"/>
    <col min="100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1603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84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85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80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81"/>
    </row>
    <row r="11" spans="1:12" ht="24" customHeight="1">
      <c r="A11" s="1115" t="s">
        <v>27</v>
      </c>
      <c r="B11" s="1116" t="s">
        <v>1630</v>
      </c>
      <c r="C11" s="1117"/>
      <c r="D11" s="1118"/>
      <c r="E11" s="694"/>
      <c r="F11" s="695"/>
      <c r="G11" s="696"/>
      <c r="H11" s="697"/>
      <c r="I11" s="698"/>
      <c r="J11" s="697"/>
      <c r="K11" s="699"/>
      <c r="L11" s="953"/>
    </row>
    <row r="12" spans="1:12" ht="24" customHeight="1">
      <c r="A12" s="1119"/>
      <c r="B12" s="1120"/>
      <c r="C12" s="1121"/>
      <c r="D12" s="1122"/>
      <c r="E12" s="694"/>
      <c r="F12" s="695"/>
      <c r="G12" s="696"/>
      <c r="H12" s="697"/>
      <c r="I12" s="698"/>
      <c r="J12" s="697"/>
      <c r="K12" s="699"/>
      <c r="L12" s="953"/>
    </row>
    <row r="13" spans="1:12" s="714" customFormat="1" ht="24" customHeight="1">
      <c r="A13" s="704">
        <f>A35</f>
        <v>4.0999999999999996</v>
      </c>
      <c r="B13" s="705" t="str">
        <f>B35</f>
        <v>ระบบโทรทัศน์วงจรปิด (Closed Circuit TV System)</v>
      </c>
      <c r="C13" s="706"/>
      <c r="D13" s="707"/>
      <c r="E13" s="708">
        <v>1</v>
      </c>
      <c r="F13" s="709" t="s">
        <v>19</v>
      </c>
      <c r="G13" s="710"/>
      <c r="H13" s="711">
        <f>H57</f>
        <v>707760</v>
      </c>
      <c r="I13" s="712"/>
      <c r="J13" s="711">
        <f>J57</f>
        <v>48858</v>
      </c>
      <c r="K13" s="711">
        <f>SUM(H13:J13)</f>
        <v>756618</v>
      </c>
      <c r="L13" s="1024"/>
    </row>
    <row r="14" spans="1:12" s="714" customFormat="1" ht="24" customHeight="1">
      <c r="A14" s="704"/>
      <c r="B14" s="720"/>
      <c r="C14" s="716"/>
      <c r="D14" s="990"/>
      <c r="E14" s="721"/>
      <c r="F14" s="722"/>
      <c r="G14" s="710"/>
      <c r="H14" s="711"/>
      <c r="I14" s="712"/>
      <c r="J14" s="711"/>
      <c r="K14" s="711"/>
      <c r="L14" s="1024"/>
    </row>
    <row r="15" spans="1:12" s="714" customFormat="1" ht="24" customHeight="1">
      <c r="A15" s="719"/>
      <c r="B15" s="720"/>
      <c r="C15" s="717"/>
      <c r="D15" s="718"/>
      <c r="E15" s="721"/>
      <c r="F15" s="722"/>
      <c r="G15" s="710"/>
      <c r="H15" s="711"/>
      <c r="I15" s="712"/>
      <c r="J15" s="711"/>
      <c r="K15" s="711"/>
      <c r="L15" s="1024"/>
    </row>
    <row r="16" spans="1:12" s="714" customFormat="1" ht="24" customHeight="1">
      <c r="A16" s="719"/>
      <c r="B16" s="720"/>
      <c r="C16" s="717"/>
      <c r="D16" s="718"/>
      <c r="E16" s="721"/>
      <c r="F16" s="722"/>
      <c r="G16" s="710"/>
      <c r="H16" s="711"/>
      <c r="I16" s="712"/>
      <c r="J16" s="711"/>
      <c r="K16" s="711"/>
      <c r="L16" s="1024"/>
    </row>
    <row r="17" spans="1:12" s="714" customFormat="1" ht="24" customHeight="1">
      <c r="A17" s="719"/>
      <c r="B17" s="720"/>
      <c r="C17" s="717"/>
      <c r="D17" s="718"/>
      <c r="E17" s="721"/>
      <c r="F17" s="722"/>
      <c r="G17" s="710"/>
      <c r="H17" s="711"/>
      <c r="I17" s="712"/>
      <c r="J17" s="711"/>
      <c r="K17" s="711"/>
      <c r="L17" s="1024"/>
    </row>
    <row r="18" spans="1:12" s="714" customFormat="1" ht="24" customHeight="1">
      <c r="A18" s="719"/>
      <c r="B18" s="720"/>
      <c r="C18" s="717"/>
      <c r="D18" s="718"/>
      <c r="E18" s="721"/>
      <c r="F18" s="722"/>
      <c r="G18" s="710"/>
      <c r="H18" s="711"/>
      <c r="I18" s="712"/>
      <c r="J18" s="711"/>
      <c r="K18" s="711"/>
      <c r="L18" s="1024"/>
    </row>
    <row r="19" spans="1:12" s="714" customFormat="1" ht="24" customHeight="1">
      <c r="A19" s="719"/>
      <c r="B19" s="720"/>
      <c r="C19" s="717"/>
      <c r="D19" s="718"/>
      <c r="E19" s="721"/>
      <c r="F19" s="722"/>
      <c r="G19" s="710"/>
      <c r="H19" s="711"/>
      <c r="I19" s="712"/>
      <c r="J19" s="711"/>
      <c r="K19" s="711"/>
      <c r="L19" s="1024"/>
    </row>
    <row r="20" spans="1:12" s="714" customFormat="1" ht="24" customHeight="1">
      <c r="A20" s="719"/>
      <c r="B20" s="720"/>
      <c r="C20" s="717"/>
      <c r="D20" s="718"/>
      <c r="E20" s="721"/>
      <c r="F20" s="722"/>
      <c r="G20" s="710"/>
      <c r="H20" s="711"/>
      <c r="I20" s="712"/>
      <c r="J20" s="711"/>
      <c r="K20" s="711"/>
      <c r="L20" s="1024"/>
    </row>
    <row r="21" spans="1:12" s="714" customFormat="1" ht="24" customHeight="1">
      <c r="A21" s="719"/>
      <c r="B21" s="720"/>
      <c r="C21" s="717"/>
      <c r="D21" s="718"/>
      <c r="E21" s="721"/>
      <c r="F21" s="722"/>
      <c r="G21" s="710"/>
      <c r="H21" s="711"/>
      <c r="I21" s="712"/>
      <c r="J21" s="711"/>
      <c r="K21" s="711"/>
      <c r="L21" s="1024"/>
    </row>
    <row r="22" spans="1:12" s="714" customFormat="1" ht="24" customHeight="1">
      <c r="A22" s="719"/>
      <c r="B22" s="720"/>
      <c r="C22" s="717"/>
      <c r="D22" s="718"/>
      <c r="E22" s="721"/>
      <c r="F22" s="722"/>
      <c r="G22" s="710"/>
      <c r="H22" s="711"/>
      <c r="I22" s="712"/>
      <c r="J22" s="711"/>
      <c r="K22" s="711"/>
      <c r="L22" s="1024"/>
    </row>
    <row r="23" spans="1:12" s="714" customFormat="1" ht="24" customHeight="1">
      <c r="A23" s="1125"/>
      <c r="B23" s="720"/>
      <c r="C23" s="1123"/>
      <c r="D23" s="1124"/>
      <c r="E23" s="721"/>
      <c r="F23" s="722"/>
      <c r="G23" s="710"/>
      <c r="H23" s="711"/>
      <c r="I23" s="712"/>
      <c r="J23" s="711"/>
      <c r="K23" s="711"/>
      <c r="L23" s="1024"/>
    </row>
    <row r="24" spans="1:12" s="714" customFormat="1" ht="24" customHeight="1">
      <c r="A24" s="1125"/>
      <c r="B24" s="720"/>
      <c r="C24" s="1123"/>
      <c r="D24" s="1124"/>
      <c r="E24" s="721"/>
      <c r="F24" s="722"/>
      <c r="G24" s="710"/>
      <c r="H24" s="711"/>
      <c r="I24" s="712"/>
      <c r="J24" s="711"/>
      <c r="K24" s="711"/>
      <c r="L24" s="1024"/>
    </row>
    <row r="25" spans="1:12" s="714" customFormat="1" ht="24" customHeight="1">
      <c r="A25" s="1125"/>
      <c r="B25" s="720"/>
      <c r="C25" s="1123"/>
      <c r="D25" s="1124"/>
      <c r="E25" s="721"/>
      <c r="F25" s="722"/>
      <c r="G25" s="710"/>
      <c r="H25" s="711"/>
      <c r="I25" s="712"/>
      <c r="J25" s="711"/>
      <c r="K25" s="711"/>
      <c r="L25" s="1024"/>
    </row>
    <row r="26" spans="1:12" s="714" customFormat="1" ht="24" customHeight="1">
      <c r="A26" s="1125"/>
      <c r="B26" s="720"/>
      <c r="C26" s="1123"/>
      <c r="D26" s="1124"/>
      <c r="E26" s="721"/>
      <c r="F26" s="722"/>
      <c r="G26" s="710"/>
      <c r="H26" s="711"/>
      <c r="I26" s="712"/>
      <c r="J26" s="711"/>
      <c r="K26" s="711"/>
      <c r="L26" s="1024"/>
    </row>
    <row r="27" spans="1:12" s="714" customFormat="1" ht="24" customHeight="1">
      <c r="A27" s="1125"/>
      <c r="B27" s="720"/>
      <c r="C27" s="1123"/>
      <c r="D27" s="1124"/>
      <c r="E27" s="721"/>
      <c r="F27" s="722"/>
      <c r="G27" s="710"/>
      <c r="H27" s="711"/>
      <c r="I27" s="712"/>
      <c r="J27" s="711"/>
      <c r="K27" s="711"/>
      <c r="L27" s="1024"/>
    </row>
    <row r="28" spans="1:12" s="714" customFormat="1" ht="24" customHeight="1">
      <c r="A28" s="1125"/>
      <c r="B28" s="720"/>
      <c r="C28" s="1123"/>
      <c r="D28" s="1124"/>
      <c r="E28" s="721"/>
      <c r="F28" s="722"/>
      <c r="G28" s="710"/>
      <c r="H28" s="711"/>
      <c r="I28" s="712"/>
      <c r="J28" s="711"/>
      <c r="K28" s="711"/>
      <c r="L28" s="1024"/>
    </row>
    <row r="29" spans="1:12" s="714" customFormat="1" ht="24" customHeight="1">
      <c r="A29" s="1125"/>
      <c r="B29" s="720"/>
      <c r="C29" s="1123"/>
      <c r="D29" s="1124"/>
      <c r="E29" s="721"/>
      <c r="F29" s="722"/>
      <c r="G29" s="710"/>
      <c r="H29" s="711"/>
      <c r="I29" s="712"/>
      <c r="J29" s="711"/>
      <c r="K29" s="711"/>
      <c r="L29" s="1024"/>
    </row>
    <row r="30" spans="1:12" s="714" customFormat="1" ht="24" customHeight="1">
      <c r="A30" s="1125"/>
      <c r="B30" s="720"/>
      <c r="C30" s="1123"/>
      <c r="D30" s="1124"/>
      <c r="E30" s="721"/>
      <c r="F30" s="722"/>
      <c r="G30" s="710"/>
      <c r="H30" s="711"/>
      <c r="I30" s="712"/>
      <c r="J30" s="711"/>
      <c r="K30" s="711"/>
      <c r="L30" s="1024"/>
    </row>
    <row r="31" spans="1:12" s="714" customFormat="1" ht="24" customHeight="1">
      <c r="A31" s="1125"/>
      <c r="B31" s="720"/>
      <c r="C31" s="1123"/>
      <c r="D31" s="1124"/>
      <c r="E31" s="721"/>
      <c r="F31" s="722"/>
      <c r="G31" s="710"/>
      <c r="H31" s="711"/>
      <c r="I31" s="712"/>
      <c r="J31" s="711"/>
      <c r="K31" s="711"/>
      <c r="L31" s="1024"/>
    </row>
    <row r="32" spans="1:12" s="714" customFormat="1" ht="24" customHeight="1">
      <c r="A32" s="1125"/>
      <c r="B32" s="720"/>
      <c r="C32" s="1123"/>
      <c r="D32" s="1124"/>
      <c r="E32" s="721"/>
      <c r="F32" s="722"/>
      <c r="G32" s="710"/>
      <c r="H32" s="711"/>
      <c r="I32" s="712"/>
      <c r="J32" s="711"/>
      <c r="K32" s="711"/>
      <c r="L32" s="1024"/>
    </row>
    <row r="33" spans="1:21" s="714" customFormat="1" ht="24" customHeight="1">
      <c r="A33" s="1126"/>
      <c r="B33" s="1127"/>
      <c r="C33" s="1123"/>
      <c r="D33" s="1124"/>
      <c r="E33" s="1128"/>
      <c r="F33" s="722"/>
      <c r="G33" s="710"/>
      <c r="H33" s="711"/>
      <c r="I33" s="712"/>
      <c r="J33" s="711"/>
      <c r="K33" s="1129"/>
      <c r="L33" s="1024"/>
    </row>
    <row r="34" spans="1:21" s="714" customFormat="1" ht="25.15" customHeight="1">
      <c r="A34" s="777"/>
      <c r="B34" s="2475" t="str">
        <f>"รวมราคา"&amp;B11</f>
        <v>รวมราคาระบบโทรทัศน์วงจรปิด (Closed Circuit TV System) ชั้น 5</v>
      </c>
      <c r="C34" s="2476"/>
      <c r="D34" s="2477"/>
      <c r="E34" s="997"/>
      <c r="F34" s="777"/>
      <c r="G34" s="959"/>
      <c r="H34" s="960">
        <f>SUM(H12:H33)</f>
        <v>707760</v>
      </c>
      <c r="I34" s="959"/>
      <c r="J34" s="960">
        <f>SUM(J11:J33)</f>
        <v>48858</v>
      </c>
      <c r="K34" s="1130">
        <f>SUM(K11:K33)</f>
        <v>756618</v>
      </c>
      <c r="L34" s="777"/>
      <c r="M34" s="729"/>
      <c r="N34" s="729"/>
      <c r="O34" s="729"/>
      <c r="P34" s="729"/>
      <c r="Q34" s="729"/>
      <c r="R34" s="729"/>
      <c r="S34" s="729"/>
      <c r="T34" s="729"/>
      <c r="U34" s="729"/>
    </row>
    <row r="35" spans="1:21" s="714" customFormat="1" ht="24" customHeight="1">
      <c r="A35" s="986">
        <v>4.0999999999999996</v>
      </c>
      <c r="B35" s="816" t="s">
        <v>28</v>
      </c>
      <c r="C35" s="987"/>
      <c r="D35" s="707"/>
      <c r="E35" s="708"/>
      <c r="F35" s="709"/>
      <c r="G35" s="853"/>
      <c r="H35" s="854"/>
      <c r="I35" s="855"/>
      <c r="J35" s="854"/>
      <c r="K35" s="855"/>
      <c r="L35" s="988"/>
      <c r="M35" s="729"/>
      <c r="N35" s="729"/>
      <c r="O35" s="729"/>
      <c r="P35" s="729"/>
      <c r="Q35" s="729"/>
      <c r="R35" s="729"/>
      <c r="S35" s="729"/>
      <c r="T35" s="729"/>
      <c r="U35" s="729"/>
    </row>
    <row r="36" spans="1:21" s="714" customFormat="1" ht="24" customHeight="1">
      <c r="A36" s="989" t="s">
        <v>1610</v>
      </c>
      <c r="B36" s="720" t="s">
        <v>1611</v>
      </c>
      <c r="C36" s="706"/>
      <c r="D36" s="990"/>
      <c r="E36" s="721">
        <v>24</v>
      </c>
      <c r="F36" s="722" t="s">
        <v>240</v>
      </c>
      <c r="G36" s="795">
        <f>22110</f>
        <v>22110</v>
      </c>
      <c r="H36" s="796">
        <f>ROUND(E36*G36,)</f>
        <v>530640</v>
      </c>
      <c r="I36" s="797">
        <v>500</v>
      </c>
      <c r="J36" s="796">
        <f>ROUND(I36*E36,)</f>
        <v>12000</v>
      </c>
      <c r="K36" s="797">
        <f>H36+J36</f>
        <v>542640</v>
      </c>
      <c r="L36" s="830"/>
      <c r="M36" s="729"/>
      <c r="N36" s="729"/>
      <c r="O36" s="729"/>
      <c r="P36" s="729"/>
      <c r="Q36" s="729"/>
      <c r="R36" s="729"/>
      <c r="S36" s="729"/>
      <c r="T36" s="729"/>
      <c r="U36" s="729"/>
    </row>
    <row r="37" spans="1:21" s="714" customFormat="1" ht="24" customHeight="1">
      <c r="A37" s="992" t="s">
        <v>1607</v>
      </c>
      <c r="B37" s="720" t="s">
        <v>3030</v>
      </c>
      <c r="C37" s="706"/>
      <c r="D37" s="990"/>
      <c r="E37" s="721">
        <v>2</v>
      </c>
      <c r="F37" s="722" t="s">
        <v>240</v>
      </c>
      <c r="G37" s="806">
        <f>5230+1640+2260+30800+12320+4480</f>
        <v>56730</v>
      </c>
      <c r="H37" s="796">
        <f>ROUND(E37*G37,)</f>
        <v>113460</v>
      </c>
      <c r="I37" s="807">
        <f>CEILING(G37*0.025,100)</f>
        <v>1500</v>
      </c>
      <c r="J37" s="796">
        <f>ROUND(I37*E37,)</f>
        <v>3000</v>
      </c>
      <c r="K37" s="797">
        <f>H37+J37</f>
        <v>116460</v>
      </c>
      <c r="L37" s="988"/>
      <c r="M37" s="729"/>
      <c r="N37" s="729"/>
      <c r="O37" s="729"/>
      <c r="P37" s="729"/>
      <c r="Q37" s="729"/>
      <c r="R37" s="729"/>
      <c r="S37" s="729"/>
      <c r="T37" s="729"/>
      <c r="U37" s="729"/>
    </row>
    <row r="38" spans="1:21" s="714" customFormat="1" ht="24" customHeight="1">
      <c r="A38" s="992"/>
      <c r="B38" s="720" t="s">
        <v>1614</v>
      </c>
      <c r="C38" s="706"/>
      <c r="D38" s="990"/>
      <c r="E38" s="721"/>
      <c r="F38" s="722" t="s">
        <v>240</v>
      </c>
      <c r="G38" s="795" t="s">
        <v>974</v>
      </c>
      <c r="H38" s="796"/>
      <c r="I38" s="797"/>
      <c r="J38" s="796"/>
      <c r="K38" s="797"/>
      <c r="L38" s="988"/>
      <c r="M38" s="729"/>
      <c r="N38" s="729"/>
      <c r="O38" s="729"/>
      <c r="P38" s="729"/>
      <c r="Q38" s="729"/>
      <c r="R38" s="729"/>
      <c r="S38" s="729"/>
      <c r="T38" s="729"/>
      <c r="U38" s="729"/>
    </row>
    <row r="39" spans="1:21" s="714" customFormat="1" ht="24" customHeight="1">
      <c r="A39" s="992"/>
      <c r="B39" s="720" t="s">
        <v>1615</v>
      </c>
      <c r="C39" s="706"/>
      <c r="D39" s="990"/>
      <c r="E39" s="721"/>
      <c r="F39" s="722" t="s">
        <v>240</v>
      </c>
      <c r="G39" s="795" t="s">
        <v>974</v>
      </c>
      <c r="H39" s="796"/>
      <c r="I39" s="797"/>
      <c r="J39" s="796"/>
      <c r="K39" s="797"/>
      <c r="L39" s="988"/>
      <c r="M39" s="729"/>
      <c r="N39" s="729"/>
      <c r="O39" s="729"/>
      <c r="P39" s="729"/>
      <c r="Q39" s="729"/>
      <c r="R39" s="729"/>
      <c r="S39" s="729"/>
      <c r="T39" s="729"/>
      <c r="U39" s="729"/>
    </row>
    <row r="40" spans="1:21" s="714" customFormat="1" ht="24" customHeight="1">
      <c r="A40" s="993"/>
      <c r="B40" s="720" t="s">
        <v>1616</v>
      </c>
      <c r="C40" s="706"/>
      <c r="D40" s="990"/>
      <c r="E40" s="721"/>
      <c r="F40" s="722" t="s">
        <v>240</v>
      </c>
      <c r="G40" s="795" t="s">
        <v>974</v>
      </c>
      <c r="H40" s="796"/>
      <c r="I40" s="797"/>
      <c r="J40" s="796"/>
      <c r="K40" s="797"/>
      <c r="L40" s="988"/>
      <c r="M40" s="729"/>
      <c r="N40" s="729"/>
      <c r="O40" s="729"/>
      <c r="P40" s="729"/>
      <c r="Q40" s="729"/>
      <c r="R40" s="729"/>
      <c r="S40" s="729"/>
      <c r="T40" s="729"/>
      <c r="U40" s="729"/>
    </row>
    <row r="41" spans="1:21" s="714" customFormat="1" ht="24" customHeight="1">
      <c r="A41" s="993"/>
      <c r="B41" s="720" t="s">
        <v>1375</v>
      </c>
      <c r="C41" s="706"/>
      <c r="D41" s="990"/>
      <c r="E41" s="721"/>
      <c r="F41" s="722" t="s">
        <v>240</v>
      </c>
      <c r="G41" s="795" t="s">
        <v>974</v>
      </c>
      <c r="H41" s="796"/>
      <c r="I41" s="797"/>
      <c r="J41" s="796"/>
      <c r="K41" s="797"/>
      <c r="L41" s="988"/>
      <c r="M41" s="729"/>
      <c r="N41" s="729"/>
      <c r="O41" s="729"/>
      <c r="P41" s="729"/>
      <c r="Q41" s="729"/>
      <c r="R41" s="729"/>
      <c r="S41" s="729"/>
      <c r="T41" s="729"/>
      <c r="U41" s="729"/>
    </row>
    <row r="42" spans="1:21" s="714" customFormat="1" ht="24" customHeight="1">
      <c r="A42" s="1138"/>
      <c r="B42" s="720" t="s">
        <v>1617</v>
      </c>
      <c r="C42" s="987"/>
      <c r="D42" s="707"/>
      <c r="E42" s="708"/>
      <c r="F42" s="709" t="s">
        <v>240</v>
      </c>
      <c r="G42" s="795" t="s">
        <v>974</v>
      </c>
      <c r="H42" s="854"/>
      <c r="I42" s="855"/>
      <c r="J42" s="854"/>
      <c r="K42" s="855"/>
      <c r="L42" s="988"/>
      <c r="M42" s="729"/>
      <c r="N42" s="729"/>
      <c r="O42" s="729"/>
      <c r="P42" s="729"/>
      <c r="Q42" s="729"/>
      <c r="R42" s="729"/>
      <c r="S42" s="729"/>
      <c r="T42" s="729"/>
      <c r="U42" s="729"/>
    </row>
    <row r="43" spans="1:21" s="714" customFormat="1" ht="24" customHeight="1">
      <c r="A43" s="1132" t="s">
        <v>1608</v>
      </c>
      <c r="B43" s="720" t="s">
        <v>1378</v>
      </c>
      <c r="C43" s="706"/>
      <c r="D43" s="990"/>
      <c r="E43" s="721"/>
      <c r="F43" s="722"/>
      <c r="G43" s="795"/>
      <c r="H43" s="796"/>
      <c r="I43" s="797"/>
      <c r="J43" s="796"/>
      <c r="K43" s="797"/>
      <c r="L43" s="830"/>
      <c r="M43" s="729"/>
      <c r="N43" s="729"/>
      <c r="O43" s="729"/>
      <c r="P43" s="729"/>
      <c r="Q43" s="729"/>
      <c r="R43" s="729"/>
      <c r="S43" s="729"/>
      <c r="T43" s="729"/>
      <c r="U43" s="729"/>
    </row>
    <row r="44" spans="1:21" s="714" customFormat="1" ht="24" customHeight="1">
      <c r="A44" s="1134"/>
      <c r="B44" s="720" t="s">
        <v>1621</v>
      </c>
      <c r="C44" s="706"/>
      <c r="D44" s="990"/>
      <c r="E44" s="991">
        <v>1200</v>
      </c>
      <c r="F44" s="722" t="s">
        <v>438</v>
      </c>
      <c r="G44" s="795">
        <v>22</v>
      </c>
      <c r="H44" s="796">
        <f>ROUND(E44*G44,)</f>
        <v>26400</v>
      </c>
      <c r="I44" s="797">
        <v>5</v>
      </c>
      <c r="J44" s="796">
        <f>ROUND(I44*E44,)</f>
        <v>6000</v>
      </c>
      <c r="K44" s="797">
        <f>H44+J44</f>
        <v>32400</v>
      </c>
      <c r="L44" s="830"/>
      <c r="M44" s="729"/>
      <c r="N44" s="729"/>
      <c r="O44" s="729"/>
      <c r="P44" s="729"/>
      <c r="Q44" s="729"/>
      <c r="R44" s="729"/>
      <c r="S44" s="729"/>
      <c r="T44" s="729"/>
      <c r="U44" s="729"/>
    </row>
    <row r="45" spans="1:21" s="714" customFormat="1" ht="24" customHeight="1">
      <c r="A45" s="993" t="s">
        <v>1633</v>
      </c>
      <c r="B45" s="720" t="s">
        <v>1357</v>
      </c>
      <c r="C45" s="706"/>
      <c r="D45" s="990"/>
      <c r="E45" s="991"/>
      <c r="F45" s="722"/>
      <c r="G45" s="795"/>
      <c r="H45" s="796"/>
      <c r="I45" s="797"/>
      <c r="J45" s="796"/>
      <c r="K45" s="797"/>
      <c r="L45" s="830"/>
      <c r="M45" s="729"/>
      <c r="N45" s="729"/>
      <c r="O45" s="729"/>
      <c r="P45" s="729"/>
      <c r="Q45" s="729"/>
      <c r="R45" s="729"/>
      <c r="S45" s="729"/>
      <c r="T45" s="729"/>
      <c r="U45" s="729"/>
    </row>
    <row r="46" spans="1:21" s="714" customFormat="1" ht="24" customHeight="1">
      <c r="A46" s="1133"/>
      <c r="B46" s="720" t="s">
        <v>1201</v>
      </c>
      <c r="C46" s="706"/>
      <c r="D46" s="990"/>
      <c r="E46" s="942">
        <v>1200</v>
      </c>
      <c r="F46" s="794" t="s">
        <v>438</v>
      </c>
      <c r="G46" s="806">
        <v>27</v>
      </c>
      <c r="H46" s="796">
        <f>ROUND(E46*G46,)</f>
        <v>32400</v>
      </c>
      <c r="I46" s="807">
        <v>22</v>
      </c>
      <c r="J46" s="796">
        <f t="shared" ref="J46" si="0">ROUND(E46*I46,)</f>
        <v>26400</v>
      </c>
      <c r="K46" s="914">
        <f t="shared" ref="K46" si="1">H46+J46</f>
        <v>58800</v>
      </c>
      <c r="L46" s="1718" t="s">
        <v>2915</v>
      </c>
      <c r="M46" s="729"/>
      <c r="N46" s="714">
        <v>79.8</v>
      </c>
      <c r="O46" s="714">
        <f>ROUND(N46/3,)</f>
        <v>27</v>
      </c>
      <c r="P46" s="729"/>
      <c r="Q46" s="729"/>
      <c r="R46" s="729"/>
      <c r="S46" s="729"/>
      <c r="T46" s="729"/>
      <c r="U46" s="729"/>
    </row>
    <row r="47" spans="1:21" s="714" customFormat="1" ht="24" customHeight="1">
      <c r="A47" s="996"/>
      <c r="B47" s="720" t="s">
        <v>1237</v>
      </c>
      <c r="C47" s="706"/>
      <c r="D47" s="990"/>
      <c r="E47" s="721">
        <v>1</v>
      </c>
      <c r="F47" s="722" t="s">
        <v>948</v>
      </c>
      <c r="G47" s="795">
        <f>SUM(H46:H46)*15%</f>
        <v>4860</v>
      </c>
      <c r="H47" s="796">
        <f>ROUND(E47*G47,)</f>
        <v>4860</v>
      </c>
      <c r="I47" s="797">
        <f>G47*0.3</f>
        <v>1458</v>
      </c>
      <c r="J47" s="796">
        <f>ROUND(I47*E47,)</f>
        <v>1458</v>
      </c>
      <c r="K47" s="797">
        <f>H47+J47</f>
        <v>6318</v>
      </c>
      <c r="L47" s="830"/>
      <c r="M47" s="729"/>
      <c r="N47" s="729"/>
      <c r="O47" s="729"/>
      <c r="P47" s="729"/>
      <c r="Q47" s="729"/>
      <c r="R47" s="729"/>
      <c r="S47" s="729"/>
      <c r="T47" s="729"/>
      <c r="U47" s="729"/>
    </row>
    <row r="48" spans="1:21" s="714" customFormat="1" ht="24" customHeight="1">
      <c r="A48" s="993"/>
      <c r="B48" s="720" t="s">
        <v>957</v>
      </c>
      <c r="C48" s="706"/>
      <c r="D48" s="990"/>
      <c r="E48" s="721"/>
      <c r="F48" s="722"/>
      <c r="G48" s="994"/>
      <c r="H48" s="796"/>
      <c r="I48" s="797"/>
      <c r="J48" s="796"/>
      <c r="K48" s="797"/>
      <c r="L48" s="830"/>
      <c r="M48" s="729"/>
      <c r="N48" s="729"/>
      <c r="O48" s="729"/>
      <c r="P48" s="729"/>
      <c r="Q48" s="729"/>
      <c r="R48" s="729"/>
      <c r="S48" s="729"/>
      <c r="T48" s="729"/>
      <c r="U48" s="729"/>
    </row>
    <row r="49" spans="1:21" s="714" customFormat="1" ht="24" customHeight="1">
      <c r="A49" s="1138"/>
      <c r="B49" s="720" t="s">
        <v>1102</v>
      </c>
      <c r="C49" s="987"/>
      <c r="D49" s="707"/>
      <c r="E49" s="708"/>
      <c r="F49" s="709"/>
      <c r="G49" s="1142"/>
      <c r="H49" s="854"/>
      <c r="I49" s="855"/>
      <c r="J49" s="854"/>
      <c r="K49" s="855"/>
      <c r="L49" s="988"/>
      <c r="M49" s="729"/>
      <c r="N49" s="729"/>
      <c r="O49" s="729"/>
      <c r="P49" s="729"/>
      <c r="Q49" s="729"/>
      <c r="R49" s="729"/>
      <c r="S49" s="729"/>
      <c r="T49" s="729"/>
      <c r="U49" s="729"/>
    </row>
    <row r="50" spans="1:21" s="714" customFormat="1" ht="24" customHeight="1">
      <c r="A50" s="996"/>
      <c r="B50" s="720" t="s">
        <v>1102</v>
      </c>
      <c r="C50" s="706"/>
      <c r="D50" s="990"/>
      <c r="E50" s="721"/>
      <c r="F50" s="722"/>
      <c r="G50" s="994"/>
      <c r="H50" s="796"/>
      <c r="I50" s="797"/>
      <c r="J50" s="796"/>
      <c r="K50" s="797"/>
      <c r="L50" s="830"/>
      <c r="M50" s="729"/>
      <c r="N50" s="729"/>
      <c r="O50" s="729"/>
      <c r="P50" s="729"/>
      <c r="Q50" s="729"/>
      <c r="R50" s="729"/>
      <c r="S50" s="729"/>
      <c r="T50" s="729"/>
      <c r="U50" s="729"/>
    </row>
    <row r="51" spans="1:21" s="714" customFormat="1" ht="24" customHeight="1">
      <c r="A51" s="996"/>
      <c r="B51" s="720"/>
      <c r="C51" s="706"/>
      <c r="D51" s="990"/>
      <c r="E51" s="721"/>
      <c r="F51" s="722"/>
      <c r="G51" s="795"/>
      <c r="H51" s="796"/>
      <c r="I51" s="797"/>
      <c r="J51" s="796"/>
      <c r="K51" s="797"/>
      <c r="L51" s="830"/>
      <c r="M51" s="729"/>
      <c r="N51" s="729"/>
      <c r="O51" s="729"/>
      <c r="P51" s="729"/>
      <c r="Q51" s="729"/>
      <c r="R51" s="729"/>
      <c r="S51" s="729"/>
      <c r="T51" s="729"/>
      <c r="U51" s="729"/>
    </row>
    <row r="52" spans="1:21" s="714" customFormat="1" ht="24" customHeight="1">
      <c r="A52" s="996"/>
      <c r="B52" s="720"/>
      <c r="C52" s="706"/>
      <c r="D52" s="990"/>
      <c r="E52" s="721"/>
      <c r="F52" s="722"/>
      <c r="G52" s="795"/>
      <c r="H52" s="796"/>
      <c r="I52" s="797"/>
      <c r="J52" s="796"/>
      <c r="K52" s="797"/>
      <c r="L52" s="830"/>
      <c r="M52" s="729"/>
      <c r="N52" s="729"/>
      <c r="O52" s="729"/>
      <c r="P52" s="729"/>
      <c r="Q52" s="729"/>
      <c r="R52" s="729"/>
      <c r="S52" s="729"/>
      <c r="T52" s="729"/>
      <c r="U52" s="729"/>
    </row>
    <row r="53" spans="1:21" s="714" customFormat="1" ht="24" customHeight="1">
      <c r="A53" s="996"/>
      <c r="B53" s="720"/>
      <c r="C53" s="706"/>
      <c r="D53" s="990"/>
      <c r="E53" s="721"/>
      <c r="F53" s="722"/>
      <c r="G53" s="795"/>
      <c r="H53" s="796"/>
      <c r="I53" s="797"/>
      <c r="J53" s="796"/>
      <c r="K53" s="797"/>
      <c r="L53" s="830"/>
      <c r="M53" s="729"/>
      <c r="N53" s="729"/>
      <c r="O53" s="729"/>
      <c r="P53" s="729"/>
      <c r="Q53" s="729"/>
      <c r="R53" s="729"/>
      <c r="S53" s="729"/>
      <c r="T53" s="729"/>
      <c r="U53" s="729"/>
    </row>
    <row r="54" spans="1:21" s="714" customFormat="1" ht="24" customHeight="1">
      <c r="A54" s="996"/>
      <c r="B54" s="720"/>
      <c r="C54" s="706"/>
      <c r="D54" s="990"/>
      <c r="E54" s="721"/>
      <c r="F54" s="722"/>
      <c r="G54" s="795"/>
      <c r="H54" s="796"/>
      <c r="I54" s="797"/>
      <c r="J54" s="796"/>
      <c r="K54" s="797"/>
      <c r="L54" s="830"/>
      <c r="M54" s="729"/>
      <c r="N54" s="729"/>
      <c r="O54" s="729"/>
      <c r="P54" s="729"/>
      <c r="Q54" s="729"/>
      <c r="R54" s="729"/>
      <c r="S54" s="729"/>
      <c r="T54" s="729"/>
      <c r="U54" s="729"/>
    </row>
    <row r="55" spans="1:21" s="714" customFormat="1" ht="24" customHeight="1">
      <c r="A55" s="996"/>
      <c r="B55" s="720"/>
      <c r="C55" s="706"/>
      <c r="D55" s="990"/>
      <c r="E55" s="721"/>
      <c r="F55" s="722"/>
      <c r="G55" s="795"/>
      <c r="H55" s="796"/>
      <c r="I55" s="797"/>
      <c r="J55" s="796"/>
      <c r="K55" s="797"/>
      <c r="L55" s="830"/>
      <c r="M55" s="729"/>
      <c r="N55" s="729"/>
      <c r="O55" s="729"/>
      <c r="P55" s="729"/>
      <c r="Q55" s="729"/>
      <c r="R55" s="729"/>
      <c r="S55" s="729"/>
      <c r="T55" s="729"/>
      <c r="U55" s="729"/>
    </row>
    <row r="56" spans="1:21" s="714" customFormat="1" ht="24" customHeight="1">
      <c r="A56" s="996"/>
      <c r="B56" s="720"/>
      <c r="C56" s="706"/>
      <c r="D56" s="990"/>
      <c r="E56" s="721"/>
      <c r="F56" s="722"/>
      <c r="G56" s="795"/>
      <c r="H56" s="796"/>
      <c r="I56" s="797"/>
      <c r="J56" s="796"/>
      <c r="K56" s="797"/>
      <c r="L56" s="830"/>
      <c r="M56" s="729"/>
      <c r="N56" s="729"/>
      <c r="O56" s="729"/>
      <c r="P56" s="729"/>
      <c r="Q56" s="729"/>
      <c r="R56" s="729"/>
      <c r="S56" s="729"/>
      <c r="T56" s="729"/>
      <c r="U56" s="729"/>
    </row>
    <row r="57" spans="1:21" s="714" customFormat="1" ht="24" customHeight="1">
      <c r="A57" s="777"/>
      <c r="B57" s="2475" t="str">
        <f>"รวมราคารายการที่ "&amp;A35</f>
        <v>รวมราคารายการที่ 4.1</v>
      </c>
      <c r="C57" s="2476"/>
      <c r="D57" s="2477"/>
      <c r="E57" s="997"/>
      <c r="F57" s="777"/>
      <c r="G57" s="959"/>
      <c r="H57" s="960">
        <f>SUM(H36:H56)</f>
        <v>707760</v>
      </c>
      <c r="I57" s="959"/>
      <c r="J57" s="960">
        <f t="shared" ref="J57:K57" si="2">SUM(J36:J56)</f>
        <v>48858</v>
      </c>
      <c r="K57" s="960">
        <f t="shared" si="2"/>
        <v>756618</v>
      </c>
      <c r="L57" s="777"/>
      <c r="M57" s="729"/>
      <c r="N57" s="729"/>
      <c r="O57" s="729"/>
      <c r="P57" s="729"/>
      <c r="Q57" s="729"/>
      <c r="R57" s="729"/>
      <c r="S57" s="729"/>
      <c r="T57" s="729"/>
      <c r="U57" s="729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5-อาคารสนับนุน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8CD03-A061-4C80-8050-AE7BDEDE8589}">
  <sheetPr>
    <tabColor rgb="FF92D050"/>
  </sheetPr>
  <dimension ref="A1:U57"/>
  <sheetViews>
    <sheetView tabSelected="1" view="pageBreakPreview" topLeftCell="A37" zoomScale="70" zoomScaleNormal="10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8.5859375" style="1" customWidth="1"/>
    <col min="13" max="99" width="7.703125" style="1" customWidth="1"/>
    <col min="100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1603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84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85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80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81"/>
    </row>
    <row r="11" spans="1:12" ht="24" customHeight="1">
      <c r="A11" s="1115" t="s">
        <v>27</v>
      </c>
      <c r="B11" s="1116" t="s">
        <v>1631</v>
      </c>
      <c r="C11" s="1117"/>
      <c r="D11" s="1118"/>
      <c r="E11" s="694"/>
      <c r="F11" s="695"/>
      <c r="G11" s="696"/>
      <c r="H11" s="697"/>
      <c r="I11" s="698"/>
      <c r="J11" s="697"/>
      <c r="K11" s="699"/>
      <c r="L11" s="953"/>
    </row>
    <row r="12" spans="1:12" ht="24" customHeight="1">
      <c r="A12" s="1119"/>
      <c r="B12" s="1120"/>
      <c r="C12" s="1121"/>
      <c r="D12" s="1122"/>
      <c r="E12" s="694"/>
      <c r="F12" s="695"/>
      <c r="G12" s="696"/>
      <c r="H12" s="697"/>
      <c r="I12" s="698"/>
      <c r="J12" s="697"/>
      <c r="K12" s="699"/>
      <c r="L12" s="953"/>
    </row>
    <row r="13" spans="1:12" s="714" customFormat="1" ht="24" customHeight="1">
      <c r="A13" s="704">
        <f>A35</f>
        <v>4.0999999999999996</v>
      </c>
      <c r="B13" s="705" t="str">
        <f>B35</f>
        <v>ระบบโทรทัศน์วงจรปิด (Closed Circuit TV System)</v>
      </c>
      <c r="C13" s="706"/>
      <c r="D13" s="707"/>
      <c r="E13" s="708">
        <v>1</v>
      </c>
      <c r="F13" s="709" t="s">
        <v>19</v>
      </c>
      <c r="G13" s="710"/>
      <c r="H13" s="711">
        <f>H57</f>
        <v>707760</v>
      </c>
      <c r="I13" s="712"/>
      <c r="J13" s="711">
        <f>J57</f>
        <v>48858</v>
      </c>
      <c r="K13" s="711">
        <f>SUM(H13:J13)</f>
        <v>756618</v>
      </c>
      <c r="L13" s="1024"/>
    </row>
    <row r="14" spans="1:12" s="714" customFormat="1" ht="24" customHeight="1">
      <c r="A14" s="704"/>
      <c r="B14" s="720"/>
      <c r="C14" s="716"/>
      <c r="D14" s="990"/>
      <c r="E14" s="721"/>
      <c r="F14" s="722"/>
      <c r="G14" s="710"/>
      <c r="H14" s="711"/>
      <c r="I14" s="712"/>
      <c r="J14" s="711"/>
      <c r="K14" s="711"/>
      <c r="L14" s="1024"/>
    </row>
    <row r="15" spans="1:12" s="714" customFormat="1" ht="24" customHeight="1">
      <c r="A15" s="719"/>
      <c r="B15" s="720"/>
      <c r="C15" s="717"/>
      <c r="D15" s="718"/>
      <c r="E15" s="721"/>
      <c r="F15" s="722"/>
      <c r="G15" s="710"/>
      <c r="H15" s="711"/>
      <c r="I15" s="712"/>
      <c r="J15" s="711"/>
      <c r="K15" s="711"/>
      <c r="L15" s="1024"/>
    </row>
    <row r="16" spans="1:12" s="714" customFormat="1" ht="24" customHeight="1">
      <c r="A16" s="719"/>
      <c r="B16" s="720"/>
      <c r="C16" s="717"/>
      <c r="D16" s="718"/>
      <c r="E16" s="721"/>
      <c r="F16" s="722"/>
      <c r="G16" s="710"/>
      <c r="H16" s="711"/>
      <c r="I16" s="712"/>
      <c r="J16" s="711"/>
      <c r="K16" s="711"/>
      <c r="L16" s="1024"/>
    </row>
    <row r="17" spans="1:12" s="714" customFormat="1" ht="24" customHeight="1">
      <c r="A17" s="719"/>
      <c r="B17" s="720"/>
      <c r="C17" s="717"/>
      <c r="D17" s="718"/>
      <c r="E17" s="721"/>
      <c r="F17" s="722"/>
      <c r="G17" s="710"/>
      <c r="H17" s="711"/>
      <c r="I17" s="712"/>
      <c r="J17" s="711"/>
      <c r="K17" s="711"/>
      <c r="L17" s="1024"/>
    </row>
    <row r="18" spans="1:12" s="714" customFormat="1" ht="24" customHeight="1">
      <c r="A18" s="719"/>
      <c r="B18" s="720"/>
      <c r="C18" s="717"/>
      <c r="D18" s="718"/>
      <c r="E18" s="721"/>
      <c r="F18" s="722"/>
      <c r="G18" s="710"/>
      <c r="H18" s="711"/>
      <c r="I18" s="712"/>
      <c r="J18" s="711"/>
      <c r="K18" s="711"/>
      <c r="L18" s="1024"/>
    </row>
    <row r="19" spans="1:12" s="714" customFormat="1" ht="24" customHeight="1">
      <c r="A19" s="719"/>
      <c r="B19" s="720"/>
      <c r="C19" s="717"/>
      <c r="D19" s="718"/>
      <c r="E19" s="721"/>
      <c r="F19" s="722"/>
      <c r="G19" s="710"/>
      <c r="H19" s="711"/>
      <c r="I19" s="712"/>
      <c r="J19" s="711"/>
      <c r="K19" s="711"/>
      <c r="L19" s="1024"/>
    </row>
    <row r="20" spans="1:12" s="714" customFormat="1" ht="24" customHeight="1">
      <c r="A20" s="719"/>
      <c r="B20" s="720"/>
      <c r="C20" s="717"/>
      <c r="D20" s="718"/>
      <c r="E20" s="721"/>
      <c r="F20" s="722"/>
      <c r="G20" s="710"/>
      <c r="H20" s="711"/>
      <c r="I20" s="712"/>
      <c r="J20" s="711"/>
      <c r="K20" s="711"/>
      <c r="L20" s="1024"/>
    </row>
    <row r="21" spans="1:12" s="714" customFormat="1" ht="24" customHeight="1">
      <c r="A21" s="719"/>
      <c r="B21" s="720"/>
      <c r="C21" s="717"/>
      <c r="D21" s="718"/>
      <c r="E21" s="721"/>
      <c r="F21" s="722"/>
      <c r="G21" s="710"/>
      <c r="H21" s="711"/>
      <c r="I21" s="712"/>
      <c r="J21" s="711"/>
      <c r="K21" s="711"/>
      <c r="L21" s="1024"/>
    </row>
    <row r="22" spans="1:12" s="714" customFormat="1" ht="24" customHeight="1">
      <c r="A22" s="719"/>
      <c r="B22" s="720"/>
      <c r="C22" s="717"/>
      <c r="D22" s="718"/>
      <c r="E22" s="721"/>
      <c r="F22" s="722"/>
      <c r="G22" s="710"/>
      <c r="H22" s="711"/>
      <c r="I22" s="712"/>
      <c r="J22" s="711"/>
      <c r="K22" s="711"/>
      <c r="L22" s="1024"/>
    </row>
    <row r="23" spans="1:12" s="714" customFormat="1" ht="24" customHeight="1">
      <c r="A23" s="1125"/>
      <c r="B23" s="720"/>
      <c r="C23" s="1123"/>
      <c r="D23" s="1124"/>
      <c r="E23" s="721"/>
      <c r="F23" s="722"/>
      <c r="G23" s="710"/>
      <c r="H23" s="711"/>
      <c r="I23" s="712"/>
      <c r="J23" s="711"/>
      <c r="K23" s="711"/>
      <c r="L23" s="1024"/>
    </row>
    <row r="24" spans="1:12" s="714" customFormat="1" ht="24" customHeight="1">
      <c r="A24" s="1125"/>
      <c r="B24" s="720"/>
      <c r="C24" s="1123"/>
      <c r="D24" s="1124"/>
      <c r="E24" s="721"/>
      <c r="F24" s="722"/>
      <c r="G24" s="710"/>
      <c r="H24" s="711"/>
      <c r="I24" s="712"/>
      <c r="J24" s="711"/>
      <c r="K24" s="711"/>
      <c r="L24" s="1024"/>
    </row>
    <row r="25" spans="1:12" s="714" customFormat="1" ht="24" customHeight="1">
      <c r="A25" s="1125"/>
      <c r="B25" s="720"/>
      <c r="C25" s="1123"/>
      <c r="D25" s="1124"/>
      <c r="E25" s="721"/>
      <c r="F25" s="722"/>
      <c r="G25" s="710"/>
      <c r="H25" s="711"/>
      <c r="I25" s="712"/>
      <c r="J25" s="711"/>
      <c r="K25" s="711"/>
      <c r="L25" s="1024"/>
    </row>
    <row r="26" spans="1:12" s="714" customFormat="1" ht="24" customHeight="1">
      <c r="A26" s="1125"/>
      <c r="B26" s="720"/>
      <c r="C26" s="1123"/>
      <c r="D26" s="1124"/>
      <c r="E26" s="721"/>
      <c r="F26" s="722"/>
      <c r="G26" s="710"/>
      <c r="H26" s="711"/>
      <c r="I26" s="712"/>
      <c r="J26" s="711"/>
      <c r="K26" s="711"/>
      <c r="L26" s="1024"/>
    </row>
    <row r="27" spans="1:12" s="714" customFormat="1" ht="24" customHeight="1">
      <c r="A27" s="1125"/>
      <c r="B27" s="720"/>
      <c r="C27" s="1123"/>
      <c r="D27" s="1124"/>
      <c r="E27" s="721"/>
      <c r="F27" s="722"/>
      <c r="G27" s="710"/>
      <c r="H27" s="711"/>
      <c r="I27" s="712"/>
      <c r="J27" s="711"/>
      <c r="K27" s="711"/>
      <c r="L27" s="1024"/>
    </row>
    <row r="28" spans="1:12" s="714" customFormat="1" ht="24" customHeight="1">
      <c r="A28" s="1125"/>
      <c r="B28" s="720"/>
      <c r="C28" s="1123"/>
      <c r="D28" s="1124"/>
      <c r="E28" s="721"/>
      <c r="F28" s="722"/>
      <c r="G28" s="710"/>
      <c r="H28" s="711"/>
      <c r="I28" s="712"/>
      <c r="J28" s="711"/>
      <c r="K28" s="711"/>
      <c r="L28" s="1024"/>
    </row>
    <row r="29" spans="1:12" s="714" customFormat="1" ht="24" customHeight="1">
      <c r="A29" s="1125"/>
      <c r="B29" s="720"/>
      <c r="C29" s="1123"/>
      <c r="D29" s="1124"/>
      <c r="E29" s="721"/>
      <c r="F29" s="722"/>
      <c r="G29" s="710"/>
      <c r="H29" s="711"/>
      <c r="I29" s="712"/>
      <c r="J29" s="711"/>
      <c r="K29" s="711"/>
      <c r="L29" s="1024"/>
    </row>
    <row r="30" spans="1:12" s="714" customFormat="1" ht="24" customHeight="1">
      <c r="A30" s="1125"/>
      <c r="B30" s="720"/>
      <c r="C30" s="1123"/>
      <c r="D30" s="1124"/>
      <c r="E30" s="721"/>
      <c r="F30" s="722"/>
      <c r="G30" s="710"/>
      <c r="H30" s="711"/>
      <c r="I30" s="712"/>
      <c r="J30" s="711"/>
      <c r="K30" s="711"/>
      <c r="L30" s="1024"/>
    </row>
    <row r="31" spans="1:12" s="714" customFormat="1" ht="24" customHeight="1">
      <c r="A31" s="1125"/>
      <c r="B31" s="720"/>
      <c r="C31" s="1123"/>
      <c r="D31" s="1124"/>
      <c r="E31" s="721"/>
      <c r="F31" s="722"/>
      <c r="G31" s="710"/>
      <c r="H31" s="711"/>
      <c r="I31" s="712"/>
      <c r="J31" s="711"/>
      <c r="K31" s="711"/>
      <c r="L31" s="1024"/>
    </row>
    <row r="32" spans="1:12" s="714" customFormat="1" ht="24" customHeight="1">
      <c r="A32" s="1125"/>
      <c r="B32" s="720"/>
      <c r="C32" s="1123"/>
      <c r="D32" s="1124"/>
      <c r="E32" s="721"/>
      <c r="F32" s="722"/>
      <c r="G32" s="710"/>
      <c r="H32" s="711"/>
      <c r="I32" s="712"/>
      <c r="J32" s="711"/>
      <c r="K32" s="711"/>
      <c r="L32" s="1024"/>
    </row>
    <row r="33" spans="1:21" s="714" customFormat="1" ht="24" customHeight="1">
      <c r="A33" s="1126"/>
      <c r="B33" s="1127"/>
      <c r="C33" s="1123"/>
      <c r="D33" s="1124"/>
      <c r="E33" s="1128"/>
      <c r="F33" s="722"/>
      <c r="G33" s="710"/>
      <c r="H33" s="711"/>
      <c r="I33" s="712"/>
      <c r="J33" s="711"/>
      <c r="K33" s="1129"/>
      <c r="L33" s="1024"/>
    </row>
    <row r="34" spans="1:21" s="714" customFormat="1" ht="25.15" customHeight="1">
      <c r="A34" s="777"/>
      <c r="B34" s="2475" t="str">
        <f>"รวมราคา"&amp;B11</f>
        <v>รวมราคาระบบโทรทัศน์วงจรปิด (Closed Circuit TV System) ชั้น 6</v>
      </c>
      <c r="C34" s="2476"/>
      <c r="D34" s="2477"/>
      <c r="E34" s="997"/>
      <c r="F34" s="777"/>
      <c r="G34" s="959"/>
      <c r="H34" s="960">
        <f>SUM(H12:H33)</f>
        <v>707760</v>
      </c>
      <c r="I34" s="959"/>
      <c r="J34" s="960">
        <f>SUM(J11:J33)</f>
        <v>48858</v>
      </c>
      <c r="K34" s="1130">
        <f>SUM(K11:K33)</f>
        <v>756618</v>
      </c>
      <c r="L34" s="777"/>
      <c r="M34" s="729"/>
      <c r="N34" s="729"/>
      <c r="O34" s="729"/>
      <c r="P34" s="729"/>
      <c r="Q34" s="729"/>
      <c r="R34" s="729"/>
      <c r="S34" s="729"/>
      <c r="T34" s="729"/>
      <c r="U34" s="729"/>
    </row>
    <row r="35" spans="1:21" s="714" customFormat="1" ht="24" customHeight="1">
      <c r="A35" s="986">
        <v>4.0999999999999996</v>
      </c>
      <c r="B35" s="816" t="s">
        <v>28</v>
      </c>
      <c r="C35" s="987"/>
      <c r="D35" s="707"/>
      <c r="E35" s="708"/>
      <c r="F35" s="709"/>
      <c r="G35" s="853"/>
      <c r="H35" s="854"/>
      <c r="I35" s="855"/>
      <c r="J35" s="854"/>
      <c r="K35" s="855"/>
      <c r="L35" s="988"/>
      <c r="M35" s="729"/>
      <c r="N35" s="729"/>
      <c r="O35" s="729"/>
      <c r="P35" s="729"/>
      <c r="Q35" s="729"/>
      <c r="R35" s="729"/>
      <c r="S35" s="729"/>
      <c r="T35" s="729"/>
      <c r="U35" s="729"/>
    </row>
    <row r="36" spans="1:21" s="714" customFormat="1" ht="24" customHeight="1">
      <c r="A36" s="989" t="s">
        <v>1610</v>
      </c>
      <c r="B36" s="720" t="s">
        <v>1611</v>
      </c>
      <c r="C36" s="706"/>
      <c r="D36" s="990"/>
      <c r="E36" s="721">
        <v>24</v>
      </c>
      <c r="F36" s="722" t="s">
        <v>240</v>
      </c>
      <c r="G36" s="795">
        <f>22110</f>
        <v>22110</v>
      </c>
      <c r="H36" s="796">
        <f>ROUND(E36*G36,)</f>
        <v>530640</v>
      </c>
      <c r="I36" s="797">
        <v>500</v>
      </c>
      <c r="J36" s="796">
        <f>ROUND(I36*E36,)</f>
        <v>12000</v>
      </c>
      <c r="K36" s="797">
        <f>H36+J36</f>
        <v>542640</v>
      </c>
      <c r="L36" s="830"/>
      <c r="M36" s="729"/>
      <c r="N36" s="729"/>
      <c r="O36" s="729"/>
      <c r="P36" s="729"/>
      <c r="Q36" s="729"/>
      <c r="R36" s="729"/>
      <c r="S36" s="729"/>
      <c r="T36" s="729"/>
      <c r="U36" s="729"/>
    </row>
    <row r="37" spans="1:21" s="714" customFormat="1" ht="24" customHeight="1">
      <c r="A37" s="992" t="s">
        <v>1607</v>
      </c>
      <c r="B37" s="720" t="s">
        <v>3031</v>
      </c>
      <c r="C37" s="706"/>
      <c r="D37" s="990"/>
      <c r="E37" s="721">
        <v>2</v>
      </c>
      <c r="F37" s="722" t="s">
        <v>240</v>
      </c>
      <c r="G37" s="806">
        <f>5230+1640+2260+30800+12320+4480</f>
        <v>56730</v>
      </c>
      <c r="H37" s="796">
        <f>ROUND(E37*G37,)</f>
        <v>113460</v>
      </c>
      <c r="I37" s="807">
        <f>CEILING(G37*0.025,100)</f>
        <v>1500</v>
      </c>
      <c r="J37" s="796">
        <f>ROUND(I37*E37,)</f>
        <v>3000</v>
      </c>
      <c r="K37" s="797">
        <f>H37+J37</f>
        <v>116460</v>
      </c>
      <c r="L37" s="830"/>
      <c r="M37" s="729"/>
      <c r="N37" s="729"/>
      <c r="O37" s="729"/>
      <c r="P37" s="729"/>
      <c r="Q37" s="729"/>
      <c r="R37" s="729"/>
      <c r="S37" s="729"/>
      <c r="T37" s="729"/>
      <c r="U37" s="729"/>
    </row>
    <row r="38" spans="1:21" s="714" customFormat="1" ht="24" customHeight="1">
      <c r="A38" s="992"/>
      <c r="B38" s="720" t="s">
        <v>1614</v>
      </c>
      <c r="C38" s="706"/>
      <c r="D38" s="990"/>
      <c r="E38" s="721"/>
      <c r="F38" s="722" t="s">
        <v>240</v>
      </c>
      <c r="G38" s="795" t="s">
        <v>974</v>
      </c>
      <c r="H38" s="796"/>
      <c r="I38" s="797"/>
      <c r="J38" s="796"/>
      <c r="K38" s="797"/>
      <c r="L38" s="830"/>
      <c r="M38" s="729"/>
      <c r="N38" s="729"/>
      <c r="O38" s="729"/>
      <c r="P38" s="729"/>
      <c r="Q38" s="729"/>
      <c r="R38" s="729"/>
      <c r="S38" s="729"/>
      <c r="T38" s="729"/>
      <c r="U38" s="729"/>
    </row>
    <row r="39" spans="1:21" s="714" customFormat="1" ht="24" customHeight="1">
      <c r="A39" s="992"/>
      <c r="B39" s="720" t="s">
        <v>1615</v>
      </c>
      <c r="C39" s="706"/>
      <c r="D39" s="990"/>
      <c r="E39" s="721"/>
      <c r="F39" s="722" t="s">
        <v>240</v>
      </c>
      <c r="G39" s="795" t="s">
        <v>974</v>
      </c>
      <c r="H39" s="796"/>
      <c r="I39" s="797"/>
      <c r="J39" s="796"/>
      <c r="K39" s="797"/>
      <c r="L39" s="830"/>
      <c r="M39" s="729"/>
      <c r="N39" s="729"/>
      <c r="O39" s="729"/>
      <c r="P39" s="729"/>
      <c r="Q39" s="729"/>
      <c r="R39" s="729"/>
      <c r="S39" s="729"/>
      <c r="T39" s="729"/>
      <c r="U39" s="729"/>
    </row>
    <row r="40" spans="1:21" s="714" customFormat="1" ht="24" customHeight="1">
      <c r="A40" s="993"/>
      <c r="B40" s="720" t="s">
        <v>1616</v>
      </c>
      <c r="C40" s="706"/>
      <c r="D40" s="990"/>
      <c r="E40" s="721"/>
      <c r="F40" s="722" t="s">
        <v>240</v>
      </c>
      <c r="G40" s="795" t="s">
        <v>974</v>
      </c>
      <c r="H40" s="796"/>
      <c r="I40" s="797"/>
      <c r="J40" s="796"/>
      <c r="K40" s="797"/>
      <c r="L40" s="830"/>
      <c r="M40" s="729"/>
      <c r="N40" s="729"/>
      <c r="O40" s="729"/>
      <c r="P40" s="729"/>
      <c r="Q40" s="729"/>
      <c r="R40" s="729"/>
      <c r="S40" s="729"/>
      <c r="T40" s="729"/>
      <c r="U40" s="729"/>
    </row>
    <row r="41" spans="1:21" s="714" customFormat="1" ht="24" customHeight="1">
      <c r="A41" s="993"/>
      <c r="B41" s="720" t="s">
        <v>1375</v>
      </c>
      <c r="C41" s="706"/>
      <c r="D41" s="990"/>
      <c r="E41" s="721"/>
      <c r="F41" s="722" t="s">
        <v>240</v>
      </c>
      <c r="G41" s="795" t="s">
        <v>974</v>
      </c>
      <c r="H41" s="796"/>
      <c r="I41" s="797"/>
      <c r="J41" s="796"/>
      <c r="K41" s="797"/>
      <c r="L41" s="830"/>
      <c r="M41" s="729"/>
      <c r="N41" s="729"/>
      <c r="O41" s="729"/>
      <c r="P41" s="729"/>
      <c r="Q41" s="729"/>
      <c r="R41" s="729"/>
      <c r="S41" s="729"/>
      <c r="T41" s="729"/>
      <c r="U41" s="729"/>
    </row>
    <row r="42" spans="1:21" s="714" customFormat="1" ht="24" customHeight="1">
      <c r="A42" s="1138"/>
      <c r="B42" s="720" t="s">
        <v>1617</v>
      </c>
      <c r="C42" s="987"/>
      <c r="D42" s="707"/>
      <c r="E42" s="708"/>
      <c r="F42" s="709" t="s">
        <v>240</v>
      </c>
      <c r="G42" s="795" t="s">
        <v>974</v>
      </c>
      <c r="H42" s="854"/>
      <c r="I42" s="855"/>
      <c r="J42" s="854"/>
      <c r="K42" s="855"/>
      <c r="L42" s="988"/>
      <c r="M42" s="729"/>
      <c r="N42" s="729"/>
      <c r="O42" s="729"/>
      <c r="P42" s="729"/>
      <c r="Q42" s="729"/>
      <c r="R42" s="729"/>
      <c r="S42" s="729"/>
      <c r="T42" s="729"/>
      <c r="U42" s="729"/>
    </row>
    <row r="43" spans="1:21" s="714" customFormat="1" ht="24" customHeight="1">
      <c r="A43" s="1132" t="s">
        <v>1608</v>
      </c>
      <c r="B43" s="720" t="s">
        <v>1378</v>
      </c>
      <c r="C43" s="706"/>
      <c r="D43" s="990"/>
      <c r="E43" s="721"/>
      <c r="F43" s="722"/>
      <c r="G43" s="795"/>
      <c r="H43" s="796"/>
      <c r="I43" s="797"/>
      <c r="J43" s="796"/>
      <c r="K43" s="797"/>
      <c r="L43" s="830"/>
      <c r="M43" s="729"/>
      <c r="N43" s="729"/>
      <c r="O43" s="729"/>
      <c r="P43" s="729"/>
      <c r="Q43" s="729"/>
      <c r="R43" s="729"/>
      <c r="S43" s="729"/>
      <c r="T43" s="729"/>
      <c r="U43" s="729"/>
    </row>
    <row r="44" spans="1:21" s="714" customFormat="1" ht="24" customHeight="1">
      <c r="A44" s="1134"/>
      <c r="B44" s="720" t="s">
        <v>1621</v>
      </c>
      <c r="C44" s="706"/>
      <c r="D44" s="990"/>
      <c r="E44" s="991">
        <v>1200</v>
      </c>
      <c r="F44" s="722" t="s">
        <v>438</v>
      </c>
      <c r="G44" s="795">
        <v>22</v>
      </c>
      <c r="H44" s="796">
        <f>ROUND(E44*G44,)</f>
        <v>26400</v>
      </c>
      <c r="I44" s="797">
        <v>5</v>
      </c>
      <c r="J44" s="796">
        <f>ROUND(I44*E44,)</f>
        <v>6000</v>
      </c>
      <c r="K44" s="797">
        <f>H44+J44</f>
        <v>32400</v>
      </c>
      <c r="L44" s="830"/>
      <c r="M44" s="729"/>
      <c r="N44" s="729"/>
      <c r="O44" s="729"/>
      <c r="P44" s="729"/>
      <c r="Q44" s="729"/>
      <c r="R44" s="729"/>
      <c r="S44" s="729"/>
      <c r="T44" s="729"/>
      <c r="U44" s="729"/>
    </row>
    <row r="45" spans="1:21" s="714" customFormat="1" ht="24" customHeight="1">
      <c r="A45" s="993" t="s">
        <v>1633</v>
      </c>
      <c r="B45" s="720" t="s">
        <v>1357</v>
      </c>
      <c r="C45" s="706"/>
      <c r="D45" s="990"/>
      <c r="E45" s="991"/>
      <c r="F45" s="722"/>
      <c r="G45" s="795"/>
      <c r="H45" s="796"/>
      <c r="I45" s="797"/>
      <c r="J45" s="796"/>
      <c r="K45" s="797"/>
      <c r="L45" s="830"/>
      <c r="M45" s="729"/>
      <c r="N45" s="729"/>
      <c r="O45" s="729"/>
      <c r="P45" s="729"/>
      <c r="Q45" s="729"/>
      <c r="R45" s="729"/>
      <c r="S45" s="729"/>
      <c r="T45" s="729"/>
      <c r="U45" s="729"/>
    </row>
    <row r="46" spans="1:21" s="714" customFormat="1" ht="24" customHeight="1">
      <c r="A46" s="1133"/>
      <c r="B46" s="720" t="s">
        <v>1201</v>
      </c>
      <c r="C46" s="706"/>
      <c r="D46" s="990"/>
      <c r="E46" s="942">
        <v>1200</v>
      </c>
      <c r="F46" s="794" t="s">
        <v>438</v>
      </c>
      <c r="G46" s="806">
        <v>27</v>
      </c>
      <c r="H46" s="796">
        <f>ROUND(E46*G46,)</f>
        <v>32400</v>
      </c>
      <c r="I46" s="807">
        <v>22</v>
      </c>
      <c r="J46" s="796">
        <f t="shared" ref="J46" si="0">ROUND(E46*I46,)</f>
        <v>26400</v>
      </c>
      <c r="K46" s="914">
        <f t="shared" ref="K46" si="1">H46+J46</f>
        <v>58800</v>
      </c>
      <c r="L46" s="1718" t="s">
        <v>2915</v>
      </c>
      <c r="M46" s="729"/>
      <c r="N46" s="714">
        <v>79.8</v>
      </c>
      <c r="O46" s="714">
        <f>ROUND(N46/3,)</f>
        <v>27</v>
      </c>
      <c r="P46" s="729"/>
      <c r="Q46" s="729"/>
      <c r="R46" s="729"/>
      <c r="S46" s="729"/>
      <c r="T46" s="729"/>
      <c r="U46" s="729"/>
    </row>
    <row r="47" spans="1:21" s="714" customFormat="1" ht="24" customHeight="1">
      <c r="A47" s="996"/>
      <c r="B47" s="720" t="s">
        <v>1237</v>
      </c>
      <c r="C47" s="706"/>
      <c r="D47" s="990"/>
      <c r="E47" s="721">
        <v>1</v>
      </c>
      <c r="F47" s="722" t="s">
        <v>948</v>
      </c>
      <c r="G47" s="795">
        <f>SUM(H46:H46)*15%</f>
        <v>4860</v>
      </c>
      <c r="H47" s="796">
        <f>ROUND(E47*G47,)</f>
        <v>4860</v>
      </c>
      <c r="I47" s="797">
        <f>G47*0.3</f>
        <v>1458</v>
      </c>
      <c r="J47" s="796">
        <f>ROUND(I47*E47,)</f>
        <v>1458</v>
      </c>
      <c r="K47" s="797">
        <f>H47+J47</f>
        <v>6318</v>
      </c>
      <c r="L47" s="830"/>
      <c r="M47" s="729"/>
      <c r="N47" s="729"/>
      <c r="O47" s="729"/>
      <c r="P47" s="729"/>
      <c r="Q47" s="729"/>
      <c r="R47" s="729"/>
      <c r="S47" s="729"/>
      <c r="T47" s="729"/>
      <c r="U47" s="729"/>
    </row>
    <row r="48" spans="1:21" s="714" customFormat="1" ht="24" customHeight="1">
      <c r="A48" s="1134"/>
      <c r="B48" s="720" t="s">
        <v>957</v>
      </c>
      <c r="C48" s="706"/>
      <c r="D48" s="990"/>
      <c r="E48" s="721"/>
      <c r="F48" s="722"/>
      <c r="G48" s="795"/>
      <c r="H48" s="796"/>
      <c r="I48" s="1039"/>
      <c r="J48" s="796"/>
      <c r="K48" s="797"/>
      <c r="L48" s="830"/>
      <c r="M48" s="729"/>
      <c r="N48" s="729"/>
      <c r="O48" s="729"/>
      <c r="P48" s="729"/>
      <c r="Q48" s="729"/>
      <c r="R48" s="729"/>
      <c r="S48" s="729"/>
      <c r="T48" s="729"/>
      <c r="U48" s="729"/>
    </row>
    <row r="49" spans="1:21" s="714" customFormat="1" ht="24" customHeight="1">
      <c r="A49" s="993"/>
      <c r="B49" s="720" t="s">
        <v>1102</v>
      </c>
      <c r="C49" s="706"/>
      <c r="D49" s="990"/>
      <c r="E49" s="721"/>
      <c r="F49" s="722"/>
      <c r="G49" s="795"/>
      <c r="H49" s="796"/>
      <c r="I49" s="797"/>
      <c r="J49" s="796"/>
      <c r="K49" s="797"/>
      <c r="L49" s="830"/>
      <c r="M49" s="729"/>
      <c r="N49" s="729"/>
      <c r="O49" s="729"/>
      <c r="P49" s="729"/>
      <c r="Q49" s="729"/>
      <c r="R49" s="729"/>
      <c r="S49" s="729"/>
      <c r="T49" s="729"/>
      <c r="U49" s="729"/>
    </row>
    <row r="50" spans="1:21" s="714" customFormat="1" ht="24" customHeight="1">
      <c r="A50" s="1133"/>
      <c r="B50" s="720" t="s">
        <v>1102</v>
      </c>
      <c r="C50" s="706"/>
      <c r="D50" s="990"/>
      <c r="E50" s="917"/>
      <c r="F50" s="794"/>
      <c r="G50" s="806"/>
      <c r="H50" s="796"/>
      <c r="I50" s="807"/>
      <c r="J50" s="796"/>
      <c r="K50" s="914"/>
      <c r="L50" s="830"/>
      <c r="M50" s="729"/>
      <c r="N50" s="729"/>
      <c r="O50" s="729"/>
      <c r="P50" s="729"/>
      <c r="Q50" s="729"/>
      <c r="R50" s="729"/>
      <c r="S50" s="729"/>
      <c r="T50" s="729"/>
      <c r="U50" s="729"/>
    </row>
    <row r="51" spans="1:21" s="714" customFormat="1" ht="24" customHeight="1">
      <c r="A51" s="1133"/>
      <c r="B51" s="720"/>
      <c r="C51" s="706"/>
      <c r="D51" s="990"/>
      <c r="E51" s="1141"/>
      <c r="F51" s="794"/>
      <c r="G51" s="806"/>
      <c r="H51" s="796"/>
      <c r="I51" s="806"/>
      <c r="J51" s="796"/>
      <c r="K51" s="797"/>
      <c r="L51" s="830"/>
      <c r="M51" s="729"/>
      <c r="N51" s="729"/>
      <c r="O51" s="729"/>
      <c r="P51" s="729"/>
      <c r="Q51" s="729"/>
      <c r="R51" s="729"/>
      <c r="S51" s="729"/>
      <c r="T51" s="729"/>
      <c r="U51" s="729"/>
    </row>
    <row r="52" spans="1:21" s="714" customFormat="1" ht="24" customHeight="1">
      <c r="A52" s="1133"/>
      <c r="B52" s="720"/>
      <c r="C52" s="706"/>
      <c r="D52" s="990"/>
      <c r="E52" s="1141"/>
      <c r="F52" s="794"/>
      <c r="G52" s="806"/>
      <c r="H52" s="796"/>
      <c r="I52" s="806"/>
      <c r="J52" s="796"/>
      <c r="K52" s="797"/>
      <c r="L52" s="830"/>
      <c r="M52" s="729"/>
      <c r="N52" s="729"/>
      <c r="O52" s="729"/>
      <c r="P52" s="729"/>
      <c r="Q52" s="729"/>
      <c r="R52" s="729"/>
      <c r="S52" s="729"/>
      <c r="T52" s="729"/>
      <c r="U52" s="729"/>
    </row>
    <row r="53" spans="1:21" s="714" customFormat="1" ht="24" customHeight="1">
      <c r="A53" s="1133"/>
      <c r="B53" s="720"/>
      <c r="C53" s="706"/>
      <c r="D53" s="990"/>
      <c r="E53" s="1141"/>
      <c r="F53" s="794"/>
      <c r="G53" s="806"/>
      <c r="H53" s="796"/>
      <c r="I53" s="806"/>
      <c r="J53" s="796"/>
      <c r="K53" s="797"/>
      <c r="L53" s="830"/>
      <c r="M53" s="729"/>
      <c r="N53" s="729"/>
      <c r="O53" s="729"/>
      <c r="P53" s="729"/>
      <c r="Q53" s="729"/>
      <c r="R53" s="729"/>
      <c r="S53" s="729"/>
      <c r="T53" s="729"/>
      <c r="U53" s="729"/>
    </row>
    <row r="54" spans="1:21" s="714" customFormat="1" ht="24" customHeight="1">
      <c r="A54" s="1133"/>
      <c r="B54" s="720"/>
      <c r="C54" s="706"/>
      <c r="D54" s="990"/>
      <c r="E54" s="1141"/>
      <c r="F54" s="794"/>
      <c r="G54" s="806"/>
      <c r="H54" s="796"/>
      <c r="I54" s="806"/>
      <c r="J54" s="796"/>
      <c r="K54" s="797"/>
      <c r="L54" s="830"/>
      <c r="M54" s="729"/>
      <c r="N54" s="729"/>
      <c r="O54" s="729"/>
      <c r="P54" s="729"/>
      <c r="Q54" s="729"/>
      <c r="R54" s="729"/>
      <c r="S54" s="729"/>
      <c r="T54" s="729"/>
      <c r="U54" s="729"/>
    </row>
    <row r="55" spans="1:21" s="714" customFormat="1" ht="24" customHeight="1">
      <c r="A55" s="1133"/>
      <c r="B55" s="720"/>
      <c r="C55" s="706"/>
      <c r="D55" s="990"/>
      <c r="E55" s="1141"/>
      <c r="F55" s="794"/>
      <c r="G55" s="806"/>
      <c r="H55" s="796"/>
      <c r="I55" s="806"/>
      <c r="J55" s="796"/>
      <c r="K55" s="797"/>
      <c r="L55" s="830"/>
      <c r="M55" s="729"/>
      <c r="N55" s="729"/>
      <c r="O55" s="729"/>
      <c r="P55" s="729"/>
      <c r="Q55" s="729"/>
      <c r="R55" s="729"/>
      <c r="S55" s="729"/>
      <c r="T55" s="729"/>
      <c r="U55" s="729"/>
    </row>
    <row r="56" spans="1:21" s="714" customFormat="1" ht="24" customHeight="1">
      <c r="A56" s="996"/>
      <c r="B56" s="720"/>
      <c r="C56" s="706"/>
      <c r="D56" s="990"/>
      <c r="E56" s="721"/>
      <c r="F56" s="722"/>
      <c r="G56" s="795"/>
      <c r="H56" s="796"/>
      <c r="I56" s="797"/>
      <c r="J56" s="796"/>
      <c r="K56" s="797"/>
      <c r="L56" s="830"/>
      <c r="M56" s="729"/>
      <c r="N56" s="729"/>
      <c r="O56" s="729"/>
      <c r="P56" s="729"/>
      <c r="Q56" s="729"/>
      <c r="R56" s="729"/>
      <c r="S56" s="729"/>
      <c r="T56" s="729"/>
      <c r="U56" s="729"/>
    </row>
    <row r="57" spans="1:21" s="714" customFormat="1" ht="24" customHeight="1">
      <c r="A57" s="777"/>
      <c r="B57" s="2475" t="str">
        <f>"รวมราคารายการที่ "&amp;A35</f>
        <v>รวมราคารายการที่ 4.1</v>
      </c>
      <c r="C57" s="2476"/>
      <c r="D57" s="2477"/>
      <c r="E57" s="997"/>
      <c r="F57" s="777"/>
      <c r="G57" s="959"/>
      <c r="H57" s="960">
        <f>SUM(H36:H56)</f>
        <v>707760</v>
      </c>
      <c r="I57" s="959"/>
      <c r="J57" s="960">
        <f t="shared" ref="J57:K57" si="2">SUM(J36:J56)</f>
        <v>48858</v>
      </c>
      <c r="K57" s="960">
        <f t="shared" si="2"/>
        <v>756618</v>
      </c>
      <c r="L57" s="777"/>
      <c r="M57" s="729"/>
      <c r="N57" s="729"/>
      <c r="O57" s="729"/>
      <c r="P57" s="729"/>
      <c r="Q57" s="729"/>
      <c r="R57" s="729"/>
      <c r="S57" s="729"/>
      <c r="T57" s="729"/>
      <c r="U57" s="729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6-อาคารสนับนุน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319C4-3617-4DF3-A78D-0E09D63B9276}">
  <sheetPr>
    <tabColor rgb="FF92D050"/>
  </sheetPr>
  <dimension ref="A1:U57"/>
  <sheetViews>
    <sheetView tabSelected="1" view="pageBreakPreview" topLeftCell="A37" zoomScale="85" zoomScaleNormal="100" zoomScaleSheetLayoutView="8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9" style="1" customWidth="1"/>
    <col min="13" max="99" width="7.703125" style="1" customWidth="1"/>
    <col min="100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1603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84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85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80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81"/>
    </row>
    <row r="11" spans="1:12" ht="24" customHeight="1">
      <c r="A11" s="1115" t="s">
        <v>27</v>
      </c>
      <c r="B11" s="1116" t="s">
        <v>1632</v>
      </c>
      <c r="C11" s="1117"/>
      <c r="D11" s="1118"/>
      <c r="E11" s="694"/>
      <c r="F11" s="695"/>
      <c r="G11" s="696"/>
      <c r="H11" s="697"/>
      <c r="I11" s="698"/>
      <c r="J11" s="697"/>
      <c r="K11" s="699"/>
      <c r="L11" s="953"/>
    </row>
    <row r="12" spans="1:12" ht="24" customHeight="1">
      <c r="A12" s="1119"/>
      <c r="B12" s="1120"/>
      <c r="C12" s="1121"/>
      <c r="D12" s="1122"/>
      <c r="E12" s="694"/>
      <c r="F12" s="695"/>
      <c r="G12" s="696"/>
      <c r="H12" s="697"/>
      <c r="I12" s="698"/>
      <c r="J12" s="697"/>
      <c r="K12" s="699"/>
      <c r="L12" s="953"/>
    </row>
    <row r="13" spans="1:12" s="714" customFormat="1" ht="24" customHeight="1">
      <c r="A13" s="704">
        <f>A35</f>
        <v>4.0999999999999996</v>
      </c>
      <c r="B13" s="705" t="str">
        <f>B35</f>
        <v>ระบบโทรทัศน์วงจรปิด (Closed Circuit TV System)</v>
      </c>
      <c r="C13" s="706"/>
      <c r="D13" s="707"/>
      <c r="E13" s="708">
        <v>1</v>
      </c>
      <c r="F13" s="709" t="s">
        <v>19</v>
      </c>
      <c r="G13" s="710"/>
      <c r="H13" s="711">
        <f>H57</f>
        <v>682998</v>
      </c>
      <c r="I13" s="712"/>
      <c r="J13" s="711">
        <f>J57</f>
        <v>46947</v>
      </c>
      <c r="K13" s="711">
        <f>SUM(H13:J13)</f>
        <v>729945</v>
      </c>
      <c r="L13" s="1024"/>
    </row>
    <row r="14" spans="1:12" s="714" customFormat="1" ht="24" customHeight="1">
      <c r="A14" s="704"/>
      <c r="B14" s="720"/>
      <c r="C14" s="716"/>
      <c r="D14" s="990"/>
      <c r="E14" s="721"/>
      <c r="F14" s="722"/>
      <c r="G14" s="710"/>
      <c r="H14" s="711"/>
      <c r="I14" s="712"/>
      <c r="J14" s="711"/>
      <c r="K14" s="711"/>
      <c r="L14" s="1024"/>
    </row>
    <row r="15" spans="1:12" s="714" customFormat="1" ht="24" customHeight="1">
      <c r="A15" s="719"/>
      <c r="B15" s="720"/>
      <c r="C15" s="717"/>
      <c r="D15" s="718"/>
      <c r="E15" s="721"/>
      <c r="F15" s="722"/>
      <c r="G15" s="710"/>
      <c r="H15" s="711"/>
      <c r="I15" s="712"/>
      <c r="J15" s="711"/>
      <c r="K15" s="711"/>
      <c r="L15" s="1024"/>
    </row>
    <row r="16" spans="1:12" s="714" customFormat="1" ht="24" customHeight="1">
      <c r="A16" s="719"/>
      <c r="B16" s="720"/>
      <c r="C16" s="717"/>
      <c r="D16" s="718"/>
      <c r="E16" s="721"/>
      <c r="F16" s="722"/>
      <c r="G16" s="710"/>
      <c r="H16" s="711"/>
      <c r="I16" s="712"/>
      <c r="J16" s="711"/>
      <c r="K16" s="711"/>
      <c r="L16" s="1024"/>
    </row>
    <row r="17" spans="1:12" s="714" customFormat="1" ht="24" customHeight="1">
      <c r="A17" s="719"/>
      <c r="B17" s="720"/>
      <c r="C17" s="717"/>
      <c r="D17" s="718"/>
      <c r="E17" s="721"/>
      <c r="F17" s="722"/>
      <c r="G17" s="710"/>
      <c r="H17" s="711"/>
      <c r="I17" s="712"/>
      <c r="J17" s="711"/>
      <c r="K17" s="711"/>
      <c r="L17" s="1024"/>
    </row>
    <row r="18" spans="1:12" s="714" customFormat="1" ht="24" customHeight="1">
      <c r="A18" s="719"/>
      <c r="B18" s="720"/>
      <c r="C18" s="717"/>
      <c r="D18" s="718"/>
      <c r="E18" s="721"/>
      <c r="F18" s="722"/>
      <c r="G18" s="710"/>
      <c r="H18" s="711"/>
      <c r="I18" s="712"/>
      <c r="J18" s="711"/>
      <c r="K18" s="711"/>
      <c r="L18" s="1024"/>
    </row>
    <row r="19" spans="1:12" s="714" customFormat="1" ht="24" customHeight="1">
      <c r="A19" s="719"/>
      <c r="B19" s="720"/>
      <c r="C19" s="717"/>
      <c r="D19" s="718"/>
      <c r="E19" s="721"/>
      <c r="F19" s="722"/>
      <c r="G19" s="710"/>
      <c r="H19" s="711"/>
      <c r="I19" s="712"/>
      <c r="J19" s="711"/>
      <c r="K19" s="711"/>
      <c r="L19" s="1024"/>
    </row>
    <row r="20" spans="1:12" s="714" customFormat="1" ht="24" customHeight="1">
      <c r="A20" s="719"/>
      <c r="B20" s="720"/>
      <c r="C20" s="717"/>
      <c r="D20" s="718"/>
      <c r="E20" s="721"/>
      <c r="F20" s="722"/>
      <c r="G20" s="710"/>
      <c r="H20" s="711"/>
      <c r="I20" s="712"/>
      <c r="J20" s="711"/>
      <c r="K20" s="711"/>
      <c r="L20" s="1024"/>
    </row>
    <row r="21" spans="1:12" s="714" customFormat="1" ht="24" customHeight="1">
      <c r="A21" s="719"/>
      <c r="B21" s="720"/>
      <c r="C21" s="717"/>
      <c r="D21" s="718"/>
      <c r="E21" s="721"/>
      <c r="F21" s="722"/>
      <c r="G21" s="710"/>
      <c r="H21" s="711"/>
      <c r="I21" s="712"/>
      <c r="J21" s="711"/>
      <c r="K21" s="711"/>
      <c r="L21" s="1024"/>
    </row>
    <row r="22" spans="1:12" s="714" customFormat="1" ht="24" customHeight="1">
      <c r="A22" s="719"/>
      <c r="B22" s="720"/>
      <c r="C22" s="717"/>
      <c r="D22" s="718"/>
      <c r="E22" s="721"/>
      <c r="F22" s="722"/>
      <c r="G22" s="710"/>
      <c r="H22" s="711"/>
      <c r="I22" s="712"/>
      <c r="J22" s="711"/>
      <c r="K22" s="711"/>
      <c r="L22" s="1024"/>
    </row>
    <row r="23" spans="1:12" s="714" customFormat="1" ht="24" customHeight="1">
      <c r="A23" s="1125"/>
      <c r="B23" s="720"/>
      <c r="C23" s="1123"/>
      <c r="D23" s="1124"/>
      <c r="E23" s="721"/>
      <c r="F23" s="722"/>
      <c r="G23" s="710"/>
      <c r="H23" s="711"/>
      <c r="I23" s="712"/>
      <c r="J23" s="711"/>
      <c r="K23" s="711"/>
      <c r="L23" s="1024"/>
    </row>
    <row r="24" spans="1:12" s="714" customFormat="1" ht="24" customHeight="1">
      <c r="A24" s="1125"/>
      <c r="B24" s="720"/>
      <c r="C24" s="1123"/>
      <c r="D24" s="1124"/>
      <c r="E24" s="721"/>
      <c r="F24" s="722"/>
      <c r="G24" s="710"/>
      <c r="H24" s="711"/>
      <c r="I24" s="712"/>
      <c r="J24" s="711"/>
      <c r="K24" s="711"/>
      <c r="L24" s="1024"/>
    </row>
    <row r="25" spans="1:12" s="714" customFormat="1" ht="24" customHeight="1">
      <c r="A25" s="1125"/>
      <c r="B25" s="720"/>
      <c r="C25" s="1123"/>
      <c r="D25" s="1124"/>
      <c r="E25" s="721"/>
      <c r="F25" s="722"/>
      <c r="G25" s="710"/>
      <c r="H25" s="711"/>
      <c r="I25" s="712"/>
      <c r="J25" s="711"/>
      <c r="K25" s="711"/>
      <c r="L25" s="1024"/>
    </row>
    <row r="26" spans="1:12" s="714" customFormat="1" ht="24" customHeight="1">
      <c r="A26" s="1125"/>
      <c r="B26" s="720"/>
      <c r="C26" s="1123"/>
      <c r="D26" s="1124"/>
      <c r="E26" s="721"/>
      <c r="F26" s="722"/>
      <c r="G26" s="710"/>
      <c r="H26" s="711"/>
      <c r="I26" s="712"/>
      <c r="J26" s="711"/>
      <c r="K26" s="711"/>
      <c r="L26" s="1024"/>
    </row>
    <row r="27" spans="1:12" s="714" customFormat="1" ht="24" customHeight="1">
      <c r="A27" s="1125"/>
      <c r="B27" s="720"/>
      <c r="C27" s="1123"/>
      <c r="D27" s="1124"/>
      <c r="E27" s="721"/>
      <c r="F27" s="722"/>
      <c r="G27" s="710"/>
      <c r="H27" s="711"/>
      <c r="I27" s="712"/>
      <c r="J27" s="711"/>
      <c r="K27" s="711"/>
      <c r="L27" s="1024"/>
    </row>
    <row r="28" spans="1:12" s="714" customFormat="1" ht="24" customHeight="1">
      <c r="A28" s="1125"/>
      <c r="B28" s="720"/>
      <c r="C28" s="1123"/>
      <c r="D28" s="1124"/>
      <c r="E28" s="721"/>
      <c r="F28" s="722"/>
      <c r="G28" s="710"/>
      <c r="H28" s="711"/>
      <c r="I28" s="712"/>
      <c r="J28" s="711"/>
      <c r="K28" s="711"/>
      <c r="L28" s="1024"/>
    </row>
    <row r="29" spans="1:12" s="714" customFormat="1" ht="24" customHeight="1">
      <c r="A29" s="1125"/>
      <c r="B29" s="720"/>
      <c r="C29" s="1123"/>
      <c r="D29" s="1124"/>
      <c r="E29" s="721"/>
      <c r="F29" s="722"/>
      <c r="G29" s="710"/>
      <c r="H29" s="711"/>
      <c r="I29" s="712"/>
      <c r="J29" s="711"/>
      <c r="K29" s="711"/>
      <c r="L29" s="1024"/>
    </row>
    <row r="30" spans="1:12" s="714" customFormat="1" ht="24" customHeight="1">
      <c r="A30" s="1125"/>
      <c r="B30" s="720"/>
      <c r="C30" s="1123"/>
      <c r="D30" s="1124"/>
      <c r="E30" s="721"/>
      <c r="F30" s="722"/>
      <c r="G30" s="710"/>
      <c r="H30" s="711"/>
      <c r="I30" s="712"/>
      <c r="J30" s="711"/>
      <c r="K30" s="711"/>
      <c r="L30" s="1024"/>
    </row>
    <row r="31" spans="1:12" s="714" customFormat="1" ht="24" customHeight="1">
      <c r="A31" s="1125"/>
      <c r="B31" s="720"/>
      <c r="C31" s="1123"/>
      <c r="D31" s="1124"/>
      <c r="E31" s="721"/>
      <c r="F31" s="722"/>
      <c r="G31" s="710"/>
      <c r="H31" s="711"/>
      <c r="I31" s="712"/>
      <c r="J31" s="711"/>
      <c r="K31" s="711"/>
      <c r="L31" s="1024"/>
    </row>
    <row r="32" spans="1:12" s="714" customFormat="1" ht="24" customHeight="1">
      <c r="A32" s="1125"/>
      <c r="B32" s="720"/>
      <c r="C32" s="1123"/>
      <c r="D32" s="1124"/>
      <c r="E32" s="721"/>
      <c r="F32" s="722"/>
      <c r="G32" s="710"/>
      <c r="H32" s="711"/>
      <c r="I32" s="712"/>
      <c r="J32" s="711"/>
      <c r="K32" s="711"/>
      <c r="L32" s="1024"/>
    </row>
    <row r="33" spans="1:21" s="714" customFormat="1" ht="24" customHeight="1">
      <c r="A33" s="1126"/>
      <c r="B33" s="1127"/>
      <c r="C33" s="1123"/>
      <c r="D33" s="1124"/>
      <c r="E33" s="1128"/>
      <c r="F33" s="722"/>
      <c r="G33" s="710"/>
      <c r="H33" s="711"/>
      <c r="I33" s="712"/>
      <c r="J33" s="711"/>
      <c r="K33" s="1129"/>
      <c r="L33" s="1024"/>
    </row>
    <row r="34" spans="1:21" s="714" customFormat="1" ht="25.15" customHeight="1">
      <c r="A34" s="777"/>
      <c r="B34" s="2475" t="str">
        <f>"รวมราคา"&amp;B11</f>
        <v>รวมราคาระบบโทรทัศน์วงจรปิด (Closed Circuit TV System) ชั้น 7</v>
      </c>
      <c r="C34" s="2476"/>
      <c r="D34" s="2477"/>
      <c r="E34" s="997"/>
      <c r="F34" s="777"/>
      <c r="G34" s="959"/>
      <c r="H34" s="960">
        <f>SUM(H12:H33)</f>
        <v>682998</v>
      </c>
      <c r="I34" s="959"/>
      <c r="J34" s="960">
        <f>SUM(J11:J33)</f>
        <v>46947</v>
      </c>
      <c r="K34" s="1130">
        <f>SUM(K11:K33)</f>
        <v>729945</v>
      </c>
      <c r="L34" s="777"/>
      <c r="M34" s="729"/>
      <c r="N34" s="729"/>
      <c r="O34" s="729"/>
      <c r="P34" s="729"/>
      <c r="Q34" s="729"/>
      <c r="R34" s="729"/>
      <c r="S34" s="729"/>
      <c r="T34" s="729"/>
      <c r="U34" s="729"/>
    </row>
    <row r="35" spans="1:21" s="714" customFormat="1" ht="24" customHeight="1">
      <c r="A35" s="986">
        <v>4.0999999999999996</v>
      </c>
      <c r="B35" s="816" t="s">
        <v>28</v>
      </c>
      <c r="C35" s="987"/>
      <c r="D35" s="707"/>
      <c r="E35" s="708"/>
      <c r="F35" s="709"/>
      <c r="G35" s="853"/>
      <c r="H35" s="854"/>
      <c r="I35" s="855"/>
      <c r="J35" s="854"/>
      <c r="K35" s="855"/>
      <c r="L35" s="988"/>
      <c r="M35" s="729"/>
      <c r="N35" s="729"/>
      <c r="O35" s="729"/>
      <c r="P35" s="729"/>
      <c r="Q35" s="729"/>
      <c r="R35" s="729"/>
      <c r="S35" s="729"/>
      <c r="T35" s="729"/>
      <c r="U35" s="729"/>
    </row>
    <row r="36" spans="1:21" s="714" customFormat="1" ht="24" customHeight="1">
      <c r="A36" s="989" t="s">
        <v>1610</v>
      </c>
      <c r="B36" s="720" t="s">
        <v>1611</v>
      </c>
      <c r="C36" s="706"/>
      <c r="D36" s="990"/>
      <c r="E36" s="721">
        <v>23</v>
      </c>
      <c r="F36" s="722" t="s">
        <v>240</v>
      </c>
      <c r="G36" s="795">
        <f>22110</f>
        <v>22110</v>
      </c>
      <c r="H36" s="796">
        <f>ROUND(E36*G36,)</f>
        <v>508530</v>
      </c>
      <c r="I36" s="797">
        <v>500</v>
      </c>
      <c r="J36" s="796">
        <f>ROUND(I36*E36,)</f>
        <v>11500</v>
      </c>
      <c r="K36" s="797">
        <f>H36+J36</f>
        <v>520030</v>
      </c>
      <c r="L36" s="830"/>
      <c r="M36" s="729"/>
      <c r="N36" s="729"/>
      <c r="O36" s="729"/>
      <c r="P36" s="729"/>
      <c r="Q36" s="729"/>
      <c r="R36" s="729"/>
      <c r="S36" s="729"/>
      <c r="T36" s="729"/>
      <c r="U36" s="729"/>
    </row>
    <row r="37" spans="1:21" s="714" customFormat="1" ht="24" customHeight="1">
      <c r="A37" s="992" t="s">
        <v>1607</v>
      </c>
      <c r="B37" s="720" t="s">
        <v>3032</v>
      </c>
      <c r="C37" s="706"/>
      <c r="D37" s="990"/>
      <c r="E37" s="721">
        <v>2</v>
      </c>
      <c r="F37" s="722" t="s">
        <v>240</v>
      </c>
      <c r="G37" s="806">
        <f>5230+1640+2260+30800+12320+4480</f>
        <v>56730</v>
      </c>
      <c r="H37" s="796">
        <f>ROUND(E37*G37,)</f>
        <v>113460</v>
      </c>
      <c r="I37" s="807">
        <f>CEILING(G37*0.025,100)</f>
        <v>1500</v>
      </c>
      <c r="J37" s="796">
        <f>ROUND(I37*E37,)</f>
        <v>3000</v>
      </c>
      <c r="K37" s="797">
        <f>H37+J37</f>
        <v>116460</v>
      </c>
      <c r="L37" s="988"/>
      <c r="M37" s="729"/>
      <c r="N37" s="729"/>
      <c r="O37" s="729"/>
      <c r="P37" s="729"/>
      <c r="Q37" s="729"/>
      <c r="R37" s="729"/>
      <c r="S37" s="729"/>
      <c r="T37" s="729"/>
      <c r="U37" s="729"/>
    </row>
    <row r="38" spans="1:21" s="714" customFormat="1" ht="24" customHeight="1">
      <c r="A38" s="992"/>
      <c r="B38" s="720" t="s">
        <v>1614</v>
      </c>
      <c r="C38" s="706"/>
      <c r="D38" s="990"/>
      <c r="E38" s="721"/>
      <c r="F38" s="722" t="s">
        <v>240</v>
      </c>
      <c r="G38" s="795" t="s">
        <v>974</v>
      </c>
      <c r="H38" s="796"/>
      <c r="I38" s="797"/>
      <c r="J38" s="796"/>
      <c r="K38" s="797"/>
      <c r="L38" s="988"/>
      <c r="M38" s="729"/>
      <c r="N38" s="729"/>
      <c r="O38" s="729"/>
      <c r="P38" s="729"/>
      <c r="Q38" s="729"/>
      <c r="R38" s="729"/>
      <c r="S38" s="729"/>
      <c r="T38" s="729"/>
      <c r="U38" s="729"/>
    </row>
    <row r="39" spans="1:21" s="714" customFormat="1" ht="24" customHeight="1">
      <c r="A39" s="992"/>
      <c r="B39" s="720" t="s">
        <v>1615</v>
      </c>
      <c r="C39" s="706"/>
      <c r="D39" s="990"/>
      <c r="E39" s="721"/>
      <c r="F39" s="722" t="s">
        <v>240</v>
      </c>
      <c r="G39" s="795" t="s">
        <v>974</v>
      </c>
      <c r="H39" s="796"/>
      <c r="I39" s="797"/>
      <c r="J39" s="796"/>
      <c r="K39" s="797"/>
      <c r="L39" s="988"/>
      <c r="M39" s="729"/>
      <c r="N39" s="729"/>
      <c r="O39" s="729"/>
      <c r="P39" s="729"/>
      <c r="Q39" s="729"/>
      <c r="R39" s="729"/>
      <c r="S39" s="729"/>
      <c r="T39" s="729"/>
      <c r="U39" s="729"/>
    </row>
    <row r="40" spans="1:21" s="714" customFormat="1" ht="24" customHeight="1">
      <c r="A40" s="993"/>
      <c r="B40" s="720" t="s">
        <v>1616</v>
      </c>
      <c r="C40" s="706"/>
      <c r="D40" s="990"/>
      <c r="E40" s="721"/>
      <c r="F40" s="722" t="s">
        <v>240</v>
      </c>
      <c r="G40" s="795" t="s">
        <v>974</v>
      </c>
      <c r="H40" s="796"/>
      <c r="I40" s="797"/>
      <c r="J40" s="796"/>
      <c r="K40" s="797"/>
      <c r="L40" s="988"/>
      <c r="M40" s="729"/>
      <c r="N40" s="729"/>
      <c r="O40" s="729"/>
      <c r="P40" s="729"/>
      <c r="Q40" s="729"/>
      <c r="R40" s="729"/>
      <c r="S40" s="729"/>
      <c r="T40" s="729"/>
      <c r="U40" s="729"/>
    </row>
    <row r="41" spans="1:21" s="714" customFormat="1" ht="24" customHeight="1">
      <c r="A41" s="993"/>
      <c r="B41" s="720" t="s">
        <v>1375</v>
      </c>
      <c r="C41" s="706"/>
      <c r="D41" s="990"/>
      <c r="E41" s="721"/>
      <c r="F41" s="722" t="s">
        <v>240</v>
      </c>
      <c r="G41" s="795" t="s">
        <v>974</v>
      </c>
      <c r="H41" s="796"/>
      <c r="I41" s="797"/>
      <c r="J41" s="796"/>
      <c r="K41" s="797"/>
      <c r="L41" s="988"/>
      <c r="M41" s="729"/>
      <c r="N41" s="729"/>
      <c r="O41" s="729"/>
      <c r="P41" s="729"/>
      <c r="Q41" s="729"/>
      <c r="R41" s="729"/>
      <c r="S41" s="729"/>
      <c r="T41" s="729"/>
      <c r="U41" s="729"/>
    </row>
    <row r="42" spans="1:21" s="714" customFormat="1" ht="24" customHeight="1">
      <c r="A42" s="1138"/>
      <c r="B42" s="720" t="s">
        <v>1617</v>
      </c>
      <c r="C42" s="987"/>
      <c r="D42" s="707"/>
      <c r="E42" s="708"/>
      <c r="F42" s="709" t="s">
        <v>240</v>
      </c>
      <c r="G42" s="795" t="s">
        <v>974</v>
      </c>
      <c r="H42" s="854"/>
      <c r="I42" s="855"/>
      <c r="J42" s="854"/>
      <c r="K42" s="855"/>
      <c r="L42" s="988"/>
      <c r="M42" s="729"/>
      <c r="N42" s="729"/>
      <c r="O42" s="729"/>
      <c r="P42" s="729"/>
      <c r="Q42" s="729"/>
      <c r="R42" s="729"/>
      <c r="S42" s="729"/>
      <c r="T42" s="729"/>
      <c r="U42" s="729"/>
    </row>
    <row r="43" spans="1:21" s="714" customFormat="1" ht="24" customHeight="1">
      <c r="A43" s="1132" t="s">
        <v>1608</v>
      </c>
      <c r="B43" s="720" t="s">
        <v>1378</v>
      </c>
      <c r="C43" s="706"/>
      <c r="D43" s="990"/>
      <c r="E43" s="721"/>
      <c r="F43" s="722"/>
      <c r="G43" s="795"/>
      <c r="H43" s="796"/>
      <c r="I43" s="797"/>
      <c r="J43" s="796"/>
      <c r="K43" s="797"/>
      <c r="L43" s="830"/>
      <c r="M43" s="729"/>
      <c r="N43" s="729"/>
      <c r="O43" s="729"/>
      <c r="P43" s="729"/>
      <c r="Q43" s="729"/>
      <c r="R43" s="729"/>
      <c r="S43" s="729"/>
      <c r="T43" s="729"/>
      <c r="U43" s="729"/>
    </row>
    <row r="44" spans="1:21" s="714" customFormat="1" ht="24" customHeight="1">
      <c r="A44" s="1134"/>
      <c r="B44" s="720" t="s">
        <v>1621</v>
      </c>
      <c r="C44" s="706"/>
      <c r="D44" s="990"/>
      <c r="E44" s="991">
        <v>1150</v>
      </c>
      <c r="F44" s="722" t="s">
        <v>438</v>
      </c>
      <c r="G44" s="795">
        <v>22</v>
      </c>
      <c r="H44" s="796">
        <f>ROUND(E44*G44,)</f>
        <v>25300</v>
      </c>
      <c r="I44" s="797">
        <v>5</v>
      </c>
      <c r="J44" s="796">
        <f>ROUND(I44*E44,)</f>
        <v>5750</v>
      </c>
      <c r="K44" s="797">
        <f>H44+J44</f>
        <v>31050</v>
      </c>
      <c r="L44" s="830"/>
      <c r="M44" s="729"/>
      <c r="N44" s="729"/>
      <c r="O44" s="729"/>
      <c r="P44" s="729"/>
      <c r="Q44" s="729"/>
      <c r="R44" s="729"/>
      <c r="S44" s="729"/>
      <c r="T44" s="729"/>
      <c r="U44" s="729"/>
    </row>
    <row r="45" spans="1:21" s="714" customFormat="1" ht="24" customHeight="1">
      <c r="A45" s="993" t="s">
        <v>1633</v>
      </c>
      <c r="B45" s="720" t="s">
        <v>1357</v>
      </c>
      <c r="C45" s="706"/>
      <c r="D45" s="990"/>
      <c r="E45" s="991"/>
      <c r="F45" s="722"/>
      <c r="G45" s="795"/>
      <c r="H45" s="796"/>
      <c r="I45" s="797"/>
      <c r="J45" s="796"/>
      <c r="K45" s="797"/>
      <c r="L45" s="830"/>
      <c r="M45" s="729"/>
      <c r="N45" s="729"/>
      <c r="O45" s="729"/>
      <c r="P45" s="729"/>
      <c r="Q45" s="729"/>
      <c r="R45" s="729"/>
      <c r="S45" s="729"/>
      <c r="T45" s="729"/>
      <c r="U45" s="729"/>
    </row>
    <row r="46" spans="1:21" s="714" customFormat="1" ht="24" customHeight="1">
      <c r="A46" s="1133"/>
      <c r="B46" s="720" t="s">
        <v>1201</v>
      </c>
      <c r="C46" s="706"/>
      <c r="D46" s="990"/>
      <c r="E46" s="942">
        <v>1150</v>
      </c>
      <c r="F46" s="794" t="s">
        <v>438</v>
      </c>
      <c r="G46" s="806">
        <v>27</v>
      </c>
      <c r="H46" s="796">
        <f>ROUND(E46*G46,)</f>
        <v>31050</v>
      </c>
      <c r="I46" s="807">
        <v>22</v>
      </c>
      <c r="J46" s="796">
        <f t="shared" ref="J46" si="0">ROUND(E46*I46,)</f>
        <v>25300</v>
      </c>
      <c r="K46" s="914">
        <f t="shared" ref="K46" si="1">H46+J46</f>
        <v>56350</v>
      </c>
      <c r="L46" s="1718" t="s">
        <v>2915</v>
      </c>
      <c r="M46" s="729"/>
      <c r="N46" s="714">
        <v>79.8</v>
      </c>
      <c r="O46" s="714">
        <f>ROUND(N46/3,)</f>
        <v>27</v>
      </c>
      <c r="P46" s="729"/>
      <c r="Q46" s="729"/>
      <c r="R46" s="729"/>
      <c r="S46" s="729"/>
      <c r="T46" s="729"/>
      <c r="U46" s="729"/>
    </row>
    <row r="47" spans="1:21" s="714" customFormat="1" ht="24" customHeight="1">
      <c r="A47" s="996"/>
      <c r="B47" s="720" t="s">
        <v>1237</v>
      </c>
      <c r="C47" s="706"/>
      <c r="D47" s="990"/>
      <c r="E47" s="721">
        <v>1</v>
      </c>
      <c r="F47" s="722" t="s">
        <v>948</v>
      </c>
      <c r="G47" s="795">
        <f>ROUND(SUM(H46:H46)*15%,)</f>
        <v>4658</v>
      </c>
      <c r="H47" s="796">
        <f>ROUND(E47*G47,)</f>
        <v>4658</v>
      </c>
      <c r="I47" s="797">
        <f>ROUND(G47*0.3,)</f>
        <v>1397</v>
      </c>
      <c r="J47" s="796">
        <f>ROUND(I47*E47,)</f>
        <v>1397</v>
      </c>
      <c r="K47" s="797">
        <f>H47+J47</f>
        <v>6055</v>
      </c>
      <c r="L47" s="830"/>
      <c r="M47" s="729"/>
      <c r="N47" s="729"/>
      <c r="O47" s="729"/>
      <c r="P47" s="729"/>
      <c r="Q47" s="729"/>
      <c r="R47" s="729"/>
      <c r="S47" s="729"/>
      <c r="T47" s="729"/>
      <c r="U47" s="729"/>
    </row>
    <row r="48" spans="1:21" s="714" customFormat="1" ht="24" customHeight="1">
      <c r="A48" s="993"/>
      <c r="B48" s="720" t="s">
        <v>957</v>
      </c>
      <c r="C48" s="706"/>
      <c r="D48" s="990"/>
      <c r="E48" s="721"/>
      <c r="F48" s="722"/>
      <c r="G48" s="994"/>
      <c r="H48" s="796"/>
      <c r="I48" s="797"/>
      <c r="J48" s="796"/>
      <c r="K48" s="797"/>
      <c r="L48" s="830"/>
      <c r="M48" s="729"/>
      <c r="N48" s="729"/>
      <c r="O48" s="729"/>
      <c r="P48" s="729"/>
      <c r="Q48" s="729"/>
      <c r="R48" s="729"/>
      <c r="S48" s="729"/>
      <c r="T48" s="729"/>
      <c r="U48" s="729"/>
    </row>
    <row r="49" spans="1:21" s="714" customFormat="1" ht="24" customHeight="1">
      <c r="A49" s="1138"/>
      <c r="B49" s="720" t="s">
        <v>1102</v>
      </c>
      <c r="C49" s="987"/>
      <c r="D49" s="707"/>
      <c r="E49" s="708"/>
      <c r="F49" s="709"/>
      <c r="G49" s="1142"/>
      <c r="H49" s="854"/>
      <c r="I49" s="855"/>
      <c r="J49" s="854"/>
      <c r="K49" s="855"/>
      <c r="L49" s="988"/>
      <c r="M49" s="729"/>
      <c r="N49" s="729"/>
      <c r="O49" s="729"/>
      <c r="P49" s="729"/>
      <c r="Q49" s="729"/>
      <c r="R49" s="729"/>
      <c r="S49" s="729"/>
      <c r="T49" s="729"/>
      <c r="U49" s="729"/>
    </row>
    <row r="50" spans="1:21" s="714" customFormat="1" ht="24" customHeight="1">
      <c r="A50" s="996"/>
      <c r="B50" s="720" t="s">
        <v>1102</v>
      </c>
      <c r="C50" s="706"/>
      <c r="D50" s="990"/>
      <c r="E50" s="721"/>
      <c r="F50" s="722"/>
      <c r="G50" s="994"/>
      <c r="H50" s="796"/>
      <c r="I50" s="797"/>
      <c r="J50" s="796"/>
      <c r="K50" s="797"/>
      <c r="L50" s="830"/>
      <c r="M50" s="729"/>
      <c r="N50" s="729"/>
      <c r="O50" s="729"/>
      <c r="P50" s="729"/>
      <c r="Q50" s="729"/>
      <c r="R50" s="729"/>
      <c r="S50" s="729"/>
      <c r="T50" s="729"/>
      <c r="U50" s="729"/>
    </row>
    <row r="51" spans="1:21" s="714" customFormat="1" ht="24" customHeight="1">
      <c r="A51" s="1088"/>
      <c r="B51" s="720"/>
      <c r="C51" s="706"/>
      <c r="D51" s="990"/>
      <c r="E51" s="721"/>
      <c r="F51" s="722"/>
      <c r="G51" s="795"/>
      <c r="H51" s="796"/>
      <c r="I51" s="797"/>
      <c r="J51" s="796"/>
      <c r="K51" s="797"/>
      <c r="L51" s="830"/>
      <c r="M51" s="729"/>
      <c r="N51" s="729"/>
      <c r="O51" s="729"/>
      <c r="P51" s="729"/>
      <c r="Q51" s="729"/>
      <c r="R51" s="729"/>
      <c r="S51" s="729"/>
      <c r="T51" s="729"/>
      <c r="U51" s="729"/>
    </row>
    <row r="52" spans="1:21" s="714" customFormat="1" ht="24" customHeight="1">
      <c r="A52" s="1088"/>
      <c r="B52" s="720"/>
      <c r="C52" s="706"/>
      <c r="D52" s="990"/>
      <c r="E52" s="721"/>
      <c r="F52" s="722"/>
      <c r="G52" s="795"/>
      <c r="H52" s="796"/>
      <c r="I52" s="797"/>
      <c r="J52" s="796"/>
      <c r="K52" s="797"/>
      <c r="L52" s="830"/>
      <c r="M52" s="729"/>
      <c r="N52" s="729"/>
      <c r="O52" s="729"/>
      <c r="P52" s="729"/>
      <c r="Q52" s="729"/>
      <c r="R52" s="729"/>
      <c r="S52" s="729"/>
      <c r="T52" s="729"/>
      <c r="U52" s="729"/>
    </row>
    <row r="53" spans="1:21" s="714" customFormat="1" ht="24" customHeight="1">
      <c r="A53" s="1088"/>
      <c r="B53" s="720"/>
      <c r="C53" s="706"/>
      <c r="D53" s="990"/>
      <c r="E53" s="721"/>
      <c r="F53" s="722"/>
      <c r="G53" s="795"/>
      <c r="H53" s="796"/>
      <c r="I53" s="797"/>
      <c r="J53" s="796"/>
      <c r="K53" s="797"/>
      <c r="L53" s="830"/>
      <c r="M53" s="729"/>
      <c r="N53" s="729"/>
      <c r="O53" s="729"/>
      <c r="P53" s="729"/>
      <c r="Q53" s="729"/>
      <c r="R53" s="729"/>
      <c r="S53" s="729"/>
      <c r="T53" s="729"/>
      <c r="U53" s="729"/>
    </row>
    <row r="54" spans="1:21" s="714" customFormat="1" ht="24" customHeight="1">
      <c r="A54" s="1088"/>
      <c r="B54" s="720"/>
      <c r="C54" s="706"/>
      <c r="D54" s="990"/>
      <c r="E54" s="721"/>
      <c r="F54" s="722"/>
      <c r="G54" s="795"/>
      <c r="H54" s="796"/>
      <c r="I54" s="797"/>
      <c r="J54" s="796"/>
      <c r="K54" s="797"/>
      <c r="L54" s="830"/>
      <c r="M54" s="729"/>
      <c r="N54" s="729"/>
      <c r="O54" s="729"/>
      <c r="P54" s="729"/>
      <c r="Q54" s="729"/>
      <c r="R54" s="729"/>
      <c r="S54" s="729"/>
      <c r="T54" s="729"/>
      <c r="U54" s="729"/>
    </row>
    <row r="55" spans="1:21" s="714" customFormat="1" ht="24" customHeight="1">
      <c r="A55" s="1088"/>
      <c r="B55" s="720"/>
      <c r="C55" s="706"/>
      <c r="D55" s="990"/>
      <c r="E55" s="721"/>
      <c r="F55" s="722"/>
      <c r="G55" s="795"/>
      <c r="H55" s="796"/>
      <c r="I55" s="797"/>
      <c r="J55" s="796"/>
      <c r="K55" s="797"/>
      <c r="L55" s="830"/>
      <c r="M55" s="729"/>
      <c r="N55" s="729"/>
      <c r="O55" s="729"/>
      <c r="P55" s="729"/>
      <c r="Q55" s="729"/>
      <c r="R55" s="729"/>
      <c r="S55" s="729"/>
      <c r="T55" s="729"/>
      <c r="U55" s="729"/>
    </row>
    <row r="56" spans="1:21" s="714" customFormat="1" ht="24" customHeight="1">
      <c r="A56" s="1134"/>
      <c r="B56" s="720"/>
      <c r="C56" s="706"/>
      <c r="D56" s="990"/>
      <c r="E56" s="721"/>
      <c r="F56" s="722"/>
      <c r="G56" s="795"/>
      <c r="H56" s="796"/>
      <c r="I56" s="797"/>
      <c r="J56" s="796"/>
      <c r="K56" s="797"/>
      <c r="L56" s="830"/>
      <c r="M56" s="729"/>
      <c r="N56" s="729"/>
      <c r="O56" s="729"/>
      <c r="P56" s="729"/>
      <c r="Q56" s="729"/>
      <c r="R56" s="729"/>
      <c r="S56" s="729"/>
      <c r="T56" s="729"/>
      <c r="U56" s="729"/>
    </row>
    <row r="57" spans="1:21" s="714" customFormat="1" ht="24" customHeight="1">
      <c r="A57" s="777"/>
      <c r="B57" s="2475" t="str">
        <f>"รวมราคารายการที่ "&amp;A35</f>
        <v>รวมราคารายการที่ 4.1</v>
      </c>
      <c r="C57" s="2476"/>
      <c r="D57" s="2477"/>
      <c r="E57" s="997"/>
      <c r="F57" s="777"/>
      <c r="G57" s="959"/>
      <c r="H57" s="960">
        <f>SUM(H36:H56)</f>
        <v>682998</v>
      </c>
      <c r="I57" s="959"/>
      <c r="J57" s="960">
        <f t="shared" ref="J57:K57" si="2">SUM(J36:J56)</f>
        <v>46947</v>
      </c>
      <c r="K57" s="960">
        <f t="shared" si="2"/>
        <v>729945</v>
      </c>
      <c r="L57" s="777"/>
      <c r="M57" s="729"/>
      <c r="N57" s="729"/>
      <c r="O57" s="729"/>
      <c r="P57" s="729"/>
      <c r="Q57" s="729"/>
      <c r="R57" s="729"/>
      <c r="S57" s="729"/>
      <c r="T57" s="729"/>
      <c r="U57" s="729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7-อาคารสนับนุน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31"/>
  <sheetViews>
    <sheetView tabSelected="1" view="pageBreakPreview" topLeftCell="A7" zoomScale="70" zoomScaleNormal="7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7.703125" style="1" customWidth="1"/>
    <col min="5" max="5" width="14.703125" style="1" customWidth="1"/>
    <col min="6" max="6" width="10.703125" style="1" customWidth="1"/>
    <col min="7" max="7" width="14.703125" style="1" customWidth="1"/>
    <col min="8" max="8" width="23.703125" style="1" customWidth="1"/>
    <col min="9" max="9" width="14.703125" style="1" customWidth="1"/>
    <col min="10" max="10" width="22.703125" style="1" customWidth="1"/>
    <col min="11" max="11" width="24.703125" style="1" customWidth="1"/>
    <col min="12" max="12" width="14.703125" style="1" customWidth="1"/>
    <col min="13" max="14" width="7.703125" style="1" customWidth="1"/>
    <col min="15" max="16" width="18" style="1" bestFit="1" customWidth="1"/>
    <col min="17" max="63" width="7.703125" style="1" customWidth="1"/>
    <col min="64" max="16384" width="9" style="1"/>
  </cols>
  <sheetData>
    <row r="1" spans="1:16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6" ht="25.15" customHeight="1">
      <c r="A2" s="42" t="s">
        <v>2</v>
      </c>
      <c r="B2" s="33"/>
      <c r="C2" s="34"/>
      <c r="D2" s="11" t="s">
        <v>145</v>
      </c>
      <c r="E2" s="34"/>
      <c r="F2" s="12"/>
      <c r="G2" s="12"/>
      <c r="H2" s="12"/>
      <c r="I2" s="12"/>
      <c r="J2" s="13"/>
      <c r="K2" s="12"/>
      <c r="L2" s="14"/>
    </row>
    <row r="3" spans="1:16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6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6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6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6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6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</row>
    <row r="9" spans="1:16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50" t="s">
        <v>14</v>
      </c>
      <c r="L9" s="2442" t="s">
        <v>15</v>
      </c>
    </row>
    <row r="10" spans="1:16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9" t="s">
        <v>17</v>
      </c>
      <c r="I10" s="28" t="s">
        <v>16</v>
      </c>
      <c r="J10" s="29" t="s">
        <v>17</v>
      </c>
      <c r="K10" s="51" t="s">
        <v>18</v>
      </c>
      <c r="L10" s="2443"/>
    </row>
    <row r="11" spans="1:16" ht="24" customHeight="1">
      <c r="A11" s="361" t="s">
        <v>34</v>
      </c>
      <c r="B11" s="362" t="s">
        <v>2972</v>
      </c>
      <c r="C11" s="124"/>
      <c r="D11" s="122"/>
      <c r="E11" s="123"/>
      <c r="F11" s="123"/>
      <c r="G11" s="53"/>
      <c r="H11" s="54"/>
      <c r="I11" s="55"/>
      <c r="J11" s="54"/>
      <c r="K11" s="56"/>
      <c r="L11" s="57"/>
    </row>
    <row r="12" spans="1:16" ht="24" customHeight="1">
      <c r="A12" s="361"/>
      <c r="B12" s="362"/>
      <c r="C12" s="124"/>
      <c r="D12" s="122"/>
      <c r="E12" s="123"/>
      <c r="F12" s="123"/>
      <c r="G12" s="53"/>
      <c r="H12" s="54"/>
      <c r="I12" s="55"/>
      <c r="J12" s="54"/>
      <c r="K12" s="56"/>
      <c r="L12" s="57"/>
    </row>
    <row r="13" spans="1:16" s="373" customFormat="1" ht="24" customHeight="1">
      <c r="A13" s="363">
        <v>1</v>
      </c>
      <c r="B13" s="364" t="s">
        <v>131</v>
      </c>
      <c r="C13" s="365"/>
      <c r="D13" s="366"/>
      <c r="E13" s="367">
        <v>1</v>
      </c>
      <c r="F13" s="368" t="s">
        <v>19</v>
      </c>
      <c r="G13" s="369"/>
      <c r="H13" s="370">
        <f>ROUND('01.ST ศูนย์ประชุม'!H35,2)</f>
        <v>192236492.49000001</v>
      </c>
      <c r="I13" s="371"/>
      <c r="J13" s="370">
        <f>ROUND('01.ST ศูนย์ประชุม'!J35,2)</f>
        <v>43979422.759999998</v>
      </c>
      <c r="K13" s="370">
        <f>ROUND(H13+J13,2)</f>
        <v>236215915.25</v>
      </c>
      <c r="L13" s="372"/>
      <c r="O13" s="374"/>
      <c r="P13" s="374"/>
    </row>
    <row r="14" spans="1:16" s="373" customFormat="1" ht="24" customHeight="1">
      <c r="A14" s="363">
        <v>2</v>
      </c>
      <c r="B14" s="375" t="s">
        <v>132</v>
      </c>
      <c r="C14" s="365"/>
      <c r="D14" s="366"/>
      <c r="E14" s="367">
        <v>1</v>
      </c>
      <c r="F14" s="368" t="s">
        <v>19</v>
      </c>
      <c r="G14" s="369"/>
      <c r="H14" s="370">
        <f>'02.AR CONVENTION'!H35</f>
        <v>379392987.26146799</v>
      </c>
      <c r="I14" s="371"/>
      <c r="J14" s="370">
        <f>'02.AR CONVENTION'!J35</f>
        <v>93342566.699999988</v>
      </c>
      <c r="K14" s="370">
        <f t="shared" ref="K14:K21" si="0">H14+J14</f>
        <v>472735553.96146798</v>
      </c>
      <c r="L14" s="372"/>
      <c r="O14" s="374"/>
    </row>
    <row r="15" spans="1:16" s="373" customFormat="1" ht="24" customHeight="1">
      <c r="A15" s="363">
        <v>3</v>
      </c>
      <c r="B15" s="375" t="s">
        <v>24</v>
      </c>
      <c r="C15" s="365"/>
      <c r="D15" s="366"/>
      <c r="E15" s="367">
        <v>1</v>
      </c>
      <c r="F15" s="368" t="s">
        <v>19</v>
      </c>
      <c r="G15" s="369"/>
      <c r="H15" s="370">
        <f>'03.SUM-EE-ศูนย์ประชุม'!H33</f>
        <v>109608341</v>
      </c>
      <c r="I15" s="371"/>
      <c r="J15" s="370">
        <f>'03.SUM-EE-ศูนย์ประชุม'!J33</f>
        <v>16999130</v>
      </c>
      <c r="K15" s="370">
        <f t="shared" si="0"/>
        <v>126607471</v>
      </c>
      <c r="L15" s="372"/>
      <c r="O15" s="374"/>
    </row>
    <row r="16" spans="1:16" s="373" customFormat="1" ht="24" customHeight="1">
      <c r="A16" s="363">
        <v>4</v>
      </c>
      <c r="B16" s="375" t="s">
        <v>28</v>
      </c>
      <c r="C16" s="365"/>
      <c r="D16" s="366"/>
      <c r="E16" s="367">
        <v>1</v>
      </c>
      <c r="F16" s="368" t="s">
        <v>19</v>
      </c>
      <c r="G16" s="369"/>
      <c r="H16" s="370">
        <f>'04.SUM-TV.ศูนย์ประชุม'!H32</f>
        <v>9420699</v>
      </c>
      <c r="I16" s="371"/>
      <c r="J16" s="370">
        <f>'04.SUM-TV.ศูนย์ประชุม'!J32</f>
        <v>690120</v>
      </c>
      <c r="K16" s="370">
        <f t="shared" si="0"/>
        <v>10110819</v>
      </c>
      <c r="L16" s="372"/>
      <c r="O16" s="374"/>
    </row>
    <row r="17" spans="1:16" s="373" customFormat="1" ht="24" customHeight="1">
      <c r="A17" s="363">
        <v>5</v>
      </c>
      <c r="B17" s="375" t="s">
        <v>30</v>
      </c>
      <c r="C17" s="365"/>
      <c r="D17" s="366"/>
      <c r="E17" s="367">
        <v>1</v>
      </c>
      <c r="F17" s="368" t="s">
        <v>19</v>
      </c>
      <c r="G17" s="369"/>
      <c r="H17" s="370">
        <f>'05.SUM-SAN ศูนย์ประชุม'!H31</f>
        <v>15621405</v>
      </c>
      <c r="I17" s="371"/>
      <c r="J17" s="370">
        <f>'05.SUM-SAN ศูนย์ประชุม'!J31</f>
        <v>4319915</v>
      </c>
      <c r="K17" s="370">
        <f t="shared" si="0"/>
        <v>19941320</v>
      </c>
      <c r="L17" s="372"/>
      <c r="O17" s="374"/>
      <c r="P17" s="376"/>
    </row>
    <row r="18" spans="1:16" s="373" customFormat="1" ht="24" customHeight="1">
      <c r="A18" s="363">
        <v>6</v>
      </c>
      <c r="B18" s="375" t="s">
        <v>31</v>
      </c>
      <c r="C18" s="365"/>
      <c r="D18" s="366"/>
      <c r="E18" s="367">
        <v>1</v>
      </c>
      <c r="F18" s="368" t="s">
        <v>19</v>
      </c>
      <c r="G18" s="369"/>
      <c r="H18" s="370">
        <f>'06.SUM-FP ศูนย์ประชุม'!H34</f>
        <v>19617234</v>
      </c>
      <c r="I18" s="371"/>
      <c r="J18" s="370">
        <f>'06.SUM-FP ศูนย์ประชุม'!J34</f>
        <v>5959613</v>
      </c>
      <c r="K18" s="370">
        <f t="shared" si="0"/>
        <v>25576847</v>
      </c>
      <c r="L18" s="372"/>
      <c r="O18" s="374"/>
      <c r="P18" s="374"/>
    </row>
    <row r="19" spans="1:16" s="373" customFormat="1" ht="24" customHeight="1">
      <c r="A19" s="363">
        <v>7</v>
      </c>
      <c r="B19" s="375" t="s">
        <v>33</v>
      </c>
      <c r="C19" s="365"/>
      <c r="D19" s="366"/>
      <c r="E19" s="367">
        <v>1</v>
      </c>
      <c r="F19" s="368" t="s">
        <v>19</v>
      </c>
      <c r="G19" s="369"/>
      <c r="H19" s="370">
        <f>'06.SUM-AC ศูนย์ประชุม'!H31</f>
        <v>98304216</v>
      </c>
      <c r="I19" s="371"/>
      <c r="J19" s="370">
        <f>'06.SUM-AC ศูนย์ประชุม'!J31</f>
        <v>17997437</v>
      </c>
      <c r="K19" s="370">
        <f t="shared" si="0"/>
        <v>116301653</v>
      </c>
      <c r="L19" s="372"/>
      <c r="O19" s="374"/>
    </row>
    <row r="20" spans="1:16" ht="24" customHeight="1">
      <c r="A20" s="363">
        <v>8</v>
      </c>
      <c r="B20" s="375" t="s">
        <v>332</v>
      </c>
      <c r="C20" s="377"/>
      <c r="D20" s="378"/>
      <c r="E20" s="367">
        <v>1</v>
      </c>
      <c r="F20" s="368" t="s">
        <v>19</v>
      </c>
      <c r="G20" s="379"/>
      <c r="H20" s="380">
        <f>'08.LPG-ศูนย์ประชุม'!H32</f>
        <v>1866979</v>
      </c>
      <c r="I20" s="381"/>
      <c r="J20" s="380">
        <f>'08.LPG-ศูนย์ประชุม'!J32</f>
        <v>100000</v>
      </c>
      <c r="K20" s="370">
        <f t="shared" si="0"/>
        <v>1966979</v>
      </c>
      <c r="L20" s="382"/>
      <c r="O20" s="374"/>
    </row>
    <row r="21" spans="1:16" ht="24" customHeight="1">
      <c r="A21" s="363">
        <v>9</v>
      </c>
      <c r="B21" s="375" t="s">
        <v>935</v>
      </c>
      <c r="C21" s="377"/>
      <c r="D21" s="378"/>
      <c r="E21" s="367">
        <v>1</v>
      </c>
      <c r="F21" s="368" t="s">
        <v>19</v>
      </c>
      <c r="G21" s="379"/>
      <c r="H21" s="380">
        <f>'09.LIFT-ศูนย์ประชุม'!H34</f>
        <v>62100000</v>
      </c>
      <c r="I21" s="381"/>
      <c r="J21" s="380">
        <f>'09.LIFT-ศูนย์ประชุม'!J34</f>
        <v>0</v>
      </c>
      <c r="K21" s="370">
        <f t="shared" si="0"/>
        <v>62100000</v>
      </c>
      <c r="L21" s="382"/>
      <c r="O21" s="374"/>
    </row>
    <row r="22" spans="1:16" ht="24" customHeight="1">
      <c r="A22" s="363"/>
      <c r="B22" s="384"/>
      <c r="C22" s="377"/>
      <c r="D22" s="378"/>
      <c r="E22" s="367"/>
      <c r="F22" s="368"/>
      <c r="G22" s="379"/>
      <c r="H22" s="380"/>
      <c r="I22" s="381"/>
      <c r="J22" s="380"/>
      <c r="K22" s="370"/>
      <c r="L22" s="382"/>
      <c r="O22" s="374"/>
    </row>
    <row r="23" spans="1:16" ht="24" customHeight="1">
      <c r="A23" s="383"/>
      <c r="B23" s="384"/>
      <c r="C23" s="377"/>
      <c r="D23" s="378"/>
      <c r="E23" s="385"/>
      <c r="F23" s="385"/>
      <c r="G23" s="379"/>
      <c r="H23" s="380"/>
      <c r="I23" s="381"/>
      <c r="J23" s="380"/>
      <c r="K23" s="386"/>
      <c r="L23" s="382"/>
    </row>
    <row r="24" spans="1:16" ht="24" customHeight="1">
      <c r="A24" s="383"/>
      <c r="B24" s="384"/>
      <c r="C24" s="377"/>
      <c r="D24" s="378"/>
      <c r="E24" s="385"/>
      <c r="F24" s="385"/>
      <c r="G24" s="379"/>
      <c r="H24" s="380"/>
      <c r="I24" s="381"/>
      <c r="J24" s="380"/>
      <c r="K24" s="386"/>
      <c r="L24" s="382"/>
    </row>
    <row r="25" spans="1:16" ht="24" customHeight="1">
      <c r="A25" s="383"/>
      <c r="B25" s="384"/>
      <c r="C25" s="377"/>
      <c r="D25" s="378"/>
      <c r="E25" s="385"/>
      <c r="F25" s="385"/>
      <c r="G25" s="379"/>
      <c r="H25" s="380"/>
      <c r="I25" s="381"/>
      <c r="J25" s="380"/>
      <c r="K25" s="386"/>
      <c r="L25" s="382"/>
    </row>
    <row r="26" spans="1:16" ht="24" customHeight="1">
      <c r="A26" s="383"/>
      <c r="B26" s="384"/>
      <c r="C26" s="377"/>
      <c r="D26" s="378"/>
      <c r="E26" s="385"/>
      <c r="F26" s="385"/>
      <c r="G26" s="379"/>
      <c r="H26" s="380"/>
      <c r="I26" s="381"/>
      <c r="J26" s="380"/>
      <c r="K26" s="386"/>
      <c r="L26" s="382"/>
    </row>
    <row r="27" spans="1:16" ht="24" customHeight="1">
      <c r="A27" s="387"/>
      <c r="B27" s="384"/>
      <c r="C27" s="377"/>
      <c r="D27" s="378"/>
      <c r="E27" s="385"/>
      <c r="F27" s="385"/>
      <c r="G27" s="379"/>
      <c r="H27" s="380"/>
      <c r="I27" s="381"/>
      <c r="J27" s="380"/>
      <c r="K27" s="386"/>
      <c r="L27" s="382"/>
    </row>
    <row r="28" spans="1:16" ht="24" customHeight="1">
      <c r="A28" s="387"/>
      <c r="B28" s="384"/>
      <c r="C28" s="377"/>
      <c r="D28" s="378"/>
      <c r="E28" s="385"/>
      <c r="F28" s="385"/>
      <c r="G28" s="379"/>
      <c r="H28" s="380"/>
      <c r="I28" s="381"/>
      <c r="J28" s="380"/>
      <c r="K28" s="386"/>
      <c r="L28" s="382"/>
    </row>
    <row r="29" spans="1:16" ht="24" customHeight="1">
      <c r="A29" s="388"/>
      <c r="B29" s="384"/>
      <c r="C29" s="377"/>
      <c r="D29" s="378"/>
      <c r="E29" s="385"/>
      <c r="F29" s="385"/>
      <c r="G29" s="379"/>
      <c r="H29" s="380"/>
      <c r="I29" s="381"/>
      <c r="J29" s="380"/>
      <c r="K29" s="386"/>
      <c r="L29" s="382"/>
    </row>
    <row r="30" spans="1:16" ht="24" customHeight="1">
      <c r="A30" s="389"/>
      <c r="B30" s="390"/>
      <c r="C30" s="52"/>
      <c r="D30" s="391"/>
      <c r="E30" s="392"/>
      <c r="F30" s="392"/>
      <c r="G30" s="393"/>
      <c r="H30" s="394"/>
      <c r="I30" s="395"/>
      <c r="J30" s="394"/>
      <c r="K30" s="396"/>
      <c r="L30" s="397"/>
    </row>
    <row r="31" spans="1:16" ht="30" customHeight="1">
      <c r="A31" s="398"/>
      <c r="B31" s="2427" t="s">
        <v>2973</v>
      </c>
      <c r="C31" s="2427"/>
      <c r="D31" s="2427"/>
      <c r="E31" s="399"/>
      <c r="F31" s="400"/>
      <c r="G31" s="401"/>
      <c r="H31" s="402">
        <f>ROUND(SUM(H13:H30),2)</f>
        <v>888168353.75</v>
      </c>
      <c r="I31" s="402"/>
      <c r="J31" s="402">
        <f>ROUND(SUM(J13:J30),2)</f>
        <v>183388204.46000001</v>
      </c>
      <c r="K31" s="402">
        <f>ROUND(SUM(K13:K30),2)</f>
        <v>1071556558.21</v>
      </c>
      <c r="L31" s="402"/>
    </row>
  </sheetData>
  <mergeCells count="9">
    <mergeCell ref="B31:D31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74803149606299202" bottom="0.59055118110236204" header="0.31496062992126" footer="0.31496062992126"/>
  <pageSetup paperSize="9" scale="68" pageOrder="overThenDown" orientation="landscape" r:id="rId1"/>
  <headerFooter>
    <oddHeader xml:space="preserve">&amp;Rแผ่นที่ &amp;P ใน &amp;N แผ่น </oddHeader>
    <oddFooter>&amp;Rหน้ารวม -อาคารศูนย์ประชุม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71E4F-49D9-4E4E-8BDE-6AC4C6A9E737}">
  <sheetPr>
    <tabColor rgb="FF92D050"/>
  </sheetPr>
  <dimension ref="A1:U58"/>
  <sheetViews>
    <sheetView tabSelected="1" view="pageBreakPreview" topLeftCell="A34" zoomScale="70" zoomScaleNormal="10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7.5859375" style="1" customWidth="1"/>
    <col min="13" max="99" width="7.703125" style="1" customWidth="1"/>
    <col min="100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1603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84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85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80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81"/>
    </row>
    <row r="11" spans="1:12" ht="24" customHeight="1">
      <c r="A11" s="1115" t="s">
        <v>27</v>
      </c>
      <c r="B11" s="1116" t="s">
        <v>1634</v>
      </c>
      <c r="C11" s="1117"/>
      <c r="D11" s="1118"/>
      <c r="E11" s="694"/>
      <c r="F11" s="695"/>
      <c r="G11" s="696"/>
      <c r="H11" s="697"/>
      <c r="I11" s="698"/>
      <c r="J11" s="697"/>
      <c r="K11" s="699"/>
      <c r="L11" s="953"/>
    </row>
    <row r="12" spans="1:12" ht="24" customHeight="1">
      <c r="A12" s="1119"/>
      <c r="B12" s="1120"/>
      <c r="C12" s="1121"/>
      <c r="D12" s="1122"/>
      <c r="E12" s="694"/>
      <c r="F12" s="695"/>
      <c r="G12" s="696"/>
      <c r="H12" s="697"/>
      <c r="I12" s="698"/>
      <c r="J12" s="697"/>
      <c r="K12" s="699"/>
      <c r="L12" s="953"/>
    </row>
    <row r="13" spans="1:12" s="714" customFormat="1" ht="24" customHeight="1">
      <c r="A13" s="704">
        <f>A35</f>
        <v>4.0999999999999996</v>
      </c>
      <c r="B13" s="705" t="str">
        <f>B35</f>
        <v>ระบบโทรทัศน์วงจรปิด (Closed Circuit TV System)</v>
      </c>
      <c r="C13" s="706"/>
      <c r="D13" s="707"/>
      <c r="E13" s="708">
        <v>1</v>
      </c>
      <c r="F13" s="709" t="s">
        <v>19</v>
      </c>
      <c r="G13" s="710"/>
      <c r="H13" s="711">
        <f>H57</f>
        <v>361085</v>
      </c>
      <c r="I13" s="712"/>
      <c r="J13" s="711">
        <f>J57</f>
        <v>22108</v>
      </c>
      <c r="K13" s="711">
        <f>SUM(H13:J13)</f>
        <v>383193</v>
      </c>
      <c r="L13" s="1024"/>
    </row>
    <row r="14" spans="1:12" s="714" customFormat="1" ht="24" customHeight="1">
      <c r="A14" s="704"/>
      <c r="B14" s="720"/>
      <c r="C14" s="716"/>
      <c r="D14" s="990"/>
      <c r="E14" s="721"/>
      <c r="F14" s="722"/>
      <c r="G14" s="710"/>
      <c r="H14" s="711"/>
      <c r="I14" s="712"/>
      <c r="J14" s="711"/>
      <c r="K14" s="711"/>
      <c r="L14" s="1024"/>
    </row>
    <row r="15" spans="1:12" s="714" customFormat="1" ht="24" customHeight="1">
      <c r="A15" s="719"/>
      <c r="B15" s="720"/>
      <c r="C15" s="717"/>
      <c r="D15" s="718"/>
      <c r="E15" s="721"/>
      <c r="F15" s="722"/>
      <c r="G15" s="710"/>
      <c r="H15" s="711"/>
      <c r="I15" s="712"/>
      <c r="J15" s="711"/>
      <c r="K15" s="711"/>
      <c r="L15" s="1024"/>
    </row>
    <row r="16" spans="1:12" s="714" customFormat="1" ht="24" customHeight="1">
      <c r="A16" s="719"/>
      <c r="B16" s="720"/>
      <c r="C16" s="717"/>
      <c r="D16" s="718"/>
      <c r="E16" s="721"/>
      <c r="F16" s="722"/>
      <c r="G16" s="710"/>
      <c r="H16" s="711"/>
      <c r="I16" s="712"/>
      <c r="J16" s="711"/>
      <c r="K16" s="711"/>
      <c r="L16" s="1024"/>
    </row>
    <row r="17" spans="1:12" s="714" customFormat="1" ht="24" customHeight="1">
      <c r="A17" s="719"/>
      <c r="B17" s="720"/>
      <c r="C17" s="717"/>
      <c r="D17" s="718"/>
      <c r="E17" s="721"/>
      <c r="F17" s="722"/>
      <c r="G17" s="710"/>
      <c r="H17" s="711"/>
      <c r="I17" s="712"/>
      <c r="J17" s="711"/>
      <c r="K17" s="711"/>
      <c r="L17" s="1024"/>
    </row>
    <row r="18" spans="1:12" s="714" customFormat="1" ht="24" customHeight="1">
      <c r="A18" s="719"/>
      <c r="B18" s="720"/>
      <c r="C18" s="717"/>
      <c r="D18" s="718"/>
      <c r="E18" s="721"/>
      <c r="F18" s="722"/>
      <c r="G18" s="710"/>
      <c r="H18" s="711"/>
      <c r="I18" s="712"/>
      <c r="J18" s="711"/>
      <c r="K18" s="711"/>
      <c r="L18" s="1024"/>
    </row>
    <row r="19" spans="1:12" s="714" customFormat="1" ht="24" customHeight="1">
      <c r="A19" s="719"/>
      <c r="B19" s="720"/>
      <c r="C19" s="717"/>
      <c r="D19" s="718"/>
      <c r="E19" s="721"/>
      <c r="F19" s="722"/>
      <c r="G19" s="710"/>
      <c r="H19" s="711"/>
      <c r="I19" s="712"/>
      <c r="J19" s="711"/>
      <c r="K19" s="711"/>
      <c r="L19" s="1024"/>
    </row>
    <row r="20" spans="1:12" s="714" customFormat="1" ht="24" customHeight="1">
      <c r="A20" s="719"/>
      <c r="B20" s="720"/>
      <c r="C20" s="717"/>
      <c r="D20" s="718"/>
      <c r="E20" s="721"/>
      <c r="F20" s="722"/>
      <c r="G20" s="710"/>
      <c r="H20" s="711"/>
      <c r="I20" s="712"/>
      <c r="J20" s="711"/>
      <c r="K20" s="711"/>
      <c r="L20" s="1024"/>
    </row>
    <row r="21" spans="1:12" s="714" customFormat="1" ht="24" customHeight="1">
      <c r="A21" s="719"/>
      <c r="B21" s="720"/>
      <c r="C21" s="717"/>
      <c r="D21" s="718"/>
      <c r="E21" s="721"/>
      <c r="F21" s="722"/>
      <c r="G21" s="710"/>
      <c r="H21" s="711"/>
      <c r="I21" s="712"/>
      <c r="J21" s="711"/>
      <c r="K21" s="711"/>
      <c r="L21" s="1024"/>
    </row>
    <row r="22" spans="1:12" s="714" customFormat="1" ht="24" customHeight="1">
      <c r="A22" s="719"/>
      <c r="B22" s="720"/>
      <c r="C22" s="717"/>
      <c r="D22" s="718"/>
      <c r="E22" s="721"/>
      <c r="F22" s="722"/>
      <c r="G22" s="710"/>
      <c r="H22" s="711"/>
      <c r="I22" s="712"/>
      <c r="J22" s="711"/>
      <c r="K22" s="711"/>
      <c r="L22" s="1024"/>
    </row>
    <row r="23" spans="1:12" s="714" customFormat="1" ht="24" customHeight="1">
      <c r="A23" s="1125"/>
      <c r="B23" s="720"/>
      <c r="C23" s="1123"/>
      <c r="D23" s="1124"/>
      <c r="E23" s="721"/>
      <c r="F23" s="722"/>
      <c r="G23" s="710"/>
      <c r="H23" s="711"/>
      <c r="I23" s="712"/>
      <c r="J23" s="711"/>
      <c r="K23" s="711"/>
      <c r="L23" s="1024"/>
    </row>
    <row r="24" spans="1:12" s="714" customFormat="1" ht="24" customHeight="1">
      <c r="A24" s="1125"/>
      <c r="B24" s="720"/>
      <c r="C24" s="1123"/>
      <c r="D24" s="1124"/>
      <c r="E24" s="721"/>
      <c r="F24" s="722"/>
      <c r="G24" s="710"/>
      <c r="H24" s="711"/>
      <c r="I24" s="712"/>
      <c r="J24" s="711"/>
      <c r="K24" s="711"/>
      <c r="L24" s="1024"/>
    </row>
    <row r="25" spans="1:12" s="714" customFormat="1" ht="24" customHeight="1">
      <c r="A25" s="1125"/>
      <c r="B25" s="720"/>
      <c r="C25" s="1123"/>
      <c r="D25" s="1124"/>
      <c r="E25" s="721"/>
      <c r="F25" s="722"/>
      <c r="G25" s="710"/>
      <c r="H25" s="711"/>
      <c r="I25" s="712"/>
      <c r="J25" s="711"/>
      <c r="K25" s="711"/>
      <c r="L25" s="1024"/>
    </row>
    <row r="26" spans="1:12" s="714" customFormat="1" ht="24" customHeight="1">
      <c r="A26" s="1125"/>
      <c r="B26" s="720"/>
      <c r="C26" s="1123"/>
      <c r="D26" s="1124"/>
      <c r="E26" s="721"/>
      <c r="F26" s="722"/>
      <c r="G26" s="710"/>
      <c r="H26" s="711"/>
      <c r="I26" s="712"/>
      <c r="J26" s="711"/>
      <c r="K26" s="711"/>
      <c r="L26" s="1024"/>
    </row>
    <row r="27" spans="1:12" s="714" customFormat="1" ht="24" customHeight="1">
      <c r="A27" s="1125"/>
      <c r="B27" s="720"/>
      <c r="C27" s="1123"/>
      <c r="D27" s="1124"/>
      <c r="E27" s="721"/>
      <c r="F27" s="722"/>
      <c r="G27" s="710"/>
      <c r="H27" s="711"/>
      <c r="I27" s="712"/>
      <c r="J27" s="711"/>
      <c r="K27" s="711"/>
      <c r="L27" s="1024"/>
    </row>
    <row r="28" spans="1:12" s="714" customFormat="1" ht="24" customHeight="1">
      <c r="A28" s="1125"/>
      <c r="B28" s="720"/>
      <c r="C28" s="1123"/>
      <c r="D28" s="1124"/>
      <c r="E28" s="721"/>
      <c r="F28" s="722"/>
      <c r="G28" s="710"/>
      <c r="H28" s="711"/>
      <c r="I28" s="712"/>
      <c r="J28" s="711"/>
      <c r="K28" s="711"/>
      <c r="L28" s="1024"/>
    </row>
    <row r="29" spans="1:12" s="714" customFormat="1" ht="24" customHeight="1">
      <c r="A29" s="1125"/>
      <c r="B29" s="720"/>
      <c r="C29" s="1123"/>
      <c r="D29" s="1124"/>
      <c r="E29" s="721"/>
      <c r="F29" s="722"/>
      <c r="G29" s="710"/>
      <c r="H29" s="711"/>
      <c r="I29" s="712"/>
      <c r="J29" s="711"/>
      <c r="K29" s="711"/>
      <c r="L29" s="1024"/>
    </row>
    <row r="30" spans="1:12" s="714" customFormat="1" ht="24" customHeight="1">
      <c r="A30" s="1125"/>
      <c r="B30" s="720"/>
      <c r="C30" s="1123"/>
      <c r="D30" s="1124"/>
      <c r="E30" s="721"/>
      <c r="F30" s="722"/>
      <c r="G30" s="710"/>
      <c r="H30" s="711"/>
      <c r="I30" s="712"/>
      <c r="J30" s="711"/>
      <c r="K30" s="711"/>
      <c r="L30" s="1024"/>
    </row>
    <row r="31" spans="1:12" s="714" customFormat="1" ht="24" customHeight="1">
      <c r="A31" s="1125"/>
      <c r="B31" s="720"/>
      <c r="C31" s="1123"/>
      <c r="D31" s="1124"/>
      <c r="E31" s="721"/>
      <c r="F31" s="722"/>
      <c r="G31" s="710"/>
      <c r="H31" s="711"/>
      <c r="I31" s="712"/>
      <c r="J31" s="711"/>
      <c r="K31" s="711"/>
      <c r="L31" s="1024"/>
    </row>
    <row r="32" spans="1:12" s="714" customFormat="1" ht="24" customHeight="1">
      <c r="A32" s="1125"/>
      <c r="B32" s="720"/>
      <c r="C32" s="1123"/>
      <c r="D32" s="1124"/>
      <c r="E32" s="721"/>
      <c r="F32" s="722"/>
      <c r="G32" s="710"/>
      <c r="H32" s="711"/>
      <c r="I32" s="712"/>
      <c r="J32" s="711"/>
      <c r="K32" s="711"/>
      <c r="L32" s="1024"/>
    </row>
    <row r="33" spans="1:21" s="714" customFormat="1" ht="24" customHeight="1">
      <c r="A33" s="1126"/>
      <c r="B33" s="1127"/>
      <c r="C33" s="1123"/>
      <c r="D33" s="1124"/>
      <c r="E33" s="1128"/>
      <c r="F33" s="722"/>
      <c r="G33" s="710"/>
      <c r="H33" s="711"/>
      <c r="I33" s="712"/>
      <c r="J33" s="711"/>
      <c r="K33" s="1129"/>
      <c r="L33" s="1024"/>
    </row>
    <row r="34" spans="1:21" s="714" customFormat="1" ht="25.15" customHeight="1">
      <c r="A34" s="777"/>
      <c r="B34" s="2475" t="str">
        <f>"รวมราคา"&amp;B11</f>
        <v>รวมราคาระบบโทรทัศน์วงจรปิด (Closed Circuit TV System) ชั้น 8</v>
      </c>
      <c r="C34" s="2476"/>
      <c r="D34" s="2477"/>
      <c r="E34" s="997"/>
      <c r="F34" s="777"/>
      <c r="G34" s="959"/>
      <c r="H34" s="960">
        <f>SUM(H12:H33)</f>
        <v>361085</v>
      </c>
      <c r="I34" s="959"/>
      <c r="J34" s="960">
        <f>SUM(J11:J33)</f>
        <v>22108</v>
      </c>
      <c r="K34" s="1130">
        <f>SUM(K11:K33)</f>
        <v>383193</v>
      </c>
      <c r="L34" s="777"/>
      <c r="M34" s="729"/>
      <c r="N34" s="729"/>
      <c r="O34" s="729"/>
      <c r="P34" s="729"/>
      <c r="Q34" s="729"/>
      <c r="R34" s="729"/>
      <c r="S34" s="729"/>
      <c r="T34" s="729"/>
      <c r="U34" s="729"/>
    </row>
    <row r="35" spans="1:21" s="714" customFormat="1" ht="24" customHeight="1">
      <c r="A35" s="986">
        <v>4.0999999999999996</v>
      </c>
      <c r="B35" s="816" t="s">
        <v>28</v>
      </c>
      <c r="C35" s="987"/>
      <c r="D35" s="707"/>
      <c r="E35" s="708"/>
      <c r="F35" s="709"/>
      <c r="G35" s="853"/>
      <c r="H35" s="854"/>
      <c r="I35" s="855"/>
      <c r="J35" s="854"/>
      <c r="K35" s="855"/>
      <c r="L35" s="988"/>
      <c r="M35" s="729"/>
      <c r="N35" s="729"/>
      <c r="O35" s="729"/>
      <c r="P35" s="729"/>
      <c r="Q35" s="729"/>
      <c r="R35" s="729"/>
      <c r="S35" s="729"/>
      <c r="T35" s="729"/>
      <c r="U35" s="729"/>
    </row>
    <row r="36" spans="1:21" s="714" customFormat="1" ht="24" customHeight="1">
      <c r="A36" s="989" t="s">
        <v>1610</v>
      </c>
      <c r="B36" s="720" t="s">
        <v>1611</v>
      </c>
      <c r="C36" s="706"/>
      <c r="D36" s="990"/>
      <c r="E36" s="721">
        <v>10</v>
      </c>
      <c r="F36" s="722" t="s">
        <v>240</v>
      </c>
      <c r="G36" s="795">
        <f>22110</f>
        <v>22110</v>
      </c>
      <c r="H36" s="796">
        <f>ROUND(E36*G36,)</f>
        <v>221100</v>
      </c>
      <c r="I36" s="797">
        <v>500</v>
      </c>
      <c r="J36" s="796">
        <f>ROUND(I36*E36,)</f>
        <v>5000</v>
      </c>
      <c r="K36" s="797">
        <f>H36+J36</f>
        <v>226100</v>
      </c>
      <c r="L36" s="830"/>
      <c r="M36" s="729"/>
      <c r="N36" s="729"/>
      <c r="O36" s="729"/>
      <c r="P36" s="729"/>
      <c r="Q36" s="729"/>
      <c r="R36" s="729"/>
      <c r="S36" s="729"/>
      <c r="T36" s="729"/>
      <c r="U36" s="729"/>
    </row>
    <row r="37" spans="1:21" s="714" customFormat="1" ht="24" customHeight="1">
      <c r="A37" s="992" t="s">
        <v>1607</v>
      </c>
      <c r="B37" s="720" t="s">
        <v>3033</v>
      </c>
      <c r="C37" s="706"/>
      <c r="D37" s="990"/>
      <c r="E37" s="721">
        <v>2</v>
      </c>
      <c r="F37" s="722" t="s">
        <v>240</v>
      </c>
      <c r="G37" s="806">
        <f>5230+1640+2260+30800+12320+4480</f>
        <v>56730</v>
      </c>
      <c r="H37" s="796">
        <f>ROUND(E37*G37,)</f>
        <v>113460</v>
      </c>
      <c r="I37" s="807">
        <f>CEILING(G37*0.025,100)</f>
        <v>1500</v>
      </c>
      <c r="J37" s="796">
        <f>ROUND(I37*E37,)</f>
        <v>3000</v>
      </c>
      <c r="K37" s="797">
        <f>H37+J37</f>
        <v>116460</v>
      </c>
      <c r="L37" s="988"/>
      <c r="M37" s="729"/>
      <c r="N37" s="729"/>
      <c r="O37" s="729"/>
      <c r="P37" s="729"/>
      <c r="Q37" s="729"/>
      <c r="R37" s="729"/>
      <c r="S37" s="729"/>
      <c r="T37" s="729"/>
      <c r="U37" s="729"/>
    </row>
    <row r="38" spans="1:21" s="714" customFormat="1" ht="24" customHeight="1">
      <c r="A38" s="992"/>
      <c r="B38" s="720" t="s">
        <v>1614</v>
      </c>
      <c r="C38" s="706"/>
      <c r="D38" s="990"/>
      <c r="E38" s="721"/>
      <c r="F38" s="722" t="s">
        <v>240</v>
      </c>
      <c r="G38" s="795" t="s">
        <v>974</v>
      </c>
      <c r="H38" s="796"/>
      <c r="I38" s="797"/>
      <c r="J38" s="796"/>
      <c r="K38" s="797"/>
      <c r="L38" s="988"/>
      <c r="M38" s="729"/>
      <c r="N38" s="729"/>
      <c r="O38" s="729"/>
      <c r="P38" s="729"/>
      <c r="Q38" s="729"/>
      <c r="R38" s="729"/>
      <c r="S38" s="729"/>
      <c r="T38" s="729"/>
      <c r="U38" s="729"/>
    </row>
    <row r="39" spans="1:21" s="714" customFormat="1" ht="24" customHeight="1">
      <c r="A39" s="992"/>
      <c r="B39" s="720" t="s">
        <v>1615</v>
      </c>
      <c r="C39" s="706"/>
      <c r="D39" s="990"/>
      <c r="E39" s="721"/>
      <c r="F39" s="722" t="s">
        <v>240</v>
      </c>
      <c r="G39" s="795" t="s">
        <v>974</v>
      </c>
      <c r="H39" s="796"/>
      <c r="I39" s="797"/>
      <c r="J39" s="796"/>
      <c r="K39" s="797"/>
      <c r="L39" s="988"/>
      <c r="M39" s="729"/>
      <c r="N39" s="729"/>
      <c r="O39" s="729"/>
      <c r="P39" s="729"/>
      <c r="Q39" s="729"/>
      <c r="R39" s="729"/>
      <c r="S39" s="729"/>
      <c r="T39" s="729"/>
      <c r="U39" s="729"/>
    </row>
    <row r="40" spans="1:21" s="714" customFormat="1" ht="24" customHeight="1">
      <c r="A40" s="993"/>
      <c r="B40" s="720" t="s">
        <v>1616</v>
      </c>
      <c r="C40" s="706"/>
      <c r="D40" s="990"/>
      <c r="E40" s="721"/>
      <c r="F40" s="722" t="s">
        <v>240</v>
      </c>
      <c r="G40" s="795" t="s">
        <v>974</v>
      </c>
      <c r="H40" s="796"/>
      <c r="I40" s="797"/>
      <c r="J40" s="796"/>
      <c r="K40" s="797"/>
      <c r="L40" s="988"/>
      <c r="M40" s="729"/>
      <c r="N40" s="729"/>
      <c r="O40" s="729"/>
      <c r="P40" s="729"/>
      <c r="Q40" s="729"/>
      <c r="R40" s="729"/>
      <c r="S40" s="729"/>
      <c r="T40" s="729"/>
      <c r="U40" s="729"/>
    </row>
    <row r="41" spans="1:21" s="714" customFormat="1" ht="24" customHeight="1">
      <c r="A41" s="993"/>
      <c r="B41" s="720" t="s">
        <v>1375</v>
      </c>
      <c r="C41" s="706"/>
      <c r="D41" s="990"/>
      <c r="E41" s="721"/>
      <c r="F41" s="722" t="s">
        <v>240</v>
      </c>
      <c r="G41" s="795" t="s">
        <v>974</v>
      </c>
      <c r="H41" s="796"/>
      <c r="I41" s="797"/>
      <c r="J41" s="796"/>
      <c r="K41" s="797"/>
      <c r="L41" s="988"/>
      <c r="M41" s="729"/>
      <c r="N41" s="729"/>
      <c r="O41" s="729"/>
      <c r="P41" s="729"/>
      <c r="Q41" s="729"/>
      <c r="R41" s="729"/>
      <c r="S41" s="729"/>
      <c r="T41" s="729"/>
      <c r="U41" s="729"/>
    </row>
    <row r="42" spans="1:21" s="714" customFormat="1" ht="24" customHeight="1">
      <c r="A42" s="1138"/>
      <c r="B42" s="720" t="s">
        <v>1617</v>
      </c>
      <c r="C42" s="987"/>
      <c r="D42" s="707"/>
      <c r="E42" s="708"/>
      <c r="F42" s="709" t="s">
        <v>240</v>
      </c>
      <c r="G42" s="795" t="s">
        <v>974</v>
      </c>
      <c r="H42" s="854"/>
      <c r="I42" s="855"/>
      <c r="J42" s="854"/>
      <c r="K42" s="855"/>
      <c r="L42" s="988"/>
      <c r="M42" s="729"/>
      <c r="N42" s="729"/>
      <c r="O42" s="729"/>
      <c r="P42" s="729"/>
      <c r="Q42" s="729"/>
      <c r="R42" s="729"/>
      <c r="S42" s="729"/>
      <c r="T42" s="729"/>
      <c r="U42" s="729"/>
    </row>
    <row r="43" spans="1:21" s="714" customFormat="1" ht="24" customHeight="1">
      <c r="A43" s="1132" t="s">
        <v>1608</v>
      </c>
      <c r="B43" s="720" t="s">
        <v>1378</v>
      </c>
      <c r="C43" s="706"/>
      <c r="D43" s="990"/>
      <c r="E43" s="721"/>
      <c r="F43" s="722"/>
      <c r="G43" s="795"/>
      <c r="H43" s="796"/>
      <c r="I43" s="797"/>
      <c r="J43" s="796"/>
      <c r="K43" s="797"/>
      <c r="L43" s="830"/>
      <c r="M43" s="729"/>
      <c r="N43" s="729"/>
      <c r="O43" s="729"/>
      <c r="P43" s="729"/>
      <c r="Q43" s="729"/>
      <c r="R43" s="729"/>
      <c r="S43" s="729"/>
      <c r="T43" s="729"/>
      <c r="U43" s="729"/>
    </row>
    <row r="44" spans="1:21" s="714" customFormat="1" ht="24" customHeight="1">
      <c r="A44" s="1134"/>
      <c r="B44" s="720" t="s">
        <v>1621</v>
      </c>
      <c r="C44" s="706"/>
      <c r="D44" s="990"/>
      <c r="E44" s="991">
        <v>500</v>
      </c>
      <c r="F44" s="722" t="s">
        <v>438</v>
      </c>
      <c r="G44" s="795">
        <v>22</v>
      </c>
      <c r="H44" s="796">
        <f>ROUND(E44*G44,)</f>
        <v>11000</v>
      </c>
      <c r="I44" s="797">
        <v>5</v>
      </c>
      <c r="J44" s="796">
        <f>ROUND(I44*E44,)</f>
        <v>2500</v>
      </c>
      <c r="K44" s="797">
        <f>H44+J44</f>
        <v>13500</v>
      </c>
      <c r="L44" s="830"/>
      <c r="M44" s="729"/>
      <c r="N44" s="729"/>
      <c r="O44" s="729"/>
      <c r="P44" s="729"/>
      <c r="Q44" s="729"/>
      <c r="R44" s="729"/>
      <c r="S44" s="729"/>
      <c r="T44" s="729"/>
      <c r="U44" s="729"/>
    </row>
    <row r="45" spans="1:21" s="714" customFormat="1" ht="24" customHeight="1">
      <c r="A45" s="993" t="s">
        <v>1633</v>
      </c>
      <c r="B45" s="720" t="s">
        <v>1357</v>
      </c>
      <c r="C45" s="706"/>
      <c r="D45" s="990"/>
      <c r="E45" s="991"/>
      <c r="F45" s="722"/>
      <c r="G45" s="795"/>
      <c r="H45" s="796"/>
      <c r="I45" s="797"/>
      <c r="J45" s="796"/>
      <c r="K45" s="797"/>
      <c r="L45" s="830"/>
      <c r="M45" s="729"/>
      <c r="N45" s="729"/>
      <c r="O45" s="729"/>
      <c r="P45" s="729"/>
      <c r="Q45" s="729"/>
      <c r="R45" s="729"/>
      <c r="S45" s="729"/>
      <c r="T45" s="729"/>
      <c r="U45" s="729"/>
    </row>
    <row r="46" spans="1:21" s="714" customFormat="1" ht="24" customHeight="1">
      <c r="A46" s="1133"/>
      <c r="B46" s="720" t="s">
        <v>1201</v>
      </c>
      <c r="C46" s="706"/>
      <c r="D46" s="990"/>
      <c r="E46" s="942">
        <v>500</v>
      </c>
      <c r="F46" s="794" t="s">
        <v>438</v>
      </c>
      <c r="G46" s="806">
        <v>27</v>
      </c>
      <c r="H46" s="796">
        <f>ROUND(E46*G46,)</f>
        <v>13500</v>
      </c>
      <c r="I46" s="807">
        <v>22</v>
      </c>
      <c r="J46" s="796">
        <f t="shared" ref="J46" si="0">ROUND(E46*I46,)</f>
        <v>11000</v>
      </c>
      <c r="K46" s="914">
        <f t="shared" ref="K46" si="1">H46+J46</f>
        <v>24500</v>
      </c>
      <c r="L46" s="1718" t="s">
        <v>2915</v>
      </c>
      <c r="M46" s="729"/>
      <c r="N46" s="714">
        <v>79.8</v>
      </c>
      <c r="O46" s="714">
        <f>ROUND(N46/3,)</f>
        <v>27</v>
      </c>
      <c r="P46" s="729"/>
      <c r="Q46" s="729"/>
      <c r="R46" s="729"/>
      <c r="S46" s="729"/>
      <c r="T46" s="729"/>
      <c r="U46" s="729"/>
    </row>
    <row r="47" spans="1:21" s="714" customFormat="1" ht="24" customHeight="1">
      <c r="A47" s="996"/>
      <c r="B47" s="720" t="s">
        <v>1237</v>
      </c>
      <c r="C47" s="706"/>
      <c r="D47" s="990"/>
      <c r="E47" s="721">
        <v>1</v>
      </c>
      <c r="F47" s="722" t="s">
        <v>948</v>
      </c>
      <c r="G47" s="795">
        <f>SUM(H46:H46)*15%</f>
        <v>2025</v>
      </c>
      <c r="H47" s="796">
        <f>ROUND(E47*G47,)</f>
        <v>2025</v>
      </c>
      <c r="I47" s="797">
        <f>ROUND(G47*0.3,)</f>
        <v>608</v>
      </c>
      <c r="J47" s="796">
        <f>ROUND(I47*E47,)</f>
        <v>608</v>
      </c>
      <c r="K47" s="797">
        <f>H47+J47</f>
        <v>2633</v>
      </c>
      <c r="L47" s="830"/>
      <c r="M47" s="729"/>
      <c r="N47" s="729"/>
      <c r="O47" s="729"/>
      <c r="P47" s="729"/>
      <c r="Q47" s="729"/>
      <c r="R47" s="729"/>
      <c r="S47" s="729"/>
      <c r="T47" s="729"/>
      <c r="U47" s="729"/>
    </row>
    <row r="48" spans="1:21" s="714" customFormat="1" ht="24" customHeight="1">
      <c r="A48" s="993"/>
      <c r="B48" s="720" t="s">
        <v>957</v>
      </c>
      <c r="C48" s="706"/>
      <c r="D48" s="990"/>
      <c r="E48" s="721"/>
      <c r="F48" s="722"/>
      <c r="G48" s="994"/>
      <c r="H48" s="796"/>
      <c r="I48" s="797"/>
      <c r="J48" s="796"/>
      <c r="K48" s="797"/>
      <c r="L48" s="830"/>
      <c r="M48" s="729"/>
      <c r="N48" s="729"/>
      <c r="O48" s="729"/>
      <c r="P48" s="729"/>
      <c r="Q48" s="729"/>
      <c r="R48" s="729"/>
      <c r="S48" s="729"/>
      <c r="T48" s="729"/>
      <c r="U48" s="729"/>
    </row>
    <row r="49" spans="1:21" s="714" customFormat="1" ht="24" customHeight="1">
      <c r="A49" s="1138"/>
      <c r="B49" s="769"/>
      <c r="C49" s="987"/>
      <c r="D49" s="707"/>
      <c r="E49" s="708"/>
      <c r="F49" s="709"/>
      <c r="G49" s="1142"/>
      <c r="H49" s="854"/>
      <c r="I49" s="855"/>
      <c r="J49" s="854"/>
      <c r="K49" s="855"/>
      <c r="L49" s="988"/>
      <c r="M49" s="729"/>
      <c r="N49" s="729"/>
      <c r="O49" s="729"/>
      <c r="P49" s="729"/>
      <c r="Q49" s="729"/>
      <c r="R49" s="729"/>
      <c r="S49" s="729"/>
      <c r="T49" s="729"/>
      <c r="U49" s="729"/>
    </row>
    <row r="50" spans="1:21" s="714" customFormat="1" ht="24" customHeight="1">
      <c r="A50" s="996"/>
      <c r="B50" s="720"/>
      <c r="C50" s="706"/>
      <c r="D50" s="990"/>
      <c r="E50" s="721"/>
      <c r="F50" s="722"/>
      <c r="G50" s="994"/>
      <c r="H50" s="796"/>
      <c r="I50" s="797"/>
      <c r="J50" s="796"/>
      <c r="K50" s="797"/>
      <c r="L50" s="830"/>
      <c r="M50" s="729"/>
      <c r="N50" s="729"/>
      <c r="O50" s="729"/>
      <c r="P50" s="729"/>
      <c r="Q50" s="729"/>
      <c r="R50" s="729"/>
      <c r="S50" s="729"/>
      <c r="T50" s="729"/>
      <c r="U50" s="729"/>
    </row>
    <row r="51" spans="1:21" s="714" customFormat="1" ht="24" customHeight="1">
      <c r="A51" s="1139"/>
      <c r="B51" s="769"/>
      <c r="C51" s="987"/>
      <c r="D51" s="707"/>
      <c r="E51" s="708"/>
      <c r="F51" s="709"/>
      <c r="G51" s="806"/>
      <c r="H51" s="796"/>
      <c r="I51" s="807"/>
      <c r="J51" s="796"/>
      <c r="K51" s="914"/>
      <c r="L51" s="988"/>
      <c r="M51" s="729"/>
      <c r="N51" s="729"/>
      <c r="O51" s="729"/>
      <c r="P51" s="729"/>
      <c r="Q51" s="729"/>
      <c r="R51" s="729"/>
      <c r="S51" s="729"/>
      <c r="T51" s="729"/>
      <c r="U51" s="729"/>
    </row>
    <row r="52" spans="1:21" s="714" customFormat="1" ht="24" customHeight="1">
      <c r="A52" s="1132"/>
      <c r="B52" s="720"/>
      <c r="C52" s="706"/>
      <c r="D52" s="990"/>
      <c r="E52" s="721"/>
      <c r="F52" s="722"/>
      <c r="G52" s="795"/>
      <c r="H52" s="796"/>
      <c r="I52" s="797"/>
      <c r="J52" s="796"/>
      <c r="K52" s="797"/>
      <c r="L52" s="830"/>
      <c r="M52" s="729"/>
      <c r="N52" s="729"/>
      <c r="O52" s="729"/>
      <c r="P52" s="729"/>
      <c r="Q52" s="729"/>
      <c r="R52" s="729"/>
      <c r="S52" s="729"/>
      <c r="T52" s="729"/>
      <c r="U52" s="729"/>
    </row>
    <row r="53" spans="1:21" s="714" customFormat="1" ht="24" customHeight="1">
      <c r="A53" s="1133"/>
      <c r="B53" s="720"/>
      <c r="C53" s="706"/>
      <c r="D53" s="990"/>
      <c r="E53" s="721"/>
      <c r="F53" s="722"/>
      <c r="G53" s="795"/>
      <c r="H53" s="796"/>
      <c r="I53" s="797"/>
      <c r="J53" s="796"/>
      <c r="K53" s="797"/>
      <c r="L53" s="830"/>
      <c r="M53" s="729"/>
      <c r="N53" s="729"/>
      <c r="O53" s="729"/>
      <c r="P53" s="729"/>
      <c r="Q53" s="729"/>
      <c r="R53" s="729"/>
      <c r="S53" s="729"/>
      <c r="T53" s="729"/>
      <c r="U53" s="729"/>
    </row>
    <row r="54" spans="1:21" s="714" customFormat="1" ht="24" customHeight="1">
      <c r="A54" s="1132"/>
      <c r="B54" s="720"/>
      <c r="C54" s="706"/>
      <c r="D54" s="990"/>
      <c r="E54" s="721"/>
      <c r="F54" s="722"/>
      <c r="G54" s="795"/>
      <c r="H54" s="796"/>
      <c r="I54" s="797"/>
      <c r="J54" s="796"/>
      <c r="K54" s="797"/>
      <c r="L54" s="830"/>
      <c r="M54" s="729"/>
      <c r="N54" s="729"/>
      <c r="O54" s="729"/>
      <c r="P54" s="729"/>
      <c r="Q54" s="729"/>
      <c r="R54" s="729"/>
      <c r="S54" s="729"/>
      <c r="T54" s="729"/>
      <c r="U54" s="729"/>
    </row>
    <row r="55" spans="1:21" s="714" customFormat="1" ht="24" customHeight="1">
      <c r="A55" s="1134"/>
      <c r="B55" s="720"/>
      <c r="C55" s="706"/>
      <c r="D55" s="990"/>
      <c r="E55" s="721"/>
      <c r="F55" s="722"/>
      <c r="G55" s="795"/>
      <c r="H55" s="796"/>
      <c r="I55" s="797"/>
      <c r="J55" s="796"/>
      <c r="K55" s="797"/>
      <c r="L55" s="830"/>
      <c r="M55" s="729"/>
      <c r="N55" s="729"/>
      <c r="O55" s="729"/>
      <c r="P55" s="729"/>
      <c r="Q55" s="729"/>
      <c r="R55" s="729"/>
      <c r="S55" s="729"/>
      <c r="T55" s="729"/>
      <c r="U55" s="729"/>
    </row>
    <row r="56" spans="1:21" s="714" customFormat="1" ht="24" customHeight="1">
      <c r="A56" s="993"/>
      <c r="B56" s="720"/>
      <c r="C56" s="706"/>
      <c r="D56" s="990"/>
      <c r="E56" s="721"/>
      <c r="F56" s="722"/>
      <c r="G56" s="795"/>
      <c r="H56" s="796"/>
      <c r="I56" s="797"/>
      <c r="J56" s="796"/>
      <c r="K56" s="797"/>
      <c r="L56" s="830"/>
      <c r="M56" s="729"/>
      <c r="N56" s="729"/>
      <c r="O56" s="729"/>
      <c r="P56" s="729"/>
      <c r="Q56" s="729"/>
      <c r="R56" s="729"/>
      <c r="S56" s="729"/>
      <c r="T56" s="729"/>
      <c r="U56" s="729"/>
    </row>
    <row r="57" spans="1:21" s="714" customFormat="1" ht="24" customHeight="1">
      <c r="A57" s="777"/>
      <c r="B57" s="2475" t="str">
        <f>"รวมราคารายการที่ "&amp;A35</f>
        <v>รวมราคารายการที่ 4.1</v>
      </c>
      <c r="C57" s="2476"/>
      <c r="D57" s="2477"/>
      <c r="E57" s="997"/>
      <c r="F57" s="777"/>
      <c r="G57" s="959"/>
      <c r="H57" s="960">
        <f>SUM(H36:H56)</f>
        <v>361085</v>
      </c>
      <c r="I57" s="959"/>
      <c r="J57" s="960">
        <f t="shared" ref="J57:K57" si="2">SUM(J36:J56)</f>
        <v>22108</v>
      </c>
      <c r="K57" s="960">
        <f t="shared" si="2"/>
        <v>383193</v>
      </c>
      <c r="L57" s="777"/>
      <c r="M57" s="729"/>
      <c r="N57" s="729"/>
      <c r="O57" s="729"/>
      <c r="P57" s="729"/>
      <c r="Q57" s="729"/>
      <c r="R57" s="729"/>
      <c r="S57" s="729"/>
      <c r="T57" s="729"/>
      <c r="U57" s="729"/>
    </row>
    <row r="58" spans="1:21" s="2" customFormat="1" ht="24" customHeight="1">
      <c r="B58" s="1"/>
      <c r="C58" s="1"/>
      <c r="D58" s="1"/>
      <c r="E58" s="73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</sheetData>
  <mergeCells count="10">
    <mergeCell ref="B34:D34"/>
    <mergeCell ref="B57:D57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59055118110236204" right="0.196850393700787" top="0.66929133858267698" bottom="0.47244094488188998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&amp;Rงานระบบโทรทัศน์วงจรปิด ชั้น 8-อาคารสนับนุน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513F5-81D5-48CE-99F1-4A7CA2BF55EE}">
  <sheetPr>
    <tabColor rgb="FF92D050"/>
  </sheetPr>
  <dimension ref="A1:U31"/>
  <sheetViews>
    <sheetView showGridLines="0" tabSelected="1" view="pageBreakPreview" topLeftCell="A10" zoomScale="60" zoomScaleNormal="6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15.703125" style="1" customWidth="1"/>
    <col min="13" max="99" width="7.703125" style="1" customWidth="1"/>
    <col min="100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1635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 t="s">
        <v>29</v>
      </c>
      <c r="B11" s="1144" t="s">
        <v>30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ht="24" customHeight="1">
      <c r="A12" s="1147"/>
      <c r="B12" s="1148"/>
      <c r="C12" s="1123"/>
      <c r="D12" s="1124"/>
      <c r="E12" s="1149"/>
      <c r="F12" s="1150"/>
      <c r="G12" s="710"/>
      <c r="H12" s="711"/>
      <c r="I12" s="712"/>
      <c r="J12" s="711"/>
      <c r="K12" s="1129"/>
      <c r="L12" s="1024"/>
    </row>
    <row r="13" spans="1:12" ht="24" customHeight="1">
      <c r="A13" s="1147"/>
      <c r="B13" s="1151"/>
      <c r="C13" s="1123"/>
      <c r="D13" s="1124"/>
      <c r="E13" s="1149"/>
      <c r="F13" s="1150"/>
      <c r="G13" s="710"/>
      <c r="H13" s="711"/>
      <c r="I13" s="712"/>
      <c r="J13" s="711"/>
      <c r="K13" s="1129"/>
      <c r="L13" s="1024"/>
    </row>
    <row r="14" spans="1:12" s="714" customFormat="1" ht="24" customHeight="1">
      <c r="A14" s="1147">
        <v>1</v>
      </c>
      <c r="B14" s="1148" t="str">
        <f>'05.SAN ศูนย์ประชุม(Main)'!B11</f>
        <v>งานระบบสุขาภิบาล (Main)</v>
      </c>
      <c r="C14" s="1123"/>
      <c r="D14" s="1124"/>
      <c r="E14" s="708">
        <v>1</v>
      </c>
      <c r="F14" s="1150" t="s">
        <v>19</v>
      </c>
      <c r="G14" s="710"/>
      <c r="H14" s="711">
        <f>'05.SAN ศูนย์ประชุม(Main)'!H35</f>
        <v>6466746</v>
      </c>
      <c r="I14" s="712"/>
      <c r="J14" s="711">
        <f>'05.SAN ศูนย์ประชุม(Main)'!J35</f>
        <v>1436991</v>
      </c>
      <c r="K14" s="711">
        <f>'05.SAN ศูนย์ประชุม(Main)'!K35</f>
        <v>7903737</v>
      </c>
      <c r="L14" s="2271"/>
    </row>
    <row r="15" spans="1:12" s="714" customFormat="1" ht="24" customHeight="1">
      <c r="A15" s="1147">
        <v>2</v>
      </c>
      <c r="B15" s="1148" t="str">
        <f>'05.SAN ศูนย์ประชุม(B2)'!B11</f>
        <v>งานระบบสุขาภิบาล ชั้น B2</v>
      </c>
      <c r="C15" s="1123"/>
      <c r="D15" s="1124"/>
      <c r="E15" s="708">
        <v>1</v>
      </c>
      <c r="F15" s="1150" t="s">
        <v>19</v>
      </c>
      <c r="G15" s="710"/>
      <c r="H15" s="711">
        <f>'05.SAN ศูนย์ประชุม(B2)'!H34</f>
        <v>365591</v>
      </c>
      <c r="I15" s="712"/>
      <c r="J15" s="711">
        <f>'05.SAN ศูนย์ประชุม(B2)'!J34</f>
        <v>124304</v>
      </c>
      <c r="K15" s="711">
        <f>'05.SAN ศูนย์ประชุม(B2)'!K34</f>
        <v>489895</v>
      </c>
      <c r="L15" s="2271"/>
    </row>
    <row r="16" spans="1:12" s="714" customFormat="1" ht="24" customHeight="1">
      <c r="A16" s="1147">
        <v>3</v>
      </c>
      <c r="B16" s="1148" t="str">
        <f>'05.SAN ศูนย์ประชุม(B1)'!B11</f>
        <v>งานระบบสุขาภิบาล ชั้น B1</v>
      </c>
      <c r="C16" s="1123"/>
      <c r="D16" s="1124"/>
      <c r="E16" s="708">
        <v>1</v>
      </c>
      <c r="F16" s="1150" t="s">
        <v>19</v>
      </c>
      <c r="G16" s="710"/>
      <c r="H16" s="711">
        <f>'05.SAN ศูนย์ประชุม(B1)'!H34</f>
        <v>80652</v>
      </c>
      <c r="I16" s="712"/>
      <c r="J16" s="711">
        <f>'05.SAN ศูนย์ประชุม(B1)'!J34</f>
        <v>34049</v>
      </c>
      <c r="K16" s="711">
        <f>'05.SAN ศูนย์ประชุม(B1)'!K34</f>
        <v>114701</v>
      </c>
      <c r="L16" s="2271"/>
    </row>
    <row r="17" spans="1:21" s="714" customFormat="1" ht="24" customHeight="1">
      <c r="A17" s="1147">
        <v>4</v>
      </c>
      <c r="B17" s="1148" t="str">
        <f>'05.SAN ศูนย์ประชุม (FL1)'!B11</f>
        <v>งานระบบสุขาภิบาล ชั้น 1</v>
      </c>
      <c r="C17" s="1123"/>
      <c r="D17" s="1124"/>
      <c r="E17" s="708">
        <v>1</v>
      </c>
      <c r="F17" s="1150" t="s">
        <v>19</v>
      </c>
      <c r="G17" s="710"/>
      <c r="H17" s="711">
        <f>'05.SAN ศูนย์ประชุม (FL1)'!H34</f>
        <v>4713112</v>
      </c>
      <c r="I17" s="712"/>
      <c r="J17" s="711">
        <f>'05.SAN ศูนย์ประชุม (FL1)'!J34</f>
        <v>1354279</v>
      </c>
      <c r="K17" s="711">
        <f>'05.SAN ศูนย์ประชุม (FL1)'!K34</f>
        <v>6067391</v>
      </c>
      <c r="L17" s="2271"/>
    </row>
    <row r="18" spans="1:21" s="714" customFormat="1" ht="24" customHeight="1">
      <c r="A18" s="1147">
        <v>5</v>
      </c>
      <c r="B18" s="1148" t="str">
        <f>'05.SAN ศูนย์ประชุม (FL2)'!B11</f>
        <v>งานระบบสุขาภิบาล ชั้น 2</v>
      </c>
      <c r="C18" s="1123"/>
      <c r="D18" s="1124"/>
      <c r="E18" s="708">
        <v>1</v>
      </c>
      <c r="F18" s="1150" t="s">
        <v>19</v>
      </c>
      <c r="G18" s="710"/>
      <c r="H18" s="711">
        <f>'05.SAN ศูนย์ประชุม (FL2)'!H34</f>
        <v>668052</v>
      </c>
      <c r="I18" s="712"/>
      <c r="J18" s="711">
        <f>'05.SAN ศูนย์ประชุม (FL2)'!J34</f>
        <v>220785</v>
      </c>
      <c r="K18" s="711">
        <f>'05.SAN ศูนย์ประชุม (FL2)'!K34</f>
        <v>888837</v>
      </c>
      <c r="L18" s="2271"/>
    </row>
    <row r="19" spans="1:21" s="714" customFormat="1" ht="24" customHeight="1">
      <c r="A19" s="1147">
        <v>6</v>
      </c>
      <c r="B19" s="1148" t="str">
        <f>'05.SAN ศูนย์ประชุม (FL3)'!B11</f>
        <v>งานระบบสุขาภิบาล ชั้น 3</v>
      </c>
      <c r="C19" s="1123"/>
      <c r="D19" s="1124"/>
      <c r="E19" s="708">
        <v>1</v>
      </c>
      <c r="F19" s="1150" t="s">
        <v>19</v>
      </c>
      <c r="G19" s="710"/>
      <c r="H19" s="711">
        <f>'05.SAN ศูนย์ประชุม (FL3)'!H34</f>
        <v>586356</v>
      </c>
      <c r="I19" s="712"/>
      <c r="J19" s="711">
        <f>'05.SAN ศูนย์ประชุม (FL3)'!J34</f>
        <v>200453</v>
      </c>
      <c r="K19" s="711">
        <f>'05.SAN ศูนย์ประชุม (FL3)'!K34</f>
        <v>786809</v>
      </c>
      <c r="L19" s="2271"/>
    </row>
    <row r="20" spans="1:21" s="714" customFormat="1" ht="24" customHeight="1">
      <c r="A20" s="1147">
        <v>7</v>
      </c>
      <c r="B20" s="1148" t="str">
        <f>'05.SAN ศูนย์ประชุม (FL4)'!B11</f>
        <v>งานระบบสุขาภิบาล ชั้น 4</v>
      </c>
      <c r="C20" s="1123"/>
      <c r="D20" s="1124"/>
      <c r="E20" s="708">
        <v>1</v>
      </c>
      <c r="F20" s="1150" t="s">
        <v>19</v>
      </c>
      <c r="G20" s="710"/>
      <c r="H20" s="711">
        <f>'05.SAN ศูนย์ประชุม (FL4)'!H34</f>
        <v>592619</v>
      </c>
      <c r="I20" s="712"/>
      <c r="J20" s="711">
        <f>'05.SAN ศูนย์ประชุม (FL4)'!J34</f>
        <v>198061</v>
      </c>
      <c r="K20" s="711">
        <f>'05.SAN ศูนย์ประชุม (FL4)'!K34</f>
        <v>790680</v>
      </c>
      <c r="L20" s="2271"/>
    </row>
    <row r="21" spans="1:21" s="714" customFormat="1" ht="24" customHeight="1">
      <c r="A21" s="1147">
        <v>8</v>
      </c>
      <c r="B21" s="1148" t="str">
        <f>'05.SANศูนย์ประชุม (FL5)'!B11</f>
        <v>งานระบบสุขาภิบาล ชั้น 5</v>
      </c>
      <c r="C21" s="1123"/>
      <c r="D21" s="1124"/>
      <c r="E21" s="708">
        <v>1</v>
      </c>
      <c r="F21" s="1150" t="s">
        <v>19</v>
      </c>
      <c r="G21" s="710"/>
      <c r="H21" s="711">
        <f>'05.SANศูนย์ประชุม (FL5)'!H34</f>
        <v>620272</v>
      </c>
      <c r="I21" s="712"/>
      <c r="J21" s="711">
        <f>'05.SANศูนย์ประชุม (FL5)'!J34</f>
        <v>209937</v>
      </c>
      <c r="K21" s="711">
        <f>'05.SANศูนย์ประชุม (FL5)'!K34</f>
        <v>830209</v>
      </c>
      <c r="L21" s="2271"/>
    </row>
    <row r="22" spans="1:21" s="714" customFormat="1" ht="24" customHeight="1">
      <c r="A22" s="1147">
        <v>9</v>
      </c>
      <c r="B22" s="1148" t="str">
        <f>'05.SAN ศูนย์ประชุม (FL6)'!B11</f>
        <v>งานระบบสุขาภิบาล ชั้น 6</v>
      </c>
      <c r="C22" s="1123"/>
      <c r="D22" s="1124"/>
      <c r="E22" s="708">
        <v>1</v>
      </c>
      <c r="F22" s="1150" t="s">
        <v>19</v>
      </c>
      <c r="G22" s="710"/>
      <c r="H22" s="711">
        <f>'05.SAN ศูนย์ประชุม (FL6)'!H34</f>
        <v>599032</v>
      </c>
      <c r="I22" s="712"/>
      <c r="J22" s="711">
        <f>'05.SAN ศูนย์ประชุม (FL6)'!J34</f>
        <v>204016</v>
      </c>
      <c r="K22" s="711">
        <f>'05.SAN ศูนย์ประชุม (FL6)'!K34</f>
        <v>803048</v>
      </c>
      <c r="L22" s="2271"/>
    </row>
    <row r="23" spans="1:21" s="714" customFormat="1" ht="24" customHeight="1">
      <c r="A23" s="1147">
        <v>10</v>
      </c>
      <c r="B23" s="1148" t="str">
        <f>'05.SAN ศูนย์ประชุม (FL7)'!B11</f>
        <v>งานระบบสุขาภิบาล ชั้น 7</v>
      </c>
      <c r="C23" s="1123"/>
      <c r="D23" s="1124"/>
      <c r="E23" s="708">
        <v>1</v>
      </c>
      <c r="F23" s="1150" t="s">
        <v>19</v>
      </c>
      <c r="G23" s="710"/>
      <c r="H23" s="711">
        <f>'05.SAN ศูนย์ประชุม (FL7)'!H34</f>
        <v>595789</v>
      </c>
      <c r="I23" s="712"/>
      <c r="J23" s="711">
        <f>'05.SAN ศูนย์ประชุม (FL7)'!J34</f>
        <v>202984</v>
      </c>
      <c r="K23" s="711">
        <f>'05.SAN ศูนย์ประชุม (FL7)'!K34</f>
        <v>798773</v>
      </c>
      <c r="L23" s="2271"/>
    </row>
    <row r="24" spans="1:21" s="714" customFormat="1" ht="24" customHeight="1">
      <c r="A24" s="1147">
        <v>11</v>
      </c>
      <c r="B24" s="1148" t="str">
        <f>'05.SAN อศูนย์ประชุม (FL8)'!B11</f>
        <v>งานระบบสุขาภิบาล ชั้น 8</v>
      </c>
      <c r="C24" s="1123"/>
      <c r="D24" s="1124"/>
      <c r="E24" s="708">
        <v>1</v>
      </c>
      <c r="F24" s="1150" t="s">
        <v>19</v>
      </c>
      <c r="G24" s="710"/>
      <c r="H24" s="711">
        <f>'05.SAN อศูนย์ประชุม (FL8)'!H34</f>
        <v>146514</v>
      </c>
      <c r="I24" s="712"/>
      <c r="J24" s="711">
        <f>'05.SAN อศูนย์ประชุม (FL8)'!J34</f>
        <v>64400</v>
      </c>
      <c r="K24" s="711">
        <f>'05.SAN อศูนย์ประชุม (FL8)'!K34</f>
        <v>210914</v>
      </c>
      <c r="L24" s="2271"/>
    </row>
    <row r="25" spans="1:21" s="714" customFormat="1" ht="24" customHeight="1">
      <c r="A25" s="1147">
        <v>12</v>
      </c>
      <c r="B25" s="1148" t="str">
        <f>'05.SAN ศูนย์ประชุม (FLR)'!B11</f>
        <v>งานระบบสุขาภิบาล ชั้นหลังคา</v>
      </c>
      <c r="C25" s="1123"/>
      <c r="D25" s="1124"/>
      <c r="E25" s="708">
        <v>1</v>
      </c>
      <c r="F25" s="1150" t="s">
        <v>19</v>
      </c>
      <c r="G25" s="710"/>
      <c r="H25" s="711">
        <f>'05.SAN ศูนย์ประชุม (FLR)'!H34</f>
        <v>186670</v>
      </c>
      <c r="I25" s="712"/>
      <c r="J25" s="711">
        <f>'05.SAN ศูนย์ประชุม (FLR)'!J34</f>
        <v>69656</v>
      </c>
      <c r="K25" s="711">
        <f>'05.SAN ศูนย์ประชุม (FLR)'!K34</f>
        <v>256326</v>
      </c>
      <c r="L25" s="2271"/>
    </row>
    <row r="26" spans="1:21" s="714" customFormat="1" ht="24" customHeight="1">
      <c r="A26" s="1147"/>
      <c r="B26" s="1151"/>
      <c r="C26" s="1123"/>
      <c r="D26" s="1124"/>
      <c r="E26" s="1149"/>
      <c r="F26" s="1150"/>
      <c r="G26" s="710"/>
      <c r="H26" s="711"/>
      <c r="I26" s="712"/>
      <c r="J26" s="711"/>
      <c r="K26" s="1129"/>
      <c r="L26" s="2271"/>
    </row>
    <row r="27" spans="1:21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2271"/>
    </row>
    <row r="28" spans="1:21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2271"/>
    </row>
    <row r="29" spans="1:21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2271"/>
    </row>
    <row r="30" spans="1:21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2271"/>
    </row>
    <row r="31" spans="1:21" s="714" customFormat="1" ht="30" customHeight="1">
      <c r="A31" s="724"/>
      <c r="B31" s="2468" t="str">
        <f>"รวมราคา"&amp;B11</f>
        <v>รวมราคางานระบบสุขาภิบาล</v>
      </c>
      <c r="C31" s="2468"/>
      <c r="D31" s="2468"/>
      <c r="E31" s="1152"/>
      <c r="F31" s="1152"/>
      <c r="G31" s="1153"/>
      <c r="H31" s="728">
        <f>SUM(H14:H30)</f>
        <v>15621405</v>
      </c>
      <c r="I31" s="728"/>
      <c r="J31" s="728">
        <f>SUM(J14:J30)</f>
        <v>4319915</v>
      </c>
      <c r="K31" s="728">
        <f>SUM(K14:K30)</f>
        <v>19941320</v>
      </c>
      <c r="L31" s="2272"/>
      <c r="M31" s="729"/>
      <c r="N31" s="729"/>
      <c r="O31" s="729"/>
      <c r="P31" s="729"/>
      <c r="Q31" s="729"/>
      <c r="R31" s="729"/>
      <c r="S31" s="729"/>
      <c r="T31" s="729"/>
      <c r="U31" s="729"/>
    </row>
  </sheetData>
  <mergeCells count="9">
    <mergeCell ref="B31:D31"/>
    <mergeCell ref="L7:L8"/>
    <mergeCell ref="A9:A10"/>
    <mergeCell ref="B9:D10"/>
    <mergeCell ref="E9:E10"/>
    <mergeCell ref="F9:F10"/>
    <mergeCell ref="G9:H9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&amp;Rหน้าสรุปงานระบบสุขาภิบาล-อาคารสนับนุน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A8972-BEC7-4D93-87B2-3333F12AB6B8}">
  <sheetPr>
    <tabColor rgb="FF92D050"/>
  </sheetPr>
  <dimension ref="A1:R210"/>
  <sheetViews>
    <sheetView showGridLines="0" tabSelected="1" view="pageBreakPreview" topLeftCell="A195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29296875" style="1" customWidth="1"/>
    <col min="13" max="14" width="7.703125" style="1" customWidth="1"/>
    <col min="15" max="15" width="12.29296875" style="1" bestFit="1" customWidth="1"/>
    <col min="16" max="17" width="7.703125" style="1" customWidth="1"/>
    <col min="18" max="18" width="14.29296875" style="1" bestFit="1" customWidth="1"/>
    <col min="19" max="66" width="7.703125" style="1" customWidth="1"/>
    <col min="67" max="16384" width="9" style="1"/>
  </cols>
  <sheetData>
    <row r="1" spans="1:12" ht="35.1" customHeight="1">
      <c r="A1" s="30"/>
      <c r="B1" s="30"/>
      <c r="C1" s="31"/>
      <c r="D1" s="31"/>
      <c r="E1" s="68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1635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 t="s">
        <v>29</v>
      </c>
      <c r="B11" s="1144" t="s">
        <v>1636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 t="str">
        <f>A37</f>
        <v>5.1</v>
      </c>
      <c r="B12" s="1148" t="str">
        <f>B37</f>
        <v>ระบบน้ำประปา (Cold Water Supply System)</v>
      </c>
      <c r="C12" s="1123"/>
      <c r="D12" s="1124"/>
      <c r="E12" s="708">
        <v>1</v>
      </c>
      <c r="F12" s="1150" t="s">
        <v>19</v>
      </c>
      <c r="G12" s="710"/>
      <c r="H12" s="711">
        <f>H65</f>
        <v>1149837</v>
      </c>
      <c r="I12" s="712"/>
      <c r="J12" s="711">
        <f>J65</f>
        <v>230560</v>
      </c>
      <c r="K12" s="1129">
        <f t="shared" ref="K12:K16" si="0">SUM(H12:J12)</f>
        <v>1380397</v>
      </c>
      <c r="L12" s="1024"/>
    </row>
    <row r="13" spans="1:12" s="714" customFormat="1" ht="24" customHeight="1">
      <c r="A13" s="1159" t="str">
        <f>A66</f>
        <v>5.2</v>
      </c>
      <c r="B13" s="1160" t="str">
        <f>B66</f>
        <v xml:space="preserve">ระบบระบายน้ำโสโครก น้ำทิ้ง ระบายอากาศ และ ท่อน้ำทิ้งจากห้องครัว </v>
      </c>
      <c r="C13" s="1161"/>
      <c r="D13" s="1162"/>
      <c r="E13" s="708">
        <v>1</v>
      </c>
      <c r="F13" s="1163" t="s">
        <v>19</v>
      </c>
      <c r="G13" s="1164"/>
      <c r="H13" s="957">
        <f>H105</f>
        <v>2417601</v>
      </c>
      <c r="I13" s="1165"/>
      <c r="J13" s="957">
        <f>J105</f>
        <v>526477</v>
      </c>
      <c r="K13" s="1129">
        <f t="shared" si="0"/>
        <v>2944078</v>
      </c>
      <c r="L13" s="954"/>
    </row>
    <row r="14" spans="1:12" s="714" customFormat="1" ht="24" customHeight="1">
      <c r="A14" s="1159">
        <f>A106</f>
        <v>5.3</v>
      </c>
      <c r="B14" s="1160" t="str">
        <f>B106</f>
        <v>ระบบระบายน้ำฝนและระบายน้ำในอาคาร (Storm Drain &amp; Building Drain System)</v>
      </c>
      <c r="C14" s="1161"/>
      <c r="D14" s="1162"/>
      <c r="E14" s="708">
        <v>1</v>
      </c>
      <c r="F14" s="1163" t="s">
        <v>19</v>
      </c>
      <c r="G14" s="1164"/>
      <c r="H14" s="957">
        <f>H135</f>
        <v>1241610</v>
      </c>
      <c r="I14" s="1165"/>
      <c r="J14" s="957">
        <f>J135</f>
        <v>377030</v>
      </c>
      <c r="K14" s="1129">
        <f t="shared" si="0"/>
        <v>1618640</v>
      </c>
      <c r="L14" s="954"/>
    </row>
    <row r="15" spans="1:12" s="714" customFormat="1" ht="24" customHeight="1">
      <c r="A15" s="1159" t="str">
        <f>A136</f>
        <v>5.4</v>
      </c>
      <c r="B15" s="1160" t="str">
        <f>B136</f>
        <v>ระบบน้ำชำระสุขภัณฑ์ (Flush Water System)</v>
      </c>
      <c r="C15" s="1161"/>
      <c r="D15" s="1162"/>
      <c r="E15" s="708">
        <v>1</v>
      </c>
      <c r="F15" s="1163" t="s">
        <v>19</v>
      </c>
      <c r="G15" s="1164"/>
      <c r="H15" s="957">
        <f>H160</f>
        <v>925459</v>
      </c>
      <c r="I15" s="1165"/>
      <c r="J15" s="957">
        <f>J160</f>
        <v>184344</v>
      </c>
      <c r="K15" s="1129">
        <f t="shared" si="0"/>
        <v>1109803</v>
      </c>
      <c r="L15" s="954"/>
    </row>
    <row r="16" spans="1:12" s="714" customFormat="1" ht="24" customHeight="1">
      <c r="A16" s="1159" t="str">
        <f>A161</f>
        <v>5.5</v>
      </c>
      <c r="B16" s="1160" t="str">
        <f>B161</f>
        <v>ระบบน้ำต้นไม้ (Irrigation Water System)</v>
      </c>
      <c r="C16" s="1161"/>
      <c r="D16" s="1162"/>
      <c r="E16" s="708">
        <v>1</v>
      </c>
      <c r="F16" s="1163" t="s">
        <v>19</v>
      </c>
      <c r="G16" s="1164"/>
      <c r="H16" s="957">
        <f>H175</f>
        <v>264013</v>
      </c>
      <c r="I16" s="1165"/>
      <c r="J16" s="957">
        <f>J175</f>
        <v>65408</v>
      </c>
      <c r="K16" s="1129">
        <f t="shared" si="0"/>
        <v>329421</v>
      </c>
      <c r="L16" s="1024">
        <f>SUM(K12:K17)</f>
        <v>7684497</v>
      </c>
    </row>
    <row r="17" spans="1:12" s="714" customFormat="1" ht="24" customHeight="1">
      <c r="A17" s="1159" t="str">
        <f>A176</f>
        <v>5.6</v>
      </c>
      <c r="B17" s="1160" t="str">
        <f>B176</f>
        <v>ระบบไฟฟ้าและควบคุม (Electrical &amp; Control System) สำหรับระบบสุขาภิบาล</v>
      </c>
      <c r="C17" s="1161"/>
      <c r="D17" s="1162"/>
      <c r="E17" s="708">
        <v>1</v>
      </c>
      <c r="F17" s="1163" t="s">
        <v>19</v>
      </c>
      <c r="G17" s="1164"/>
      <c r="H17" s="957">
        <f>H193</f>
        <v>259426</v>
      </c>
      <c r="I17" s="1165"/>
      <c r="J17" s="957">
        <f>J193</f>
        <v>42732</v>
      </c>
      <c r="K17" s="1129">
        <f>SUM(H17:J17)</f>
        <v>302158</v>
      </c>
      <c r="L17" s="1024"/>
    </row>
    <row r="18" spans="1:12" s="714" customFormat="1" ht="24" customHeight="1">
      <c r="A18" s="1147" t="str">
        <f>A194</f>
        <v>5.7</v>
      </c>
      <c r="B18" s="1148" t="str">
        <f>B194</f>
        <v>หมวดงานเชื่อมต่อกับระบบ BAS (ระบบสุขาภิบาล)</v>
      </c>
      <c r="C18" s="1123"/>
      <c r="D18" s="1124"/>
      <c r="E18" s="708">
        <v>1</v>
      </c>
      <c r="F18" s="1150" t="s">
        <v>19</v>
      </c>
      <c r="G18" s="710"/>
      <c r="H18" s="711">
        <f>H210</f>
        <v>208800</v>
      </c>
      <c r="I18" s="712"/>
      <c r="J18" s="711">
        <f>J210</f>
        <v>10440</v>
      </c>
      <c r="K18" s="1129">
        <f>SUM(H18:J18)</f>
        <v>219240</v>
      </c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8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8" s="714" customFormat="1" ht="21.3">
      <c r="A34" s="1147"/>
      <c r="B34" s="1148"/>
      <c r="C34" s="1123"/>
      <c r="D34" s="1124"/>
      <c r="E34" s="1149"/>
      <c r="F34" s="1150"/>
      <c r="G34" s="710"/>
      <c r="H34" s="711"/>
      <c r="I34" s="712"/>
      <c r="J34" s="711"/>
      <c r="K34" s="1129"/>
      <c r="L34" s="1024"/>
    </row>
    <row r="35" spans="1:18" s="714" customFormat="1" ht="24" customHeight="1">
      <c r="A35" s="1166"/>
      <c r="B35" s="2475" t="str">
        <f>"รวมราคา"&amp;B11</f>
        <v>รวมราคางานระบบสุขาภิบาล (Main)</v>
      </c>
      <c r="C35" s="2476"/>
      <c r="D35" s="2477"/>
      <c r="E35" s="2264"/>
      <c r="F35" s="1167"/>
      <c r="G35" s="1168"/>
      <c r="H35" s="1169">
        <f>SUM(H12:H18)</f>
        <v>6466746</v>
      </c>
      <c r="I35" s="1170"/>
      <c r="J35" s="1169">
        <f>SUM(J12:J18)</f>
        <v>1436991</v>
      </c>
      <c r="K35" s="1171">
        <f>SUM(K12:K18)</f>
        <v>7903737</v>
      </c>
      <c r="L35" s="1171"/>
      <c r="R35" s="1172"/>
    </row>
    <row r="36" spans="1:18" s="714" customFormat="1" ht="24" customHeight="1">
      <c r="A36" s="1011"/>
      <c r="B36" s="1173" t="s">
        <v>30</v>
      </c>
      <c r="C36" s="859"/>
      <c r="D36" s="859"/>
      <c r="E36" s="819"/>
      <c r="F36" s="935"/>
      <c r="G36" s="1174"/>
      <c r="H36" s="1175"/>
      <c r="I36" s="1176"/>
      <c r="J36" s="1175"/>
      <c r="K36" s="1176"/>
      <c r="L36" s="825"/>
    </row>
    <row r="37" spans="1:18" s="714" customFormat="1" ht="24" customHeight="1">
      <c r="A37" s="1177" t="s">
        <v>1637</v>
      </c>
      <c r="B37" s="1151" t="s">
        <v>1638</v>
      </c>
      <c r="C37" s="1178"/>
      <c r="D37" s="1124"/>
      <c r="E37" s="1149"/>
      <c r="F37" s="1150"/>
      <c r="G37" s="1179"/>
      <c r="H37" s="1180"/>
      <c r="I37" s="1181"/>
      <c r="J37" s="1180"/>
      <c r="K37" s="1181"/>
      <c r="L37" s="1182"/>
    </row>
    <row r="38" spans="1:18" s="714" customFormat="1" ht="24" customHeight="1">
      <c r="A38" s="1159" t="s">
        <v>1639</v>
      </c>
      <c r="B38" s="1160" t="s">
        <v>1640</v>
      </c>
      <c r="C38" s="1161"/>
      <c r="D38" s="1162"/>
      <c r="E38" s="1183"/>
      <c r="F38" s="1163"/>
      <c r="G38" s="1184"/>
      <c r="H38" s="872"/>
      <c r="I38" s="1185"/>
      <c r="J38" s="872"/>
      <c r="K38" s="873"/>
      <c r="L38" s="1186"/>
    </row>
    <row r="39" spans="1:18" s="714" customFormat="1" ht="24" customHeight="1">
      <c r="A39" s="1147"/>
      <c r="B39" s="1148" t="s">
        <v>1641</v>
      </c>
      <c r="C39" s="1123"/>
      <c r="D39" s="1124"/>
      <c r="E39" s="1149"/>
      <c r="F39" s="1150"/>
      <c r="G39" s="1179"/>
      <c r="H39" s="796"/>
      <c r="I39" s="1181"/>
      <c r="J39" s="796"/>
      <c r="K39" s="797"/>
      <c r="L39" s="1182"/>
    </row>
    <row r="40" spans="1:18" s="714" customFormat="1" ht="24" customHeight="1">
      <c r="A40" s="1147"/>
      <c r="B40" s="1148" t="s">
        <v>1642</v>
      </c>
      <c r="C40" s="1123"/>
      <c r="D40" s="1124"/>
      <c r="E40" s="1149">
        <v>55</v>
      </c>
      <c r="F40" s="1150" t="s">
        <v>438</v>
      </c>
      <c r="G40" s="1179">
        <v>836</v>
      </c>
      <c r="H40" s="796">
        <f t="shared" ref="H40:H49" si="1">ROUND(E40*G40,)</f>
        <v>45980</v>
      </c>
      <c r="I40" s="1181">
        <v>175</v>
      </c>
      <c r="J40" s="796">
        <f>ROUND(E40*I40,)</f>
        <v>9625</v>
      </c>
      <c r="K40" s="797">
        <f t="shared" ref="K40:K45" si="2">H40+J40</f>
        <v>55605</v>
      </c>
      <c r="L40" s="2273" t="s">
        <v>2974</v>
      </c>
      <c r="N40" s="714">
        <f>5013</f>
        <v>5013</v>
      </c>
      <c r="O40" s="714">
        <f t="shared" ref="O40:O42" si="3">ROUND(N40/6,)</f>
        <v>836</v>
      </c>
    </row>
    <row r="41" spans="1:18" s="714" customFormat="1" ht="24" customHeight="1">
      <c r="A41" s="1147"/>
      <c r="B41" s="1148" t="s">
        <v>1643</v>
      </c>
      <c r="C41" s="1123"/>
      <c r="D41" s="1124"/>
      <c r="E41" s="1149">
        <v>261</v>
      </c>
      <c r="F41" s="1150" t="s">
        <v>438</v>
      </c>
      <c r="G41" s="1179">
        <v>1088</v>
      </c>
      <c r="H41" s="796">
        <f t="shared" si="1"/>
        <v>283968</v>
      </c>
      <c r="I41" s="1181">
        <v>250</v>
      </c>
      <c r="J41" s="796">
        <f t="shared" ref="J41:J45" si="4">ROUND(E41*I41,)</f>
        <v>65250</v>
      </c>
      <c r="K41" s="797">
        <f t="shared" si="2"/>
        <v>349218</v>
      </c>
      <c r="L41" s="2273" t="s">
        <v>2974</v>
      </c>
      <c r="N41" s="714">
        <f>6526</f>
        <v>6526</v>
      </c>
      <c r="O41" s="714">
        <f t="shared" si="3"/>
        <v>1088</v>
      </c>
    </row>
    <row r="42" spans="1:18" s="714" customFormat="1" ht="24" customHeight="1">
      <c r="A42" s="1147"/>
      <c r="B42" s="1148" t="s">
        <v>1644</v>
      </c>
      <c r="C42" s="1123"/>
      <c r="D42" s="1124"/>
      <c r="E42" s="1149">
        <v>77</v>
      </c>
      <c r="F42" s="1150" t="s">
        <v>438</v>
      </c>
      <c r="G42" s="1179">
        <v>1772</v>
      </c>
      <c r="H42" s="796">
        <f t="shared" si="1"/>
        <v>136444</v>
      </c>
      <c r="I42" s="1181">
        <v>400</v>
      </c>
      <c r="J42" s="796">
        <f t="shared" si="4"/>
        <v>30800</v>
      </c>
      <c r="K42" s="797">
        <f t="shared" si="2"/>
        <v>167244</v>
      </c>
      <c r="L42" s="2273" t="s">
        <v>2974</v>
      </c>
      <c r="N42" s="714">
        <f>10633</f>
        <v>10633</v>
      </c>
      <c r="O42" s="714">
        <f t="shared" si="3"/>
        <v>1772</v>
      </c>
    </row>
    <row r="43" spans="1:18" s="714" customFormat="1" ht="24" customHeight="1">
      <c r="A43" s="1147"/>
      <c r="B43" s="1148" t="s">
        <v>1645</v>
      </c>
      <c r="C43" s="1123"/>
      <c r="D43" s="1124"/>
      <c r="E43" s="1149">
        <v>1</v>
      </c>
      <c r="F43" s="1150" t="s">
        <v>948</v>
      </c>
      <c r="G43" s="1179">
        <f>SUM(H40:H42)*50%</f>
        <v>233196</v>
      </c>
      <c r="H43" s="796">
        <f>ROUND(E43*G43,)</f>
        <v>233196</v>
      </c>
      <c r="I43" s="1181">
        <f t="shared" ref="I43:I44" si="5">ROUNDUP(G43*30%,0)</f>
        <v>69959</v>
      </c>
      <c r="J43" s="796">
        <f t="shared" si="4"/>
        <v>69959</v>
      </c>
      <c r="K43" s="797">
        <f t="shared" si="2"/>
        <v>303155</v>
      </c>
      <c r="L43" s="1182"/>
    </row>
    <row r="44" spans="1:18" s="714" customFormat="1" ht="24" customHeight="1">
      <c r="A44" s="1147"/>
      <c r="B44" s="1148" t="s">
        <v>1646</v>
      </c>
      <c r="C44" s="1123"/>
      <c r="D44" s="1124"/>
      <c r="E44" s="1149">
        <v>1</v>
      </c>
      <c r="F44" s="1150" t="s">
        <v>948</v>
      </c>
      <c r="G44" s="1179">
        <f>ROUND(SUM(H40:H42)*20%,)</f>
        <v>93278</v>
      </c>
      <c r="H44" s="796">
        <f t="shared" si="1"/>
        <v>93278</v>
      </c>
      <c r="I44" s="1181">
        <f t="shared" si="5"/>
        <v>27984</v>
      </c>
      <c r="J44" s="796">
        <f t="shared" si="4"/>
        <v>27984</v>
      </c>
      <c r="K44" s="797">
        <f t="shared" si="2"/>
        <v>121262</v>
      </c>
      <c r="L44" s="1182"/>
    </row>
    <row r="45" spans="1:18" s="714" customFormat="1" ht="24" customHeight="1">
      <c r="A45" s="1147"/>
      <c r="B45" s="1148" t="s">
        <v>1647</v>
      </c>
      <c r="C45" s="1123"/>
      <c r="D45" s="1124"/>
      <c r="E45" s="1149">
        <v>1</v>
      </c>
      <c r="F45" s="1150" t="s">
        <v>948</v>
      </c>
      <c r="G45" s="1179">
        <f>ROUND(SUM(H40:H42)*10%,)</f>
        <v>46639</v>
      </c>
      <c r="H45" s="796">
        <f t="shared" si="1"/>
        <v>46639</v>
      </c>
      <c r="I45" s="1181">
        <f>ROUNDUP(G45*30%,0)</f>
        <v>13992</v>
      </c>
      <c r="J45" s="796">
        <f t="shared" si="4"/>
        <v>13992</v>
      </c>
      <c r="K45" s="797">
        <f t="shared" si="2"/>
        <v>60631</v>
      </c>
      <c r="L45" s="1182"/>
    </row>
    <row r="46" spans="1:18" s="714" customFormat="1" ht="24" customHeight="1">
      <c r="A46" s="1147" t="s">
        <v>1648</v>
      </c>
      <c r="B46" s="1148" t="s">
        <v>1649</v>
      </c>
      <c r="C46" s="1123"/>
      <c r="D46" s="1124"/>
      <c r="E46" s="1149"/>
      <c r="F46" s="1150"/>
      <c r="G46" s="1179"/>
      <c r="H46" s="796"/>
      <c r="I46" s="1181"/>
      <c r="J46" s="796"/>
      <c r="K46" s="797"/>
      <c r="L46" s="1182"/>
    </row>
    <row r="47" spans="1:18" s="714" customFormat="1" ht="24" customHeight="1">
      <c r="A47" s="1147"/>
      <c r="B47" s="1148" t="s">
        <v>1650</v>
      </c>
      <c r="C47" s="1123"/>
      <c r="D47" s="1124"/>
      <c r="E47" s="1149">
        <v>8</v>
      </c>
      <c r="F47" s="1150" t="s">
        <v>240</v>
      </c>
      <c r="G47" s="1179">
        <v>1316</v>
      </c>
      <c r="H47" s="796">
        <f t="shared" ref="H47" si="6">ROUND(E47*G47,)</f>
        <v>10528</v>
      </c>
      <c r="I47" s="1181">
        <v>200</v>
      </c>
      <c r="J47" s="796">
        <f t="shared" ref="J47" si="7">ROUND(E47*I47,)</f>
        <v>1600</v>
      </c>
      <c r="K47" s="797">
        <f t="shared" ref="K47" si="8">H47+J47</f>
        <v>12128</v>
      </c>
      <c r="L47" s="2273" t="s">
        <v>2974</v>
      </c>
    </row>
    <row r="48" spans="1:18" s="714" customFormat="1" ht="24" customHeight="1">
      <c r="A48" s="1147" t="s">
        <v>1651</v>
      </c>
      <c r="B48" s="1148" t="s">
        <v>1652</v>
      </c>
      <c r="C48" s="1123"/>
      <c r="D48" s="1124"/>
      <c r="E48" s="1149"/>
      <c r="F48" s="1150"/>
      <c r="G48" s="1179"/>
      <c r="H48" s="796"/>
      <c r="I48" s="1181"/>
      <c r="J48" s="796"/>
      <c r="K48" s="797"/>
      <c r="L48" s="1182"/>
    </row>
    <row r="49" spans="1:12" s="714" customFormat="1" ht="24" customHeight="1">
      <c r="A49" s="1147"/>
      <c r="B49" s="1148" t="s">
        <v>1643</v>
      </c>
      <c r="C49" s="1123"/>
      <c r="D49" s="1124"/>
      <c r="E49" s="1149">
        <v>2</v>
      </c>
      <c r="F49" s="1150" t="s">
        <v>240</v>
      </c>
      <c r="G49" s="1179">
        <v>2592</v>
      </c>
      <c r="H49" s="796">
        <f t="shared" si="1"/>
        <v>5184</v>
      </c>
      <c r="I49" s="1181">
        <v>800</v>
      </c>
      <c r="J49" s="796">
        <f t="shared" ref="J49" si="9">ROUND(E49*I49,)</f>
        <v>1600</v>
      </c>
      <c r="K49" s="797">
        <f t="shared" ref="K49" si="10">H49+J49</f>
        <v>6784</v>
      </c>
      <c r="L49" s="1182"/>
    </row>
    <row r="50" spans="1:12" s="714" customFormat="1" ht="24" customHeight="1">
      <c r="A50" s="1147"/>
      <c r="B50" s="1187" t="s">
        <v>1644</v>
      </c>
      <c r="C50" s="1123"/>
      <c r="D50" s="1124"/>
      <c r="E50" s="1149">
        <v>1</v>
      </c>
      <c r="F50" s="1150" t="s">
        <v>240</v>
      </c>
      <c r="G50" s="1179">
        <v>6734</v>
      </c>
      <c r="H50" s="796">
        <f>ROUND(E50*G50,)</f>
        <v>6734</v>
      </c>
      <c r="I50" s="1181">
        <v>1200</v>
      </c>
      <c r="J50" s="796">
        <f>ROUND(E50*I50,)</f>
        <v>1200</v>
      </c>
      <c r="K50" s="797">
        <f>H50+J50</f>
        <v>7934</v>
      </c>
      <c r="L50" s="1182"/>
    </row>
    <row r="51" spans="1:12" s="714" customFormat="1" ht="24" customHeight="1">
      <c r="A51" s="1147" t="s">
        <v>1653</v>
      </c>
      <c r="B51" s="1148" t="s">
        <v>1654</v>
      </c>
      <c r="C51" s="1123"/>
      <c r="D51" s="1124"/>
      <c r="E51" s="1149"/>
      <c r="F51" s="1150"/>
      <c r="G51" s="1179"/>
      <c r="H51" s="796"/>
      <c r="I51" s="1181"/>
      <c r="J51" s="796"/>
      <c r="K51" s="797"/>
      <c r="L51" s="1182"/>
    </row>
    <row r="52" spans="1:12" s="714" customFormat="1" ht="24" customHeight="1">
      <c r="A52" s="1147"/>
      <c r="B52" s="1187" t="s">
        <v>1644</v>
      </c>
      <c r="C52" s="1123"/>
      <c r="D52" s="1124"/>
      <c r="E52" s="1149">
        <v>1</v>
      </c>
      <c r="F52" s="1150" t="s">
        <v>240</v>
      </c>
      <c r="G52" s="1179">
        <v>7824</v>
      </c>
      <c r="H52" s="796">
        <f>ROUND(E52*G52,)</f>
        <v>7824</v>
      </c>
      <c r="I52" s="1181">
        <v>1200</v>
      </c>
      <c r="J52" s="796">
        <f>ROUND(E52*I52,)</f>
        <v>1200</v>
      </c>
      <c r="K52" s="797">
        <f>H52+J52</f>
        <v>9024</v>
      </c>
      <c r="L52" s="1182"/>
    </row>
    <row r="53" spans="1:12" s="714" customFormat="1" ht="24" customHeight="1">
      <c r="A53" s="1147" t="s">
        <v>1655</v>
      </c>
      <c r="B53" s="1148" t="s">
        <v>1656</v>
      </c>
      <c r="C53" s="1123"/>
      <c r="D53" s="1124"/>
      <c r="E53" s="1149"/>
      <c r="F53" s="1150"/>
      <c r="G53" s="1179"/>
      <c r="H53" s="796"/>
      <c r="I53" s="1181"/>
      <c r="J53" s="796"/>
      <c r="K53" s="797"/>
      <c r="L53" s="1182"/>
    </row>
    <row r="54" spans="1:12" s="714" customFormat="1" ht="24" customHeight="1">
      <c r="A54" s="1147"/>
      <c r="B54" s="1148" t="s">
        <v>1650</v>
      </c>
      <c r="C54" s="1123"/>
      <c r="D54" s="1124"/>
      <c r="E54" s="1149">
        <v>5</v>
      </c>
      <c r="F54" s="1150" t="s">
        <v>240</v>
      </c>
      <c r="G54" s="1188">
        <v>4100</v>
      </c>
      <c r="H54" s="796">
        <f t="shared" ref="H54:H56" si="11">ROUND(E54*G54,)</f>
        <v>20500</v>
      </c>
      <c r="I54" s="1181">
        <v>200</v>
      </c>
      <c r="J54" s="796">
        <f t="shared" ref="J54" si="12">ROUND(I54*E54,)</f>
        <v>1000</v>
      </c>
      <c r="K54" s="797">
        <f t="shared" ref="K54" si="13">H54+J54</f>
        <v>21500</v>
      </c>
      <c r="L54" s="1182"/>
    </row>
    <row r="55" spans="1:12" s="714" customFormat="1" ht="24" customHeight="1">
      <c r="A55" s="1147" t="s">
        <v>1657</v>
      </c>
      <c r="B55" s="1148" t="s">
        <v>1658</v>
      </c>
      <c r="C55" s="1123"/>
      <c r="D55" s="1124"/>
      <c r="E55" s="1149"/>
      <c r="F55" s="1150"/>
      <c r="G55" s="1179"/>
      <c r="H55" s="796"/>
      <c r="I55" s="1181"/>
      <c r="J55" s="796"/>
      <c r="K55" s="797"/>
      <c r="L55" s="1182"/>
    </row>
    <row r="56" spans="1:12" s="714" customFormat="1" ht="24" customHeight="1">
      <c r="A56" s="1147"/>
      <c r="B56" s="1148" t="s">
        <v>1650</v>
      </c>
      <c r="C56" s="1123"/>
      <c r="D56" s="1124"/>
      <c r="E56" s="1149">
        <v>6</v>
      </c>
      <c r="F56" s="1150" t="s">
        <v>240</v>
      </c>
      <c r="G56" s="1188">
        <v>440</v>
      </c>
      <c r="H56" s="796">
        <f t="shared" si="11"/>
        <v>2640</v>
      </c>
      <c r="I56" s="1181">
        <v>125</v>
      </c>
      <c r="J56" s="796">
        <f t="shared" ref="J56" si="14">ROUND(I56*E56,)</f>
        <v>750</v>
      </c>
      <c r="K56" s="797">
        <f t="shared" ref="K56" si="15">H56+J56</f>
        <v>3390</v>
      </c>
      <c r="L56" s="1182"/>
    </row>
    <row r="57" spans="1:12" s="714" customFormat="1" ht="24" customHeight="1">
      <c r="A57" s="1147" t="s">
        <v>1659</v>
      </c>
      <c r="B57" s="1148" t="s">
        <v>1660</v>
      </c>
      <c r="C57" s="1123"/>
      <c r="D57" s="1124"/>
      <c r="E57" s="1149"/>
      <c r="F57" s="1150"/>
      <c r="G57" s="1179"/>
      <c r="H57" s="796"/>
      <c r="I57" s="1181"/>
      <c r="J57" s="796"/>
      <c r="K57" s="797"/>
      <c r="L57" s="1182"/>
    </row>
    <row r="58" spans="1:12" s="714" customFormat="1" ht="24" customHeight="1">
      <c r="A58" s="1147"/>
      <c r="B58" s="1148" t="s">
        <v>1650</v>
      </c>
      <c r="C58" s="1123"/>
      <c r="D58" s="1124"/>
      <c r="E58" s="1149">
        <v>4</v>
      </c>
      <c r="F58" s="1150" t="s">
        <v>240</v>
      </c>
      <c r="G58" s="1179">
        <v>10920</v>
      </c>
      <c r="H58" s="796">
        <f t="shared" ref="H58:H59" si="16">ROUND(E58*G58,)</f>
        <v>43680</v>
      </c>
      <c r="I58" s="1181">
        <v>200</v>
      </c>
      <c r="J58" s="796">
        <f t="shared" ref="J58:J59" si="17">ROUND(I58*E58,)</f>
        <v>800</v>
      </c>
      <c r="K58" s="797">
        <f>H58+J58</f>
        <v>44480</v>
      </c>
      <c r="L58" s="1182"/>
    </row>
    <row r="59" spans="1:12" s="714" customFormat="1" ht="24" customHeight="1">
      <c r="A59" s="1147"/>
      <c r="B59" s="1148" t="s">
        <v>1661</v>
      </c>
      <c r="C59" s="1123"/>
      <c r="D59" s="1124"/>
      <c r="E59" s="1149">
        <v>4</v>
      </c>
      <c r="F59" s="1150" t="s">
        <v>240</v>
      </c>
      <c r="G59" s="1179">
        <v>37917</v>
      </c>
      <c r="H59" s="796">
        <f t="shared" si="16"/>
        <v>151668</v>
      </c>
      <c r="I59" s="1181">
        <v>600</v>
      </c>
      <c r="J59" s="796">
        <f t="shared" si="17"/>
        <v>2400</v>
      </c>
      <c r="K59" s="797">
        <f>H59+J59</f>
        <v>154068</v>
      </c>
      <c r="L59" s="1182"/>
    </row>
    <row r="60" spans="1:12" s="714" customFormat="1" ht="24" customHeight="1">
      <c r="A60" s="1147"/>
      <c r="B60" s="1148"/>
      <c r="C60" s="1123"/>
      <c r="D60" s="1124"/>
      <c r="E60" s="1149"/>
      <c r="F60" s="1150"/>
      <c r="G60" s="1179"/>
      <c r="H60" s="796"/>
      <c r="I60" s="1181"/>
      <c r="J60" s="796"/>
      <c r="K60" s="797"/>
      <c r="L60" s="1189"/>
    </row>
    <row r="61" spans="1:12" s="714" customFormat="1" ht="24" customHeight="1">
      <c r="A61" s="1147" t="s">
        <v>1662</v>
      </c>
      <c r="B61" s="1187" t="s">
        <v>1663</v>
      </c>
      <c r="C61" s="1123"/>
      <c r="D61" s="1124"/>
      <c r="E61" s="1149"/>
      <c r="F61" s="1150"/>
      <c r="G61" s="1179"/>
      <c r="H61" s="796"/>
      <c r="I61" s="1181"/>
      <c r="J61" s="796"/>
      <c r="K61" s="914"/>
      <c r="L61" s="1189"/>
    </row>
    <row r="62" spans="1:12" s="714" customFormat="1" ht="24" customHeight="1">
      <c r="A62" s="1147"/>
      <c r="B62" s="1187" t="s">
        <v>1644</v>
      </c>
      <c r="C62" s="1123"/>
      <c r="D62" s="1124"/>
      <c r="E62" s="1149">
        <v>2</v>
      </c>
      <c r="F62" s="1150" t="s">
        <v>240</v>
      </c>
      <c r="G62" s="1179">
        <v>30787</v>
      </c>
      <c r="H62" s="796">
        <f t="shared" ref="H62" si="18">ROUND(E62*G62,)</f>
        <v>61574</v>
      </c>
      <c r="I62" s="1181">
        <v>1200</v>
      </c>
      <c r="J62" s="796">
        <f t="shared" ref="J62" si="19">ROUND(E62*I62,)</f>
        <v>2400</v>
      </c>
      <c r="K62" s="914">
        <f>H62+J62</f>
        <v>63974</v>
      </c>
      <c r="L62" s="914"/>
    </row>
    <row r="63" spans="1:12" s="714" customFormat="1" ht="24" customHeight="1">
      <c r="A63" s="1159"/>
      <c r="B63" s="1160"/>
      <c r="C63" s="1161"/>
      <c r="D63" s="1190"/>
      <c r="E63" s="1183"/>
      <c r="F63" s="1162"/>
      <c r="G63" s="1184"/>
      <c r="H63" s="872"/>
      <c r="I63" s="1185"/>
      <c r="J63" s="872"/>
      <c r="K63" s="938"/>
      <c r="L63" s="912"/>
    </row>
    <row r="64" spans="1:12" s="714" customFormat="1" ht="24" customHeight="1">
      <c r="A64" s="898"/>
      <c r="B64" s="1191"/>
      <c r="C64" s="890"/>
      <c r="D64" s="890"/>
      <c r="E64" s="842"/>
      <c r="F64" s="928"/>
      <c r="G64" s="1192"/>
      <c r="H64" s="1193"/>
      <c r="I64" s="1185"/>
      <c r="J64" s="1193"/>
      <c r="K64" s="1194"/>
      <c r="L64" s="1194"/>
    </row>
    <row r="65" spans="1:12" s="714" customFormat="1" ht="24" customHeight="1">
      <c r="A65" s="1166"/>
      <c r="B65" s="2475" t="str">
        <f>"รวมราคารายการที่ "&amp;A37</f>
        <v>รวมราคารายการที่ 5.1</v>
      </c>
      <c r="C65" s="2476"/>
      <c r="D65" s="2477"/>
      <c r="E65" s="2264"/>
      <c r="F65" s="1167"/>
      <c r="G65" s="1168"/>
      <c r="H65" s="1169">
        <f>SUM(H38:H62)</f>
        <v>1149837</v>
      </c>
      <c r="I65" s="1170"/>
      <c r="J65" s="1169">
        <f>SUM(J38:J62)</f>
        <v>230560</v>
      </c>
      <c r="K65" s="1169">
        <f>SUM(K38:K62)</f>
        <v>1380397</v>
      </c>
      <c r="L65" s="1171"/>
    </row>
    <row r="66" spans="1:12" s="714" customFormat="1" ht="24" customHeight="1">
      <c r="A66" s="1195" t="s">
        <v>1664</v>
      </c>
      <c r="B66" s="1196" t="s">
        <v>1665</v>
      </c>
      <c r="C66" s="1197"/>
      <c r="D66" s="1198"/>
      <c r="E66" s="1199"/>
      <c r="F66" s="1200"/>
      <c r="G66" s="1201"/>
      <c r="H66" s="1202"/>
      <c r="I66" s="1203"/>
      <c r="J66" s="1202"/>
      <c r="K66" s="1204"/>
      <c r="L66" s="1204"/>
    </row>
    <row r="67" spans="1:12" s="714" customFormat="1" ht="24" customHeight="1">
      <c r="A67" s="1147" t="s">
        <v>1666</v>
      </c>
      <c r="B67" s="1148" t="s">
        <v>1667</v>
      </c>
      <c r="C67" s="1123"/>
      <c r="D67" s="1124"/>
      <c r="E67" s="1149"/>
      <c r="F67" s="1150"/>
      <c r="G67" s="1140"/>
      <c r="H67" s="796"/>
      <c r="I67" s="797"/>
      <c r="J67" s="796"/>
      <c r="K67" s="914"/>
      <c r="L67" s="914"/>
    </row>
    <row r="68" spans="1:12" s="714" customFormat="1" ht="24" customHeight="1">
      <c r="A68" s="1147"/>
      <c r="B68" s="1148" t="s">
        <v>1668</v>
      </c>
      <c r="C68" s="1123"/>
      <c r="D68" s="1124"/>
      <c r="E68" s="1149">
        <v>2</v>
      </c>
      <c r="F68" s="1150" t="s">
        <v>240</v>
      </c>
      <c r="G68" s="1140">
        <v>159665</v>
      </c>
      <c r="H68" s="796">
        <f t="shared" ref="H68:H92" si="20">ROUND(E68*G68,)</f>
        <v>319330</v>
      </c>
      <c r="I68" s="797">
        <f t="shared" ref="I68:I71" si="21">G68*0.1</f>
        <v>15966.5</v>
      </c>
      <c r="J68" s="796">
        <f t="shared" ref="J68:J71" si="22">ROUND(I68*E68,)</f>
        <v>31933</v>
      </c>
      <c r="K68" s="914">
        <f t="shared" ref="K68:K71" si="23">H68+J68</f>
        <v>351263</v>
      </c>
      <c r="L68" s="914"/>
    </row>
    <row r="69" spans="1:12" s="714" customFormat="1" ht="24" customHeight="1">
      <c r="A69" s="1147"/>
      <c r="B69" s="1148" t="s">
        <v>1669</v>
      </c>
      <c r="C69" s="1123"/>
      <c r="D69" s="1124"/>
      <c r="E69" s="1149">
        <v>2</v>
      </c>
      <c r="F69" s="1150" t="s">
        <v>240</v>
      </c>
      <c r="G69" s="1140">
        <v>159665</v>
      </c>
      <c r="H69" s="796">
        <f t="shared" si="20"/>
        <v>319330</v>
      </c>
      <c r="I69" s="797">
        <f t="shared" si="21"/>
        <v>15966.5</v>
      </c>
      <c r="J69" s="796">
        <f t="shared" si="22"/>
        <v>31933</v>
      </c>
      <c r="K69" s="914">
        <f t="shared" si="23"/>
        <v>351263</v>
      </c>
      <c r="L69" s="914"/>
    </row>
    <row r="70" spans="1:12" s="714" customFormat="1" ht="24" customHeight="1">
      <c r="A70" s="1159"/>
      <c r="B70" s="1148" t="s">
        <v>1670</v>
      </c>
      <c r="C70" s="1123"/>
      <c r="D70" s="1124"/>
      <c r="E70" s="1149">
        <v>2</v>
      </c>
      <c r="F70" s="1150" t="s">
        <v>240</v>
      </c>
      <c r="G70" s="1205">
        <v>52855</v>
      </c>
      <c r="H70" s="796">
        <f t="shared" si="20"/>
        <v>105710</v>
      </c>
      <c r="I70" s="797">
        <f t="shared" si="21"/>
        <v>5285.5</v>
      </c>
      <c r="J70" s="796">
        <f t="shared" si="22"/>
        <v>10571</v>
      </c>
      <c r="K70" s="914">
        <f t="shared" si="23"/>
        <v>116281</v>
      </c>
      <c r="L70" s="938"/>
    </row>
    <row r="71" spans="1:12" s="714" customFormat="1" ht="24" customHeight="1">
      <c r="A71" s="1159"/>
      <c r="B71" s="1148" t="s">
        <v>1671</v>
      </c>
      <c r="C71" s="1123"/>
      <c r="D71" s="1124"/>
      <c r="E71" s="1149">
        <v>2</v>
      </c>
      <c r="F71" s="1150" t="s">
        <v>240</v>
      </c>
      <c r="G71" s="1205">
        <v>52855</v>
      </c>
      <c r="H71" s="796">
        <f t="shared" si="20"/>
        <v>105710</v>
      </c>
      <c r="I71" s="797">
        <f t="shared" si="21"/>
        <v>5285.5</v>
      </c>
      <c r="J71" s="796">
        <f t="shared" si="22"/>
        <v>10571</v>
      </c>
      <c r="K71" s="914">
        <f t="shared" si="23"/>
        <v>116281</v>
      </c>
      <c r="L71" s="938"/>
    </row>
    <row r="72" spans="1:12" s="714" customFormat="1" ht="24" customHeight="1">
      <c r="A72" s="1159" t="s">
        <v>1672</v>
      </c>
      <c r="B72" s="1160" t="s">
        <v>1673</v>
      </c>
      <c r="C72" s="1161"/>
      <c r="D72" s="1162"/>
      <c r="E72" s="1183"/>
      <c r="F72" s="1163"/>
      <c r="G72" s="1205"/>
      <c r="H72" s="872"/>
      <c r="I72" s="873"/>
      <c r="J72" s="872"/>
      <c r="K72" s="938"/>
      <c r="L72" s="938"/>
    </row>
    <row r="73" spans="1:12" s="714" customFormat="1" ht="24" customHeight="1">
      <c r="A73" s="1147"/>
      <c r="B73" s="1148" t="s">
        <v>1674</v>
      </c>
      <c r="C73" s="1123"/>
      <c r="D73" s="1124"/>
      <c r="E73" s="1149">
        <v>33</v>
      </c>
      <c r="F73" s="1150" t="s">
        <v>438</v>
      </c>
      <c r="G73" s="1140">
        <v>295</v>
      </c>
      <c r="H73" s="796">
        <f t="shared" ref="H73:H78" si="24">ROUND(E73*G73,)</f>
        <v>9735</v>
      </c>
      <c r="I73" s="797">
        <v>120</v>
      </c>
      <c r="J73" s="796">
        <f t="shared" ref="J73:J78" si="25">ROUND(I73*E73,)</f>
        <v>3960</v>
      </c>
      <c r="K73" s="914">
        <f t="shared" ref="K73:K78" si="26">H73+J73</f>
        <v>13695</v>
      </c>
      <c r="L73" s="914"/>
    </row>
    <row r="74" spans="1:12" s="714" customFormat="1" ht="24" customHeight="1">
      <c r="A74" s="1147"/>
      <c r="B74" s="1148" t="s">
        <v>1675</v>
      </c>
      <c r="C74" s="1123"/>
      <c r="D74" s="1124"/>
      <c r="E74" s="1149">
        <v>369</v>
      </c>
      <c r="F74" s="1150" t="s">
        <v>438</v>
      </c>
      <c r="G74" s="1140">
        <v>617</v>
      </c>
      <c r="H74" s="796">
        <f t="shared" si="24"/>
        <v>227673</v>
      </c>
      <c r="I74" s="797">
        <v>250</v>
      </c>
      <c r="J74" s="796">
        <f t="shared" si="25"/>
        <v>92250</v>
      </c>
      <c r="K74" s="914">
        <f t="shared" si="26"/>
        <v>319923</v>
      </c>
      <c r="L74" s="914"/>
    </row>
    <row r="75" spans="1:12" s="714" customFormat="1" ht="24" customHeight="1">
      <c r="A75" s="1147"/>
      <c r="B75" s="1148" t="s">
        <v>1676</v>
      </c>
      <c r="C75" s="1123"/>
      <c r="D75" s="1124"/>
      <c r="E75" s="1149">
        <v>75</v>
      </c>
      <c r="F75" s="1150" t="s">
        <v>438</v>
      </c>
      <c r="G75" s="1140">
        <v>962</v>
      </c>
      <c r="H75" s="796">
        <f t="shared" si="24"/>
        <v>72150</v>
      </c>
      <c r="I75" s="797">
        <v>350</v>
      </c>
      <c r="J75" s="796">
        <f t="shared" si="25"/>
        <v>26250</v>
      </c>
      <c r="K75" s="914">
        <f t="shared" si="26"/>
        <v>98400</v>
      </c>
      <c r="L75" s="914"/>
    </row>
    <row r="76" spans="1:12" s="714" customFormat="1" ht="24" customHeight="1">
      <c r="A76" s="1147"/>
      <c r="B76" s="1148" t="s">
        <v>1645</v>
      </c>
      <c r="C76" s="1123"/>
      <c r="D76" s="1124"/>
      <c r="E76" s="1149">
        <v>1</v>
      </c>
      <c r="F76" s="1150" t="s">
        <v>948</v>
      </c>
      <c r="G76" s="1140">
        <f>ROUND(SUM(H73:H75)*40%,)</f>
        <v>123823</v>
      </c>
      <c r="H76" s="796">
        <f t="shared" si="24"/>
        <v>123823</v>
      </c>
      <c r="I76" s="1181">
        <f t="shared" ref="I76:I78" si="27">ROUNDUP(G76*30%,0)</f>
        <v>37147</v>
      </c>
      <c r="J76" s="796">
        <f t="shared" si="25"/>
        <v>37147</v>
      </c>
      <c r="K76" s="914">
        <f t="shared" si="26"/>
        <v>160970</v>
      </c>
      <c r="L76" s="914"/>
    </row>
    <row r="77" spans="1:12" s="714" customFormat="1" ht="24" customHeight="1">
      <c r="A77" s="1147"/>
      <c r="B77" s="1148" t="s">
        <v>1646</v>
      </c>
      <c r="C77" s="1123"/>
      <c r="D77" s="1124"/>
      <c r="E77" s="1149">
        <v>1</v>
      </c>
      <c r="F77" s="1150" t="s">
        <v>948</v>
      </c>
      <c r="G77" s="1140">
        <f>ROUND(SUM(H73:H75)*20%,)</f>
        <v>61912</v>
      </c>
      <c r="H77" s="796">
        <f t="shared" si="24"/>
        <v>61912</v>
      </c>
      <c r="I77" s="1181">
        <f t="shared" si="27"/>
        <v>18574</v>
      </c>
      <c r="J77" s="796">
        <f t="shared" si="25"/>
        <v>18574</v>
      </c>
      <c r="K77" s="914">
        <f t="shared" si="26"/>
        <v>80486</v>
      </c>
      <c r="L77" s="914"/>
    </row>
    <row r="78" spans="1:12" s="714" customFormat="1" ht="24" customHeight="1">
      <c r="A78" s="1147"/>
      <c r="B78" s="1148" t="s">
        <v>1677</v>
      </c>
      <c r="C78" s="1123"/>
      <c r="D78" s="1124"/>
      <c r="E78" s="1149">
        <v>1</v>
      </c>
      <c r="F78" s="1150" t="s">
        <v>948</v>
      </c>
      <c r="G78" s="1140">
        <f>ROUND(SUM(H73:H75)*10%,)</f>
        <v>30956</v>
      </c>
      <c r="H78" s="796">
        <f t="shared" si="24"/>
        <v>30956</v>
      </c>
      <c r="I78" s="1181">
        <f t="shared" si="27"/>
        <v>9287</v>
      </c>
      <c r="J78" s="796">
        <f t="shared" si="25"/>
        <v>9287</v>
      </c>
      <c r="K78" s="914">
        <f t="shared" si="26"/>
        <v>40243</v>
      </c>
      <c r="L78" s="914"/>
    </row>
    <row r="79" spans="1:12" s="714" customFormat="1" ht="24" customHeight="1">
      <c r="A79" s="1159" t="s">
        <v>1678</v>
      </c>
      <c r="B79" s="1160" t="s">
        <v>1679</v>
      </c>
      <c r="C79" s="1161"/>
      <c r="D79" s="1162"/>
      <c r="E79" s="1183"/>
      <c r="F79" s="1163"/>
      <c r="G79" s="1205"/>
      <c r="H79" s="872"/>
      <c r="I79" s="873"/>
      <c r="J79" s="872"/>
      <c r="K79" s="938"/>
      <c r="L79" s="938"/>
    </row>
    <row r="80" spans="1:12" s="714" customFormat="1" ht="24" customHeight="1">
      <c r="A80" s="1147"/>
      <c r="B80" s="1148" t="s">
        <v>1674</v>
      </c>
      <c r="C80" s="1123"/>
      <c r="D80" s="1124"/>
      <c r="E80" s="1149">
        <v>117</v>
      </c>
      <c r="F80" s="1150" t="s">
        <v>438</v>
      </c>
      <c r="G80" s="1140">
        <v>316</v>
      </c>
      <c r="H80" s="796">
        <f t="shared" si="20"/>
        <v>36972</v>
      </c>
      <c r="I80" s="797">
        <v>120</v>
      </c>
      <c r="J80" s="796">
        <f t="shared" ref="J80:J85" si="28">ROUND(I80*E80,)</f>
        <v>14040</v>
      </c>
      <c r="K80" s="914">
        <f t="shared" ref="K80:K85" si="29">H80+J80</f>
        <v>51012</v>
      </c>
      <c r="L80" s="914"/>
    </row>
    <row r="81" spans="1:15" s="714" customFormat="1" ht="24" customHeight="1">
      <c r="A81" s="1147"/>
      <c r="B81" s="1148" t="s">
        <v>1675</v>
      </c>
      <c r="C81" s="1123"/>
      <c r="D81" s="1124"/>
      <c r="E81" s="1149">
        <v>152</v>
      </c>
      <c r="F81" s="1150" t="s">
        <v>438</v>
      </c>
      <c r="G81" s="1140">
        <v>631</v>
      </c>
      <c r="H81" s="796">
        <f t="shared" si="20"/>
        <v>95912</v>
      </c>
      <c r="I81" s="797">
        <v>250</v>
      </c>
      <c r="J81" s="796">
        <f t="shared" si="28"/>
        <v>38000</v>
      </c>
      <c r="K81" s="914">
        <f t="shared" si="29"/>
        <v>133912</v>
      </c>
      <c r="L81" s="914"/>
    </row>
    <row r="82" spans="1:15" s="714" customFormat="1" ht="24" customHeight="1">
      <c r="A82" s="1147"/>
      <c r="B82" s="1148" t="s">
        <v>1676</v>
      </c>
      <c r="C82" s="1123"/>
      <c r="D82" s="1124"/>
      <c r="E82" s="1149">
        <v>130</v>
      </c>
      <c r="F82" s="1150" t="s">
        <v>438</v>
      </c>
      <c r="G82" s="1140">
        <v>1108</v>
      </c>
      <c r="H82" s="796">
        <f t="shared" si="20"/>
        <v>144040</v>
      </c>
      <c r="I82" s="797">
        <v>350</v>
      </c>
      <c r="J82" s="796">
        <f t="shared" si="28"/>
        <v>45500</v>
      </c>
      <c r="K82" s="914">
        <f t="shared" si="29"/>
        <v>189540</v>
      </c>
      <c r="L82" s="914"/>
    </row>
    <row r="83" spans="1:15" s="714" customFormat="1" ht="24" customHeight="1">
      <c r="A83" s="1147"/>
      <c r="B83" s="1148" t="s">
        <v>1645</v>
      </c>
      <c r="C83" s="1123"/>
      <c r="D83" s="1124"/>
      <c r="E83" s="1149">
        <v>1</v>
      </c>
      <c r="F83" s="1150" t="s">
        <v>948</v>
      </c>
      <c r="G83" s="1140">
        <f>ROUND(SUM(H80:H82)*40%,)</f>
        <v>110770</v>
      </c>
      <c r="H83" s="796">
        <f t="shared" si="20"/>
        <v>110770</v>
      </c>
      <c r="I83" s="1181">
        <f t="shared" ref="I83:I85" si="30">ROUNDUP(G83*30%,0)</f>
        <v>33231</v>
      </c>
      <c r="J83" s="796">
        <f t="shared" si="28"/>
        <v>33231</v>
      </c>
      <c r="K83" s="914">
        <f t="shared" si="29"/>
        <v>144001</v>
      </c>
      <c r="L83" s="914"/>
    </row>
    <row r="84" spans="1:15" s="714" customFormat="1" ht="24" customHeight="1">
      <c r="A84" s="1147"/>
      <c r="B84" s="1148" t="s">
        <v>1646</v>
      </c>
      <c r="C84" s="1123"/>
      <c r="D84" s="1124"/>
      <c r="E84" s="1149">
        <v>1</v>
      </c>
      <c r="F84" s="1150" t="s">
        <v>948</v>
      </c>
      <c r="G84" s="1140">
        <f>ROUND(SUM(H80:H82)*20%,)</f>
        <v>55385</v>
      </c>
      <c r="H84" s="796">
        <f t="shared" si="20"/>
        <v>55385</v>
      </c>
      <c r="I84" s="1181">
        <f t="shared" si="30"/>
        <v>16616</v>
      </c>
      <c r="J84" s="796">
        <f t="shared" si="28"/>
        <v>16616</v>
      </c>
      <c r="K84" s="914">
        <f t="shared" si="29"/>
        <v>72001</v>
      </c>
      <c r="L84" s="914"/>
    </row>
    <row r="85" spans="1:15" s="714" customFormat="1" ht="24" customHeight="1">
      <c r="A85" s="1147"/>
      <c r="B85" s="1148" t="s">
        <v>1677</v>
      </c>
      <c r="C85" s="1123"/>
      <c r="D85" s="1124"/>
      <c r="E85" s="1149">
        <v>1</v>
      </c>
      <c r="F85" s="1150" t="s">
        <v>948</v>
      </c>
      <c r="G85" s="1140">
        <f>ROUND(SUM(H80:H82)*10%,)</f>
        <v>27692</v>
      </c>
      <c r="H85" s="796">
        <f t="shared" si="20"/>
        <v>27692</v>
      </c>
      <c r="I85" s="1181">
        <f t="shared" si="30"/>
        <v>8308</v>
      </c>
      <c r="J85" s="796">
        <f t="shared" si="28"/>
        <v>8308</v>
      </c>
      <c r="K85" s="914">
        <f t="shared" si="29"/>
        <v>36000</v>
      </c>
      <c r="L85" s="914"/>
    </row>
    <row r="86" spans="1:15" s="714" customFormat="1" ht="24" customHeight="1">
      <c r="A86" s="1159" t="s">
        <v>1680</v>
      </c>
      <c r="B86" s="1160" t="s">
        <v>1681</v>
      </c>
      <c r="C86" s="1161"/>
      <c r="D86" s="1162"/>
      <c r="E86" s="1183"/>
      <c r="F86" s="1163"/>
      <c r="G86" s="1205"/>
      <c r="H86" s="872"/>
      <c r="I86" s="873"/>
      <c r="J86" s="872"/>
      <c r="K86" s="938"/>
      <c r="L86" s="938"/>
      <c r="O86" s="1206"/>
    </row>
    <row r="87" spans="1:15" s="714" customFormat="1" ht="24" customHeight="1">
      <c r="A87" s="1147"/>
      <c r="B87" s="1148" t="s">
        <v>1190</v>
      </c>
      <c r="C87" s="1123"/>
      <c r="D87" s="1124"/>
      <c r="E87" s="1149">
        <v>97</v>
      </c>
      <c r="F87" s="1150" t="s">
        <v>438</v>
      </c>
      <c r="G87" s="1140">
        <v>90</v>
      </c>
      <c r="H87" s="796">
        <f t="shared" si="20"/>
        <v>8730</v>
      </c>
      <c r="I87" s="797">
        <v>75</v>
      </c>
      <c r="J87" s="796">
        <f t="shared" ref="J87:J92" si="31">ROUND(I87*E87,)</f>
        <v>7275</v>
      </c>
      <c r="K87" s="914">
        <f t="shared" ref="K87:K92" si="32">H87+J87</f>
        <v>16005</v>
      </c>
      <c r="L87" s="2273" t="s">
        <v>2974</v>
      </c>
      <c r="N87" s="714">
        <v>359.45</v>
      </c>
      <c r="O87" s="714">
        <f>ROUND(N87/4,)</f>
        <v>90</v>
      </c>
    </row>
    <row r="88" spans="1:15" s="714" customFormat="1" ht="24" customHeight="1">
      <c r="A88" s="1147"/>
      <c r="B88" s="1187" t="s">
        <v>951</v>
      </c>
      <c r="C88" s="1123"/>
      <c r="D88" s="1124"/>
      <c r="E88" s="1149">
        <v>126</v>
      </c>
      <c r="F88" s="1150" t="s">
        <v>438</v>
      </c>
      <c r="G88" s="1140">
        <v>146</v>
      </c>
      <c r="H88" s="796">
        <f t="shared" si="20"/>
        <v>18396</v>
      </c>
      <c r="I88" s="797">
        <v>100</v>
      </c>
      <c r="J88" s="796">
        <f t="shared" si="31"/>
        <v>12600</v>
      </c>
      <c r="K88" s="914">
        <f t="shared" si="32"/>
        <v>30996</v>
      </c>
      <c r="L88" s="2273" t="s">
        <v>2974</v>
      </c>
      <c r="N88" s="714">
        <v>582.4</v>
      </c>
      <c r="O88" s="714">
        <f>ROUND(N88/4,)</f>
        <v>146</v>
      </c>
    </row>
    <row r="89" spans="1:15" s="714" customFormat="1" ht="24" customHeight="1">
      <c r="A89" s="1147"/>
      <c r="B89" s="1148" t="s">
        <v>1676</v>
      </c>
      <c r="C89" s="1123"/>
      <c r="D89" s="1124"/>
      <c r="E89" s="1149">
        <v>105</v>
      </c>
      <c r="F89" s="1150" t="s">
        <v>438</v>
      </c>
      <c r="G89" s="1140">
        <v>496</v>
      </c>
      <c r="H89" s="796">
        <f t="shared" si="20"/>
        <v>52080</v>
      </c>
      <c r="I89" s="797">
        <v>300</v>
      </c>
      <c r="J89" s="796">
        <f t="shared" si="31"/>
        <v>31500</v>
      </c>
      <c r="K89" s="914">
        <f t="shared" si="32"/>
        <v>83580</v>
      </c>
      <c r="L89" s="2273" t="s">
        <v>2974</v>
      </c>
      <c r="N89" s="714">
        <v>1983.8</v>
      </c>
      <c r="O89" s="714">
        <f>ROUND(N89/4,)</f>
        <v>496</v>
      </c>
    </row>
    <row r="90" spans="1:15" s="714" customFormat="1" ht="24" customHeight="1">
      <c r="A90" s="1147"/>
      <c r="B90" s="1148" t="s">
        <v>1645</v>
      </c>
      <c r="C90" s="1123"/>
      <c r="D90" s="1124"/>
      <c r="E90" s="1149">
        <v>1</v>
      </c>
      <c r="F90" s="1150" t="s">
        <v>948</v>
      </c>
      <c r="G90" s="1140">
        <f>ROUND(SUM(H87:H89)*40%,)</f>
        <v>31682</v>
      </c>
      <c r="H90" s="796">
        <f t="shared" si="20"/>
        <v>31682</v>
      </c>
      <c r="I90" s="1181">
        <f t="shared" ref="I90:I92" si="33">ROUNDUP(G90*30%,0)</f>
        <v>9505</v>
      </c>
      <c r="J90" s="796">
        <f t="shared" si="31"/>
        <v>9505</v>
      </c>
      <c r="K90" s="914">
        <f t="shared" si="32"/>
        <v>41187</v>
      </c>
      <c r="L90" s="914"/>
    </row>
    <row r="91" spans="1:15" s="714" customFormat="1" ht="24" customHeight="1">
      <c r="A91" s="1147"/>
      <c r="B91" s="1148" t="s">
        <v>1646</v>
      </c>
      <c r="C91" s="1123"/>
      <c r="D91" s="1124"/>
      <c r="E91" s="1149">
        <v>1</v>
      </c>
      <c r="F91" s="1150" t="s">
        <v>948</v>
      </c>
      <c r="G91" s="1140">
        <f>ROUND(SUM(H87:H89)*30%,)</f>
        <v>23762</v>
      </c>
      <c r="H91" s="796">
        <f>ROUND(E91*G91,)</f>
        <v>23762</v>
      </c>
      <c r="I91" s="1181">
        <f t="shared" si="33"/>
        <v>7129</v>
      </c>
      <c r="J91" s="796">
        <f t="shared" si="31"/>
        <v>7129</v>
      </c>
      <c r="K91" s="914">
        <f t="shared" si="32"/>
        <v>30891</v>
      </c>
      <c r="L91" s="914"/>
    </row>
    <row r="92" spans="1:15" s="714" customFormat="1" ht="24" customHeight="1">
      <c r="A92" s="1147"/>
      <c r="B92" s="1148" t="s">
        <v>1677</v>
      </c>
      <c r="C92" s="1123"/>
      <c r="D92" s="1124"/>
      <c r="E92" s="1149">
        <v>1</v>
      </c>
      <c r="F92" s="1150" t="s">
        <v>948</v>
      </c>
      <c r="G92" s="1140">
        <f>ROUND(SUM(H87:H89)*10%,)</f>
        <v>7921</v>
      </c>
      <c r="H92" s="796">
        <f t="shared" si="20"/>
        <v>7921</v>
      </c>
      <c r="I92" s="1181">
        <f t="shared" si="33"/>
        <v>2377</v>
      </c>
      <c r="J92" s="796">
        <f t="shared" si="31"/>
        <v>2377</v>
      </c>
      <c r="K92" s="914">
        <f t="shared" si="32"/>
        <v>10298</v>
      </c>
      <c r="L92" s="914"/>
    </row>
    <row r="93" spans="1:15" s="714" customFormat="1" ht="24" customHeight="1">
      <c r="A93" s="1147" t="s">
        <v>1682</v>
      </c>
      <c r="B93" s="1148" t="s">
        <v>1683</v>
      </c>
      <c r="C93" s="1123"/>
      <c r="D93" s="1124"/>
      <c r="E93" s="1149"/>
      <c r="F93" s="1150"/>
      <c r="G93" s="1140"/>
      <c r="H93" s="796"/>
      <c r="I93" s="797"/>
      <c r="J93" s="796"/>
      <c r="K93" s="914"/>
      <c r="L93" s="912"/>
    </row>
    <row r="94" spans="1:15" s="714" customFormat="1" ht="24" customHeight="1">
      <c r="A94" s="1147"/>
      <c r="B94" s="1148" t="s">
        <v>1643</v>
      </c>
      <c r="C94" s="1123"/>
      <c r="D94" s="1124"/>
      <c r="E94" s="1149">
        <v>8</v>
      </c>
      <c r="F94" s="1150" t="s">
        <v>240</v>
      </c>
      <c r="G94" s="1179">
        <v>17798</v>
      </c>
      <c r="H94" s="796">
        <f t="shared" ref="H94:H95" si="34">ROUND(E94*G94,)</f>
        <v>142384</v>
      </c>
      <c r="I94" s="1181">
        <v>800</v>
      </c>
      <c r="J94" s="796">
        <f t="shared" ref="J94:J95" si="35">ROUND(I94*E94,)</f>
        <v>6400</v>
      </c>
      <c r="K94" s="914">
        <f t="shared" ref="K94:K95" si="36">H94+J94</f>
        <v>148784</v>
      </c>
      <c r="L94" s="914"/>
    </row>
    <row r="95" spans="1:15" s="714" customFormat="1" ht="24" customHeight="1">
      <c r="A95" s="1147"/>
      <c r="B95" s="1148" t="s">
        <v>1644</v>
      </c>
      <c r="C95" s="1123"/>
      <c r="D95" s="1124"/>
      <c r="E95" s="1149">
        <v>4</v>
      </c>
      <c r="F95" s="1150" t="s">
        <v>240</v>
      </c>
      <c r="G95" s="1179">
        <v>17798</v>
      </c>
      <c r="H95" s="796">
        <f t="shared" si="34"/>
        <v>71192</v>
      </c>
      <c r="I95" s="1181">
        <v>1200</v>
      </c>
      <c r="J95" s="796">
        <f t="shared" si="35"/>
        <v>4800</v>
      </c>
      <c r="K95" s="914">
        <f t="shared" si="36"/>
        <v>75992</v>
      </c>
      <c r="L95" s="912"/>
    </row>
    <row r="96" spans="1:15" s="714" customFormat="1" ht="24" customHeight="1">
      <c r="A96" s="1147" t="s">
        <v>1684</v>
      </c>
      <c r="B96" s="1148" t="s">
        <v>1685</v>
      </c>
      <c r="C96" s="1123"/>
      <c r="D96" s="1124"/>
      <c r="E96" s="1149"/>
      <c r="F96" s="1150"/>
      <c r="G96" s="1179"/>
      <c r="H96" s="796"/>
      <c r="I96" s="1181"/>
      <c r="J96" s="796"/>
      <c r="K96" s="914"/>
      <c r="L96" s="912"/>
    </row>
    <row r="97" spans="1:12" s="714" customFormat="1" ht="24" customHeight="1">
      <c r="A97" s="1147"/>
      <c r="B97" s="1148" t="s">
        <v>1644</v>
      </c>
      <c r="C97" s="1123"/>
      <c r="D97" s="1124"/>
      <c r="E97" s="1149">
        <v>8</v>
      </c>
      <c r="F97" s="1150" t="s">
        <v>240</v>
      </c>
      <c r="G97" s="1179">
        <v>13600</v>
      </c>
      <c r="H97" s="796">
        <f t="shared" ref="H97" si="37">ROUND(E97*G97,)</f>
        <v>108800</v>
      </c>
      <c r="I97" s="1181">
        <v>1200</v>
      </c>
      <c r="J97" s="796">
        <f t="shared" ref="J97" si="38">ROUND(I97*E97,)</f>
        <v>9600</v>
      </c>
      <c r="K97" s="914">
        <f t="shared" ref="K97" si="39">H97+J97</f>
        <v>118400</v>
      </c>
      <c r="L97" s="912"/>
    </row>
    <row r="98" spans="1:12" s="714" customFormat="1" ht="24" customHeight="1">
      <c r="A98" s="1147" t="s">
        <v>1686</v>
      </c>
      <c r="B98" s="1148" t="s">
        <v>1687</v>
      </c>
      <c r="C98" s="1123"/>
      <c r="D98" s="1124"/>
      <c r="E98" s="1149"/>
      <c r="F98" s="1150"/>
      <c r="G98" s="1179"/>
      <c r="H98" s="796"/>
      <c r="I98" s="1181"/>
      <c r="J98" s="796"/>
      <c r="K98" s="914"/>
      <c r="L98" s="912"/>
    </row>
    <row r="99" spans="1:12" s="714" customFormat="1" ht="24" customHeight="1">
      <c r="A99" s="1147"/>
      <c r="B99" s="1148" t="s">
        <v>1688</v>
      </c>
      <c r="C99" s="1123"/>
      <c r="D99" s="1124"/>
      <c r="E99" s="1149">
        <v>6</v>
      </c>
      <c r="F99" s="1150" t="s">
        <v>240</v>
      </c>
      <c r="G99" s="1179">
        <v>14680</v>
      </c>
      <c r="H99" s="796">
        <f t="shared" ref="H99" si="40">ROUND(E99*G99,)</f>
        <v>88080</v>
      </c>
      <c r="I99" s="1181">
        <v>720</v>
      </c>
      <c r="J99" s="796">
        <f t="shared" ref="J99" si="41">ROUND(I99*E99,)</f>
        <v>4320</v>
      </c>
      <c r="K99" s="914">
        <f t="shared" ref="K99" si="42">H99+J99</f>
        <v>92400</v>
      </c>
      <c r="L99" s="914"/>
    </row>
    <row r="100" spans="1:12" s="714" customFormat="1" ht="24" customHeight="1">
      <c r="A100" s="1147" t="s">
        <v>1689</v>
      </c>
      <c r="B100" s="1148" t="s">
        <v>1690</v>
      </c>
      <c r="C100" s="1123"/>
      <c r="D100" s="1124"/>
      <c r="E100" s="1149"/>
      <c r="F100" s="1150"/>
      <c r="G100" s="1140"/>
      <c r="H100" s="796"/>
      <c r="I100" s="797"/>
      <c r="J100" s="796"/>
      <c r="K100" s="914"/>
      <c r="L100" s="912"/>
    </row>
    <row r="101" spans="1:12" s="714" customFormat="1" ht="24" customHeight="1">
      <c r="A101" s="1147"/>
      <c r="B101" s="1148" t="s">
        <v>1644</v>
      </c>
      <c r="C101" s="1123"/>
      <c r="D101" s="1124"/>
      <c r="E101" s="1149">
        <v>1</v>
      </c>
      <c r="F101" s="1150" t="s">
        <v>240</v>
      </c>
      <c r="G101" s="1179">
        <v>7824</v>
      </c>
      <c r="H101" s="796">
        <f t="shared" ref="H101:H102" si="43">ROUND(E101*G101,)</f>
        <v>7824</v>
      </c>
      <c r="I101" s="797">
        <v>1200</v>
      </c>
      <c r="J101" s="796">
        <f t="shared" ref="J101:J102" si="44">ROUND(I101*E101,)</f>
        <v>1200</v>
      </c>
      <c r="K101" s="914">
        <f t="shared" ref="K101:K102" si="45">H101+J101</f>
        <v>9024</v>
      </c>
      <c r="L101" s="912"/>
    </row>
    <row r="102" spans="1:12" s="714" customFormat="1" ht="24" customHeight="1">
      <c r="A102" s="898"/>
      <c r="B102" s="1148" t="s">
        <v>1676</v>
      </c>
      <c r="C102" s="1123"/>
      <c r="D102" s="1124"/>
      <c r="E102" s="1149">
        <v>1</v>
      </c>
      <c r="F102" s="1150" t="s">
        <v>240</v>
      </c>
      <c r="G102" s="1179">
        <v>9650</v>
      </c>
      <c r="H102" s="796">
        <f t="shared" si="43"/>
        <v>9650</v>
      </c>
      <c r="I102" s="797">
        <v>1600</v>
      </c>
      <c r="J102" s="796">
        <f t="shared" si="44"/>
        <v>1600</v>
      </c>
      <c r="K102" s="914">
        <f t="shared" si="45"/>
        <v>11250</v>
      </c>
      <c r="L102" s="912"/>
    </row>
    <row r="103" spans="1:12" s="714" customFormat="1" ht="24" customHeight="1">
      <c r="A103" s="1159"/>
      <c r="B103" s="1160"/>
      <c r="C103" s="1161"/>
      <c r="D103" s="1190"/>
      <c r="E103" s="1183"/>
      <c r="F103" s="1162"/>
      <c r="G103" s="1184"/>
      <c r="H103" s="872"/>
      <c r="I103" s="1185"/>
      <c r="J103" s="872"/>
      <c r="K103" s="938"/>
      <c r="L103" s="912"/>
    </row>
    <row r="104" spans="1:12" s="714" customFormat="1" ht="24" customHeight="1">
      <c r="A104" s="898"/>
      <c r="B104" s="1191"/>
      <c r="C104" s="890"/>
      <c r="D104" s="890"/>
      <c r="E104" s="842"/>
      <c r="F104" s="928"/>
      <c r="G104" s="1192"/>
      <c r="H104" s="1193"/>
      <c r="I104" s="1185"/>
      <c r="J104" s="1193"/>
      <c r="K104" s="1194"/>
      <c r="L104" s="1194"/>
    </row>
    <row r="105" spans="1:12" s="714" customFormat="1" ht="24" customHeight="1">
      <c r="A105" s="1166"/>
      <c r="B105" s="2475" t="str">
        <f>"รวมราคารายการที่ "&amp;A66</f>
        <v>รวมราคารายการที่ 5.2</v>
      </c>
      <c r="C105" s="2476"/>
      <c r="D105" s="2477"/>
      <c r="E105" s="2264"/>
      <c r="F105" s="1167"/>
      <c r="G105" s="1168"/>
      <c r="H105" s="1169">
        <f>SUM(H67:H102)</f>
        <v>2417601</v>
      </c>
      <c r="I105" s="1170"/>
      <c r="J105" s="1169">
        <f>SUM(J67:J102)</f>
        <v>526477</v>
      </c>
      <c r="K105" s="1169">
        <f>SUM(K67:K102)</f>
        <v>2944078</v>
      </c>
      <c r="L105" s="1171"/>
    </row>
    <row r="106" spans="1:12" s="714" customFormat="1" ht="24" customHeight="1">
      <c r="A106" s="1195">
        <v>5.3</v>
      </c>
      <c r="B106" s="1196" t="s">
        <v>1691</v>
      </c>
      <c r="C106" s="1197"/>
      <c r="D106" s="1198"/>
      <c r="E106" s="1199"/>
      <c r="F106" s="1200"/>
      <c r="G106" s="1201"/>
      <c r="H106" s="1202"/>
      <c r="I106" s="1203"/>
      <c r="J106" s="1202"/>
      <c r="K106" s="1204"/>
      <c r="L106" s="1204"/>
    </row>
    <row r="107" spans="1:12" s="714" customFormat="1" ht="24" customHeight="1">
      <c r="A107" s="1147" t="s">
        <v>1692</v>
      </c>
      <c r="B107" s="1187" t="s">
        <v>1693</v>
      </c>
      <c r="C107" s="1123"/>
      <c r="D107" s="1124"/>
      <c r="E107" s="1149"/>
      <c r="F107" s="1150"/>
      <c r="G107" s="1140"/>
      <c r="H107" s="796"/>
      <c r="I107" s="797"/>
      <c r="J107" s="796"/>
      <c r="K107" s="914"/>
      <c r="L107" s="938"/>
    </row>
    <row r="108" spans="1:12" s="714" customFormat="1" ht="24" customHeight="1">
      <c r="A108" s="1147"/>
      <c r="B108" s="1187" t="s">
        <v>1694</v>
      </c>
      <c r="C108" s="1123"/>
      <c r="D108" s="1124"/>
      <c r="E108" s="1149">
        <f>2</f>
        <v>2</v>
      </c>
      <c r="F108" s="1150" t="s">
        <v>240</v>
      </c>
      <c r="G108" s="1140">
        <v>41250</v>
      </c>
      <c r="H108" s="796">
        <f>ROUND(E108*G108,)</f>
        <v>82500</v>
      </c>
      <c r="I108" s="797">
        <f>G108*0.1</f>
        <v>4125</v>
      </c>
      <c r="J108" s="796">
        <f>ROUND(I108*E108,)</f>
        <v>8250</v>
      </c>
      <c r="K108" s="914">
        <f>H108+J108</f>
        <v>90750</v>
      </c>
      <c r="L108" s="914"/>
    </row>
    <row r="109" spans="1:12" s="714" customFormat="1" ht="24" customHeight="1">
      <c r="A109" s="1159" t="s">
        <v>1695</v>
      </c>
      <c r="B109" s="1160" t="s">
        <v>1696</v>
      </c>
      <c r="C109" s="1161"/>
      <c r="D109" s="1162"/>
      <c r="E109" s="1183"/>
      <c r="F109" s="1163"/>
      <c r="G109" s="1205"/>
      <c r="H109" s="872"/>
      <c r="I109" s="873"/>
      <c r="J109" s="872"/>
      <c r="K109" s="938"/>
      <c r="L109" s="914"/>
    </row>
    <row r="110" spans="1:12" s="714" customFormat="1" ht="24" customHeight="1">
      <c r="A110" s="1147"/>
      <c r="B110" s="1148" t="s">
        <v>1674</v>
      </c>
      <c r="C110" s="1123"/>
      <c r="D110" s="1124"/>
      <c r="E110" s="1149">
        <v>127</v>
      </c>
      <c r="F110" s="1150" t="s">
        <v>438</v>
      </c>
      <c r="G110" s="1140">
        <f>ROUND(2456.4/6,)</f>
        <v>409</v>
      </c>
      <c r="H110" s="796">
        <f>ROUND(E110*G110,)</f>
        <v>51943</v>
      </c>
      <c r="I110" s="797">
        <v>200</v>
      </c>
      <c r="J110" s="796">
        <f>ROUND(I110*E110,)</f>
        <v>25400</v>
      </c>
      <c r="K110" s="914">
        <f>H110+J110</f>
        <v>77343</v>
      </c>
      <c r="L110" s="914"/>
    </row>
    <row r="111" spans="1:12" s="714" customFormat="1" ht="24" customHeight="1">
      <c r="A111" s="1147"/>
      <c r="B111" s="1148" t="s">
        <v>1645</v>
      </c>
      <c r="C111" s="1123"/>
      <c r="D111" s="1124"/>
      <c r="E111" s="1149">
        <v>1</v>
      </c>
      <c r="F111" s="1150" t="s">
        <v>948</v>
      </c>
      <c r="G111" s="1140">
        <f>ROUND(SUM(H110:H110)*40%,)</f>
        <v>20777</v>
      </c>
      <c r="H111" s="796">
        <f t="shared" ref="H111:H113" si="46">ROUND(E111*G111,)</f>
        <v>20777</v>
      </c>
      <c r="I111" s="1181">
        <f t="shared" ref="I111:I113" si="47">ROUNDUP(G111*30%,0)</f>
        <v>6234</v>
      </c>
      <c r="J111" s="796">
        <f t="shared" ref="J111:J113" si="48">ROUND(I111*E111,)</f>
        <v>6234</v>
      </c>
      <c r="K111" s="914">
        <f t="shared" ref="K111:K113" si="49">H111+J111</f>
        <v>27011</v>
      </c>
      <c r="L111" s="914"/>
    </row>
    <row r="112" spans="1:12" s="714" customFormat="1" ht="24" customHeight="1">
      <c r="A112" s="1147"/>
      <c r="B112" s="1148" t="s">
        <v>1646</v>
      </c>
      <c r="C112" s="1123"/>
      <c r="D112" s="1124"/>
      <c r="E112" s="1149">
        <v>1</v>
      </c>
      <c r="F112" s="1150" t="s">
        <v>948</v>
      </c>
      <c r="G112" s="1140">
        <f>ROUND(SUM(H110:H110)*20%,)</f>
        <v>10389</v>
      </c>
      <c r="H112" s="796">
        <f t="shared" si="46"/>
        <v>10389</v>
      </c>
      <c r="I112" s="1181">
        <f t="shared" si="47"/>
        <v>3117</v>
      </c>
      <c r="J112" s="796">
        <f t="shared" si="48"/>
        <v>3117</v>
      </c>
      <c r="K112" s="914">
        <f t="shared" si="49"/>
        <v>13506</v>
      </c>
      <c r="L112" s="914"/>
    </row>
    <row r="113" spans="1:12" s="714" customFormat="1" ht="24" customHeight="1">
      <c r="A113" s="1147"/>
      <c r="B113" s="1148" t="s">
        <v>1677</v>
      </c>
      <c r="C113" s="1123"/>
      <c r="D113" s="1124"/>
      <c r="E113" s="1149">
        <v>1</v>
      </c>
      <c r="F113" s="1150" t="s">
        <v>948</v>
      </c>
      <c r="G113" s="1140">
        <f>ROUND(SUM(H110:H110)*10%,)</f>
        <v>5194</v>
      </c>
      <c r="H113" s="796">
        <f t="shared" si="46"/>
        <v>5194</v>
      </c>
      <c r="I113" s="1181">
        <f t="shared" si="47"/>
        <v>1559</v>
      </c>
      <c r="J113" s="796">
        <f t="shared" si="48"/>
        <v>1559</v>
      </c>
      <c r="K113" s="914">
        <f t="shared" si="49"/>
        <v>6753</v>
      </c>
      <c r="L113" s="914"/>
    </row>
    <row r="114" spans="1:12" s="714" customFormat="1" ht="24" customHeight="1">
      <c r="A114" s="1159" t="s">
        <v>1697</v>
      </c>
      <c r="B114" s="1160" t="s">
        <v>1679</v>
      </c>
      <c r="C114" s="1161"/>
      <c r="D114" s="1162"/>
      <c r="E114" s="1183"/>
      <c r="F114" s="1163"/>
      <c r="G114" s="1205"/>
      <c r="H114" s="872"/>
      <c r="I114" s="873"/>
      <c r="J114" s="872"/>
      <c r="K114" s="938"/>
      <c r="L114" s="938"/>
    </row>
    <row r="115" spans="1:12" s="714" customFormat="1" ht="24" customHeight="1">
      <c r="A115" s="1159"/>
      <c r="B115" s="1148" t="s">
        <v>1190</v>
      </c>
      <c r="C115" s="1123"/>
      <c r="D115" s="1124"/>
      <c r="E115" s="1149">
        <v>115</v>
      </c>
      <c r="F115" s="1150" t="s">
        <v>438</v>
      </c>
      <c r="G115" s="1140">
        <v>258</v>
      </c>
      <c r="H115" s="796">
        <f t="shared" ref="H115:H120" si="50">ROUND(E115*G115,)</f>
        <v>29670</v>
      </c>
      <c r="I115" s="797">
        <v>75</v>
      </c>
      <c r="J115" s="796">
        <f t="shared" ref="J115:J120" si="51">ROUND(I115*E115,)</f>
        <v>8625</v>
      </c>
      <c r="K115" s="914">
        <f t="shared" ref="K115:K120" si="52">H115+J115</f>
        <v>38295</v>
      </c>
      <c r="L115" s="938"/>
    </row>
    <row r="116" spans="1:12" s="714" customFormat="1" ht="24" customHeight="1">
      <c r="A116" s="1159"/>
      <c r="B116" s="1148" t="s">
        <v>1674</v>
      </c>
      <c r="C116" s="1123"/>
      <c r="D116" s="1124"/>
      <c r="E116" s="1149">
        <v>4</v>
      </c>
      <c r="F116" s="1150" t="s">
        <v>438</v>
      </c>
      <c r="G116" s="1140">
        <v>316</v>
      </c>
      <c r="H116" s="796">
        <f t="shared" si="50"/>
        <v>1264</v>
      </c>
      <c r="I116" s="797">
        <v>120</v>
      </c>
      <c r="J116" s="796">
        <f t="shared" si="51"/>
        <v>480</v>
      </c>
      <c r="K116" s="914">
        <f t="shared" si="52"/>
        <v>1744</v>
      </c>
      <c r="L116" s="938"/>
    </row>
    <row r="117" spans="1:12" s="714" customFormat="1" ht="24" customHeight="1">
      <c r="A117" s="1147"/>
      <c r="B117" s="1148" t="s">
        <v>1675</v>
      </c>
      <c r="C117" s="1123"/>
      <c r="D117" s="1124"/>
      <c r="E117" s="1149">
        <v>728</v>
      </c>
      <c r="F117" s="1150" t="s">
        <v>438</v>
      </c>
      <c r="G117" s="1140">
        <v>631</v>
      </c>
      <c r="H117" s="796">
        <f t="shared" si="50"/>
        <v>459368</v>
      </c>
      <c r="I117" s="797">
        <v>250</v>
      </c>
      <c r="J117" s="796">
        <f t="shared" si="51"/>
        <v>182000</v>
      </c>
      <c r="K117" s="914">
        <f t="shared" si="52"/>
        <v>641368</v>
      </c>
      <c r="L117" s="914"/>
    </row>
    <row r="118" spans="1:12" s="714" customFormat="1" ht="24" customHeight="1">
      <c r="A118" s="1147"/>
      <c r="B118" s="1148" t="s">
        <v>1645</v>
      </c>
      <c r="C118" s="1123"/>
      <c r="D118" s="1124"/>
      <c r="E118" s="1149">
        <v>1</v>
      </c>
      <c r="F118" s="1150" t="s">
        <v>948</v>
      </c>
      <c r="G118" s="1140">
        <f>ROUND(SUM(H115:H117)*40%,)</f>
        <v>196121</v>
      </c>
      <c r="H118" s="796">
        <f t="shared" si="50"/>
        <v>196121</v>
      </c>
      <c r="I118" s="1181">
        <f t="shared" ref="I118:I120" si="53">ROUNDUP(G118*30%,0)</f>
        <v>58837</v>
      </c>
      <c r="J118" s="796">
        <f t="shared" si="51"/>
        <v>58837</v>
      </c>
      <c r="K118" s="914">
        <f t="shared" si="52"/>
        <v>254958</v>
      </c>
      <c r="L118" s="914"/>
    </row>
    <row r="119" spans="1:12" s="714" customFormat="1" ht="24" customHeight="1">
      <c r="A119" s="1147"/>
      <c r="B119" s="1148" t="s">
        <v>1646</v>
      </c>
      <c r="C119" s="1123"/>
      <c r="D119" s="1124"/>
      <c r="E119" s="1149">
        <v>1</v>
      </c>
      <c r="F119" s="1150" t="s">
        <v>948</v>
      </c>
      <c r="G119" s="1140">
        <f>SUM(H115:H117)*20%</f>
        <v>98060.400000000009</v>
      </c>
      <c r="H119" s="796">
        <f t="shared" si="50"/>
        <v>98060</v>
      </c>
      <c r="I119" s="1181">
        <f t="shared" si="53"/>
        <v>29419</v>
      </c>
      <c r="J119" s="796">
        <f t="shared" si="51"/>
        <v>29419</v>
      </c>
      <c r="K119" s="914">
        <f t="shared" si="52"/>
        <v>127479</v>
      </c>
      <c r="L119" s="914"/>
    </row>
    <row r="120" spans="1:12" s="714" customFormat="1" ht="24" customHeight="1">
      <c r="A120" s="1147"/>
      <c r="B120" s="1148" t="s">
        <v>1677</v>
      </c>
      <c r="C120" s="1123"/>
      <c r="D120" s="1124"/>
      <c r="E120" s="1149">
        <v>1</v>
      </c>
      <c r="F120" s="1150" t="s">
        <v>948</v>
      </c>
      <c r="G120" s="1140">
        <f>ROUND(SUM(H115:H117)*10%,)</f>
        <v>49030</v>
      </c>
      <c r="H120" s="796">
        <f t="shared" si="50"/>
        <v>49030</v>
      </c>
      <c r="I120" s="1181">
        <f t="shared" si="53"/>
        <v>14709</v>
      </c>
      <c r="J120" s="796">
        <f t="shared" si="51"/>
        <v>14709</v>
      </c>
      <c r="K120" s="914">
        <f t="shared" si="52"/>
        <v>63739</v>
      </c>
      <c r="L120" s="914"/>
    </row>
    <row r="121" spans="1:12" s="714" customFormat="1" ht="24" customHeight="1">
      <c r="A121" s="1147" t="s">
        <v>1698</v>
      </c>
      <c r="B121" s="1148" t="s">
        <v>1699</v>
      </c>
      <c r="C121" s="1123"/>
      <c r="D121" s="1124"/>
      <c r="E121" s="1149"/>
      <c r="F121" s="1150"/>
      <c r="G121" s="1140"/>
      <c r="H121" s="796"/>
      <c r="I121" s="797"/>
      <c r="J121" s="796"/>
      <c r="K121" s="914"/>
      <c r="L121" s="914"/>
    </row>
    <row r="122" spans="1:12" s="714" customFormat="1" ht="24" customHeight="1">
      <c r="A122" s="1147"/>
      <c r="B122" s="1148" t="s">
        <v>1676</v>
      </c>
      <c r="C122" s="1123"/>
      <c r="D122" s="1124"/>
      <c r="E122" s="1149">
        <v>18</v>
      </c>
      <c r="F122" s="1150" t="s">
        <v>240</v>
      </c>
      <c r="G122" s="1140">
        <f>ROUND(1850*0.75,)</f>
        <v>1388</v>
      </c>
      <c r="H122" s="796">
        <f t="shared" ref="H122:H124" si="54">ROUND(E122*G122,)</f>
        <v>24984</v>
      </c>
      <c r="I122" s="797">
        <v>400</v>
      </c>
      <c r="J122" s="796">
        <f t="shared" ref="J122" si="55">ROUND(I122*E122,)</f>
        <v>7200</v>
      </c>
      <c r="K122" s="914">
        <f t="shared" ref="K122" si="56">H122+J122</f>
        <v>32184</v>
      </c>
      <c r="L122" s="914"/>
    </row>
    <row r="123" spans="1:12" s="714" customFormat="1" ht="24" customHeight="1">
      <c r="A123" s="1147" t="s">
        <v>1700</v>
      </c>
      <c r="B123" s="1148" t="s">
        <v>1690</v>
      </c>
      <c r="C123" s="1123"/>
      <c r="D123" s="1124"/>
      <c r="E123" s="1149"/>
      <c r="F123" s="1150"/>
      <c r="G123" s="1140"/>
      <c r="H123" s="796"/>
      <c r="I123" s="797"/>
      <c r="J123" s="796"/>
      <c r="K123" s="914"/>
      <c r="L123" s="914"/>
    </row>
    <row r="124" spans="1:12" s="714" customFormat="1" ht="24" customHeight="1">
      <c r="A124" s="1147"/>
      <c r="B124" s="1148" t="s">
        <v>1676</v>
      </c>
      <c r="C124" s="1123"/>
      <c r="D124" s="1124"/>
      <c r="E124" s="1149">
        <v>16</v>
      </c>
      <c r="F124" s="1150" t="s">
        <v>240</v>
      </c>
      <c r="G124" s="1179">
        <v>9650</v>
      </c>
      <c r="H124" s="796">
        <f t="shared" si="54"/>
        <v>154400</v>
      </c>
      <c r="I124" s="797">
        <v>1600</v>
      </c>
      <c r="J124" s="796">
        <f t="shared" ref="J124" si="57">ROUND(I124*E124,)</f>
        <v>25600</v>
      </c>
      <c r="K124" s="914">
        <f t="shared" ref="K124" si="58">H124+J124</f>
        <v>180000</v>
      </c>
      <c r="L124" s="914"/>
    </row>
    <row r="125" spans="1:12" s="714" customFormat="1" ht="24" customHeight="1">
      <c r="A125" s="1147" t="s">
        <v>1701</v>
      </c>
      <c r="B125" s="1148" t="s">
        <v>1702</v>
      </c>
      <c r="C125" s="1123"/>
      <c r="D125" s="1124"/>
      <c r="E125" s="1149"/>
      <c r="F125" s="1150"/>
      <c r="G125" s="1179"/>
      <c r="H125" s="796"/>
      <c r="I125" s="797"/>
      <c r="J125" s="796"/>
      <c r="K125" s="914"/>
      <c r="L125" s="914"/>
    </row>
    <row r="126" spans="1:12" s="714" customFormat="1" ht="24" customHeight="1">
      <c r="A126" s="1147"/>
      <c r="B126" s="1148" t="s">
        <v>1643</v>
      </c>
      <c r="C126" s="1123"/>
      <c r="D126" s="1124"/>
      <c r="E126" s="1149">
        <v>2</v>
      </c>
      <c r="F126" s="1150" t="s">
        <v>240</v>
      </c>
      <c r="G126" s="1179">
        <v>9545</v>
      </c>
      <c r="H126" s="796">
        <f t="shared" ref="H126" si="59">ROUND(E126*G126,)</f>
        <v>19090</v>
      </c>
      <c r="I126" s="1181">
        <v>800</v>
      </c>
      <c r="J126" s="796">
        <f t="shared" ref="J126" si="60">ROUND(I126*E126,)</f>
        <v>1600</v>
      </c>
      <c r="K126" s="914">
        <f t="shared" ref="K126" si="61">H126+J126</f>
        <v>20690</v>
      </c>
      <c r="L126" s="912"/>
    </row>
    <row r="127" spans="1:12" s="714" customFormat="1" ht="24" customHeight="1">
      <c r="A127" s="1147" t="s">
        <v>1703</v>
      </c>
      <c r="B127" s="1148" t="s">
        <v>1704</v>
      </c>
      <c r="C127" s="1123"/>
      <c r="D127" s="1124"/>
      <c r="E127" s="1149"/>
      <c r="F127" s="1150"/>
      <c r="G127" s="1179"/>
      <c r="H127" s="796"/>
      <c r="I127" s="1181"/>
      <c r="J127" s="796"/>
      <c r="K127" s="914"/>
      <c r="L127" s="912"/>
    </row>
    <row r="128" spans="1:12" s="714" customFormat="1" ht="24" customHeight="1">
      <c r="A128" s="1147"/>
      <c r="B128" s="1148" t="s">
        <v>1643</v>
      </c>
      <c r="C128" s="1123"/>
      <c r="D128" s="1124"/>
      <c r="E128" s="1149">
        <v>2</v>
      </c>
      <c r="F128" s="1150" t="s">
        <v>240</v>
      </c>
      <c r="G128" s="1179">
        <v>13500</v>
      </c>
      <c r="H128" s="796">
        <f t="shared" ref="H128" si="62">ROUND(E128*G128,)</f>
        <v>27000</v>
      </c>
      <c r="I128" s="1181">
        <v>800</v>
      </c>
      <c r="J128" s="796">
        <f t="shared" ref="J128" si="63">ROUND(I128*E128,)</f>
        <v>1600</v>
      </c>
      <c r="K128" s="914">
        <f t="shared" ref="K128" si="64">H128+J128</f>
        <v>28600</v>
      </c>
      <c r="L128" s="912"/>
    </row>
    <row r="129" spans="1:12" s="714" customFormat="1" ht="24" customHeight="1">
      <c r="A129" s="1147" t="s">
        <v>1705</v>
      </c>
      <c r="B129" s="1148" t="s">
        <v>1706</v>
      </c>
      <c r="C129" s="1123"/>
      <c r="D129" s="1124"/>
      <c r="E129" s="1149"/>
      <c r="F129" s="1150"/>
      <c r="G129" s="1179"/>
      <c r="H129" s="796"/>
      <c r="I129" s="1181"/>
      <c r="J129" s="796"/>
      <c r="K129" s="914"/>
      <c r="L129" s="912"/>
    </row>
    <row r="130" spans="1:12" s="714" customFormat="1" ht="24" customHeight="1">
      <c r="A130" s="1147"/>
      <c r="B130" s="1148" t="s">
        <v>1643</v>
      </c>
      <c r="C130" s="1123"/>
      <c r="D130" s="1124"/>
      <c r="E130" s="1149">
        <v>3</v>
      </c>
      <c r="F130" s="1150" t="s">
        <v>240</v>
      </c>
      <c r="G130" s="1179">
        <v>3940</v>
      </c>
      <c r="H130" s="796">
        <f t="shared" ref="H130" si="65">ROUND(E130*G130,)</f>
        <v>11820</v>
      </c>
      <c r="I130" s="1181">
        <v>800</v>
      </c>
      <c r="J130" s="796">
        <f t="shared" ref="J130" si="66">ROUND(I130*E130,)</f>
        <v>2400</v>
      </c>
      <c r="K130" s="914">
        <f t="shared" ref="K130" si="67">H130+J130</f>
        <v>14220</v>
      </c>
      <c r="L130" s="912"/>
    </row>
    <row r="131" spans="1:12" s="714" customFormat="1" ht="24" customHeight="1">
      <c r="A131" s="1159"/>
      <c r="B131" s="1160"/>
      <c r="C131" s="1161"/>
      <c r="D131" s="1190"/>
      <c r="E131" s="1183"/>
      <c r="F131" s="1162"/>
      <c r="G131" s="1184"/>
      <c r="H131" s="872"/>
      <c r="I131" s="1185"/>
      <c r="J131" s="872"/>
      <c r="K131" s="938"/>
      <c r="L131" s="1204"/>
    </row>
    <row r="132" spans="1:12" s="714" customFormat="1" ht="24" customHeight="1">
      <c r="A132" s="1159"/>
      <c r="B132" s="1160"/>
      <c r="C132" s="1161"/>
      <c r="D132" s="1190"/>
      <c r="E132" s="1183"/>
      <c r="F132" s="1162"/>
      <c r="G132" s="1184"/>
      <c r="H132" s="872"/>
      <c r="I132" s="1185"/>
      <c r="J132" s="872"/>
      <c r="K132" s="938"/>
      <c r="L132" s="1204"/>
    </row>
    <row r="133" spans="1:12" s="714" customFormat="1" ht="24" customHeight="1">
      <c r="A133" s="1159"/>
      <c r="B133" s="1160"/>
      <c r="C133" s="1161"/>
      <c r="D133" s="1190"/>
      <c r="E133" s="1183"/>
      <c r="F133" s="1162"/>
      <c r="G133" s="1184"/>
      <c r="H133" s="872"/>
      <c r="I133" s="1185"/>
      <c r="J133" s="872"/>
      <c r="K133" s="938"/>
      <c r="L133" s="1204"/>
    </row>
    <row r="134" spans="1:12" s="714" customFormat="1" ht="24" customHeight="1">
      <c r="A134" s="898"/>
      <c r="B134" s="1191"/>
      <c r="C134" s="890"/>
      <c r="D134" s="890"/>
      <c r="E134" s="842"/>
      <c r="F134" s="928"/>
      <c r="G134" s="1192"/>
      <c r="H134" s="1193"/>
      <c r="I134" s="1185"/>
      <c r="J134" s="1193"/>
      <c r="K134" s="1194"/>
      <c r="L134" s="1194"/>
    </row>
    <row r="135" spans="1:12" s="714" customFormat="1" ht="24" customHeight="1">
      <c r="A135" s="1166"/>
      <c r="B135" s="2475" t="str">
        <f>"รวมราคารายการที่ "&amp;A106</f>
        <v>รวมราคารายการที่ 5.3</v>
      </c>
      <c r="C135" s="2476"/>
      <c r="D135" s="2477"/>
      <c r="E135" s="2264"/>
      <c r="F135" s="1167"/>
      <c r="G135" s="1168"/>
      <c r="H135" s="1169">
        <f>SUM(H108:H134)</f>
        <v>1241610</v>
      </c>
      <c r="I135" s="1170"/>
      <c r="J135" s="1169">
        <f>SUM(J108:J134)</f>
        <v>377030</v>
      </c>
      <c r="K135" s="1169">
        <f>SUM(K108:K134)</f>
        <v>1618640</v>
      </c>
      <c r="L135" s="1171"/>
    </row>
    <row r="136" spans="1:12" s="714" customFormat="1" ht="24" customHeight="1">
      <c r="A136" s="1207" t="s">
        <v>1707</v>
      </c>
      <c r="B136" s="1208" t="s">
        <v>1708</v>
      </c>
      <c r="C136" s="1209"/>
      <c r="D136" s="1210"/>
      <c r="E136" s="1211"/>
      <c r="F136" s="1212"/>
      <c r="G136" s="874"/>
      <c r="H136" s="854"/>
      <c r="I136" s="855"/>
      <c r="J136" s="854"/>
      <c r="K136" s="912"/>
      <c r="L136" s="912"/>
    </row>
    <row r="137" spans="1:12" s="714" customFormat="1" ht="24" customHeight="1">
      <c r="A137" s="1147" t="s">
        <v>1709</v>
      </c>
      <c r="B137" s="1160" t="s">
        <v>1710</v>
      </c>
      <c r="C137" s="1123"/>
      <c r="D137" s="1124"/>
      <c r="E137" s="1149"/>
      <c r="F137" s="1150"/>
      <c r="G137" s="1179"/>
      <c r="H137" s="796"/>
      <c r="I137" s="1181"/>
      <c r="J137" s="796"/>
      <c r="K137" s="797"/>
      <c r="L137" s="1182"/>
    </row>
    <row r="138" spans="1:12" s="714" customFormat="1" ht="24" customHeight="1">
      <c r="A138" s="1147"/>
      <c r="B138" s="1148" t="s">
        <v>1642</v>
      </c>
      <c r="C138" s="1123"/>
      <c r="D138" s="1124"/>
      <c r="E138" s="1149">
        <v>36</v>
      </c>
      <c r="F138" s="1150" t="s">
        <v>438</v>
      </c>
      <c r="G138" s="1179">
        <v>836</v>
      </c>
      <c r="H138" s="796">
        <f>ROUND(E138*G138,)</f>
        <v>30096</v>
      </c>
      <c r="I138" s="1181">
        <v>175</v>
      </c>
      <c r="J138" s="796">
        <f>ROUND(E138*I138,)</f>
        <v>6300</v>
      </c>
      <c r="K138" s="797">
        <f>H138+J138</f>
        <v>36396</v>
      </c>
      <c r="L138" s="1182"/>
    </row>
    <row r="139" spans="1:12" s="714" customFormat="1" ht="24" customHeight="1">
      <c r="A139" s="1147"/>
      <c r="B139" s="1148" t="s">
        <v>1643</v>
      </c>
      <c r="C139" s="1123"/>
      <c r="D139" s="1124"/>
      <c r="E139" s="1149">
        <v>264</v>
      </c>
      <c r="F139" s="1150" t="s">
        <v>438</v>
      </c>
      <c r="G139" s="1179">
        <v>1088</v>
      </c>
      <c r="H139" s="796">
        <f t="shared" ref="H139" si="68">ROUND(E139*G139,)</f>
        <v>287232</v>
      </c>
      <c r="I139" s="1181">
        <v>250</v>
      </c>
      <c r="J139" s="796">
        <f t="shared" ref="J139" si="69">ROUND(E139*I139,)</f>
        <v>66000</v>
      </c>
      <c r="K139" s="797">
        <f t="shared" ref="K139" si="70">H139+J139</f>
        <v>353232</v>
      </c>
      <c r="L139" s="1182"/>
    </row>
    <row r="140" spans="1:12" s="714" customFormat="1" ht="24" customHeight="1">
      <c r="A140" s="1147"/>
      <c r="B140" s="1148" t="s">
        <v>1711</v>
      </c>
      <c r="C140" s="1123"/>
      <c r="D140" s="1124"/>
      <c r="E140" s="1149">
        <v>33</v>
      </c>
      <c r="F140" s="1150" t="s">
        <v>438</v>
      </c>
      <c r="G140" s="1179">
        <v>1772</v>
      </c>
      <c r="H140" s="796">
        <f>ROUND(E140*G140,)</f>
        <v>58476</v>
      </c>
      <c r="I140" s="1181">
        <v>400</v>
      </c>
      <c r="J140" s="796">
        <f>ROUND(E140*I140,)</f>
        <v>13200</v>
      </c>
      <c r="K140" s="797">
        <f>H140+J140</f>
        <v>71676</v>
      </c>
      <c r="L140" s="1182"/>
    </row>
    <row r="141" spans="1:12" s="714" customFormat="1" ht="24" customHeight="1">
      <c r="A141" s="1147"/>
      <c r="B141" s="1148" t="s">
        <v>1645</v>
      </c>
      <c r="C141" s="1123"/>
      <c r="D141" s="1124"/>
      <c r="E141" s="1149">
        <v>1</v>
      </c>
      <c r="F141" s="1150" t="s">
        <v>948</v>
      </c>
      <c r="G141" s="1179">
        <f>SUM(H138:H140)*50%</f>
        <v>187902</v>
      </c>
      <c r="H141" s="796">
        <f>ROUND(E141*G141,)</f>
        <v>187902</v>
      </c>
      <c r="I141" s="1181">
        <f t="shared" ref="I141:I143" si="71">ROUNDUP(G141*30%,0)</f>
        <v>56371</v>
      </c>
      <c r="J141" s="796">
        <f>ROUND(E141*I141,)</f>
        <v>56371</v>
      </c>
      <c r="K141" s="797">
        <f>H141+J141</f>
        <v>244273</v>
      </c>
      <c r="L141" s="1182"/>
    </row>
    <row r="142" spans="1:12" s="714" customFormat="1" ht="24" customHeight="1">
      <c r="A142" s="1147"/>
      <c r="B142" s="1148" t="s">
        <v>1646</v>
      </c>
      <c r="C142" s="1123"/>
      <c r="D142" s="1124"/>
      <c r="E142" s="1149">
        <v>1</v>
      </c>
      <c r="F142" s="1150" t="s">
        <v>948</v>
      </c>
      <c r="G142" s="1179">
        <f>ROUND(SUM(H138:H140)*20%,)</f>
        <v>75161</v>
      </c>
      <c r="H142" s="796">
        <f>ROUND(E142*G142,)</f>
        <v>75161</v>
      </c>
      <c r="I142" s="1181">
        <f t="shared" si="71"/>
        <v>22549</v>
      </c>
      <c r="J142" s="796">
        <f>ROUND(E142*I142,)</f>
        <v>22549</v>
      </c>
      <c r="K142" s="797">
        <f>H142+J142</f>
        <v>97710</v>
      </c>
      <c r="L142" s="1182"/>
    </row>
    <row r="143" spans="1:12" s="714" customFormat="1" ht="24" customHeight="1">
      <c r="A143" s="1147"/>
      <c r="B143" s="1148" t="s">
        <v>1647</v>
      </c>
      <c r="C143" s="1123"/>
      <c r="D143" s="1124"/>
      <c r="E143" s="1149">
        <v>1</v>
      </c>
      <c r="F143" s="1150" t="s">
        <v>948</v>
      </c>
      <c r="G143" s="1179">
        <f>ROUND(SUM(H138:H140)*10%,)</f>
        <v>37580</v>
      </c>
      <c r="H143" s="796">
        <f>ROUND(E143*G143,)</f>
        <v>37580</v>
      </c>
      <c r="I143" s="1181">
        <f t="shared" si="71"/>
        <v>11274</v>
      </c>
      <c r="J143" s="796">
        <f>ROUND(E143*I143,)</f>
        <v>11274</v>
      </c>
      <c r="K143" s="797">
        <f>H143+J143</f>
        <v>48854</v>
      </c>
      <c r="L143" s="1182"/>
    </row>
    <row r="144" spans="1:12" s="714" customFormat="1" ht="24" customHeight="1">
      <c r="A144" s="1147" t="s">
        <v>1712</v>
      </c>
      <c r="B144" s="1148" t="s">
        <v>1652</v>
      </c>
      <c r="C144" s="1123"/>
      <c r="D144" s="1124"/>
      <c r="E144" s="1149"/>
      <c r="F144" s="1150"/>
      <c r="G144" s="1179"/>
      <c r="H144" s="796"/>
      <c r="I144" s="1181"/>
      <c r="J144" s="796"/>
      <c r="K144" s="797"/>
      <c r="L144" s="1182"/>
    </row>
    <row r="145" spans="1:12" s="714" customFormat="1" ht="24" customHeight="1">
      <c r="A145" s="1147"/>
      <c r="B145" s="1148" t="s">
        <v>1643</v>
      </c>
      <c r="C145" s="1123"/>
      <c r="D145" s="1124"/>
      <c r="E145" s="1149">
        <v>2</v>
      </c>
      <c r="F145" s="1150" t="s">
        <v>240</v>
      </c>
      <c r="G145" s="1179">
        <v>2592</v>
      </c>
      <c r="H145" s="796">
        <f t="shared" ref="H145" si="72">ROUND(E145*G145,)</f>
        <v>5184</v>
      </c>
      <c r="I145" s="1181">
        <v>800</v>
      </c>
      <c r="J145" s="796">
        <f t="shared" ref="J145" si="73">ROUND(E145*I145,)</f>
        <v>1600</v>
      </c>
      <c r="K145" s="797">
        <f t="shared" ref="K145" si="74">H145+J145</f>
        <v>6784</v>
      </c>
      <c r="L145" s="1182"/>
    </row>
    <row r="146" spans="1:12" s="714" customFormat="1" ht="24" customHeight="1">
      <c r="A146" s="1147"/>
      <c r="B146" s="1187" t="s">
        <v>1644</v>
      </c>
      <c r="C146" s="1123"/>
      <c r="D146" s="1124"/>
      <c r="E146" s="1149">
        <v>1</v>
      </c>
      <c r="F146" s="1150" t="s">
        <v>240</v>
      </c>
      <c r="G146" s="1179">
        <v>6734</v>
      </c>
      <c r="H146" s="796">
        <f>ROUND(E146*G146,)</f>
        <v>6734</v>
      </c>
      <c r="I146" s="1181">
        <v>1200</v>
      </c>
      <c r="J146" s="796">
        <f>ROUND(E146*I146,)</f>
        <v>1200</v>
      </c>
      <c r="K146" s="797">
        <f>H146+J146</f>
        <v>7934</v>
      </c>
      <c r="L146" s="1182"/>
    </row>
    <row r="147" spans="1:12" s="714" customFormat="1" ht="24" customHeight="1">
      <c r="A147" s="1147" t="s">
        <v>1713</v>
      </c>
      <c r="B147" s="1148" t="s">
        <v>1654</v>
      </c>
      <c r="C147" s="1123"/>
      <c r="D147" s="1124"/>
      <c r="E147" s="1149"/>
      <c r="F147" s="1150"/>
      <c r="G147" s="1179"/>
      <c r="H147" s="796"/>
      <c r="I147" s="1181"/>
      <c r="J147" s="796"/>
      <c r="K147" s="797"/>
      <c r="L147" s="1182"/>
    </row>
    <row r="148" spans="1:12" s="714" customFormat="1" ht="24" customHeight="1">
      <c r="A148" s="1147"/>
      <c r="B148" s="1187" t="s">
        <v>1644</v>
      </c>
      <c r="C148" s="1123"/>
      <c r="D148" s="1124"/>
      <c r="E148" s="1149">
        <v>1</v>
      </c>
      <c r="F148" s="1150" t="s">
        <v>240</v>
      </c>
      <c r="G148" s="1179">
        <v>7824</v>
      </c>
      <c r="H148" s="796">
        <f>ROUND(E148*G148,)</f>
        <v>7824</v>
      </c>
      <c r="I148" s="1181">
        <v>1200</v>
      </c>
      <c r="J148" s="796">
        <f>ROUND(E148*I148,)</f>
        <v>1200</v>
      </c>
      <c r="K148" s="797">
        <f>H148+J148</f>
        <v>9024</v>
      </c>
      <c r="L148" s="1182"/>
    </row>
    <row r="149" spans="1:12" s="714" customFormat="1" ht="24" customHeight="1">
      <c r="A149" s="1147" t="s">
        <v>1714</v>
      </c>
      <c r="B149" s="1187" t="s">
        <v>1656</v>
      </c>
      <c r="C149" s="1123"/>
      <c r="D149" s="1124"/>
      <c r="E149" s="1149"/>
      <c r="F149" s="1150"/>
      <c r="G149" s="1179"/>
      <c r="H149" s="796"/>
      <c r="I149" s="1181"/>
      <c r="J149" s="796"/>
      <c r="K149" s="797"/>
      <c r="L149" s="1182"/>
    </row>
    <row r="150" spans="1:12" s="714" customFormat="1" ht="24" customHeight="1">
      <c r="A150" s="1147"/>
      <c r="B150" s="1187" t="s">
        <v>1715</v>
      </c>
      <c r="C150" s="1123"/>
      <c r="D150" s="1124"/>
      <c r="E150" s="1149">
        <v>1</v>
      </c>
      <c r="F150" s="1150" t="s">
        <v>240</v>
      </c>
      <c r="G150" s="1179">
        <v>2400</v>
      </c>
      <c r="H150" s="796">
        <f>ROUND(E150*G150,)</f>
        <v>2400</v>
      </c>
      <c r="I150" s="1181">
        <v>150</v>
      </c>
      <c r="J150" s="796">
        <f>ROUND(I150*E150,)</f>
        <v>150</v>
      </c>
      <c r="K150" s="797">
        <f>H150+J150</f>
        <v>2550</v>
      </c>
      <c r="L150" s="1182"/>
    </row>
    <row r="151" spans="1:12" s="714" customFormat="1" ht="24" customHeight="1">
      <c r="A151" s="1147" t="s">
        <v>1716</v>
      </c>
      <c r="B151" s="1148" t="s">
        <v>1717</v>
      </c>
      <c r="C151" s="1123"/>
      <c r="D151" s="1124"/>
      <c r="E151" s="1149">
        <v>1</v>
      </c>
      <c r="F151" s="1150" t="s">
        <v>240</v>
      </c>
      <c r="G151" s="1188">
        <v>735</v>
      </c>
      <c r="H151" s="796">
        <f>ROUND(E151*G151,)</f>
        <v>735</v>
      </c>
      <c r="I151" s="1181">
        <v>100</v>
      </c>
      <c r="J151" s="796">
        <f>ROUND(I151*E151,)</f>
        <v>100</v>
      </c>
      <c r="K151" s="797">
        <f>H151+J151</f>
        <v>835</v>
      </c>
      <c r="L151" s="1182"/>
    </row>
    <row r="152" spans="1:12" s="714" customFormat="1" ht="24" customHeight="1">
      <c r="A152" s="1147" t="s">
        <v>1718</v>
      </c>
      <c r="B152" s="1148" t="s">
        <v>1660</v>
      </c>
      <c r="C152" s="1123"/>
      <c r="D152" s="1124"/>
      <c r="E152" s="1149"/>
      <c r="F152" s="1150"/>
      <c r="G152" s="1179"/>
      <c r="H152" s="796"/>
      <c r="I152" s="1181"/>
      <c r="J152" s="796"/>
      <c r="K152" s="797"/>
      <c r="L152" s="1182"/>
    </row>
    <row r="153" spans="1:12" s="714" customFormat="1" ht="24" customHeight="1">
      <c r="A153" s="1147"/>
      <c r="B153" s="1148" t="s">
        <v>1650</v>
      </c>
      <c r="C153" s="1123"/>
      <c r="D153" s="1124"/>
      <c r="E153" s="1149">
        <v>4</v>
      </c>
      <c r="F153" s="1150" t="s">
        <v>240</v>
      </c>
      <c r="G153" s="1179">
        <v>10920</v>
      </c>
      <c r="H153" s="796">
        <f t="shared" ref="H153:H154" si="75">ROUND(E153*G153,)</f>
        <v>43680</v>
      </c>
      <c r="I153" s="1181">
        <v>200</v>
      </c>
      <c r="J153" s="796">
        <f t="shared" ref="J153:J154" si="76">ROUND(I153*E153,)</f>
        <v>800</v>
      </c>
      <c r="K153" s="797">
        <f>H153+J153</f>
        <v>44480</v>
      </c>
      <c r="L153" s="1182"/>
    </row>
    <row r="154" spans="1:12" s="714" customFormat="1" ht="24" customHeight="1">
      <c r="A154" s="1147"/>
      <c r="B154" s="1148" t="s">
        <v>1661</v>
      </c>
      <c r="C154" s="1123"/>
      <c r="D154" s="1124"/>
      <c r="E154" s="1149">
        <v>4</v>
      </c>
      <c r="F154" s="1150" t="s">
        <v>240</v>
      </c>
      <c r="G154" s="1179">
        <v>37917</v>
      </c>
      <c r="H154" s="796">
        <f t="shared" si="75"/>
        <v>151668</v>
      </c>
      <c r="I154" s="1181">
        <v>600</v>
      </c>
      <c r="J154" s="796">
        <f t="shared" si="76"/>
        <v>2400</v>
      </c>
      <c r="K154" s="797">
        <f>H154+J154</f>
        <v>154068</v>
      </c>
      <c r="L154" s="1182"/>
    </row>
    <row r="155" spans="1:12" s="714" customFormat="1" ht="24" customHeight="1">
      <c r="A155" s="1147" t="s">
        <v>1719</v>
      </c>
      <c r="B155" s="1187" t="s">
        <v>1663</v>
      </c>
      <c r="C155" s="1123"/>
      <c r="D155" s="1124"/>
      <c r="E155" s="1149"/>
      <c r="F155" s="1150"/>
      <c r="G155" s="1179"/>
      <c r="H155" s="796"/>
      <c r="I155" s="1181"/>
      <c r="J155" s="796"/>
      <c r="K155" s="914"/>
      <c r="L155" s="1189"/>
    </row>
    <row r="156" spans="1:12" s="714" customFormat="1" ht="24" customHeight="1">
      <c r="A156" s="1147"/>
      <c r="B156" s="1187" t="s">
        <v>1644</v>
      </c>
      <c r="C156" s="1123"/>
      <c r="D156" s="1124"/>
      <c r="E156" s="1149">
        <v>1</v>
      </c>
      <c r="F156" s="1150" t="s">
        <v>240</v>
      </c>
      <c r="G156" s="1179">
        <v>30787</v>
      </c>
      <c r="H156" s="796">
        <f t="shared" ref="H156" si="77">ROUND(E156*G156,)</f>
        <v>30787</v>
      </c>
      <c r="I156" s="1181">
        <v>1200</v>
      </c>
      <c r="J156" s="796">
        <f t="shared" ref="J156" si="78">ROUND(E156*I156,)</f>
        <v>1200</v>
      </c>
      <c r="K156" s="914">
        <f>H156+J156</f>
        <v>31987</v>
      </c>
      <c r="L156" s="914"/>
    </row>
    <row r="157" spans="1:12" s="714" customFormat="1" ht="24" customHeight="1">
      <c r="A157" s="1147"/>
      <c r="B157" s="1148"/>
      <c r="C157" s="1123"/>
      <c r="D157" s="1213"/>
      <c r="E157" s="1214"/>
      <c r="F157" s="1124"/>
      <c r="G157" s="1140"/>
      <c r="H157" s="796"/>
      <c r="I157" s="797"/>
      <c r="J157" s="796"/>
      <c r="K157" s="914"/>
      <c r="L157" s="914"/>
    </row>
    <row r="158" spans="1:12" s="714" customFormat="1" ht="24" customHeight="1">
      <c r="A158" s="1147"/>
      <c r="B158" s="1148"/>
      <c r="C158" s="1123"/>
      <c r="D158" s="1213"/>
      <c r="E158" s="1214"/>
      <c r="F158" s="1124"/>
      <c r="G158" s="1140"/>
      <c r="H158" s="796"/>
      <c r="I158" s="797"/>
      <c r="J158" s="796"/>
      <c r="K158" s="914"/>
      <c r="L158" s="914"/>
    </row>
    <row r="159" spans="1:12" s="714" customFormat="1" ht="24" customHeight="1">
      <c r="A159" s="1147"/>
      <c r="B159" s="1148"/>
      <c r="C159" s="1123"/>
      <c r="D159" s="1213"/>
      <c r="E159" s="1149"/>
      <c r="F159" s="1124"/>
      <c r="G159" s="1140"/>
      <c r="H159" s="796"/>
      <c r="I159" s="797"/>
      <c r="J159" s="796"/>
      <c r="K159" s="914"/>
      <c r="L159" s="914"/>
    </row>
    <row r="160" spans="1:12" s="714" customFormat="1" ht="24" customHeight="1">
      <c r="A160" s="1166"/>
      <c r="B160" s="2475" t="str">
        <f>"รวมราคารายการที่ "&amp;A136</f>
        <v>รวมราคารายการที่ 5.4</v>
      </c>
      <c r="C160" s="2476"/>
      <c r="D160" s="2477"/>
      <c r="E160" s="2264"/>
      <c r="F160" s="1167"/>
      <c r="G160" s="1168"/>
      <c r="H160" s="1169">
        <f>SUM(H137:H159)</f>
        <v>925459</v>
      </c>
      <c r="I160" s="1170"/>
      <c r="J160" s="1169">
        <f>SUM(J137:J159)</f>
        <v>184344</v>
      </c>
      <c r="K160" s="1169">
        <f>SUM(K137:K159)</f>
        <v>1109803</v>
      </c>
      <c r="L160" s="1171"/>
    </row>
    <row r="161" spans="1:12" s="714" customFormat="1" ht="24" customHeight="1">
      <c r="A161" s="1207" t="s">
        <v>1720</v>
      </c>
      <c r="B161" s="1208" t="s">
        <v>1721</v>
      </c>
      <c r="C161" s="1209"/>
      <c r="D161" s="1210"/>
      <c r="E161" s="1211"/>
      <c r="F161" s="1212"/>
      <c r="G161" s="874"/>
      <c r="H161" s="854"/>
      <c r="I161" s="855"/>
      <c r="J161" s="854"/>
      <c r="K161" s="912"/>
      <c r="L161" s="912"/>
    </row>
    <row r="162" spans="1:12" s="714" customFormat="1" ht="24" customHeight="1">
      <c r="A162" s="1147" t="s">
        <v>1722</v>
      </c>
      <c r="B162" s="1160" t="s">
        <v>1723</v>
      </c>
      <c r="C162" s="1123"/>
      <c r="D162" s="1124"/>
      <c r="E162" s="1149"/>
      <c r="F162" s="1150"/>
      <c r="G162" s="1179"/>
      <c r="H162" s="796"/>
      <c r="I162" s="1181"/>
      <c r="J162" s="796"/>
      <c r="K162" s="797"/>
      <c r="L162" s="1182"/>
    </row>
    <row r="163" spans="1:12" s="714" customFormat="1" ht="24" customHeight="1">
      <c r="A163" s="1147"/>
      <c r="B163" s="1148" t="s">
        <v>1642</v>
      </c>
      <c r="C163" s="1123"/>
      <c r="D163" s="1124"/>
      <c r="E163" s="1149">
        <v>167</v>
      </c>
      <c r="F163" s="1150" t="s">
        <v>438</v>
      </c>
      <c r="G163" s="1179">
        <v>836</v>
      </c>
      <c r="H163" s="796">
        <f>ROUND(E163*G163,)</f>
        <v>139612</v>
      </c>
      <c r="I163" s="1181">
        <v>175</v>
      </c>
      <c r="J163" s="796">
        <f>ROUND(E163*I163,)</f>
        <v>29225</v>
      </c>
      <c r="K163" s="797">
        <f>H163+J163</f>
        <v>168837</v>
      </c>
      <c r="L163" s="1182"/>
    </row>
    <row r="164" spans="1:12" s="714" customFormat="1" ht="21.3">
      <c r="A164" s="1147"/>
      <c r="B164" s="1148" t="s">
        <v>1645</v>
      </c>
      <c r="C164" s="1123"/>
      <c r="D164" s="1124"/>
      <c r="E164" s="1149">
        <v>1</v>
      </c>
      <c r="F164" s="1150" t="s">
        <v>948</v>
      </c>
      <c r="G164" s="1179">
        <f>SUM(H163:H163)*50%</f>
        <v>69806</v>
      </c>
      <c r="H164" s="796">
        <f>ROUND(E164*G164,)</f>
        <v>69806</v>
      </c>
      <c r="I164" s="1181">
        <f t="shared" ref="I164:I166" si="79">ROUNDUP(G164*30%,0)</f>
        <v>20942</v>
      </c>
      <c r="J164" s="796">
        <f>ROUND(E164*I164,)</f>
        <v>20942</v>
      </c>
      <c r="K164" s="797">
        <f>H164+J164</f>
        <v>90748</v>
      </c>
      <c r="L164" s="1182"/>
    </row>
    <row r="165" spans="1:12">
      <c r="A165" s="1147"/>
      <c r="B165" s="1148" t="s">
        <v>1646</v>
      </c>
      <c r="C165" s="1123"/>
      <c r="D165" s="1124"/>
      <c r="E165" s="1149">
        <v>1</v>
      </c>
      <c r="F165" s="1150" t="s">
        <v>948</v>
      </c>
      <c r="G165" s="1179">
        <f>ROUND(SUM(H163:H163)*20%,)</f>
        <v>27922</v>
      </c>
      <c r="H165" s="796">
        <f>ROUND(E165*G165,)</f>
        <v>27922</v>
      </c>
      <c r="I165" s="1181">
        <f t="shared" si="79"/>
        <v>8377</v>
      </c>
      <c r="J165" s="796">
        <f>ROUND(E165*I165,)</f>
        <v>8377</v>
      </c>
      <c r="K165" s="797">
        <f>H165+J165</f>
        <v>36299</v>
      </c>
      <c r="L165" s="1182"/>
    </row>
    <row r="166" spans="1:12">
      <c r="A166" s="1147"/>
      <c r="B166" s="1148" t="s">
        <v>1647</v>
      </c>
      <c r="C166" s="1123"/>
      <c r="D166" s="1124"/>
      <c r="E166" s="1149">
        <v>1</v>
      </c>
      <c r="F166" s="1150" t="s">
        <v>948</v>
      </c>
      <c r="G166" s="1179">
        <f>ROUND(SUM(H163:H163)*10%,)</f>
        <v>13961</v>
      </c>
      <c r="H166" s="796">
        <f>ROUND(E166*G166,)</f>
        <v>13961</v>
      </c>
      <c r="I166" s="1181">
        <f t="shared" si="79"/>
        <v>4189</v>
      </c>
      <c r="J166" s="796">
        <f>ROUND(E166*I166,)</f>
        <v>4189</v>
      </c>
      <c r="K166" s="797">
        <f>H166+J166</f>
        <v>18150</v>
      </c>
      <c r="L166" s="1182"/>
    </row>
    <row r="167" spans="1:12">
      <c r="A167" s="1147" t="s">
        <v>1724</v>
      </c>
      <c r="B167" s="1148" t="s">
        <v>1652</v>
      </c>
      <c r="C167" s="1123"/>
      <c r="D167" s="1124"/>
      <c r="E167" s="1149"/>
      <c r="F167" s="1150"/>
      <c r="G167" s="1179"/>
      <c r="H167" s="796"/>
      <c r="I167" s="1181"/>
      <c r="J167" s="796"/>
      <c r="K167" s="797"/>
      <c r="L167" s="1182"/>
    </row>
    <row r="168" spans="1:12">
      <c r="A168" s="1147"/>
      <c r="B168" s="1148" t="s">
        <v>1642</v>
      </c>
      <c r="C168" s="1123"/>
      <c r="D168" s="1124"/>
      <c r="E168" s="1149">
        <v>3</v>
      </c>
      <c r="F168" s="1150" t="s">
        <v>240</v>
      </c>
      <c r="G168" s="1179">
        <v>1899</v>
      </c>
      <c r="H168" s="796">
        <f>ROUND(E168*G168,)</f>
        <v>5697</v>
      </c>
      <c r="I168" s="1181">
        <v>600</v>
      </c>
      <c r="J168" s="796">
        <f>ROUND(E168*I168,)</f>
        <v>1800</v>
      </c>
      <c r="K168" s="797">
        <f>H168+J168</f>
        <v>7497</v>
      </c>
      <c r="L168" s="1182"/>
    </row>
    <row r="169" spans="1:12">
      <c r="A169" s="1147" t="s">
        <v>1725</v>
      </c>
      <c r="B169" s="1148" t="s">
        <v>1658</v>
      </c>
      <c r="C169" s="1123"/>
      <c r="D169" s="1124"/>
      <c r="E169" s="1149"/>
      <c r="F169" s="1150"/>
      <c r="G169" s="1179"/>
      <c r="H169" s="796"/>
      <c r="I169" s="1181"/>
      <c r="J169" s="796"/>
      <c r="K169" s="797"/>
      <c r="L169" s="1182"/>
    </row>
    <row r="170" spans="1:12">
      <c r="A170" s="1147"/>
      <c r="B170" s="1148" t="s">
        <v>1650</v>
      </c>
      <c r="C170" s="1123"/>
      <c r="D170" s="1124"/>
      <c r="E170" s="1149">
        <v>1</v>
      </c>
      <c r="F170" s="1150" t="s">
        <v>240</v>
      </c>
      <c r="G170" s="1188">
        <v>440</v>
      </c>
      <c r="H170" s="796">
        <f t="shared" ref="H170" si="80">ROUND(E170*G170,)</f>
        <v>440</v>
      </c>
      <c r="I170" s="1181">
        <v>125</v>
      </c>
      <c r="J170" s="796">
        <f t="shared" ref="J170" si="81">ROUND(I170*E170,)</f>
        <v>125</v>
      </c>
      <c r="K170" s="797">
        <f t="shared" ref="K170" si="82">H170+J170</f>
        <v>565</v>
      </c>
      <c r="L170" s="1182"/>
    </row>
    <row r="171" spans="1:12">
      <c r="A171" s="1147" t="s">
        <v>1726</v>
      </c>
      <c r="B171" s="1148" t="s">
        <v>1654</v>
      </c>
      <c r="C171" s="1123"/>
      <c r="D171" s="1124"/>
      <c r="E171" s="1149"/>
      <c r="F171" s="1150"/>
      <c r="G171" s="1179"/>
      <c r="H171" s="796"/>
      <c r="I171" s="1181"/>
      <c r="J171" s="796"/>
      <c r="K171" s="797"/>
      <c r="L171" s="1182"/>
    </row>
    <row r="172" spans="1:12">
      <c r="A172" s="1147"/>
      <c r="B172" s="1148" t="s">
        <v>1642</v>
      </c>
      <c r="C172" s="1123"/>
      <c r="D172" s="1124"/>
      <c r="E172" s="1149">
        <v>1</v>
      </c>
      <c r="F172" s="1150" t="s">
        <v>240</v>
      </c>
      <c r="G172" s="1179">
        <v>4175</v>
      </c>
      <c r="H172" s="796">
        <f>ROUND(E172*G172,)</f>
        <v>4175</v>
      </c>
      <c r="I172" s="1181">
        <v>600</v>
      </c>
      <c r="J172" s="796">
        <f>ROUND(E172*I172,)</f>
        <v>600</v>
      </c>
      <c r="K172" s="797">
        <f>H172+J172</f>
        <v>4775</v>
      </c>
      <c r="L172" s="1182"/>
    </row>
    <row r="173" spans="1:12">
      <c r="A173" s="1147" t="s">
        <v>1727</v>
      </c>
      <c r="B173" s="1187" t="s">
        <v>1656</v>
      </c>
      <c r="C173" s="1123"/>
      <c r="D173" s="1124"/>
      <c r="E173" s="1149"/>
      <c r="F173" s="1150"/>
      <c r="G173" s="1179"/>
      <c r="H173" s="796"/>
      <c r="I173" s="1181"/>
      <c r="J173" s="796"/>
      <c r="K173" s="797"/>
      <c r="L173" s="1182"/>
    </row>
    <row r="174" spans="1:12">
      <c r="A174" s="1147"/>
      <c r="B174" s="1187" t="s">
        <v>1715</v>
      </c>
      <c r="C174" s="1123"/>
      <c r="D174" s="1124"/>
      <c r="E174" s="1149">
        <v>1</v>
      </c>
      <c r="F174" s="1150" t="s">
        <v>240</v>
      </c>
      <c r="G174" s="1179">
        <v>2400</v>
      </c>
      <c r="H174" s="796">
        <f>ROUND(E174*G174,)</f>
        <v>2400</v>
      </c>
      <c r="I174" s="1181">
        <v>150</v>
      </c>
      <c r="J174" s="796">
        <f>ROUND(I174*E174,)</f>
        <v>150</v>
      </c>
      <c r="K174" s="797">
        <f>H174+J174</f>
        <v>2550</v>
      </c>
      <c r="L174" s="1182"/>
    </row>
    <row r="175" spans="1:12">
      <c r="A175" s="1166"/>
      <c r="B175" s="2475" t="str">
        <f>"รวมราคารายการที่ "&amp;A161</f>
        <v>รวมราคารายการที่ 5.5</v>
      </c>
      <c r="C175" s="2476"/>
      <c r="D175" s="2477"/>
      <c r="E175" s="2264"/>
      <c r="F175" s="1167"/>
      <c r="G175" s="1168"/>
      <c r="H175" s="1169">
        <f>SUM(H162:H174)</f>
        <v>264013</v>
      </c>
      <c r="I175" s="1170"/>
      <c r="J175" s="1169">
        <f>SUM(J162:J174)</f>
        <v>65408</v>
      </c>
      <c r="K175" s="1169">
        <f>SUM(K162:K174)</f>
        <v>329421</v>
      </c>
      <c r="L175" s="1171"/>
    </row>
    <row r="176" spans="1:12">
      <c r="A176" s="1195" t="s">
        <v>1728</v>
      </c>
      <c r="B176" s="1196" t="s">
        <v>1729</v>
      </c>
      <c r="C176" s="1197"/>
      <c r="D176" s="1198"/>
      <c r="E176" s="1199"/>
      <c r="F176" s="1200"/>
      <c r="G176" s="1201"/>
      <c r="H176" s="1202"/>
      <c r="I176" s="1203"/>
      <c r="J176" s="1202"/>
      <c r="K176" s="1204"/>
      <c r="L176" s="1204"/>
    </row>
    <row r="177" spans="1:15">
      <c r="A177" s="1147" t="s">
        <v>1730</v>
      </c>
      <c r="B177" s="1148" t="s">
        <v>1731</v>
      </c>
      <c r="C177" s="1123"/>
      <c r="D177" s="1124"/>
      <c r="E177" s="1149"/>
      <c r="F177" s="1150"/>
      <c r="G177" s="1140"/>
      <c r="H177" s="796"/>
      <c r="I177" s="797"/>
      <c r="J177" s="796"/>
      <c r="K177" s="914"/>
      <c r="L177" s="914"/>
    </row>
    <row r="178" spans="1:15">
      <c r="A178" s="1147"/>
      <c r="B178" s="1148" t="s">
        <v>1732</v>
      </c>
      <c r="C178" s="1123"/>
      <c r="D178" s="1124"/>
      <c r="E178" s="1149">
        <v>1</v>
      </c>
      <c r="F178" s="1150" t="s">
        <v>240</v>
      </c>
      <c r="G178" s="1140">
        <f>57160+3800</f>
        <v>60960</v>
      </c>
      <c r="H178" s="796">
        <f t="shared" ref="H178:H180" si="83">ROUND(E178*G178,)</f>
        <v>60960</v>
      </c>
      <c r="I178" s="797">
        <f>G178*0.1</f>
        <v>6096</v>
      </c>
      <c r="J178" s="796">
        <f t="shared" ref="J178:J180" si="84">ROUND(E178*I178,)</f>
        <v>6096</v>
      </c>
      <c r="K178" s="914">
        <f t="shared" ref="K178:K180" si="85">H178+J178</f>
        <v>67056</v>
      </c>
      <c r="L178" s="914"/>
    </row>
    <row r="179" spans="1:15">
      <c r="A179" s="1147"/>
      <c r="B179" s="1148" t="s">
        <v>1733</v>
      </c>
      <c r="C179" s="1123"/>
      <c r="D179" s="1124"/>
      <c r="E179" s="1149">
        <v>1</v>
      </c>
      <c r="F179" s="1150" t="s">
        <v>240</v>
      </c>
      <c r="G179" s="1140">
        <f t="shared" ref="G179" si="86">57160+3800</f>
        <v>60960</v>
      </c>
      <c r="H179" s="796">
        <f t="shared" si="83"/>
        <v>60960</v>
      </c>
      <c r="I179" s="797">
        <f t="shared" ref="I179" si="87">G179*0.1</f>
        <v>6096</v>
      </c>
      <c r="J179" s="796">
        <f t="shared" si="84"/>
        <v>6096</v>
      </c>
      <c r="K179" s="914">
        <f t="shared" si="85"/>
        <v>67056</v>
      </c>
      <c r="L179" s="914"/>
    </row>
    <row r="180" spans="1:15">
      <c r="A180" s="1147"/>
      <c r="B180" s="1148" t="s">
        <v>1734</v>
      </c>
      <c r="C180" s="1123"/>
      <c r="D180" s="1124"/>
      <c r="E180" s="1149">
        <v>1</v>
      </c>
      <c r="F180" s="1150" t="s">
        <v>240</v>
      </c>
      <c r="G180" s="1140">
        <f>57160+3800</f>
        <v>60960</v>
      </c>
      <c r="H180" s="796">
        <f t="shared" si="83"/>
        <v>60960</v>
      </c>
      <c r="I180" s="797">
        <f>G180*0.1</f>
        <v>6096</v>
      </c>
      <c r="J180" s="796">
        <f t="shared" si="84"/>
        <v>6096</v>
      </c>
      <c r="K180" s="914">
        <f t="shared" si="85"/>
        <v>67056</v>
      </c>
      <c r="L180" s="914"/>
    </row>
    <row r="181" spans="1:15">
      <c r="A181" s="1147" t="s">
        <v>1735</v>
      </c>
      <c r="B181" s="1148" t="s">
        <v>1736</v>
      </c>
      <c r="C181" s="1123"/>
      <c r="D181" s="1124"/>
      <c r="E181" s="1149"/>
      <c r="F181" s="1150"/>
      <c r="G181" s="1140"/>
      <c r="H181" s="796"/>
      <c r="I181" s="797"/>
      <c r="J181" s="796"/>
      <c r="K181" s="914"/>
      <c r="L181" s="914"/>
    </row>
    <row r="182" spans="1:15">
      <c r="A182" s="1147"/>
      <c r="B182" s="1148" t="s">
        <v>1737</v>
      </c>
      <c r="C182" s="1123"/>
      <c r="D182" s="1124"/>
      <c r="E182" s="805">
        <v>160</v>
      </c>
      <c r="F182" s="794" t="s">
        <v>438</v>
      </c>
      <c r="G182" s="806">
        <v>30</v>
      </c>
      <c r="H182" s="796">
        <f t="shared" ref="H182:H185" si="88">ROUND(E182*G182,)</f>
        <v>4800</v>
      </c>
      <c r="I182" s="807">
        <v>12</v>
      </c>
      <c r="J182" s="796">
        <f t="shared" ref="J182:J185" si="89">ROUND(E182*I182,)</f>
        <v>1920</v>
      </c>
      <c r="K182" s="914">
        <f t="shared" ref="K182:K185" si="90">H182+J182</f>
        <v>6720</v>
      </c>
      <c r="L182" s="914"/>
    </row>
    <row r="183" spans="1:15">
      <c r="A183" s="1147"/>
      <c r="B183" s="1148" t="s">
        <v>1166</v>
      </c>
      <c r="C183" s="1123"/>
      <c r="D183" s="1124"/>
      <c r="E183" s="805">
        <v>520</v>
      </c>
      <c r="F183" s="794" t="s">
        <v>438</v>
      </c>
      <c r="G183" s="806">
        <v>42</v>
      </c>
      <c r="H183" s="796">
        <f t="shared" si="88"/>
        <v>21840</v>
      </c>
      <c r="I183" s="807">
        <v>14</v>
      </c>
      <c r="J183" s="796">
        <f t="shared" si="89"/>
        <v>7280</v>
      </c>
      <c r="K183" s="914">
        <f t="shared" si="90"/>
        <v>29120</v>
      </c>
      <c r="L183" s="914"/>
    </row>
    <row r="184" spans="1:15">
      <c r="A184" s="1147"/>
      <c r="B184" s="1148" t="s">
        <v>1167</v>
      </c>
      <c r="C184" s="1123"/>
      <c r="D184" s="1124"/>
      <c r="E184" s="805">
        <v>360</v>
      </c>
      <c r="F184" s="794" t="s">
        <v>438</v>
      </c>
      <c r="G184" s="806">
        <v>43</v>
      </c>
      <c r="H184" s="796">
        <f t="shared" si="88"/>
        <v>15480</v>
      </c>
      <c r="I184" s="807">
        <v>16</v>
      </c>
      <c r="J184" s="796">
        <f t="shared" si="89"/>
        <v>5760</v>
      </c>
      <c r="K184" s="914">
        <f t="shared" si="90"/>
        <v>21240</v>
      </c>
      <c r="L184" s="914"/>
    </row>
    <row r="185" spans="1:15">
      <c r="A185" s="1147"/>
      <c r="B185" s="720" t="s">
        <v>1278</v>
      </c>
      <c r="C185" s="717"/>
      <c r="D185" s="717"/>
      <c r="E185" s="805">
        <v>1</v>
      </c>
      <c r="F185" s="794" t="s">
        <v>948</v>
      </c>
      <c r="G185" s="806">
        <f>SUM(H181:H183)*0.05</f>
        <v>1332</v>
      </c>
      <c r="H185" s="796">
        <f t="shared" si="88"/>
        <v>1332</v>
      </c>
      <c r="I185" s="1181">
        <f t="shared" ref="I185" si="91">ROUNDUP(G185*30%,0)</f>
        <v>400</v>
      </c>
      <c r="J185" s="796">
        <f t="shared" si="89"/>
        <v>400</v>
      </c>
      <c r="K185" s="914">
        <f t="shared" si="90"/>
        <v>1732</v>
      </c>
      <c r="L185" s="914"/>
    </row>
    <row r="186" spans="1:15">
      <c r="A186" s="1147" t="s">
        <v>1738</v>
      </c>
      <c r="B186" s="1148" t="s">
        <v>950</v>
      </c>
      <c r="C186" s="1123"/>
      <c r="D186" s="1124"/>
      <c r="E186" s="1149"/>
      <c r="F186" s="1150"/>
      <c r="G186" s="1140"/>
      <c r="H186" s="796"/>
      <c r="I186" s="797"/>
      <c r="J186" s="796"/>
      <c r="K186" s="914"/>
      <c r="L186" s="914"/>
    </row>
    <row r="187" spans="1:15">
      <c r="A187" s="1147"/>
      <c r="B187" s="720" t="s">
        <v>1184</v>
      </c>
      <c r="C187" s="717"/>
      <c r="D187" s="717"/>
      <c r="E187" s="917">
        <v>45</v>
      </c>
      <c r="F187" s="794" t="s">
        <v>438</v>
      </c>
      <c r="G187" s="806">
        <v>75</v>
      </c>
      <c r="H187" s="796">
        <f t="shared" ref="H187:H190" si="92">ROUND(E187*G187,)</f>
        <v>3375</v>
      </c>
      <c r="I187" s="807">
        <v>26</v>
      </c>
      <c r="J187" s="796">
        <f t="shared" ref="J187:J190" si="93">ROUND(E187*I187,)</f>
        <v>1170</v>
      </c>
      <c r="K187" s="914">
        <f t="shared" ref="K187:K190" si="94">H187+J187</f>
        <v>4545</v>
      </c>
      <c r="L187" s="2273" t="s">
        <v>2974</v>
      </c>
      <c r="M187" s="729"/>
      <c r="N187" s="714">
        <v>225</v>
      </c>
      <c r="O187" s="714">
        <f>ROUND(N187/3,)</f>
        <v>75</v>
      </c>
    </row>
    <row r="188" spans="1:15">
      <c r="A188" s="1147"/>
      <c r="B188" s="720" t="s">
        <v>1185</v>
      </c>
      <c r="C188" s="717"/>
      <c r="D188" s="717"/>
      <c r="E188" s="917">
        <v>150</v>
      </c>
      <c r="F188" s="794" t="s">
        <v>438</v>
      </c>
      <c r="G188" s="806">
        <v>101</v>
      </c>
      <c r="H188" s="796">
        <f t="shared" si="92"/>
        <v>15150</v>
      </c>
      <c r="I188" s="807">
        <v>28</v>
      </c>
      <c r="J188" s="796">
        <f t="shared" si="93"/>
        <v>4200</v>
      </c>
      <c r="K188" s="914">
        <f t="shared" si="94"/>
        <v>19350</v>
      </c>
      <c r="L188" s="2273" t="s">
        <v>2974</v>
      </c>
      <c r="N188" s="1">
        <v>303.60000000000002</v>
      </c>
      <c r="O188" s="714">
        <f>ROUND(N188/3,)</f>
        <v>101</v>
      </c>
    </row>
    <row r="189" spans="1:15">
      <c r="A189" s="1147"/>
      <c r="B189" s="720" t="s">
        <v>1186</v>
      </c>
      <c r="C189" s="717"/>
      <c r="D189" s="717"/>
      <c r="E189" s="917">
        <v>90</v>
      </c>
      <c r="F189" s="794" t="s">
        <v>438</v>
      </c>
      <c r="G189" s="806">
        <v>131</v>
      </c>
      <c r="H189" s="796">
        <f t="shared" si="92"/>
        <v>11790</v>
      </c>
      <c r="I189" s="807">
        <v>32</v>
      </c>
      <c r="J189" s="796">
        <f t="shared" si="93"/>
        <v>2880</v>
      </c>
      <c r="K189" s="914">
        <f t="shared" si="94"/>
        <v>14670</v>
      </c>
      <c r="L189" s="2273" t="s">
        <v>2974</v>
      </c>
      <c r="N189" s="1">
        <v>391.8</v>
      </c>
      <c r="O189" s="714">
        <f>ROUND(N189/3,)</f>
        <v>131</v>
      </c>
    </row>
    <row r="190" spans="1:15">
      <c r="A190" s="1147"/>
      <c r="B190" s="720" t="s">
        <v>952</v>
      </c>
      <c r="C190" s="717"/>
      <c r="D190" s="717"/>
      <c r="E190" s="917">
        <v>1</v>
      </c>
      <c r="F190" s="916" t="s">
        <v>948</v>
      </c>
      <c r="G190" s="806">
        <f>ROUND(SUM(H187:H188)*15%,)</f>
        <v>2779</v>
      </c>
      <c r="H190" s="796">
        <f t="shared" si="92"/>
        <v>2779</v>
      </c>
      <c r="I190" s="1181">
        <f t="shared" ref="I190" si="95">ROUNDUP(G190*30%,0)</f>
        <v>834</v>
      </c>
      <c r="J190" s="796">
        <f t="shared" si="93"/>
        <v>834</v>
      </c>
      <c r="K190" s="914">
        <f t="shared" si="94"/>
        <v>3613</v>
      </c>
      <c r="L190" s="914"/>
    </row>
    <row r="191" spans="1:15">
      <c r="A191" s="1147"/>
      <c r="B191" s="955"/>
      <c r="C191" s="717"/>
      <c r="D191" s="717"/>
      <c r="E191" s="917"/>
      <c r="F191" s="941"/>
      <c r="G191" s="806"/>
      <c r="H191" s="796"/>
      <c r="I191" s="806"/>
      <c r="J191" s="796"/>
      <c r="K191" s="914"/>
      <c r="L191" s="914"/>
    </row>
    <row r="192" spans="1:15">
      <c r="A192" s="1147"/>
      <c r="B192" s="1148"/>
      <c r="C192" s="1123"/>
      <c r="D192" s="1213"/>
      <c r="E192" s="1149"/>
      <c r="F192" s="1124"/>
      <c r="G192" s="1140"/>
      <c r="H192" s="796"/>
      <c r="I192" s="797"/>
      <c r="J192" s="796"/>
      <c r="K192" s="914"/>
      <c r="L192" s="914"/>
    </row>
    <row r="193" spans="1:12">
      <c r="A193" s="1166"/>
      <c r="B193" s="2475" t="str">
        <f>"รวมราคารายการที่ "&amp;A176</f>
        <v>รวมราคารายการที่ 5.6</v>
      </c>
      <c r="C193" s="2476"/>
      <c r="D193" s="2477"/>
      <c r="E193" s="2264"/>
      <c r="F193" s="1167"/>
      <c r="G193" s="1168"/>
      <c r="H193" s="1169">
        <f>SUM(H177:H190)</f>
        <v>259426</v>
      </c>
      <c r="I193" s="1170"/>
      <c r="J193" s="1169">
        <f>SUM(J177:J190)</f>
        <v>42732</v>
      </c>
      <c r="K193" s="1169">
        <f>SUM(K177:K190)</f>
        <v>302158</v>
      </c>
      <c r="L193" s="1171"/>
    </row>
    <row r="194" spans="1:12">
      <c r="A194" s="1207" t="s">
        <v>1739</v>
      </c>
      <c r="B194" s="1208" t="s">
        <v>1740</v>
      </c>
      <c r="C194" s="1209"/>
      <c r="D194" s="1210"/>
      <c r="E194" s="1211"/>
      <c r="F194" s="1212"/>
      <c r="G194" s="874"/>
      <c r="H194" s="854"/>
      <c r="I194" s="855"/>
      <c r="J194" s="854"/>
      <c r="K194" s="912"/>
      <c r="L194" s="912"/>
    </row>
    <row r="195" spans="1:12">
      <c r="A195" s="1147" t="s">
        <v>1741</v>
      </c>
      <c r="B195" s="1148" t="s">
        <v>1742</v>
      </c>
      <c r="C195" s="1123"/>
      <c r="D195" s="1124"/>
      <c r="E195" s="1149"/>
      <c r="F195" s="1150"/>
      <c r="G195" s="1140"/>
      <c r="H195" s="796"/>
      <c r="I195" s="797"/>
      <c r="J195" s="796"/>
      <c r="K195" s="914"/>
      <c r="L195" s="914"/>
    </row>
    <row r="196" spans="1:12">
      <c r="A196" s="1147"/>
      <c r="B196" s="1148" t="s">
        <v>1743</v>
      </c>
      <c r="C196" s="1123"/>
      <c r="D196" s="1124"/>
      <c r="E196" s="1214">
        <v>4</v>
      </c>
      <c r="F196" s="1150" t="s">
        <v>240</v>
      </c>
      <c r="G196" s="1140">
        <v>45000</v>
      </c>
      <c r="H196" s="796">
        <f>ROUND(E196*G196,)</f>
        <v>180000</v>
      </c>
      <c r="I196" s="797">
        <f>G196*0.05</f>
        <v>2250</v>
      </c>
      <c r="J196" s="796">
        <f>ROUND(I196*E196,)</f>
        <v>9000</v>
      </c>
      <c r="K196" s="914">
        <f>H196+J196</f>
        <v>189000</v>
      </c>
      <c r="L196" s="914"/>
    </row>
    <row r="197" spans="1:12">
      <c r="A197" s="1147"/>
      <c r="B197" s="1148" t="s">
        <v>1744</v>
      </c>
      <c r="C197" s="1123"/>
      <c r="D197" s="1124"/>
      <c r="E197" s="1214">
        <v>4</v>
      </c>
      <c r="F197" s="1150" t="s">
        <v>240</v>
      </c>
      <c r="G197" s="1140">
        <v>7200</v>
      </c>
      <c r="H197" s="796">
        <f>ROUND(E197*G197,)</f>
        <v>28800</v>
      </c>
      <c r="I197" s="797">
        <f>G197*0.05</f>
        <v>360</v>
      </c>
      <c r="J197" s="796">
        <f>ROUND(I197*E197,)</f>
        <v>1440</v>
      </c>
      <c r="K197" s="914">
        <f>H197+J197</f>
        <v>30240</v>
      </c>
      <c r="L197" s="914"/>
    </row>
    <row r="198" spans="1:12">
      <c r="A198" s="1147"/>
      <c r="B198" s="1148"/>
      <c r="C198" s="1123"/>
      <c r="D198" s="1213"/>
      <c r="E198" s="1149"/>
      <c r="F198" s="1124"/>
      <c r="G198" s="1140"/>
      <c r="H198" s="796"/>
      <c r="I198" s="797"/>
      <c r="J198" s="796"/>
      <c r="K198" s="914"/>
      <c r="L198" s="914"/>
    </row>
    <row r="199" spans="1:12">
      <c r="A199" s="1147"/>
      <c r="B199" s="1148"/>
      <c r="C199" s="1123"/>
      <c r="D199" s="1213"/>
      <c r="E199" s="1149"/>
      <c r="F199" s="1124"/>
      <c r="G199" s="1140"/>
      <c r="H199" s="796"/>
      <c r="I199" s="797"/>
      <c r="J199" s="796"/>
      <c r="K199" s="914"/>
      <c r="L199" s="914"/>
    </row>
    <row r="200" spans="1:12">
      <c r="A200" s="1147"/>
      <c r="B200" s="1148"/>
      <c r="C200" s="1123"/>
      <c r="D200" s="1213"/>
      <c r="E200" s="1149"/>
      <c r="F200" s="1124"/>
      <c r="G200" s="1140"/>
      <c r="H200" s="796"/>
      <c r="I200" s="797"/>
      <c r="J200" s="796"/>
      <c r="K200" s="914"/>
      <c r="L200" s="914"/>
    </row>
    <row r="201" spans="1:12">
      <c r="A201" s="1147"/>
      <c r="B201" s="1148"/>
      <c r="C201" s="1123"/>
      <c r="D201" s="1213"/>
      <c r="E201" s="1149"/>
      <c r="F201" s="1124"/>
      <c r="G201" s="1140"/>
      <c r="H201" s="796"/>
      <c r="I201" s="797"/>
      <c r="J201" s="796"/>
      <c r="K201" s="914"/>
      <c r="L201" s="914"/>
    </row>
    <row r="202" spans="1:12">
      <c r="A202" s="1147"/>
      <c r="B202" s="1148"/>
      <c r="C202" s="1123"/>
      <c r="D202" s="1213"/>
      <c r="E202" s="1149"/>
      <c r="F202" s="1124"/>
      <c r="G202" s="1140"/>
      <c r="H202" s="796"/>
      <c r="I202" s="797"/>
      <c r="J202" s="796"/>
      <c r="K202" s="914"/>
      <c r="L202" s="914"/>
    </row>
    <row r="203" spans="1:12">
      <c r="A203" s="1147"/>
      <c r="B203" s="1148"/>
      <c r="C203" s="1123"/>
      <c r="D203" s="1213"/>
      <c r="E203" s="1149"/>
      <c r="F203" s="1124"/>
      <c r="G203" s="1140"/>
      <c r="H203" s="796"/>
      <c r="I203" s="797"/>
      <c r="J203" s="796"/>
      <c r="K203" s="914"/>
      <c r="L203" s="914"/>
    </row>
    <row r="204" spans="1:12">
      <c r="A204" s="1147"/>
      <c r="B204" s="1148"/>
      <c r="C204" s="1123"/>
      <c r="D204" s="1213"/>
      <c r="E204" s="1149"/>
      <c r="F204" s="1124"/>
      <c r="G204" s="1140"/>
      <c r="H204" s="796"/>
      <c r="I204" s="797"/>
      <c r="J204" s="796"/>
      <c r="K204" s="914"/>
      <c r="L204" s="914"/>
    </row>
    <row r="205" spans="1:12">
      <c r="A205" s="1147"/>
      <c r="B205" s="1148"/>
      <c r="C205" s="1123"/>
      <c r="D205" s="1213"/>
      <c r="E205" s="1149"/>
      <c r="F205" s="1124"/>
      <c r="G205" s="1140"/>
      <c r="H205" s="796"/>
      <c r="I205" s="797"/>
      <c r="J205" s="796"/>
      <c r="K205" s="914"/>
      <c r="L205" s="914"/>
    </row>
    <row r="206" spans="1:12">
      <c r="A206" s="1147"/>
      <c r="B206" s="1148"/>
      <c r="C206" s="1123"/>
      <c r="D206" s="1213"/>
      <c r="E206" s="1149"/>
      <c r="F206" s="1124"/>
      <c r="G206" s="1140"/>
      <c r="H206" s="796"/>
      <c r="I206" s="797"/>
      <c r="J206" s="796"/>
      <c r="K206" s="914"/>
      <c r="L206" s="914"/>
    </row>
    <row r="207" spans="1:12">
      <c r="A207" s="1147"/>
      <c r="B207" s="1148"/>
      <c r="C207" s="1123"/>
      <c r="D207" s="1213"/>
      <c r="E207" s="1149"/>
      <c r="F207" s="1124"/>
      <c r="G207" s="1140"/>
      <c r="H207" s="796"/>
      <c r="I207" s="797"/>
      <c r="J207" s="796"/>
      <c r="K207" s="914"/>
      <c r="L207" s="914"/>
    </row>
    <row r="208" spans="1:12">
      <c r="A208" s="1147"/>
      <c r="B208" s="1148"/>
      <c r="C208" s="1123"/>
      <c r="D208" s="1213"/>
      <c r="E208" s="1149"/>
      <c r="F208" s="1124"/>
      <c r="G208" s="1140"/>
      <c r="H208" s="796"/>
      <c r="I208" s="797"/>
      <c r="J208" s="796"/>
      <c r="K208" s="914"/>
      <c r="L208" s="914"/>
    </row>
    <row r="209" spans="1:12">
      <c r="A209" s="1147"/>
      <c r="B209" s="1148"/>
      <c r="C209" s="1123"/>
      <c r="D209" s="1213"/>
      <c r="E209" s="1149"/>
      <c r="F209" s="1124"/>
      <c r="G209" s="1140"/>
      <c r="H209" s="796"/>
      <c r="I209" s="797"/>
      <c r="J209" s="796"/>
      <c r="K209" s="914"/>
      <c r="L209" s="914"/>
    </row>
    <row r="210" spans="1:12">
      <c r="A210" s="1166"/>
      <c r="B210" s="2475" t="str">
        <f>"รวมราคารายการที่ "&amp;A194</f>
        <v>รวมราคารายการที่ 5.7</v>
      </c>
      <c r="C210" s="2476"/>
      <c r="D210" s="2477"/>
      <c r="E210" s="2264"/>
      <c r="F210" s="1167"/>
      <c r="G210" s="1168"/>
      <c r="H210" s="1169">
        <f>SUM(H195:H209)</f>
        <v>208800</v>
      </c>
      <c r="I210" s="1170"/>
      <c r="J210" s="1169">
        <f>SUM(J195:J209)</f>
        <v>10440</v>
      </c>
      <c r="K210" s="1171">
        <f>SUM(K195:K209)</f>
        <v>219240</v>
      </c>
      <c r="L210" s="1171"/>
    </row>
  </sheetData>
  <mergeCells count="16">
    <mergeCell ref="L7:L8"/>
    <mergeCell ref="A9:A10"/>
    <mergeCell ref="B9:D10"/>
    <mergeCell ref="E9:E10"/>
    <mergeCell ref="F9:F10"/>
    <mergeCell ref="G9:H9"/>
    <mergeCell ref="I9:J9"/>
    <mergeCell ref="L9:L10"/>
    <mergeCell ref="B193:D193"/>
    <mergeCell ref="B210:D210"/>
    <mergeCell ref="B35:D35"/>
    <mergeCell ref="B65:D65"/>
    <mergeCell ref="B105:D105"/>
    <mergeCell ref="B135:D135"/>
    <mergeCell ref="B160:D160"/>
    <mergeCell ref="B175:D175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(Main Equipment)-อาคารสนับนุน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A636A-1E02-47CB-987B-1EA2D5873AD6}">
  <sheetPr>
    <tabColor rgb="FF92D050"/>
  </sheetPr>
  <dimension ref="A1:O86"/>
  <sheetViews>
    <sheetView showGridLines="0" tabSelected="1" view="pageBreakPreview" topLeftCell="A64" zoomScale="70" zoomScaleNormal="6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703125" style="1" customWidth="1"/>
    <col min="13" max="71" width="7.703125" style="1" customWidth="1"/>
    <col min="72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1635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 t="s">
        <v>29</v>
      </c>
      <c r="B11" s="1151" t="s">
        <v>1745</v>
      </c>
      <c r="C11" s="1123"/>
      <c r="D11" s="1124"/>
      <c r="E11" s="1149"/>
      <c r="F11" s="1150"/>
      <c r="G11" s="710"/>
      <c r="H11" s="711"/>
      <c r="I11" s="712"/>
      <c r="J11" s="711"/>
      <c r="K11" s="1129"/>
      <c r="L11" s="1024"/>
    </row>
    <row r="12" spans="1:12" s="714" customFormat="1" ht="24" customHeight="1">
      <c r="A12" s="1147" t="str">
        <f>A36</f>
        <v>5.1</v>
      </c>
      <c r="B12" s="1148" t="str">
        <f>B36</f>
        <v>ระบบน้ำประปา (Cold Water Supply System)</v>
      </c>
      <c r="C12" s="1123"/>
      <c r="D12" s="1124"/>
      <c r="E12" s="1149">
        <v>1</v>
      </c>
      <c r="F12" s="1150" t="s">
        <v>19</v>
      </c>
      <c r="G12" s="710"/>
      <c r="H12" s="711">
        <f>H51</f>
        <v>45014</v>
      </c>
      <c r="I12" s="712"/>
      <c r="J12" s="711">
        <f>J51</f>
        <v>23146</v>
      </c>
      <c r="K12" s="1129">
        <f t="shared" ref="K12:K14" si="0">SUM(H12:J12)</f>
        <v>68160</v>
      </c>
      <c r="L12" s="1024"/>
    </row>
    <row r="13" spans="1:12" s="714" customFormat="1" ht="24" customHeight="1">
      <c r="A13" s="1147" t="str">
        <f>A52</f>
        <v>5.2</v>
      </c>
      <c r="B13" s="1148" t="str">
        <f>B52</f>
        <v xml:space="preserve">ระบบระบายน้ำโสโครก น้ำทิ้ง ระบายอากาศ และ ท่อน้ำทิ้งจากห้องครัว </v>
      </c>
      <c r="C13" s="1123"/>
      <c r="D13" s="1124"/>
      <c r="E13" s="1149">
        <v>1</v>
      </c>
      <c r="F13" s="1150" t="s">
        <v>19</v>
      </c>
      <c r="G13" s="710"/>
      <c r="H13" s="711">
        <f>H76</f>
        <v>318613</v>
      </c>
      <c r="I13" s="712"/>
      <c r="J13" s="711">
        <f>J76</f>
        <v>100479</v>
      </c>
      <c r="K13" s="1129">
        <f t="shared" si="0"/>
        <v>419092</v>
      </c>
      <c r="L13" s="954"/>
    </row>
    <row r="14" spans="1:12" s="714" customFormat="1" ht="24" customHeight="1">
      <c r="A14" s="1147">
        <f>A77</f>
        <v>5.3</v>
      </c>
      <c r="B14" s="1148" t="str">
        <f>B77</f>
        <v>ระบบระบายน้ำฝนและระบายน้ำในอาคาร (Storm Drain &amp; Building Drain System)</v>
      </c>
      <c r="C14" s="1123"/>
      <c r="D14" s="1124"/>
      <c r="E14" s="1149">
        <v>1</v>
      </c>
      <c r="F14" s="1150" t="s">
        <v>19</v>
      </c>
      <c r="G14" s="710"/>
      <c r="H14" s="711">
        <f>H86</f>
        <v>1964</v>
      </c>
      <c r="I14" s="712"/>
      <c r="J14" s="711">
        <f>J86</f>
        <v>679</v>
      </c>
      <c r="K14" s="1129">
        <f t="shared" si="0"/>
        <v>2643</v>
      </c>
      <c r="L14" s="1024"/>
    </row>
    <row r="15" spans="1:12" s="714" customFormat="1" ht="24" customHeight="1">
      <c r="A15" s="1147"/>
      <c r="B15" s="1148"/>
      <c r="C15" s="1123"/>
      <c r="D15" s="1124"/>
      <c r="E15" s="1149"/>
      <c r="F15" s="1150"/>
      <c r="G15" s="710"/>
      <c r="H15" s="711"/>
      <c r="I15" s="712"/>
      <c r="J15" s="711"/>
      <c r="K15" s="1129"/>
      <c r="L15" s="1024"/>
    </row>
    <row r="16" spans="1:12" s="714" customFormat="1" ht="24" customHeight="1">
      <c r="A16" s="1147"/>
      <c r="B16" s="1148"/>
      <c r="C16" s="1123"/>
      <c r="D16" s="1124"/>
      <c r="E16" s="1149"/>
      <c r="F16" s="1150"/>
      <c r="G16" s="710"/>
      <c r="H16" s="711"/>
      <c r="I16" s="712"/>
      <c r="J16" s="711"/>
      <c r="K16" s="1129"/>
      <c r="L16" s="1024"/>
    </row>
    <row r="17" spans="1:12" s="714" customFormat="1" ht="24" customHeight="1">
      <c r="A17" s="1147"/>
      <c r="B17" s="1148"/>
      <c r="C17" s="1123"/>
      <c r="D17" s="1124"/>
      <c r="E17" s="1149"/>
      <c r="F17" s="1150"/>
      <c r="G17" s="710"/>
      <c r="H17" s="711"/>
      <c r="I17" s="712"/>
      <c r="J17" s="711"/>
      <c r="K17" s="1129"/>
      <c r="L17" s="1024"/>
    </row>
    <row r="18" spans="1:12" s="714" customFormat="1" ht="24" customHeight="1">
      <c r="A18" s="1147"/>
      <c r="B18" s="1148"/>
      <c r="C18" s="1123"/>
      <c r="D18" s="1124"/>
      <c r="E18" s="1149"/>
      <c r="F18" s="1150"/>
      <c r="G18" s="710"/>
      <c r="H18" s="711"/>
      <c r="I18" s="712"/>
      <c r="J18" s="711"/>
      <c r="K18" s="1129"/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2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2" s="714" customFormat="1" ht="30" customHeight="1">
      <c r="A34" s="1166"/>
      <c r="B34" s="2475" t="str">
        <f>"รวมราคา"&amp;B11</f>
        <v>รวมราคางานระบบสุขาภิบาล ชั้น B2</v>
      </c>
      <c r="C34" s="2476"/>
      <c r="D34" s="2477"/>
      <c r="E34" s="1167"/>
      <c r="F34" s="1167"/>
      <c r="G34" s="1168"/>
      <c r="H34" s="1169">
        <f>SUM(H11:H33)</f>
        <v>365591</v>
      </c>
      <c r="I34" s="1170"/>
      <c r="J34" s="1169">
        <f>SUM(J11:J33)</f>
        <v>124304</v>
      </c>
      <c r="K34" s="1171">
        <f>SUM(K11:K33)</f>
        <v>489895</v>
      </c>
      <c r="L34" s="1171"/>
    </row>
    <row r="35" spans="1:12" s="714" customFormat="1" ht="24" customHeight="1">
      <c r="A35" s="1011"/>
      <c r="B35" s="1173" t="s">
        <v>30</v>
      </c>
      <c r="C35" s="859"/>
      <c r="D35" s="859"/>
      <c r="E35" s="1216"/>
      <c r="F35" s="935"/>
      <c r="G35" s="1174"/>
      <c r="H35" s="1175"/>
      <c r="I35" s="1176"/>
      <c r="J35" s="1175"/>
      <c r="K35" s="1176"/>
      <c r="L35" s="825"/>
    </row>
    <row r="36" spans="1:12" s="714" customFormat="1" ht="24" customHeight="1">
      <c r="A36" s="1177" t="s">
        <v>1637</v>
      </c>
      <c r="B36" s="1151" t="s">
        <v>1638</v>
      </c>
      <c r="C36" s="1178"/>
      <c r="D36" s="1124"/>
      <c r="E36" s="1149"/>
      <c r="F36" s="1150"/>
      <c r="G36" s="1179"/>
      <c r="H36" s="1180"/>
      <c r="I36" s="1181"/>
      <c r="J36" s="1180"/>
      <c r="K36" s="1181"/>
      <c r="L36" s="1182"/>
    </row>
    <row r="37" spans="1:12" s="714" customFormat="1" ht="24" customHeight="1">
      <c r="A37" s="1147" t="s">
        <v>1639</v>
      </c>
      <c r="B37" s="1148" t="s">
        <v>1746</v>
      </c>
      <c r="C37" s="1123"/>
      <c r="D37" s="1124"/>
      <c r="E37" s="1149"/>
      <c r="F37" s="1150"/>
      <c r="G37" s="1179"/>
      <c r="H37" s="796"/>
      <c r="I37" s="1181"/>
      <c r="J37" s="796"/>
      <c r="K37" s="797"/>
      <c r="L37" s="1182"/>
    </row>
    <row r="38" spans="1:12" s="714" customFormat="1" ht="24" customHeight="1">
      <c r="A38" s="1147"/>
      <c r="B38" s="1148" t="s">
        <v>1715</v>
      </c>
      <c r="C38" s="1123"/>
      <c r="D38" s="1124"/>
      <c r="E38" s="1149">
        <v>387</v>
      </c>
      <c r="F38" s="1150" t="s">
        <v>438</v>
      </c>
      <c r="G38" s="1179">
        <v>35</v>
      </c>
      <c r="H38" s="796">
        <f t="shared" ref="H38:H45" si="1">ROUND(E38*G38,)</f>
        <v>13545</v>
      </c>
      <c r="I38" s="1181">
        <v>30</v>
      </c>
      <c r="J38" s="796">
        <f t="shared" ref="J38:J43" si="2">ROUND(E38*I38,)</f>
        <v>11610</v>
      </c>
      <c r="K38" s="797">
        <f t="shared" ref="K38:K43" si="3">H38+J38</f>
        <v>25155</v>
      </c>
      <c r="L38" s="1182"/>
    </row>
    <row r="39" spans="1:12" s="714" customFormat="1" ht="24" customHeight="1">
      <c r="A39" s="1147"/>
      <c r="B39" s="1148" t="s">
        <v>1650</v>
      </c>
      <c r="C39" s="1123"/>
      <c r="D39" s="1124"/>
      <c r="E39" s="1149">
        <v>127</v>
      </c>
      <c r="F39" s="1150" t="s">
        <v>438</v>
      </c>
      <c r="G39" s="1179">
        <v>46</v>
      </c>
      <c r="H39" s="796">
        <f t="shared" si="1"/>
        <v>5842</v>
      </c>
      <c r="I39" s="1181">
        <v>30</v>
      </c>
      <c r="J39" s="796">
        <f t="shared" si="2"/>
        <v>3810</v>
      </c>
      <c r="K39" s="797">
        <f t="shared" si="3"/>
        <v>9652</v>
      </c>
      <c r="L39" s="1182"/>
    </row>
    <row r="40" spans="1:12" s="714" customFormat="1" ht="24" customHeight="1">
      <c r="A40" s="1147"/>
      <c r="B40" s="1148" t="s">
        <v>1747</v>
      </c>
      <c r="C40" s="1123"/>
      <c r="D40" s="1124"/>
      <c r="E40" s="1149">
        <v>16</v>
      </c>
      <c r="F40" s="1150" t="s">
        <v>438</v>
      </c>
      <c r="G40" s="1179">
        <v>76</v>
      </c>
      <c r="H40" s="796">
        <f t="shared" si="1"/>
        <v>1216</v>
      </c>
      <c r="I40" s="1181">
        <v>30</v>
      </c>
      <c r="J40" s="796">
        <f t="shared" si="2"/>
        <v>480</v>
      </c>
      <c r="K40" s="797">
        <f t="shared" si="3"/>
        <v>1696</v>
      </c>
      <c r="L40" s="1182"/>
    </row>
    <row r="41" spans="1:12" s="714" customFormat="1" ht="24" customHeight="1">
      <c r="A41" s="1147"/>
      <c r="B41" s="1148" t="s">
        <v>1645</v>
      </c>
      <c r="C41" s="1123"/>
      <c r="D41" s="1124"/>
      <c r="E41" s="1149">
        <v>1</v>
      </c>
      <c r="F41" s="1150" t="s">
        <v>948</v>
      </c>
      <c r="G41" s="1179">
        <f>ROUND(SUM(H38:H40)*50%,)</f>
        <v>10302</v>
      </c>
      <c r="H41" s="796">
        <f t="shared" si="1"/>
        <v>10302</v>
      </c>
      <c r="I41" s="1181">
        <f t="shared" ref="I41:I43" si="4">ROUNDUP(G41*30%,0)</f>
        <v>3091</v>
      </c>
      <c r="J41" s="796">
        <f t="shared" si="2"/>
        <v>3091</v>
      </c>
      <c r="K41" s="797">
        <f t="shared" si="3"/>
        <v>13393</v>
      </c>
      <c r="L41" s="1182"/>
    </row>
    <row r="42" spans="1:12" s="714" customFormat="1" ht="24" customHeight="1">
      <c r="A42" s="1147"/>
      <c r="B42" s="1148" t="s">
        <v>1646</v>
      </c>
      <c r="C42" s="1123"/>
      <c r="D42" s="1124"/>
      <c r="E42" s="1149">
        <v>1</v>
      </c>
      <c r="F42" s="1150" t="s">
        <v>948</v>
      </c>
      <c r="G42" s="1179">
        <f>ROUND(SUM(H38:H40)*20%,)</f>
        <v>4121</v>
      </c>
      <c r="H42" s="796">
        <f t="shared" si="1"/>
        <v>4121</v>
      </c>
      <c r="I42" s="1181">
        <f t="shared" si="4"/>
        <v>1237</v>
      </c>
      <c r="J42" s="796">
        <f t="shared" si="2"/>
        <v>1237</v>
      </c>
      <c r="K42" s="797">
        <f t="shared" si="3"/>
        <v>5358</v>
      </c>
      <c r="L42" s="1182"/>
    </row>
    <row r="43" spans="1:12" s="714" customFormat="1" ht="24" customHeight="1">
      <c r="A43" s="1147"/>
      <c r="B43" s="1148" t="s">
        <v>1647</v>
      </c>
      <c r="C43" s="1123"/>
      <c r="D43" s="1124"/>
      <c r="E43" s="1149">
        <v>1</v>
      </c>
      <c r="F43" s="1150" t="s">
        <v>948</v>
      </c>
      <c r="G43" s="1179">
        <f>ROUND(SUM(H38:H40)*10%,)</f>
        <v>2060</v>
      </c>
      <c r="H43" s="796">
        <f t="shared" si="1"/>
        <v>2060</v>
      </c>
      <c r="I43" s="1181">
        <f t="shared" si="4"/>
        <v>618</v>
      </c>
      <c r="J43" s="796">
        <f t="shared" si="2"/>
        <v>618</v>
      </c>
      <c r="K43" s="797">
        <f t="shared" si="3"/>
        <v>2678</v>
      </c>
      <c r="L43" s="1182"/>
    </row>
    <row r="44" spans="1:12" s="714" customFormat="1" ht="24" customHeight="1">
      <c r="A44" s="1147" t="s">
        <v>1648</v>
      </c>
      <c r="B44" s="1148" t="s">
        <v>1649</v>
      </c>
      <c r="C44" s="1123"/>
      <c r="D44" s="1124"/>
      <c r="E44" s="1149"/>
      <c r="F44" s="1150"/>
      <c r="G44" s="1179"/>
      <c r="H44" s="796"/>
      <c r="I44" s="1181"/>
      <c r="J44" s="796"/>
      <c r="K44" s="797"/>
      <c r="L44" s="1182"/>
    </row>
    <row r="45" spans="1:12" s="714" customFormat="1" ht="24" customHeight="1">
      <c r="A45" s="1147"/>
      <c r="B45" s="1148" t="s">
        <v>1747</v>
      </c>
      <c r="C45" s="1123"/>
      <c r="D45" s="1124"/>
      <c r="E45" s="1149">
        <v>2</v>
      </c>
      <c r="F45" s="1150" t="s">
        <v>240</v>
      </c>
      <c r="G45" s="1179">
        <v>1984</v>
      </c>
      <c r="H45" s="796">
        <f t="shared" si="1"/>
        <v>3968</v>
      </c>
      <c r="I45" s="1181">
        <v>250</v>
      </c>
      <c r="J45" s="796">
        <f t="shared" ref="J45" si="5">ROUND(E45*I45,)</f>
        <v>500</v>
      </c>
      <c r="K45" s="797">
        <f t="shared" ref="K45" si="6">H45+J45</f>
        <v>4468</v>
      </c>
      <c r="L45" s="2273" t="s">
        <v>2974</v>
      </c>
    </row>
    <row r="46" spans="1:12" s="714" customFormat="1" ht="24" customHeight="1">
      <c r="A46" s="1147" t="s">
        <v>1651</v>
      </c>
      <c r="B46" s="1148" t="s">
        <v>1748</v>
      </c>
      <c r="C46" s="1123"/>
      <c r="D46" s="1124"/>
      <c r="E46" s="1149"/>
      <c r="F46" s="1150"/>
      <c r="G46" s="1179"/>
      <c r="H46" s="796"/>
      <c r="I46" s="1181"/>
      <c r="J46" s="796"/>
      <c r="K46" s="797"/>
      <c r="L46" s="1182"/>
    </row>
    <row r="47" spans="1:12" s="714" customFormat="1" ht="24" customHeight="1">
      <c r="A47" s="1147"/>
      <c r="B47" s="1148" t="s">
        <v>1749</v>
      </c>
      <c r="C47" s="1123"/>
      <c r="D47" s="1124"/>
      <c r="E47" s="1149">
        <v>12</v>
      </c>
      <c r="F47" s="1150" t="s">
        <v>240</v>
      </c>
      <c r="G47" s="1188">
        <v>210</v>
      </c>
      <c r="H47" s="796">
        <f t="shared" ref="H47" si="7">ROUND(E47*G47,)</f>
        <v>2520</v>
      </c>
      <c r="I47" s="1181">
        <v>100</v>
      </c>
      <c r="J47" s="796">
        <f t="shared" ref="J47" si="8">ROUND(E47*I47,)</f>
        <v>1200</v>
      </c>
      <c r="K47" s="797">
        <f t="shared" ref="K47" si="9">H47+J47</f>
        <v>3720</v>
      </c>
      <c r="L47" s="1182"/>
    </row>
    <row r="48" spans="1:12" s="714" customFormat="1" ht="24" customHeight="1">
      <c r="A48" s="1147" t="s">
        <v>1653</v>
      </c>
      <c r="B48" s="1148" t="s">
        <v>1750</v>
      </c>
      <c r="C48" s="1123"/>
      <c r="D48" s="1124"/>
      <c r="E48" s="1149"/>
      <c r="F48" s="1150"/>
      <c r="G48" s="1179"/>
      <c r="H48" s="796"/>
      <c r="I48" s="1181"/>
      <c r="J48" s="796"/>
      <c r="K48" s="797"/>
      <c r="L48" s="1182"/>
    </row>
    <row r="49" spans="1:15" s="714" customFormat="1" ht="24" customHeight="1">
      <c r="A49" s="1147"/>
      <c r="B49" s="1148" t="s">
        <v>1749</v>
      </c>
      <c r="C49" s="1123"/>
      <c r="D49" s="1124"/>
      <c r="E49" s="1149">
        <v>12</v>
      </c>
      <c r="F49" s="1150" t="s">
        <v>240</v>
      </c>
      <c r="G49" s="1179">
        <v>120</v>
      </c>
      <c r="H49" s="796">
        <f t="shared" ref="H49" si="10">ROUND(E49*G49,)</f>
        <v>1440</v>
      </c>
      <c r="I49" s="1181">
        <v>50</v>
      </c>
      <c r="J49" s="796">
        <f t="shared" ref="J49" si="11">ROUND(I49*E49,)</f>
        <v>600</v>
      </c>
      <c r="K49" s="797">
        <f t="shared" ref="K49" si="12">H49+J49</f>
        <v>2040</v>
      </c>
      <c r="L49" s="1182"/>
    </row>
    <row r="50" spans="1:15" s="714" customFormat="1" ht="24" customHeight="1">
      <c r="A50" s="1147"/>
      <c r="B50" s="1148"/>
      <c r="C50" s="1123"/>
      <c r="D50" s="1124"/>
      <c r="E50" s="1149"/>
      <c r="F50" s="1150"/>
      <c r="G50" s="1179"/>
      <c r="H50" s="796"/>
      <c r="I50" s="1181"/>
      <c r="J50" s="796"/>
      <c r="K50" s="797"/>
      <c r="L50" s="1182"/>
    </row>
    <row r="51" spans="1:15" s="714" customFormat="1" ht="24" customHeight="1">
      <c r="A51" s="1166"/>
      <c r="B51" s="2475" t="str">
        <f>"รวมราคารายการที่ "&amp;A36</f>
        <v>รวมราคารายการที่ 5.1</v>
      </c>
      <c r="C51" s="2476"/>
      <c r="D51" s="2477"/>
      <c r="E51" s="1167"/>
      <c r="F51" s="1167"/>
      <c r="G51" s="1168"/>
      <c r="H51" s="1169">
        <f>SUM(H37:H50)</f>
        <v>45014</v>
      </c>
      <c r="I51" s="1170"/>
      <c r="J51" s="1169">
        <f>SUM(J36:J50)</f>
        <v>23146</v>
      </c>
      <c r="K51" s="1171">
        <f>SUM(K36:K50)</f>
        <v>68160</v>
      </c>
      <c r="L51" s="1171"/>
    </row>
    <row r="52" spans="1:15" s="714" customFormat="1" ht="24" customHeight="1">
      <c r="A52" s="1195" t="s">
        <v>1664</v>
      </c>
      <c r="B52" s="1196" t="s">
        <v>1665</v>
      </c>
      <c r="C52" s="1197"/>
      <c r="D52" s="1198"/>
      <c r="E52" s="1199"/>
      <c r="F52" s="1200"/>
      <c r="G52" s="1201"/>
      <c r="H52" s="1202"/>
      <c r="I52" s="1203"/>
      <c r="J52" s="1202"/>
      <c r="K52" s="1204"/>
      <c r="L52" s="1217"/>
    </row>
    <row r="53" spans="1:15" s="714" customFormat="1" ht="24" customHeight="1">
      <c r="A53" s="1147" t="s">
        <v>1666</v>
      </c>
      <c r="B53" s="1148" t="s">
        <v>1751</v>
      </c>
      <c r="C53" s="1123"/>
      <c r="D53" s="1124"/>
      <c r="E53" s="1149"/>
      <c r="F53" s="1150"/>
      <c r="G53" s="1140"/>
      <c r="H53" s="796"/>
      <c r="I53" s="797"/>
      <c r="J53" s="796"/>
      <c r="K53" s="914"/>
      <c r="L53" s="1218"/>
    </row>
    <row r="54" spans="1:15" s="714" customFormat="1" ht="24" customHeight="1">
      <c r="A54" s="1147"/>
      <c r="B54" s="1148" t="s">
        <v>1674</v>
      </c>
      <c r="C54" s="1123"/>
      <c r="D54" s="1124"/>
      <c r="E54" s="1149">
        <v>41</v>
      </c>
      <c r="F54" s="1150" t="s">
        <v>438</v>
      </c>
      <c r="G54" s="1140">
        <v>316</v>
      </c>
      <c r="H54" s="796">
        <f t="shared" ref="H54" si="13">ROUND(E54*G54,)</f>
        <v>12956</v>
      </c>
      <c r="I54" s="797">
        <v>120</v>
      </c>
      <c r="J54" s="796">
        <f t="shared" ref="J54" si="14">ROUND(I54*E54,)</f>
        <v>4920</v>
      </c>
      <c r="K54" s="914">
        <f t="shared" ref="K54" si="15">H54+J54</f>
        <v>17876</v>
      </c>
      <c r="L54" s="1218"/>
    </row>
    <row r="55" spans="1:15" s="714" customFormat="1" ht="24" customHeight="1">
      <c r="A55" s="1147"/>
      <c r="B55" s="1187" t="s">
        <v>1675</v>
      </c>
      <c r="C55" s="1123"/>
      <c r="D55" s="1124"/>
      <c r="E55" s="1149">
        <v>107</v>
      </c>
      <c r="F55" s="1150" t="s">
        <v>438</v>
      </c>
      <c r="G55" s="1140">
        <v>789</v>
      </c>
      <c r="H55" s="796">
        <f>ROUND(E55*G55,)</f>
        <v>84423</v>
      </c>
      <c r="I55" s="797">
        <v>250</v>
      </c>
      <c r="J55" s="796">
        <f>ROUND(I55*E55,)</f>
        <v>26750</v>
      </c>
      <c r="K55" s="914">
        <f>H55+J55</f>
        <v>111173</v>
      </c>
      <c r="L55" s="1218"/>
    </row>
    <row r="56" spans="1:15" s="714" customFormat="1" ht="24" customHeight="1">
      <c r="A56" s="1147"/>
      <c r="B56" s="1187" t="s">
        <v>1676</v>
      </c>
      <c r="C56" s="1123"/>
      <c r="D56" s="1124"/>
      <c r="E56" s="1149">
        <v>52</v>
      </c>
      <c r="F56" s="1150" t="s">
        <v>438</v>
      </c>
      <c r="G56" s="1140">
        <v>1385</v>
      </c>
      <c r="H56" s="796">
        <f>ROUND(E56*G56,)</f>
        <v>72020</v>
      </c>
      <c r="I56" s="797">
        <v>350</v>
      </c>
      <c r="J56" s="796">
        <f>ROUND(I56*E56,)</f>
        <v>18200</v>
      </c>
      <c r="K56" s="914">
        <f>H56+J56</f>
        <v>90220</v>
      </c>
      <c r="L56" s="1218"/>
    </row>
    <row r="57" spans="1:15" s="714" customFormat="1" ht="24" customHeight="1">
      <c r="A57" s="1147"/>
      <c r="B57" s="1219" t="s">
        <v>1645</v>
      </c>
      <c r="C57" s="1209"/>
      <c r="D57" s="1210"/>
      <c r="E57" s="1149">
        <v>1</v>
      </c>
      <c r="F57" s="1212" t="s">
        <v>948</v>
      </c>
      <c r="G57" s="1140">
        <f>ROUND(SUM(H54:H56)*40%,)</f>
        <v>67760</v>
      </c>
      <c r="H57" s="796">
        <f>ROUND(E57*G57,)</f>
        <v>67760</v>
      </c>
      <c r="I57" s="1181">
        <f t="shared" ref="I57:I59" si="16">ROUNDUP(G57*30%,0)</f>
        <v>20328</v>
      </c>
      <c r="J57" s="796">
        <f>ROUND(I57*E57,)</f>
        <v>20328</v>
      </c>
      <c r="K57" s="914">
        <f>H57+J57</f>
        <v>88088</v>
      </c>
      <c r="L57" s="1218"/>
    </row>
    <row r="58" spans="1:15" s="714" customFormat="1" ht="24" customHeight="1">
      <c r="A58" s="1147"/>
      <c r="B58" s="1148" t="s">
        <v>1646</v>
      </c>
      <c r="C58" s="1123"/>
      <c r="D58" s="1124"/>
      <c r="E58" s="1149">
        <v>1</v>
      </c>
      <c r="F58" s="1150" t="s">
        <v>948</v>
      </c>
      <c r="G58" s="1140">
        <f>ROUND(SUM(H54:H56)*20%,)</f>
        <v>33880</v>
      </c>
      <c r="H58" s="796">
        <f>ROUND(E58*G58,)</f>
        <v>33880</v>
      </c>
      <c r="I58" s="1181">
        <f t="shared" si="16"/>
        <v>10164</v>
      </c>
      <c r="J58" s="796">
        <f>ROUND(I58*E58,)</f>
        <v>10164</v>
      </c>
      <c r="K58" s="914">
        <f>H58+J58</f>
        <v>44044</v>
      </c>
      <c r="L58" s="1218"/>
    </row>
    <row r="59" spans="1:15" s="714" customFormat="1" ht="21.3">
      <c r="A59" s="1147"/>
      <c r="B59" s="1148" t="s">
        <v>1677</v>
      </c>
      <c r="C59" s="1123"/>
      <c r="D59" s="1124"/>
      <c r="E59" s="1149">
        <v>1</v>
      </c>
      <c r="F59" s="1150" t="s">
        <v>948</v>
      </c>
      <c r="G59" s="1140">
        <f>ROUND(SUM(H54:H56)*10%,)</f>
        <v>16940</v>
      </c>
      <c r="H59" s="796">
        <f>ROUND(E59*G59,)</f>
        <v>16940</v>
      </c>
      <c r="I59" s="1181">
        <f t="shared" si="16"/>
        <v>5082</v>
      </c>
      <c r="J59" s="796">
        <f>ROUND(I59*E59,)</f>
        <v>5082</v>
      </c>
      <c r="K59" s="914">
        <f>H59+J59</f>
        <v>22022</v>
      </c>
      <c r="L59" s="1218"/>
    </row>
    <row r="60" spans="1:15" s="714" customFormat="1" ht="21.3">
      <c r="A60" s="1159" t="s">
        <v>1678</v>
      </c>
      <c r="B60" s="1187" t="s">
        <v>1752</v>
      </c>
      <c r="C60" s="1123"/>
      <c r="D60" s="1124"/>
      <c r="E60" s="1149"/>
      <c r="F60" s="1150"/>
      <c r="G60" s="1140"/>
      <c r="H60" s="796"/>
      <c r="I60" s="797"/>
      <c r="J60" s="796"/>
      <c r="K60" s="914"/>
      <c r="L60" s="1220"/>
    </row>
    <row r="61" spans="1:15" s="714" customFormat="1" ht="21.3">
      <c r="A61" s="1159"/>
      <c r="B61" s="1187" t="s">
        <v>1189</v>
      </c>
      <c r="C61" s="1123"/>
      <c r="D61" s="1124"/>
      <c r="E61" s="1149">
        <v>91</v>
      </c>
      <c r="F61" s="1150" t="s">
        <v>438</v>
      </c>
      <c r="G61" s="1140">
        <v>65</v>
      </c>
      <c r="H61" s="796">
        <f t="shared" ref="H61" si="17">ROUND(E61*G61,)</f>
        <v>5915</v>
      </c>
      <c r="I61" s="797">
        <v>50</v>
      </c>
      <c r="J61" s="796">
        <f t="shared" ref="J61" si="18">ROUND(I61*E61,)</f>
        <v>4550</v>
      </c>
      <c r="K61" s="914">
        <f t="shared" ref="K61" si="19">H61+J61</f>
        <v>10465</v>
      </c>
      <c r="L61" s="2273" t="s">
        <v>2974</v>
      </c>
      <c r="N61" s="714">
        <v>259.35000000000002</v>
      </c>
      <c r="O61" s="714">
        <f t="shared" ref="O61:O62" si="20">ROUND(N61/4,)</f>
        <v>65</v>
      </c>
    </row>
    <row r="62" spans="1:15" s="714" customFormat="1" ht="21.3">
      <c r="A62" s="1147"/>
      <c r="B62" s="1187" t="s">
        <v>1190</v>
      </c>
      <c r="C62" s="1123"/>
      <c r="D62" s="1124"/>
      <c r="E62" s="1149">
        <v>40</v>
      </c>
      <c r="F62" s="1150" t="s">
        <v>438</v>
      </c>
      <c r="G62" s="1140">
        <v>90</v>
      </c>
      <c r="H62" s="796">
        <f>ROUND(E62*G62,)</f>
        <v>3600</v>
      </c>
      <c r="I62" s="797">
        <v>75</v>
      </c>
      <c r="J62" s="796">
        <f>ROUND(I62*E62,)</f>
        <v>3000</v>
      </c>
      <c r="K62" s="914">
        <f>H62+J62</f>
        <v>6600</v>
      </c>
      <c r="L62" s="2273" t="s">
        <v>2974</v>
      </c>
      <c r="N62" s="714">
        <v>359.45</v>
      </c>
      <c r="O62" s="714">
        <f t="shared" si="20"/>
        <v>90</v>
      </c>
    </row>
    <row r="63" spans="1:15" s="714" customFormat="1" ht="21.3">
      <c r="A63" s="1147"/>
      <c r="B63" s="1148" t="s">
        <v>1645</v>
      </c>
      <c r="C63" s="1123"/>
      <c r="D63" s="1124"/>
      <c r="E63" s="1149">
        <v>1</v>
      </c>
      <c r="F63" s="1150" t="s">
        <v>948</v>
      </c>
      <c r="G63" s="1140">
        <f>SUM(H61:H62)*40%</f>
        <v>3806</v>
      </c>
      <c r="H63" s="796">
        <f>ROUND(E63*G63,)</f>
        <v>3806</v>
      </c>
      <c r="I63" s="1181">
        <f t="shared" ref="I63:I65" si="21">ROUNDUP(G63*30%,0)</f>
        <v>1142</v>
      </c>
      <c r="J63" s="796">
        <f>ROUND(I63*E63,)</f>
        <v>1142</v>
      </c>
      <c r="K63" s="914">
        <f>H63+J63</f>
        <v>4948</v>
      </c>
      <c r="L63" s="1218"/>
    </row>
    <row r="64" spans="1:15" s="714" customFormat="1" ht="21.3">
      <c r="A64" s="1147"/>
      <c r="B64" s="1148" t="s">
        <v>1646</v>
      </c>
      <c r="C64" s="1123"/>
      <c r="D64" s="1124"/>
      <c r="E64" s="1149">
        <v>1</v>
      </c>
      <c r="F64" s="1150" t="s">
        <v>948</v>
      </c>
      <c r="G64" s="1140">
        <f>SUM(H61:H62)*30%</f>
        <v>2854.5</v>
      </c>
      <c r="H64" s="796">
        <f>ROUND(E64*G64,)</f>
        <v>2855</v>
      </c>
      <c r="I64" s="1181">
        <f t="shared" si="21"/>
        <v>857</v>
      </c>
      <c r="J64" s="796">
        <f>ROUND(I64*E64,)</f>
        <v>857</v>
      </c>
      <c r="K64" s="914">
        <f>H64+J64</f>
        <v>3712</v>
      </c>
      <c r="L64" s="1218"/>
    </row>
    <row r="65" spans="1:15" s="714" customFormat="1" ht="21.3">
      <c r="A65" s="1147"/>
      <c r="B65" s="1148" t="s">
        <v>1677</v>
      </c>
      <c r="C65" s="1123"/>
      <c r="D65" s="1124"/>
      <c r="E65" s="1149">
        <v>1</v>
      </c>
      <c r="F65" s="1150" t="s">
        <v>948</v>
      </c>
      <c r="G65" s="1140">
        <f>SUM(H61:H62)*10%</f>
        <v>951.5</v>
      </c>
      <c r="H65" s="796">
        <f>ROUND(E65*G65,)</f>
        <v>952</v>
      </c>
      <c r="I65" s="1181">
        <f t="shared" si="21"/>
        <v>286</v>
      </c>
      <c r="J65" s="796">
        <f>ROUND(I65*E65,)</f>
        <v>286</v>
      </c>
      <c r="K65" s="914">
        <f>H65+J65</f>
        <v>1238</v>
      </c>
      <c r="L65" s="1218"/>
    </row>
    <row r="66" spans="1:15" s="714" customFormat="1" ht="21.3">
      <c r="A66" s="1147" t="s">
        <v>1680</v>
      </c>
      <c r="B66" s="1187" t="s">
        <v>1699</v>
      </c>
      <c r="C66" s="1123"/>
      <c r="D66" s="1124"/>
      <c r="E66" s="1149"/>
      <c r="F66" s="1150"/>
      <c r="G66" s="1140"/>
      <c r="H66" s="796"/>
      <c r="I66" s="797"/>
      <c r="J66" s="796"/>
      <c r="K66" s="914"/>
      <c r="L66" s="1218"/>
    </row>
    <row r="67" spans="1:15" s="714" customFormat="1" ht="21.3">
      <c r="A67" s="1221"/>
      <c r="B67" s="1187" t="s">
        <v>1674</v>
      </c>
      <c r="C67" s="1123"/>
      <c r="D67" s="1124"/>
      <c r="E67" s="1149">
        <v>6</v>
      </c>
      <c r="F67" s="1150" t="s">
        <v>240</v>
      </c>
      <c r="G67" s="1140">
        <f>ROUND(500*0.75,)</f>
        <v>375</v>
      </c>
      <c r="H67" s="796">
        <f>ROUND(E67*G67,)</f>
        <v>2250</v>
      </c>
      <c r="I67" s="797">
        <v>200</v>
      </c>
      <c r="J67" s="796">
        <f>ROUND(I67*E67,)</f>
        <v>1200</v>
      </c>
      <c r="K67" s="914">
        <f>H67+J67</f>
        <v>3450</v>
      </c>
      <c r="L67" s="1222"/>
    </row>
    <row r="68" spans="1:15" s="714" customFormat="1" ht="21.3">
      <c r="A68" s="1147"/>
      <c r="B68" s="1187" t="s">
        <v>1675</v>
      </c>
      <c r="C68" s="1123"/>
      <c r="D68" s="1124"/>
      <c r="E68" s="1149">
        <v>8</v>
      </c>
      <c r="F68" s="1150" t="s">
        <v>240</v>
      </c>
      <c r="G68" s="1140">
        <f>ROUND(950*0.75,)</f>
        <v>713</v>
      </c>
      <c r="H68" s="796">
        <f>ROUND(E68*G68,)</f>
        <v>5704</v>
      </c>
      <c r="I68" s="797">
        <v>300</v>
      </c>
      <c r="J68" s="796">
        <f>ROUND(I68*E68,)</f>
        <v>2400</v>
      </c>
      <c r="K68" s="914">
        <f>H68+J68</f>
        <v>8104</v>
      </c>
      <c r="L68" s="1218"/>
    </row>
    <row r="69" spans="1:15" s="714" customFormat="1" ht="21.3">
      <c r="A69" s="1147"/>
      <c r="B69" s="1187" t="s">
        <v>1676</v>
      </c>
      <c r="C69" s="1123"/>
      <c r="D69" s="1124"/>
      <c r="E69" s="1149">
        <v>4</v>
      </c>
      <c r="F69" s="1150" t="s">
        <v>240</v>
      </c>
      <c r="G69" s="1140">
        <f>ROUND(1850*0.75,)</f>
        <v>1388</v>
      </c>
      <c r="H69" s="796">
        <f>ROUND(E69*G69,)</f>
        <v>5552</v>
      </c>
      <c r="I69" s="797">
        <v>400</v>
      </c>
      <c r="J69" s="796">
        <f>ROUND(I69*E69,)</f>
        <v>1600</v>
      </c>
      <c r="K69" s="914">
        <f>H69+J69</f>
        <v>7152</v>
      </c>
      <c r="L69" s="1218"/>
    </row>
    <row r="70" spans="1:15" s="714" customFormat="1" ht="21.3">
      <c r="A70" s="1159"/>
      <c r="B70" s="1187"/>
      <c r="C70" s="1123"/>
      <c r="D70" s="1213"/>
      <c r="E70" s="1149"/>
      <c r="F70" s="1124"/>
      <c r="G70" s="1140"/>
      <c r="H70" s="796"/>
      <c r="I70" s="797"/>
      <c r="J70" s="796"/>
      <c r="K70" s="914"/>
      <c r="L70" s="1220"/>
    </row>
    <row r="71" spans="1:15" s="714" customFormat="1" ht="21.3">
      <c r="A71" s="1159"/>
      <c r="B71" s="1187"/>
      <c r="C71" s="1123"/>
      <c r="D71" s="1213"/>
      <c r="E71" s="1149"/>
      <c r="F71" s="1124"/>
      <c r="G71" s="1140"/>
      <c r="H71" s="796"/>
      <c r="I71" s="797"/>
      <c r="J71" s="796"/>
      <c r="K71" s="914"/>
      <c r="L71" s="1220"/>
    </row>
    <row r="72" spans="1:15" s="714" customFormat="1" ht="21.3">
      <c r="A72" s="1159"/>
      <c r="B72" s="1187"/>
      <c r="C72" s="1123"/>
      <c r="D72" s="1213"/>
      <c r="E72" s="1149"/>
      <c r="F72" s="1124"/>
      <c r="G72" s="1140"/>
      <c r="H72" s="796"/>
      <c r="I72" s="797"/>
      <c r="J72" s="796"/>
      <c r="K72" s="914"/>
      <c r="L72" s="1220"/>
    </row>
    <row r="73" spans="1:15" s="714" customFormat="1" ht="21.3">
      <c r="A73" s="1159"/>
      <c r="B73" s="1187"/>
      <c r="C73" s="1123"/>
      <c r="D73" s="1213"/>
      <c r="E73" s="1149"/>
      <c r="F73" s="1124"/>
      <c r="G73" s="1140"/>
      <c r="H73" s="796"/>
      <c r="I73" s="797"/>
      <c r="J73" s="796"/>
      <c r="K73" s="914"/>
      <c r="L73" s="1220"/>
    </row>
    <row r="74" spans="1:15" s="714" customFormat="1" ht="21.3">
      <c r="A74" s="1159"/>
      <c r="B74" s="1223"/>
      <c r="C74" s="1161"/>
      <c r="D74" s="1190"/>
      <c r="E74" s="1183"/>
      <c r="F74" s="1162"/>
      <c r="G74" s="1205"/>
      <c r="H74" s="872"/>
      <c r="I74" s="873"/>
      <c r="J74" s="872"/>
      <c r="K74" s="938"/>
      <c r="L74" s="1220"/>
    </row>
    <row r="75" spans="1:15" s="714" customFormat="1" ht="21.3">
      <c r="A75" s="898"/>
      <c r="B75" s="1191"/>
      <c r="C75" s="890"/>
      <c r="D75" s="890"/>
      <c r="E75" s="1224"/>
      <c r="F75" s="928"/>
      <c r="G75" s="1192"/>
      <c r="H75" s="1193"/>
      <c r="I75" s="1185"/>
      <c r="J75" s="1193"/>
      <c r="K75" s="1194"/>
      <c r="L75" s="1225"/>
    </row>
    <row r="76" spans="1:15" s="714" customFormat="1" ht="21.3">
      <c r="A76" s="1166"/>
      <c r="B76" s="2475" t="str">
        <f>"รวมราคารายการที่ "&amp;A52</f>
        <v>รวมราคารายการที่ 5.2</v>
      </c>
      <c r="C76" s="2476"/>
      <c r="D76" s="2477"/>
      <c r="E76" s="1167"/>
      <c r="F76" s="1167"/>
      <c r="G76" s="1168"/>
      <c r="H76" s="1169">
        <f>SUM(H53:H75)</f>
        <v>318613</v>
      </c>
      <c r="I76" s="1170"/>
      <c r="J76" s="1169">
        <f>SUM(J53:J75)</f>
        <v>100479</v>
      </c>
      <c r="K76" s="1171">
        <f>SUM(K53:K75)</f>
        <v>419092</v>
      </c>
      <c r="L76" s="1226"/>
    </row>
    <row r="77" spans="1:15" s="714" customFormat="1" ht="21.3">
      <c r="A77" s="1195">
        <v>5.3</v>
      </c>
      <c r="B77" s="1196" t="s">
        <v>1691</v>
      </c>
      <c r="C77" s="1197"/>
      <c r="D77" s="1198"/>
      <c r="E77" s="1199"/>
      <c r="F77" s="1200"/>
      <c r="G77" s="1201"/>
      <c r="H77" s="1202"/>
      <c r="I77" s="1203"/>
      <c r="J77" s="1202"/>
      <c r="K77" s="1204"/>
      <c r="L77" s="1204"/>
    </row>
    <row r="78" spans="1:15" s="714" customFormat="1" ht="21.3">
      <c r="A78" s="1159" t="s">
        <v>1692</v>
      </c>
      <c r="B78" s="1160" t="s">
        <v>1753</v>
      </c>
      <c r="C78" s="1161"/>
      <c r="D78" s="1162"/>
      <c r="E78" s="1183"/>
      <c r="F78" s="1163"/>
      <c r="G78" s="1205"/>
      <c r="H78" s="872"/>
      <c r="I78" s="873"/>
      <c r="J78" s="872"/>
      <c r="K78" s="938"/>
      <c r="L78" s="914"/>
    </row>
    <row r="79" spans="1:15" s="714" customFormat="1" ht="21.3">
      <c r="A79" s="1147"/>
      <c r="B79" s="1148" t="s">
        <v>1190</v>
      </c>
      <c r="C79" s="1123"/>
      <c r="D79" s="1124"/>
      <c r="E79" s="1149">
        <v>3</v>
      </c>
      <c r="F79" s="1150" t="s">
        <v>438</v>
      </c>
      <c r="G79" s="1140">
        <v>385</v>
      </c>
      <c r="H79" s="796">
        <f>ROUND(E79*G79,)</f>
        <v>1155</v>
      </c>
      <c r="I79" s="797">
        <v>145</v>
      </c>
      <c r="J79" s="796">
        <f>ROUND(I79*E79,)</f>
        <v>435</v>
      </c>
      <c r="K79" s="914">
        <f>H79+J79</f>
        <v>1590</v>
      </c>
      <c r="L79" s="2273" t="s">
        <v>2974</v>
      </c>
      <c r="N79" s="714">
        <v>2308.9499999999998</v>
      </c>
      <c r="O79" s="714">
        <f t="shared" ref="O79" si="22">ROUND(N79/6,)</f>
        <v>385</v>
      </c>
    </row>
    <row r="80" spans="1:15" s="714" customFormat="1" ht="21.3">
      <c r="A80" s="1147"/>
      <c r="B80" s="1148" t="s">
        <v>1645</v>
      </c>
      <c r="C80" s="1123"/>
      <c r="D80" s="1124"/>
      <c r="E80" s="1149">
        <v>1</v>
      </c>
      <c r="F80" s="1150" t="s">
        <v>948</v>
      </c>
      <c r="G80" s="1140">
        <f>ROUND(SUM(H79:H79)*40%,)</f>
        <v>462</v>
      </c>
      <c r="H80" s="796">
        <f>ROUND(E80*G80,)</f>
        <v>462</v>
      </c>
      <c r="I80" s="1181">
        <f t="shared" ref="I80:I82" si="23">ROUNDUP(G80*30%,0)</f>
        <v>139</v>
      </c>
      <c r="J80" s="796">
        <f>ROUND(I80*E80,)</f>
        <v>139</v>
      </c>
      <c r="K80" s="914">
        <f>H80+J80</f>
        <v>601</v>
      </c>
      <c r="L80" s="914"/>
    </row>
    <row r="81" spans="1:12" s="714" customFormat="1" ht="21.3">
      <c r="A81" s="1147"/>
      <c r="B81" s="1148" t="s">
        <v>1646</v>
      </c>
      <c r="C81" s="1123"/>
      <c r="D81" s="1124"/>
      <c r="E81" s="1149">
        <v>1</v>
      </c>
      <c r="F81" s="1150" t="s">
        <v>948</v>
      </c>
      <c r="G81" s="1140">
        <f>ROUND(SUM(H79:H79)*20%,)</f>
        <v>231</v>
      </c>
      <c r="H81" s="796">
        <f>ROUND(E81*G81,)</f>
        <v>231</v>
      </c>
      <c r="I81" s="1181">
        <f t="shared" si="23"/>
        <v>70</v>
      </c>
      <c r="J81" s="796">
        <f>ROUND(I81*E81,)</f>
        <v>70</v>
      </c>
      <c r="K81" s="914">
        <f>H81+J81</f>
        <v>301</v>
      </c>
      <c r="L81" s="914"/>
    </row>
    <row r="82" spans="1:12" s="714" customFormat="1" ht="21.3">
      <c r="A82" s="1147"/>
      <c r="B82" s="1148" t="s">
        <v>1677</v>
      </c>
      <c r="C82" s="1123"/>
      <c r="D82" s="1124"/>
      <c r="E82" s="1149">
        <v>1</v>
      </c>
      <c r="F82" s="1150" t="s">
        <v>948</v>
      </c>
      <c r="G82" s="1140">
        <f>ROUND(SUM(H79:H79)*10%,)</f>
        <v>116</v>
      </c>
      <c r="H82" s="796">
        <f>ROUND(E82*G82,)</f>
        <v>116</v>
      </c>
      <c r="I82" s="1181">
        <f t="shared" si="23"/>
        <v>35</v>
      </c>
      <c r="J82" s="796">
        <f>ROUND(I82*E82,)</f>
        <v>35</v>
      </c>
      <c r="K82" s="914">
        <f>H82+J82</f>
        <v>151</v>
      </c>
      <c r="L82" s="914"/>
    </row>
    <row r="83" spans="1:12" s="714" customFormat="1" ht="21.3">
      <c r="A83" s="1159"/>
      <c r="B83" s="1187"/>
      <c r="C83" s="1123"/>
      <c r="D83" s="1213"/>
      <c r="E83" s="1149"/>
      <c r="F83" s="1124"/>
      <c r="G83" s="1140"/>
      <c r="H83" s="796"/>
      <c r="I83" s="797"/>
      <c r="J83" s="796"/>
      <c r="K83" s="914"/>
      <c r="L83" s="1220"/>
    </row>
    <row r="84" spans="1:12">
      <c r="A84" s="1159"/>
      <c r="B84" s="1187"/>
      <c r="C84" s="1123"/>
      <c r="D84" s="1213"/>
      <c r="E84" s="1149"/>
      <c r="F84" s="1124"/>
      <c r="G84" s="1140"/>
      <c r="H84" s="796"/>
      <c r="I84" s="797"/>
      <c r="J84" s="796"/>
      <c r="K84" s="914"/>
      <c r="L84" s="1220"/>
    </row>
    <row r="85" spans="1:12">
      <c r="A85" s="1147"/>
      <c r="B85" s="1187"/>
      <c r="C85" s="1123"/>
      <c r="D85" s="1124"/>
      <c r="E85" s="1149"/>
      <c r="F85" s="1150"/>
      <c r="G85" s="1179"/>
      <c r="H85" s="796"/>
      <c r="I85" s="1181"/>
      <c r="J85" s="796"/>
      <c r="K85" s="914"/>
      <c r="L85" s="912"/>
    </row>
    <row r="86" spans="1:12">
      <c r="A86" s="1166"/>
      <c r="B86" s="2475" t="str">
        <f>"รวมราคารายการที่ "&amp;A77</f>
        <v>รวมราคารายการที่ 5.3</v>
      </c>
      <c r="C86" s="2476"/>
      <c r="D86" s="2477"/>
      <c r="E86" s="1167"/>
      <c r="F86" s="1167"/>
      <c r="G86" s="1168"/>
      <c r="H86" s="1169">
        <f>SUM(H78:H85)</f>
        <v>1964</v>
      </c>
      <c r="I86" s="1170"/>
      <c r="J86" s="1169">
        <f>SUM(J78:J85)</f>
        <v>679</v>
      </c>
      <c r="K86" s="1171">
        <f>SUM(K78:K85)</f>
        <v>2643</v>
      </c>
      <c r="L86" s="1171"/>
    </row>
  </sheetData>
  <mergeCells count="12">
    <mergeCell ref="A9:A10"/>
    <mergeCell ref="B9:D10"/>
    <mergeCell ref="E9:E10"/>
    <mergeCell ref="F9:F10"/>
    <mergeCell ref="G9:H9"/>
    <mergeCell ref="B34:D34"/>
    <mergeCell ref="B51:D51"/>
    <mergeCell ref="B76:D76"/>
    <mergeCell ref="B86:D86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B2-อาคารสนับนุน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56025-42B3-4D9E-84C1-CCF84E02173A}">
  <sheetPr>
    <tabColor rgb="FF92D050"/>
  </sheetPr>
  <dimension ref="A1:O84"/>
  <sheetViews>
    <sheetView showGridLines="0" tabSelected="1" view="pageBreakPreview" topLeftCell="A44" zoomScale="50" zoomScaleNormal="60" zoomScaleSheetLayoutView="5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5859375" style="1" customWidth="1"/>
    <col min="13" max="90" width="7.703125" style="1" customWidth="1"/>
    <col min="91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1635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 t="s">
        <v>29</v>
      </c>
      <c r="B11" s="1151" t="s">
        <v>1754</v>
      </c>
      <c r="C11" s="1123"/>
      <c r="D11" s="1124"/>
      <c r="E11" s="1149"/>
      <c r="F11" s="1150"/>
      <c r="G11" s="710"/>
      <c r="H11" s="711"/>
      <c r="I11" s="712"/>
      <c r="J11" s="711"/>
      <c r="K11" s="1129"/>
      <c r="L11" s="1024"/>
    </row>
    <row r="12" spans="1:12" s="714" customFormat="1" ht="24" customHeight="1">
      <c r="A12" s="1147" t="str">
        <f>A36</f>
        <v>5.1</v>
      </c>
      <c r="B12" s="1148" t="str">
        <f>B36</f>
        <v>ระบบน้ำประปา (Cold Water Supply System)</v>
      </c>
      <c r="C12" s="1123"/>
      <c r="D12" s="1124"/>
      <c r="E12" s="1149">
        <v>1</v>
      </c>
      <c r="F12" s="1150" t="s">
        <v>19</v>
      </c>
      <c r="G12" s="710"/>
      <c r="H12" s="711">
        <f>H59</f>
        <v>62802</v>
      </c>
      <c r="I12" s="712"/>
      <c r="J12" s="711">
        <f>J59</f>
        <v>27132</v>
      </c>
      <c r="K12" s="1129">
        <f t="shared" ref="K12:K13" si="0">SUM(H12:J12)</f>
        <v>89934</v>
      </c>
      <c r="L12" s="1024"/>
    </row>
    <row r="13" spans="1:12" s="714" customFormat="1" ht="24" customHeight="1">
      <c r="A13" s="1159">
        <f>A60</f>
        <v>5.2</v>
      </c>
      <c r="B13" s="1160" t="str">
        <f>B60</f>
        <v>ระบบระบายน้ำฝนและระบายน้ำในอาคาร (Storm Drain &amp; Building Drain System)</v>
      </c>
      <c r="C13" s="1161"/>
      <c r="D13" s="1162"/>
      <c r="E13" s="1183">
        <v>1</v>
      </c>
      <c r="F13" s="1163" t="s">
        <v>19</v>
      </c>
      <c r="G13" s="1164"/>
      <c r="H13" s="957">
        <f>H84</f>
        <v>17850</v>
      </c>
      <c r="I13" s="1165"/>
      <c r="J13" s="957">
        <f>J84</f>
        <v>6917</v>
      </c>
      <c r="K13" s="1129">
        <f t="shared" si="0"/>
        <v>24767</v>
      </c>
      <c r="L13" s="1024"/>
    </row>
    <row r="14" spans="1:12" s="714" customFormat="1" ht="24" customHeight="1">
      <c r="A14" s="1227"/>
      <c r="B14" s="1160"/>
      <c r="C14" s="1161"/>
      <c r="D14" s="1162"/>
      <c r="E14" s="1183"/>
      <c r="F14" s="1163"/>
      <c r="G14" s="1164"/>
      <c r="H14" s="957"/>
      <c r="I14" s="1165"/>
      <c r="J14" s="957"/>
      <c r="K14" s="1129"/>
      <c r="L14" s="954"/>
    </row>
    <row r="15" spans="1:12" s="714" customFormat="1" ht="24" customHeight="1">
      <c r="A15" s="1227"/>
      <c r="B15" s="1160"/>
      <c r="C15" s="1161"/>
      <c r="D15" s="1162"/>
      <c r="E15" s="1183"/>
      <c r="F15" s="1163"/>
      <c r="G15" s="1164"/>
      <c r="H15" s="957"/>
      <c r="I15" s="1165"/>
      <c r="J15" s="957"/>
      <c r="K15" s="1129"/>
      <c r="L15" s="954"/>
    </row>
    <row r="16" spans="1:12" s="714" customFormat="1" ht="24" customHeight="1">
      <c r="A16" s="1227"/>
      <c r="B16" s="1160"/>
      <c r="C16" s="1161"/>
      <c r="D16" s="1162"/>
      <c r="E16" s="1183"/>
      <c r="F16" s="1163"/>
      <c r="G16" s="1164"/>
      <c r="H16" s="957"/>
      <c r="I16" s="1165"/>
      <c r="J16" s="957"/>
      <c r="K16" s="1129"/>
      <c r="L16" s="954"/>
    </row>
    <row r="17" spans="1:12" s="714" customFormat="1" ht="24" customHeight="1">
      <c r="A17" s="1227"/>
      <c r="B17" s="1160"/>
      <c r="C17" s="1161"/>
      <c r="D17" s="1162"/>
      <c r="E17" s="1183"/>
      <c r="F17" s="1163"/>
      <c r="G17" s="1164"/>
      <c r="H17" s="957"/>
      <c r="I17" s="1165"/>
      <c r="J17" s="957"/>
      <c r="K17" s="1129"/>
      <c r="L17" s="954"/>
    </row>
    <row r="18" spans="1:12" s="714" customFormat="1" ht="24" customHeight="1">
      <c r="A18" s="1159"/>
      <c r="B18" s="1160"/>
      <c r="C18" s="1161"/>
      <c r="D18" s="1162"/>
      <c r="E18" s="1183"/>
      <c r="F18" s="1163"/>
      <c r="G18" s="1164"/>
      <c r="H18" s="957"/>
      <c r="I18" s="1165"/>
      <c r="J18" s="957"/>
      <c r="K18" s="1129"/>
      <c r="L18" s="954"/>
    </row>
    <row r="19" spans="1:12" s="714" customFormat="1" ht="24" customHeight="1">
      <c r="A19" s="1227"/>
      <c r="B19" s="1160"/>
      <c r="C19" s="1161"/>
      <c r="D19" s="1162"/>
      <c r="E19" s="1183"/>
      <c r="F19" s="1163"/>
      <c r="G19" s="1164"/>
      <c r="H19" s="957"/>
      <c r="I19" s="1165"/>
      <c r="J19" s="957"/>
      <c r="K19" s="1129"/>
      <c r="L19" s="954"/>
    </row>
    <row r="20" spans="1:12" s="714" customFormat="1" ht="24" customHeight="1">
      <c r="A20" s="1227"/>
      <c r="B20" s="1160"/>
      <c r="C20" s="1161"/>
      <c r="D20" s="1162"/>
      <c r="E20" s="1183"/>
      <c r="F20" s="1163"/>
      <c r="G20" s="1164"/>
      <c r="H20" s="957"/>
      <c r="I20" s="1165"/>
      <c r="J20" s="957"/>
      <c r="K20" s="1129"/>
      <c r="L20" s="954"/>
    </row>
    <row r="21" spans="1:12" s="714" customFormat="1" ht="24" customHeight="1">
      <c r="A21" s="1227"/>
      <c r="B21" s="1160"/>
      <c r="C21" s="1161"/>
      <c r="D21" s="1162"/>
      <c r="E21" s="1183"/>
      <c r="F21" s="1163"/>
      <c r="G21" s="1164"/>
      <c r="H21" s="957"/>
      <c r="I21" s="1165"/>
      <c r="J21" s="957"/>
      <c r="K21" s="1129"/>
      <c r="L21" s="954"/>
    </row>
    <row r="22" spans="1:12" s="714" customFormat="1" ht="24" customHeight="1">
      <c r="A22" s="1227"/>
      <c r="B22" s="1160"/>
      <c r="C22" s="1161"/>
      <c r="D22" s="1162"/>
      <c r="E22" s="1183"/>
      <c r="F22" s="1163"/>
      <c r="G22" s="1164"/>
      <c r="H22" s="957"/>
      <c r="I22" s="1165"/>
      <c r="J22" s="957"/>
      <c r="K22" s="1129"/>
      <c r="L22" s="954"/>
    </row>
    <row r="23" spans="1:12" s="714" customFormat="1" ht="24" customHeight="1">
      <c r="A23" s="1227"/>
      <c r="B23" s="1160"/>
      <c r="C23" s="1161"/>
      <c r="D23" s="1162"/>
      <c r="E23" s="1183"/>
      <c r="F23" s="1163"/>
      <c r="G23" s="1164"/>
      <c r="H23" s="957"/>
      <c r="I23" s="1165"/>
      <c r="J23" s="957"/>
      <c r="K23" s="1129"/>
      <c r="L23" s="954"/>
    </row>
    <row r="24" spans="1:12" s="714" customFormat="1" ht="24" customHeight="1">
      <c r="A24" s="1227"/>
      <c r="B24" s="1160"/>
      <c r="C24" s="1161"/>
      <c r="D24" s="1162"/>
      <c r="E24" s="1183"/>
      <c r="F24" s="1163"/>
      <c r="G24" s="1164"/>
      <c r="H24" s="957"/>
      <c r="I24" s="1165"/>
      <c r="J24" s="957"/>
      <c r="K24" s="1129"/>
      <c r="L24" s="954"/>
    </row>
    <row r="25" spans="1:12" s="714" customFormat="1" ht="24" customHeight="1">
      <c r="A25" s="1227"/>
      <c r="B25" s="1160"/>
      <c r="C25" s="1161"/>
      <c r="D25" s="1162"/>
      <c r="E25" s="1183"/>
      <c r="F25" s="1163"/>
      <c r="G25" s="1164"/>
      <c r="H25" s="957"/>
      <c r="I25" s="1165"/>
      <c r="J25" s="957"/>
      <c r="K25" s="1129"/>
      <c r="L25" s="954"/>
    </row>
    <row r="26" spans="1:12" s="714" customFormat="1" ht="24" customHeight="1">
      <c r="A26" s="1227"/>
      <c r="B26" s="1160"/>
      <c r="C26" s="1161"/>
      <c r="D26" s="1162"/>
      <c r="E26" s="1183"/>
      <c r="F26" s="1163"/>
      <c r="G26" s="1164"/>
      <c r="H26" s="957"/>
      <c r="I26" s="1165"/>
      <c r="J26" s="957"/>
      <c r="K26" s="1129"/>
      <c r="L26" s="954"/>
    </row>
    <row r="27" spans="1:12" s="714" customFormat="1" ht="24" customHeight="1">
      <c r="A27" s="1227"/>
      <c r="B27" s="1160"/>
      <c r="C27" s="1161"/>
      <c r="D27" s="1162"/>
      <c r="E27" s="1183"/>
      <c r="F27" s="1163"/>
      <c r="G27" s="1164"/>
      <c r="H27" s="957"/>
      <c r="I27" s="1165"/>
      <c r="J27" s="957"/>
      <c r="K27" s="1129"/>
      <c r="L27" s="954"/>
    </row>
    <row r="28" spans="1:12" s="714" customFormat="1" ht="24" customHeight="1">
      <c r="A28" s="1227"/>
      <c r="B28" s="1160"/>
      <c r="C28" s="1161"/>
      <c r="D28" s="1162"/>
      <c r="E28" s="1183"/>
      <c r="F28" s="1163"/>
      <c r="G28" s="1164"/>
      <c r="H28" s="957"/>
      <c r="I28" s="1165"/>
      <c r="J28" s="957"/>
      <c r="K28" s="1129"/>
      <c r="L28" s="954"/>
    </row>
    <row r="29" spans="1:12" s="714" customFormat="1" ht="24" customHeight="1">
      <c r="A29" s="1227"/>
      <c r="B29" s="1160"/>
      <c r="C29" s="1161"/>
      <c r="D29" s="1162"/>
      <c r="E29" s="1183"/>
      <c r="F29" s="1163"/>
      <c r="G29" s="1164"/>
      <c r="H29" s="957"/>
      <c r="I29" s="1165"/>
      <c r="J29" s="957"/>
      <c r="K29" s="1129"/>
      <c r="L29" s="954"/>
    </row>
    <row r="30" spans="1:12" s="714" customFormat="1" ht="24" customHeight="1">
      <c r="A30" s="1227"/>
      <c r="B30" s="1160"/>
      <c r="C30" s="1161"/>
      <c r="D30" s="1162"/>
      <c r="E30" s="1183"/>
      <c r="F30" s="1163"/>
      <c r="G30" s="1164"/>
      <c r="H30" s="957"/>
      <c r="I30" s="1165"/>
      <c r="J30" s="957"/>
      <c r="K30" s="1129"/>
      <c r="L30" s="954"/>
    </row>
    <row r="31" spans="1:12" s="714" customFormat="1" ht="24" customHeight="1">
      <c r="A31" s="1227"/>
      <c r="B31" s="1160"/>
      <c r="C31" s="1161"/>
      <c r="D31" s="1162"/>
      <c r="E31" s="1183"/>
      <c r="F31" s="1163"/>
      <c r="G31" s="1164"/>
      <c r="H31" s="957"/>
      <c r="I31" s="1165"/>
      <c r="J31" s="957"/>
      <c r="K31" s="1129"/>
      <c r="L31" s="954"/>
    </row>
    <row r="32" spans="1:12" s="714" customFormat="1" ht="24" customHeight="1">
      <c r="A32" s="1227"/>
      <c r="B32" s="1160"/>
      <c r="C32" s="1161"/>
      <c r="D32" s="1162"/>
      <c r="E32" s="1183"/>
      <c r="F32" s="1163"/>
      <c r="G32" s="1164"/>
      <c r="H32" s="957"/>
      <c r="I32" s="1165"/>
      <c r="J32" s="957"/>
      <c r="K32" s="1129"/>
      <c r="L32" s="954"/>
    </row>
    <row r="33" spans="1:12" s="714" customFormat="1" ht="24" customHeight="1">
      <c r="A33" s="1227"/>
      <c r="B33" s="1160"/>
      <c r="C33" s="1161"/>
      <c r="D33" s="1162"/>
      <c r="E33" s="1183"/>
      <c r="F33" s="1163"/>
      <c r="G33" s="1164"/>
      <c r="H33" s="957"/>
      <c r="I33" s="1165"/>
      <c r="J33" s="957"/>
      <c r="K33" s="1129"/>
      <c r="L33" s="954"/>
    </row>
    <row r="34" spans="1:12" s="714" customFormat="1" ht="30" customHeight="1">
      <c r="A34" s="1166"/>
      <c r="B34" s="2475" t="str">
        <f>"รวมราคา"&amp;B11</f>
        <v>รวมราคางานระบบสุขาภิบาล ชั้น B1</v>
      </c>
      <c r="C34" s="2476"/>
      <c r="D34" s="2477"/>
      <c r="E34" s="1167"/>
      <c r="F34" s="1167"/>
      <c r="G34" s="1168"/>
      <c r="H34" s="1169">
        <f>SUM(H11:H33)</f>
        <v>80652</v>
      </c>
      <c r="I34" s="1170"/>
      <c r="J34" s="1169">
        <f>SUM(J11:J33)</f>
        <v>34049</v>
      </c>
      <c r="K34" s="1171">
        <f>SUM(K11:K33)</f>
        <v>114701</v>
      </c>
      <c r="L34" s="1171"/>
    </row>
    <row r="35" spans="1:12" s="714" customFormat="1" ht="24" customHeight="1">
      <c r="A35" s="1011"/>
      <c r="B35" s="1173" t="s">
        <v>30</v>
      </c>
      <c r="C35" s="859"/>
      <c r="D35" s="859"/>
      <c r="E35" s="1216"/>
      <c r="F35" s="935"/>
      <c r="G35" s="1174"/>
      <c r="H35" s="1175"/>
      <c r="I35" s="1176"/>
      <c r="J35" s="1175"/>
      <c r="K35" s="1176"/>
      <c r="L35" s="825"/>
    </row>
    <row r="36" spans="1:12" s="714" customFormat="1" ht="24" customHeight="1">
      <c r="A36" s="1177" t="s">
        <v>1637</v>
      </c>
      <c r="B36" s="1151" t="s">
        <v>1638</v>
      </c>
      <c r="C36" s="1178"/>
      <c r="D36" s="1124"/>
      <c r="E36" s="1149"/>
      <c r="F36" s="1150"/>
      <c r="G36" s="1179"/>
      <c r="H36" s="1180"/>
      <c r="I36" s="1181"/>
      <c r="J36" s="1180"/>
      <c r="K36" s="1181"/>
      <c r="L36" s="1182"/>
    </row>
    <row r="37" spans="1:12" s="714" customFormat="1" ht="24" customHeight="1">
      <c r="A37" s="1147" t="s">
        <v>1639</v>
      </c>
      <c r="B37" s="1148" t="s">
        <v>1755</v>
      </c>
      <c r="C37" s="1123"/>
      <c r="D37" s="1124"/>
      <c r="E37" s="1149"/>
      <c r="F37" s="1150"/>
      <c r="G37" s="1179"/>
      <c r="H37" s="796"/>
      <c r="I37" s="1181"/>
      <c r="J37" s="796"/>
      <c r="K37" s="797"/>
      <c r="L37" s="1182"/>
    </row>
    <row r="38" spans="1:12" s="714" customFormat="1" ht="24" customHeight="1">
      <c r="A38" s="1147"/>
      <c r="B38" s="1148" t="s">
        <v>1715</v>
      </c>
      <c r="C38" s="1123"/>
      <c r="D38" s="1124"/>
      <c r="E38" s="1149">
        <v>443</v>
      </c>
      <c r="F38" s="1150" t="s">
        <v>438</v>
      </c>
      <c r="G38" s="1179">
        <v>35</v>
      </c>
      <c r="H38" s="796">
        <f t="shared" ref="H38:H46" si="1">ROUND(E38*G38,)</f>
        <v>15505</v>
      </c>
      <c r="I38" s="1181">
        <v>30</v>
      </c>
      <c r="J38" s="796">
        <f t="shared" ref="J38:J43" si="2">ROUND(E38*I38,)</f>
        <v>13290</v>
      </c>
      <c r="K38" s="797">
        <f t="shared" ref="K38:K43" si="3">H38+J38</f>
        <v>28795</v>
      </c>
      <c r="L38" s="1182"/>
    </row>
    <row r="39" spans="1:12" s="714" customFormat="1" ht="24" customHeight="1">
      <c r="A39" s="1147"/>
      <c r="B39" s="1148" t="s">
        <v>1650</v>
      </c>
      <c r="C39" s="1123"/>
      <c r="D39" s="1124"/>
      <c r="E39" s="1149">
        <v>84</v>
      </c>
      <c r="F39" s="1150" t="s">
        <v>438</v>
      </c>
      <c r="G39" s="1179">
        <v>46</v>
      </c>
      <c r="H39" s="796">
        <f t="shared" si="1"/>
        <v>3864</v>
      </c>
      <c r="I39" s="1181">
        <v>30</v>
      </c>
      <c r="J39" s="796">
        <f t="shared" si="2"/>
        <v>2520</v>
      </c>
      <c r="K39" s="797">
        <f t="shared" si="3"/>
        <v>6384</v>
      </c>
      <c r="L39" s="1182"/>
    </row>
    <row r="40" spans="1:12" s="714" customFormat="1" ht="24" customHeight="1">
      <c r="A40" s="1147"/>
      <c r="B40" s="1148" t="s">
        <v>1747</v>
      </c>
      <c r="C40" s="1123"/>
      <c r="D40" s="1124"/>
      <c r="E40" s="1149">
        <v>16</v>
      </c>
      <c r="F40" s="1150" t="s">
        <v>438</v>
      </c>
      <c r="G40" s="1179">
        <v>76</v>
      </c>
      <c r="H40" s="796">
        <f t="shared" si="1"/>
        <v>1216</v>
      </c>
      <c r="I40" s="1181">
        <v>30</v>
      </c>
      <c r="J40" s="796">
        <f t="shared" si="2"/>
        <v>480</v>
      </c>
      <c r="K40" s="797">
        <f t="shared" si="3"/>
        <v>1696</v>
      </c>
      <c r="L40" s="1182"/>
    </row>
    <row r="41" spans="1:12" s="714" customFormat="1" ht="24" customHeight="1">
      <c r="A41" s="1147"/>
      <c r="B41" s="1148" t="s">
        <v>1645</v>
      </c>
      <c r="C41" s="1123"/>
      <c r="D41" s="1124"/>
      <c r="E41" s="1149">
        <v>1</v>
      </c>
      <c r="F41" s="1150" t="s">
        <v>948</v>
      </c>
      <c r="G41" s="1179">
        <f>ROUND(SUM(H38:H40)*50%,)</f>
        <v>10293</v>
      </c>
      <c r="H41" s="796">
        <f t="shared" si="1"/>
        <v>10293</v>
      </c>
      <c r="I41" s="1181">
        <f t="shared" ref="I41:I43" si="4">ROUNDUP(G41*30%,0)</f>
        <v>3088</v>
      </c>
      <c r="J41" s="796">
        <f t="shared" si="2"/>
        <v>3088</v>
      </c>
      <c r="K41" s="797">
        <f t="shared" si="3"/>
        <v>13381</v>
      </c>
      <c r="L41" s="1182"/>
    </row>
    <row r="42" spans="1:12" s="714" customFormat="1" ht="24" customHeight="1">
      <c r="A42" s="1147"/>
      <c r="B42" s="1148" t="s">
        <v>1646</v>
      </c>
      <c r="C42" s="1123"/>
      <c r="D42" s="1124"/>
      <c r="E42" s="1149">
        <v>1</v>
      </c>
      <c r="F42" s="1150" t="s">
        <v>948</v>
      </c>
      <c r="G42" s="1179">
        <f>SUM(H38:H40)*20%</f>
        <v>4117</v>
      </c>
      <c r="H42" s="796">
        <f t="shared" si="1"/>
        <v>4117</v>
      </c>
      <c r="I42" s="1181">
        <f t="shared" si="4"/>
        <v>1236</v>
      </c>
      <c r="J42" s="796">
        <f t="shared" si="2"/>
        <v>1236</v>
      </c>
      <c r="K42" s="797">
        <f t="shared" si="3"/>
        <v>5353</v>
      </c>
      <c r="L42" s="1182"/>
    </row>
    <row r="43" spans="1:12" s="714" customFormat="1" ht="24" customHeight="1">
      <c r="A43" s="1147"/>
      <c r="B43" s="1148" t="s">
        <v>1647</v>
      </c>
      <c r="C43" s="1123"/>
      <c r="D43" s="1124"/>
      <c r="E43" s="1149">
        <v>1</v>
      </c>
      <c r="F43" s="1150" t="s">
        <v>948</v>
      </c>
      <c r="G43" s="1179">
        <f>ROUND(SUM(H38:H40)*10%,)</f>
        <v>2059</v>
      </c>
      <c r="H43" s="796">
        <f t="shared" si="1"/>
        <v>2059</v>
      </c>
      <c r="I43" s="1181">
        <f t="shared" si="4"/>
        <v>618</v>
      </c>
      <c r="J43" s="796">
        <f t="shared" si="2"/>
        <v>618</v>
      </c>
      <c r="K43" s="797">
        <f t="shared" si="3"/>
        <v>2677</v>
      </c>
      <c r="L43" s="1182"/>
    </row>
    <row r="44" spans="1:12" s="714" customFormat="1" ht="24" customHeight="1">
      <c r="A44" s="1147" t="s">
        <v>1648</v>
      </c>
      <c r="B44" s="1148" t="s">
        <v>1649</v>
      </c>
      <c r="C44" s="1123"/>
      <c r="D44" s="1124"/>
      <c r="E44" s="1149"/>
      <c r="F44" s="1150"/>
      <c r="G44" s="1179"/>
      <c r="H44" s="796"/>
      <c r="I44" s="1181"/>
      <c r="J44" s="796"/>
      <c r="K44" s="797"/>
      <c r="L44" s="1182"/>
    </row>
    <row r="45" spans="1:12" s="714" customFormat="1" ht="24" customHeight="1">
      <c r="A45" s="1147"/>
      <c r="B45" s="1148" t="s">
        <v>1715</v>
      </c>
      <c r="C45" s="1123"/>
      <c r="D45" s="1124"/>
      <c r="E45" s="1149">
        <v>18</v>
      </c>
      <c r="F45" s="1150" t="s">
        <v>240</v>
      </c>
      <c r="G45" s="1179">
        <v>880</v>
      </c>
      <c r="H45" s="796">
        <f t="shared" si="1"/>
        <v>15840</v>
      </c>
      <c r="I45" s="1181">
        <v>150</v>
      </c>
      <c r="J45" s="796">
        <f t="shared" ref="J45:J46" si="5">ROUND(E45*I45,)</f>
        <v>2700</v>
      </c>
      <c r="K45" s="797">
        <f t="shared" ref="K45:K46" si="6">H45+J45</f>
        <v>18540</v>
      </c>
      <c r="L45" s="2273" t="s">
        <v>2974</v>
      </c>
    </row>
    <row r="46" spans="1:12" s="714" customFormat="1" ht="24" customHeight="1">
      <c r="A46" s="1147"/>
      <c r="B46" s="1148" t="s">
        <v>1747</v>
      </c>
      <c r="C46" s="1123"/>
      <c r="D46" s="1124"/>
      <c r="E46" s="1149">
        <v>2</v>
      </c>
      <c r="F46" s="1150" t="s">
        <v>240</v>
      </c>
      <c r="G46" s="1179">
        <v>1984</v>
      </c>
      <c r="H46" s="796">
        <f t="shared" si="1"/>
        <v>3968</v>
      </c>
      <c r="I46" s="1181">
        <v>250</v>
      </c>
      <c r="J46" s="796">
        <f t="shared" si="5"/>
        <v>500</v>
      </c>
      <c r="K46" s="797">
        <f t="shared" si="6"/>
        <v>4468</v>
      </c>
      <c r="L46" s="2273" t="s">
        <v>2974</v>
      </c>
    </row>
    <row r="47" spans="1:12" s="714" customFormat="1" ht="24" customHeight="1">
      <c r="A47" s="1147" t="s">
        <v>1651</v>
      </c>
      <c r="B47" s="1148" t="s">
        <v>1748</v>
      </c>
      <c r="C47" s="1123"/>
      <c r="D47" s="1124"/>
      <c r="E47" s="1149"/>
      <c r="F47" s="1150"/>
      <c r="G47" s="1179"/>
      <c r="H47" s="796"/>
      <c r="I47" s="1181"/>
      <c r="J47" s="796"/>
      <c r="K47" s="797"/>
      <c r="L47" s="1182"/>
    </row>
    <row r="48" spans="1:12" s="714" customFormat="1" ht="24" customHeight="1">
      <c r="A48" s="1147"/>
      <c r="B48" s="1148" t="s">
        <v>1749</v>
      </c>
      <c r="C48" s="1123"/>
      <c r="D48" s="1124"/>
      <c r="E48" s="1149">
        <v>18</v>
      </c>
      <c r="F48" s="1150" t="s">
        <v>240</v>
      </c>
      <c r="G48" s="1188">
        <v>210</v>
      </c>
      <c r="H48" s="796">
        <f t="shared" ref="H48" si="7">ROUND(E48*G48,)</f>
        <v>3780</v>
      </c>
      <c r="I48" s="1181">
        <v>100</v>
      </c>
      <c r="J48" s="796">
        <f t="shared" ref="J48" si="8">ROUND(E48*I48,)</f>
        <v>1800</v>
      </c>
      <c r="K48" s="797">
        <f t="shared" ref="K48" si="9">H48+J48</f>
        <v>5580</v>
      </c>
      <c r="L48" s="1182"/>
    </row>
    <row r="49" spans="1:15" s="714" customFormat="1" ht="24" customHeight="1">
      <c r="A49" s="1147" t="s">
        <v>1756</v>
      </c>
      <c r="B49" s="1148" t="s">
        <v>1750</v>
      </c>
      <c r="C49" s="1123"/>
      <c r="D49" s="1124"/>
      <c r="E49" s="1149"/>
      <c r="F49" s="1150"/>
      <c r="G49" s="1179"/>
      <c r="H49" s="796"/>
      <c r="I49" s="1181"/>
      <c r="J49" s="796"/>
      <c r="K49" s="797"/>
      <c r="L49" s="1182"/>
    </row>
    <row r="50" spans="1:15" s="714" customFormat="1" ht="24" customHeight="1">
      <c r="A50" s="1147"/>
      <c r="B50" s="1148" t="s">
        <v>1749</v>
      </c>
      <c r="C50" s="1123"/>
      <c r="D50" s="1124"/>
      <c r="E50" s="1149">
        <v>18</v>
      </c>
      <c r="F50" s="1150" t="s">
        <v>240</v>
      </c>
      <c r="G50" s="1179">
        <v>120</v>
      </c>
      <c r="H50" s="796">
        <f t="shared" ref="H50" si="10">ROUND(E50*G50,)</f>
        <v>2160</v>
      </c>
      <c r="I50" s="1181">
        <v>50</v>
      </c>
      <c r="J50" s="796">
        <f t="shared" ref="J50" si="11">ROUND(I50*E50,)</f>
        <v>900</v>
      </c>
      <c r="K50" s="797">
        <f t="shared" ref="K50" si="12">H50+J50</f>
        <v>3060</v>
      </c>
      <c r="L50" s="1182"/>
    </row>
    <row r="51" spans="1:15" s="714" customFormat="1" ht="24" customHeight="1">
      <c r="A51" s="1147"/>
      <c r="B51" s="1148"/>
      <c r="C51" s="1123"/>
      <c r="D51" s="1213"/>
      <c r="E51" s="1149"/>
      <c r="F51" s="1124"/>
      <c r="G51" s="1179"/>
      <c r="H51" s="796"/>
      <c r="I51" s="1181"/>
      <c r="J51" s="796"/>
      <c r="K51" s="797"/>
      <c r="L51" s="825"/>
    </row>
    <row r="52" spans="1:15" s="714" customFormat="1" ht="24" customHeight="1">
      <c r="A52" s="1147"/>
      <c r="B52" s="1148"/>
      <c r="C52" s="1123"/>
      <c r="D52" s="1213"/>
      <c r="E52" s="1149"/>
      <c r="F52" s="1124"/>
      <c r="G52" s="1179"/>
      <c r="H52" s="796"/>
      <c r="I52" s="1181"/>
      <c r="J52" s="796"/>
      <c r="K52" s="797"/>
      <c r="L52" s="825"/>
    </row>
    <row r="53" spans="1:15" s="714" customFormat="1" ht="24" customHeight="1">
      <c r="A53" s="1147"/>
      <c r="B53" s="1148"/>
      <c r="C53" s="1123"/>
      <c r="D53" s="1213"/>
      <c r="E53" s="1149"/>
      <c r="F53" s="1124"/>
      <c r="G53" s="1179"/>
      <c r="H53" s="796"/>
      <c r="I53" s="1181"/>
      <c r="J53" s="796"/>
      <c r="K53" s="797"/>
      <c r="L53" s="825"/>
    </row>
    <row r="54" spans="1:15" s="1197" customFormat="1" ht="24" customHeight="1">
      <c r="A54" s="1147"/>
      <c r="B54" s="1148"/>
      <c r="C54" s="1123"/>
      <c r="D54" s="1213"/>
      <c r="E54" s="1149"/>
      <c r="F54" s="1124"/>
      <c r="G54" s="1179"/>
      <c r="H54" s="796"/>
      <c r="I54" s="1181"/>
      <c r="J54" s="796"/>
      <c r="K54" s="797"/>
      <c r="L54" s="825"/>
    </row>
    <row r="55" spans="1:15" s="714" customFormat="1" ht="24" customHeight="1">
      <c r="A55" s="1147"/>
      <c r="B55" s="1148"/>
      <c r="C55" s="1123"/>
      <c r="D55" s="1213"/>
      <c r="E55" s="1149"/>
      <c r="F55" s="1124"/>
      <c r="G55" s="1179"/>
      <c r="H55" s="796"/>
      <c r="I55" s="1181"/>
      <c r="J55" s="796"/>
      <c r="K55" s="797"/>
      <c r="L55" s="825"/>
    </row>
    <row r="56" spans="1:15" s="714" customFormat="1" ht="24" customHeight="1">
      <c r="A56" s="1147"/>
      <c r="B56" s="1148"/>
      <c r="C56" s="1123"/>
      <c r="D56" s="1213"/>
      <c r="E56" s="1149"/>
      <c r="F56" s="1124"/>
      <c r="G56" s="1179"/>
      <c r="H56" s="796"/>
      <c r="I56" s="1181"/>
      <c r="J56" s="796"/>
      <c r="K56" s="797"/>
      <c r="L56" s="825"/>
    </row>
    <row r="57" spans="1:15" s="714" customFormat="1" ht="24" customHeight="1">
      <c r="A57" s="1147"/>
      <c r="B57" s="1148"/>
      <c r="C57" s="1123"/>
      <c r="D57" s="1213"/>
      <c r="E57" s="1149"/>
      <c r="F57" s="1124"/>
      <c r="G57" s="1179"/>
      <c r="H57" s="796"/>
      <c r="I57" s="1181"/>
      <c r="J57" s="796"/>
      <c r="K57" s="797"/>
      <c r="L57" s="825"/>
    </row>
    <row r="58" spans="1:15" s="714" customFormat="1" ht="24" customHeight="1">
      <c r="A58" s="704"/>
      <c r="B58" s="1228"/>
      <c r="C58" s="792"/>
      <c r="D58" s="792"/>
      <c r="E58" s="1229"/>
      <c r="F58" s="919"/>
      <c r="G58" s="1179"/>
      <c r="H58" s="796"/>
      <c r="I58" s="1181"/>
      <c r="J58" s="796"/>
      <c r="K58" s="797"/>
      <c r="L58" s="825"/>
    </row>
    <row r="59" spans="1:15" s="714" customFormat="1" ht="24" customHeight="1">
      <c r="A59" s="1166"/>
      <c r="B59" s="2475" t="str">
        <f>"รวมราคารายการที่ "&amp;A36</f>
        <v>รวมราคารายการที่ 5.1</v>
      </c>
      <c r="C59" s="2476"/>
      <c r="D59" s="2477"/>
      <c r="E59" s="1167"/>
      <c r="F59" s="1167"/>
      <c r="G59" s="1168"/>
      <c r="H59" s="1169">
        <f>SUM(H37:H58)</f>
        <v>62802</v>
      </c>
      <c r="I59" s="1170"/>
      <c r="J59" s="1169">
        <f>SUM(J36:J58)</f>
        <v>27132</v>
      </c>
      <c r="K59" s="1171">
        <f>SUM(K36:K58)</f>
        <v>89934</v>
      </c>
      <c r="L59" s="1171"/>
    </row>
    <row r="60" spans="1:15" s="714" customFormat="1" ht="24" customHeight="1">
      <c r="A60" s="1195">
        <v>5.2</v>
      </c>
      <c r="B60" s="1196" t="s">
        <v>1691</v>
      </c>
      <c r="C60" s="1197"/>
      <c r="D60" s="1198"/>
      <c r="E60" s="1199"/>
      <c r="F60" s="1200"/>
      <c r="G60" s="1201"/>
      <c r="H60" s="1202"/>
      <c r="I60" s="1203"/>
      <c r="J60" s="1202"/>
      <c r="K60" s="1204"/>
      <c r="L60" s="1204"/>
    </row>
    <row r="61" spans="1:15" s="714" customFormat="1" ht="24" customHeight="1">
      <c r="A61" s="1159" t="s">
        <v>1666</v>
      </c>
      <c r="B61" s="1160" t="s">
        <v>1753</v>
      </c>
      <c r="C61" s="1161"/>
      <c r="D61" s="1162"/>
      <c r="E61" s="1183"/>
      <c r="F61" s="1163"/>
      <c r="G61" s="1205"/>
      <c r="H61" s="872"/>
      <c r="I61" s="873"/>
      <c r="J61" s="872"/>
      <c r="K61" s="938"/>
      <c r="L61" s="914"/>
    </row>
    <row r="62" spans="1:15" s="714" customFormat="1" ht="24" customHeight="1">
      <c r="A62" s="1147"/>
      <c r="B62" s="1148" t="s">
        <v>1190</v>
      </c>
      <c r="C62" s="1123"/>
      <c r="D62" s="1124"/>
      <c r="E62" s="1149">
        <v>20</v>
      </c>
      <c r="F62" s="1150" t="s">
        <v>438</v>
      </c>
      <c r="G62" s="1140">
        <v>385</v>
      </c>
      <c r="H62" s="796">
        <f>ROUND(E62*G62,)</f>
        <v>7700</v>
      </c>
      <c r="I62" s="797">
        <v>145</v>
      </c>
      <c r="J62" s="796">
        <f>ROUND(I62*E62,)</f>
        <v>2900</v>
      </c>
      <c r="K62" s="914">
        <f>H62+J62</f>
        <v>10600</v>
      </c>
      <c r="L62" s="2273" t="s">
        <v>2974</v>
      </c>
      <c r="N62" s="714">
        <v>2308.9499999999998</v>
      </c>
      <c r="O62" s="714">
        <f t="shared" ref="O62" si="13">ROUND(N62/6,)</f>
        <v>385</v>
      </c>
    </row>
    <row r="63" spans="1:15" s="714" customFormat="1" ht="24" customHeight="1">
      <c r="A63" s="1147"/>
      <c r="B63" s="1148" t="s">
        <v>1645</v>
      </c>
      <c r="C63" s="1123"/>
      <c r="D63" s="1124"/>
      <c r="E63" s="1149">
        <v>1</v>
      </c>
      <c r="F63" s="1150" t="s">
        <v>948</v>
      </c>
      <c r="G63" s="1140">
        <f>SUM(H62:H62)*40%</f>
        <v>3080</v>
      </c>
      <c r="H63" s="796">
        <f>ROUND(E63*G63,)</f>
        <v>3080</v>
      </c>
      <c r="I63" s="1181">
        <f t="shared" ref="I63:I65" si="14">ROUNDUP(G63*30%,0)</f>
        <v>924</v>
      </c>
      <c r="J63" s="796">
        <f>ROUND(I63*E63,)</f>
        <v>924</v>
      </c>
      <c r="K63" s="914">
        <f>H63+J63</f>
        <v>4004</v>
      </c>
      <c r="L63" s="914"/>
    </row>
    <row r="64" spans="1:15" s="714" customFormat="1" ht="24" customHeight="1">
      <c r="A64" s="1147"/>
      <c r="B64" s="1148" t="s">
        <v>1646</v>
      </c>
      <c r="C64" s="1123"/>
      <c r="D64" s="1124"/>
      <c r="E64" s="1149">
        <v>1</v>
      </c>
      <c r="F64" s="1150" t="s">
        <v>948</v>
      </c>
      <c r="G64" s="1140">
        <f>SUM(H62:H62)*20%</f>
        <v>1540</v>
      </c>
      <c r="H64" s="796">
        <f>ROUND(E64*G64,)</f>
        <v>1540</v>
      </c>
      <c r="I64" s="1181">
        <f t="shared" si="14"/>
        <v>462</v>
      </c>
      <c r="J64" s="796">
        <f>ROUND(I64*E64,)</f>
        <v>462</v>
      </c>
      <c r="K64" s="914">
        <f>H64+J64</f>
        <v>2002</v>
      </c>
      <c r="L64" s="914"/>
    </row>
    <row r="65" spans="1:12" s="714" customFormat="1" ht="24" customHeight="1">
      <c r="A65" s="1147"/>
      <c r="B65" s="1148" t="s">
        <v>1677</v>
      </c>
      <c r="C65" s="1123"/>
      <c r="D65" s="1124"/>
      <c r="E65" s="1149">
        <v>1</v>
      </c>
      <c r="F65" s="1150" t="s">
        <v>948</v>
      </c>
      <c r="G65" s="1140">
        <f>SUM(H62:H62)*10%</f>
        <v>770</v>
      </c>
      <c r="H65" s="796">
        <f>ROUND(E65*G65,)</f>
        <v>770</v>
      </c>
      <c r="I65" s="1181">
        <f t="shared" si="14"/>
        <v>231</v>
      </c>
      <c r="J65" s="796">
        <f>ROUND(I65*E65,)</f>
        <v>231</v>
      </c>
      <c r="K65" s="914">
        <f>H65+J65</f>
        <v>1001</v>
      </c>
      <c r="L65" s="914"/>
    </row>
    <row r="66" spans="1:12" s="714" customFormat="1" ht="24" customHeight="1">
      <c r="A66" s="1147" t="s">
        <v>1672</v>
      </c>
      <c r="B66" s="1148" t="s">
        <v>1757</v>
      </c>
      <c r="C66" s="1123"/>
      <c r="D66" s="1124"/>
      <c r="E66" s="1149"/>
      <c r="F66" s="1150"/>
      <c r="G66" s="1140"/>
      <c r="H66" s="796"/>
      <c r="I66" s="797"/>
      <c r="J66" s="796"/>
      <c r="K66" s="914"/>
      <c r="L66" s="1218"/>
    </row>
    <row r="67" spans="1:12" s="714" customFormat="1" ht="24" customHeight="1">
      <c r="A67" s="1147"/>
      <c r="B67" s="1148" t="s">
        <v>1758</v>
      </c>
      <c r="C67" s="1123"/>
      <c r="D67" s="1124"/>
      <c r="E67" s="1149">
        <v>8</v>
      </c>
      <c r="F67" s="1150" t="s">
        <v>240</v>
      </c>
      <c r="G67" s="1140">
        <f>ROUND(850*0.7,)</f>
        <v>595</v>
      </c>
      <c r="H67" s="796">
        <f>ROUND(E67*G67,)</f>
        <v>4760</v>
      </c>
      <c r="I67" s="797">
        <v>300</v>
      </c>
      <c r="J67" s="796">
        <f>ROUND(I67*E67,)</f>
        <v>2400</v>
      </c>
      <c r="K67" s="914">
        <f>H67+J67</f>
        <v>7160</v>
      </c>
      <c r="L67" s="1218"/>
    </row>
    <row r="68" spans="1:12" s="714" customFormat="1" ht="24" customHeight="1">
      <c r="A68" s="1159"/>
      <c r="B68" s="1223"/>
      <c r="C68" s="1161"/>
      <c r="D68" s="1190"/>
      <c r="E68" s="1183"/>
      <c r="F68" s="1162"/>
      <c r="G68" s="1205"/>
      <c r="H68" s="872"/>
      <c r="I68" s="873"/>
      <c r="J68" s="872"/>
      <c r="K68" s="938"/>
      <c r="L68" s="1220"/>
    </row>
    <row r="69" spans="1:12" s="714" customFormat="1" ht="24" customHeight="1">
      <c r="A69" s="1159"/>
      <c r="B69" s="1223"/>
      <c r="C69" s="1161"/>
      <c r="D69" s="1190"/>
      <c r="E69" s="1183"/>
      <c r="F69" s="1162"/>
      <c r="G69" s="1205"/>
      <c r="H69" s="872"/>
      <c r="I69" s="873"/>
      <c r="J69" s="872"/>
      <c r="K69" s="938"/>
      <c r="L69" s="1220"/>
    </row>
    <row r="70" spans="1:12" s="714" customFormat="1" ht="24" customHeight="1">
      <c r="A70" s="1159"/>
      <c r="B70" s="1223"/>
      <c r="C70" s="1161"/>
      <c r="D70" s="1190"/>
      <c r="E70" s="1183"/>
      <c r="F70" s="1162"/>
      <c r="G70" s="1205"/>
      <c r="H70" s="872"/>
      <c r="I70" s="873"/>
      <c r="J70" s="872"/>
      <c r="K70" s="938"/>
      <c r="L70" s="1220"/>
    </row>
    <row r="71" spans="1:12" s="714" customFormat="1" ht="24" customHeight="1">
      <c r="A71" s="1159"/>
      <c r="B71" s="1223"/>
      <c r="C71" s="1161"/>
      <c r="D71" s="1190"/>
      <c r="E71" s="1183"/>
      <c r="F71" s="1162"/>
      <c r="G71" s="1205"/>
      <c r="H71" s="872"/>
      <c r="I71" s="873"/>
      <c r="J71" s="872"/>
      <c r="K71" s="938"/>
      <c r="L71" s="1220"/>
    </row>
    <row r="72" spans="1:12" s="714" customFormat="1" ht="24" customHeight="1">
      <c r="A72" s="1159"/>
      <c r="B72" s="1223"/>
      <c r="C72" s="1161"/>
      <c r="D72" s="1190"/>
      <c r="E72" s="1183"/>
      <c r="F72" s="1162"/>
      <c r="G72" s="1205"/>
      <c r="H72" s="872"/>
      <c r="I72" s="873"/>
      <c r="J72" s="872"/>
      <c r="K72" s="938"/>
      <c r="L72" s="1220"/>
    </row>
    <row r="73" spans="1:12" s="714" customFormat="1" ht="24" customHeight="1">
      <c r="A73" s="1159"/>
      <c r="B73" s="1223"/>
      <c r="C73" s="1161"/>
      <c r="D73" s="1190"/>
      <c r="E73" s="1183"/>
      <c r="F73" s="1162"/>
      <c r="G73" s="1205"/>
      <c r="H73" s="872"/>
      <c r="I73" s="873"/>
      <c r="J73" s="872"/>
      <c r="K73" s="938"/>
      <c r="L73" s="1220"/>
    </row>
    <row r="74" spans="1:12" s="714" customFormat="1" ht="24" customHeight="1">
      <c r="A74" s="1159"/>
      <c r="B74" s="1223"/>
      <c r="C74" s="1161"/>
      <c r="D74" s="1190"/>
      <c r="E74" s="1183"/>
      <c r="F74" s="1162"/>
      <c r="G74" s="1205"/>
      <c r="H74" s="872"/>
      <c r="I74" s="873"/>
      <c r="J74" s="872"/>
      <c r="K74" s="938"/>
      <c r="L74" s="1220"/>
    </row>
    <row r="75" spans="1:12" s="714" customFormat="1" ht="24" customHeight="1">
      <c r="A75" s="1159"/>
      <c r="B75" s="1223"/>
      <c r="C75" s="1161"/>
      <c r="D75" s="1190"/>
      <c r="E75" s="1183"/>
      <c r="F75" s="1162"/>
      <c r="G75" s="1205"/>
      <c r="H75" s="872"/>
      <c r="I75" s="873"/>
      <c r="J75" s="872"/>
      <c r="K75" s="938"/>
      <c r="L75" s="1220"/>
    </row>
    <row r="76" spans="1:12" s="714" customFormat="1" ht="24" customHeight="1">
      <c r="A76" s="1159"/>
      <c r="B76" s="1223"/>
      <c r="C76" s="1161"/>
      <c r="D76" s="1190"/>
      <c r="E76" s="1183"/>
      <c r="F76" s="1162"/>
      <c r="G76" s="1205"/>
      <c r="H76" s="872"/>
      <c r="I76" s="873"/>
      <c r="J76" s="872"/>
      <c r="K76" s="938"/>
      <c r="L76" s="1220"/>
    </row>
    <row r="77" spans="1:12" s="714" customFormat="1" ht="24" customHeight="1">
      <c r="A77" s="1159"/>
      <c r="B77" s="1223"/>
      <c r="C77" s="1161"/>
      <c r="D77" s="1190"/>
      <c r="E77" s="1183"/>
      <c r="F77" s="1162"/>
      <c r="G77" s="1205"/>
      <c r="H77" s="872"/>
      <c r="I77" s="873"/>
      <c r="J77" s="872"/>
      <c r="K77" s="938"/>
      <c r="L77" s="1220"/>
    </row>
    <row r="78" spans="1:12" s="714" customFormat="1" ht="24" customHeight="1">
      <c r="A78" s="1159"/>
      <c r="B78" s="1223"/>
      <c r="C78" s="1161"/>
      <c r="D78" s="1190"/>
      <c r="E78" s="1183"/>
      <c r="F78" s="1162"/>
      <c r="G78" s="1205"/>
      <c r="H78" s="872"/>
      <c r="I78" s="873"/>
      <c r="J78" s="872"/>
      <c r="K78" s="938"/>
      <c r="L78" s="1220"/>
    </row>
    <row r="79" spans="1:12" s="714" customFormat="1" ht="24" customHeight="1">
      <c r="A79" s="1159"/>
      <c r="B79" s="1223"/>
      <c r="C79" s="1161"/>
      <c r="D79" s="1190"/>
      <c r="E79" s="1183"/>
      <c r="F79" s="1162"/>
      <c r="G79" s="1205"/>
      <c r="H79" s="872"/>
      <c r="I79" s="873"/>
      <c r="J79" s="872"/>
      <c r="K79" s="938"/>
      <c r="L79" s="1220"/>
    </row>
    <row r="80" spans="1:12" s="714" customFormat="1" ht="24" customHeight="1">
      <c r="A80" s="1159"/>
      <c r="B80" s="1223"/>
      <c r="C80" s="1161"/>
      <c r="D80" s="1190"/>
      <c r="E80" s="1183"/>
      <c r="F80" s="1162"/>
      <c r="G80" s="1205"/>
      <c r="H80" s="872"/>
      <c r="I80" s="873"/>
      <c r="J80" s="872"/>
      <c r="K80" s="938"/>
      <c r="L80" s="1220"/>
    </row>
    <row r="81" spans="1:12" s="714" customFormat="1" ht="24" customHeight="1">
      <c r="A81" s="1159"/>
      <c r="B81" s="1223"/>
      <c r="C81" s="1161"/>
      <c r="D81" s="1190"/>
      <c r="E81" s="1183"/>
      <c r="F81" s="1162"/>
      <c r="G81" s="1205"/>
      <c r="H81" s="872"/>
      <c r="I81" s="873"/>
      <c r="J81" s="872"/>
      <c r="K81" s="938"/>
      <c r="L81" s="1220"/>
    </row>
    <row r="82" spans="1:12" s="714" customFormat="1" ht="24" customHeight="1">
      <c r="A82" s="1159"/>
      <c r="B82" s="1223"/>
      <c r="C82" s="1161"/>
      <c r="D82" s="1190"/>
      <c r="E82" s="1183"/>
      <c r="F82" s="1162"/>
      <c r="G82" s="1205"/>
      <c r="H82" s="872"/>
      <c r="I82" s="873"/>
      <c r="J82" s="872"/>
      <c r="K82" s="938"/>
      <c r="L82" s="1220"/>
    </row>
    <row r="83" spans="1:12" s="714" customFormat="1" ht="24" customHeight="1">
      <c r="A83" s="898"/>
      <c r="B83" s="1191"/>
      <c r="C83" s="890"/>
      <c r="D83" s="890"/>
      <c r="E83" s="1224"/>
      <c r="F83" s="928"/>
      <c r="G83" s="1192"/>
      <c r="H83" s="1193"/>
      <c r="I83" s="1185"/>
      <c r="J83" s="1193"/>
      <c r="K83" s="1194"/>
      <c r="L83" s="1225"/>
    </row>
    <row r="84" spans="1:12" s="714" customFormat="1" ht="24" customHeight="1">
      <c r="A84" s="1166"/>
      <c r="B84" s="2475" t="str">
        <f>"รวมราคารายการที่ "&amp;A60</f>
        <v>รวมราคารายการที่ 5.2</v>
      </c>
      <c r="C84" s="2476"/>
      <c r="D84" s="2477"/>
      <c r="E84" s="1167"/>
      <c r="F84" s="1167"/>
      <c r="G84" s="1168"/>
      <c r="H84" s="1169">
        <f>SUM(H61:H83)</f>
        <v>17850</v>
      </c>
      <c r="I84" s="1170"/>
      <c r="J84" s="1169">
        <f>SUM(J61:J83)</f>
        <v>6917</v>
      </c>
      <c r="K84" s="1171">
        <f>SUM(K61:K83)</f>
        <v>24767</v>
      </c>
      <c r="L84" s="1226"/>
    </row>
  </sheetData>
  <mergeCells count="11">
    <mergeCell ref="B34:D34"/>
    <mergeCell ref="B59:D59"/>
    <mergeCell ref="B84:D84"/>
    <mergeCell ref="L7:L8"/>
    <mergeCell ref="A9:A10"/>
    <mergeCell ref="B9:D10"/>
    <mergeCell ref="E9:E10"/>
    <mergeCell ref="F9:F10"/>
    <mergeCell ref="G9:H9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B1-อาคารสนับนุน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91D88-63B2-461A-AC3C-3D408AA87171}">
  <sheetPr>
    <tabColor rgb="FF92D050"/>
  </sheetPr>
  <dimension ref="A1:O135"/>
  <sheetViews>
    <sheetView showGridLines="0" tabSelected="1" view="pageBreakPreview" topLeftCell="A122" zoomScale="70" zoomScaleNormal="6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29296875" style="1" customWidth="1"/>
    <col min="13" max="90" width="7.703125" style="1" customWidth="1"/>
    <col min="91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1635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 t="s">
        <v>29</v>
      </c>
      <c r="B11" s="1151" t="s">
        <v>1759</v>
      </c>
      <c r="C11" s="1123"/>
      <c r="D11" s="1124"/>
      <c r="E11" s="1149"/>
      <c r="F11" s="1150"/>
      <c r="G11" s="710"/>
      <c r="H11" s="711"/>
      <c r="I11" s="712"/>
      <c r="J11" s="711"/>
      <c r="K11" s="1129"/>
      <c r="L11" s="1024"/>
    </row>
    <row r="12" spans="1:12" s="714" customFormat="1" ht="24" customHeight="1">
      <c r="A12" s="1147" t="str">
        <f>A36</f>
        <v>5.1</v>
      </c>
      <c r="B12" s="1148" t="str">
        <f>B36</f>
        <v>ระบบน้ำประปา (Cold Water Supply System)</v>
      </c>
      <c r="C12" s="1123"/>
      <c r="D12" s="1124"/>
      <c r="E12" s="1149">
        <v>1</v>
      </c>
      <c r="F12" s="1150" t="s">
        <v>19</v>
      </c>
      <c r="G12" s="710"/>
      <c r="H12" s="711">
        <f>H64</f>
        <v>176015</v>
      </c>
      <c r="I12" s="712"/>
      <c r="J12" s="711">
        <f>J64</f>
        <v>53892</v>
      </c>
      <c r="K12" s="1129">
        <f t="shared" ref="K12:K15" si="0">SUM(H12:J12)</f>
        <v>229907</v>
      </c>
      <c r="L12" s="1024"/>
    </row>
    <row r="13" spans="1:12" s="714" customFormat="1" ht="24" customHeight="1">
      <c r="A13" s="1159" t="str">
        <f>A65</f>
        <v>5.2</v>
      </c>
      <c r="B13" s="1160" t="str">
        <f>B65</f>
        <v xml:space="preserve">ระบบระบายน้ำโสโครก น้ำทิ้ง ระบายอากาศ และ ท่อน้ำทิ้งจากห้องครัว </v>
      </c>
      <c r="C13" s="1161"/>
      <c r="D13" s="1162"/>
      <c r="E13" s="1183">
        <v>1</v>
      </c>
      <c r="F13" s="1163" t="s">
        <v>19</v>
      </c>
      <c r="G13" s="1164"/>
      <c r="H13" s="957">
        <f>H92</f>
        <v>579812</v>
      </c>
      <c r="I13" s="1165"/>
      <c r="J13" s="957">
        <f>J92</f>
        <v>191620</v>
      </c>
      <c r="K13" s="1129">
        <f t="shared" si="0"/>
        <v>771432</v>
      </c>
      <c r="L13" s="954"/>
    </row>
    <row r="14" spans="1:12" s="714" customFormat="1" ht="24" customHeight="1">
      <c r="A14" s="1159">
        <f>A93</f>
        <v>5.3</v>
      </c>
      <c r="B14" s="1160" t="str">
        <f>B93</f>
        <v>ระบบระบายน้ำฝนและระบายน้ำในอาคาร (Storm Drain &amp; Building Drain System)</v>
      </c>
      <c r="C14" s="1161"/>
      <c r="D14" s="1162"/>
      <c r="E14" s="1183">
        <v>1</v>
      </c>
      <c r="F14" s="1163" t="s">
        <v>19</v>
      </c>
      <c r="G14" s="1164"/>
      <c r="H14" s="957">
        <f>H116</f>
        <v>3855567</v>
      </c>
      <c r="I14" s="1165"/>
      <c r="J14" s="957">
        <f>J116</f>
        <v>1079272</v>
      </c>
      <c r="K14" s="1129">
        <f t="shared" si="0"/>
        <v>4934839</v>
      </c>
      <c r="L14" s="1024"/>
    </row>
    <row r="15" spans="1:12" s="714" customFormat="1" ht="24" customHeight="1">
      <c r="A15" s="1159" t="str">
        <f>A117</f>
        <v>5.4</v>
      </c>
      <c r="B15" s="1160" t="str">
        <f>B117</f>
        <v>ระบบน้ำชำระสุขภัณฑ์ (Flush Water System)</v>
      </c>
      <c r="C15" s="1161"/>
      <c r="D15" s="1162"/>
      <c r="E15" s="1183">
        <v>1</v>
      </c>
      <c r="F15" s="1163" t="s">
        <v>19</v>
      </c>
      <c r="G15" s="1164"/>
      <c r="H15" s="957">
        <f>H135</f>
        <v>101718</v>
      </c>
      <c r="I15" s="1165"/>
      <c r="J15" s="957">
        <f>J135</f>
        <v>29495</v>
      </c>
      <c r="K15" s="1129">
        <f t="shared" si="0"/>
        <v>131213</v>
      </c>
      <c r="L15" s="1024"/>
    </row>
    <row r="16" spans="1:12" s="714" customFormat="1" ht="24" customHeight="1">
      <c r="A16" s="1147"/>
      <c r="B16" s="1148"/>
      <c r="C16" s="1123"/>
      <c r="D16" s="1124"/>
      <c r="E16" s="1149"/>
      <c r="F16" s="1150"/>
      <c r="G16" s="710"/>
      <c r="H16" s="711"/>
      <c r="I16" s="712"/>
      <c r="J16" s="711"/>
      <c r="K16" s="1129"/>
      <c r="L16" s="1024"/>
    </row>
    <row r="17" spans="1:12" s="714" customFormat="1" ht="24" customHeight="1">
      <c r="A17" s="1147"/>
      <c r="B17" s="1148"/>
      <c r="C17" s="1123"/>
      <c r="D17" s="1124"/>
      <c r="E17" s="1149"/>
      <c r="F17" s="1150"/>
      <c r="G17" s="710"/>
      <c r="H17" s="711"/>
      <c r="I17" s="712"/>
      <c r="J17" s="711"/>
      <c r="K17" s="1129"/>
      <c r="L17" s="1024"/>
    </row>
    <row r="18" spans="1:12" s="714" customFormat="1" ht="24" customHeight="1">
      <c r="A18" s="1147"/>
      <c r="B18" s="1148"/>
      <c r="C18" s="1123"/>
      <c r="D18" s="1124"/>
      <c r="E18" s="1149"/>
      <c r="F18" s="1150"/>
      <c r="G18" s="710"/>
      <c r="H18" s="711"/>
      <c r="I18" s="712"/>
      <c r="J18" s="711"/>
      <c r="K18" s="1129"/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2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2" s="714" customFormat="1" ht="30" customHeight="1">
      <c r="A34" s="1166"/>
      <c r="B34" s="2475" t="str">
        <f>"รวมราคา"&amp;B11</f>
        <v>รวมราคางานระบบสุขาภิบาล ชั้น 1</v>
      </c>
      <c r="C34" s="2476"/>
      <c r="D34" s="2477"/>
      <c r="E34" s="1167"/>
      <c r="F34" s="1167"/>
      <c r="G34" s="1168"/>
      <c r="H34" s="1169">
        <f>SUM(H11:H33)</f>
        <v>4713112</v>
      </c>
      <c r="I34" s="1170"/>
      <c r="J34" s="1169">
        <f>SUM(J11:J33)</f>
        <v>1354279</v>
      </c>
      <c r="K34" s="1171">
        <f>SUM(K11:K33)</f>
        <v>6067391</v>
      </c>
      <c r="L34" s="1171"/>
    </row>
    <row r="35" spans="1:12" s="714" customFormat="1" ht="24" customHeight="1">
      <c r="A35" s="1011"/>
      <c r="B35" s="1173" t="s">
        <v>30</v>
      </c>
      <c r="C35" s="859"/>
      <c r="D35" s="859"/>
      <c r="E35" s="1216"/>
      <c r="F35" s="935"/>
      <c r="G35" s="1174"/>
      <c r="H35" s="1175"/>
      <c r="I35" s="1176"/>
      <c r="J35" s="1175"/>
      <c r="K35" s="1176"/>
      <c r="L35" s="825"/>
    </row>
    <row r="36" spans="1:12" s="714" customFormat="1" ht="24" customHeight="1">
      <c r="A36" s="1177" t="s">
        <v>1637</v>
      </c>
      <c r="B36" s="1151" t="s">
        <v>1638</v>
      </c>
      <c r="C36" s="1178"/>
      <c r="D36" s="1124"/>
      <c r="E36" s="1149"/>
      <c r="F36" s="1150"/>
      <c r="G36" s="1179"/>
      <c r="H36" s="1180"/>
      <c r="I36" s="1181"/>
      <c r="J36" s="1180"/>
      <c r="K36" s="1181"/>
      <c r="L36" s="1182"/>
    </row>
    <row r="37" spans="1:12" s="714" customFormat="1" ht="24" customHeight="1">
      <c r="A37" s="1147" t="s">
        <v>1639</v>
      </c>
      <c r="B37" s="1148" t="s">
        <v>1746</v>
      </c>
      <c r="C37" s="1123"/>
      <c r="D37" s="1124"/>
      <c r="E37" s="1149"/>
      <c r="F37" s="1150"/>
      <c r="G37" s="1179"/>
      <c r="H37" s="796"/>
      <c r="I37" s="1181"/>
      <c r="J37" s="796"/>
      <c r="K37" s="797"/>
      <c r="L37" s="1182"/>
    </row>
    <row r="38" spans="1:12" s="714" customFormat="1" ht="24" customHeight="1">
      <c r="A38" s="1147"/>
      <c r="B38" s="1148" t="s">
        <v>1715</v>
      </c>
      <c r="C38" s="1123"/>
      <c r="D38" s="1124"/>
      <c r="E38" s="1149">
        <v>608</v>
      </c>
      <c r="F38" s="1150" t="s">
        <v>438</v>
      </c>
      <c r="G38" s="1179">
        <v>35</v>
      </c>
      <c r="H38" s="796">
        <f t="shared" ref="H38:H49" si="1">ROUND(E38*G38,)</f>
        <v>21280</v>
      </c>
      <c r="I38" s="1181">
        <v>30</v>
      </c>
      <c r="J38" s="796">
        <f t="shared" ref="J38:J46" si="2">ROUND(E38*I38,)</f>
        <v>18240</v>
      </c>
      <c r="K38" s="797">
        <f t="shared" ref="K38:K46" si="3">H38+J38</f>
        <v>39520</v>
      </c>
      <c r="L38" s="1182"/>
    </row>
    <row r="39" spans="1:12" s="714" customFormat="1" ht="24" customHeight="1">
      <c r="A39" s="1147"/>
      <c r="B39" s="1148" t="s">
        <v>1650</v>
      </c>
      <c r="C39" s="1123"/>
      <c r="D39" s="1124"/>
      <c r="E39" s="1149">
        <v>31</v>
      </c>
      <c r="F39" s="1150" t="s">
        <v>438</v>
      </c>
      <c r="G39" s="1179">
        <v>46</v>
      </c>
      <c r="H39" s="796">
        <f t="shared" si="1"/>
        <v>1426</v>
      </c>
      <c r="I39" s="1181">
        <v>30</v>
      </c>
      <c r="J39" s="796">
        <f t="shared" si="2"/>
        <v>930</v>
      </c>
      <c r="K39" s="797">
        <f t="shared" si="3"/>
        <v>2356</v>
      </c>
      <c r="L39" s="1182"/>
    </row>
    <row r="40" spans="1:12" s="714" customFormat="1" ht="24" customHeight="1">
      <c r="A40" s="1147"/>
      <c r="B40" s="1148" t="s">
        <v>1760</v>
      </c>
      <c r="C40" s="1123"/>
      <c r="D40" s="1124"/>
      <c r="E40" s="1149">
        <v>37</v>
      </c>
      <c r="F40" s="1150" t="s">
        <v>438</v>
      </c>
      <c r="G40" s="1179">
        <v>113</v>
      </c>
      <c r="H40" s="796">
        <f t="shared" si="1"/>
        <v>4181</v>
      </c>
      <c r="I40" s="1181">
        <v>50</v>
      </c>
      <c r="J40" s="796">
        <f t="shared" si="2"/>
        <v>1850</v>
      </c>
      <c r="K40" s="797">
        <f t="shared" si="3"/>
        <v>6031</v>
      </c>
      <c r="L40" s="1182"/>
    </row>
    <row r="41" spans="1:12" s="714" customFormat="1" ht="24" customHeight="1">
      <c r="A41" s="1147"/>
      <c r="B41" s="1148" t="s">
        <v>1761</v>
      </c>
      <c r="C41" s="1123"/>
      <c r="D41" s="1124"/>
      <c r="E41" s="1149">
        <v>54</v>
      </c>
      <c r="F41" s="1150" t="s">
        <v>438</v>
      </c>
      <c r="G41" s="1179">
        <v>193</v>
      </c>
      <c r="H41" s="796">
        <f t="shared" si="1"/>
        <v>10422</v>
      </c>
      <c r="I41" s="1181">
        <v>75</v>
      </c>
      <c r="J41" s="796">
        <f t="shared" si="2"/>
        <v>4050</v>
      </c>
      <c r="K41" s="797">
        <f t="shared" si="3"/>
        <v>14472</v>
      </c>
      <c r="L41" s="1182"/>
    </row>
    <row r="42" spans="1:12" s="714" customFormat="1" ht="24" customHeight="1">
      <c r="A42" s="1147"/>
      <c r="B42" s="1148" t="s">
        <v>1661</v>
      </c>
      <c r="C42" s="1123"/>
      <c r="D42" s="1124"/>
      <c r="E42" s="1149">
        <v>24</v>
      </c>
      <c r="F42" s="1150" t="s">
        <v>438</v>
      </c>
      <c r="G42" s="1179">
        <v>287</v>
      </c>
      <c r="H42" s="796">
        <f t="shared" si="1"/>
        <v>6888</v>
      </c>
      <c r="I42" s="1181">
        <v>100</v>
      </c>
      <c r="J42" s="796">
        <f t="shared" si="2"/>
        <v>2400</v>
      </c>
      <c r="K42" s="797">
        <f t="shared" si="3"/>
        <v>9288</v>
      </c>
      <c r="L42" s="1182"/>
    </row>
    <row r="43" spans="1:12" s="714" customFormat="1" ht="24" customHeight="1">
      <c r="A43" s="1147"/>
      <c r="B43" s="1187" t="s">
        <v>1642</v>
      </c>
      <c r="C43" s="1123"/>
      <c r="D43" s="1124"/>
      <c r="E43" s="1149">
        <v>15</v>
      </c>
      <c r="F43" s="1150" t="s">
        <v>438</v>
      </c>
      <c r="G43" s="1179">
        <v>562</v>
      </c>
      <c r="H43" s="796">
        <f t="shared" si="1"/>
        <v>8430</v>
      </c>
      <c r="I43" s="1181">
        <v>120</v>
      </c>
      <c r="J43" s="796">
        <f t="shared" si="2"/>
        <v>1800</v>
      </c>
      <c r="K43" s="914">
        <f t="shared" si="3"/>
        <v>10230</v>
      </c>
      <c r="L43" s="1182"/>
    </row>
    <row r="44" spans="1:12" s="714" customFormat="1" ht="24" customHeight="1">
      <c r="A44" s="1147"/>
      <c r="B44" s="1148" t="s">
        <v>1645</v>
      </c>
      <c r="C44" s="1123"/>
      <c r="D44" s="1124"/>
      <c r="E44" s="1149">
        <v>1</v>
      </c>
      <c r="F44" s="1150" t="s">
        <v>948</v>
      </c>
      <c r="G44" s="1179">
        <f>ROUND(SUM(H38:H43)*50%,)</f>
        <v>26314</v>
      </c>
      <c r="H44" s="796">
        <f t="shared" si="1"/>
        <v>26314</v>
      </c>
      <c r="I44" s="1181">
        <f t="shared" ref="I44:I46" si="4">ROUNDUP(G44*30%,0)</f>
        <v>7895</v>
      </c>
      <c r="J44" s="796">
        <f t="shared" si="2"/>
        <v>7895</v>
      </c>
      <c r="K44" s="797">
        <f t="shared" si="3"/>
        <v>34209</v>
      </c>
      <c r="L44" s="1182"/>
    </row>
    <row r="45" spans="1:12" s="714" customFormat="1" ht="24" customHeight="1">
      <c r="A45" s="1147"/>
      <c r="B45" s="1148" t="s">
        <v>1646</v>
      </c>
      <c r="C45" s="1123"/>
      <c r="D45" s="1124"/>
      <c r="E45" s="1149">
        <v>1</v>
      </c>
      <c r="F45" s="1150" t="s">
        <v>948</v>
      </c>
      <c r="G45" s="1179">
        <f>ROUND(SUM(H38:H43)*20%,)</f>
        <v>10525</v>
      </c>
      <c r="H45" s="796">
        <f t="shared" si="1"/>
        <v>10525</v>
      </c>
      <c r="I45" s="1181">
        <f t="shared" si="4"/>
        <v>3158</v>
      </c>
      <c r="J45" s="796">
        <f t="shared" si="2"/>
        <v>3158</v>
      </c>
      <c r="K45" s="797">
        <f t="shared" si="3"/>
        <v>13683</v>
      </c>
      <c r="L45" s="1182"/>
    </row>
    <row r="46" spans="1:12" s="714" customFormat="1" ht="24" customHeight="1">
      <c r="A46" s="1147"/>
      <c r="B46" s="1148" t="s">
        <v>1647</v>
      </c>
      <c r="C46" s="1123"/>
      <c r="D46" s="1124"/>
      <c r="E46" s="1149">
        <v>1</v>
      </c>
      <c r="F46" s="1150" t="s">
        <v>948</v>
      </c>
      <c r="G46" s="1179">
        <f>ROUND(SUM(H38:H43)*10%,)</f>
        <v>5263</v>
      </c>
      <c r="H46" s="796">
        <f t="shared" si="1"/>
        <v>5263</v>
      </c>
      <c r="I46" s="1181">
        <f t="shared" si="4"/>
        <v>1579</v>
      </c>
      <c r="J46" s="796">
        <f t="shared" si="2"/>
        <v>1579</v>
      </c>
      <c r="K46" s="797">
        <f t="shared" si="3"/>
        <v>6842</v>
      </c>
      <c r="L46" s="1182"/>
    </row>
    <row r="47" spans="1:12" s="714" customFormat="1" ht="24" customHeight="1">
      <c r="A47" s="1147" t="s">
        <v>1648</v>
      </c>
      <c r="B47" s="1148" t="s">
        <v>1649</v>
      </c>
      <c r="C47" s="1123"/>
      <c r="D47" s="1124"/>
      <c r="E47" s="1149"/>
      <c r="F47" s="1150"/>
      <c r="G47" s="1179"/>
      <c r="H47" s="796"/>
      <c r="I47" s="1181"/>
      <c r="J47" s="796"/>
      <c r="K47" s="797"/>
      <c r="L47" s="1182"/>
    </row>
    <row r="48" spans="1:12" s="714" customFormat="1" ht="24" customHeight="1">
      <c r="A48" s="1147"/>
      <c r="B48" s="1148" t="s">
        <v>1715</v>
      </c>
      <c r="C48" s="1123"/>
      <c r="D48" s="1124"/>
      <c r="E48" s="1149">
        <v>7</v>
      </c>
      <c r="F48" s="1150" t="s">
        <v>240</v>
      </c>
      <c r="G48" s="1179">
        <v>880</v>
      </c>
      <c r="H48" s="796">
        <f t="shared" si="1"/>
        <v>6160</v>
      </c>
      <c r="I48" s="1181">
        <v>150</v>
      </c>
      <c r="J48" s="796">
        <f t="shared" ref="J48:J49" si="5">ROUND(E48*I48,)</f>
        <v>1050</v>
      </c>
      <c r="K48" s="797">
        <f t="shared" ref="K48:K49" si="6">H48+J48</f>
        <v>7210</v>
      </c>
      <c r="L48" s="2273" t="s">
        <v>2974</v>
      </c>
    </row>
    <row r="49" spans="1:12" s="714" customFormat="1" ht="24" customHeight="1">
      <c r="A49" s="1147"/>
      <c r="B49" s="1148" t="s">
        <v>1650</v>
      </c>
      <c r="C49" s="1123"/>
      <c r="D49" s="1124"/>
      <c r="E49" s="1149">
        <v>10</v>
      </c>
      <c r="F49" s="1150" t="s">
        <v>240</v>
      </c>
      <c r="G49" s="1179">
        <v>1316</v>
      </c>
      <c r="H49" s="796">
        <f t="shared" si="1"/>
        <v>13160</v>
      </c>
      <c r="I49" s="1181">
        <v>200</v>
      </c>
      <c r="J49" s="796">
        <f t="shared" si="5"/>
        <v>2000</v>
      </c>
      <c r="K49" s="797">
        <f t="shared" si="6"/>
        <v>15160</v>
      </c>
      <c r="L49" s="2273" t="s">
        <v>2974</v>
      </c>
    </row>
    <row r="50" spans="1:12" s="714" customFormat="1" ht="24" customHeight="1">
      <c r="A50" s="1147"/>
      <c r="B50" s="1148" t="s">
        <v>1761</v>
      </c>
      <c r="C50" s="1123"/>
      <c r="D50" s="1124"/>
      <c r="E50" s="1149">
        <v>3</v>
      </c>
      <c r="F50" s="1150" t="s">
        <v>240</v>
      </c>
      <c r="G50" s="1179">
        <v>4040</v>
      </c>
      <c r="H50" s="796">
        <f>ROUND(E50*G50,)</f>
        <v>12120</v>
      </c>
      <c r="I50" s="1181">
        <v>400</v>
      </c>
      <c r="J50" s="796">
        <f>ROUND(E50*I50,)</f>
        <v>1200</v>
      </c>
      <c r="K50" s="914">
        <f>H50+J50</f>
        <v>13320</v>
      </c>
      <c r="L50" s="2273" t="s">
        <v>2974</v>
      </c>
    </row>
    <row r="51" spans="1:12" s="714" customFormat="1" ht="24" customHeight="1">
      <c r="A51" s="1147" t="s">
        <v>1651</v>
      </c>
      <c r="B51" s="1148" t="s">
        <v>1748</v>
      </c>
      <c r="C51" s="1123"/>
      <c r="D51" s="1124"/>
      <c r="E51" s="1149"/>
      <c r="F51" s="1150"/>
      <c r="G51" s="1179"/>
      <c r="H51" s="796"/>
      <c r="I51" s="1181"/>
      <c r="J51" s="796"/>
      <c r="K51" s="797"/>
      <c r="L51" s="1182"/>
    </row>
    <row r="52" spans="1:12" s="714" customFormat="1" ht="24" customHeight="1">
      <c r="A52" s="1147"/>
      <c r="B52" s="1148" t="s">
        <v>1749</v>
      </c>
      <c r="C52" s="1123"/>
      <c r="D52" s="1124"/>
      <c r="E52" s="1149">
        <v>8</v>
      </c>
      <c r="F52" s="1150" t="s">
        <v>240</v>
      </c>
      <c r="G52" s="1188">
        <v>210</v>
      </c>
      <c r="H52" s="796">
        <f t="shared" ref="H52" si="7">ROUND(E52*G52,)</f>
        <v>1680</v>
      </c>
      <c r="I52" s="1181">
        <v>100</v>
      </c>
      <c r="J52" s="796">
        <f t="shared" ref="J52" si="8">ROUND(E52*I52,)</f>
        <v>800</v>
      </c>
      <c r="K52" s="797">
        <f t="shared" ref="K52" si="9">H52+J52</f>
        <v>2480</v>
      </c>
      <c r="L52" s="1182"/>
    </row>
    <row r="53" spans="1:12" s="714" customFormat="1" ht="24" customHeight="1">
      <c r="A53" s="1147" t="s">
        <v>1653</v>
      </c>
      <c r="B53" s="1148" t="s">
        <v>1652</v>
      </c>
      <c r="C53" s="1123"/>
      <c r="D53" s="1124"/>
      <c r="E53" s="1149"/>
      <c r="F53" s="1150"/>
      <c r="G53" s="1179"/>
      <c r="H53" s="796"/>
      <c r="I53" s="1181"/>
      <c r="J53" s="796"/>
      <c r="K53" s="797"/>
      <c r="L53" s="1182"/>
    </row>
    <row r="54" spans="1:12" s="714" customFormat="1" ht="24" customHeight="1">
      <c r="A54" s="1147"/>
      <c r="B54" s="1148" t="s">
        <v>1661</v>
      </c>
      <c r="C54" s="1123"/>
      <c r="D54" s="1124"/>
      <c r="E54" s="1149">
        <v>2</v>
      </c>
      <c r="F54" s="1150" t="s">
        <v>240</v>
      </c>
      <c r="G54" s="1179">
        <v>1742</v>
      </c>
      <c r="H54" s="796">
        <f t="shared" ref="H54:H55" si="10">ROUND(E54*G54,)</f>
        <v>3484</v>
      </c>
      <c r="I54" s="1181">
        <v>500</v>
      </c>
      <c r="J54" s="796">
        <f t="shared" ref="J54:J55" si="11">ROUND(E54*I54,)</f>
        <v>1000</v>
      </c>
      <c r="K54" s="797">
        <f t="shared" ref="K54:K55" si="12">H54+J54</f>
        <v>4484</v>
      </c>
      <c r="L54" s="1182"/>
    </row>
    <row r="55" spans="1:12" s="714" customFormat="1" ht="24" customHeight="1">
      <c r="A55" s="1147"/>
      <c r="B55" s="1148" t="s">
        <v>1642</v>
      </c>
      <c r="C55" s="1123"/>
      <c r="D55" s="1124"/>
      <c r="E55" s="1149">
        <v>5</v>
      </c>
      <c r="F55" s="1150" t="s">
        <v>240</v>
      </c>
      <c r="G55" s="1179">
        <v>1899</v>
      </c>
      <c r="H55" s="796">
        <f t="shared" si="10"/>
        <v>9495</v>
      </c>
      <c r="I55" s="1181">
        <v>600</v>
      </c>
      <c r="J55" s="796">
        <f t="shared" si="11"/>
        <v>3000</v>
      </c>
      <c r="K55" s="797">
        <f t="shared" si="12"/>
        <v>12495</v>
      </c>
      <c r="L55" s="1182"/>
    </row>
    <row r="56" spans="1:12" s="714" customFormat="1" ht="24" customHeight="1">
      <c r="A56" s="1147" t="s">
        <v>1655</v>
      </c>
      <c r="B56" s="1148" t="s">
        <v>1762</v>
      </c>
      <c r="C56" s="1123"/>
      <c r="D56" s="1124"/>
      <c r="E56" s="1149"/>
      <c r="F56" s="1150"/>
      <c r="G56" s="1179"/>
      <c r="H56" s="796"/>
      <c r="I56" s="1181"/>
      <c r="J56" s="796"/>
      <c r="K56" s="797"/>
      <c r="L56" s="1182"/>
    </row>
    <row r="57" spans="1:12" s="714" customFormat="1" ht="24" customHeight="1">
      <c r="A57" s="1147"/>
      <c r="B57" s="1148" t="s">
        <v>1763</v>
      </c>
      <c r="C57" s="1123"/>
      <c r="D57" s="1124"/>
      <c r="E57" s="1149">
        <v>2</v>
      </c>
      <c r="F57" s="1150" t="s">
        <v>240</v>
      </c>
      <c r="G57" s="1179">
        <v>1095</v>
      </c>
      <c r="H57" s="796">
        <f t="shared" ref="H57:H58" si="13">ROUND(E57*G57,)</f>
        <v>2190</v>
      </c>
      <c r="I57" s="1181">
        <v>110</v>
      </c>
      <c r="J57" s="796">
        <f t="shared" ref="J57:J58" si="14">ROUND(I57*E57,)</f>
        <v>220</v>
      </c>
      <c r="K57" s="797">
        <f t="shared" ref="K57:K58" si="15">H57+J57</f>
        <v>2410</v>
      </c>
      <c r="L57" s="1182"/>
    </row>
    <row r="58" spans="1:12" s="714" customFormat="1" ht="24" customHeight="1">
      <c r="A58" s="1147"/>
      <c r="B58" s="1148" t="s">
        <v>1764</v>
      </c>
      <c r="C58" s="1123"/>
      <c r="D58" s="1124"/>
      <c r="E58" s="1149">
        <v>4</v>
      </c>
      <c r="F58" s="1150" t="s">
        <v>240</v>
      </c>
      <c r="G58" s="1179">
        <v>5603</v>
      </c>
      <c r="H58" s="796">
        <f t="shared" si="13"/>
        <v>22412</v>
      </c>
      <c r="I58" s="1181">
        <v>330</v>
      </c>
      <c r="J58" s="796">
        <f t="shared" si="14"/>
        <v>1320</v>
      </c>
      <c r="K58" s="797">
        <f t="shared" si="15"/>
        <v>23732</v>
      </c>
      <c r="L58" s="1182"/>
    </row>
    <row r="59" spans="1:12" s="714" customFormat="1" ht="24" customHeight="1">
      <c r="A59" s="1147"/>
      <c r="B59" s="1148"/>
      <c r="C59" s="1123"/>
      <c r="D59" s="1124"/>
      <c r="E59" s="1149"/>
      <c r="F59" s="1150"/>
      <c r="G59" s="1179"/>
      <c r="H59" s="796"/>
      <c r="I59" s="1181"/>
      <c r="J59" s="796"/>
      <c r="K59" s="797"/>
      <c r="L59" s="1182"/>
    </row>
    <row r="60" spans="1:12" s="714" customFormat="1" ht="24" customHeight="1">
      <c r="A60" s="1147" t="s">
        <v>1657</v>
      </c>
      <c r="B60" s="1148" t="s">
        <v>1750</v>
      </c>
      <c r="C60" s="1123"/>
      <c r="D60" s="1124"/>
      <c r="E60" s="1149"/>
      <c r="F60" s="1150"/>
      <c r="G60" s="1179"/>
      <c r="H60" s="796"/>
      <c r="I60" s="1181"/>
      <c r="J60" s="796"/>
      <c r="K60" s="797"/>
      <c r="L60" s="1182"/>
    </row>
    <row r="61" spans="1:12" s="714" customFormat="1" ht="24" customHeight="1">
      <c r="A61" s="1147"/>
      <c r="B61" s="1148" t="s">
        <v>1749</v>
      </c>
      <c r="C61" s="1123"/>
      <c r="D61" s="1124"/>
      <c r="E61" s="1149">
        <v>8</v>
      </c>
      <c r="F61" s="1150" t="s">
        <v>240</v>
      </c>
      <c r="G61" s="1179">
        <v>120</v>
      </c>
      <c r="H61" s="796">
        <f t="shared" ref="H61" si="16">ROUND(E61*G61,)</f>
        <v>960</v>
      </c>
      <c r="I61" s="1181">
        <v>50</v>
      </c>
      <c r="J61" s="796">
        <f t="shared" ref="J61" si="17">ROUND(I61*E61,)</f>
        <v>400</v>
      </c>
      <c r="K61" s="797">
        <f t="shared" ref="K61" si="18">H61+J61</f>
        <v>1360</v>
      </c>
      <c r="L61" s="1182"/>
    </row>
    <row r="62" spans="1:12" s="714" customFormat="1" ht="24" customHeight="1">
      <c r="A62" s="1147" t="s">
        <v>1659</v>
      </c>
      <c r="B62" s="1148" t="s">
        <v>1765</v>
      </c>
      <c r="C62" s="1123"/>
      <c r="D62" s="1124"/>
      <c r="E62" s="1149"/>
      <c r="F62" s="1150"/>
      <c r="G62" s="1179"/>
      <c r="H62" s="796"/>
      <c r="I62" s="1181"/>
      <c r="J62" s="796"/>
      <c r="K62" s="797"/>
      <c r="L62" s="825"/>
    </row>
    <row r="63" spans="1:12" s="714" customFormat="1" ht="24" customHeight="1">
      <c r="A63" s="1147"/>
      <c r="B63" s="1148" t="s">
        <v>1650</v>
      </c>
      <c r="C63" s="1123"/>
      <c r="D63" s="1124"/>
      <c r="E63" s="1149">
        <v>5</v>
      </c>
      <c r="F63" s="1150" t="s">
        <v>240</v>
      </c>
      <c r="G63" s="1179">
        <v>1925</v>
      </c>
      <c r="H63" s="796">
        <f t="shared" ref="H63" si="19">ROUND(E63*G63,)</f>
        <v>9625</v>
      </c>
      <c r="I63" s="1181">
        <v>200</v>
      </c>
      <c r="J63" s="796">
        <f t="shared" ref="J63" si="20">ROUND(I63*E63,)</f>
        <v>1000</v>
      </c>
      <c r="K63" s="797">
        <f t="shared" ref="K63" si="21">H63+J63</f>
        <v>10625</v>
      </c>
      <c r="L63" s="2273" t="s">
        <v>2974</v>
      </c>
    </row>
    <row r="64" spans="1:12" s="714" customFormat="1" ht="24" customHeight="1">
      <c r="A64" s="1166"/>
      <c r="B64" s="2475" t="str">
        <f>"รวมราคารายการที่ "&amp;A36</f>
        <v>รวมราคารายการที่ 5.1</v>
      </c>
      <c r="C64" s="2476"/>
      <c r="D64" s="2477"/>
      <c r="E64" s="1167"/>
      <c r="F64" s="1167"/>
      <c r="G64" s="1168"/>
      <c r="H64" s="1169">
        <f>SUM(H37:H63)</f>
        <v>176015</v>
      </c>
      <c r="I64" s="1170"/>
      <c r="J64" s="1169">
        <f>SUM(J36:J63)</f>
        <v>53892</v>
      </c>
      <c r="K64" s="1171">
        <f>SUM(K36:K63)</f>
        <v>229907</v>
      </c>
      <c r="L64" s="1171"/>
    </row>
    <row r="65" spans="1:15" s="714" customFormat="1" ht="24" customHeight="1">
      <c r="A65" s="1195" t="s">
        <v>1664</v>
      </c>
      <c r="B65" s="1196" t="s">
        <v>1665</v>
      </c>
      <c r="C65" s="1197"/>
      <c r="D65" s="1198"/>
      <c r="E65" s="1199"/>
      <c r="F65" s="1200"/>
      <c r="G65" s="1201"/>
      <c r="H65" s="1202"/>
      <c r="I65" s="1203"/>
      <c r="J65" s="1202"/>
      <c r="K65" s="1204"/>
      <c r="L65" s="1204"/>
    </row>
    <row r="66" spans="1:15" s="714" customFormat="1" ht="24" customHeight="1">
      <c r="A66" s="1147" t="s">
        <v>1666</v>
      </c>
      <c r="B66" s="1148" t="s">
        <v>1766</v>
      </c>
      <c r="C66" s="1123"/>
      <c r="D66" s="1124"/>
      <c r="E66" s="1149"/>
      <c r="F66" s="1150"/>
      <c r="G66" s="1140"/>
      <c r="H66" s="796"/>
      <c r="I66" s="797"/>
      <c r="J66" s="796"/>
      <c r="K66" s="914"/>
      <c r="L66" s="914"/>
    </row>
    <row r="67" spans="1:15" s="714" customFormat="1" ht="24" customHeight="1">
      <c r="A67" s="1147"/>
      <c r="B67" s="1148" t="s">
        <v>1188</v>
      </c>
      <c r="C67" s="1123"/>
      <c r="D67" s="1124"/>
      <c r="E67" s="1149">
        <v>260</v>
      </c>
      <c r="F67" s="1150" t="s">
        <v>438</v>
      </c>
      <c r="G67" s="1140">
        <v>127</v>
      </c>
      <c r="H67" s="796">
        <f t="shared" ref="H67:H84" si="22">ROUND(E67*G67,)</f>
        <v>33020</v>
      </c>
      <c r="I67" s="797">
        <v>40</v>
      </c>
      <c r="J67" s="796">
        <f t="shared" ref="J67:J74" si="23">ROUND(I67*E67,)</f>
        <v>10400</v>
      </c>
      <c r="K67" s="914">
        <f t="shared" ref="K67:K74" si="24">H67+J67</f>
        <v>43420</v>
      </c>
      <c r="L67" s="914"/>
    </row>
    <row r="68" spans="1:15" s="714" customFormat="1" ht="24" customHeight="1">
      <c r="A68" s="1147"/>
      <c r="B68" s="1148" t="s">
        <v>1190</v>
      </c>
      <c r="C68" s="1123"/>
      <c r="D68" s="1124"/>
      <c r="E68" s="1149">
        <v>37</v>
      </c>
      <c r="F68" s="1150" t="s">
        <v>438</v>
      </c>
      <c r="G68" s="1140">
        <v>258</v>
      </c>
      <c r="H68" s="796">
        <f t="shared" si="22"/>
        <v>9546</v>
      </c>
      <c r="I68" s="797">
        <v>75</v>
      </c>
      <c r="J68" s="796">
        <f t="shared" si="23"/>
        <v>2775</v>
      </c>
      <c r="K68" s="914">
        <f t="shared" si="24"/>
        <v>12321</v>
      </c>
      <c r="L68" s="914"/>
    </row>
    <row r="69" spans="1:15" s="714" customFormat="1" ht="24" customHeight="1">
      <c r="A69" s="1147"/>
      <c r="B69" s="1148" t="s">
        <v>1674</v>
      </c>
      <c r="C69" s="1123"/>
      <c r="D69" s="1124"/>
      <c r="E69" s="1149">
        <v>221</v>
      </c>
      <c r="F69" s="1150" t="s">
        <v>438</v>
      </c>
      <c r="G69" s="1140">
        <v>395</v>
      </c>
      <c r="H69" s="796">
        <f t="shared" si="22"/>
        <v>87295</v>
      </c>
      <c r="I69" s="797">
        <v>120</v>
      </c>
      <c r="J69" s="796">
        <f t="shared" si="23"/>
        <v>26520</v>
      </c>
      <c r="K69" s="914">
        <f t="shared" si="24"/>
        <v>113815</v>
      </c>
      <c r="L69" s="914"/>
    </row>
    <row r="70" spans="1:15" s="714" customFormat="1" ht="24" customHeight="1">
      <c r="A70" s="1147"/>
      <c r="B70" s="1148" t="s">
        <v>1675</v>
      </c>
      <c r="C70" s="1123"/>
      <c r="D70" s="1124"/>
      <c r="E70" s="1149">
        <v>208</v>
      </c>
      <c r="F70" s="1150" t="s">
        <v>438</v>
      </c>
      <c r="G70" s="1140">
        <v>789</v>
      </c>
      <c r="H70" s="796">
        <f t="shared" si="22"/>
        <v>164112</v>
      </c>
      <c r="I70" s="797">
        <v>250</v>
      </c>
      <c r="J70" s="796">
        <f t="shared" si="23"/>
        <v>52000</v>
      </c>
      <c r="K70" s="914">
        <f t="shared" si="24"/>
        <v>216112</v>
      </c>
      <c r="L70" s="914"/>
    </row>
    <row r="71" spans="1:15" s="714" customFormat="1" ht="24" customHeight="1">
      <c r="A71" s="1147"/>
      <c r="B71" s="1148" t="s">
        <v>1676</v>
      </c>
      <c r="C71" s="1123"/>
      <c r="D71" s="1124"/>
      <c r="E71" s="1149">
        <v>10</v>
      </c>
      <c r="F71" s="1150" t="s">
        <v>438</v>
      </c>
      <c r="G71" s="1140">
        <v>1385</v>
      </c>
      <c r="H71" s="796">
        <f t="shared" si="22"/>
        <v>13850</v>
      </c>
      <c r="I71" s="797">
        <v>350</v>
      </c>
      <c r="J71" s="796">
        <f t="shared" si="23"/>
        <v>3500</v>
      </c>
      <c r="K71" s="914">
        <f t="shared" si="24"/>
        <v>17350</v>
      </c>
      <c r="L71" s="914"/>
    </row>
    <row r="72" spans="1:15" s="714" customFormat="1" ht="24" customHeight="1">
      <c r="A72" s="1147"/>
      <c r="B72" s="1148" t="s">
        <v>1645</v>
      </c>
      <c r="C72" s="1123"/>
      <c r="D72" s="1124"/>
      <c r="E72" s="1149">
        <v>1</v>
      </c>
      <c r="F72" s="1150" t="s">
        <v>948</v>
      </c>
      <c r="G72" s="1140">
        <f>ROUND(SUM(H67:H71)*40%,)</f>
        <v>123129</v>
      </c>
      <c r="H72" s="796">
        <f t="shared" si="22"/>
        <v>123129</v>
      </c>
      <c r="I72" s="1181">
        <f t="shared" ref="I72:I74" si="25">ROUNDUP(G72*30%,0)</f>
        <v>36939</v>
      </c>
      <c r="J72" s="796">
        <f t="shared" si="23"/>
        <v>36939</v>
      </c>
      <c r="K72" s="914">
        <f t="shared" si="24"/>
        <v>160068</v>
      </c>
      <c r="L72" s="914"/>
    </row>
    <row r="73" spans="1:15" s="714" customFormat="1" ht="24" customHeight="1">
      <c r="A73" s="1147"/>
      <c r="B73" s="1148" t="s">
        <v>1646</v>
      </c>
      <c r="C73" s="1123"/>
      <c r="D73" s="1124"/>
      <c r="E73" s="1149">
        <v>1</v>
      </c>
      <c r="F73" s="1150" t="s">
        <v>948</v>
      </c>
      <c r="G73" s="1140">
        <f>ROUND(SUM(H67:H71)*20%,)</f>
        <v>61565</v>
      </c>
      <c r="H73" s="796">
        <f t="shared" si="22"/>
        <v>61565</v>
      </c>
      <c r="I73" s="1181">
        <f t="shared" si="25"/>
        <v>18470</v>
      </c>
      <c r="J73" s="796">
        <f t="shared" si="23"/>
        <v>18470</v>
      </c>
      <c r="K73" s="914">
        <f t="shared" si="24"/>
        <v>80035</v>
      </c>
      <c r="L73" s="914"/>
    </row>
    <row r="74" spans="1:15" s="714" customFormat="1" ht="24" customHeight="1">
      <c r="A74" s="1147"/>
      <c r="B74" s="1148" t="s">
        <v>1677</v>
      </c>
      <c r="C74" s="1123"/>
      <c r="D74" s="1124"/>
      <c r="E74" s="1149">
        <v>1</v>
      </c>
      <c r="F74" s="1150" t="s">
        <v>948</v>
      </c>
      <c r="G74" s="1140">
        <f>ROUND(SUM(H67:H71)*10%,)</f>
        <v>30782</v>
      </c>
      <c r="H74" s="796">
        <f t="shared" si="22"/>
        <v>30782</v>
      </c>
      <c r="I74" s="1181">
        <f t="shared" si="25"/>
        <v>9235</v>
      </c>
      <c r="J74" s="796">
        <f t="shared" si="23"/>
        <v>9235</v>
      </c>
      <c r="K74" s="914">
        <f t="shared" si="24"/>
        <v>40017</v>
      </c>
      <c r="L74" s="914"/>
    </row>
    <row r="75" spans="1:15" s="714" customFormat="1" ht="24" customHeight="1">
      <c r="A75" s="1159" t="s">
        <v>1672</v>
      </c>
      <c r="B75" s="1160" t="s">
        <v>1752</v>
      </c>
      <c r="C75" s="1161"/>
      <c r="D75" s="1162"/>
      <c r="E75" s="1183"/>
      <c r="F75" s="1163"/>
      <c r="G75" s="1205"/>
      <c r="H75" s="872"/>
      <c r="I75" s="873"/>
      <c r="J75" s="872"/>
      <c r="K75" s="938"/>
      <c r="L75" s="938"/>
    </row>
    <row r="76" spans="1:15" s="714" customFormat="1" ht="24" customHeight="1">
      <c r="A76" s="1147"/>
      <c r="B76" s="1148" t="s">
        <v>1186</v>
      </c>
      <c r="C76" s="1123"/>
      <c r="D76" s="1124"/>
      <c r="E76" s="1149">
        <v>181</v>
      </c>
      <c r="F76" s="1150" t="s">
        <v>438</v>
      </c>
      <c r="G76" s="1140">
        <v>20</v>
      </c>
      <c r="H76" s="796">
        <f t="shared" si="22"/>
        <v>3620</v>
      </c>
      <c r="I76" s="797">
        <v>30</v>
      </c>
      <c r="J76" s="796">
        <f t="shared" ref="J76:J84" si="26">ROUND(I76*E76,)</f>
        <v>5430</v>
      </c>
      <c r="K76" s="914">
        <f t="shared" ref="K76:K84" si="27">H76+J76</f>
        <v>9050</v>
      </c>
      <c r="L76" s="2273" t="s">
        <v>2974</v>
      </c>
      <c r="N76" s="714">
        <v>79.17</v>
      </c>
      <c r="O76" s="714">
        <f>ROUND(N76/4,)</f>
        <v>20</v>
      </c>
    </row>
    <row r="77" spans="1:15" s="714" customFormat="1" ht="24" customHeight="1">
      <c r="A77" s="1147"/>
      <c r="B77" s="1148" t="s">
        <v>1187</v>
      </c>
      <c r="C77" s="1123"/>
      <c r="D77" s="1124"/>
      <c r="E77" s="1149">
        <v>17</v>
      </c>
      <c r="F77" s="1150" t="s">
        <v>438</v>
      </c>
      <c r="G77" s="1140">
        <v>26</v>
      </c>
      <c r="H77" s="796">
        <f t="shared" si="22"/>
        <v>442</v>
      </c>
      <c r="I77" s="797">
        <v>30</v>
      </c>
      <c r="J77" s="796">
        <f t="shared" si="26"/>
        <v>510</v>
      </c>
      <c r="K77" s="914">
        <f t="shared" si="27"/>
        <v>952</v>
      </c>
      <c r="L77" s="2273" t="s">
        <v>2974</v>
      </c>
      <c r="N77" s="714">
        <v>103.74</v>
      </c>
      <c r="O77" s="714">
        <f t="shared" ref="O77:O80" si="28">ROUND(N77/4,)</f>
        <v>26</v>
      </c>
    </row>
    <row r="78" spans="1:15" s="714" customFormat="1" ht="24" customHeight="1">
      <c r="A78" s="1147"/>
      <c r="B78" s="1148" t="s">
        <v>1188</v>
      </c>
      <c r="C78" s="1123"/>
      <c r="D78" s="1124"/>
      <c r="E78" s="1149">
        <v>57</v>
      </c>
      <c r="F78" s="1150" t="s">
        <v>438</v>
      </c>
      <c r="G78" s="1140">
        <v>41</v>
      </c>
      <c r="H78" s="796">
        <f t="shared" si="22"/>
        <v>2337</v>
      </c>
      <c r="I78" s="797">
        <v>40</v>
      </c>
      <c r="J78" s="796">
        <f t="shared" si="26"/>
        <v>2280</v>
      </c>
      <c r="K78" s="914">
        <f t="shared" si="27"/>
        <v>4617</v>
      </c>
      <c r="L78" s="2273" t="s">
        <v>2974</v>
      </c>
      <c r="N78" s="714">
        <v>163.80000000000001</v>
      </c>
      <c r="O78" s="714">
        <f t="shared" si="28"/>
        <v>41</v>
      </c>
    </row>
    <row r="79" spans="1:15" s="714" customFormat="1" ht="24" customHeight="1">
      <c r="A79" s="1147"/>
      <c r="B79" s="1148" t="s">
        <v>1189</v>
      </c>
      <c r="C79" s="1123"/>
      <c r="D79" s="1124"/>
      <c r="E79" s="1149">
        <v>80</v>
      </c>
      <c r="F79" s="1150" t="s">
        <v>438</v>
      </c>
      <c r="G79" s="1140">
        <v>65</v>
      </c>
      <c r="H79" s="796">
        <f t="shared" si="22"/>
        <v>5200</v>
      </c>
      <c r="I79" s="797">
        <v>50</v>
      </c>
      <c r="J79" s="796">
        <f t="shared" si="26"/>
        <v>4000</v>
      </c>
      <c r="K79" s="914">
        <f t="shared" si="27"/>
        <v>9200</v>
      </c>
      <c r="L79" s="2273" t="s">
        <v>2974</v>
      </c>
      <c r="N79" s="714">
        <v>259.35000000000002</v>
      </c>
      <c r="O79" s="714">
        <f t="shared" si="28"/>
        <v>65</v>
      </c>
    </row>
    <row r="80" spans="1:15" s="714" customFormat="1" ht="24" customHeight="1">
      <c r="A80" s="1147"/>
      <c r="B80" s="1148" t="s">
        <v>1190</v>
      </c>
      <c r="C80" s="1123"/>
      <c r="D80" s="1124"/>
      <c r="E80" s="1149">
        <v>22</v>
      </c>
      <c r="F80" s="1150" t="s">
        <v>438</v>
      </c>
      <c r="G80" s="1140">
        <v>90</v>
      </c>
      <c r="H80" s="796">
        <f t="shared" si="22"/>
        <v>1980</v>
      </c>
      <c r="I80" s="797">
        <v>75</v>
      </c>
      <c r="J80" s="796">
        <f t="shared" si="26"/>
        <v>1650</v>
      </c>
      <c r="K80" s="914">
        <f t="shared" si="27"/>
        <v>3630</v>
      </c>
      <c r="L80" s="2273" t="s">
        <v>2974</v>
      </c>
      <c r="N80" s="714">
        <v>359.45</v>
      </c>
      <c r="O80" s="714">
        <f t="shared" si="28"/>
        <v>90</v>
      </c>
    </row>
    <row r="81" spans="1:15" s="714" customFormat="1" ht="24" customHeight="1">
      <c r="A81" s="1147"/>
      <c r="B81" s="1187" t="s">
        <v>951</v>
      </c>
      <c r="C81" s="1123"/>
      <c r="D81" s="1124"/>
      <c r="E81" s="1149">
        <v>10</v>
      </c>
      <c r="F81" s="1150" t="s">
        <v>438</v>
      </c>
      <c r="G81" s="1140">
        <v>146</v>
      </c>
      <c r="H81" s="796">
        <f t="shared" si="22"/>
        <v>1460</v>
      </c>
      <c r="I81" s="797">
        <v>100</v>
      </c>
      <c r="J81" s="796">
        <f t="shared" si="26"/>
        <v>1000</v>
      </c>
      <c r="K81" s="914">
        <f t="shared" si="27"/>
        <v>2460</v>
      </c>
      <c r="L81" s="2273" t="s">
        <v>2974</v>
      </c>
      <c r="N81" s="714">
        <v>582.4</v>
      </c>
      <c r="O81" s="714">
        <f>ROUND(N81/4,)</f>
        <v>146</v>
      </c>
    </row>
    <row r="82" spans="1:15" s="714" customFormat="1" ht="24" customHeight="1">
      <c r="A82" s="1147"/>
      <c r="B82" s="1148" t="s">
        <v>1645</v>
      </c>
      <c r="C82" s="1123"/>
      <c r="D82" s="1124"/>
      <c r="E82" s="1149">
        <v>1</v>
      </c>
      <c r="F82" s="1150" t="s">
        <v>948</v>
      </c>
      <c r="G82" s="1140">
        <f>ROUND(SUM(H76:H81)*40%,)</f>
        <v>6016</v>
      </c>
      <c r="H82" s="796">
        <f t="shared" si="22"/>
        <v>6016</v>
      </c>
      <c r="I82" s="1181">
        <f t="shared" ref="I82:I84" si="29">ROUNDUP(G82*30%,0)</f>
        <v>1805</v>
      </c>
      <c r="J82" s="796">
        <f t="shared" si="26"/>
        <v>1805</v>
      </c>
      <c r="K82" s="914">
        <f t="shared" si="27"/>
        <v>7821</v>
      </c>
      <c r="L82" s="914"/>
    </row>
    <row r="83" spans="1:15" s="714" customFormat="1" ht="24" customHeight="1">
      <c r="A83" s="1147"/>
      <c r="B83" s="1148" t="s">
        <v>1646</v>
      </c>
      <c r="C83" s="1123"/>
      <c r="D83" s="1124"/>
      <c r="E83" s="1149">
        <v>1</v>
      </c>
      <c r="F83" s="1150" t="s">
        <v>948</v>
      </c>
      <c r="G83" s="1140">
        <f>ROUND(SUM(H76:H81)*30%,)</f>
        <v>4512</v>
      </c>
      <c r="H83" s="796">
        <f t="shared" si="22"/>
        <v>4512</v>
      </c>
      <c r="I83" s="1181">
        <f t="shared" si="29"/>
        <v>1354</v>
      </c>
      <c r="J83" s="796">
        <f t="shared" si="26"/>
        <v>1354</v>
      </c>
      <c r="K83" s="914">
        <f t="shared" si="27"/>
        <v>5866</v>
      </c>
      <c r="L83" s="914"/>
    </row>
    <row r="84" spans="1:15" s="714" customFormat="1" ht="24" customHeight="1">
      <c r="A84" s="1147"/>
      <c r="B84" s="1148" t="s">
        <v>1677</v>
      </c>
      <c r="C84" s="1123"/>
      <c r="D84" s="1124"/>
      <c r="E84" s="1149">
        <v>1</v>
      </c>
      <c r="F84" s="1150" t="s">
        <v>948</v>
      </c>
      <c r="G84" s="1140">
        <f>ROUND(SUM(H76:H81)*10%,)</f>
        <v>1504</v>
      </c>
      <c r="H84" s="796">
        <f t="shared" si="22"/>
        <v>1504</v>
      </c>
      <c r="I84" s="1181">
        <f t="shared" si="29"/>
        <v>452</v>
      </c>
      <c r="J84" s="796">
        <f t="shared" si="26"/>
        <v>452</v>
      </c>
      <c r="K84" s="914">
        <f t="shared" si="27"/>
        <v>1956</v>
      </c>
      <c r="L84" s="914"/>
    </row>
    <row r="85" spans="1:15" s="714" customFormat="1" ht="24" customHeight="1">
      <c r="A85" s="1147" t="s">
        <v>1678</v>
      </c>
      <c r="B85" s="1148" t="s">
        <v>1767</v>
      </c>
      <c r="C85" s="1123"/>
      <c r="D85" s="1124"/>
      <c r="E85" s="1149"/>
      <c r="F85" s="1150"/>
      <c r="G85" s="1140"/>
      <c r="H85" s="796"/>
      <c r="I85" s="797"/>
      <c r="J85" s="796"/>
      <c r="K85" s="914"/>
      <c r="L85" s="914"/>
    </row>
    <row r="86" spans="1:15" s="714" customFormat="1" ht="24" customHeight="1">
      <c r="A86" s="1147"/>
      <c r="B86" s="1148" t="s">
        <v>1188</v>
      </c>
      <c r="C86" s="1123"/>
      <c r="D86" s="1124"/>
      <c r="E86" s="1149">
        <v>38</v>
      </c>
      <c r="F86" s="1150" t="s">
        <v>240</v>
      </c>
      <c r="G86" s="1140">
        <f>ROUND(665*0.7,)</f>
        <v>466</v>
      </c>
      <c r="H86" s="796">
        <f t="shared" ref="H86:H91" si="30">ROUND(E86*G86,)</f>
        <v>17708</v>
      </c>
      <c r="I86" s="797">
        <v>200</v>
      </c>
      <c r="J86" s="796">
        <f t="shared" ref="J86" si="31">ROUND(I86*E86,)</f>
        <v>7600</v>
      </c>
      <c r="K86" s="914">
        <f t="shared" ref="K86" si="32">H86+J86</f>
        <v>25308</v>
      </c>
      <c r="L86" s="914"/>
    </row>
    <row r="87" spans="1:15" s="714" customFormat="1" ht="24" customHeight="1">
      <c r="A87" s="1147" t="s">
        <v>1680</v>
      </c>
      <c r="B87" s="1148" t="s">
        <v>1699</v>
      </c>
      <c r="C87" s="1123"/>
      <c r="D87" s="1124"/>
      <c r="E87" s="1149"/>
      <c r="F87" s="1150"/>
      <c r="G87" s="1140"/>
      <c r="H87" s="796"/>
      <c r="I87" s="797"/>
      <c r="J87" s="796"/>
      <c r="K87" s="914"/>
      <c r="L87" s="914"/>
    </row>
    <row r="88" spans="1:15" s="714" customFormat="1" ht="24" customHeight="1">
      <c r="A88" s="1147"/>
      <c r="B88" s="1148" t="s">
        <v>1188</v>
      </c>
      <c r="C88" s="1123"/>
      <c r="D88" s="1124"/>
      <c r="E88" s="1149">
        <v>12</v>
      </c>
      <c r="F88" s="1150" t="s">
        <v>240</v>
      </c>
      <c r="G88" s="1140">
        <f>ROUND(240*0.75,)</f>
        <v>180</v>
      </c>
      <c r="H88" s="796">
        <f t="shared" si="30"/>
        <v>2160</v>
      </c>
      <c r="I88" s="797">
        <v>100</v>
      </c>
      <c r="J88" s="796">
        <f t="shared" ref="J88:J91" si="33">ROUND(I88*E88,)</f>
        <v>1200</v>
      </c>
      <c r="K88" s="914">
        <f t="shared" ref="K88:K91" si="34">H88+J88</f>
        <v>3360</v>
      </c>
      <c r="L88" s="914"/>
    </row>
    <row r="89" spans="1:15" s="714" customFormat="1" ht="24" customHeight="1">
      <c r="A89" s="1147"/>
      <c r="B89" s="1148" t="s">
        <v>1190</v>
      </c>
      <c r="C89" s="1123"/>
      <c r="D89" s="1124"/>
      <c r="E89" s="1149">
        <v>6</v>
      </c>
      <c r="F89" s="1150" t="s">
        <v>240</v>
      </c>
      <c r="G89" s="1140">
        <f>ROUND(360*0.75,)</f>
        <v>270</v>
      </c>
      <c r="H89" s="796">
        <f t="shared" si="30"/>
        <v>1620</v>
      </c>
      <c r="I89" s="797">
        <v>150</v>
      </c>
      <c r="J89" s="796">
        <f t="shared" si="33"/>
        <v>900</v>
      </c>
      <c r="K89" s="914">
        <f t="shared" si="34"/>
        <v>2520</v>
      </c>
      <c r="L89" s="914"/>
    </row>
    <row r="90" spans="1:15" s="714" customFormat="1" ht="24" customHeight="1">
      <c r="A90" s="1221"/>
      <c r="B90" s="1219" t="s">
        <v>1674</v>
      </c>
      <c r="C90" s="1209"/>
      <c r="D90" s="1210"/>
      <c r="E90" s="1149">
        <v>6</v>
      </c>
      <c r="F90" s="1212" t="s">
        <v>240</v>
      </c>
      <c r="G90" s="1140">
        <f>ROUND(500*0.75,)</f>
        <v>375</v>
      </c>
      <c r="H90" s="796">
        <f t="shared" si="30"/>
        <v>2250</v>
      </c>
      <c r="I90" s="855">
        <v>200</v>
      </c>
      <c r="J90" s="796">
        <f t="shared" si="33"/>
        <v>1200</v>
      </c>
      <c r="K90" s="914">
        <f t="shared" si="34"/>
        <v>3450</v>
      </c>
      <c r="L90" s="914"/>
    </row>
    <row r="91" spans="1:15" s="714" customFormat="1" ht="24" customHeight="1">
      <c r="A91" s="1147"/>
      <c r="B91" s="1148" t="s">
        <v>1675</v>
      </c>
      <c r="C91" s="1123"/>
      <c r="D91" s="1124"/>
      <c r="E91" s="1149">
        <v>8</v>
      </c>
      <c r="F91" s="1150" t="s">
        <v>240</v>
      </c>
      <c r="G91" s="1140">
        <f>ROUND(950*0.75,)</f>
        <v>713</v>
      </c>
      <c r="H91" s="796">
        <f t="shared" si="30"/>
        <v>5704</v>
      </c>
      <c r="I91" s="797">
        <v>300</v>
      </c>
      <c r="J91" s="796">
        <f t="shared" si="33"/>
        <v>2400</v>
      </c>
      <c r="K91" s="914">
        <f t="shared" si="34"/>
        <v>8104</v>
      </c>
      <c r="L91" s="914"/>
    </row>
    <row r="92" spans="1:15" s="714" customFormat="1" ht="24" customHeight="1">
      <c r="A92" s="1166"/>
      <c r="B92" s="2475" t="str">
        <f>"รวมราคารายการที่ "&amp;A65</f>
        <v>รวมราคารายการที่ 5.2</v>
      </c>
      <c r="C92" s="2476"/>
      <c r="D92" s="2477"/>
      <c r="E92" s="1167"/>
      <c r="F92" s="1167"/>
      <c r="G92" s="1168"/>
      <c r="H92" s="1169">
        <f>SUM(H66:H91)</f>
        <v>579812</v>
      </c>
      <c r="I92" s="1170"/>
      <c r="J92" s="1169">
        <f>SUM(J66:J91)</f>
        <v>191620</v>
      </c>
      <c r="K92" s="1169">
        <f>SUM(K66:K91)</f>
        <v>771432</v>
      </c>
      <c r="L92" s="1171"/>
    </row>
    <row r="93" spans="1:15" s="714" customFormat="1" ht="24" customHeight="1">
      <c r="A93" s="1011">
        <v>5.3</v>
      </c>
      <c r="B93" s="1196" t="s">
        <v>1691</v>
      </c>
      <c r="C93" s="859"/>
      <c r="D93" s="859"/>
      <c r="E93" s="1216"/>
      <c r="F93" s="852"/>
      <c r="G93" s="874"/>
      <c r="H93" s="854"/>
      <c r="I93" s="855"/>
      <c r="J93" s="854"/>
      <c r="K93" s="912"/>
      <c r="L93" s="1222"/>
    </row>
    <row r="94" spans="1:15" s="714" customFormat="1" ht="24" customHeight="1">
      <c r="A94" s="1159" t="s">
        <v>1692</v>
      </c>
      <c r="B94" s="1160" t="s">
        <v>1768</v>
      </c>
      <c r="C94" s="1161"/>
      <c r="D94" s="1162"/>
      <c r="E94" s="1183"/>
      <c r="F94" s="1163"/>
      <c r="G94" s="1205"/>
      <c r="H94" s="872"/>
      <c r="I94" s="873"/>
      <c r="J94" s="872"/>
      <c r="K94" s="938"/>
      <c r="L94" s="938"/>
    </row>
    <row r="95" spans="1:15" s="714" customFormat="1" ht="21.3">
      <c r="A95" s="1147"/>
      <c r="B95" s="1148" t="s">
        <v>1188</v>
      </c>
      <c r="C95" s="1123"/>
      <c r="D95" s="1124"/>
      <c r="E95" s="1149">
        <v>7</v>
      </c>
      <c r="F95" s="1150" t="s">
        <v>438</v>
      </c>
      <c r="G95" s="1140">
        <v>127</v>
      </c>
      <c r="H95" s="796">
        <f t="shared" ref="H95:H102" si="35">ROUND(E95*G95,)</f>
        <v>889</v>
      </c>
      <c r="I95" s="797">
        <v>40</v>
      </c>
      <c r="J95" s="796">
        <f t="shared" ref="J95:J102" si="36">ROUND(I95*E95,)</f>
        <v>280</v>
      </c>
      <c r="K95" s="914">
        <f t="shared" ref="K95:K102" si="37">H95+J95</f>
        <v>1169</v>
      </c>
      <c r="L95" s="914"/>
    </row>
    <row r="96" spans="1:15" s="714" customFormat="1" ht="21.3">
      <c r="A96" s="1159"/>
      <c r="B96" s="1148" t="s">
        <v>1190</v>
      </c>
      <c r="C96" s="1123"/>
      <c r="D96" s="1124"/>
      <c r="E96" s="1149">
        <v>12</v>
      </c>
      <c r="F96" s="1150" t="s">
        <v>438</v>
      </c>
      <c r="G96" s="1140">
        <v>258</v>
      </c>
      <c r="H96" s="796">
        <f t="shared" si="35"/>
        <v>3096</v>
      </c>
      <c r="I96" s="797">
        <v>75</v>
      </c>
      <c r="J96" s="796">
        <f t="shared" si="36"/>
        <v>900</v>
      </c>
      <c r="K96" s="914">
        <f t="shared" si="37"/>
        <v>3996</v>
      </c>
      <c r="L96" s="938"/>
    </row>
    <row r="97" spans="1:12" s="714" customFormat="1" ht="21.3">
      <c r="A97" s="1159"/>
      <c r="B97" s="1148" t="s">
        <v>1674</v>
      </c>
      <c r="C97" s="1123"/>
      <c r="D97" s="1124"/>
      <c r="E97" s="1149">
        <v>88</v>
      </c>
      <c r="F97" s="1150" t="s">
        <v>438</v>
      </c>
      <c r="G97" s="1140">
        <v>316</v>
      </c>
      <c r="H97" s="796">
        <f t="shared" si="35"/>
        <v>27808</v>
      </c>
      <c r="I97" s="797">
        <v>120</v>
      </c>
      <c r="J97" s="796">
        <f t="shared" si="36"/>
        <v>10560</v>
      </c>
      <c r="K97" s="914">
        <f t="shared" si="37"/>
        <v>38368</v>
      </c>
      <c r="L97" s="938"/>
    </row>
    <row r="98" spans="1:12" s="714" customFormat="1" ht="21.3">
      <c r="A98" s="1147"/>
      <c r="B98" s="1148" t="s">
        <v>1675</v>
      </c>
      <c r="C98" s="1123"/>
      <c r="D98" s="1124"/>
      <c r="E98" s="1149">
        <v>95</v>
      </c>
      <c r="F98" s="1150" t="s">
        <v>438</v>
      </c>
      <c r="G98" s="1140">
        <v>631</v>
      </c>
      <c r="H98" s="796">
        <f t="shared" si="35"/>
        <v>59945</v>
      </c>
      <c r="I98" s="797">
        <v>250</v>
      </c>
      <c r="J98" s="796">
        <f t="shared" si="36"/>
        <v>23750</v>
      </c>
      <c r="K98" s="914">
        <f t="shared" si="37"/>
        <v>83695</v>
      </c>
      <c r="L98" s="914"/>
    </row>
    <row r="99" spans="1:12" s="714" customFormat="1" ht="21.3">
      <c r="A99" s="1147"/>
      <c r="B99" s="1148" t="s">
        <v>1676</v>
      </c>
      <c r="C99" s="1123"/>
      <c r="D99" s="1124"/>
      <c r="E99" s="1149">
        <v>1238</v>
      </c>
      <c r="F99" s="1150" t="s">
        <v>438</v>
      </c>
      <c r="G99" s="1140">
        <v>1385</v>
      </c>
      <c r="H99" s="796">
        <f t="shared" si="35"/>
        <v>1714630</v>
      </c>
      <c r="I99" s="797">
        <v>350</v>
      </c>
      <c r="J99" s="796">
        <f t="shared" si="36"/>
        <v>433300</v>
      </c>
      <c r="K99" s="914">
        <f t="shared" si="37"/>
        <v>2147930</v>
      </c>
      <c r="L99" s="914"/>
    </row>
    <row r="100" spans="1:12" s="714" customFormat="1" ht="21.3">
      <c r="A100" s="1147"/>
      <c r="B100" s="1148" t="s">
        <v>1645</v>
      </c>
      <c r="C100" s="1123"/>
      <c r="D100" s="1124"/>
      <c r="E100" s="1149">
        <v>1</v>
      </c>
      <c r="F100" s="1150" t="s">
        <v>948</v>
      </c>
      <c r="G100" s="1140">
        <f>ROUND(SUM(H95:H99)*50%,)</f>
        <v>903184</v>
      </c>
      <c r="H100" s="796">
        <f t="shared" si="35"/>
        <v>903184</v>
      </c>
      <c r="I100" s="1181">
        <f t="shared" ref="I100:I102" si="38">ROUNDUP(G100*30%,0)</f>
        <v>270956</v>
      </c>
      <c r="J100" s="796">
        <f t="shared" si="36"/>
        <v>270956</v>
      </c>
      <c r="K100" s="914">
        <f t="shared" si="37"/>
        <v>1174140</v>
      </c>
      <c r="L100" s="914"/>
    </row>
    <row r="101" spans="1:12" s="714" customFormat="1" ht="21.3">
      <c r="A101" s="1147"/>
      <c r="B101" s="1148" t="s">
        <v>1646</v>
      </c>
      <c r="C101" s="1123"/>
      <c r="D101" s="1124"/>
      <c r="E101" s="1149">
        <v>1</v>
      </c>
      <c r="F101" s="1150" t="s">
        <v>948</v>
      </c>
      <c r="G101" s="1140">
        <f>ROUND(SUM(H95:H99)*20%,)</f>
        <v>361274</v>
      </c>
      <c r="H101" s="796">
        <f t="shared" si="35"/>
        <v>361274</v>
      </c>
      <c r="I101" s="1181">
        <f t="shared" si="38"/>
        <v>108383</v>
      </c>
      <c r="J101" s="796">
        <f t="shared" si="36"/>
        <v>108383</v>
      </c>
      <c r="K101" s="914">
        <f t="shared" si="37"/>
        <v>469657</v>
      </c>
      <c r="L101" s="914"/>
    </row>
    <row r="102" spans="1:12" s="714" customFormat="1" ht="21.3">
      <c r="A102" s="1147"/>
      <c r="B102" s="1148" t="s">
        <v>1677</v>
      </c>
      <c r="C102" s="1123"/>
      <c r="D102" s="1124"/>
      <c r="E102" s="1149">
        <v>1</v>
      </c>
      <c r="F102" s="1150" t="s">
        <v>948</v>
      </c>
      <c r="G102" s="1140">
        <f>ROUND(SUM(H95:H99)*10%,)</f>
        <v>180637</v>
      </c>
      <c r="H102" s="796">
        <f t="shared" si="35"/>
        <v>180637</v>
      </c>
      <c r="I102" s="1181">
        <f t="shared" si="38"/>
        <v>54192</v>
      </c>
      <c r="J102" s="796">
        <f t="shared" si="36"/>
        <v>54192</v>
      </c>
      <c r="K102" s="914">
        <f t="shared" si="37"/>
        <v>234829</v>
      </c>
      <c r="L102" s="914"/>
    </row>
    <row r="103" spans="1:12" s="714" customFormat="1" ht="21.3">
      <c r="A103" s="1159" t="s">
        <v>1695</v>
      </c>
      <c r="B103" s="1160" t="s">
        <v>1769</v>
      </c>
      <c r="C103" s="1161"/>
      <c r="D103" s="1162"/>
      <c r="E103" s="1183"/>
      <c r="F103" s="1163"/>
      <c r="G103" s="1205"/>
      <c r="H103" s="872"/>
      <c r="I103" s="873"/>
      <c r="J103" s="872"/>
      <c r="K103" s="938"/>
      <c r="L103" s="1218"/>
    </row>
    <row r="104" spans="1:12" s="714" customFormat="1" ht="21.3">
      <c r="A104" s="1147"/>
      <c r="B104" s="1148" t="s">
        <v>1676</v>
      </c>
      <c r="C104" s="1123"/>
      <c r="D104" s="1124"/>
      <c r="E104" s="1149">
        <v>192</v>
      </c>
      <c r="F104" s="1150" t="s">
        <v>438</v>
      </c>
      <c r="G104" s="1140">
        <v>1221</v>
      </c>
      <c r="H104" s="796">
        <f>ROUND(E104*G104,)</f>
        <v>234432</v>
      </c>
      <c r="I104" s="797">
        <v>460</v>
      </c>
      <c r="J104" s="796">
        <f>ROUND(I104*E104,)</f>
        <v>88320</v>
      </c>
      <c r="K104" s="914">
        <f>H104+J104</f>
        <v>322752</v>
      </c>
      <c r="L104" s="1218"/>
    </row>
    <row r="105" spans="1:12" s="714" customFormat="1" ht="21.3">
      <c r="A105" s="1147"/>
      <c r="B105" s="1148" t="s">
        <v>1645</v>
      </c>
      <c r="C105" s="1123"/>
      <c r="D105" s="1124"/>
      <c r="E105" s="1149">
        <v>1</v>
      </c>
      <c r="F105" s="1150" t="s">
        <v>948</v>
      </c>
      <c r="G105" s="1140">
        <f>SUM(H104:H104)*40%</f>
        <v>93772.800000000003</v>
      </c>
      <c r="H105" s="796">
        <f>ROUND(E105*G105,)</f>
        <v>93773</v>
      </c>
      <c r="I105" s="1181">
        <f t="shared" ref="I105:I107" si="39">ROUNDUP(G105*30%,0)</f>
        <v>28132</v>
      </c>
      <c r="J105" s="796">
        <f>ROUND(I105*E105,)</f>
        <v>28132</v>
      </c>
      <c r="K105" s="914">
        <f>H105+J105</f>
        <v>121905</v>
      </c>
      <c r="L105" s="1218"/>
    </row>
    <row r="106" spans="1:12" s="714" customFormat="1" ht="21.3">
      <c r="A106" s="1147"/>
      <c r="B106" s="1148" t="s">
        <v>1646</v>
      </c>
      <c r="C106" s="1123"/>
      <c r="D106" s="1124"/>
      <c r="E106" s="1149">
        <v>1</v>
      </c>
      <c r="F106" s="1150" t="s">
        <v>948</v>
      </c>
      <c r="G106" s="1140">
        <f>SUM(H104:H104)*20%</f>
        <v>46886.400000000001</v>
      </c>
      <c r="H106" s="796">
        <f>ROUND(E106*G106,)</f>
        <v>46886</v>
      </c>
      <c r="I106" s="1181">
        <f t="shared" si="39"/>
        <v>14066</v>
      </c>
      <c r="J106" s="796">
        <f>ROUND(I106*E106,)</f>
        <v>14066</v>
      </c>
      <c r="K106" s="914">
        <f>H106+J106</f>
        <v>60952</v>
      </c>
      <c r="L106" s="1218"/>
    </row>
    <row r="107" spans="1:12" s="714" customFormat="1" ht="21.3">
      <c r="A107" s="1147"/>
      <c r="B107" s="1148" t="s">
        <v>1677</v>
      </c>
      <c r="C107" s="1123"/>
      <c r="D107" s="1124"/>
      <c r="E107" s="1149">
        <v>1</v>
      </c>
      <c r="F107" s="1150" t="s">
        <v>948</v>
      </c>
      <c r="G107" s="1140">
        <f>SUM(H104:H104)*10%</f>
        <v>23443.200000000001</v>
      </c>
      <c r="H107" s="796">
        <f>ROUND(E107*G107,)</f>
        <v>23443</v>
      </c>
      <c r="I107" s="1181">
        <f t="shared" si="39"/>
        <v>7033</v>
      </c>
      <c r="J107" s="796">
        <f>ROUND(I107*E107,)</f>
        <v>7033</v>
      </c>
      <c r="K107" s="914">
        <f>H107+J107</f>
        <v>30476</v>
      </c>
      <c r="L107" s="1218"/>
    </row>
    <row r="108" spans="1:12" s="714" customFormat="1" ht="21.3">
      <c r="A108" s="1147" t="s">
        <v>1697</v>
      </c>
      <c r="B108" s="1148" t="s">
        <v>1757</v>
      </c>
      <c r="C108" s="1123"/>
      <c r="D108" s="1124"/>
      <c r="E108" s="1149"/>
      <c r="F108" s="1150"/>
      <c r="G108" s="1140"/>
      <c r="H108" s="796"/>
      <c r="I108" s="797"/>
      <c r="J108" s="796"/>
      <c r="K108" s="914"/>
      <c r="L108" s="1218"/>
    </row>
    <row r="109" spans="1:12" s="714" customFormat="1" ht="21.3">
      <c r="A109" s="1147"/>
      <c r="B109" s="1148" t="s">
        <v>1188</v>
      </c>
      <c r="C109" s="1123"/>
      <c r="D109" s="1124"/>
      <c r="E109" s="1149">
        <v>3</v>
      </c>
      <c r="F109" s="1150" t="s">
        <v>240</v>
      </c>
      <c r="G109" s="1140">
        <v>638</v>
      </c>
      <c r="H109" s="796">
        <f>ROUND(E109*G109,)</f>
        <v>1914</v>
      </c>
      <c r="I109" s="797">
        <v>200</v>
      </c>
      <c r="J109" s="796">
        <f>ROUND(I109*E109,)</f>
        <v>600</v>
      </c>
      <c r="K109" s="914">
        <f>H109+J109</f>
        <v>2514</v>
      </c>
      <c r="L109" s="1218"/>
    </row>
    <row r="110" spans="1:12" s="714" customFormat="1" ht="21.3">
      <c r="A110" s="1147"/>
      <c r="B110" s="1148" t="s">
        <v>1190</v>
      </c>
      <c r="C110" s="1123"/>
      <c r="D110" s="1124"/>
      <c r="E110" s="1149">
        <v>4</v>
      </c>
      <c r="F110" s="1150" t="s">
        <v>240</v>
      </c>
      <c r="G110" s="1140">
        <f>ROUND(850*0.7,)</f>
        <v>595</v>
      </c>
      <c r="H110" s="796">
        <f>ROUND(E110*G110,)</f>
        <v>2380</v>
      </c>
      <c r="I110" s="797">
        <v>300</v>
      </c>
      <c r="J110" s="796">
        <f>ROUND(I110*E110,)</f>
        <v>1200</v>
      </c>
      <c r="K110" s="914">
        <f>H110+J110</f>
        <v>3580</v>
      </c>
      <c r="L110" s="1218"/>
    </row>
    <row r="111" spans="1:12" s="714" customFormat="1" ht="21.3">
      <c r="A111" s="1147"/>
      <c r="B111" s="1148" t="s">
        <v>1674</v>
      </c>
      <c r="C111" s="1123"/>
      <c r="D111" s="1124"/>
      <c r="E111" s="1149">
        <v>4</v>
      </c>
      <c r="F111" s="1150" t="s">
        <v>240</v>
      </c>
      <c r="G111" s="1140">
        <v>648</v>
      </c>
      <c r="H111" s="796">
        <f>ROUND(E111*G111,)</f>
        <v>2592</v>
      </c>
      <c r="I111" s="797">
        <v>400</v>
      </c>
      <c r="J111" s="796">
        <f>ROUND(I111*E111,)</f>
        <v>1600</v>
      </c>
      <c r="K111" s="914">
        <f>H111+J111</f>
        <v>4192</v>
      </c>
      <c r="L111" s="1218"/>
    </row>
    <row r="112" spans="1:12" s="714" customFormat="1" ht="21.3">
      <c r="A112" s="1147" t="s">
        <v>1698</v>
      </c>
      <c r="B112" s="1148" t="s">
        <v>1699</v>
      </c>
      <c r="C112" s="1123"/>
      <c r="D112" s="1124"/>
      <c r="E112" s="1149"/>
      <c r="F112" s="1150"/>
      <c r="G112" s="1140"/>
      <c r="H112" s="796"/>
      <c r="I112" s="797"/>
      <c r="J112" s="796"/>
      <c r="K112" s="914"/>
      <c r="L112" s="1182"/>
    </row>
    <row r="113" spans="1:12" s="714" customFormat="1" ht="21.3">
      <c r="A113" s="1147"/>
      <c r="B113" s="1148" t="s">
        <v>1676</v>
      </c>
      <c r="C113" s="1123"/>
      <c r="D113" s="1124"/>
      <c r="E113" s="1149">
        <v>18</v>
      </c>
      <c r="F113" s="1150" t="s">
        <v>240</v>
      </c>
      <c r="G113" s="1140">
        <f>ROUND(1850*0.75,)</f>
        <v>1388</v>
      </c>
      <c r="H113" s="796">
        <f>ROUND(E113*G113,)</f>
        <v>24984</v>
      </c>
      <c r="I113" s="797">
        <v>400</v>
      </c>
      <c r="J113" s="796">
        <f>ROUND(I113*E113,)</f>
        <v>7200</v>
      </c>
      <c r="K113" s="914">
        <f>H113+J113</f>
        <v>32184</v>
      </c>
      <c r="L113" s="1182"/>
    </row>
    <row r="114" spans="1:12" s="714" customFormat="1" ht="21.3">
      <c r="A114" s="1147" t="s">
        <v>1700</v>
      </c>
      <c r="B114" s="1148" t="s">
        <v>1690</v>
      </c>
      <c r="C114" s="1123"/>
      <c r="D114" s="1124"/>
      <c r="E114" s="1149"/>
      <c r="F114" s="1150"/>
      <c r="G114" s="1140"/>
      <c r="H114" s="796"/>
      <c r="I114" s="797"/>
      <c r="J114" s="796"/>
      <c r="K114" s="914"/>
      <c r="L114" s="1182"/>
    </row>
    <row r="115" spans="1:12" s="714" customFormat="1" ht="21.3">
      <c r="A115" s="1147"/>
      <c r="B115" s="1148" t="s">
        <v>1676</v>
      </c>
      <c r="C115" s="1123"/>
      <c r="D115" s="1124"/>
      <c r="E115" s="1149">
        <v>18</v>
      </c>
      <c r="F115" s="1150" t="s">
        <v>240</v>
      </c>
      <c r="G115" s="1179">
        <v>9650</v>
      </c>
      <c r="H115" s="796">
        <f>ROUND(E115*G115,)</f>
        <v>173700</v>
      </c>
      <c r="I115" s="797">
        <v>1600</v>
      </c>
      <c r="J115" s="796">
        <f>ROUND(I115*E115,)</f>
        <v>28800</v>
      </c>
      <c r="K115" s="914">
        <f>H115+J115</f>
        <v>202500</v>
      </c>
      <c r="L115" s="914"/>
    </row>
    <row r="116" spans="1:12">
      <c r="A116" s="1166"/>
      <c r="B116" s="2475" t="str">
        <f>"รวมราคารายการที่ "&amp;A93</f>
        <v>รวมราคารายการที่ 5.3</v>
      </c>
      <c r="C116" s="2476"/>
      <c r="D116" s="2477"/>
      <c r="E116" s="1167"/>
      <c r="F116" s="1167"/>
      <c r="G116" s="1168"/>
      <c r="H116" s="1169">
        <f>SUM(H95:H115)</f>
        <v>3855567</v>
      </c>
      <c r="I116" s="1170"/>
      <c r="J116" s="1169">
        <f>SUM(J95:J115)</f>
        <v>1079272</v>
      </c>
      <c r="K116" s="1169">
        <f>SUM(K95:K115)</f>
        <v>4934839</v>
      </c>
      <c r="L116" s="1226"/>
    </row>
    <row r="117" spans="1:12">
      <c r="A117" s="1207" t="s">
        <v>1707</v>
      </c>
      <c r="B117" s="1208" t="s">
        <v>1708</v>
      </c>
      <c r="C117" s="1209"/>
      <c r="D117" s="1210"/>
      <c r="E117" s="1211"/>
      <c r="F117" s="1212"/>
      <c r="G117" s="874"/>
      <c r="H117" s="854"/>
      <c r="I117" s="855"/>
      <c r="J117" s="854"/>
      <c r="K117" s="912"/>
      <c r="L117" s="912"/>
    </row>
    <row r="118" spans="1:12">
      <c r="A118" s="1147" t="s">
        <v>1709</v>
      </c>
      <c r="B118" s="1148" t="s">
        <v>1746</v>
      </c>
      <c r="C118" s="1123"/>
      <c r="D118" s="1124"/>
      <c r="E118" s="1149"/>
      <c r="F118" s="1150"/>
      <c r="G118" s="1179"/>
      <c r="H118" s="796"/>
      <c r="I118" s="1181"/>
      <c r="J118" s="796"/>
      <c r="K118" s="797"/>
      <c r="L118" s="1182"/>
    </row>
    <row r="119" spans="1:12">
      <c r="A119" s="1147"/>
      <c r="B119" s="1148" t="s">
        <v>1650</v>
      </c>
      <c r="C119" s="1123"/>
      <c r="D119" s="1124"/>
      <c r="E119" s="1149">
        <v>235</v>
      </c>
      <c r="F119" s="1150" t="s">
        <v>438</v>
      </c>
      <c r="G119" s="1179">
        <v>46</v>
      </c>
      <c r="H119" s="796">
        <f t="shared" ref="H119:H126" si="40">ROUND(E119*G119,)</f>
        <v>10810</v>
      </c>
      <c r="I119" s="1181">
        <v>30</v>
      </c>
      <c r="J119" s="796">
        <f t="shared" ref="J119:J126" si="41">ROUND(E119*I119,)</f>
        <v>7050</v>
      </c>
      <c r="K119" s="797">
        <f t="shared" ref="K119:K126" si="42">H119+J119</f>
        <v>17860</v>
      </c>
      <c r="L119" s="1182"/>
    </row>
    <row r="120" spans="1:12">
      <c r="A120" s="1147"/>
      <c r="B120" s="1148" t="s">
        <v>1760</v>
      </c>
      <c r="C120" s="1123"/>
      <c r="D120" s="1124"/>
      <c r="E120" s="1149">
        <v>14</v>
      </c>
      <c r="F120" s="1150" t="s">
        <v>438</v>
      </c>
      <c r="G120" s="1179">
        <v>113</v>
      </c>
      <c r="H120" s="796">
        <f t="shared" si="40"/>
        <v>1582</v>
      </c>
      <c r="I120" s="1181">
        <v>50</v>
      </c>
      <c r="J120" s="796">
        <f t="shared" si="41"/>
        <v>700</v>
      </c>
      <c r="K120" s="797">
        <f t="shared" si="42"/>
        <v>2282</v>
      </c>
      <c r="L120" s="1182"/>
    </row>
    <row r="121" spans="1:12">
      <c r="A121" s="1147"/>
      <c r="B121" s="1148" t="s">
        <v>1761</v>
      </c>
      <c r="C121" s="1123"/>
      <c r="D121" s="1124"/>
      <c r="E121" s="1149">
        <v>19</v>
      </c>
      <c r="F121" s="1150" t="s">
        <v>438</v>
      </c>
      <c r="G121" s="1179">
        <v>193</v>
      </c>
      <c r="H121" s="796">
        <f t="shared" si="40"/>
        <v>3667</v>
      </c>
      <c r="I121" s="1181">
        <v>75</v>
      </c>
      <c r="J121" s="796">
        <f t="shared" si="41"/>
        <v>1425</v>
      </c>
      <c r="K121" s="797">
        <f t="shared" si="42"/>
        <v>5092</v>
      </c>
      <c r="L121" s="1182"/>
    </row>
    <row r="122" spans="1:12">
      <c r="A122" s="1147"/>
      <c r="B122" s="1148" t="s">
        <v>1661</v>
      </c>
      <c r="C122" s="1123"/>
      <c r="D122" s="1124"/>
      <c r="E122" s="1149">
        <v>48</v>
      </c>
      <c r="F122" s="1150" t="s">
        <v>438</v>
      </c>
      <c r="G122" s="1179">
        <v>287</v>
      </c>
      <c r="H122" s="796">
        <f t="shared" si="40"/>
        <v>13776</v>
      </c>
      <c r="I122" s="1181">
        <v>100</v>
      </c>
      <c r="J122" s="796">
        <f t="shared" si="41"/>
        <v>4800</v>
      </c>
      <c r="K122" s="797">
        <f t="shared" si="42"/>
        <v>18576</v>
      </c>
      <c r="L122" s="1182"/>
    </row>
    <row r="123" spans="1:12">
      <c r="A123" s="1147"/>
      <c r="B123" s="1187" t="s">
        <v>1642</v>
      </c>
      <c r="C123" s="1123"/>
      <c r="D123" s="1124"/>
      <c r="E123" s="1149">
        <v>8</v>
      </c>
      <c r="F123" s="1150" t="s">
        <v>438</v>
      </c>
      <c r="G123" s="1179">
        <v>562</v>
      </c>
      <c r="H123" s="796">
        <f t="shared" si="40"/>
        <v>4496</v>
      </c>
      <c r="I123" s="1181">
        <v>120</v>
      </c>
      <c r="J123" s="796">
        <f t="shared" si="41"/>
        <v>960</v>
      </c>
      <c r="K123" s="914">
        <f t="shared" si="42"/>
        <v>5456</v>
      </c>
      <c r="L123" s="1182"/>
    </row>
    <row r="124" spans="1:12">
      <c r="A124" s="1147"/>
      <c r="B124" s="1148" t="s">
        <v>1645</v>
      </c>
      <c r="C124" s="1123"/>
      <c r="D124" s="1124"/>
      <c r="E124" s="1149">
        <v>1</v>
      </c>
      <c r="F124" s="1150" t="s">
        <v>948</v>
      </c>
      <c r="G124" s="1179">
        <f>ROUND(SUM(H118:H123)*50%,)</f>
        <v>17166</v>
      </c>
      <c r="H124" s="796">
        <f t="shared" si="40"/>
        <v>17166</v>
      </c>
      <c r="I124" s="1181">
        <f t="shared" ref="I124:I126" si="43">ROUNDUP(G124*30%,0)</f>
        <v>5150</v>
      </c>
      <c r="J124" s="796">
        <f t="shared" si="41"/>
        <v>5150</v>
      </c>
      <c r="K124" s="797">
        <f t="shared" si="42"/>
        <v>22316</v>
      </c>
      <c r="L124" s="1182"/>
    </row>
    <row r="125" spans="1:12">
      <c r="A125" s="1147"/>
      <c r="B125" s="1148" t="s">
        <v>1646</v>
      </c>
      <c r="C125" s="1123"/>
      <c r="D125" s="1124"/>
      <c r="E125" s="1149">
        <v>1</v>
      </c>
      <c r="F125" s="1150" t="s">
        <v>948</v>
      </c>
      <c r="G125" s="1179">
        <f>ROUND(SUM(H118:H123)*20%,)</f>
        <v>6866</v>
      </c>
      <c r="H125" s="796">
        <f t="shared" si="40"/>
        <v>6866</v>
      </c>
      <c r="I125" s="1181">
        <f t="shared" si="43"/>
        <v>2060</v>
      </c>
      <c r="J125" s="796">
        <f t="shared" si="41"/>
        <v>2060</v>
      </c>
      <c r="K125" s="797">
        <f t="shared" si="42"/>
        <v>8926</v>
      </c>
      <c r="L125" s="1182"/>
    </row>
    <row r="126" spans="1:12">
      <c r="A126" s="1147"/>
      <c r="B126" s="1148" t="s">
        <v>1647</v>
      </c>
      <c r="C126" s="1123"/>
      <c r="D126" s="1124"/>
      <c r="E126" s="1149">
        <v>1</v>
      </c>
      <c r="F126" s="1150" t="s">
        <v>948</v>
      </c>
      <c r="G126" s="1179">
        <f>ROUND(SUM(H118:H123)*10%,)</f>
        <v>3433</v>
      </c>
      <c r="H126" s="796">
        <f t="shared" si="40"/>
        <v>3433</v>
      </c>
      <c r="I126" s="1181">
        <f t="shared" si="43"/>
        <v>1030</v>
      </c>
      <c r="J126" s="796">
        <f t="shared" si="41"/>
        <v>1030</v>
      </c>
      <c r="K126" s="797">
        <f t="shared" si="42"/>
        <v>4463</v>
      </c>
      <c r="L126" s="1182"/>
    </row>
    <row r="127" spans="1:12">
      <c r="A127" s="1147" t="s">
        <v>1712</v>
      </c>
      <c r="B127" s="1148" t="s">
        <v>1652</v>
      </c>
      <c r="C127" s="1123"/>
      <c r="D127" s="1124"/>
      <c r="E127" s="1149"/>
      <c r="F127" s="1150"/>
      <c r="G127" s="1179"/>
      <c r="H127" s="796"/>
      <c r="I127" s="1181"/>
      <c r="J127" s="796"/>
      <c r="K127" s="797"/>
      <c r="L127" s="1182"/>
    </row>
    <row r="128" spans="1:12">
      <c r="A128" s="1147"/>
      <c r="B128" s="1148" t="s">
        <v>1661</v>
      </c>
      <c r="C128" s="1123"/>
      <c r="D128" s="1124"/>
      <c r="E128" s="1149">
        <v>2</v>
      </c>
      <c r="F128" s="1150" t="s">
        <v>240</v>
      </c>
      <c r="G128" s="1179">
        <v>1742</v>
      </c>
      <c r="H128" s="796">
        <f t="shared" ref="H128" si="44">ROUND(E128*G128,)</f>
        <v>3484</v>
      </c>
      <c r="I128" s="1181">
        <v>500</v>
      </c>
      <c r="J128" s="796">
        <f t="shared" ref="J128" si="45">ROUND(E128*I128,)</f>
        <v>1000</v>
      </c>
      <c r="K128" s="797">
        <f t="shared" ref="K128" si="46">H128+J128</f>
        <v>4484</v>
      </c>
      <c r="L128" s="1182"/>
    </row>
    <row r="129" spans="1:12">
      <c r="A129" s="1147"/>
      <c r="B129" s="1148" t="s">
        <v>1642</v>
      </c>
      <c r="C129" s="1123"/>
      <c r="D129" s="1124"/>
      <c r="E129" s="1149">
        <v>6</v>
      </c>
      <c r="F129" s="1150" t="s">
        <v>240</v>
      </c>
      <c r="G129" s="1179">
        <v>1899</v>
      </c>
      <c r="H129" s="796">
        <f>ROUND(E129*G129,)</f>
        <v>11394</v>
      </c>
      <c r="I129" s="1181">
        <v>600</v>
      </c>
      <c r="J129" s="796">
        <f>ROUND(E129*I129,)</f>
        <v>3600</v>
      </c>
      <c r="K129" s="797">
        <f>H129+J129</f>
        <v>14994</v>
      </c>
      <c r="L129" s="1182"/>
    </row>
    <row r="130" spans="1:12">
      <c r="A130" s="1147" t="s">
        <v>1770</v>
      </c>
      <c r="B130" s="1148" t="s">
        <v>1649</v>
      </c>
      <c r="C130" s="1123"/>
      <c r="D130" s="1124"/>
      <c r="E130" s="1149"/>
      <c r="F130" s="1150"/>
      <c r="G130" s="1179"/>
      <c r="H130" s="796"/>
      <c r="I130" s="1181"/>
      <c r="J130" s="796"/>
      <c r="K130" s="797"/>
      <c r="L130" s="1182"/>
    </row>
    <row r="131" spans="1:12">
      <c r="A131" s="1147"/>
      <c r="B131" s="1148" t="s">
        <v>1650</v>
      </c>
      <c r="C131" s="1123"/>
      <c r="D131" s="1124"/>
      <c r="E131" s="1149">
        <v>2</v>
      </c>
      <c r="F131" s="1150" t="s">
        <v>240</v>
      </c>
      <c r="G131" s="1179">
        <v>1316</v>
      </c>
      <c r="H131" s="796">
        <f t="shared" ref="H131" si="47">ROUND(E131*G131,)</f>
        <v>2632</v>
      </c>
      <c r="I131" s="1181">
        <v>200</v>
      </c>
      <c r="J131" s="796">
        <f t="shared" ref="J131" si="48">ROUND(E131*I131,)</f>
        <v>400</v>
      </c>
      <c r="K131" s="797">
        <f t="shared" ref="K131" si="49">H131+J131</f>
        <v>3032</v>
      </c>
      <c r="L131" s="1718" t="s">
        <v>2915</v>
      </c>
    </row>
    <row r="132" spans="1:12">
      <c r="A132" s="1147" t="s">
        <v>1713</v>
      </c>
      <c r="B132" s="1148" t="s">
        <v>1762</v>
      </c>
      <c r="C132" s="1123"/>
      <c r="D132" s="1124"/>
      <c r="E132" s="1149"/>
      <c r="F132" s="1150"/>
      <c r="G132" s="1179"/>
      <c r="H132" s="796"/>
      <c r="I132" s="1181"/>
      <c r="J132" s="796"/>
      <c r="K132" s="797"/>
      <c r="L132" s="1182"/>
    </row>
    <row r="133" spans="1:12">
      <c r="A133" s="1147"/>
      <c r="B133" s="1148" t="s">
        <v>1764</v>
      </c>
      <c r="C133" s="1123"/>
      <c r="D133" s="1124"/>
      <c r="E133" s="1149">
        <v>4</v>
      </c>
      <c r="F133" s="1150" t="s">
        <v>240</v>
      </c>
      <c r="G133" s="1179">
        <v>5603</v>
      </c>
      <c r="H133" s="796">
        <f t="shared" ref="H133" si="50">ROUND(E133*G133,)</f>
        <v>22412</v>
      </c>
      <c r="I133" s="1181">
        <v>330</v>
      </c>
      <c r="J133" s="796">
        <f t="shared" ref="J133" si="51">ROUND(I133*E133,)</f>
        <v>1320</v>
      </c>
      <c r="K133" s="797">
        <f t="shared" ref="K133" si="52">H133+J133</f>
        <v>23732</v>
      </c>
      <c r="L133" s="1182"/>
    </row>
    <row r="134" spans="1:12">
      <c r="A134" s="1147"/>
      <c r="B134" s="1187"/>
      <c r="C134" s="1123"/>
      <c r="D134" s="1124"/>
      <c r="E134" s="1149"/>
      <c r="F134" s="1150"/>
      <c r="G134" s="1179"/>
      <c r="H134" s="796"/>
      <c r="I134" s="1181"/>
      <c r="J134" s="796"/>
      <c r="K134" s="914"/>
      <c r="L134" s="1182"/>
    </row>
    <row r="135" spans="1:12">
      <c r="A135" s="1166"/>
      <c r="B135" s="2475" t="str">
        <f>"รวมราคารายการที่ "&amp;A117</f>
        <v>รวมราคารายการที่ 5.4</v>
      </c>
      <c r="C135" s="2476"/>
      <c r="D135" s="2477"/>
      <c r="E135" s="2264"/>
      <c r="F135" s="1167"/>
      <c r="G135" s="1168"/>
      <c r="H135" s="1169">
        <f>SUM(H118:H133)</f>
        <v>101718</v>
      </c>
      <c r="I135" s="1170"/>
      <c r="J135" s="1169">
        <f>SUM(J118:J133)</f>
        <v>29495</v>
      </c>
      <c r="K135" s="1169">
        <f>SUM(K118:K133)</f>
        <v>131213</v>
      </c>
      <c r="L135" s="1171"/>
    </row>
  </sheetData>
  <mergeCells count="13"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64:D64"/>
    <mergeCell ref="B92:D92"/>
    <mergeCell ref="B116:D116"/>
    <mergeCell ref="B135:D135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1-อาคารสนับนุน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2B256-CD23-4343-9F8E-DDA103336E21}">
  <sheetPr>
    <tabColor rgb="FF92D050"/>
  </sheetPr>
  <dimension ref="A1:O135"/>
  <sheetViews>
    <sheetView showGridLines="0" tabSelected="1" view="pageBreakPreview" topLeftCell="A109" zoomScale="55" zoomScaleNormal="60" zoomScaleSheetLayoutView="5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" style="1" customWidth="1"/>
    <col min="13" max="91" width="7.703125" style="1" customWidth="1"/>
    <col min="92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1635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 t="s">
        <v>29</v>
      </c>
      <c r="B11" s="1151" t="s">
        <v>1771</v>
      </c>
      <c r="C11" s="1123"/>
      <c r="D11" s="1124"/>
      <c r="E11" s="1149"/>
      <c r="F11" s="1150"/>
      <c r="G11" s="710"/>
      <c r="H11" s="711"/>
      <c r="I11" s="712"/>
      <c r="J11" s="711"/>
      <c r="K11" s="1129"/>
      <c r="L11" s="1024"/>
    </row>
    <row r="12" spans="1:12" s="714" customFormat="1" ht="24" customHeight="1">
      <c r="A12" s="1147" t="str">
        <f>A36</f>
        <v>5.1</v>
      </c>
      <c r="B12" s="1148" t="str">
        <f>B36</f>
        <v>ระบบน้ำประปา (Cold Water Supply System)</v>
      </c>
      <c r="C12" s="1123"/>
      <c r="D12" s="1124"/>
      <c r="E12" s="1149">
        <v>1</v>
      </c>
      <c r="F12" s="1150" t="s">
        <v>19</v>
      </c>
      <c r="G12" s="710"/>
      <c r="H12" s="711">
        <f>H65</f>
        <v>173144</v>
      </c>
      <c r="I12" s="712"/>
      <c r="J12" s="711">
        <f>J65</f>
        <v>55657</v>
      </c>
      <c r="K12" s="1129">
        <f t="shared" ref="K12:K15" si="0">SUM(H12:J12)</f>
        <v>228801</v>
      </c>
      <c r="L12" s="1024"/>
    </row>
    <row r="13" spans="1:12" s="714" customFormat="1" ht="24" customHeight="1">
      <c r="A13" s="1159" t="str">
        <f>A66</f>
        <v>5.2</v>
      </c>
      <c r="B13" s="1160" t="str">
        <f>B66</f>
        <v xml:space="preserve">ระบบระบายน้ำโสโครก น้ำทิ้ง ระบายอากาศ และ ท่อน้ำทิ้งจากห้องครัว </v>
      </c>
      <c r="C13" s="1161"/>
      <c r="D13" s="1162"/>
      <c r="E13" s="1183">
        <v>1</v>
      </c>
      <c r="F13" s="1163" t="s">
        <v>19</v>
      </c>
      <c r="G13" s="1164"/>
      <c r="H13" s="957">
        <f>H96</f>
        <v>388161</v>
      </c>
      <c r="I13" s="1165"/>
      <c r="J13" s="957">
        <f>J96</f>
        <v>133484</v>
      </c>
      <c r="K13" s="1129">
        <f t="shared" si="0"/>
        <v>521645</v>
      </c>
      <c r="L13" s="954"/>
    </row>
    <row r="14" spans="1:12" s="714" customFormat="1" ht="24" customHeight="1">
      <c r="A14" s="1159">
        <f>A97</f>
        <v>5.3</v>
      </c>
      <c r="B14" s="1160" t="str">
        <f>B97</f>
        <v>ระบบระบายน้ำฝนและระบายน้ำในอาคาร (Storm Drain &amp; Building Drain System)</v>
      </c>
      <c r="C14" s="1161"/>
      <c r="D14" s="1162"/>
      <c r="E14" s="1183">
        <v>1</v>
      </c>
      <c r="F14" s="1163" t="s">
        <v>19</v>
      </c>
      <c r="G14" s="1164"/>
      <c r="H14" s="957">
        <f>H109</f>
        <v>2076</v>
      </c>
      <c r="I14" s="1165"/>
      <c r="J14" s="957">
        <f>J109</f>
        <v>755</v>
      </c>
      <c r="K14" s="1129">
        <f t="shared" si="0"/>
        <v>2831</v>
      </c>
      <c r="L14" s="1024"/>
    </row>
    <row r="15" spans="1:12" s="714" customFormat="1" ht="24" customHeight="1">
      <c r="A15" s="1159" t="str">
        <f>A110</f>
        <v>5.4</v>
      </c>
      <c r="B15" s="1160" t="str">
        <f>B110</f>
        <v>ระบบน้ำชำระสุขภัณฑ์ (Flush Water System)</v>
      </c>
      <c r="C15" s="1161"/>
      <c r="D15" s="1162"/>
      <c r="E15" s="1183">
        <v>1</v>
      </c>
      <c r="F15" s="1163" t="s">
        <v>19</v>
      </c>
      <c r="G15" s="1164"/>
      <c r="H15" s="957">
        <f>H135</f>
        <v>104671</v>
      </c>
      <c r="I15" s="1165"/>
      <c r="J15" s="957">
        <f>J135</f>
        <v>30889</v>
      </c>
      <c r="K15" s="1129">
        <f t="shared" si="0"/>
        <v>135560</v>
      </c>
      <c r="L15" s="1024"/>
    </row>
    <row r="16" spans="1:12" s="714" customFormat="1" ht="24" customHeight="1">
      <c r="A16" s="1147"/>
      <c r="B16" s="1148"/>
      <c r="C16" s="1123"/>
      <c r="D16" s="1124"/>
      <c r="E16" s="1149"/>
      <c r="F16" s="1150"/>
      <c r="G16" s="710"/>
      <c r="H16" s="711"/>
      <c r="I16" s="712"/>
      <c r="J16" s="711"/>
      <c r="K16" s="1129"/>
      <c r="L16" s="1024"/>
    </row>
    <row r="17" spans="1:12" s="714" customFormat="1" ht="24" customHeight="1">
      <c r="A17" s="1147"/>
      <c r="B17" s="1148"/>
      <c r="C17" s="1123"/>
      <c r="D17" s="1124"/>
      <c r="E17" s="1149"/>
      <c r="F17" s="1150"/>
      <c r="G17" s="710"/>
      <c r="H17" s="711"/>
      <c r="I17" s="712"/>
      <c r="J17" s="711"/>
      <c r="K17" s="1129"/>
      <c r="L17" s="1024"/>
    </row>
    <row r="18" spans="1:12" s="714" customFormat="1" ht="24" customHeight="1">
      <c r="A18" s="1147"/>
      <c r="B18" s="1148"/>
      <c r="C18" s="1123"/>
      <c r="D18" s="1124"/>
      <c r="E18" s="1149"/>
      <c r="F18" s="1150"/>
      <c r="G18" s="710"/>
      <c r="H18" s="711"/>
      <c r="I18" s="712"/>
      <c r="J18" s="711"/>
      <c r="K18" s="1129"/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3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3" s="714" customFormat="1" ht="30" customHeight="1">
      <c r="A34" s="1166"/>
      <c r="B34" s="2475" t="str">
        <f>"รวมราคา"&amp;B11</f>
        <v>รวมราคางานระบบสุขาภิบาล ชั้น 2</v>
      </c>
      <c r="C34" s="2476"/>
      <c r="D34" s="2477"/>
      <c r="E34" s="1167"/>
      <c r="F34" s="1167"/>
      <c r="G34" s="1168"/>
      <c r="H34" s="1169">
        <f>SUM(H11:H33)</f>
        <v>668052</v>
      </c>
      <c r="I34" s="1170"/>
      <c r="J34" s="1169">
        <f>SUM(J11:J33)</f>
        <v>220785</v>
      </c>
      <c r="K34" s="1171">
        <f>SUM(K11:K33)</f>
        <v>888837</v>
      </c>
      <c r="L34" s="1171"/>
      <c r="M34" s="729"/>
    </row>
    <row r="35" spans="1:13" s="714" customFormat="1" ht="24" customHeight="1">
      <c r="A35" s="1011"/>
      <c r="B35" s="1173" t="s">
        <v>30</v>
      </c>
      <c r="C35" s="859"/>
      <c r="D35" s="859"/>
      <c r="E35" s="1216"/>
      <c r="F35" s="935"/>
      <c r="G35" s="1174"/>
      <c r="H35" s="1175"/>
      <c r="I35" s="1176"/>
      <c r="J35" s="1175"/>
      <c r="K35" s="1176"/>
      <c r="L35" s="825"/>
      <c r="M35" s="729"/>
    </row>
    <row r="36" spans="1:13" s="714" customFormat="1" ht="24" customHeight="1">
      <c r="A36" s="1177" t="s">
        <v>1637</v>
      </c>
      <c r="B36" s="1151" t="s">
        <v>1638</v>
      </c>
      <c r="C36" s="1178"/>
      <c r="D36" s="1124"/>
      <c r="E36" s="1149"/>
      <c r="F36" s="1150"/>
      <c r="G36" s="1179"/>
      <c r="H36" s="1180"/>
      <c r="I36" s="1181"/>
      <c r="J36" s="1180"/>
      <c r="K36" s="1181"/>
      <c r="L36" s="1182"/>
      <c r="M36" s="729"/>
    </row>
    <row r="37" spans="1:13" s="714" customFormat="1" ht="24" customHeight="1">
      <c r="A37" s="1147" t="s">
        <v>1639</v>
      </c>
      <c r="B37" s="1148" t="s">
        <v>1746</v>
      </c>
      <c r="C37" s="1123"/>
      <c r="D37" s="1124"/>
      <c r="E37" s="1149"/>
      <c r="F37" s="1150"/>
      <c r="G37" s="1179"/>
      <c r="H37" s="796"/>
      <c r="I37" s="1181"/>
      <c r="J37" s="796"/>
      <c r="K37" s="797"/>
      <c r="L37" s="1182"/>
      <c r="M37" s="729"/>
    </row>
    <row r="38" spans="1:13" s="714" customFormat="1" ht="24" customHeight="1">
      <c r="A38" s="1147"/>
      <c r="B38" s="1148" t="s">
        <v>1715</v>
      </c>
      <c r="C38" s="1123"/>
      <c r="D38" s="1124"/>
      <c r="E38" s="1149">
        <v>693</v>
      </c>
      <c r="F38" s="1150" t="s">
        <v>438</v>
      </c>
      <c r="G38" s="1179">
        <v>35</v>
      </c>
      <c r="H38" s="796">
        <f t="shared" ref="H38:H56" si="1">ROUND(E38*G38,)</f>
        <v>24255</v>
      </c>
      <c r="I38" s="1181">
        <v>30</v>
      </c>
      <c r="J38" s="796">
        <f t="shared" ref="J38:J46" si="2">ROUND(E38*I38,)</f>
        <v>20790</v>
      </c>
      <c r="K38" s="797">
        <f t="shared" ref="K38:K46" si="3">H38+J38</f>
        <v>45045</v>
      </c>
      <c r="L38" s="1182"/>
      <c r="M38" s="729"/>
    </row>
    <row r="39" spans="1:13" s="714" customFormat="1" ht="24" customHeight="1">
      <c r="A39" s="1147"/>
      <c r="B39" s="1148" t="s">
        <v>1650</v>
      </c>
      <c r="C39" s="1123"/>
      <c r="D39" s="1124"/>
      <c r="E39" s="1149">
        <v>55</v>
      </c>
      <c r="F39" s="1150" t="s">
        <v>438</v>
      </c>
      <c r="G39" s="1179">
        <v>46</v>
      </c>
      <c r="H39" s="796">
        <f t="shared" si="1"/>
        <v>2530</v>
      </c>
      <c r="I39" s="1181">
        <v>30</v>
      </c>
      <c r="J39" s="796">
        <f t="shared" si="2"/>
        <v>1650</v>
      </c>
      <c r="K39" s="797">
        <f t="shared" si="3"/>
        <v>4180</v>
      </c>
      <c r="L39" s="1182"/>
      <c r="M39" s="729"/>
    </row>
    <row r="40" spans="1:13" s="714" customFormat="1" ht="24" customHeight="1">
      <c r="A40" s="1147"/>
      <c r="B40" s="1148" t="s">
        <v>1760</v>
      </c>
      <c r="C40" s="1123"/>
      <c r="D40" s="1124"/>
      <c r="E40" s="1149">
        <v>12</v>
      </c>
      <c r="F40" s="1150" t="s">
        <v>438</v>
      </c>
      <c r="G40" s="1179">
        <v>113</v>
      </c>
      <c r="H40" s="796">
        <f t="shared" si="1"/>
        <v>1356</v>
      </c>
      <c r="I40" s="1181">
        <v>50</v>
      </c>
      <c r="J40" s="796">
        <f t="shared" si="2"/>
        <v>600</v>
      </c>
      <c r="K40" s="797">
        <f t="shared" si="3"/>
        <v>1956</v>
      </c>
      <c r="L40" s="1182"/>
      <c r="M40" s="729"/>
    </row>
    <row r="41" spans="1:13" s="714" customFormat="1" ht="24" customHeight="1">
      <c r="A41" s="1147"/>
      <c r="B41" s="1148" t="s">
        <v>1761</v>
      </c>
      <c r="C41" s="1123"/>
      <c r="D41" s="1124"/>
      <c r="E41" s="1149">
        <v>80</v>
      </c>
      <c r="F41" s="1150" t="s">
        <v>438</v>
      </c>
      <c r="G41" s="1179">
        <v>193</v>
      </c>
      <c r="H41" s="796">
        <f t="shared" si="1"/>
        <v>15440</v>
      </c>
      <c r="I41" s="1181">
        <v>75</v>
      </c>
      <c r="J41" s="796">
        <f t="shared" si="2"/>
        <v>6000</v>
      </c>
      <c r="K41" s="797">
        <f t="shared" si="3"/>
        <v>21440</v>
      </c>
      <c r="L41" s="1182"/>
      <c r="M41" s="729"/>
    </row>
    <row r="42" spans="1:13" s="714" customFormat="1" ht="24" customHeight="1">
      <c r="A42" s="1147"/>
      <c r="B42" s="1148" t="s">
        <v>1661</v>
      </c>
      <c r="C42" s="1123"/>
      <c r="D42" s="1124"/>
      <c r="E42" s="1149">
        <v>25</v>
      </c>
      <c r="F42" s="1150" t="s">
        <v>438</v>
      </c>
      <c r="G42" s="1179">
        <v>287</v>
      </c>
      <c r="H42" s="796">
        <f t="shared" si="1"/>
        <v>7175</v>
      </c>
      <c r="I42" s="1181">
        <v>100</v>
      </c>
      <c r="J42" s="796">
        <f t="shared" si="2"/>
        <v>2500</v>
      </c>
      <c r="K42" s="797">
        <f t="shared" si="3"/>
        <v>9675</v>
      </c>
      <c r="L42" s="1182"/>
      <c r="M42" s="729"/>
    </row>
    <row r="43" spans="1:13" s="714" customFormat="1" ht="24" customHeight="1">
      <c r="A43" s="1147"/>
      <c r="B43" s="1148" t="s">
        <v>1642</v>
      </c>
      <c r="C43" s="1123"/>
      <c r="D43" s="1124"/>
      <c r="E43" s="1149">
        <v>9</v>
      </c>
      <c r="F43" s="1150" t="s">
        <v>438</v>
      </c>
      <c r="G43" s="1179">
        <v>562</v>
      </c>
      <c r="H43" s="796">
        <f t="shared" si="1"/>
        <v>5058</v>
      </c>
      <c r="I43" s="1181">
        <v>120</v>
      </c>
      <c r="J43" s="796">
        <f t="shared" si="2"/>
        <v>1080</v>
      </c>
      <c r="K43" s="797">
        <f t="shared" si="3"/>
        <v>6138</v>
      </c>
      <c r="L43" s="1182"/>
      <c r="M43" s="729"/>
    </row>
    <row r="44" spans="1:13" s="714" customFormat="1" ht="24" customHeight="1">
      <c r="A44" s="1147"/>
      <c r="B44" s="1148" t="s">
        <v>1645</v>
      </c>
      <c r="C44" s="1123"/>
      <c r="D44" s="1124"/>
      <c r="E44" s="1149">
        <v>1</v>
      </c>
      <c r="F44" s="1150" t="s">
        <v>948</v>
      </c>
      <c r="G44" s="1179">
        <f>SUM(H38:H43)*50%</f>
        <v>27907</v>
      </c>
      <c r="H44" s="796">
        <f t="shared" si="1"/>
        <v>27907</v>
      </c>
      <c r="I44" s="1181">
        <f t="shared" ref="I44:I46" si="4">ROUNDUP(G44*30%,0)</f>
        <v>8373</v>
      </c>
      <c r="J44" s="796">
        <f t="shared" si="2"/>
        <v>8373</v>
      </c>
      <c r="K44" s="797">
        <f t="shared" si="3"/>
        <v>36280</v>
      </c>
      <c r="L44" s="1182"/>
      <c r="M44" s="729"/>
    </row>
    <row r="45" spans="1:13" s="714" customFormat="1" ht="24" customHeight="1">
      <c r="A45" s="1147"/>
      <c r="B45" s="1148" t="s">
        <v>1646</v>
      </c>
      <c r="C45" s="1123"/>
      <c r="D45" s="1124"/>
      <c r="E45" s="1149">
        <v>1</v>
      </c>
      <c r="F45" s="1150" t="s">
        <v>948</v>
      </c>
      <c r="G45" s="1179">
        <f>ROUND(SUM(H38:H43)*20%,)</f>
        <v>11163</v>
      </c>
      <c r="H45" s="796">
        <f t="shared" si="1"/>
        <v>11163</v>
      </c>
      <c r="I45" s="1181">
        <f t="shared" si="4"/>
        <v>3349</v>
      </c>
      <c r="J45" s="796">
        <f t="shared" si="2"/>
        <v>3349</v>
      </c>
      <c r="K45" s="797">
        <f t="shared" si="3"/>
        <v>14512</v>
      </c>
      <c r="L45" s="1182"/>
      <c r="M45" s="729"/>
    </row>
    <row r="46" spans="1:13" s="714" customFormat="1" ht="24" customHeight="1">
      <c r="A46" s="1147"/>
      <c r="B46" s="1148" t="s">
        <v>1647</v>
      </c>
      <c r="C46" s="1123"/>
      <c r="D46" s="1124"/>
      <c r="E46" s="1149">
        <v>1</v>
      </c>
      <c r="F46" s="1150" t="s">
        <v>948</v>
      </c>
      <c r="G46" s="1179">
        <f>ROUND(SUM(H38:H43)*10%,)</f>
        <v>5581</v>
      </c>
      <c r="H46" s="796">
        <f t="shared" si="1"/>
        <v>5581</v>
      </c>
      <c r="I46" s="1181">
        <f t="shared" si="4"/>
        <v>1675</v>
      </c>
      <c r="J46" s="796">
        <f t="shared" si="2"/>
        <v>1675</v>
      </c>
      <c r="K46" s="797">
        <f t="shared" si="3"/>
        <v>7256</v>
      </c>
      <c r="L46" s="1182"/>
      <c r="M46" s="729"/>
    </row>
    <row r="47" spans="1:13" s="714" customFormat="1" ht="24" customHeight="1">
      <c r="A47" s="1147" t="s">
        <v>1648</v>
      </c>
      <c r="B47" s="1148" t="s">
        <v>1649</v>
      </c>
      <c r="C47" s="1123"/>
      <c r="D47" s="1124"/>
      <c r="E47" s="1149"/>
      <c r="F47" s="1150"/>
      <c r="G47" s="1179"/>
      <c r="H47" s="796"/>
      <c r="I47" s="1181"/>
      <c r="J47" s="796"/>
      <c r="K47" s="797"/>
      <c r="L47" s="1182"/>
      <c r="M47" s="729"/>
    </row>
    <row r="48" spans="1:13" s="714" customFormat="1" ht="24" customHeight="1">
      <c r="A48" s="1147"/>
      <c r="B48" s="1148" t="s">
        <v>1715</v>
      </c>
      <c r="C48" s="1123"/>
      <c r="D48" s="1124"/>
      <c r="E48" s="1149">
        <v>6</v>
      </c>
      <c r="F48" s="1150" t="s">
        <v>240</v>
      </c>
      <c r="G48" s="1179">
        <v>880</v>
      </c>
      <c r="H48" s="796">
        <f t="shared" si="1"/>
        <v>5280</v>
      </c>
      <c r="I48" s="1181">
        <v>150</v>
      </c>
      <c r="J48" s="796">
        <f t="shared" ref="J48:J51" si="5">ROUND(E48*I48,)</f>
        <v>900</v>
      </c>
      <c r="K48" s="797">
        <f t="shared" ref="K48:K51" si="6">H48+J48</f>
        <v>6180</v>
      </c>
      <c r="L48" s="2273" t="s">
        <v>2974</v>
      </c>
      <c r="M48" s="729"/>
    </row>
    <row r="49" spans="1:13" s="714" customFormat="1" ht="24" customHeight="1">
      <c r="A49" s="1147"/>
      <c r="B49" s="1148" t="s">
        <v>1650</v>
      </c>
      <c r="C49" s="1123"/>
      <c r="D49" s="1124"/>
      <c r="E49" s="1149">
        <v>10</v>
      </c>
      <c r="F49" s="1150" t="s">
        <v>240</v>
      </c>
      <c r="G49" s="1179">
        <v>1316</v>
      </c>
      <c r="H49" s="796">
        <f t="shared" si="1"/>
        <v>13160</v>
      </c>
      <c r="I49" s="1181">
        <v>200</v>
      </c>
      <c r="J49" s="796">
        <f t="shared" si="5"/>
        <v>2000</v>
      </c>
      <c r="K49" s="797">
        <f t="shared" si="6"/>
        <v>15160</v>
      </c>
      <c r="L49" s="2273" t="s">
        <v>2974</v>
      </c>
      <c r="M49" s="729"/>
    </row>
    <row r="50" spans="1:13" s="714" customFormat="1" ht="24" customHeight="1">
      <c r="A50" s="1147"/>
      <c r="B50" s="1148" t="s">
        <v>1760</v>
      </c>
      <c r="C50" s="1123"/>
      <c r="D50" s="1124"/>
      <c r="E50" s="1149">
        <v>1</v>
      </c>
      <c r="F50" s="1150" t="s">
        <v>240</v>
      </c>
      <c r="G50" s="1179">
        <v>2610</v>
      </c>
      <c r="H50" s="796">
        <f t="shared" si="1"/>
        <v>2610</v>
      </c>
      <c r="I50" s="1181">
        <v>300</v>
      </c>
      <c r="J50" s="796">
        <f t="shared" si="5"/>
        <v>300</v>
      </c>
      <c r="K50" s="797">
        <f t="shared" si="6"/>
        <v>2910</v>
      </c>
      <c r="L50" s="2273" t="s">
        <v>2974</v>
      </c>
      <c r="M50" s="729"/>
    </row>
    <row r="51" spans="1:13" s="714" customFormat="1" ht="24" customHeight="1">
      <c r="A51" s="1147"/>
      <c r="B51" s="1148" t="s">
        <v>1761</v>
      </c>
      <c r="C51" s="1123"/>
      <c r="D51" s="1124"/>
      <c r="E51" s="1149">
        <v>2</v>
      </c>
      <c r="F51" s="1150" t="s">
        <v>240</v>
      </c>
      <c r="G51" s="1174">
        <v>4070</v>
      </c>
      <c r="H51" s="796">
        <f t="shared" si="1"/>
        <v>8140</v>
      </c>
      <c r="I51" s="1176">
        <v>400</v>
      </c>
      <c r="J51" s="796">
        <f t="shared" si="5"/>
        <v>800</v>
      </c>
      <c r="K51" s="797">
        <f t="shared" si="6"/>
        <v>8940</v>
      </c>
      <c r="L51" s="2273" t="s">
        <v>2974</v>
      </c>
      <c r="M51" s="729"/>
    </row>
    <row r="52" spans="1:13" s="714" customFormat="1" ht="24" customHeight="1">
      <c r="A52" s="1147" t="s">
        <v>1651</v>
      </c>
      <c r="B52" s="1148" t="s">
        <v>1748</v>
      </c>
      <c r="C52" s="1123"/>
      <c r="D52" s="1124"/>
      <c r="E52" s="1149"/>
      <c r="F52" s="1150"/>
      <c r="G52" s="1179"/>
      <c r="H52" s="796"/>
      <c r="I52" s="1181"/>
      <c r="J52" s="796"/>
      <c r="K52" s="797"/>
      <c r="L52" s="1182"/>
      <c r="M52" s="729"/>
    </row>
    <row r="53" spans="1:13" s="714" customFormat="1" ht="24" customHeight="1">
      <c r="A53" s="1147"/>
      <c r="B53" s="1148" t="s">
        <v>1749</v>
      </c>
      <c r="C53" s="1123"/>
      <c r="D53" s="1124"/>
      <c r="E53" s="1149">
        <v>6</v>
      </c>
      <c r="F53" s="1150" t="s">
        <v>240</v>
      </c>
      <c r="G53" s="1188">
        <v>210</v>
      </c>
      <c r="H53" s="796">
        <f t="shared" ref="H53" si="7">ROUND(E53*G53,)</f>
        <v>1260</v>
      </c>
      <c r="I53" s="1181">
        <v>100</v>
      </c>
      <c r="J53" s="796">
        <f t="shared" ref="J53" si="8">ROUND(E53*I53,)</f>
        <v>600</v>
      </c>
      <c r="K53" s="797">
        <f t="shared" ref="K53" si="9">H53+J53</f>
        <v>1860</v>
      </c>
      <c r="L53" s="1182"/>
      <c r="M53" s="729"/>
    </row>
    <row r="54" spans="1:13" s="714" customFormat="1" ht="24" customHeight="1">
      <c r="A54" s="1147" t="s">
        <v>1653</v>
      </c>
      <c r="B54" s="1148" t="s">
        <v>1652</v>
      </c>
      <c r="C54" s="1123"/>
      <c r="D54" s="1124"/>
      <c r="E54" s="1149"/>
      <c r="F54" s="1150"/>
      <c r="G54" s="1179"/>
      <c r="H54" s="796"/>
      <c r="I54" s="1181"/>
      <c r="J54" s="796"/>
      <c r="K54" s="797"/>
      <c r="L54" s="1182"/>
      <c r="M54" s="729"/>
    </row>
    <row r="55" spans="1:13" s="714" customFormat="1" ht="24" customHeight="1">
      <c r="A55" s="1147"/>
      <c r="B55" s="1148" t="s">
        <v>1661</v>
      </c>
      <c r="C55" s="1123"/>
      <c r="D55" s="1124"/>
      <c r="E55" s="1149">
        <v>2</v>
      </c>
      <c r="F55" s="1150" t="s">
        <v>240</v>
      </c>
      <c r="G55" s="1179">
        <v>1742</v>
      </c>
      <c r="H55" s="796">
        <f t="shared" si="1"/>
        <v>3484</v>
      </c>
      <c r="I55" s="1181">
        <v>500</v>
      </c>
      <c r="J55" s="796">
        <f t="shared" ref="J55:J56" si="10">ROUND(E55*I55,)</f>
        <v>1000</v>
      </c>
      <c r="K55" s="797">
        <f t="shared" ref="K55:K56" si="11">H55+J55</f>
        <v>4484</v>
      </c>
      <c r="L55" s="1182"/>
      <c r="M55" s="729"/>
    </row>
    <row r="56" spans="1:13" s="714" customFormat="1" ht="24" customHeight="1">
      <c r="A56" s="1147"/>
      <c r="B56" s="1148" t="s">
        <v>1642</v>
      </c>
      <c r="C56" s="1123"/>
      <c r="D56" s="1124"/>
      <c r="E56" s="1149">
        <v>2</v>
      </c>
      <c r="F56" s="1150" t="s">
        <v>240</v>
      </c>
      <c r="G56" s="1179">
        <v>1899</v>
      </c>
      <c r="H56" s="796">
        <f t="shared" si="1"/>
        <v>3798</v>
      </c>
      <c r="I56" s="1181">
        <v>600</v>
      </c>
      <c r="J56" s="796">
        <f t="shared" si="10"/>
        <v>1200</v>
      </c>
      <c r="K56" s="797">
        <f t="shared" si="11"/>
        <v>4998</v>
      </c>
      <c r="L56" s="1182"/>
      <c r="M56" s="729"/>
    </row>
    <row r="57" spans="1:13" s="714" customFormat="1" ht="24" customHeight="1">
      <c r="A57" s="1147" t="s">
        <v>1655</v>
      </c>
      <c r="B57" s="1148" t="s">
        <v>1762</v>
      </c>
      <c r="C57" s="1123"/>
      <c r="D57" s="1124"/>
      <c r="E57" s="1149"/>
      <c r="F57" s="1150"/>
      <c r="G57" s="1179"/>
      <c r="H57" s="796"/>
      <c r="I57" s="1181"/>
      <c r="J57" s="796"/>
      <c r="K57" s="797"/>
      <c r="L57" s="1182"/>
      <c r="M57" s="729"/>
    </row>
    <row r="58" spans="1:13" s="714" customFormat="1" ht="24" customHeight="1">
      <c r="A58" s="1147"/>
      <c r="B58" s="1148" t="s">
        <v>1763</v>
      </c>
      <c r="C58" s="1123"/>
      <c r="D58" s="1124"/>
      <c r="E58" s="1149">
        <v>2</v>
      </c>
      <c r="F58" s="1150" t="s">
        <v>240</v>
      </c>
      <c r="G58" s="1179">
        <v>1095</v>
      </c>
      <c r="H58" s="796">
        <f t="shared" ref="H58:H59" si="12">ROUND(E58*G58,)</f>
        <v>2190</v>
      </c>
      <c r="I58" s="1181">
        <v>110</v>
      </c>
      <c r="J58" s="796">
        <f t="shared" ref="J58:J59" si="13">ROUND(I58*E58,)</f>
        <v>220</v>
      </c>
      <c r="K58" s="797">
        <f t="shared" ref="K58:K59" si="14">H58+J58</f>
        <v>2410</v>
      </c>
      <c r="L58" s="1182"/>
      <c r="M58" s="729"/>
    </row>
    <row r="59" spans="1:13" s="714" customFormat="1" ht="24" customHeight="1">
      <c r="A59" s="1147"/>
      <c r="B59" s="1148" t="s">
        <v>1764</v>
      </c>
      <c r="C59" s="1123"/>
      <c r="D59" s="1124"/>
      <c r="E59" s="1149">
        <v>4</v>
      </c>
      <c r="F59" s="1150" t="s">
        <v>240</v>
      </c>
      <c r="G59" s="1179">
        <v>5603</v>
      </c>
      <c r="H59" s="796">
        <f t="shared" si="12"/>
        <v>22412</v>
      </c>
      <c r="I59" s="1181">
        <v>330</v>
      </c>
      <c r="J59" s="796">
        <f t="shared" si="13"/>
        <v>1320</v>
      </c>
      <c r="K59" s="797">
        <f t="shared" si="14"/>
        <v>23732</v>
      </c>
      <c r="L59" s="1182"/>
      <c r="M59" s="729"/>
    </row>
    <row r="60" spans="1:13" s="714" customFormat="1" ht="24" customHeight="1">
      <c r="A60" s="1147" t="s">
        <v>1657</v>
      </c>
      <c r="B60" s="1148" t="s">
        <v>1750</v>
      </c>
      <c r="C60" s="1123"/>
      <c r="D60" s="1124"/>
      <c r="E60" s="1149"/>
      <c r="F60" s="1150"/>
      <c r="G60" s="1179"/>
      <c r="H60" s="796"/>
      <c r="I60" s="1181"/>
      <c r="J60" s="796"/>
      <c r="K60" s="797"/>
      <c r="L60" s="1182"/>
      <c r="M60" s="729"/>
    </row>
    <row r="61" spans="1:13" s="714" customFormat="1" ht="24" customHeight="1">
      <c r="A61" s="1147"/>
      <c r="B61" s="1148" t="s">
        <v>1749</v>
      </c>
      <c r="C61" s="1123"/>
      <c r="D61" s="1124"/>
      <c r="E61" s="1149">
        <v>6</v>
      </c>
      <c r="F61" s="1150" t="s">
        <v>240</v>
      </c>
      <c r="G61" s="1179">
        <v>120</v>
      </c>
      <c r="H61" s="796">
        <f t="shared" ref="H61" si="15">ROUND(E61*G61,)</f>
        <v>720</v>
      </c>
      <c r="I61" s="1181">
        <v>50</v>
      </c>
      <c r="J61" s="796">
        <f t="shared" ref="J61" si="16">ROUND(I61*E61,)</f>
        <v>300</v>
      </c>
      <c r="K61" s="797">
        <f t="shared" ref="K61" si="17">H61+J61</f>
        <v>1020</v>
      </c>
      <c r="L61" s="1182"/>
      <c r="M61" s="729"/>
    </row>
    <row r="62" spans="1:13" s="714" customFormat="1" ht="24" customHeight="1">
      <c r="A62" s="1147" t="s">
        <v>1659</v>
      </c>
      <c r="B62" s="1148" t="s">
        <v>1765</v>
      </c>
      <c r="C62" s="1123"/>
      <c r="D62" s="1124"/>
      <c r="E62" s="1149"/>
      <c r="F62" s="1150"/>
      <c r="G62" s="1179"/>
      <c r="H62" s="796"/>
      <c r="I62" s="1181"/>
      <c r="J62" s="796"/>
      <c r="K62" s="797"/>
      <c r="L62" s="1182"/>
      <c r="M62" s="729"/>
    </row>
    <row r="63" spans="1:13" s="714" customFormat="1" ht="24" customHeight="1">
      <c r="A63" s="1147"/>
      <c r="B63" s="1148" t="s">
        <v>1650</v>
      </c>
      <c r="C63" s="1123"/>
      <c r="D63" s="1124"/>
      <c r="E63" s="1149">
        <v>5</v>
      </c>
      <c r="F63" s="1150" t="s">
        <v>240</v>
      </c>
      <c r="G63" s="1179">
        <v>1925</v>
      </c>
      <c r="H63" s="796">
        <f t="shared" ref="H63" si="18">ROUND(E63*G63,)</f>
        <v>9625</v>
      </c>
      <c r="I63" s="1181">
        <v>200</v>
      </c>
      <c r="J63" s="796">
        <f t="shared" ref="J63" si="19">ROUND(I63*E63,)</f>
        <v>1000</v>
      </c>
      <c r="K63" s="797">
        <f t="shared" ref="K63" si="20">H63+J63</f>
        <v>10625</v>
      </c>
      <c r="L63" s="2273" t="s">
        <v>2974</v>
      </c>
      <c r="M63" s="729"/>
    </row>
    <row r="64" spans="1:13" s="714" customFormat="1" ht="24" customHeight="1">
      <c r="A64" s="704"/>
      <c r="B64" s="1228"/>
      <c r="C64" s="792"/>
      <c r="D64" s="792"/>
      <c r="E64" s="1229"/>
      <c r="F64" s="919"/>
      <c r="G64" s="1179"/>
      <c r="H64" s="796"/>
      <c r="I64" s="1181"/>
      <c r="J64" s="796"/>
      <c r="K64" s="797"/>
      <c r="L64" s="825"/>
      <c r="M64" s="729"/>
    </row>
    <row r="65" spans="1:15" s="714" customFormat="1" ht="24" customHeight="1">
      <c r="A65" s="1166"/>
      <c r="B65" s="2475" t="str">
        <f>"รวมราคารายการที่ "&amp;A36</f>
        <v>รวมราคารายการที่ 5.1</v>
      </c>
      <c r="C65" s="2476"/>
      <c r="D65" s="2477"/>
      <c r="E65" s="1167"/>
      <c r="F65" s="1167"/>
      <c r="G65" s="1168"/>
      <c r="H65" s="1169">
        <f>SUM(H37:H64)</f>
        <v>173144</v>
      </c>
      <c r="I65" s="1170"/>
      <c r="J65" s="1169">
        <f>SUM(J36:J64)</f>
        <v>55657</v>
      </c>
      <c r="K65" s="1171">
        <f>SUM(K36:K64)</f>
        <v>228801</v>
      </c>
      <c r="L65" s="1171"/>
    </row>
    <row r="66" spans="1:15" s="714" customFormat="1" ht="24" customHeight="1">
      <c r="A66" s="1195" t="s">
        <v>1664</v>
      </c>
      <c r="B66" s="1196" t="s">
        <v>1665</v>
      </c>
      <c r="C66" s="1197"/>
      <c r="D66" s="1198"/>
      <c r="E66" s="1199"/>
      <c r="F66" s="1200"/>
      <c r="G66" s="1201"/>
      <c r="H66" s="1202"/>
      <c r="I66" s="1203"/>
      <c r="J66" s="1202"/>
      <c r="K66" s="1204"/>
      <c r="L66" s="1204"/>
    </row>
    <row r="67" spans="1:15" s="714" customFormat="1" ht="24" customHeight="1">
      <c r="A67" s="1147" t="s">
        <v>1666</v>
      </c>
      <c r="B67" s="1148" t="s">
        <v>1766</v>
      </c>
      <c r="C67" s="1123"/>
      <c r="D67" s="1124"/>
      <c r="E67" s="1149"/>
      <c r="F67" s="1150"/>
      <c r="G67" s="1140"/>
      <c r="H67" s="796"/>
      <c r="I67" s="797"/>
      <c r="J67" s="796"/>
      <c r="K67" s="914"/>
      <c r="L67" s="914"/>
    </row>
    <row r="68" spans="1:15" s="714" customFormat="1" ht="24" customHeight="1">
      <c r="A68" s="1147"/>
      <c r="B68" s="1148" t="s">
        <v>1188</v>
      </c>
      <c r="C68" s="1123"/>
      <c r="D68" s="1124"/>
      <c r="E68" s="1149">
        <v>259</v>
      </c>
      <c r="F68" s="1150" t="s">
        <v>438</v>
      </c>
      <c r="G68" s="1140">
        <v>127</v>
      </c>
      <c r="H68" s="796">
        <f t="shared" ref="H68:H91" si="21">ROUND(E68*G68,)</f>
        <v>32893</v>
      </c>
      <c r="I68" s="797">
        <v>40</v>
      </c>
      <c r="J68" s="796">
        <f t="shared" ref="J68:J74" si="22">ROUND(I68*E68,)</f>
        <v>10360</v>
      </c>
      <c r="K68" s="914">
        <f t="shared" ref="K68:K74" si="23">H68+J68</f>
        <v>43253</v>
      </c>
      <c r="L68" s="914"/>
    </row>
    <row r="69" spans="1:15" s="714" customFormat="1" ht="24" customHeight="1">
      <c r="A69" s="1147"/>
      <c r="B69" s="1148" t="s">
        <v>1190</v>
      </c>
      <c r="C69" s="1123"/>
      <c r="D69" s="1124"/>
      <c r="E69" s="1149">
        <v>39</v>
      </c>
      <c r="F69" s="1150" t="s">
        <v>438</v>
      </c>
      <c r="G69" s="1140">
        <v>258</v>
      </c>
      <c r="H69" s="796">
        <f t="shared" si="21"/>
        <v>10062</v>
      </c>
      <c r="I69" s="797">
        <v>75</v>
      </c>
      <c r="J69" s="796">
        <f t="shared" si="22"/>
        <v>2925</v>
      </c>
      <c r="K69" s="914">
        <f t="shared" si="23"/>
        <v>12987</v>
      </c>
      <c r="L69" s="914"/>
    </row>
    <row r="70" spans="1:15" s="714" customFormat="1" ht="24" customHeight="1">
      <c r="A70" s="1147"/>
      <c r="B70" s="1148" t="s">
        <v>1674</v>
      </c>
      <c r="C70" s="1123"/>
      <c r="D70" s="1124"/>
      <c r="E70" s="1149">
        <v>181</v>
      </c>
      <c r="F70" s="1150" t="s">
        <v>438</v>
      </c>
      <c r="G70" s="1140">
        <v>395</v>
      </c>
      <c r="H70" s="796">
        <f t="shared" si="21"/>
        <v>71495</v>
      </c>
      <c r="I70" s="797">
        <v>120</v>
      </c>
      <c r="J70" s="796">
        <f t="shared" si="22"/>
        <v>21720</v>
      </c>
      <c r="K70" s="914">
        <f t="shared" si="23"/>
        <v>93215</v>
      </c>
      <c r="L70" s="914"/>
    </row>
    <row r="71" spans="1:15" s="714" customFormat="1" ht="24" customHeight="1">
      <c r="A71" s="1147"/>
      <c r="B71" s="1148" t="s">
        <v>1675</v>
      </c>
      <c r="C71" s="1123"/>
      <c r="D71" s="1124"/>
      <c r="E71" s="1149">
        <v>103</v>
      </c>
      <c r="F71" s="1150" t="s">
        <v>438</v>
      </c>
      <c r="G71" s="1140">
        <v>789</v>
      </c>
      <c r="H71" s="796">
        <f t="shared" si="21"/>
        <v>81267</v>
      </c>
      <c r="I71" s="797">
        <v>250</v>
      </c>
      <c r="J71" s="796">
        <f t="shared" si="22"/>
        <v>25750</v>
      </c>
      <c r="K71" s="914">
        <f t="shared" si="23"/>
        <v>107017</v>
      </c>
      <c r="L71" s="914"/>
    </row>
    <row r="72" spans="1:15" s="714" customFormat="1" ht="24" customHeight="1">
      <c r="A72" s="1147"/>
      <c r="B72" s="1148" t="s">
        <v>1645</v>
      </c>
      <c r="C72" s="1123"/>
      <c r="D72" s="1124"/>
      <c r="E72" s="1149">
        <v>1</v>
      </c>
      <c r="F72" s="1150" t="s">
        <v>948</v>
      </c>
      <c r="G72" s="1140">
        <f>ROUND(SUM(H68:H71)*40%,)</f>
        <v>78287</v>
      </c>
      <c r="H72" s="796">
        <f t="shared" si="21"/>
        <v>78287</v>
      </c>
      <c r="I72" s="1181">
        <f t="shared" ref="I72:I74" si="24">ROUNDUP(G72*30%,0)</f>
        <v>23487</v>
      </c>
      <c r="J72" s="796">
        <f t="shared" si="22"/>
        <v>23487</v>
      </c>
      <c r="K72" s="914">
        <f t="shared" si="23"/>
        <v>101774</v>
      </c>
      <c r="L72" s="914"/>
    </row>
    <row r="73" spans="1:15" s="714" customFormat="1" ht="24" customHeight="1">
      <c r="A73" s="1147"/>
      <c r="B73" s="1148" t="s">
        <v>1646</v>
      </c>
      <c r="C73" s="1123"/>
      <c r="D73" s="1124"/>
      <c r="E73" s="1149">
        <v>1</v>
      </c>
      <c r="F73" s="1150" t="s">
        <v>948</v>
      </c>
      <c r="G73" s="1140">
        <f>ROUND(SUM(H68:H71)*20%,)</f>
        <v>39143</v>
      </c>
      <c r="H73" s="796">
        <f t="shared" si="21"/>
        <v>39143</v>
      </c>
      <c r="I73" s="1181">
        <f t="shared" si="24"/>
        <v>11743</v>
      </c>
      <c r="J73" s="796">
        <f t="shared" si="22"/>
        <v>11743</v>
      </c>
      <c r="K73" s="914">
        <f t="shared" si="23"/>
        <v>50886</v>
      </c>
      <c r="L73" s="914"/>
    </row>
    <row r="74" spans="1:15" s="714" customFormat="1" ht="24" customHeight="1">
      <c r="A74" s="1147"/>
      <c r="B74" s="1148" t="s">
        <v>1677</v>
      </c>
      <c r="C74" s="1123"/>
      <c r="D74" s="1124"/>
      <c r="E74" s="1149">
        <v>1</v>
      </c>
      <c r="F74" s="1150" t="s">
        <v>948</v>
      </c>
      <c r="G74" s="1140">
        <f>ROUND(SUM(H68:H71)*10%,)</f>
        <v>19572</v>
      </c>
      <c r="H74" s="796">
        <f t="shared" si="21"/>
        <v>19572</v>
      </c>
      <c r="I74" s="1181">
        <f t="shared" si="24"/>
        <v>5872</v>
      </c>
      <c r="J74" s="796">
        <f t="shared" si="22"/>
        <v>5872</v>
      </c>
      <c r="K74" s="914">
        <f t="shared" si="23"/>
        <v>25444</v>
      </c>
      <c r="L74" s="914"/>
    </row>
    <row r="75" spans="1:15" s="714" customFormat="1" ht="24" customHeight="1">
      <c r="A75" s="1159" t="s">
        <v>1672</v>
      </c>
      <c r="B75" s="1160" t="s">
        <v>1772</v>
      </c>
      <c r="C75" s="1161"/>
      <c r="D75" s="1162"/>
      <c r="E75" s="1183"/>
      <c r="F75" s="1163"/>
      <c r="G75" s="1205"/>
      <c r="H75" s="872"/>
      <c r="I75" s="873"/>
      <c r="J75" s="872"/>
      <c r="K75" s="938"/>
      <c r="L75" s="938"/>
    </row>
    <row r="76" spans="1:15" s="714" customFormat="1" ht="24" customHeight="1">
      <c r="A76" s="1147"/>
      <c r="B76" s="1148" t="s">
        <v>1186</v>
      </c>
      <c r="C76" s="1123"/>
      <c r="D76" s="1124"/>
      <c r="E76" s="1149">
        <v>208</v>
      </c>
      <c r="F76" s="1150" t="s">
        <v>438</v>
      </c>
      <c r="G76" s="1140">
        <v>20</v>
      </c>
      <c r="H76" s="796">
        <f t="shared" si="21"/>
        <v>4160</v>
      </c>
      <c r="I76" s="797">
        <v>30</v>
      </c>
      <c r="J76" s="796">
        <f t="shared" ref="J76:J84" si="25">ROUND(I76*E76,)</f>
        <v>6240</v>
      </c>
      <c r="K76" s="914">
        <f t="shared" ref="K76:K84" si="26">H76+J76</f>
        <v>10400</v>
      </c>
      <c r="L76" s="2273" t="s">
        <v>2974</v>
      </c>
      <c r="N76" s="714">
        <v>79.17</v>
      </c>
      <c r="O76" s="714">
        <f>ROUND(N76/4,)</f>
        <v>20</v>
      </c>
    </row>
    <row r="77" spans="1:15" s="714" customFormat="1" ht="24" customHeight="1">
      <c r="A77" s="1147"/>
      <c r="B77" s="1148" t="s">
        <v>1187</v>
      </c>
      <c r="C77" s="1123"/>
      <c r="D77" s="1124"/>
      <c r="E77" s="1149">
        <v>6</v>
      </c>
      <c r="F77" s="1150" t="s">
        <v>438</v>
      </c>
      <c r="G77" s="1140">
        <v>26</v>
      </c>
      <c r="H77" s="796">
        <f t="shared" si="21"/>
        <v>156</v>
      </c>
      <c r="I77" s="797">
        <v>30</v>
      </c>
      <c r="J77" s="796">
        <f t="shared" si="25"/>
        <v>180</v>
      </c>
      <c r="K77" s="914">
        <f t="shared" si="26"/>
        <v>336</v>
      </c>
      <c r="L77" s="2273" t="s">
        <v>2974</v>
      </c>
      <c r="N77" s="714">
        <v>103.74</v>
      </c>
      <c r="O77" s="714">
        <f t="shared" ref="O77:O80" si="27">ROUND(N77/4,)</f>
        <v>26</v>
      </c>
    </row>
    <row r="78" spans="1:15" s="714" customFormat="1" ht="24" customHeight="1">
      <c r="A78" s="1147"/>
      <c r="B78" s="1148" t="s">
        <v>1188</v>
      </c>
      <c r="C78" s="1123"/>
      <c r="D78" s="1124"/>
      <c r="E78" s="1149">
        <v>51</v>
      </c>
      <c r="F78" s="1150" t="s">
        <v>438</v>
      </c>
      <c r="G78" s="1140">
        <v>41</v>
      </c>
      <c r="H78" s="796">
        <f t="shared" si="21"/>
        <v>2091</v>
      </c>
      <c r="I78" s="797">
        <v>40</v>
      </c>
      <c r="J78" s="796">
        <f t="shared" si="25"/>
        <v>2040</v>
      </c>
      <c r="K78" s="914">
        <f t="shared" si="26"/>
        <v>4131</v>
      </c>
      <c r="L78" s="2273" t="s">
        <v>2974</v>
      </c>
      <c r="N78" s="714">
        <v>163.80000000000001</v>
      </c>
      <c r="O78" s="714">
        <f t="shared" si="27"/>
        <v>41</v>
      </c>
    </row>
    <row r="79" spans="1:15" s="714" customFormat="1" ht="24" customHeight="1">
      <c r="A79" s="1147"/>
      <c r="B79" s="1148" t="s">
        <v>1189</v>
      </c>
      <c r="C79" s="1123"/>
      <c r="D79" s="1124"/>
      <c r="E79" s="1149">
        <v>95</v>
      </c>
      <c r="F79" s="1150" t="s">
        <v>438</v>
      </c>
      <c r="G79" s="1140">
        <v>65</v>
      </c>
      <c r="H79" s="796">
        <f t="shared" si="21"/>
        <v>6175</v>
      </c>
      <c r="I79" s="797">
        <v>50</v>
      </c>
      <c r="J79" s="796">
        <f t="shared" si="25"/>
        <v>4750</v>
      </c>
      <c r="K79" s="914">
        <f t="shared" si="26"/>
        <v>10925</v>
      </c>
      <c r="L79" s="2273" t="s">
        <v>2974</v>
      </c>
      <c r="N79" s="714">
        <v>259.35000000000002</v>
      </c>
      <c r="O79" s="714">
        <f t="shared" si="27"/>
        <v>65</v>
      </c>
    </row>
    <row r="80" spans="1:15" s="714" customFormat="1" ht="24" customHeight="1">
      <c r="A80" s="1147"/>
      <c r="B80" s="1148" t="s">
        <v>1190</v>
      </c>
      <c r="C80" s="1123"/>
      <c r="D80" s="1124"/>
      <c r="E80" s="1149">
        <v>19</v>
      </c>
      <c r="F80" s="1150" t="s">
        <v>438</v>
      </c>
      <c r="G80" s="1140">
        <v>90</v>
      </c>
      <c r="H80" s="796">
        <f t="shared" si="21"/>
        <v>1710</v>
      </c>
      <c r="I80" s="797">
        <v>75</v>
      </c>
      <c r="J80" s="796">
        <f t="shared" si="25"/>
        <v>1425</v>
      </c>
      <c r="K80" s="914">
        <f t="shared" si="26"/>
        <v>3135</v>
      </c>
      <c r="L80" s="2273" t="s">
        <v>2974</v>
      </c>
      <c r="N80" s="714">
        <v>359.45</v>
      </c>
      <c r="O80" s="714">
        <f t="shared" si="27"/>
        <v>90</v>
      </c>
    </row>
    <row r="81" spans="1:15" s="714" customFormat="1" ht="24" customHeight="1">
      <c r="A81" s="1147"/>
      <c r="B81" s="1187" t="s">
        <v>951</v>
      </c>
      <c r="C81" s="1123"/>
      <c r="D81" s="1124"/>
      <c r="E81" s="1149">
        <v>16</v>
      </c>
      <c r="F81" s="1150" t="s">
        <v>438</v>
      </c>
      <c r="G81" s="1140">
        <v>146</v>
      </c>
      <c r="H81" s="796">
        <f t="shared" si="21"/>
        <v>2336</v>
      </c>
      <c r="I81" s="797">
        <v>100</v>
      </c>
      <c r="J81" s="796">
        <f t="shared" si="25"/>
        <v>1600</v>
      </c>
      <c r="K81" s="914">
        <f t="shared" si="26"/>
        <v>3936</v>
      </c>
      <c r="L81" s="2273" t="s">
        <v>2974</v>
      </c>
      <c r="N81" s="714">
        <v>582.4</v>
      </c>
      <c r="O81" s="714">
        <f>ROUND(N81/4,)</f>
        <v>146</v>
      </c>
    </row>
    <row r="82" spans="1:15" s="714" customFormat="1" ht="24" customHeight="1">
      <c r="A82" s="1147"/>
      <c r="B82" s="1148" t="s">
        <v>1645</v>
      </c>
      <c r="C82" s="1123"/>
      <c r="D82" s="1124"/>
      <c r="E82" s="1149">
        <v>1</v>
      </c>
      <c r="F82" s="1150" t="s">
        <v>948</v>
      </c>
      <c r="G82" s="1140">
        <f>ROUND(SUM(H76:H81)*40%,)</f>
        <v>6651</v>
      </c>
      <c r="H82" s="796">
        <f t="shared" si="21"/>
        <v>6651</v>
      </c>
      <c r="I82" s="1181">
        <f t="shared" ref="I82:I84" si="28">ROUNDUP(G82*30%,0)</f>
        <v>1996</v>
      </c>
      <c r="J82" s="796">
        <f t="shared" si="25"/>
        <v>1996</v>
      </c>
      <c r="K82" s="914">
        <f t="shared" si="26"/>
        <v>8647</v>
      </c>
      <c r="L82" s="914"/>
    </row>
    <row r="83" spans="1:15" s="714" customFormat="1" ht="24" customHeight="1">
      <c r="A83" s="1147"/>
      <c r="B83" s="1148" t="s">
        <v>1646</v>
      </c>
      <c r="C83" s="1123"/>
      <c r="D83" s="1124"/>
      <c r="E83" s="1149">
        <v>1</v>
      </c>
      <c r="F83" s="1150" t="s">
        <v>948</v>
      </c>
      <c r="G83" s="1140">
        <f>ROUND(SUM(H76:H81)*30%,)</f>
        <v>4988</v>
      </c>
      <c r="H83" s="796">
        <f t="shared" si="21"/>
        <v>4988</v>
      </c>
      <c r="I83" s="1181">
        <f t="shared" si="28"/>
        <v>1497</v>
      </c>
      <c r="J83" s="796">
        <f t="shared" si="25"/>
        <v>1497</v>
      </c>
      <c r="K83" s="914">
        <f t="shared" si="26"/>
        <v>6485</v>
      </c>
      <c r="L83" s="914"/>
    </row>
    <row r="84" spans="1:15" s="714" customFormat="1" ht="24" customHeight="1">
      <c r="A84" s="1147"/>
      <c r="B84" s="1148" t="s">
        <v>1677</v>
      </c>
      <c r="C84" s="1123"/>
      <c r="D84" s="1124"/>
      <c r="E84" s="1149">
        <v>1</v>
      </c>
      <c r="F84" s="1150" t="s">
        <v>948</v>
      </c>
      <c r="G84" s="1140">
        <f>ROUND(SUM(H76:H81)*10%,)</f>
        <v>1663</v>
      </c>
      <c r="H84" s="796">
        <f t="shared" si="21"/>
        <v>1663</v>
      </c>
      <c r="I84" s="1181">
        <f t="shared" si="28"/>
        <v>499</v>
      </c>
      <c r="J84" s="796">
        <f t="shared" si="25"/>
        <v>499</v>
      </c>
      <c r="K84" s="914">
        <f t="shared" si="26"/>
        <v>2162</v>
      </c>
      <c r="L84" s="914"/>
    </row>
    <row r="85" spans="1:15" s="714" customFormat="1" ht="24" customHeight="1">
      <c r="A85" s="1147" t="s">
        <v>1678</v>
      </c>
      <c r="B85" s="1148" t="s">
        <v>1767</v>
      </c>
      <c r="C85" s="1123"/>
      <c r="D85" s="1124"/>
      <c r="E85" s="1149"/>
      <c r="F85" s="1150"/>
      <c r="G85" s="1140"/>
      <c r="H85" s="796"/>
      <c r="I85" s="797"/>
      <c r="J85" s="796"/>
      <c r="K85" s="914"/>
      <c r="L85" s="914"/>
    </row>
    <row r="86" spans="1:15" s="714" customFormat="1" ht="24" customHeight="1">
      <c r="A86" s="1147"/>
      <c r="B86" s="1148" t="s">
        <v>1188</v>
      </c>
      <c r="C86" s="1123"/>
      <c r="D86" s="1124"/>
      <c r="E86" s="1149">
        <v>40</v>
      </c>
      <c r="F86" s="1150" t="s">
        <v>240</v>
      </c>
      <c r="G86" s="1140">
        <f>ROUND(665*0.7,)</f>
        <v>466</v>
      </c>
      <c r="H86" s="796">
        <f t="shared" si="21"/>
        <v>18640</v>
      </c>
      <c r="I86" s="797">
        <v>200</v>
      </c>
      <c r="J86" s="796">
        <f t="shared" ref="J86" si="29">ROUND(I86*E86,)</f>
        <v>8000</v>
      </c>
      <c r="K86" s="914">
        <f t="shared" ref="K86" si="30">H86+J86</f>
        <v>26640</v>
      </c>
      <c r="L86" s="914"/>
    </row>
    <row r="87" spans="1:15" s="714" customFormat="1" ht="24" customHeight="1">
      <c r="A87" s="1147" t="s">
        <v>1680</v>
      </c>
      <c r="B87" s="1148" t="s">
        <v>1699</v>
      </c>
      <c r="C87" s="1123"/>
      <c r="D87" s="1124"/>
      <c r="E87" s="1149"/>
      <c r="F87" s="1150"/>
      <c r="G87" s="1140"/>
      <c r="H87" s="796"/>
      <c r="I87" s="797"/>
      <c r="J87" s="796"/>
      <c r="K87" s="914"/>
      <c r="L87" s="914"/>
    </row>
    <row r="88" spans="1:15" s="714" customFormat="1" ht="24" customHeight="1">
      <c r="A88" s="1147"/>
      <c r="B88" s="1148" t="s">
        <v>1188</v>
      </c>
      <c r="C88" s="1123"/>
      <c r="D88" s="1124"/>
      <c r="E88" s="1149">
        <v>8</v>
      </c>
      <c r="F88" s="1150" t="s">
        <v>240</v>
      </c>
      <c r="G88" s="1140">
        <f>ROUND(240*0.75,)</f>
        <v>180</v>
      </c>
      <c r="H88" s="796">
        <f t="shared" si="21"/>
        <v>1440</v>
      </c>
      <c r="I88" s="797">
        <v>100</v>
      </c>
      <c r="J88" s="796">
        <f t="shared" ref="J88:J91" si="31">ROUND(I88*E88,)</f>
        <v>800</v>
      </c>
      <c r="K88" s="914">
        <f t="shared" ref="K88:K91" si="32">H88+J88</f>
        <v>2240</v>
      </c>
      <c r="L88" s="914"/>
    </row>
    <row r="89" spans="1:15" s="714" customFormat="1" ht="24" customHeight="1">
      <c r="A89" s="1147"/>
      <c r="B89" s="1148" t="s">
        <v>1190</v>
      </c>
      <c r="C89" s="1123"/>
      <c r="D89" s="1124"/>
      <c r="E89" s="1149">
        <v>4</v>
      </c>
      <c r="F89" s="1150" t="s">
        <v>240</v>
      </c>
      <c r="G89" s="1140">
        <f>ROUND(360*0.75,)</f>
        <v>270</v>
      </c>
      <c r="H89" s="796">
        <f t="shared" si="21"/>
        <v>1080</v>
      </c>
      <c r="I89" s="797">
        <v>150</v>
      </c>
      <c r="J89" s="796">
        <f t="shared" si="31"/>
        <v>600</v>
      </c>
      <c r="K89" s="914">
        <f t="shared" si="32"/>
        <v>1680</v>
      </c>
      <c r="L89" s="914"/>
    </row>
    <row r="90" spans="1:15" s="714" customFormat="1" ht="24" customHeight="1">
      <c r="A90" s="1221"/>
      <c r="B90" s="1219" t="s">
        <v>1674</v>
      </c>
      <c r="C90" s="1209"/>
      <c r="D90" s="1210"/>
      <c r="E90" s="1149">
        <v>4</v>
      </c>
      <c r="F90" s="1212" t="s">
        <v>240</v>
      </c>
      <c r="G90" s="1140">
        <f>ROUND(500*0.75,)</f>
        <v>375</v>
      </c>
      <c r="H90" s="796">
        <f t="shared" si="21"/>
        <v>1500</v>
      </c>
      <c r="I90" s="855">
        <v>200</v>
      </c>
      <c r="J90" s="796">
        <f t="shared" si="31"/>
        <v>800</v>
      </c>
      <c r="K90" s="914">
        <f t="shared" si="32"/>
        <v>2300</v>
      </c>
      <c r="L90" s="912"/>
    </row>
    <row r="91" spans="1:15" s="714" customFormat="1" ht="24" customHeight="1">
      <c r="A91" s="1147"/>
      <c r="B91" s="1148" t="s">
        <v>1675</v>
      </c>
      <c r="C91" s="1123"/>
      <c r="D91" s="1124"/>
      <c r="E91" s="1149">
        <v>4</v>
      </c>
      <c r="F91" s="1150" t="s">
        <v>240</v>
      </c>
      <c r="G91" s="1140">
        <f>ROUND(950*0.75,)</f>
        <v>713</v>
      </c>
      <c r="H91" s="796">
        <f t="shared" si="21"/>
        <v>2852</v>
      </c>
      <c r="I91" s="797">
        <v>300</v>
      </c>
      <c r="J91" s="796">
        <f t="shared" si="31"/>
        <v>1200</v>
      </c>
      <c r="K91" s="914">
        <f t="shared" si="32"/>
        <v>4052</v>
      </c>
      <c r="L91" s="914"/>
    </row>
    <row r="92" spans="1:15" s="714" customFormat="1" ht="24" customHeight="1">
      <c r="A92" s="1147"/>
      <c r="B92" s="1148"/>
      <c r="C92" s="1123"/>
      <c r="D92" s="1124"/>
      <c r="E92" s="1149"/>
      <c r="F92" s="1150"/>
      <c r="G92" s="1140"/>
      <c r="H92" s="796"/>
      <c r="I92" s="797"/>
      <c r="J92" s="796"/>
      <c r="K92" s="914"/>
      <c r="L92" s="914"/>
    </row>
    <row r="93" spans="1:15" s="714" customFormat="1" ht="24" customHeight="1">
      <c r="A93" s="1147"/>
      <c r="B93" s="1148"/>
      <c r="C93" s="1123"/>
      <c r="D93" s="1124"/>
      <c r="E93" s="1149"/>
      <c r="F93" s="1150"/>
      <c r="G93" s="1140"/>
      <c r="H93" s="796"/>
      <c r="I93" s="797"/>
      <c r="J93" s="796"/>
      <c r="K93" s="914"/>
      <c r="L93" s="914"/>
    </row>
    <row r="94" spans="1:15" s="714" customFormat="1" ht="24" customHeight="1">
      <c r="A94" s="1147"/>
      <c r="B94" s="1148"/>
      <c r="C94" s="1123"/>
      <c r="D94" s="1124"/>
      <c r="E94" s="1149"/>
      <c r="F94" s="1150"/>
      <c r="G94" s="1140"/>
      <c r="H94" s="796"/>
      <c r="I94" s="797"/>
      <c r="J94" s="796"/>
      <c r="K94" s="914"/>
      <c r="L94" s="914"/>
    </row>
    <row r="95" spans="1:15" s="714" customFormat="1" ht="24" customHeight="1">
      <c r="A95" s="898"/>
      <c r="B95" s="1191"/>
      <c r="C95" s="890"/>
      <c r="D95" s="890"/>
      <c r="E95" s="1224"/>
      <c r="F95" s="928"/>
      <c r="G95" s="1192"/>
      <c r="H95" s="1193"/>
      <c r="I95" s="1185"/>
      <c r="J95" s="1193"/>
      <c r="K95" s="1194"/>
      <c r="L95" s="1194"/>
    </row>
    <row r="96" spans="1:15" s="714" customFormat="1" ht="24" customHeight="1">
      <c r="A96" s="1166"/>
      <c r="B96" s="2475" t="str">
        <f>"รวมราคารายการที่ "&amp;A66</f>
        <v>รวมราคารายการที่ 5.2</v>
      </c>
      <c r="C96" s="2476"/>
      <c r="D96" s="2477"/>
      <c r="E96" s="1167"/>
      <c r="F96" s="1167"/>
      <c r="G96" s="1168"/>
      <c r="H96" s="1169">
        <f>SUM(H67:H95)</f>
        <v>388161</v>
      </c>
      <c r="I96" s="1170"/>
      <c r="J96" s="1169">
        <f>SUM(J67:J95)</f>
        <v>133484</v>
      </c>
      <c r="K96" s="1171">
        <f>SUM(K67:K95)</f>
        <v>521645</v>
      </c>
      <c r="L96" s="1171"/>
    </row>
    <row r="97" spans="1:13" s="714" customFormat="1" ht="24" customHeight="1">
      <c r="A97" s="1011">
        <v>5.3</v>
      </c>
      <c r="B97" s="1196" t="s">
        <v>1691</v>
      </c>
      <c r="C97" s="859"/>
      <c r="D97" s="859"/>
      <c r="E97" s="1216"/>
      <c r="F97" s="852"/>
      <c r="G97" s="874"/>
      <c r="H97" s="854"/>
      <c r="I97" s="855"/>
      <c r="J97" s="854"/>
      <c r="K97" s="912"/>
      <c r="L97" s="914"/>
    </row>
    <row r="98" spans="1:13" s="714" customFormat="1" ht="24" customHeight="1">
      <c r="A98" s="1159" t="s">
        <v>1692</v>
      </c>
      <c r="B98" s="1160" t="s">
        <v>1768</v>
      </c>
      <c r="C98" s="1161"/>
      <c r="D98" s="1162"/>
      <c r="E98" s="1183"/>
      <c r="F98" s="1163"/>
      <c r="G98" s="1205"/>
      <c r="H98" s="872"/>
      <c r="I98" s="873"/>
      <c r="J98" s="872"/>
      <c r="K98" s="938"/>
      <c r="L98" s="1194"/>
    </row>
    <row r="99" spans="1:13" s="714" customFormat="1" ht="24" customHeight="1">
      <c r="A99" s="1147"/>
      <c r="B99" s="1148" t="s">
        <v>1188</v>
      </c>
      <c r="C99" s="1123"/>
      <c r="D99" s="1124"/>
      <c r="E99" s="1149">
        <v>5</v>
      </c>
      <c r="F99" s="1150" t="s">
        <v>438</v>
      </c>
      <c r="G99" s="1140">
        <v>127</v>
      </c>
      <c r="H99" s="796">
        <f t="shared" ref="H99:H102" si="33">ROUND(E99*G99,)</f>
        <v>635</v>
      </c>
      <c r="I99" s="797">
        <v>40</v>
      </c>
      <c r="J99" s="796">
        <f t="shared" ref="J99:J102" si="34">ROUND(I99*E99,)</f>
        <v>200</v>
      </c>
      <c r="K99" s="914">
        <f t="shared" ref="K99:K102" si="35">H99+J99</f>
        <v>835</v>
      </c>
      <c r="L99" s="914"/>
    </row>
    <row r="100" spans="1:13" s="714" customFormat="1" ht="24" customHeight="1">
      <c r="A100" s="1147"/>
      <c r="B100" s="1148" t="s">
        <v>1645</v>
      </c>
      <c r="C100" s="1123"/>
      <c r="D100" s="1124"/>
      <c r="E100" s="1149">
        <v>1</v>
      </c>
      <c r="F100" s="1150" t="s">
        <v>948</v>
      </c>
      <c r="G100" s="1140">
        <f>ROUND(SUM(H99:H99)*50%,)</f>
        <v>318</v>
      </c>
      <c r="H100" s="796">
        <f t="shared" si="33"/>
        <v>318</v>
      </c>
      <c r="I100" s="1181">
        <f t="shared" ref="I100:I102" si="36">ROUNDUP(G100*30%,0)</f>
        <v>96</v>
      </c>
      <c r="J100" s="796">
        <f t="shared" si="34"/>
        <v>96</v>
      </c>
      <c r="K100" s="914">
        <f t="shared" si="35"/>
        <v>414</v>
      </c>
      <c r="L100" s="1194"/>
    </row>
    <row r="101" spans="1:13" s="714" customFormat="1" ht="24" customHeight="1">
      <c r="A101" s="1147"/>
      <c r="B101" s="1148" t="s">
        <v>1646</v>
      </c>
      <c r="C101" s="1123"/>
      <c r="D101" s="1124"/>
      <c r="E101" s="1149">
        <v>1</v>
      </c>
      <c r="F101" s="1150" t="s">
        <v>948</v>
      </c>
      <c r="G101" s="1140">
        <f>SUM(H99:H99)*20%</f>
        <v>127</v>
      </c>
      <c r="H101" s="796">
        <f t="shared" si="33"/>
        <v>127</v>
      </c>
      <c r="I101" s="1181">
        <f t="shared" si="36"/>
        <v>39</v>
      </c>
      <c r="J101" s="796">
        <f t="shared" si="34"/>
        <v>39</v>
      </c>
      <c r="K101" s="914">
        <f t="shared" si="35"/>
        <v>166</v>
      </c>
      <c r="L101" s="914"/>
    </row>
    <row r="102" spans="1:13" s="714" customFormat="1" ht="24" customHeight="1">
      <c r="A102" s="1147"/>
      <c r="B102" s="1148" t="s">
        <v>1677</v>
      </c>
      <c r="C102" s="1123"/>
      <c r="D102" s="1124"/>
      <c r="E102" s="1149">
        <v>1</v>
      </c>
      <c r="F102" s="1150" t="s">
        <v>948</v>
      </c>
      <c r="G102" s="1140">
        <f>ROUND(SUM(H99:H99)*10%,)</f>
        <v>64</v>
      </c>
      <c r="H102" s="796">
        <f t="shared" si="33"/>
        <v>64</v>
      </c>
      <c r="I102" s="1181">
        <f t="shared" si="36"/>
        <v>20</v>
      </c>
      <c r="J102" s="796">
        <f t="shared" si="34"/>
        <v>20</v>
      </c>
      <c r="K102" s="914">
        <f t="shared" si="35"/>
        <v>84</v>
      </c>
      <c r="L102" s="1194"/>
    </row>
    <row r="103" spans="1:13" s="714" customFormat="1" ht="24" customHeight="1">
      <c r="A103" s="1147" t="s">
        <v>1695</v>
      </c>
      <c r="B103" s="1148" t="s">
        <v>1767</v>
      </c>
      <c r="C103" s="1123"/>
      <c r="D103" s="1124"/>
      <c r="E103" s="1149"/>
      <c r="F103" s="1150"/>
      <c r="G103" s="1140"/>
      <c r="H103" s="796"/>
      <c r="I103" s="797"/>
      <c r="J103" s="796"/>
      <c r="K103" s="914"/>
      <c r="L103" s="1194"/>
    </row>
    <row r="104" spans="1:13" s="714" customFormat="1" ht="24" customHeight="1">
      <c r="A104" s="1147"/>
      <c r="B104" s="1148" t="s">
        <v>1188</v>
      </c>
      <c r="C104" s="1123"/>
      <c r="D104" s="1124"/>
      <c r="E104" s="1149">
        <v>2</v>
      </c>
      <c r="F104" s="1150" t="s">
        <v>240</v>
      </c>
      <c r="G104" s="1140">
        <f>ROUND(665*0.7,)</f>
        <v>466</v>
      </c>
      <c r="H104" s="796">
        <f t="shared" ref="H104" si="37">ROUND(E104*G104,)</f>
        <v>932</v>
      </c>
      <c r="I104" s="797">
        <v>200</v>
      </c>
      <c r="J104" s="796">
        <f t="shared" ref="J104" si="38">ROUND(I104*E104,)</f>
        <v>400</v>
      </c>
      <c r="K104" s="914">
        <f t="shared" ref="K104" si="39">H104+J104</f>
        <v>1332</v>
      </c>
      <c r="L104" s="1194"/>
    </row>
    <row r="105" spans="1:13" s="714" customFormat="1" ht="24" customHeight="1">
      <c r="A105" s="1147"/>
      <c r="B105" s="1148"/>
      <c r="C105" s="1123"/>
      <c r="D105" s="1124"/>
      <c r="E105" s="1149"/>
      <c r="F105" s="1150"/>
      <c r="G105" s="1140"/>
      <c r="H105" s="796"/>
      <c r="I105" s="797"/>
      <c r="J105" s="796"/>
      <c r="K105" s="914"/>
      <c r="L105" s="914"/>
    </row>
    <row r="106" spans="1:13" s="714" customFormat="1" ht="24" customHeight="1">
      <c r="A106" s="1159"/>
      <c r="B106" s="1160"/>
      <c r="C106" s="1161"/>
      <c r="D106" s="1190"/>
      <c r="E106" s="1183"/>
      <c r="F106" s="1162"/>
      <c r="G106" s="1205"/>
      <c r="H106" s="872"/>
      <c r="I106" s="873"/>
      <c r="J106" s="872"/>
      <c r="K106" s="938"/>
      <c r="L106" s="938"/>
    </row>
    <row r="107" spans="1:13" s="714" customFormat="1" ht="24" customHeight="1">
      <c r="A107" s="1159"/>
      <c r="B107" s="1160"/>
      <c r="C107" s="1161"/>
      <c r="D107" s="1190"/>
      <c r="E107" s="1183"/>
      <c r="F107" s="1162"/>
      <c r="G107" s="1205"/>
      <c r="H107" s="872"/>
      <c r="I107" s="873"/>
      <c r="J107" s="872"/>
      <c r="K107" s="938"/>
      <c r="L107" s="938"/>
    </row>
    <row r="108" spans="1:13" s="714" customFormat="1" ht="24" customHeight="1">
      <c r="A108" s="898"/>
      <c r="B108" s="1191"/>
      <c r="C108" s="890"/>
      <c r="D108" s="890"/>
      <c r="E108" s="1224"/>
      <c r="F108" s="928"/>
      <c r="G108" s="1192"/>
      <c r="H108" s="1193"/>
      <c r="I108" s="1185"/>
      <c r="J108" s="1193"/>
      <c r="K108" s="1194"/>
      <c r="L108" s="1194"/>
    </row>
    <row r="109" spans="1:13" s="714" customFormat="1" ht="24" customHeight="1">
      <c r="A109" s="1166"/>
      <c r="B109" s="2475" t="str">
        <f>"รวมราคารายการที่ "&amp;A97</f>
        <v>รวมราคารายการที่ 5.3</v>
      </c>
      <c r="C109" s="2476"/>
      <c r="D109" s="2477"/>
      <c r="E109" s="1167"/>
      <c r="F109" s="1167"/>
      <c r="G109" s="1168"/>
      <c r="H109" s="1169">
        <f>SUM(H98:H108)</f>
        <v>2076</v>
      </c>
      <c r="I109" s="1170"/>
      <c r="J109" s="1169">
        <f>SUM(J98:J108)</f>
        <v>755</v>
      </c>
      <c r="K109" s="1169">
        <f>SUM(K98:K108)</f>
        <v>2831</v>
      </c>
      <c r="L109" s="1226"/>
    </row>
    <row r="110" spans="1:13" s="714" customFormat="1" ht="24" customHeight="1">
      <c r="A110" s="1207" t="s">
        <v>1707</v>
      </c>
      <c r="B110" s="1208" t="s">
        <v>1708</v>
      </c>
      <c r="C110" s="1209"/>
      <c r="D110" s="1210"/>
      <c r="E110" s="1211"/>
      <c r="F110" s="1212"/>
      <c r="G110" s="874"/>
      <c r="H110" s="854"/>
      <c r="I110" s="855"/>
      <c r="J110" s="854"/>
      <c r="K110" s="912"/>
      <c r="L110" s="912"/>
    </row>
    <row r="111" spans="1:13" s="714" customFormat="1" ht="24" customHeight="1">
      <c r="A111" s="1147" t="s">
        <v>1709</v>
      </c>
      <c r="B111" s="1148" t="s">
        <v>1746</v>
      </c>
      <c r="C111" s="1123"/>
      <c r="D111" s="1124"/>
      <c r="E111" s="1149"/>
      <c r="F111" s="1150"/>
      <c r="G111" s="1179"/>
      <c r="H111" s="796"/>
      <c r="I111" s="1181"/>
      <c r="J111" s="796"/>
      <c r="K111" s="797"/>
      <c r="L111" s="1182"/>
      <c r="M111" s="729"/>
    </row>
    <row r="112" spans="1:13" s="714" customFormat="1" ht="21.3">
      <c r="A112" s="1147"/>
      <c r="B112" s="1148" t="s">
        <v>1650</v>
      </c>
      <c r="C112" s="1123"/>
      <c r="D112" s="1124"/>
      <c r="E112" s="1149">
        <v>270</v>
      </c>
      <c r="F112" s="1150" t="s">
        <v>438</v>
      </c>
      <c r="G112" s="1179">
        <v>46</v>
      </c>
      <c r="H112" s="796">
        <f t="shared" ref="H112:H119" si="40">ROUND(E112*G112,)</f>
        <v>12420</v>
      </c>
      <c r="I112" s="1181">
        <v>30</v>
      </c>
      <c r="J112" s="796">
        <f t="shared" ref="J112:J119" si="41">ROUND(E112*I112,)</f>
        <v>8100</v>
      </c>
      <c r="K112" s="797">
        <f t="shared" ref="K112:K119" si="42">H112+J112</f>
        <v>20520</v>
      </c>
      <c r="L112" s="1182"/>
    </row>
    <row r="113" spans="1:12" s="714" customFormat="1" ht="21.3">
      <c r="A113" s="1147"/>
      <c r="B113" s="1148" t="s">
        <v>1760</v>
      </c>
      <c r="C113" s="1123"/>
      <c r="D113" s="1124"/>
      <c r="E113" s="1149">
        <v>16</v>
      </c>
      <c r="F113" s="1150" t="s">
        <v>438</v>
      </c>
      <c r="G113" s="1179">
        <v>113</v>
      </c>
      <c r="H113" s="796">
        <f t="shared" si="40"/>
        <v>1808</v>
      </c>
      <c r="I113" s="1181">
        <v>50</v>
      </c>
      <c r="J113" s="796">
        <f t="shared" si="41"/>
        <v>800</v>
      </c>
      <c r="K113" s="797">
        <f t="shared" si="42"/>
        <v>2608</v>
      </c>
      <c r="L113" s="1182"/>
    </row>
    <row r="114" spans="1:12" s="714" customFormat="1" ht="21.3">
      <c r="A114" s="1147"/>
      <c r="B114" s="1148" t="s">
        <v>1761</v>
      </c>
      <c r="C114" s="1123"/>
      <c r="D114" s="1124"/>
      <c r="E114" s="1149">
        <v>20</v>
      </c>
      <c r="F114" s="1150" t="s">
        <v>438</v>
      </c>
      <c r="G114" s="1179">
        <v>193</v>
      </c>
      <c r="H114" s="796">
        <f t="shared" si="40"/>
        <v>3860</v>
      </c>
      <c r="I114" s="1181">
        <v>75</v>
      </c>
      <c r="J114" s="796">
        <f t="shared" si="41"/>
        <v>1500</v>
      </c>
      <c r="K114" s="797">
        <f t="shared" si="42"/>
        <v>5360</v>
      </c>
      <c r="L114" s="1182"/>
    </row>
    <row r="115" spans="1:12" s="714" customFormat="1" ht="21.3">
      <c r="A115" s="1147"/>
      <c r="B115" s="1148" t="s">
        <v>1661</v>
      </c>
      <c r="C115" s="1123"/>
      <c r="D115" s="1124"/>
      <c r="E115" s="1149">
        <v>60</v>
      </c>
      <c r="F115" s="1150" t="s">
        <v>438</v>
      </c>
      <c r="G115" s="1179">
        <v>287</v>
      </c>
      <c r="H115" s="796">
        <f t="shared" si="40"/>
        <v>17220</v>
      </c>
      <c r="I115" s="1181">
        <v>100</v>
      </c>
      <c r="J115" s="796">
        <f t="shared" si="41"/>
        <v>6000</v>
      </c>
      <c r="K115" s="797">
        <f t="shared" si="42"/>
        <v>23220</v>
      </c>
      <c r="L115" s="1182"/>
    </row>
    <row r="116" spans="1:12" s="714" customFormat="1" ht="21.3">
      <c r="A116" s="1147"/>
      <c r="B116" s="1187" t="s">
        <v>1642</v>
      </c>
      <c r="C116" s="1123"/>
      <c r="D116" s="1124"/>
      <c r="E116" s="1149">
        <v>9</v>
      </c>
      <c r="F116" s="1150" t="s">
        <v>438</v>
      </c>
      <c r="G116" s="1179">
        <v>562</v>
      </c>
      <c r="H116" s="796">
        <f t="shared" si="40"/>
        <v>5058</v>
      </c>
      <c r="I116" s="1181">
        <v>120</v>
      </c>
      <c r="J116" s="796">
        <f t="shared" si="41"/>
        <v>1080</v>
      </c>
      <c r="K116" s="914">
        <f t="shared" si="42"/>
        <v>6138</v>
      </c>
      <c r="L116" s="1182"/>
    </row>
    <row r="117" spans="1:12" s="714" customFormat="1" ht="21.3">
      <c r="A117" s="1147"/>
      <c r="B117" s="1148" t="s">
        <v>1645</v>
      </c>
      <c r="C117" s="1123"/>
      <c r="D117" s="1124"/>
      <c r="E117" s="1149">
        <v>1</v>
      </c>
      <c r="F117" s="1150" t="s">
        <v>948</v>
      </c>
      <c r="G117" s="1179">
        <f>SUM(H112:H116)*50%</f>
        <v>20183</v>
      </c>
      <c r="H117" s="796">
        <f t="shared" si="40"/>
        <v>20183</v>
      </c>
      <c r="I117" s="1181">
        <f t="shared" ref="I117:I119" si="43">ROUNDUP(G117*30%,0)</f>
        <v>6055</v>
      </c>
      <c r="J117" s="796">
        <f t="shared" si="41"/>
        <v>6055</v>
      </c>
      <c r="K117" s="797">
        <f t="shared" si="42"/>
        <v>26238</v>
      </c>
      <c r="L117" s="1182"/>
    </row>
    <row r="118" spans="1:12" s="714" customFormat="1" ht="21.3">
      <c r="A118" s="1147"/>
      <c r="B118" s="1148" t="s">
        <v>1646</v>
      </c>
      <c r="C118" s="1123"/>
      <c r="D118" s="1124"/>
      <c r="E118" s="1149">
        <v>1</v>
      </c>
      <c r="F118" s="1150" t="s">
        <v>948</v>
      </c>
      <c r="G118" s="1179">
        <f>ROUND(SUM(H112:H116)*20%,)</f>
        <v>8073</v>
      </c>
      <c r="H118" s="796">
        <f t="shared" si="40"/>
        <v>8073</v>
      </c>
      <c r="I118" s="1181">
        <f t="shared" si="43"/>
        <v>2422</v>
      </c>
      <c r="J118" s="796">
        <f t="shared" si="41"/>
        <v>2422</v>
      </c>
      <c r="K118" s="797">
        <f t="shared" si="42"/>
        <v>10495</v>
      </c>
      <c r="L118" s="1182"/>
    </row>
    <row r="119" spans="1:12" s="714" customFormat="1" ht="21.3">
      <c r="A119" s="1147"/>
      <c r="B119" s="1148" t="s">
        <v>1647</v>
      </c>
      <c r="C119" s="1123"/>
      <c r="D119" s="1124"/>
      <c r="E119" s="1149">
        <v>1</v>
      </c>
      <c r="F119" s="1150" t="s">
        <v>948</v>
      </c>
      <c r="G119" s="1179">
        <f>ROUND(SUM(H112:H116)*10%,)</f>
        <v>4037</v>
      </c>
      <c r="H119" s="796">
        <f t="shared" si="40"/>
        <v>4037</v>
      </c>
      <c r="I119" s="1181">
        <f t="shared" si="43"/>
        <v>1212</v>
      </c>
      <c r="J119" s="796">
        <f t="shared" si="41"/>
        <v>1212</v>
      </c>
      <c r="K119" s="797">
        <f t="shared" si="42"/>
        <v>5249</v>
      </c>
      <c r="L119" s="1182"/>
    </row>
    <row r="120" spans="1:12" s="714" customFormat="1" ht="21.3">
      <c r="A120" s="1147" t="s">
        <v>1712</v>
      </c>
      <c r="B120" s="1148" t="s">
        <v>1652</v>
      </c>
      <c r="C120" s="1123"/>
      <c r="D120" s="1124"/>
      <c r="E120" s="1149"/>
      <c r="F120" s="1150"/>
      <c r="G120" s="1179"/>
      <c r="H120" s="796"/>
      <c r="I120" s="1181"/>
      <c r="J120" s="796"/>
      <c r="K120" s="797"/>
      <c r="L120" s="1182"/>
    </row>
    <row r="121" spans="1:12" s="714" customFormat="1" ht="21.3">
      <c r="A121" s="1147"/>
      <c r="B121" s="1148" t="s">
        <v>1661</v>
      </c>
      <c r="C121" s="1123"/>
      <c r="D121" s="1124"/>
      <c r="E121" s="1149">
        <v>4</v>
      </c>
      <c r="F121" s="1150" t="s">
        <v>240</v>
      </c>
      <c r="G121" s="1179">
        <v>1742</v>
      </c>
      <c r="H121" s="796">
        <f t="shared" ref="H121" si="44">ROUND(E121*G121,)</f>
        <v>6968</v>
      </c>
      <c r="I121" s="1181">
        <v>500</v>
      </c>
      <c r="J121" s="796">
        <f t="shared" ref="J121" si="45">ROUND(E121*I121,)</f>
        <v>2000</v>
      </c>
      <c r="K121" s="797">
        <f t="shared" ref="K121" si="46">H121+J121</f>
        <v>8968</v>
      </c>
      <c r="L121" s="1182"/>
    </row>
    <row r="122" spans="1:12" s="714" customFormat="1" ht="21.3">
      <c r="A122" s="1147" t="s">
        <v>1770</v>
      </c>
      <c r="B122" s="1148" t="s">
        <v>1649</v>
      </c>
      <c r="C122" s="1123"/>
      <c r="D122" s="1124"/>
      <c r="E122" s="1149"/>
      <c r="F122" s="1150"/>
      <c r="G122" s="1179"/>
      <c r="H122" s="796"/>
      <c r="I122" s="1181"/>
      <c r="J122" s="796"/>
      <c r="K122" s="797"/>
      <c r="L122" s="1182"/>
    </row>
    <row r="123" spans="1:12" s="714" customFormat="1" ht="21.3">
      <c r="A123" s="1147"/>
      <c r="B123" s="1148" t="s">
        <v>1650</v>
      </c>
      <c r="C123" s="1123"/>
      <c r="D123" s="1124"/>
      <c r="E123" s="1149">
        <v>2</v>
      </c>
      <c r="F123" s="1150" t="s">
        <v>240</v>
      </c>
      <c r="G123" s="1179">
        <v>1316</v>
      </c>
      <c r="H123" s="796">
        <f t="shared" ref="H123" si="47">ROUND(E123*G123,)</f>
        <v>2632</v>
      </c>
      <c r="I123" s="1181">
        <v>200</v>
      </c>
      <c r="J123" s="796">
        <f t="shared" ref="J123" si="48">ROUND(E123*I123,)</f>
        <v>400</v>
      </c>
      <c r="K123" s="797">
        <f t="shared" ref="K123" si="49">H123+J123</f>
        <v>3032</v>
      </c>
      <c r="L123" s="1182" t="s">
        <v>2915</v>
      </c>
    </row>
    <row r="124" spans="1:12">
      <c r="A124" s="1147" t="s">
        <v>1713</v>
      </c>
      <c r="B124" s="1148" t="s">
        <v>1762</v>
      </c>
      <c r="C124" s="1123"/>
      <c r="D124" s="1124"/>
      <c r="E124" s="1149"/>
      <c r="F124" s="1150"/>
      <c r="G124" s="1179"/>
      <c r="H124" s="796"/>
      <c r="I124" s="1181"/>
      <c r="J124" s="796"/>
      <c r="K124" s="797"/>
      <c r="L124" s="1182"/>
    </row>
    <row r="125" spans="1:12">
      <c r="A125" s="1147"/>
      <c r="B125" s="1148" t="s">
        <v>1764</v>
      </c>
      <c r="C125" s="1123"/>
      <c r="D125" s="1124"/>
      <c r="E125" s="1149">
        <v>4</v>
      </c>
      <c r="F125" s="1150" t="s">
        <v>240</v>
      </c>
      <c r="G125" s="1179">
        <v>5603</v>
      </c>
      <c r="H125" s="796">
        <f t="shared" ref="H125" si="50">ROUND(E125*G125,)</f>
        <v>22412</v>
      </c>
      <c r="I125" s="1181">
        <v>330</v>
      </c>
      <c r="J125" s="796">
        <f t="shared" ref="J125" si="51">ROUND(I125*E125,)</f>
        <v>1320</v>
      </c>
      <c r="K125" s="797">
        <f t="shared" ref="K125" si="52">H125+J125</f>
        <v>23732</v>
      </c>
      <c r="L125" s="1182"/>
    </row>
    <row r="126" spans="1:12">
      <c r="A126" s="1147"/>
      <c r="B126" s="1187"/>
      <c r="C126" s="1123"/>
      <c r="D126" s="1124"/>
      <c r="E126" s="1149"/>
      <c r="F126" s="1150"/>
      <c r="G126" s="1179"/>
      <c r="H126" s="796"/>
      <c r="I126" s="1181"/>
      <c r="J126" s="796"/>
      <c r="K126" s="914"/>
      <c r="L126" s="1182"/>
    </row>
    <row r="127" spans="1:12">
      <c r="A127" s="1147"/>
      <c r="B127" s="1148"/>
      <c r="C127" s="1123"/>
      <c r="D127" s="1124"/>
      <c r="E127" s="1149"/>
      <c r="F127" s="1150"/>
      <c r="G127" s="1179"/>
      <c r="H127" s="796"/>
      <c r="I127" s="1181"/>
      <c r="J127" s="796"/>
      <c r="K127" s="797"/>
      <c r="L127" s="1182"/>
    </row>
    <row r="128" spans="1:12">
      <c r="A128" s="1147"/>
      <c r="B128" s="1148"/>
      <c r="C128" s="1123"/>
      <c r="D128" s="1124"/>
      <c r="E128" s="1149"/>
      <c r="F128" s="1150"/>
      <c r="G128" s="1179"/>
      <c r="H128" s="796"/>
      <c r="I128" s="1181"/>
      <c r="J128" s="796"/>
      <c r="K128" s="797"/>
      <c r="L128" s="1182"/>
    </row>
    <row r="129" spans="1:12">
      <c r="A129" s="1147"/>
      <c r="B129" s="1148"/>
      <c r="C129" s="1123"/>
      <c r="D129" s="1124"/>
      <c r="E129" s="1149"/>
      <c r="F129" s="1150"/>
      <c r="G129" s="1179"/>
      <c r="H129" s="796"/>
      <c r="I129" s="1181"/>
      <c r="J129" s="796"/>
      <c r="K129" s="797"/>
      <c r="L129" s="1182"/>
    </row>
    <row r="130" spans="1:12">
      <c r="A130" s="1147"/>
      <c r="B130" s="1148"/>
      <c r="C130" s="1123"/>
      <c r="D130" s="1124"/>
      <c r="E130" s="1149"/>
      <c r="F130" s="1150"/>
      <c r="G130" s="1179"/>
      <c r="H130" s="796"/>
      <c r="I130" s="1181"/>
      <c r="J130" s="796"/>
      <c r="K130" s="797"/>
      <c r="L130" s="1182"/>
    </row>
    <row r="131" spans="1:12">
      <c r="A131" s="1147"/>
      <c r="B131" s="1148"/>
      <c r="C131" s="1123"/>
      <c r="D131" s="1124"/>
      <c r="E131" s="1149"/>
      <c r="F131" s="1150"/>
      <c r="G131" s="1179"/>
      <c r="H131" s="796"/>
      <c r="I131" s="1181"/>
      <c r="J131" s="796"/>
      <c r="K131" s="797"/>
      <c r="L131" s="1182"/>
    </row>
    <row r="132" spans="1:12">
      <c r="A132" s="1147"/>
      <c r="B132" s="1148"/>
      <c r="C132" s="1123"/>
      <c r="D132" s="1124"/>
      <c r="E132" s="1149"/>
      <c r="F132" s="1150"/>
      <c r="G132" s="1179"/>
      <c r="H132" s="796"/>
      <c r="I132" s="1181"/>
      <c r="J132" s="796"/>
      <c r="K132" s="797"/>
      <c r="L132" s="1182"/>
    </row>
    <row r="133" spans="1:12">
      <c r="A133" s="1147"/>
      <c r="B133" s="1148"/>
      <c r="C133" s="1123"/>
      <c r="D133" s="1124"/>
      <c r="E133" s="1149"/>
      <c r="F133" s="1150"/>
      <c r="G133" s="1179"/>
      <c r="H133" s="796"/>
      <c r="I133" s="1181"/>
      <c r="J133" s="796"/>
      <c r="K133" s="797"/>
      <c r="L133" s="1182"/>
    </row>
    <row r="134" spans="1:12">
      <c r="A134" s="1147"/>
      <c r="B134" s="1148"/>
      <c r="C134" s="1123"/>
      <c r="D134" s="1124"/>
      <c r="E134" s="1149"/>
      <c r="F134" s="1150"/>
      <c r="G134" s="1179"/>
      <c r="H134" s="796"/>
      <c r="I134" s="1181"/>
      <c r="J134" s="796"/>
      <c r="K134" s="797"/>
      <c r="L134" s="1182"/>
    </row>
    <row r="135" spans="1:12">
      <c r="A135" s="1166"/>
      <c r="B135" s="2475" t="str">
        <f>"รวมราคารายการที่ "&amp;A110</f>
        <v>รวมราคารายการที่ 5.4</v>
      </c>
      <c r="C135" s="2476"/>
      <c r="D135" s="2477"/>
      <c r="E135" s="2264"/>
      <c r="F135" s="1167"/>
      <c r="G135" s="1168"/>
      <c r="H135" s="1169">
        <f>SUM(H111:H134)</f>
        <v>104671</v>
      </c>
      <c r="I135" s="1170"/>
      <c r="J135" s="1169">
        <f>SUM(J111:J134)</f>
        <v>30889</v>
      </c>
      <c r="K135" s="1169">
        <f>SUM(K111:K134)</f>
        <v>135560</v>
      </c>
      <c r="L135" s="1171"/>
    </row>
  </sheetData>
  <mergeCells count="13"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65:D65"/>
    <mergeCell ref="B96:D96"/>
    <mergeCell ref="B109:D109"/>
    <mergeCell ref="B135:D135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2-อาคารสนับนุน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78F5E-E4D5-4FB3-9926-65327BDA0151}">
  <sheetPr>
    <tabColor rgb="FF92D050"/>
  </sheetPr>
  <dimension ref="A1:O141"/>
  <sheetViews>
    <sheetView showGridLines="0" tabSelected="1" view="pageBreakPreview" topLeftCell="A103" zoomScale="55" zoomScaleNormal="60" zoomScaleSheetLayoutView="5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87890625" style="1" customWidth="1"/>
    <col min="13" max="73" width="7.703125" style="1" customWidth="1"/>
    <col min="74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1635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 t="s">
        <v>29</v>
      </c>
      <c r="B11" s="1144" t="s">
        <v>1773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 t="str">
        <f>A36</f>
        <v>5.1</v>
      </c>
      <c r="B12" s="1148" t="str">
        <f>B36</f>
        <v>ระบบน้ำประปา (Cold Water Supply System)</v>
      </c>
      <c r="C12" s="1123"/>
      <c r="D12" s="1124"/>
      <c r="E12" s="1149">
        <v>1</v>
      </c>
      <c r="F12" s="1150" t="s">
        <v>19</v>
      </c>
      <c r="G12" s="710"/>
      <c r="H12" s="711">
        <f>H65</f>
        <v>144283</v>
      </c>
      <c r="I12" s="712"/>
      <c r="J12" s="711">
        <f>J65</f>
        <v>50072</v>
      </c>
      <c r="K12" s="1129">
        <f t="shared" ref="K12:K15" si="0">SUM(H12:J12)</f>
        <v>194355</v>
      </c>
      <c r="L12" s="1024"/>
    </row>
    <row r="13" spans="1:12" s="714" customFormat="1" ht="24" customHeight="1">
      <c r="A13" s="1159" t="str">
        <f>A66</f>
        <v>5.2</v>
      </c>
      <c r="B13" s="1160" t="str">
        <f>B66</f>
        <v xml:space="preserve">ระบบระบายน้ำโสโครก น้ำทิ้ง ระบายอากาศ และ ท่อน้ำทิ้งจากห้องครัว </v>
      </c>
      <c r="C13" s="1161"/>
      <c r="D13" s="1162"/>
      <c r="E13" s="1183">
        <v>1</v>
      </c>
      <c r="F13" s="1163" t="s">
        <v>19</v>
      </c>
      <c r="G13" s="1164"/>
      <c r="H13" s="957">
        <f>H97</f>
        <v>323069</v>
      </c>
      <c r="I13" s="1165"/>
      <c r="J13" s="957">
        <f>J97</f>
        <v>114996</v>
      </c>
      <c r="K13" s="1129">
        <f t="shared" si="0"/>
        <v>438065</v>
      </c>
      <c r="L13" s="954"/>
    </row>
    <row r="14" spans="1:12" s="714" customFormat="1" ht="24" customHeight="1">
      <c r="A14" s="1159">
        <f>A98</f>
        <v>5.3</v>
      </c>
      <c r="B14" s="1160" t="str">
        <f>B98</f>
        <v>ระบบระบายน้ำฝนและระบายน้ำในอาคาร (Storm Drain &amp; Building Drain System)</v>
      </c>
      <c r="C14" s="1161"/>
      <c r="D14" s="1162"/>
      <c r="E14" s="1183">
        <v>1</v>
      </c>
      <c r="F14" s="1163" t="s">
        <v>19</v>
      </c>
      <c r="G14" s="1164"/>
      <c r="H14" s="957">
        <f>H109</f>
        <v>12591</v>
      </c>
      <c r="I14" s="1165"/>
      <c r="J14" s="957">
        <f>J109</f>
        <v>3996</v>
      </c>
      <c r="K14" s="1129">
        <f t="shared" si="0"/>
        <v>16587</v>
      </c>
      <c r="L14" s="1024"/>
    </row>
    <row r="15" spans="1:12" s="714" customFormat="1" ht="24" customHeight="1">
      <c r="A15" s="1159" t="str">
        <f>A110</f>
        <v>5.4</v>
      </c>
      <c r="B15" s="1160" t="str">
        <f>B110</f>
        <v>ระบบน้ำชำระสุขภัณฑ์ (Flush Water System)</v>
      </c>
      <c r="C15" s="1161"/>
      <c r="D15" s="1162"/>
      <c r="E15" s="1183">
        <v>1</v>
      </c>
      <c r="F15" s="1163" t="s">
        <v>19</v>
      </c>
      <c r="G15" s="1164"/>
      <c r="H15" s="957">
        <f>H136</f>
        <v>106413</v>
      </c>
      <c r="I15" s="1165"/>
      <c r="J15" s="957">
        <f>J136</f>
        <v>31389</v>
      </c>
      <c r="K15" s="1129">
        <f t="shared" si="0"/>
        <v>137802</v>
      </c>
      <c r="L15" s="1024"/>
    </row>
    <row r="16" spans="1:12" s="714" customFormat="1" ht="24" customHeight="1">
      <c r="A16" s="1147"/>
      <c r="B16" s="1148"/>
      <c r="C16" s="1123"/>
      <c r="D16" s="1124"/>
      <c r="E16" s="1149"/>
      <c r="F16" s="1150"/>
      <c r="G16" s="710"/>
      <c r="H16" s="711"/>
      <c r="I16" s="712"/>
      <c r="J16" s="711"/>
      <c r="K16" s="1129"/>
      <c r="L16" s="1024"/>
    </row>
    <row r="17" spans="1:12" s="714" customFormat="1" ht="24" customHeight="1">
      <c r="A17" s="1147"/>
      <c r="B17" s="1148"/>
      <c r="C17" s="1123"/>
      <c r="D17" s="1124"/>
      <c r="E17" s="1149"/>
      <c r="F17" s="1150"/>
      <c r="G17" s="710"/>
      <c r="H17" s="711"/>
      <c r="I17" s="712"/>
      <c r="J17" s="711"/>
      <c r="K17" s="1129"/>
      <c r="L17" s="1024"/>
    </row>
    <row r="18" spans="1:12" s="714" customFormat="1" ht="24" customHeight="1">
      <c r="A18" s="1147"/>
      <c r="B18" s="1148"/>
      <c r="C18" s="1123"/>
      <c r="D18" s="1124"/>
      <c r="E18" s="1149"/>
      <c r="F18" s="1150"/>
      <c r="G18" s="710"/>
      <c r="H18" s="711"/>
      <c r="I18" s="712"/>
      <c r="J18" s="711"/>
      <c r="K18" s="1129"/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2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2" s="714" customFormat="1" ht="30" customHeight="1">
      <c r="A34" s="1166"/>
      <c r="B34" s="2475" t="str">
        <f>"รวมราคา"&amp;B11</f>
        <v>รวมราคางานระบบสุขาภิบาล ชั้น 3</v>
      </c>
      <c r="C34" s="2476"/>
      <c r="D34" s="2477"/>
      <c r="E34" s="1167"/>
      <c r="F34" s="1167"/>
      <c r="G34" s="1168"/>
      <c r="H34" s="1169">
        <f>SUM(H12:H33)</f>
        <v>586356</v>
      </c>
      <c r="I34" s="1170"/>
      <c r="J34" s="1169">
        <f>SUM(J12:J33)</f>
        <v>200453</v>
      </c>
      <c r="K34" s="1171">
        <f>SUM(K12:K33)</f>
        <v>786809</v>
      </c>
      <c r="L34" s="1171"/>
    </row>
    <row r="35" spans="1:12" s="714" customFormat="1" ht="24" customHeight="1">
      <c r="A35" s="1011"/>
      <c r="B35" s="1173" t="s">
        <v>30</v>
      </c>
      <c r="C35" s="859"/>
      <c r="D35" s="859"/>
      <c r="E35" s="1216"/>
      <c r="F35" s="935"/>
      <c r="G35" s="1174"/>
      <c r="H35" s="1175"/>
      <c r="I35" s="1176"/>
      <c r="J35" s="1175"/>
      <c r="K35" s="1176"/>
      <c r="L35" s="825"/>
    </row>
    <row r="36" spans="1:12" s="714" customFormat="1" ht="24" customHeight="1">
      <c r="A36" s="1177" t="s">
        <v>1637</v>
      </c>
      <c r="B36" s="1151" t="s">
        <v>1638</v>
      </c>
      <c r="C36" s="1178"/>
      <c r="D36" s="1124"/>
      <c r="E36" s="1149"/>
      <c r="F36" s="1150"/>
      <c r="G36" s="1179"/>
      <c r="H36" s="1180"/>
      <c r="I36" s="1181"/>
      <c r="J36" s="1180"/>
      <c r="K36" s="1181"/>
      <c r="L36" s="1182"/>
    </row>
    <row r="37" spans="1:12" s="714" customFormat="1" ht="24" customHeight="1">
      <c r="A37" s="1147" t="s">
        <v>1639</v>
      </c>
      <c r="B37" s="1148" t="s">
        <v>1746</v>
      </c>
      <c r="C37" s="1123"/>
      <c r="D37" s="1124"/>
      <c r="E37" s="1149"/>
      <c r="F37" s="1150"/>
      <c r="G37" s="1179"/>
      <c r="H37" s="796"/>
      <c r="I37" s="1181"/>
      <c r="J37" s="796"/>
      <c r="K37" s="797"/>
      <c r="L37" s="1182"/>
    </row>
    <row r="38" spans="1:12" s="714" customFormat="1" ht="24" customHeight="1">
      <c r="A38" s="1147"/>
      <c r="B38" s="1148" t="s">
        <v>1715</v>
      </c>
      <c r="C38" s="1123"/>
      <c r="D38" s="1124"/>
      <c r="E38" s="1149">
        <v>734</v>
      </c>
      <c r="F38" s="1150" t="s">
        <v>438</v>
      </c>
      <c r="G38" s="1179">
        <v>35</v>
      </c>
      <c r="H38" s="796">
        <f t="shared" ref="H38:H54" si="1">ROUND(E38*G38,)</f>
        <v>25690</v>
      </c>
      <c r="I38" s="1181">
        <v>30</v>
      </c>
      <c r="J38" s="796">
        <f t="shared" ref="J38:J46" si="2">ROUND(E38*I38,)</f>
        <v>22020</v>
      </c>
      <c r="K38" s="797">
        <f t="shared" ref="K38:K46" si="3">H38+J38</f>
        <v>47710</v>
      </c>
      <c r="L38" s="1182"/>
    </row>
    <row r="39" spans="1:12" s="714" customFormat="1" ht="24" customHeight="1">
      <c r="A39" s="1147"/>
      <c r="B39" s="1148" t="s">
        <v>1650</v>
      </c>
      <c r="C39" s="1123"/>
      <c r="D39" s="1124"/>
      <c r="E39" s="1149">
        <v>23</v>
      </c>
      <c r="F39" s="1150" t="s">
        <v>438</v>
      </c>
      <c r="G39" s="1179">
        <v>46</v>
      </c>
      <c r="H39" s="796">
        <f t="shared" si="1"/>
        <v>1058</v>
      </c>
      <c r="I39" s="1181">
        <v>30</v>
      </c>
      <c r="J39" s="796">
        <f t="shared" si="2"/>
        <v>690</v>
      </c>
      <c r="K39" s="797">
        <f t="shared" si="3"/>
        <v>1748</v>
      </c>
      <c r="L39" s="1182"/>
    </row>
    <row r="40" spans="1:12" s="714" customFormat="1" ht="24" customHeight="1">
      <c r="A40" s="1147"/>
      <c r="B40" s="1148" t="s">
        <v>1760</v>
      </c>
      <c r="C40" s="1123"/>
      <c r="D40" s="1124"/>
      <c r="E40" s="1149">
        <v>71</v>
      </c>
      <c r="F40" s="1150" t="s">
        <v>438</v>
      </c>
      <c r="G40" s="1179">
        <v>113</v>
      </c>
      <c r="H40" s="796">
        <f t="shared" si="1"/>
        <v>8023</v>
      </c>
      <c r="I40" s="1181">
        <v>50</v>
      </c>
      <c r="J40" s="796">
        <f t="shared" si="2"/>
        <v>3550</v>
      </c>
      <c r="K40" s="797">
        <f t="shared" si="3"/>
        <v>11573</v>
      </c>
      <c r="L40" s="1182"/>
    </row>
    <row r="41" spans="1:12" s="714" customFormat="1" ht="24" customHeight="1">
      <c r="A41" s="1147"/>
      <c r="B41" s="1148" t="s">
        <v>1761</v>
      </c>
      <c r="C41" s="1123"/>
      <c r="D41" s="1124"/>
      <c r="E41" s="1149">
        <v>20</v>
      </c>
      <c r="F41" s="1150" t="s">
        <v>438</v>
      </c>
      <c r="G41" s="1179">
        <v>193</v>
      </c>
      <c r="H41" s="796">
        <f t="shared" si="1"/>
        <v>3860</v>
      </c>
      <c r="I41" s="1181">
        <v>75</v>
      </c>
      <c r="J41" s="796">
        <f t="shared" si="2"/>
        <v>1500</v>
      </c>
      <c r="K41" s="797">
        <f t="shared" si="3"/>
        <v>5360</v>
      </c>
      <c r="L41" s="1182"/>
    </row>
    <row r="42" spans="1:12" s="714" customFormat="1" ht="24" customHeight="1">
      <c r="A42" s="1147"/>
      <c r="B42" s="1148" t="s">
        <v>1661</v>
      </c>
      <c r="C42" s="1123"/>
      <c r="D42" s="1124"/>
      <c r="E42" s="1149">
        <v>27</v>
      </c>
      <c r="F42" s="1150" t="s">
        <v>438</v>
      </c>
      <c r="G42" s="1179">
        <v>287</v>
      </c>
      <c r="H42" s="796">
        <f t="shared" si="1"/>
        <v>7749</v>
      </c>
      <c r="I42" s="1181">
        <v>100</v>
      </c>
      <c r="J42" s="796">
        <f t="shared" si="2"/>
        <v>2700</v>
      </c>
      <c r="K42" s="797">
        <f t="shared" si="3"/>
        <v>10449</v>
      </c>
      <c r="L42" s="1182"/>
    </row>
    <row r="43" spans="1:12" s="714" customFormat="1" ht="24" customHeight="1">
      <c r="A43" s="1147"/>
      <c r="B43" s="1148" t="s">
        <v>1642</v>
      </c>
      <c r="C43" s="1123"/>
      <c r="D43" s="1124"/>
      <c r="E43" s="1149">
        <v>8</v>
      </c>
      <c r="F43" s="1150" t="s">
        <v>438</v>
      </c>
      <c r="G43" s="1179">
        <v>562</v>
      </c>
      <c r="H43" s="796">
        <f t="shared" si="1"/>
        <v>4496</v>
      </c>
      <c r="I43" s="1181">
        <v>120</v>
      </c>
      <c r="J43" s="796">
        <f t="shared" si="2"/>
        <v>960</v>
      </c>
      <c r="K43" s="797">
        <f t="shared" si="3"/>
        <v>5456</v>
      </c>
      <c r="L43" s="1182"/>
    </row>
    <row r="44" spans="1:12" s="714" customFormat="1" ht="24" customHeight="1">
      <c r="A44" s="1147"/>
      <c r="B44" s="1148" t="s">
        <v>1645</v>
      </c>
      <c r="C44" s="1123"/>
      <c r="D44" s="1124"/>
      <c r="E44" s="1149">
        <v>1</v>
      </c>
      <c r="F44" s="1150" t="s">
        <v>948</v>
      </c>
      <c r="G44" s="1179">
        <f>SUM(H38:H43)*50%</f>
        <v>25438</v>
      </c>
      <c r="H44" s="796">
        <f t="shared" si="1"/>
        <v>25438</v>
      </c>
      <c r="I44" s="1181">
        <f t="shared" ref="I44:I46" si="4">ROUNDUP(G44*30%,0)</f>
        <v>7632</v>
      </c>
      <c r="J44" s="796">
        <f t="shared" si="2"/>
        <v>7632</v>
      </c>
      <c r="K44" s="797">
        <f t="shared" si="3"/>
        <v>33070</v>
      </c>
      <c r="L44" s="1182"/>
    </row>
    <row r="45" spans="1:12" s="714" customFormat="1" ht="24" customHeight="1">
      <c r="A45" s="1147"/>
      <c r="B45" s="1148" t="s">
        <v>1646</v>
      </c>
      <c r="C45" s="1123"/>
      <c r="D45" s="1124"/>
      <c r="E45" s="1149">
        <v>1</v>
      </c>
      <c r="F45" s="1150" t="s">
        <v>948</v>
      </c>
      <c r="G45" s="1179">
        <f>ROUND(SUM(H38:H43)*20%,)</f>
        <v>10175</v>
      </c>
      <c r="H45" s="796">
        <f t="shared" si="1"/>
        <v>10175</v>
      </c>
      <c r="I45" s="1181">
        <f t="shared" si="4"/>
        <v>3053</v>
      </c>
      <c r="J45" s="796">
        <f t="shared" si="2"/>
        <v>3053</v>
      </c>
      <c r="K45" s="797">
        <f t="shared" si="3"/>
        <v>13228</v>
      </c>
      <c r="L45" s="1182"/>
    </row>
    <row r="46" spans="1:12" s="714" customFormat="1" ht="24" customHeight="1">
      <c r="A46" s="1147"/>
      <c r="B46" s="1148" t="s">
        <v>1647</v>
      </c>
      <c r="C46" s="1123"/>
      <c r="D46" s="1124"/>
      <c r="E46" s="1149">
        <v>1</v>
      </c>
      <c r="F46" s="1150" t="s">
        <v>948</v>
      </c>
      <c r="G46" s="1179">
        <f>ROUND(SUM(H38:H43)*10%,)</f>
        <v>5088</v>
      </c>
      <c r="H46" s="796">
        <f t="shared" si="1"/>
        <v>5088</v>
      </c>
      <c r="I46" s="1181">
        <f t="shared" si="4"/>
        <v>1527</v>
      </c>
      <c r="J46" s="796">
        <f t="shared" si="2"/>
        <v>1527</v>
      </c>
      <c r="K46" s="797">
        <f t="shared" si="3"/>
        <v>6615</v>
      </c>
      <c r="L46" s="1182"/>
    </row>
    <row r="47" spans="1:12" s="714" customFormat="1" ht="24" customHeight="1">
      <c r="A47" s="1147" t="s">
        <v>1648</v>
      </c>
      <c r="B47" s="1148" t="s">
        <v>1649</v>
      </c>
      <c r="C47" s="1123"/>
      <c r="D47" s="1124"/>
      <c r="E47" s="1149"/>
      <c r="F47" s="1150"/>
      <c r="G47" s="1179"/>
      <c r="H47" s="796"/>
      <c r="I47" s="1181"/>
      <c r="J47" s="796"/>
      <c r="K47" s="797"/>
      <c r="L47" s="1182"/>
    </row>
    <row r="48" spans="1:12" s="714" customFormat="1" ht="24" customHeight="1">
      <c r="A48" s="1147"/>
      <c r="B48" s="1148" t="s">
        <v>1715</v>
      </c>
      <c r="C48" s="1123"/>
      <c r="D48" s="1124"/>
      <c r="E48" s="1149">
        <v>5</v>
      </c>
      <c r="F48" s="1150" t="s">
        <v>240</v>
      </c>
      <c r="G48" s="1179">
        <v>880</v>
      </c>
      <c r="H48" s="796">
        <f t="shared" ref="H48:H50" si="5">ROUND(E48*G48,)</f>
        <v>4400</v>
      </c>
      <c r="I48" s="1181">
        <v>150</v>
      </c>
      <c r="J48" s="796">
        <f t="shared" ref="J48:J50" si="6">ROUND(E48*I48,)</f>
        <v>750</v>
      </c>
      <c r="K48" s="797">
        <f t="shared" ref="K48:K50" si="7">H48+J48</f>
        <v>5150</v>
      </c>
      <c r="L48" s="2273" t="s">
        <v>2974</v>
      </c>
    </row>
    <row r="49" spans="1:12" s="714" customFormat="1" ht="24" customHeight="1">
      <c r="A49" s="1147"/>
      <c r="B49" s="1148" t="s">
        <v>1760</v>
      </c>
      <c r="C49" s="1123"/>
      <c r="D49" s="1124"/>
      <c r="E49" s="1149">
        <v>2</v>
      </c>
      <c r="F49" s="1150" t="s">
        <v>240</v>
      </c>
      <c r="G49" s="1179">
        <v>2610</v>
      </c>
      <c r="H49" s="796">
        <f t="shared" si="5"/>
        <v>5220</v>
      </c>
      <c r="I49" s="1181">
        <v>300</v>
      </c>
      <c r="J49" s="796">
        <f t="shared" si="6"/>
        <v>600</v>
      </c>
      <c r="K49" s="797">
        <f t="shared" si="7"/>
        <v>5820</v>
      </c>
      <c r="L49" s="2273" t="s">
        <v>2974</v>
      </c>
    </row>
    <row r="50" spans="1:12" s="714" customFormat="1" ht="24" customHeight="1">
      <c r="A50" s="1147"/>
      <c r="B50" s="1148" t="s">
        <v>1761</v>
      </c>
      <c r="C50" s="1123"/>
      <c r="D50" s="1124"/>
      <c r="E50" s="1149">
        <v>3</v>
      </c>
      <c r="F50" s="1150" t="s">
        <v>240</v>
      </c>
      <c r="G50" s="1174">
        <v>4010</v>
      </c>
      <c r="H50" s="796">
        <f t="shared" si="5"/>
        <v>12030</v>
      </c>
      <c r="I50" s="1176">
        <v>400</v>
      </c>
      <c r="J50" s="796">
        <f t="shared" si="6"/>
        <v>1200</v>
      </c>
      <c r="K50" s="797">
        <f t="shared" si="7"/>
        <v>13230</v>
      </c>
      <c r="L50" s="2273" t="s">
        <v>2974</v>
      </c>
    </row>
    <row r="51" spans="1:12" s="714" customFormat="1" ht="24" customHeight="1">
      <c r="A51" s="1147" t="s">
        <v>1651</v>
      </c>
      <c r="B51" s="1148" t="s">
        <v>1748</v>
      </c>
      <c r="C51" s="1123"/>
      <c r="D51" s="1124"/>
      <c r="E51" s="1149"/>
      <c r="F51" s="1150"/>
      <c r="G51" s="1179"/>
      <c r="H51" s="796"/>
      <c r="I51" s="1181"/>
      <c r="J51" s="796"/>
      <c r="K51" s="797"/>
      <c r="L51" s="2273"/>
    </row>
    <row r="52" spans="1:12" s="714" customFormat="1" ht="24" customHeight="1">
      <c r="A52" s="1147"/>
      <c r="B52" s="1148" t="s">
        <v>1749</v>
      </c>
      <c r="C52" s="1123"/>
      <c r="D52" s="1124"/>
      <c r="E52" s="1149">
        <v>9</v>
      </c>
      <c r="F52" s="1150" t="s">
        <v>240</v>
      </c>
      <c r="G52" s="1188">
        <v>210</v>
      </c>
      <c r="H52" s="796">
        <f t="shared" ref="H52" si="8">ROUND(E52*G52,)</f>
        <v>1890</v>
      </c>
      <c r="I52" s="1181">
        <v>100</v>
      </c>
      <c r="J52" s="796">
        <f t="shared" ref="J52" si="9">ROUND(E52*I52,)</f>
        <v>900</v>
      </c>
      <c r="K52" s="797">
        <f t="shared" ref="K52" si="10">H52+J52</f>
        <v>2790</v>
      </c>
      <c r="L52" s="1182"/>
    </row>
    <row r="53" spans="1:12" s="714" customFormat="1" ht="24" customHeight="1">
      <c r="A53" s="1147" t="s">
        <v>1653</v>
      </c>
      <c r="B53" s="1148" t="s">
        <v>1652</v>
      </c>
      <c r="C53" s="1123"/>
      <c r="D53" s="1124"/>
      <c r="E53" s="1149"/>
      <c r="F53" s="1150"/>
      <c r="G53" s="1179"/>
      <c r="H53" s="796"/>
      <c r="I53" s="1181"/>
      <c r="J53" s="796"/>
      <c r="K53" s="797"/>
      <c r="L53" s="1182"/>
    </row>
    <row r="54" spans="1:12" s="714" customFormat="1" ht="24" customHeight="1">
      <c r="A54" s="1147"/>
      <c r="B54" s="1148" t="s">
        <v>1661</v>
      </c>
      <c r="C54" s="1123"/>
      <c r="D54" s="1124"/>
      <c r="E54" s="1149">
        <v>2</v>
      </c>
      <c r="F54" s="1150" t="s">
        <v>240</v>
      </c>
      <c r="G54" s="1179">
        <v>1742</v>
      </c>
      <c r="H54" s="796">
        <f t="shared" si="1"/>
        <v>3484</v>
      </c>
      <c r="I54" s="1181">
        <v>500</v>
      </c>
      <c r="J54" s="796">
        <f t="shared" ref="J54" si="11">ROUND(E54*I54,)</f>
        <v>1000</v>
      </c>
      <c r="K54" s="797">
        <f t="shared" ref="K54" si="12">H54+J54</f>
        <v>4484</v>
      </c>
      <c r="L54" s="1182"/>
    </row>
    <row r="55" spans="1:12" s="714" customFormat="1" ht="24" customHeight="1">
      <c r="A55" s="1147" t="s">
        <v>1655</v>
      </c>
      <c r="B55" s="1148" t="s">
        <v>1762</v>
      </c>
      <c r="C55" s="1123"/>
      <c r="D55" s="1124"/>
      <c r="E55" s="1149"/>
      <c r="F55" s="1150"/>
      <c r="G55" s="1179"/>
      <c r="H55" s="796"/>
      <c r="I55" s="1181"/>
      <c r="J55" s="796"/>
      <c r="K55" s="797"/>
      <c r="L55" s="1182"/>
    </row>
    <row r="56" spans="1:12" s="714" customFormat="1" ht="24" customHeight="1">
      <c r="A56" s="1147"/>
      <c r="B56" s="1148" t="s">
        <v>1763</v>
      </c>
      <c r="C56" s="1123"/>
      <c r="D56" s="1124"/>
      <c r="E56" s="1149">
        <v>2</v>
      </c>
      <c r="F56" s="1150" t="s">
        <v>240</v>
      </c>
      <c r="G56" s="1179">
        <v>1095</v>
      </c>
      <c r="H56" s="796">
        <f t="shared" ref="H56:H57" si="13">ROUND(E56*G56,)</f>
        <v>2190</v>
      </c>
      <c r="I56" s="1181">
        <v>110</v>
      </c>
      <c r="J56" s="796">
        <f t="shared" ref="J56:J57" si="14">ROUND(I56*E56,)</f>
        <v>220</v>
      </c>
      <c r="K56" s="797">
        <f t="shared" ref="K56:K57" si="15">H56+J56</f>
        <v>2410</v>
      </c>
      <c r="L56" s="1182"/>
    </row>
    <row r="57" spans="1:12" s="714" customFormat="1" ht="24" customHeight="1">
      <c r="A57" s="1147"/>
      <c r="B57" s="1148" t="s">
        <v>1764</v>
      </c>
      <c r="C57" s="1123"/>
      <c r="D57" s="1124"/>
      <c r="E57" s="1149">
        <v>4</v>
      </c>
      <c r="F57" s="1150" t="s">
        <v>240</v>
      </c>
      <c r="G57" s="1179">
        <v>5603</v>
      </c>
      <c r="H57" s="796">
        <f t="shared" si="13"/>
        <v>22412</v>
      </c>
      <c r="I57" s="1181">
        <v>330</v>
      </c>
      <c r="J57" s="796">
        <f t="shared" si="14"/>
        <v>1320</v>
      </c>
      <c r="K57" s="797">
        <f t="shared" si="15"/>
        <v>23732</v>
      </c>
      <c r="L57" s="1182"/>
    </row>
    <row r="58" spans="1:12" s="714" customFormat="1" ht="24" customHeight="1">
      <c r="A58" s="1147"/>
      <c r="B58" s="1148"/>
      <c r="C58" s="1123"/>
      <c r="D58" s="1124"/>
      <c r="E58" s="1149"/>
      <c r="F58" s="1150"/>
      <c r="G58" s="1179"/>
      <c r="H58" s="796"/>
      <c r="I58" s="1181"/>
      <c r="J58" s="796"/>
      <c r="K58" s="797"/>
      <c r="L58" s="825"/>
    </row>
    <row r="59" spans="1:12" s="714" customFormat="1" ht="24" customHeight="1">
      <c r="A59" s="1147"/>
      <c r="B59" s="1148"/>
      <c r="C59" s="1123"/>
      <c r="D59" s="1124"/>
      <c r="E59" s="1149"/>
      <c r="F59" s="1150"/>
      <c r="G59" s="1179"/>
      <c r="H59" s="796"/>
      <c r="I59" s="1181"/>
      <c r="J59" s="796"/>
      <c r="K59" s="797"/>
      <c r="L59" s="825"/>
    </row>
    <row r="60" spans="1:12" s="714" customFormat="1" ht="24" customHeight="1">
      <c r="A60" s="1147" t="s">
        <v>1657</v>
      </c>
      <c r="B60" s="1148" t="s">
        <v>1750</v>
      </c>
      <c r="C60" s="1123"/>
      <c r="D60" s="1124"/>
      <c r="E60" s="1149"/>
      <c r="F60" s="1150"/>
      <c r="G60" s="1179"/>
      <c r="H60" s="796"/>
      <c r="I60" s="1181"/>
      <c r="J60" s="796"/>
      <c r="K60" s="797"/>
      <c r="L60" s="825"/>
    </row>
    <row r="61" spans="1:12" s="714" customFormat="1" ht="24" customHeight="1">
      <c r="A61" s="1147"/>
      <c r="B61" s="1148" t="s">
        <v>1749</v>
      </c>
      <c r="C61" s="1123"/>
      <c r="D61" s="1124"/>
      <c r="E61" s="1149">
        <v>9</v>
      </c>
      <c r="F61" s="1150" t="s">
        <v>240</v>
      </c>
      <c r="G61" s="1179">
        <v>120</v>
      </c>
      <c r="H61" s="796">
        <f t="shared" ref="H61" si="16">ROUND(E61*G61,)</f>
        <v>1080</v>
      </c>
      <c r="I61" s="1181">
        <v>50</v>
      </c>
      <c r="J61" s="796">
        <f t="shared" ref="J61" si="17">ROUND(I61*E61,)</f>
        <v>450</v>
      </c>
      <c r="K61" s="797">
        <f t="shared" ref="K61" si="18">H61+J61</f>
        <v>1530</v>
      </c>
      <c r="L61" s="825"/>
    </row>
    <row r="62" spans="1:12" s="714" customFormat="1" ht="24" customHeight="1">
      <c r="A62" s="1147"/>
      <c r="B62" s="1148"/>
      <c r="C62" s="1123"/>
      <c r="D62" s="1124"/>
      <c r="E62" s="1149"/>
      <c r="F62" s="1150"/>
      <c r="G62" s="1179"/>
      <c r="H62" s="796"/>
      <c r="I62" s="1181"/>
      <c r="J62" s="796"/>
      <c r="K62" s="797"/>
      <c r="L62" s="1182"/>
    </row>
    <row r="63" spans="1:12" s="714" customFormat="1" ht="24" customHeight="1">
      <c r="A63" s="1147"/>
      <c r="B63" s="1148"/>
      <c r="C63" s="1123"/>
      <c r="D63" s="1213"/>
      <c r="E63" s="1149"/>
      <c r="F63" s="1124"/>
      <c r="G63" s="1179"/>
      <c r="H63" s="796"/>
      <c r="I63" s="1181"/>
      <c r="J63" s="796"/>
      <c r="K63" s="797"/>
      <c r="L63" s="825"/>
    </row>
    <row r="64" spans="1:12" s="714" customFormat="1" ht="24" customHeight="1">
      <c r="A64" s="704"/>
      <c r="B64" s="1228"/>
      <c r="C64" s="792"/>
      <c r="D64" s="792"/>
      <c r="E64" s="1229"/>
      <c r="F64" s="919"/>
      <c r="G64" s="1179"/>
      <c r="H64" s="796"/>
      <c r="I64" s="1181"/>
      <c r="J64" s="796"/>
      <c r="K64" s="797"/>
      <c r="L64" s="825"/>
    </row>
    <row r="65" spans="1:15" s="714" customFormat="1" ht="24" customHeight="1">
      <c r="A65" s="1166"/>
      <c r="B65" s="2475" t="str">
        <f>"รวมราคารายการที่ "&amp;A36</f>
        <v>รวมราคารายการที่ 5.1</v>
      </c>
      <c r="C65" s="2476"/>
      <c r="D65" s="2477"/>
      <c r="E65" s="1167"/>
      <c r="F65" s="1167"/>
      <c r="G65" s="1168"/>
      <c r="H65" s="1169">
        <f>SUM(H37:H64)</f>
        <v>144283</v>
      </c>
      <c r="I65" s="1170"/>
      <c r="J65" s="1169">
        <f>SUM(J36:J64)</f>
        <v>50072</v>
      </c>
      <c r="K65" s="1171">
        <f>SUM(K36:K64)</f>
        <v>194355</v>
      </c>
      <c r="L65" s="1171"/>
    </row>
    <row r="66" spans="1:15" s="714" customFormat="1" ht="24" customHeight="1">
      <c r="A66" s="1195" t="s">
        <v>1664</v>
      </c>
      <c r="B66" s="1196" t="s">
        <v>1665</v>
      </c>
      <c r="C66" s="1197"/>
      <c r="D66" s="1198"/>
      <c r="E66" s="1199"/>
      <c r="F66" s="1200"/>
      <c r="G66" s="1201"/>
      <c r="H66" s="1202"/>
      <c r="I66" s="1203"/>
      <c r="J66" s="1202"/>
      <c r="K66" s="1204"/>
      <c r="L66" s="1204"/>
    </row>
    <row r="67" spans="1:15" s="714" customFormat="1" ht="24" customHeight="1">
      <c r="A67" s="1147" t="s">
        <v>1666</v>
      </c>
      <c r="B67" s="1148" t="s">
        <v>1766</v>
      </c>
      <c r="C67" s="1123"/>
      <c r="D67" s="1124"/>
      <c r="E67" s="1149"/>
      <c r="F67" s="1150"/>
      <c r="G67" s="1140"/>
      <c r="H67" s="796"/>
      <c r="I67" s="797"/>
      <c r="J67" s="796"/>
      <c r="K67" s="914"/>
      <c r="L67" s="914"/>
    </row>
    <row r="68" spans="1:15" s="714" customFormat="1" ht="24" customHeight="1">
      <c r="A68" s="1147"/>
      <c r="B68" s="1148" t="s">
        <v>1188</v>
      </c>
      <c r="C68" s="1123"/>
      <c r="D68" s="1124"/>
      <c r="E68" s="1149">
        <v>264</v>
      </c>
      <c r="F68" s="1150" t="s">
        <v>438</v>
      </c>
      <c r="G68" s="1140">
        <v>127</v>
      </c>
      <c r="H68" s="796">
        <f t="shared" ref="H68:H91" si="19">ROUND(E68*G68,)</f>
        <v>33528</v>
      </c>
      <c r="I68" s="797">
        <v>40</v>
      </c>
      <c r="J68" s="796">
        <f t="shared" ref="J68:J74" si="20">ROUND(I68*E68,)</f>
        <v>10560</v>
      </c>
      <c r="K68" s="914">
        <f t="shared" ref="K68:K74" si="21">H68+J68</f>
        <v>44088</v>
      </c>
      <c r="L68" s="914"/>
    </row>
    <row r="69" spans="1:15" s="714" customFormat="1" ht="24" customHeight="1">
      <c r="A69" s="1147"/>
      <c r="B69" s="1148" t="s">
        <v>1190</v>
      </c>
      <c r="C69" s="1123"/>
      <c r="D69" s="1124"/>
      <c r="E69" s="1149">
        <v>40</v>
      </c>
      <c r="F69" s="1150" t="s">
        <v>438</v>
      </c>
      <c r="G69" s="1140">
        <v>258</v>
      </c>
      <c r="H69" s="796">
        <f t="shared" si="19"/>
        <v>10320</v>
      </c>
      <c r="I69" s="797">
        <v>75</v>
      </c>
      <c r="J69" s="796">
        <f t="shared" si="20"/>
        <v>3000</v>
      </c>
      <c r="K69" s="914">
        <f t="shared" si="21"/>
        <v>13320</v>
      </c>
      <c r="L69" s="914"/>
    </row>
    <row r="70" spans="1:15" s="714" customFormat="1" ht="24" customHeight="1">
      <c r="A70" s="1147"/>
      <c r="B70" s="1148" t="s">
        <v>1674</v>
      </c>
      <c r="C70" s="1123"/>
      <c r="D70" s="1124"/>
      <c r="E70" s="1149">
        <v>137</v>
      </c>
      <c r="F70" s="1150" t="s">
        <v>438</v>
      </c>
      <c r="G70" s="1140">
        <v>395</v>
      </c>
      <c r="H70" s="796">
        <f t="shared" si="19"/>
        <v>54115</v>
      </c>
      <c r="I70" s="797">
        <v>120</v>
      </c>
      <c r="J70" s="796">
        <f t="shared" si="20"/>
        <v>16440</v>
      </c>
      <c r="K70" s="914">
        <f t="shared" si="21"/>
        <v>70555</v>
      </c>
      <c r="L70" s="914"/>
    </row>
    <row r="71" spans="1:15" s="714" customFormat="1" ht="24" customHeight="1">
      <c r="A71" s="1147"/>
      <c r="B71" s="1148" t="s">
        <v>1675</v>
      </c>
      <c r="C71" s="1123"/>
      <c r="D71" s="1124"/>
      <c r="E71" s="1149">
        <v>73</v>
      </c>
      <c r="F71" s="1150" t="s">
        <v>438</v>
      </c>
      <c r="G71" s="1140">
        <v>789</v>
      </c>
      <c r="H71" s="796">
        <f t="shared" si="19"/>
        <v>57597</v>
      </c>
      <c r="I71" s="797">
        <v>250</v>
      </c>
      <c r="J71" s="796">
        <f t="shared" si="20"/>
        <v>18250</v>
      </c>
      <c r="K71" s="914">
        <f t="shared" si="21"/>
        <v>75847</v>
      </c>
      <c r="L71" s="914"/>
    </row>
    <row r="72" spans="1:15" s="714" customFormat="1" ht="24" customHeight="1">
      <c r="A72" s="1147"/>
      <c r="B72" s="1148" t="s">
        <v>1645</v>
      </c>
      <c r="C72" s="1123"/>
      <c r="D72" s="1124"/>
      <c r="E72" s="1149">
        <v>1</v>
      </c>
      <c r="F72" s="1150" t="s">
        <v>948</v>
      </c>
      <c r="G72" s="1140">
        <f>ROUND(SUM(H68:H71)*40%,)</f>
        <v>62224</v>
      </c>
      <c r="H72" s="796">
        <f t="shared" si="19"/>
        <v>62224</v>
      </c>
      <c r="I72" s="1181">
        <f t="shared" ref="I72:I74" si="22">ROUNDUP(G72*30%,0)</f>
        <v>18668</v>
      </c>
      <c r="J72" s="796">
        <f t="shared" si="20"/>
        <v>18668</v>
      </c>
      <c r="K72" s="914">
        <f t="shared" si="21"/>
        <v>80892</v>
      </c>
      <c r="L72" s="914"/>
    </row>
    <row r="73" spans="1:15" s="714" customFormat="1" ht="24" customHeight="1">
      <c r="A73" s="1147"/>
      <c r="B73" s="1148" t="s">
        <v>1646</v>
      </c>
      <c r="C73" s="1123"/>
      <c r="D73" s="1124"/>
      <c r="E73" s="1149">
        <v>1</v>
      </c>
      <c r="F73" s="1150" t="s">
        <v>948</v>
      </c>
      <c r="G73" s="1140">
        <f>ROUND(SUM(H68:H71)*20%,)</f>
        <v>31112</v>
      </c>
      <c r="H73" s="796">
        <f t="shared" si="19"/>
        <v>31112</v>
      </c>
      <c r="I73" s="1181">
        <f t="shared" si="22"/>
        <v>9334</v>
      </c>
      <c r="J73" s="796">
        <f t="shared" si="20"/>
        <v>9334</v>
      </c>
      <c r="K73" s="914">
        <f t="shared" si="21"/>
        <v>40446</v>
      </c>
      <c r="L73" s="914"/>
    </row>
    <row r="74" spans="1:15" s="714" customFormat="1" ht="24" customHeight="1">
      <c r="A74" s="1147"/>
      <c r="B74" s="1148" t="s">
        <v>1677</v>
      </c>
      <c r="C74" s="1123"/>
      <c r="D74" s="1124"/>
      <c r="E74" s="1149">
        <v>1</v>
      </c>
      <c r="F74" s="1150" t="s">
        <v>948</v>
      </c>
      <c r="G74" s="1140">
        <f>ROUND(SUM(H68:H71)*10%,)</f>
        <v>15556</v>
      </c>
      <c r="H74" s="796">
        <f t="shared" si="19"/>
        <v>15556</v>
      </c>
      <c r="I74" s="1181">
        <f t="shared" si="22"/>
        <v>4667</v>
      </c>
      <c r="J74" s="796">
        <f t="shared" si="20"/>
        <v>4667</v>
      </c>
      <c r="K74" s="914">
        <f t="shared" si="21"/>
        <v>20223</v>
      </c>
      <c r="L74" s="914"/>
    </row>
    <row r="75" spans="1:15" s="714" customFormat="1" ht="24" customHeight="1">
      <c r="A75" s="1159" t="s">
        <v>1672</v>
      </c>
      <c r="B75" s="1160" t="s">
        <v>1772</v>
      </c>
      <c r="C75" s="1161"/>
      <c r="D75" s="1162"/>
      <c r="E75" s="1183"/>
      <c r="F75" s="1163"/>
      <c r="G75" s="1205"/>
      <c r="H75" s="872"/>
      <c r="I75" s="873"/>
      <c r="J75" s="872"/>
      <c r="K75" s="938"/>
      <c r="L75" s="938"/>
    </row>
    <row r="76" spans="1:15" s="714" customFormat="1" ht="24" customHeight="1">
      <c r="A76" s="1147"/>
      <c r="B76" s="1148" t="s">
        <v>1186</v>
      </c>
      <c r="C76" s="1123"/>
      <c r="D76" s="1124"/>
      <c r="E76" s="1149">
        <v>242</v>
      </c>
      <c r="F76" s="1150" t="s">
        <v>438</v>
      </c>
      <c r="G76" s="1140">
        <v>20</v>
      </c>
      <c r="H76" s="796">
        <f t="shared" si="19"/>
        <v>4840</v>
      </c>
      <c r="I76" s="797">
        <v>30</v>
      </c>
      <c r="J76" s="796">
        <f t="shared" ref="J76:J84" si="23">ROUND(I76*E76,)</f>
        <v>7260</v>
      </c>
      <c r="K76" s="914">
        <f t="shared" ref="K76:K84" si="24">H76+J76</f>
        <v>12100</v>
      </c>
      <c r="L76" s="2273" t="s">
        <v>2974</v>
      </c>
      <c r="N76" s="714">
        <v>79.17</v>
      </c>
      <c r="O76" s="714">
        <f>ROUND(N76/4,)</f>
        <v>20</v>
      </c>
    </row>
    <row r="77" spans="1:15" s="714" customFormat="1" ht="24" customHeight="1">
      <c r="A77" s="1147"/>
      <c r="B77" s="1148" t="s">
        <v>1187</v>
      </c>
      <c r="C77" s="1123"/>
      <c r="D77" s="1124"/>
      <c r="E77" s="1149">
        <v>14</v>
      </c>
      <c r="F77" s="1150" t="s">
        <v>438</v>
      </c>
      <c r="G77" s="1140">
        <v>26</v>
      </c>
      <c r="H77" s="796">
        <f t="shared" si="19"/>
        <v>364</v>
      </c>
      <c r="I77" s="797">
        <v>30</v>
      </c>
      <c r="J77" s="796">
        <f t="shared" si="23"/>
        <v>420</v>
      </c>
      <c r="K77" s="914">
        <f t="shared" si="24"/>
        <v>784</v>
      </c>
      <c r="L77" s="2273" t="s">
        <v>2974</v>
      </c>
      <c r="N77" s="714">
        <v>103.74</v>
      </c>
      <c r="O77" s="714">
        <f t="shared" ref="O77:O80" si="25">ROUND(N77/4,)</f>
        <v>26</v>
      </c>
    </row>
    <row r="78" spans="1:15" s="714" customFormat="1" ht="24" customHeight="1">
      <c r="A78" s="1147"/>
      <c r="B78" s="1148" t="s">
        <v>1188</v>
      </c>
      <c r="C78" s="1123"/>
      <c r="D78" s="1124"/>
      <c r="E78" s="1149">
        <v>46</v>
      </c>
      <c r="F78" s="1150" t="s">
        <v>438</v>
      </c>
      <c r="G78" s="1140">
        <v>41</v>
      </c>
      <c r="H78" s="796">
        <f t="shared" si="19"/>
        <v>1886</v>
      </c>
      <c r="I78" s="797">
        <v>40</v>
      </c>
      <c r="J78" s="796">
        <f t="shared" si="23"/>
        <v>1840</v>
      </c>
      <c r="K78" s="914">
        <f t="shared" si="24"/>
        <v>3726</v>
      </c>
      <c r="L78" s="2273" t="s">
        <v>2974</v>
      </c>
      <c r="N78" s="714">
        <v>163.80000000000001</v>
      </c>
      <c r="O78" s="714">
        <f t="shared" si="25"/>
        <v>41</v>
      </c>
    </row>
    <row r="79" spans="1:15" s="714" customFormat="1" ht="24" customHeight="1">
      <c r="A79" s="1147"/>
      <c r="B79" s="1148" t="s">
        <v>1189</v>
      </c>
      <c r="C79" s="1123"/>
      <c r="D79" s="1124"/>
      <c r="E79" s="1149">
        <v>88</v>
      </c>
      <c r="F79" s="1150" t="s">
        <v>438</v>
      </c>
      <c r="G79" s="1140">
        <v>65</v>
      </c>
      <c r="H79" s="796">
        <f t="shared" si="19"/>
        <v>5720</v>
      </c>
      <c r="I79" s="797">
        <v>50</v>
      </c>
      <c r="J79" s="796">
        <f t="shared" si="23"/>
        <v>4400</v>
      </c>
      <c r="K79" s="914">
        <f t="shared" si="24"/>
        <v>10120</v>
      </c>
      <c r="L79" s="2273" t="s">
        <v>2974</v>
      </c>
      <c r="N79" s="714">
        <v>259.35000000000002</v>
      </c>
      <c r="O79" s="714">
        <f t="shared" si="25"/>
        <v>65</v>
      </c>
    </row>
    <row r="80" spans="1:15" s="714" customFormat="1" ht="24" customHeight="1">
      <c r="A80" s="1147"/>
      <c r="B80" s="1148" t="s">
        <v>1190</v>
      </c>
      <c r="C80" s="1123"/>
      <c r="D80" s="1124"/>
      <c r="E80" s="1149">
        <v>32</v>
      </c>
      <c r="F80" s="1150" t="s">
        <v>438</v>
      </c>
      <c r="G80" s="1140">
        <v>90</v>
      </c>
      <c r="H80" s="796">
        <f t="shared" si="19"/>
        <v>2880</v>
      </c>
      <c r="I80" s="797">
        <v>75</v>
      </c>
      <c r="J80" s="796">
        <f t="shared" si="23"/>
        <v>2400</v>
      </c>
      <c r="K80" s="914">
        <f t="shared" si="24"/>
        <v>5280</v>
      </c>
      <c r="L80" s="2273" t="s">
        <v>2974</v>
      </c>
      <c r="N80" s="714">
        <v>359.45</v>
      </c>
      <c r="O80" s="714">
        <f t="shared" si="25"/>
        <v>90</v>
      </c>
    </row>
    <row r="81" spans="1:15" s="714" customFormat="1" ht="24" customHeight="1">
      <c r="A81" s="1147"/>
      <c r="B81" s="1187" t="s">
        <v>951</v>
      </c>
      <c r="C81" s="1123"/>
      <c r="D81" s="1124"/>
      <c r="E81" s="1149">
        <v>14</v>
      </c>
      <c r="F81" s="1150" t="s">
        <v>438</v>
      </c>
      <c r="G81" s="1140">
        <v>146</v>
      </c>
      <c r="H81" s="796">
        <f t="shared" si="19"/>
        <v>2044</v>
      </c>
      <c r="I81" s="797">
        <v>100</v>
      </c>
      <c r="J81" s="796">
        <f t="shared" si="23"/>
        <v>1400</v>
      </c>
      <c r="K81" s="914">
        <f t="shared" si="24"/>
        <v>3444</v>
      </c>
      <c r="L81" s="2273" t="s">
        <v>2974</v>
      </c>
      <c r="N81" s="714">
        <v>582.4</v>
      </c>
      <c r="O81" s="714">
        <f>ROUND(N81/4,)</f>
        <v>146</v>
      </c>
    </row>
    <row r="82" spans="1:15" s="714" customFormat="1" ht="24" customHeight="1">
      <c r="A82" s="1147"/>
      <c r="B82" s="1148" t="s">
        <v>1645</v>
      </c>
      <c r="C82" s="1123"/>
      <c r="D82" s="1124"/>
      <c r="E82" s="1149">
        <v>1</v>
      </c>
      <c r="F82" s="1150" t="s">
        <v>948</v>
      </c>
      <c r="G82" s="1140">
        <f>ROUND(SUM(H76:H81)*40%,)</f>
        <v>7094</v>
      </c>
      <c r="H82" s="796">
        <f t="shared" si="19"/>
        <v>7094</v>
      </c>
      <c r="I82" s="1181">
        <f t="shared" ref="I82:I84" si="26">ROUNDUP(G82*30%,0)</f>
        <v>2129</v>
      </c>
      <c r="J82" s="796">
        <f t="shared" si="23"/>
        <v>2129</v>
      </c>
      <c r="K82" s="914">
        <f t="shared" si="24"/>
        <v>9223</v>
      </c>
      <c r="L82" s="914"/>
    </row>
    <row r="83" spans="1:15" s="714" customFormat="1" ht="24" customHeight="1">
      <c r="A83" s="1147"/>
      <c r="B83" s="1148" t="s">
        <v>1646</v>
      </c>
      <c r="C83" s="1123"/>
      <c r="D83" s="1124"/>
      <c r="E83" s="1149">
        <v>1</v>
      </c>
      <c r="F83" s="1150" t="s">
        <v>948</v>
      </c>
      <c r="G83" s="1140">
        <f>ROUND(SUM(H76:H81)*30%,)</f>
        <v>5320</v>
      </c>
      <c r="H83" s="796">
        <f t="shared" si="19"/>
        <v>5320</v>
      </c>
      <c r="I83" s="1181">
        <f t="shared" si="26"/>
        <v>1596</v>
      </c>
      <c r="J83" s="796">
        <f t="shared" si="23"/>
        <v>1596</v>
      </c>
      <c r="K83" s="914">
        <f t="shared" si="24"/>
        <v>6916</v>
      </c>
      <c r="L83" s="914"/>
    </row>
    <row r="84" spans="1:15" s="714" customFormat="1" ht="24" customHeight="1">
      <c r="A84" s="1147"/>
      <c r="B84" s="1148" t="s">
        <v>1677</v>
      </c>
      <c r="C84" s="1123"/>
      <c r="D84" s="1124"/>
      <c r="E84" s="1149">
        <v>1</v>
      </c>
      <c r="F84" s="1150" t="s">
        <v>948</v>
      </c>
      <c r="G84" s="1140">
        <f>ROUND(SUM(H76:H81)*10%,)</f>
        <v>1773</v>
      </c>
      <c r="H84" s="796">
        <f t="shared" si="19"/>
        <v>1773</v>
      </c>
      <c r="I84" s="1181">
        <f t="shared" si="26"/>
        <v>532</v>
      </c>
      <c r="J84" s="796">
        <f t="shared" si="23"/>
        <v>532</v>
      </c>
      <c r="K84" s="914">
        <f t="shared" si="24"/>
        <v>2305</v>
      </c>
      <c r="L84" s="914"/>
    </row>
    <row r="85" spans="1:15" s="714" customFormat="1" ht="24" customHeight="1">
      <c r="A85" s="1147" t="s">
        <v>1678</v>
      </c>
      <c r="B85" s="1148" t="s">
        <v>1767</v>
      </c>
      <c r="C85" s="1123"/>
      <c r="D85" s="1124"/>
      <c r="E85" s="1149"/>
      <c r="F85" s="1150"/>
      <c r="G85" s="1140"/>
      <c r="H85" s="796"/>
      <c r="I85" s="797"/>
      <c r="J85" s="796"/>
      <c r="K85" s="914"/>
      <c r="L85" s="914"/>
    </row>
    <row r="86" spans="1:15" s="714" customFormat="1" ht="24" customHeight="1">
      <c r="A86" s="1147"/>
      <c r="B86" s="1148" t="s">
        <v>1188</v>
      </c>
      <c r="C86" s="1123"/>
      <c r="D86" s="1124"/>
      <c r="E86" s="1149">
        <v>39</v>
      </c>
      <c r="F86" s="1150" t="s">
        <v>240</v>
      </c>
      <c r="G86" s="1140">
        <f>ROUND(665*0.7,)</f>
        <v>466</v>
      </c>
      <c r="H86" s="796">
        <f t="shared" si="19"/>
        <v>18174</v>
      </c>
      <c r="I86" s="797">
        <v>200</v>
      </c>
      <c r="J86" s="796">
        <f t="shared" ref="J86" si="27">ROUND(I86*E86,)</f>
        <v>7800</v>
      </c>
      <c r="K86" s="914">
        <f t="shared" ref="K86" si="28">H86+J86</f>
        <v>25974</v>
      </c>
      <c r="L86" s="914"/>
    </row>
    <row r="87" spans="1:15" s="714" customFormat="1" ht="24" customHeight="1">
      <c r="A87" s="1147" t="s">
        <v>1680</v>
      </c>
      <c r="B87" s="1148" t="s">
        <v>1699</v>
      </c>
      <c r="C87" s="1123"/>
      <c r="D87" s="1124"/>
      <c r="E87" s="1149"/>
      <c r="F87" s="1150"/>
      <c r="G87" s="1140"/>
      <c r="H87" s="796"/>
      <c r="I87" s="797"/>
      <c r="J87" s="796"/>
      <c r="K87" s="914"/>
      <c r="L87" s="914"/>
    </row>
    <row r="88" spans="1:15" s="714" customFormat="1" ht="24" customHeight="1">
      <c r="A88" s="1147"/>
      <c r="B88" s="1148" t="s">
        <v>1188</v>
      </c>
      <c r="C88" s="1123"/>
      <c r="D88" s="1124"/>
      <c r="E88" s="1149">
        <v>10</v>
      </c>
      <c r="F88" s="1150" t="s">
        <v>240</v>
      </c>
      <c r="G88" s="1140">
        <f>ROUND(240*0.75,)</f>
        <v>180</v>
      </c>
      <c r="H88" s="796">
        <f t="shared" si="19"/>
        <v>1800</v>
      </c>
      <c r="I88" s="797">
        <v>100</v>
      </c>
      <c r="J88" s="796">
        <f t="shared" ref="J88:J91" si="29">ROUND(I88*E88,)</f>
        <v>1000</v>
      </c>
      <c r="K88" s="914">
        <f t="shared" ref="K88:K91" si="30">H88+J88</f>
        <v>2800</v>
      </c>
      <c r="L88" s="914"/>
    </row>
    <row r="89" spans="1:15" s="714" customFormat="1" ht="24" customHeight="1">
      <c r="A89" s="1147"/>
      <c r="B89" s="1148" t="s">
        <v>1190</v>
      </c>
      <c r="C89" s="1123"/>
      <c r="D89" s="1124"/>
      <c r="E89" s="1149">
        <v>6</v>
      </c>
      <c r="F89" s="1150" t="s">
        <v>240</v>
      </c>
      <c r="G89" s="1140">
        <f>ROUND(360*0.75,)</f>
        <v>270</v>
      </c>
      <c r="H89" s="796">
        <f t="shared" si="19"/>
        <v>1620</v>
      </c>
      <c r="I89" s="797">
        <v>150</v>
      </c>
      <c r="J89" s="796">
        <f t="shared" si="29"/>
        <v>900</v>
      </c>
      <c r="K89" s="914">
        <f t="shared" si="30"/>
        <v>2520</v>
      </c>
      <c r="L89" s="914"/>
    </row>
    <row r="90" spans="1:15" s="714" customFormat="1" ht="24" customHeight="1">
      <c r="A90" s="1221"/>
      <c r="B90" s="1219" t="s">
        <v>1674</v>
      </c>
      <c r="C90" s="1209"/>
      <c r="D90" s="1210"/>
      <c r="E90" s="1149">
        <v>6</v>
      </c>
      <c r="F90" s="1212" t="s">
        <v>240</v>
      </c>
      <c r="G90" s="1140">
        <f>ROUND(500*0.75,)</f>
        <v>375</v>
      </c>
      <c r="H90" s="796">
        <f t="shared" si="19"/>
        <v>2250</v>
      </c>
      <c r="I90" s="855">
        <v>200</v>
      </c>
      <c r="J90" s="796">
        <f t="shared" si="29"/>
        <v>1200</v>
      </c>
      <c r="K90" s="914">
        <f t="shared" si="30"/>
        <v>3450</v>
      </c>
      <c r="L90" s="912"/>
    </row>
    <row r="91" spans="1:15" s="714" customFormat="1" ht="24" customHeight="1">
      <c r="A91" s="1147"/>
      <c r="B91" s="1148" t="s">
        <v>1675</v>
      </c>
      <c r="C91" s="1123"/>
      <c r="D91" s="1124"/>
      <c r="E91" s="1149">
        <v>4</v>
      </c>
      <c r="F91" s="1150" t="s">
        <v>240</v>
      </c>
      <c r="G91" s="1140">
        <f>ROUND(950*0.75,)</f>
        <v>713</v>
      </c>
      <c r="H91" s="796">
        <f t="shared" si="19"/>
        <v>2852</v>
      </c>
      <c r="I91" s="797">
        <v>300</v>
      </c>
      <c r="J91" s="796">
        <f t="shared" si="29"/>
        <v>1200</v>
      </c>
      <c r="K91" s="914">
        <f t="shared" si="30"/>
        <v>4052</v>
      </c>
      <c r="L91" s="914"/>
    </row>
    <row r="92" spans="1:15" s="714" customFormat="1" ht="24" customHeight="1">
      <c r="A92" s="1147"/>
      <c r="B92" s="1148"/>
      <c r="C92" s="1123"/>
      <c r="D92" s="1124"/>
      <c r="E92" s="1149"/>
      <c r="F92" s="1150"/>
      <c r="G92" s="1140"/>
      <c r="H92" s="796"/>
      <c r="I92" s="797"/>
      <c r="J92" s="796"/>
      <c r="K92" s="914"/>
      <c r="L92" s="914"/>
    </row>
    <row r="93" spans="1:15" s="714" customFormat="1" ht="24" customHeight="1">
      <c r="A93" s="1147"/>
      <c r="B93" s="1148"/>
      <c r="C93" s="1123"/>
      <c r="D93" s="1124"/>
      <c r="E93" s="1149"/>
      <c r="F93" s="1150"/>
      <c r="G93" s="1140"/>
      <c r="H93" s="796"/>
      <c r="I93" s="797"/>
      <c r="J93" s="796"/>
      <c r="K93" s="914"/>
      <c r="L93" s="914"/>
    </row>
    <row r="94" spans="1:15" s="714" customFormat="1" ht="24" customHeight="1">
      <c r="A94" s="1147"/>
      <c r="B94" s="1148"/>
      <c r="C94" s="1123"/>
      <c r="D94" s="1124"/>
      <c r="E94" s="1149"/>
      <c r="F94" s="1150"/>
      <c r="G94" s="1140"/>
      <c r="H94" s="796"/>
      <c r="I94" s="797"/>
      <c r="J94" s="796"/>
      <c r="K94" s="914"/>
      <c r="L94" s="914"/>
    </row>
    <row r="95" spans="1:15" s="714" customFormat="1" ht="24" customHeight="1">
      <c r="A95" s="1147"/>
      <c r="B95" s="1148"/>
      <c r="C95" s="1123"/>
      <c r="D95" s="1124"/>
      <c r="E95" s="1149"/>
      <c r="F95" s="1150"/>
      <c r="G95" s="1140"/>
      <c r="H95" s="796"/>
      <c r="I95" s="797"/>
      <c r="J95" s="796"/>
      <c r="K95" s="914"/>
      <c r="L95" s="914"/>
    </row>
    <row r="96" spans="1:15" s="714" customFormat="1" ht="24" customHeight="1">
      <c r="A96" s="1147"/>
      <c r="B96" s="1148"/>
      <c r="C96" s="1123"/>
      <c r="D96" s="1124"/>
      <c r="E96" s="1149"/>
      <c r="F96" s="1150"/>
      <c r="G96" s="1140"/>
      <c r="H96" s="796"/>
      <c r="I96" s="797"/>
      <c r="J96" s="796"/>
      <c r="K96" s="914"/>
      <c r="L96" s="914"/>
    </row>
    <row r="97" spans="1:12" s="714" customFormat="1" ht="24" customHeight="1">
      <c r="A97" s="1166"/>
      <c r="B97" s="2475" t="str">
        <f>"รวมราคารายการที่ "&amp;A66</f>
        <v>รวมราคารายการที่ 5.2</v>
      </c>
      <c r="C97" s="2476"/>
      <c r="D97" s="2477"/>
      <c r="E97" s="1167"/>
      <c r="F97" s="1167"/>
      <c r="G97" s="1168"/>
      <c r="H97" s="1169">
        <f>SUM(H67:H96)</f>
        <v>323069</v>
      </c>
      <c r="I97" s="1170"/>
      <c r="J97" s="1169">
        <f>SUM(J67:J96)</f>
        <v>114996</v>
      </c>
      <c r="K97" s="1171">
        <f>SUM(K67:K96)</f>
        <v>438065</v>
      </c>
      <c r="L97" s="1171"/>
    </row>
    <row r="98" spans="1:12" s="714" customFormat="1" ht="24" customHeight="1">
      <c r="A98" s="1011">
        <v>5.3</v>
      </c>
      <c r="B98" s="1196" t="s">
        <v>1691</v>
      </c>
      <c r="C98" s="859"/>
      <c r="D98" s="859"/>
      <c r="E98" s="1216"/>
      <c r="F98" s="852"/>
      <c r="G98" s="874"/>
      <c r="H98" s="854"/>
      <c r="I98" s="855"/>
      <c r="J98" s="854"/>
      <c r="K98" s="912"/>
      <c r="L98" s="914"/>
    </row>
    <row r="99" spans="1:12" s="714" customFormat="1" ht="24" customHeight="1">
      <c r="A99" s="1159" t="s">
        <v>1692</v>
      </c>
      <c r="B99" s="1160" t="s">
        <v>1768</v>
      </c>
      <c r="C99" s="1161"/>
      <c r="D99" s="1162"/>
      <c r="E99" s="1183"/>
      <c r="F99" s="1163"/>
      <c r="G99" s="1205"/>
      <c r="H99" s="872"/>
      <c r="I99" s="873"/>
      <c r="J99" s="872"/>
      <c r="K99" s="938"/>
      <c r="L99" s="1194"/>
    </row>
    <row r="100" spans="1:12" s="714" customFormat="1" ht="24" customHeight="1">
      <c r="A100" s="1147"/>
      <c r="B100" s="1148" t="s">
        <v>1188</v>
      </c>
      <c r="C100" s="1123"/>
      <c r="D100" s="1124"/>
      <c r="E100" s="1149">
        <v>51</v>
      </c>
      <c r="F100" s="1150" t="s">
        <v>438</v>
      </c>
      <c r="G100" s="1140">
        <v>127</v>
      </c>
      <c r="H100" s="796">
        <f t="shared" ref="H100:H103" si="31">ROUND(E100*G100,)</f>
        <v>6477</v>
      </c>
      <c r="I100" s="797">
        <v>40</v>
      </c>
      <c r="J100" s="796">
        <f t="shared" ref="J100:J103" si="32">ROUND(I100*E100,)</f>
        <v>2040</v>
      </c>
      <c r="K100" s="914">
        <f t="shared" ref="K100:K103" si="33">H100+J100</f>
        <v>8517</v>
      </c>
      <c r="L100" s="914"/>
    </row>
    <row r="101" spans="1:12" s="714" customFormat="1" ht="24" customHeight="1">
      <c r="A101" s="1147"/>
      <c r="B101" s="1148" t="s">
        <v>1645</v>
      </c>
      <c r="C101" s="1123"/>
      <c r="D101" s="1124"/>
      <c r="E101" s="1149">
        <v>1</v>
      </c>
      <c r="F101" s="1150" t="s">
        <v>948</v>
      </c>
      <c r="G101" s="1140">
        <f>SUM(H100:H100)*50%</f>
        <v>3238.5</v>
      </c>
      <c r="H101" s="796">
        <f t="shared" si="31"/>
        <v>3239</v>
      </c>
      <c r="I101" s="1181">
        <f t="shared" ref="I101:I103" si="34">ROUNDUP(G101*30%,0)</f>
        <v>972</v>
      </c>
      <c r="J101" s="796">
        <f t="shared" si="32"/>
        <v>972</v>
      </c>
      <c r="K101" s="914">
        <f t="shared" si="33"/>
        <v>4211</v>
      </c>
      <c r="L101" s="1194"/>
    </row>
    <row r="102" spans="1:12" s="714" customFormat="1" ht="24" customHeight="1">
      <c r="A102" s="1147"/>
      <c r="B102" s="1148" t="s">
        <v>1646</v>
      </c>
      <c r="C102" s="1123"/>
      <c r="D102" s="1124"/>
      <c r="E102" s="1149">
        <v>1</v>
      </c>
      <c r="F102" s="1150" t="s">
        <v>948</v>
      </c>
      <c r="G102" s="1140">
        <f>ROUND(SUM(H100:H100)*20%,)</f>
        <v>1295</v>
      </c>
      <c r="H102" s="796">
        <f t="shared" si="31"/>
        <v>1295</v>
      </c>
      <c r="I102" s="1181">
        <f t="shared" si="34"/>
        <v>389</v>
      </c>
      <c r="J102" s="796">
        <f t="shared" si="32"/>
        <v>389</v>
      </c>
      <c r="K102" s="914">
        <f t="shared" si="33"/>
        <v>1684</v>
      </c>
      <c r="L102" s="914"/>
    </row>
    <row r="103" spans="1:12" s="714" customFormat="1" ht="24" customHeight="1">
      <c r="A103" s="1147"/>
      <c r="B103" s="1148" t="s">
        <v>1677</v>
      </c>
      <c r="C103" s="1123"/>
      <c r="D103" s="1124"/>
      <c r="E103" s="1149">
        <v>1</v>
      </c>
      <c r="F103" s="1150" t="s">
        <v>948</v>
      </c>
      <c r="G103" s="1140">
        <f>ROUND(SUM(H100:H100)*10%,)</f>
        <v>648</v>
      </c>
      <c r="H103" s="796">
        <f t="shared" si="31"/>
        <v>648</v>
      </c>
      <c r="I103" s="1181">
        <f t="shared" si="34"/>
        <v>195</v>
      </c>
      <c r="J103" s="796">
        <f t="shared" si="32"/>
        <v>195</v>
      </c>
      <c r="K103" s="914">
        <f t="shared" si="33"/>
        <v>843</v>
      </c>
      <c r="L103" s="1194"/>
    </row>
    <row r="104" spans="1:12" s="714" customFormat="1" ht="24" customHeight="1">
      <c r="A104" s="1147" t="s">
        <v>1695</v>
      </c>
      <c r="B104" s="1148" t="s">
        <v>1767</v>
      </c>
      <c r="C104" s="1123"/>
      <c r="D104" s="1124"/>
      <c r="E104" s="1149"/>
      <c r="F104" s="1150"/>
      <c r="G104" s="1140"/>
      <c r="H104" s="796"/>
      <c r="I104" s="797"/>
      <c r="J104" s="796"/>
      <c r="K104" s="914"/>
      <c r="L104" s="1194"/>
    </row>
    <row r="105" spans="1:12" s="714" customFormat="1" ht="24" customHeight="1">
      <c r="A105" s="1147"/>
      <c r="B105" s="1148" t="s">
        <v>1188</v>
      </c>
      <c r="C105" s="1123"/>
      <c r="D105" s="1124"/>
      <c r="E105" s="1149">
        <v>2</v>
      </c>
      <c r="F105" s="1150" t="s">
        <v>240</v>
      </c>
      <c r="G105" s="1140">
        <f>ROUND(665*0.7,)</f>
        <v>466</v>
      </c>
      <c r="H105" s="796">
        <f t="shared" ref="H105" si="35">ROUND(E105*G105,)</f>
        <v>932</v>
      </c>
      <c r="I105" s="797">
        <v>200</v>
      </c>
      <c r="J105" s="796">
        <f t="shared" ref="J105" si="36">ROUND(I105*E105,)</f>
        <v>400</v>
      </c>
      <c r="K105" s="914">
        <f t="shared" ref="K105" si="37">H105+J105</f>
        <v>1332</v>
      </c>
      <c r="L105" s="1194"/>
    </row>
    <row r="106" spans="1:12" s="714" customFormat="1" ht="24" customHeight="1">
      <c r="A106" s="1147"/>
      <c r="B106" s="1148"/>
      <c r="C106" s="1123"/>
      <c r="D106" s="1124"/>
      <c r="E106" s="1149"/>
      <c r="F106" s="1150"/>
      <c r="G106" s="1140"/>
      <c r="H106" s="796"/>
      <c r="I106" s="797"/>
      <c r="J106" s="796"/>
      <c r="K106" s="914"/>
      <c r="L106" s="1194"/>
    </row>
    <row r="107" spans="1:12" s="714" customFormat="1" ht="24" customHeight="1">
      <c r="A107" s="1147"/>
      <c r="B107" s="1148"/>
      <c r="C107" s="1123"/>
      <c r="D107" s="1124"/>
      <c r="E107" s="1149"/>
      <c r="F107" s="1150"/>
      <c r="G107" s="1140"/>
      <c r="H107" s="796"/>
      <c r="I107" s="797"/>
      <c r="J107" s="796"/>
      <c r="K107" s="914"/>
      <c r="L107" s="914"/>
    </row>
    <row r="108" spans="1:12" s="714" customFormat="1" ht="24" customHeight="1">
      <c r="A108" s="898"/>
      <c r="B108" s="1191"/>
      <c r="C108" s="890"/>
      <c r="D108" s="890"/>
      <c r="E108" s="1224"/>
      <c r="F108" s="928"/>
      <c r="G108" s="1192"/>
      <c r="H108" s="1193"/>
      <c r="I108" s="1185"/>
      <c r="J108" s="1193"/>
      <c r="K108" s="1194"/>
      <c r="L108" s="1194"/>
    </row>
    <row r="109" spans="1:12" s="714" customFormat="1" ht="24" customHeight="1">
      <c r="A109" s="1166"/>
      <c r="B109" s="2475" t="str">
        <f>"รวมราคารายการที่ "&amp;A98</f>
        <v>รวมราคารายการที่ 5.3</v>
      </c>
      <c r="C109" s="2476"/>
      <c r="D109" s="2477"/>
      <c r="E109" s="1167"/>
      <c r="F109" s="1167"/>
      <c r="G109" s="1168"/>
      <c r="H109" s="1169">
        <f>SUM(H99:H108)</f>
        <v>12591</v>
      </c>
      <c r="I109" s="1170"/>
      <c r="J109" s="1169">
        <f>SUM(J99:J108)</f>
        <v>3996</v>
      </c>
      <c r="K109" s="1169">
        <f>SUM(K99:K108)</f>
        <v>16587</v>
      </c>
      <c r="L109" s="1226"/>
    </row>
    <row r="110" spans="1:12" s="714" customFormat="1" ht="24" customHeight="1">
      <c r="A110" s="1207" t="s">
        <v>1707</v>
      </c>
      <c r="B110" s="1208" t="s">
        <v>1708</v>
      </c>
      <c r="C110" s="1209"/>
      <c r="D110" s="1210"/>
      <c r="E110" s="1211"/>
      <c r="F110" s="1212"/>
      <c r="G110" s="874"/>
      <c r="H110" s="854"/>
      <c r="I110" s="855"/>
      <c r="J110" s="854"/>
      <c r="K110" s="912"/>
      <c r="L110" s="912"/>
    </row>
    <row r="111" spans="1:12" s="714" customFormat="1" ht="24" customHeight="1">
      <c r="A111" s="1147" t="s">
        <v>1709</v>
      </c>
      <c r="B111" s="1148" t="s">
        <v>1746</v>
      </c>
      <c r="C111" s="1123"/>
      <c r="D111" s="1124"/>
      <c r="E111" s="1149"/>
      <c r="F111" s="1150"/>
      <c r="G111" s="1179"/>
      <c r="H111" s="796"/>
      <c r="I111" s="1181"/>
      <c r="J111" s="796"/>
      <c r="K111" s="797"/>
      <c r="L111" s="1182"/>
    </row>
    <row r="112" spans="1:12" s="714" customFormat="1" ht="24" customHeight="1">
      <c r="A112" s="1147"/>
      <c r="B112" s="1148" t="s">
        <v>1650</v>
      </c>
      <c r="C112" s="1123"/>
      <c r="D112" s="1124"/>
      <c r="E112" s="1149">
        <v>270</v>
      </c>
      <c r="F112" s="1150" t="s">
        <v>438</v>
      </c>
      <c r="G112" s="1179">
        <v>46</v>
      </c>
      <c r="H112" s="796">
        <f t="shared" ref="H112:H119" si="38">ROUND(E112*G112,)</f>
        <v>12420</v>
      </c>
      <c r="I112" s="1181">
        <v>30</v>
      </c>
      <c r="J112" s="796">
        <f t="shared" ref="J112:J119" si="39">ROUND(E112*I112,)</f>
        <v>8100</v>
      </c>
      <c r="K112" s="797">
        <f t="shared" ref="K112:K119" si="40">H112+J112</f>
        <v>20520</v>
      </c>
      <c r="L112" s="1182"/>
    </row>
    <row r="113" spans="1:12" s="714" customFormat="1" ht="24" customHeight="1">
      <c r="A113" s="1147"/>
      <c r="B113" s="1148" t="s">
        <v>1760</v>
      </c>
      <c r="C113" s="1123"/>
      <c r="D113" s="1124"/>
      <c r="E113" s="1149">
        <v>16</v>
      </c>
      <c r="F113" s="1150" t="s">
        <v>438</v>
      </c>
      <c r="G113" s="1179">
        <v>113</v>
      </c>
      <c r="H113" s="796">
        <f t="shared" si="38"/>
        <v>1808</v>
      </c>
      <c r="I113" s="1181">
        <v>50</v>
      </c>
      <c r="J113" s="796">
        <f t="shared" si="39"/>
        <v>800</v>
      </c>
      <c r="K113" s="797">
        <f t="shared" si="40"/>
        <v>2608</v>
      </c>
      <c r="L113" s="1182"/>
    </row>
    <row r="114" spans="1:12" s="714" customFormat="1" ht="24" customHeight="1">
      <c r="A114" s="1147"/>
      <c r="B114" s="1148" t="s">
        <v>1761</v>
      </c>
      <c r="C114" s="1123"/>
      <c r="D114" s="1124"/>
      <c r="E114" s="1149">
        <v>20</v>
      </c>
      <c r="F114" s="1150" t="s">
        <v>438</v>
      </c>
      <c r="G114" s="1179">
        <v>193</v>
      </c>
      <c r="H114" s="796">
        <f t="shared" si="38"/>
        <v>3860</v>
      </c>
      <c r="I114" s="1181">
        <v>75</v>
      </c>
      <c r="J114" s="796">
        <f t="shared" si="39"/>
        <v>1500</v>
      </c>
      <c r="K114" s="797">
        <f t="shared" si="40"/>
        <v>5360</v>
      </c>
      <c r="L114" s="1182"/>
    </row>
    <row r="115" spans="1:12" s="714" customFormat="1" ht="24" customHeight="1">
      <c r="A115" s="1147"/>
      <c r="B115" s="1148" t="s">
        <v>1661</v>
      </c>
      <c r="C115" s="1123"/>
      <c r="D115" s="1124"/>
      <c r="E115" s="1149">
        <v>60</v>
      </c>
      <c r="F115" s="1150" t="s">
        <v>438</v>
      </c>
      <c r="G115" s="1179">
        <v>287</v>
      </c>
      <c r="H115" s="796">
        <f t="shared" si="38"/>
        <v>17220</v>
      </c>
      <c r="I115" s="1181">
        <v>100</v>
      </c>
      <c r="J115" s="796">
        <f t="shared" si="39"/>
        <v>6000</v>
      </c>
      <c r="K115" s="797">
        <f t="shared" si="40"/>
        <v>23220</v>
      </c>
      <c r="L115" s="1182"/>
    </row>
    <row r="116" spans="1:12" s="714" customFormat="1" ht="21.3">
      <c r="A116" s="1147"/>
      <c r="B116" s="1187" t="s">
        <v>1642</v>
      </c>
      <c r="C116" s="1123"/>
      <c r="D116" s="1124"/>
      <c r="E116" s="1149">
        <v>9</v>
      </c>
      <c r="F116" s="1150" t="s">
        <v>438</v>
      </c>
      <c r="G116" s="1179">
        <v>562</v>
      </c>
      <c r="H116" s="796">
        <f t="shared" si="38"/>
        <v>5058</v>
      </c>
      <c r="I116" s="1181">
        <v>120</v>
      </c>
      <c r="J116" s="796">
        <f t="shared" si="39"/>
        <v>1080</v>
      </c>
      <c r="K116" s="914">
        <f t="shared" si="40"/>
        <v>6138</v>
      </c>
      <c r="L116" s="1182"/>
    </row>
    <row r="117" spans="1:12" s="714" customFormat="1" ht="21.3">
      <c r="A117" s="1147"/>
      <c r="B117" s="1148" t="s">
        <v>1645</v>
      </c>
      <c r="C117" s="1123"/>
      <c r="D117" s="1124"/>
      <c r="E117" s="1149">
        <v>1</v>
      </c>
      <c r="F117" s="1150" t="s">
        <v>948</v>
      </c>
      <c r="G117" s="1179">
        <f>SUM(H112:H116)*50%</f>
        <v>20183</v>
      </c>
      <c r="H117" s="796">
        <f t="shared" si="38"/>
        <v>20183</v>
      </c>
      <c r="I117" s="1181">
        <f t="shared" ref="I117:I119" si="41">ROUNDUP(G117*30%,0)</f>
        <v>6055</v>
      </c>
      <c r="J117" s="796">
        <f t="shared" si="39"/>
        <v>6055</v>
      </c>
      <c r="K117" s="797">
        <f t="shared" si="40"/>
        <v>26238</v>
      </c>
      <c r="L117" s="1182"/>
    </row>
    <row r="118" spans="1:12" s="714" customFormat="1" ht="21.3">
      <c r="A118" s="1147"/>
      <c r="B118" s="1148" t="s">
        <v>1646</v>
      </c>
      <c r="C118" s="1123"/>
      <c r="D118" s="1124"/>
      <c r="E118" s="1149">
        <v>1</v>
      </c>
      <c r="F118" s="1150" t="s">
        <v>948</v>
      </c>
      <c r="G118" s="1179">
        <f>ROUND(SUM(H112:H116)*20%,)</f>
        <v>8073</v>
      </c>
      <c r="H118" s="796">
        <f t="shared" si="38"/>
        <v>8073</v>
      </c>
      <c r="I118" s="1181">
        <f t="shared" si="41"/>
        <v>2422</v>
      </c>
      <c r="J118" s="796">
        <f t="shared" si="39"/>
        <v>2422</v>
      </c>
      <c r="K118" s="797">
        <f t="shared" si="40"/>
        <v>10495</v>
      </c>
      <c r="L118" s="1182"/>
    </row>
    <row r="119" spans="1:12" s="714" customFormat="1" ht="21.3">
      <c r="A119" s="1147"/>
      <c r="B119" s="1148" t="s">
        <v>1647</v>
      </c>
      <c r="C119" s="1123"/>
      <c r="D119" s="1124"/>
      <c r="E119" s="1149">
        <v>1</v>
      </c>
      <c r="F119" s="1150" t="s">
        <v>948</v>
      </c>
      <c r="G119" s="1179">
        <f>ROUND(SUM(H112:H116)*10%,)</f>
        <v>4037</v>
      </c>
      <c r="H119" s="796">
        <f t="shared" si="38"/>
        <v>4037</v>
      </c>
      <c r="I119" s="1181">
        <f t="shared" si="41"/>
        <v>1212</v>
      </c>
      <c r="J119" s="796">
        <f t="shared" si="39"/>
        <v>1212</v>
      </c>
      <c r="K119" s="797">
        <f t="shared" si="40"/>
        <v>5249</v>
      </c>
      <c r="L119" s="1182"/>
    </row>
    <row r="120" spans="1:12" s="714" customFormat="1" ht="21.3">
      <c r="A120" s="1147" t="s">
        <v>1712</v>
      </c>
      <c r="B120" s="1148" t="s">
        <v>1652</v>
      </c>
      <c r="C120" s="1123"/>
      <c r="D120" s="1124"/>
      <c r="E120" s="1149"/>
      <c r="F120" s="1150"/>
      <c r="G120" s="1179"/>
      <c r="H120" s="796"/>
      <c r="I120" s="1181"/>
      <c r="J120" s="796"/>
      <c r="K120" s="797"/>
      <c r="L120" s="1182"/>
    </row>
    <row r="121" spans="1:12" s="714" customFormat="1" ht="21.3">
      <c r="A121" s="1147"/>
      <c r="B121" s="1148" t="s">
        <v>1661</v>
      </c>
      <c r="C121" s="1123"/>
      <c r="D121" s="1124"/>
      <c r="E121" s="1149">
        <v>5</v>
      </c>
      <c r="F121" s="1150" t="s">
        <v>240</v>
      </c>
      <c r="G121" s="1179">
        <v>1742</v>
      </c>
      <c r="H121" s="796">
        <f t="shared" ref="H121" si="42">ROUND(E121*G121,)</f>
        <v>8710</v>
      </c>
      <c r="I121" s="1181">
        <v>500</v>
      </c>
      <c r="J121" s="796">
        <f t="shared" ref="J121" si="43">ROUND(E121*I121,)</f>
        <v>2500</v>
      </c>
      <c r="K121" s="797">
        <f t="shared" ref="K121" si="44">H121+J121</f>
        <v>11210</v>
      </c>
      <c r="L121" s="1182"/>
    </row>
    <row r="122" spans="1:12" s="714" customFormat="1" ht="21.3">
      <c r="A122" s="1147" t="s">
        <v>1770</v>
      </c>
      <c r="B122" s="1148" t="s">
        <v>1649</v>
      </c>
      <c r="C122" s="1123"/>
      <c r="D122" s="1124"/>
      <c r="E122" s="1149"/>
      <c r="F122" s="1150"/>
      <c r="G122" s="1179"/>
      <c r="H122" s="796"/>
      <c r="I122" s="1181"/>
      <c r="J122" s="796"/>
      <c r="K122" s="797"/>
      <c r="L122" s="1182"/>
    </row>
    <row r="123" spans="1:12" s="714" customFormat="1" ht="21.3">
      <c r="A123" s="1147"/>
      <c r="B123" s="1148" t="s">
        <v>1650</v>
      </c>
      <c r="C123" s="1123"/>
      <c r="D123" s="1124"/>
      <c r="E123" s="1149">
        <v>2</v>
      </c>
      <c r="F123" s="1150" t="s">
        <v>240</v>
      </c>
      <c r="G123" s="1179">
        <v>1316</v>
      </c>
      <c r="H123" s="796">
        <f t="shared" ref="H123" si="45">ROUND(E123*G123,)</f>
        <v>2632</v>
      </c>
      <c r="I123" s="1181">
        <v>200</v>
      </c>
      <c r="J123" s="796">
        <f t="shared" ref="J123" si="46">ROUND(E123*I123,)</f>
        <v>400</v>
      </c>
      <c r="K123" s="797">
        <f t="shared" ref="K123" si="47">H123+J123</f>
        <v>3032</v>
      </c>
      <c r="L123" s="1718" t="s">
        <v>2915</v>
      </c>
    </row>
    <row r="124" spans="1:12" s="714" customFormat="1" ht="21.3">
      <c r="A124" s="1147" t="s">
        <v>1713</v>
      </c>
      <c r="B124" s="1148" t="s">
        <v>1762</v>
      </c>
      <c r="C124" s="1123"/>
      <c r="D124" s="1124"/>
      <c r="E124" s="1149"/>
      <c r="F124" s="1150"/>
      <c r="G124" s="1179"/>
      <c r="H124" s="796"/>
      <c r="I124" s="1181"/>
      <c r="J124" s="796"/>
      <c r="K124" s="797"/>
      <c r="L124" s="1182"/>
    </row>
    <row r="125" spans="1:12" s="714" customFormat="1" ht="21.3">
      <c r="A125" s="1147"/>
      <c r="B125" s="1148" t="s">
        <v>1764</v>
      </c>
      <c r="C125" s="1123"/>
      <c r="D125" s="1124"/>
      <c r="E125" s="1149">
        <v>4</v>
      </c>
      <c r="F125" s="1150" t="s">
        <v>240</v>
      </c>
      <c r="G125" s="1179">
        <v>5603</v>
      </c>
      <c r="H125" s="796">
        <f t="shared" ref="H125" si="48">ROUND(E125*G125,)</f>
        <v>22412</v>
      </c>
      <c r="I125" s="1181">
        <v>330</v>
      </c>
      <c r="J125" s="796">
        <f t="shared" ref="J125" si="49">ROUND(I125*E125,)</f>
        <v>1320</v>
      </c>
      <c r="K125" s="797">
        <f t="shared" ref="K125" si="50">H125+J125</f>
        <v>23732</v>
      </c>
      <c r="L125" s="1182"/>
    </row>
    <row r="126" spans="1:12" s="714" customFormat="1" ht="21.3">
      <c r="A126" s="1147"/>
      <c r="B126" s="1148"/>
      <c r="C126" s="1123"/>
      <c r="D126" s="1213"/>
      <c r="E126" s="1149"/>
      <c r="F126" s="1124"/>
      <c r="G126" s="1140"/>
      <c r="H126" s="796"/>
      <c r="I126" s="797"/>
      <c r="J126" s="796"/>
      <c r="K126" s="914"/>
      <c r="L126" s="914"/>
    </row>
    <row r="127" spans="1:12" s="714" customFormat="1" ht="21.3">
      <c r="A127" s="1147"/>
      <c r="B127" s="1148"/>
      <c r="C127" s="1123"/>
      <c r="D127" s="1213"/>
      <c r="E127" s="1149"/>
      <c r="F127" s="1124"/>
      <c r="G127" s="1140"/>
      <c r="H127" s="796"/>
      <c r="I127" s="797"/>
      <c r="J127" s="796"/>
      <c r="K127" s="914"/>
      <c r="L127" s="914"/>
    </row>
    <row r="128" spans="1:12" s="714" customFormat="1" ht="21.3">
      <c r="A128" s="1147"/>
      <c r="B128" s="1148"/>
      <c r="C128" s="1123"/>
      <c r="D128" s="1213"/>
      <c r="E128" s="1149"/>
      <c r="F128" s="1124"/>
      <c r="G128" s="1140"/>
      <c r="H128" s="796"/>
      <c r="I128" s="797"/>
      <c r="J128" s="796"/>
      <c r="K128" s="914"/>
      <c r="L128" s="914"/>
    </row>
    <row r="129" spans="1:12" s="714" customFormat="1" ht="21.3">
      <c r="A129" s="1147"/>
      <c r="B129" s="1148"/>
      <c r="C129" s="1123"/>
      <c r="D129" s="1213"/>
      <c r="E129" s="1149"/>
      <c r="F129" s="1124"/>
      <c r="G129" s="1140"/>
      <c r="H129" s="796"/>
      <c r="I129" s="797"/>
      <c r="J129" s="796"/>
      <c r="K129" s="914"/>
      <c r="L129" s="914"/>
    </row>
    <row r="130" spans="1:12" s="714" customFormat="1" ht="21.3">
      <c r="A130" s="1147"/>
      <c r="B130" s="1148"/>
      <c r="C130" s="1123"/>
      <c r="D130" s="1213"/>
      <c r="E130" s="1149"/>
      <c r="F130" s="1124"/>
      <c r="G130" s="1140"/>
      <c r="H130" s="796"/>
      <c r="I130" s="797"/>
      <c r="J130" s="796"/>
      <c r="K130" s="914"/>
      <c r="L130" s="914"/>
    </row>
    <row r="131" spans="1:12" s="714" customFormat="1" ht="21.3">
      <c r="A131" s="1147"/>
      <c r="B131" s="1148"/>
      <c r="C131" s="1123"/>
      <c r="D131" s="1213"/>
      <c r="E131" s="1149"/>
      <c r="F131" s="1124"/>
      <c r="G131" s="1140"/>
      <c r="H131" s="796"/>
      <c r="I131" s="797"/>
      <c r="J131" s="796"/>
      <c r="K131" s="914"/>
      <c r="L131" s="914"/>
    </row>
    <row r="132" spans="1:12" s="714" customFormat="1" ht="21.3">
      <c r="A132" s="1147"/>
      <c r="B132" s="1148"/>
      <c r="C132" s="1123"/>
      <c r="D132" s="1213"/>
      <c r="E132" s="1149"/>
      <c r="F132" s="1124"/>
      <c r="G132" s="1140"/>
      <c r="H132" s="796"/>
      <c r="I132" s="797"/>
      <c r="J132" s="796"/>
      <c r="K132" s="914"/>
      <c r="L132" s="914"/>
    </row>
    <row r="133" spans="1:12" s="714" customFormat="1" ht="21.3">
      <c r="A133" s="1147"/>
      <c r="B133" s="1148"/>
      <c r="C133" s="1123"/>
      <c r="D133" s="1213"/>
      <c r="E133" s="1149"/>
      <c r="F133" s="1124"/>
      <c r="G133" s="1140"/>
      <c r="H133" s="796"/>
      <c r="I133" s="797"/>
      <c r="J133" s="796"/>
      <c r="K133" s="914"/>
      <c r="L133" s="914"/>
    </row>
    <row r="134" spans="1:12" s="714" customFormat="1" ht="21.3">
      <c r="A134" s="1147"/>
      <c r="B134" s="1148"/>
      <c r="C134" s="1123"/>
      <c r="D134" s="1213"/>
      <c r="E134" s="1149"/>
      <c r="F134" s="1124"/>
      <c r="G134" s="1140"/>
      <c r="H134" s="796"/>
      <c r="I134" s="797"/>
      <c r="J134" s="796"/>
      <c r="K134" s="914"/>
      <c r="L134" s="914"/>
    </row>
    <row r="135" spans="1:12" s="714" customFormat="1" ht="21.3">
      <c r="A135" s="1038"/>
      <c r="B135" s="1232"/>
      <c r="C135" s="1233"/>
      <c r="D135" s="792"/>
      <c r="E135" s="834"/>
      <c r="F135" s="794"/>
      <c r="G135" s="1140"/>
      <c r="H135" s="796"/>
      <c r="I135" s="797"/>
      <c r="J135" s="796"/>
      <c r="K135" s="914"/>
      <c r="L135" s="914"/>
    </row>
    <row r="136" spans="1:12" s="714" customFormat="1" ht="21.3">
      <c r="A136" s="1166"/>
      <c r="B136" s="2475" t="str">
        <f>"รวมราคารายการที่ "&amp;A110</f>
        <v>รวมราคารายการที่ 5.4</v>
      </c>
      <c r="C136" s="2476"/>
      <c r="D136" s="2477"/>
      <c r="E136" s="2264"/>
      <c r="F136" s="1167"/>
      <c r="G136" s="1168"/>
      <c r="H136" s="1169">
        <f>SUM(H111:H135)</f>
        <v>106413</v>
      </c>
      <c r="I136" s="1170"/>
      <c r="J136" s="1169">
        <f>SUM(J111:J135)</f>
        <v>31389</v>
      </c>
      <c r="K136" s="1169">
        <f>SUM(K111:K135)</f>
        <v>137802</v>
      </c>
      <c r="L136" s="1171"/>
    </row>
    <row r="137" spans="1:12" s="714" customFormat="1" ht="21.3">
      <c r="A137" s="950"/>
      <c r="E137" s="1234"/>
    </row>
    <row r="138" spans="1:12" s="714" customFormat="1" ht="21.3">
      <c r="A138" s="950"/>
      <c r="E138" s="1234"/>
    </row>
    <row r="139" spans="1:12" s="714" customFormat="1" ht="21.3">
      <c r="A139" s="950"/>
      <c r="E139" s="1234"/>
    </row>
    <row r="140" spans="1:12" s="714" customFormat="1" ht="21.3">
      <c r="A140" s="950"/>
      <c r="E140" s="1234"/>
    </row>
    <row r="141" spans="1:12" s="714" customFormat="1" ht="21.3">
      <c r="A141" s="950"/>
      <c r="E141" s="1234"/>
    </row>
  </sheetData>
  <mergeCells count="13"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65:D65"/>
    <mergeCell ref="B97:D97"/>
    <mergeCell ref="B109:D109"/>
    <mergeCell ref="B136:D136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3-อาคารสนับนุน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D5C4B-2D78-4743-8CEA-87C19D4F8710}">
  <sheetPr>
    <tabColor rgb="FF92D050"/>
  </sheetPr>
  <dimension ref="A1:O137"/>
  <sheetViews>
    <sheetView showGridLines="0" tabSelected="1" view="pageBreakPreview" topLeftCell="A118" zoomScale="70" zoomScaleNormal="6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.1171875" style="1" customWidth="1"/>
    <col min="13" max="88" width="7.703125" style="1" customWidth="1"/>
    <col min="89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1635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 t="s">
        <v>29</v>
      </c>
      <c r="B11" s="1144" t="s">
        <v>1774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 t="str">
        <f>A36</f>
        <v>5.1</v>
      </c>
      <c r="B12" s="1148" t="str">
        <f>B36</f>
        <v>ระบบน้ำประปา (Cold Water Supply System)</v>
      </c>
      <c r="C12" s="1123"/>
      <c r="D12" s="1124"/>
      <c r="E12" s="1149">
        <v>1</v>
      </c>
      <c r="F12" s="1150" t="s">
        <v>19</v>
      </c>
      <c r="G12" s="710"/>
      <c r="H12" s="711">
        <f>H64</f>
        <v>143335</v>
      </c>
      <c r="I12" s="712"/>
      <c r="J12" s="711">
        <f>J64</f>
        <v>50273</v>
      </c>
      <c r="K12" s="1129">
        <f t="shared" ref="K12:K15" si="0">SUM(H12:J12)</f>
        <v>193608</v>
      </c>
      <c r="L12" s="1024"/>
    </row>
    <row r="13" spans="1:12" s="714" customFormat="1" ht="24" customHeight="1">
      <c r="A13" s="1159" t="str">
        <f>A65</f>
        <v>5.2</v>
      </c>
      <c r="B13" s="1160" t="str">
        <f>B65</f>
        <v xml:space="preserve">ระบบระบายน้ำโสโครก น้ำทิ้ง ระบายอากาศ และ ท่อน้ำทิ้งจากห้องครัว </v>
      </c>
      <c r="C13" s="1161"/>
      <c r="D13" s="1162"/>
      <c r="E13" s="1183">
        <v>1</v>
      </c>
      <c r="F13" s="1163" t="s">
        <v>19</v>
      </c>
      <c r="G13" s="1164"/>
      <c r="H13" s="957">
        <f>H97</f>
        <v>313339</v>
      </c>
      <c r="I13" s="1165"/>
      <c r="J13" s="957">
        <f>J97</f>
        <v>106668</v>
      </c>
      <c r="K13" s="1129">
        <f t="shared" si="0"/>
        <v>420007</v>
      </c>
      <c r="L13" s="954"/>
    </row>
    <row r="14" spans="1:12" s="714" customFormat="1" ht="24" customHeight="1">
      <c r="A14" s="1159">
        <f>A98</f>
        <v>5.3</v>
      </c>
      <c r="B14" s="1160" t="str">
        <f>B98</f>
        <v>ระบบระบายน้ำฝนและระบายน้ำในอาคาร (Storm Drain &amp; Building Drain System)</v>
      </c>
      <c r="C14" s="1161"/>
      <c r="D14" s="1162"/>
      <c r="E14" s="1183">
        <v>1</v>
      </c>
      <c r="F14" s="1163" t="s">
        <v>19</v>
      </c>
      <c r="G14" s="1164"/>
      <c r="H14" s="957">
        <f>H109</f>
        <v>27362</v>
      </c>
      <c r="I14" s="1165"/>
      <c r="J14" s="957">
        <f>J109</f>
        <v>9449</v>
      </c>
      <c r="K14" s="1129">
        <f t="shared" si="0"/>
        <v>36811</v>
      </c>
      <c r="L14" s="954"/>
    </row>
    <row r="15" spans="1:12" s="714" customFormat="1" ht="24" customHeight="1">
      <c r="A15" s="1159" t="str">
        <f>A110</f>
        <v>5.4</v>
      </c>
      <c r="B15" s="1160" t="str">
        <f>B110</f>
        <v>ระบบน้ำชำระสุขภัณฑ์ (Flush Water System)</v>
      </c>
      <c r="C15" s="1161"/>
      <c r="D15" s="1162"/>
      <c r="E15" s="1183">
        <v>1</v>
      </c>
      <c r="F15" s="1163" t="s">
        <v>19</v>
      </c>
      <c r="G15" s="1164"/>
      <c r="H15" s="957">
        <f>H136</f>
        <v>108583</v>
      </c>
      <c r="I15" s="1165"/>
      <c r="J15" s="957">
        <f>J136</f>
        <v>31671</v>
      </c>
      <c r="K15" s="1129">
        <f t="shared" si="0"/>
        <v>140254</v>
      </c>
      <c r="L15" s="954"/>
    </row>
    <row r="16" spans="1:12" s="714" customFormat="1" ht="24" customHeight="1">
      <c r="A16" s="1227"/>
      <c r="B16" s="1160"/>
      <c r="C16" s="1161"/>
      <c r="D16" s="1162"/>
      <c r="E16" s="1183"/>
      <c r="F16" s="1163"/>
      <c r="G16" s="1164"/>
      <c r="H16" s="957"/>
      <c r="I16" s="1165"/>
      <c r="J16" s="957"/>
      <c r="K16" s="1129"/>
      <c r="L16" s="954"/>
    </row>
    <row r="17" spans="1:12" s="714" customFormat="1" ht="24" customHeight="1">
      <c r="A17" s="1227"/>
      <c r="B17" s="1160"/>
      <c r="C17" s="1161"/>
      <c r="D17" s="1162"/>
      <c r="E17" s="1183"/>
      <c r="F17" s="1163"/>
      <c r="G17" s="1164"/>
      <c r="H17" s="957"/>
      <c r="I17" s="1165"/>
      <c r="J17" s="957"/>
      <c r="K17" s="1129"/>
      <c r="L17" s="954"/>
    </row>
    <row r="18" spans="1:12" s="714" customFormat="1" ht="24" customHeight="1">
      <c r="A18" s="1227"/>
      <c r="B18" s="1160"/>
      <c r="C18" s="1161"/>
      <c r="D18" s="1162"/>
      <c r="E18" s="1183"/>
      <c r="F18" s="1163"/>
      <c r="G18" s="1164"/>
      <c r="H18" s="957"/>
      <c r="I18" s="1165"/>
      <c r="J18" s="957"/>
      <c r="K18" s="1129"/>
      <c r="L18" s="954"/>
    </row>
    <row r="19" spans="1:12" s="714" customFormat="1" ht="24" customHeight="1">
      <c r="A19" s="1227"/>
      <c r="B19" s="1160"/>
      <c r="C19" s="1161"/>
      <c r="D19" s="1162"/>
      <c r="E19" s="1183"/>
      <c r="F19" s="1163"/>
      <c r="G19" s="1164"/>
      <c r="H19" s="957"/>
      <c r="I19" s="1165"/>
      <c r="J19" s="957"/>
      <c r="K19" s="1129"/>
      <c r="L19" s="954"/>
    </row>
    <row r="20" spans="1:12" s="714" customFormat="1" ht="24" customHeight="1">
      <c r="A20" s="1227"/>
      <c r="B20" s="1160"/>
      <c r="C20" s="1161"/>
      <c r="D20" s="1162"/>
      <c r="E20" s="1183"/>
      <c r="F20" s="1163"/>
      <c r="G20" s="1164"/>
      <c r="H20" s="957"/>
      <c r="I20" s="1165"/>
      <c r="J20" s="957"/>
      <c r="K20" s="1129"/>
      <c r="L20" s="954"/>
    </row>
    <row r="21" spans="1:12" s="714" customFormat="1" ht="24" customHeight="1">
      <c r="A21" s="1227"/>
      <c r="B21" s="1160"/>
      <c r="C21" s="1161"/>
      <c r="D21" s="1162"/>
      <c r="E21" s="1183"/>
      <c r="F21" s="1163"/>
      <c r="G21" s="1164"/>
      <c r="H21" s="957"/>
      <c r="I21" s="1165"/>
      <c r="J21" s="957"/>
      <c r="K21" s="1129"/>
      <c r="L21" s="954"/>
    </row>
    <row r="22" spans="1:12" s="714" customFormat="1" ht="24" customHeight="1">
      <c r="A22" s="1227"/>
      <c r="B22" s="1160"/>
      <c r="C22" s="1161"/>
      <c r="D22" s="1162"/>
      <c r="E22" s="1183"/>
      <c r="F22" s="1163"/>
      <c r="G22" s="1164"/>
      <c r="H22" s="957"/>
      <c r="I22" s="1165"/>
      <c r="J22" s="957"/>
      <c r="K22" s="1129"/>
      <c r="L22" s="954"/>
    </row>
    <row r="23" spans="1:12" s="714" customFormat="1" ht="24" customHeight="1">
      <c r="A23" s="1227"/>
      <c r="B23" s="1160"/>
      <c r="C23" s="1161"/>
      <c r="D23" s="1162"/>
      <c r="E23" s="1183"/>
      <c r="F23" s="1163"/>
      <c r="G23" s="1164"/>
      <c r="H23" s="957"/>
      <c r="I23" s="1165"/>
      <c r="J23" s="957"/>
      <c r="K23" s="1129"/>
      <c r="L23" s="954"/>
    </row>
    <row r="24" spans="1:12" s="714" customFormat="1" ht="24" customHeight="1">
      <c r="A24" s="1227"/>
      <c r="B24" s="1160"/>
      <c r="C24" s="1161"/>
      <c r="D24" s="1162"/>
      <c r="E24" s="1183"/>
      <c r="F24" s="1163"/>
      <c r="G24" s="1164"/>
      <c r="H24" s="957"/>
      <c r="I24" s="1165"/>
      <c r="J24" s="957"/>
      <c r="K24" s="1129"/>
      <c r="L24" s="954"/>
    </row>
    <row r="25" spans="1:12" s="714" customFormat="1" ht="24" customHeight="1">
      <c r="A25" s="1227"/>
      <c r="B25" s="1160"/>
      <c r="C25" s="1161"/>
      <c r="D25" s="1162"/>
      <c r="E25" s="1183"/>
      <c r="F25" s="1163"/>
      <c r="G25" s="1164"/>
      <c r="H25" s="957"/>
      <c r="I25" s="1165"/>
      <c r="J25" s="957"/>
      <c r="K25" s="1129"/>
      <c r="L25" s="954"/>
    </row>
    <row r="26" spans="1:12" s="714" customFormat="1" ht="24" customHeight="1">
      <c r="A26" s="1227"/>
      <c r="B26" s="1160"/>
      <c r="C26" s="1161"/>
      <c r="D26" s="1162"/>
      <c r="E26" s="1183"/>
      <c r="F26" s="1163"/>
      <c r="G26" s="1164"/>
      <c r="H26" s="957"/>
      <c r="I26" s="1165"/>
      <c r="J26" s="957"/>
      <c r="K26" s="1129"/>
      <c r="L26" s="954"/>
    </row>
    <row r="27" spans="1:12" s="714" customFormat="1" ht="24" customHeight="1">
      <c r="A27" s="1227"/>
      <c r="B27" s="1160"/>
      <c r="C27" s="1161"/>
      <c r="D27" s="1162"/>
      <c r="E27" s="1183"/>
      <c r="F27" s="1163"/>
      <c r="G27" s="1164"/>
      <c r="H27" s="957"/>
      <c r="I27" s="1165"/>
      <c r="J27" s="957"/>
      <c r="K27" s="1129"/>
      <c r="L27" s="954"/>
    </row>
    <row r="28" spans="1:12" s="714" customFormat="1" ht="24" customHeight="1">
      <c r="A28" s="1227"/>
      <c r="B28" s="1160"/>
      <c r="C28" s="1161"/>
      <c r="D28" s="1162"/>
      <c r="E28" s="1183"/>
      <c r="F28" s="1163"/>
      <c r="G28" s="1164"/>
      <c r="H28" s="957"/>
      <c r="I28" s="1165"/>
      <c r="J28" s="957"/>
      <c r="K28" s="1129"/>
      <c r="L28" s="954"/>
    </row>
    <row r="29" spans="1:12" s="714" customFormat="1" ht="24" customHeight="1">
      <c r="A29" s="1227"/>
      <c r="B29" s="1160"/>
      <c r="C29" s="1161"/>
      <c r="D29" s="1162"/>
      <c r="E29" s="1183"/>
      <c r="F29" s="1163"/>
      <c r="G29" s="1164"/>
      <c r="H29" s="957"/>
      <c r="I29" s="1165"/>
      <c r="J29" s="957"/>
      <c r="K29" s="1129"/>
      <c r="L29" s="954"/>
    </row>
    <row r="30" spans="1:12" s="714" customFormat="1" ht="24" customHeight="1">
      <c r="A30" s="1227"/>
      <c r="B30" s="1160"/>
      <c r="C30" s="1161"/>
      <c r="D30" s="1162"/>
      <c r="E30" s="1183"/>
      <c r="F30" s="1163"/>
      <c r="G30" s="1164"/>
      <c r="H30" s="957"/>
      <c r="I30" s="1165"/>
      <c r="J30" s="957"/>
      <c r="K30" s="1129"/>
      <c r="L30" s="954"/>
    </row>
    <row r="31" spans="1:12" s="714" customFormat="1" ht="24" customHeight="1">
      <c r="A31" s="1227"/>
      <c r="B31" s="1160"/>
      <c r="C31" s="1161"/>
      <c r="D31" s="1162"/>
      <c r="E31" s="1183"/>
      <c r="F31" s="1163"/>
      <c r="G31" s="1164"/>
      <c r="H31" s="957"/>
      <c r="I31" s="1165"/>
      <c r="J31" s="957"/>
      <c r="K31" s="1129"/>
      <c r="L31" s="954"/>
    </row>
    <row r="32" spans="1:12" s="714" customFormat="1" ht="24" customHeight="1">
      <c r="A32" s="1227"/>
      <c r="B32" s="1160"/>
      <c r="C32" s="1161"/>
      <c r="D32" s="1162"/>
      <c r="E32" s="1183"/>
      <c r="F32" s="1163"/>
      <c r="G32" s="1164"/>
      <c r="H32" s="957"/>
      <c r="I32" s="1165"/>
      <c r="J32" s="957"/>
      <c r="K32" s="1129"/>
      <c r="L32" s="954"/>
    </row>
    <row r="33" spans="1:12" s="714" customFormat="1" ht="24" customHeight="1">
      <c r="A33" s="1227"/>
      <c r="B33" s="1160"/>
      <c r="C33" s="1161"/>
      <c r="D33" s="1162"/>
      <c r="E33" s="1183"/>
      <c r="F33" s="1163"/>
      <c r="G33" s="1164"/>
      <c r="H33" s="957"/>
      <c r="I33" s="1165"/>
      <c r="J33" s="957"/>
      <c r="K33" s="1129"/>
      <c r="L33" s="954"/>
    </row>
    <row r="34" spans="1:12" s="714" customFormat="1" ht="30" customHeight="1">
      <c r="A34" s="1166"/>
      <c r="B34" s="2475" t="str">
        <f>"รวมราคา"&amp;B11</f>
        <v>รวมราคางานระบบสุขาภิบาล ชั้น 4</v>
      </c>
      <c r="C34" s="2476"/>
      <c r="D34" s="2477"/>
      <c r="E34" s="1167"/>
      <c r="F34" s="1167"/>
      <c r="G34" s="1168"/>
      <c r="H34" s="1169">
        <f>SUM(H12:H33)</f>
        <v>592619</v>
      </c>
      <c r="I34" s="1170"/>
      <c r="J34" s="1169">
        <f>SUM(J12:J33)</f>
        <v>198061</v>
      </c>
      <c r="K34" s="1171">
        <f>SUM(K12:K33)</f>
        <v>790680</v>
      </c>
      <c r="L34" s="1171"/>
    </row>
    <row r="35" spans="1:12" s="714" customFormat="1" ht="24" customHeight="1">
      <c r="A35" s="1011"/>
      <c r="B35" s="1173" t="s">
        <v>30</v>
      </c>
      <c r="C35" s="859"/>
      <c r="D35" s="859"/>
      <c r="E35" s="1216"/>
      <c r="F35" s="935"/>
      <c r="G35" s="1174"/>
      <c r="H35" s="1175"/>
      <c r="I35" s="1176"/>
      <c r="J35" s="1175"/>
      <c r="K35" s="1176"/>
      <c r="L35" s="825"/>
    </row>
    <row r="36" spans="1:12" s="714" customFormat="1" ht="24" customHeight="1">
      <c r="A36" s="1177" t="s">
        <v>1637</v>
      </c>
      <c r="B36" s="1151" t="s">
        <v>1638</v>
      </c>
      <c r="C36" s="1178"/>
      <c r="D36" s="1124"/>
      <c r="E36" s="1149"/>
      <c r="F36" s="1150"/>
      <c r="G36" s="1179"/>
      <c r="H36" s="1180"/>
      <c r="I36" s="1181"/>
      <c r="J36" s="1180"/>
      <c r="K36" s="1181"/>
      <c r="L36" s="1182"/>
    </row>
    <row r="37" spans="1:12" s="714" customFormat="1" ht="24" customHeight="1">
      <c r="A37" s="1147" t="s">
        <v>1639</v>
      </c>
      <c r="B37" s="1148" t="s">
        <v>1746</v>
      </c>
      <c r="C37" s="1123"/>
      <c r="D37" s="1124"/>
      <c r="E37" s="1149"/>
      <c r="F37" s="1150"/>
      <c r="G37" s="1179"/>
      <c r="H37" s="796"/>
      <c r="I37" s="1181"/>
      <c r="J37" s="796"/>
      <c r="K37" s="797"/>
      <c r="L37" s="1182"/>
    </row>
    <row r="38" spans="1:12" s="714" customFormat="1" ht="24" customHeight="1">
      <c r="A38" s="1147"/>
      <c r="B38" s="1148" t="s">
        <v>1715</v>
      </c>
      <c r="C38" s="1123"/>
      <c r="D38" s="1124"/>
      <c r="E38" s="1149">
        <v>738</v>
      </c>
      <c r="F38" s="1150" t="s">
        <v>438</v>
      </c>
      <c r="G38" s="1179">
        <v>35</v>
      </c>
      <c r="H38" s="796">
        <f t="shared" ref="H38:H54" si="1">ROUND(E38*G38,)</f>
        <v>25830</v>
      </c>
      <c r="I38" s="1181">
        <v>30</v>
      </c>
      <c r="J38" s="796">
        <f t="shared" ref="J38:J46" si="2">ROUND(E38*I38,)</f>
        <v>22140</v>
      </c>
      <c r="K38" s="797">
        <f t="shared" ref="K38:K46" si="3">H38+J38</f>
        <v>47970</v>
      </c>
      <c r="L38" s="1182"/>
    </row>
    <row r="39" spans="1:12" s="714" customFormat="1" ht="24" customHeight="1">
      <c r="A39" s="1147"/>
      <c r="B39" s="1148" t="s">
        <v>1650</v>
      </c>
      <c r="C39" s="1123"/>
      <c r="D39" s="1124"/>
      <c r="E39" s="1149">
        <v>23</v>
      </c>
      <c r="F39" s="1150" t="s">
        <v>438</v>
      </c>
      <c r="G39" s="1179">
        <v>46</v>
      </c>
      <c r="H39" s="796">
        <f t="shared" si="1"/>
        <v>1058</v>
      </c>
      <c r="I39" s="1181">
        <v>30</v>
      </c>
      <c r="J39" s="796">
        <f t="shared" si="2"/>
        <v>690</v>
      </c>
      <c r="K39" s="797">
        <f t="shared" si="3"/>
        <v>1748</v>
      </c>
      <c r="L39" s="1182"/>
    </row>
    <row r="40" spans="1:12" s="714" customFormat="1" ht="24" customHeight="1">
      <c r="A40" s="1147"/>
      <c r="B40" s="1148" t="s">
        <v>1760</v>
      </c>
      <c r="C40" s="1123"/>
      <c r="D40" s="1124"/>
      <c r="E40" s="1149">
        <v>75</v>
      </c>
      <c r="F40" s="1150" t="s">
        <v>438</v>
      </c>
      <c r="G40" s="1179">
        <v>113</v>
      </c>
      <c r="H40" s="796">
        <f t="shared" si="1"/>
        <v>8475</v>
      </c>
      <c r="I40" s="1181">
        <v>50</v>
      </c>
      <c r="J40" s="796">
        <f t="shared" si="2"/>
        <v>3750</v>
      </c>
      <c r="K40" s="797">
        <f t="shared" si="3"/>
        <v>12225</v>
      </c>
      <c r="L40" s="1182"/>
    </row>
    <row r="41" spans="1:12" s="714" customFormat="1" ht="24" customHeight="1">
      <c r="A41" s="1147"/>
      <c r="B41" s="1148" t="s">
        <v>1761</v>
      </c>
      <c r="C41" s="1123"/>
      <c r="D41" s="1124"/>
      <c r="E41" s="1149">
        <v>18</v>
      </c>
      <c r="F41" s="1150" t="s">
        <v>438</v>
      </c>
      <c r="G41" s="1179">
        <v>193</v>
      </c>
      <c r="H41" s="796">
        <f t="shared" si="1"/>
        <v>3474</v>
      </c>
      <c r="I41" s="1181">
        <v>75</v>
      </c>
      <c r="J41" s="796">
        <f t="shared" si="2"/>
        <v>1350</v>
      </c>
      <c r="K41" s="797">
        <f t="shared" si="3"/>
        <v>4824</v>
      </c>
      <c r="L41" s="1182"/>
    </row>
    <row r="42" spans="1:12" s="714" customFormat="1" ht="24" customHeight="1">
      <c r="A42" s="1147"/>
      <c r="B42" s="1148" t="s">
        <v>1661</v>
      </c>
      <c r="C42" s="1123"/>
      <c r="D42" s="1124"/>
      <c r="E42" s="1149">
        <v>29</v>
      </c>
      <c r="F42" s="1150" t="s">
        <v>438</v>
      </c>
      <c r="G42" s="1179">
        <v>287</v>
      </c>
      <c r="H42" s="796">
        <f t="shared" si="1"/>
        <v>8323</v>
      </c>
      <c r="I42" s="1181">
        <v>100</v>
      </c>
      <c r="J42" s="796">
        <f t="shared" si="2"/>
        <v>2900</v>
      </c>
      <c r="K42" s="797">
        <f t="shared" si="3"/>
        <v>11223</v>
      </c>
      <c r="L42" s="1182"/>
    </row>
    <row r="43" spans="1:12" s="714" customFormat="1" ht="24" customHeight="1">
      <c r="A43" s="1147"/>
      <c r="B43" s="1148" t="s">
        <v>1642</v>
      </c>
      <c r="C43" s="1123"/>
      <c r="D43" s="1124"/>
      <c r="E43" s="1149">
        <v>7</v>
      </c>
      <c r="F43" s="1150" t="s">
        <v>438</v>
      </c>
      <c r="G43" s="1179">
        <v>562</v>
      </c>
      <c r="H43" s="796">
        <f t="shared" si="1"/>
        <v>3934</v>
      </c>
      <c r="I43" s="1181">
        <v>120</v>
      </c>
      <c r="J43" s="796">
        <f t="shared" si="2"/>
        <v>840</v>
      </c>
      <c r="K43" s="797">
        <f t="shared" si="3"/>
        <v>4774</v>
      </c>
      <c r="L43" s="1182"/>
    </row>
    <row r="44" spans="1:12" s="714" customFormat="1" ht="24" customHeight="1">
      <c r="A44" s="1147"/>
      <c r="B44" s="1148" t="s">
        <v>1645</v>
      </c>
      <c r="C44" s="1123"/>
      <c r="D44" s="1124"/>
      <c r="E44" s="1149">
        <v>1</v>
      </c>
      <c r="F44" s="1150" t="s">
        <v>948</v>
      </c>
      <c r="G44" s="1179">
        <f>SUM(H38:H43)*50%</f>
        <v>25547</v>
      </c>
      <c r="H44" s="796">
        <f t="shared" si="1"/>
        <v>25547</v>
      </c>
      <c r="I44" s="1181">
        <f>G44*0.3</f>
        <v>7664.0999999999995</v>
      </c>
      <c r="J44" s="796">
        <f t="shared" si="2"/>
        <v>7664</v>
      </c>
      <c r="K44" s="797">
        <f t="shared" si="3"/>
        <v>33211</v>
      </c>
      <c r="L44" s="1182"/>
    </row>
    <row r="45" spans="1:12" s="714" customFormat="1" ht="24" customHeight="1">
      <c r="A45" s="1147"/>
      <c r="B45" s="1148" t="s">
        <v>1646</v>
      </c>
      <c r="C45" s="1123"/>
      <c r="D45" s="1124"/>
      <c r="E45" s="1149">
        <v>1</v>
      </c>
      <c r="F45" s="1150" t="s">
        <v>948</v>
      </c>
      <c r="G45" s="1179">
        <f>ROUND(SUM(H38:H43)*20%,)</f>
        <v>10219</v>
      </c>
      <c r="H45" s="796">
        <f t="shared" si="1"/>
        <v>10219</v>
      </c>
      <c r="I45" s="1181">
        <f>G45*0.3</f>
        <v>3065.7</v>
      </c>
      <c r="J45" s="796">
        <f t="shared" si="2"/>
        <v>3066</v>
      </c>
      <c r="K45" s="797">
        <f t="shared" si="3"/>
        <v>13285</v>
      </c>
      <c r="L45" s="1182"/>
    </row>
    <row r="46" spans="1:12" s="714" customFormat="1" ht="24" customHeight="1">
      <c r="A46" s="1147"/>
      <c r="B46" s="1148" t="s">
        <v>1647</v>
      </c>
      <c r="C46" s="1123"/>
      <c r="D46" s="1124"/>
      <c r="E46" s="1149">
        <v>1</v>
      </c>
      <c r="F46" s="1150" t="s">
        <v>948</v>
      </c>
      <c r="G46" s="1179">
        <f>ROUND(SUM(H38:H43)*10%,)</f>
        <v>5109</v>
      </c>
      <c r="H46" s="796">
        <f t="shared" si="1"/>
        <v>5109</v>
      </c>
      <c r="I46" s="1181">
        <f>G46*0.3</f>
        <v>1532.7</v>
      </c>
      <c r="J46" s="796">
        <f t="shared" si="2"/>
        <v>1533</v>
      </c>
      <c r="K46" s="797">
        <f t="shared" si="3"/>
        <v>6642</v>
      </c>
      <c r="L46" s="1182"/>
    </row>
    <row r="47" spans="1:12" s="714" customFormat="1" ht="24" customHeight="1">
      <c r="A47" s="1147" t="s">
        <v>1648</v>
      </c>
      <c r="B47" s="1148" t="s">
        <v>1649</v>
      </c>
      <c r="C47" s="1123"/>
      <c r="D47" s="1124"/>
      <c r="E47" s="1149"/>
      <c r="F47" s="1150"/>
      <c r="G47" s="1179"/>
      <c r="H47" s="796"/>
      <c r="I47" s="1181"/>
      <c r="J47" s="796"/>
      <c r="K47" s="797"/>
      <c r="L47" s="1182"/>
    </row>
    <row r="48" spans="1:12" s="714" customFormat="1" ht="24" customHeight="1">
      <c r="A48" s="1147"/>
      <c r="B48" s="1148" t="s">
        <v>1715</v>
      </c>
      <c r="C48" s="1123"/>
      <c r="D48" s="1124"/>
      <c r="E48" s="1149">
        <v>5</v>
      </c>
      <c r="F48" s="1150" t="s">
        <v>240</v>
      </c>
      <c r="G48" s="1179">
        <v>880</v>
      </c>
      <c r="H48" s="796">
        <f t="shared" ref="H48:H50" si="4">ROUND(E48*G48,)</f>
        <v>4400</v>
      </c>
      <c r="I48" s="1181">
        <v>150</v>
      </c>
      <c r="J48" s="796">
        <f t="shared" ref="J48:J50" si="5">ROUND(E48*I48,)</f>
        <v>750</v>
      </c>
      <c r="K48" s="797">
        <f t="shared" ref="K48:K50" si="6">H48+J48</f>
        <v>5150</v>
      </c>
      <c r="L48" s="2273" t="s">
        <v>2974</v>
      </c>
    </row>
    <row r="49" spans="1:12" s="714" customFormat="1" ht="24" customHeight="1">
      <c r="A49" s="1147"/>
      <c r="B49" s="1148" t="s">
        <v>1760</v>
      </c>
      <c r="C49" s="1123"/>
      <c r="D49" s="1124"/>
      <c r="E49" s="1149">
        <v>3</v>
      </c>
      <c r="F49" s="1150" t="s">
        <v>240</v>
      </c>
      <c r="G49" s="1179">
        <v>2610</v>
      </c>
      <c r="H49" s="796">
        <f t="shared" si="4"/>
        <v>7830</v>
      </c>
      <c r="I49" s="1181">
        <v>300</v>
      </c>
      <c r="J49" s="796">
        <f t="shared" si="5"/>
        <v>900</v>
      </c>
      <c r="K49" s="797">
        <f t="shared" si="6"/>
        <v>8730</v>
      </c>
      <c r="L49" s="2273" t="s">
        <v>2974</v>
      </c>
    </row>
    <row r="50" spans="1:12" s="714" customFormat="1" ht="24" customHeight="1">
      <c r="A50" s="1147"/>
      <c r="B50" s="1148" t="s">
        <v>1761</v>
      </c>
      <c r="C50" s="1123"/>
      <c r="D50" s="1124"/>
      <c r="E50" s="1149">
        <v>2</v>
      </c>
      <c r="F50" s="1150" t="s">
        <v>240</v>
      </c>
      <c r="G50" s="1174">
        <v>4040</v>
      </c>
      <c r="H50" s="796">
        <f t="shared" si="4"/>
        <v>8080</v>
      </c>
      <c r="I50" s="1176">
        <v>400</v>
      </c>
      <c r="J50" s="796">
        <f t="shared" si="5"/>
        <v>800</v>
      </c>
      <c r="K50" s="797">
        <f t="shared" si="6"/>
        <v>8880</v>
      </c>
      <c r="L50" s="2273" t="s">
        <v>2974</v>
      </c>
    </row>
    <row r="51" spans="1:12" s="714" customFormat="1" ht="24" customHeight="1">
      <c r="A51" s="1147" t="s">
        <v>1651</v>
      </c>
      <c r="B51" s="1148" t="s">
        <v>1748</v>
      </c>
      <c r="C51" s="1123"/>
      <c r="D51" s="1124"/>
      <c r="E51" s="1149"/>
      <c r="F51" s="1150"/>
      <c r="G51" s="1179"/>
      <c r="H51" s="796"/>
      <c r="I51" s="1181"/>
      <c r="J51" s="796"/>
      <c r="K51" s="797"/>
      <c r="L51" s="1182"/>
    </row>
    <row r="52" spans="1:12" s="714" customFormat="1" ht="24" customHeight="1">
      <c r="A52" s="1147"/>
      <c r="B52" s="1148" t="s">
        <v>1749</v>
      </c>
      <c r="C52" s="1123"/>
      <c r="D52" s="1124"/>
      <c r="E52" s="1149">
        <v>9</v>
      </c>
      <c r="F52" s="1150" t="s">
        <v>240</v>
      </c>
      <c r="G52" s="1188">
        <v>210</v>
      </c>
      <c r="H52" s="796">
        <f t="shared" ref="H52" si="7">ROUND(E52*G52,)</f>
        <v>1890</v>
      </c>
      <c r="I52" s="1181">
        <v>100</v>
      </c>
      <c r="J52" s="796">
        <f t="shared" ref="J52" si="8">ROUND(E52*I52,)</f>
        <v>900</v>
      </c>
      <c r="K52" s="797">
        <f t="shared" ref="K52" si="9">H52+J52</f>
        <v>2790</v>
      </c>
      <c r="L52" s="1182"/>
    </row>
    <row r="53" spans="1:12" s="714" customFormat="1" ht="24" customHeight="1">
      <c r="A53" s="1147" t="s">
        <v>1653</v>
      </c>
      <c r="B53" s="1148" t="s">
        <v>1652</v>
      </c>
      <c r="C53" s="1123"/>
      <c r="D53" s="1124"/>
      <c r="E53" s="1149"/>
      <c r="F53" s="1150"/>
      <c r="G53" s="1179"/>
      <c r="H53" s="796"/>
      <c r="I53" s="1181"/>
      <c r="J53" s="796"/>
      <c r="K53" s="797"/>
      <c r="L53" s="1182"/>
    </row>
    <row r="54" spans="1:12" s="714" customFormat="1" ht="24" customHeight="1">
      <c r="A54" s="1147"/>
      <c r="B54" s="1148" t="s">
        <v>1661</v>
      </c>
      <c r="C54" s="1123"/>
      <c r="D54" s="1124"/>
      <c r="E54" s="1149">
        <v>2</v>
      </c>
      <c r="F54" s="1150" t="s">
        <v>240</v>
      </c>
      <c r="G54" s="1179">
        <v>1742</v>
      </c>
      <c r="H54" s="796">
        <f t="shared" si="1"/>
        <v>3484</v>
      </c>
      <c r="I54" s="1181">
        <v>500</v>
      </c>
      <c r="J54" s="796">
        <f t="shared" ref="J54" si="10">ROUND(E54*I54,)</f>
        <v>1000</v>
      </c>
      <c r="K54" s="797">
        <f t="shared" ref="K54" si="11">H54+J54</f>
        <v>4484</v>
      </c>
      <c r="L54" s="1182"/>
    </row>
    <row r="55" spans="1:12" s="714" customFormat="1" ht="24" customHeight="1">
      <c r="A55" s="1147" t="s">
        <v>1655</v>
      </c>
      <c r="B55" s="1148" t="s">
        <v>1762</v>
      </c>
      <c r="C55" s="1123"/>
      <c r="D55" s="1124"/>
      <c r="E55" s="1149"/>
      <c r="F55" s="1150"/>
      <c r="G55" s="1179"/>
      <c r="H55" s="796"/>
      <c r="I55" s="1181"/>
      <c r="J55" s="796"/>
      <c r="K55" s="797"/>
      <c r="L55" s="1182"/>
    </row>
    <row r="56" spans="1:12" s="714" customFormat="1" ht="24" customHeight="1">
      <c r="A56" s="1147"/>
      <c r="B56" s="1148" t="s">
        <v>1763</v>
      </c>
      <c r="C56" s="1123"/>
      <c r="D56" s="1124"/>
      <c r="E56" s="1149">
        <v>2</v>
      </c>
      <c r="F56" s="1150" t="s">
        <v>240</v>
      </c>
      <c r="G56" s="1179">
        <v>1095</v>
      </c>
      <c r="H56" s="796">
        <f t="shared" ref="H56:H57" si="12">ROUND(E56*G56,)</f>
        <v>2190</v>
      </c>
      <c r="I56" s="1181">
        <v>110</v>
      </c>
      <c r="J56" s="796">
        <f t="shared" ref="J56:J57" si="13">ROUND(I56*E56,)</f>
        <v>220</v>
      </c>
      <c r="K56" s="797">
        <f t="shared" ref="K56:K57" si="14">H56+J56</f>
        <v>2410</v>
      </c>
      <c r="L56" s="1182"/>
    </row>
    <row r="57" spans="1:12" s="714" customFormat="1" ht="24" customHeight="1">
      <c r="A57" s="1147"/>
      <c r="B57" s="1148" t="s">
        <v>1764</v>
      </c>
      <c r="C57" s="1123"/>
      <c r="D57" s="1124"/>
      <c r="E57" s="1149">
        <v>4</v>
      </c>
      <c r="F57" s="1150" t="s">
        <v>240</v>
      </c>
      <c r="G57" s="1179">
        <v>5603</v>
      </c>
      <c r="H57" s="796">
        <f t="shared" si="12"/>
        <v>22412</v>
      </c>
      <c r="I57" s="1181">
        <v>330</v>
      </c>
      <c r="J57" s="796">
        <f t="shared" si="13"/>
        <v>1320</v>
      </c>
      <c r="K57" s="797">
        <f t="shared" si="14"/>
        <v>23732</v>
      </c>
      <c r="L57" s="1182"/>
    </row>
    <row r="58" spans="1:12" s="714" customFormat="1" ht="24" customHeight="1">
      <c r="A58" s="1147"/>
      <c r="B58" s="1148"/>
      <c r="C58" s="1123"/>
      <c r="D58" s="1124"/>
      <c r="E58" s="1149"/>
      <c r="F58" s="1150"/>
      <c r="G58" s="1179"/>
      <c r="H58" s="796"/>
      <c r="I58" s="1181"/>
      <c r="J58" s="796"/>
      <c r="K58" s="797"/>
      <c r="L58" s="1182"/>
    </row>
    <row r="59" spans="1:12" s="714" customFormat="1" ht="24" customHeight="1">
      <c r="A59" s="1147"/>
      <c r="B59" s="1148"/>
      <c r="C59" s="1123"/>
      <c r="D59" s="1124"/>
      <c r="E59" s="1149"/>
      <c r="F59" s="1150"/>
      <c r="G59" s="1179"/>
      <c r="H59" s="796"/>
      <c r="I59" s="1181"/>
      <c r="J59" s="796"/>
      <c r="K59" s="797"/>
      <c r="L59" s="1182"/>
    </row>
    <row r="60" spans="1:12" s="714" customFormat="1" ht="24" customHeight="1">
      <c r="A60" s="1147" t="s">
        <v>1657</v>
      </c>
      <c r="B60" s="1148" t="s">
        <v>1750</v>
      </c>
      <c r="C60" s="1123"/>
      <c r="D60" s="1124"/>
      <c r="E60" s="1149"/>
      <c r="F60" s="1150"/>
      <c r="G60" s="1179"/>
      <c r="H60" s="796"/>
      <c r="I60" s="1181"/>
      <c r="J60" s="796"/>
      <c r="K60" s="797"/>
      <c r="L60" s="1182"/>
    </row>
    <row r="61" spans="1:12" s="714" customFormat="1" ht="24" customHeight="1">
      <c r="A61" s="1147"/>
      <c r="B61" s="1148" t="s">
        <v>1749</v>
      </c>
      <c r="C61" s="1123"/>
      <c r="D61" s="1124"/>
      <c r="E61" s="1149">
        <v>9</v>
      </c>
      <c r="F61" s="1150" t="s">
        <v>240</v>
      </c>
      <c r="G61" s="1179">
        <v>120</v>
      </c>
      <c r="H61" s="796">
        <f t="shared" ref="H61" si="15">ROUND(E61*G61,)</f>
        <v>1080</v>
      </c>
      <c r="I61" s="1181">
        <v>50</v>
      </c>
      <c r="J61" s="796">
        <f t="shared" ref="J61" si="16">ROUND(I61*E61,)</f>
        <v>450</v>
      </c>
      <c r="K61" s="797">
        <f t="shared" ref="K61" si="17">H61+J61</f>
        <v>1530</v>
      </c>
      <c r="L61" s="1182"/>
    </row>
    <row r="62" spans="1:12" s="714" customFormat="1" ht="24" customHeight="1">
      <c r="A62" s="1159"/>
      <c r="B62" s="1160"/>
      <c r="C62" s="1161"/>
      <c r="D62" s="1190"/>
      <c r="E62" s="1183"/>
      <c r="F62" s="1162"/>
      <c r="G62" s="1205"/>
      <c r="H62" s="872"/>
      <c r="I62" s="873"/>
      <c r="J62" s="872"/>
      <c r="K62" s="938"/>
      <c r="L62" s="938"/>
    </row>
    <row r="63" spans="1:12" s="714" customFormat="1" ht="24" customHeight="1">
      <c r="A63" s="1159"/>
      <c r="B63" s="1160"/>
      <c r="C63" s="1161"/>
      <c r="D63" s="1190"/>
      <c r="E63" s="1183"/>
      <c r="F63" s="1162"/>
      <c r="G63" s="1205"/>
      <c r="H63" s="872"/>
      <c r="I63" s="873"/>
      <c r="J63" s="872"/>
      <c r="K63" s="938"/>
      <c r="L63" s="938"/>
    </row>
    <row r="64" spans="1:12" s="714" customFormat="1" ht="24" customHeight="1">
      <c r="A64" s="1166"/>
      <c r="B64" s="2475" t="str">
        <f>"รวมราคารายการที่ "&amp;A36</f>
        <v>รวมราคารายการที่ 5.1</v>
      </c>
      <c r="C64" s="2476"/>
      <c r="D64" s="2477"/>
      <c r="E64" s="1167"/>
      <c r="F64" s="1167"/>
      <c r="G64" s="1168"/>
      <c r="H64" s="1169">
        <f>SUM(H37:H61)</f>
        <v>143335</v>
      </c>
      <c r="I64" s="1170"/>
      <c r="J64" s="1169">
        <f>SUM(J36:J61)</f>
        <v>50273</v>
      </c>
      <c r="K64" s="1171">
        <f>SUM(K36:K61)</f>
        <v>193608</v>
      </c>
      <c r="L64" s="1171"/>
    </row>
    <row r="65" spans="1:15" s="714" customFormat="1" ht="24" customHeight="1">
      <c r="A65" s="1195" t="s">
        <v>1664</v>
      </c>
      <c r="B65" s="1196" t="s">
        <v>1665</v>
      </c>
      <c r="C65" s="1197"/>
      <c r="D65" s="1198"/>
      <c r="E65" s="1199"/>
      <c r="F65" s="1200"/>
      <c r="G65" s="1201"/>
      <c r="H65" s="1202"/>
      <c r="I65" s="1203"/>
      <c r="J65" s="1202"/>
      <c r="K65" s="1204"/>
      <c r="L65" s="1204"/>
    </row>
    <row r="66" spans="1:15" s="714" customFormat="1" ht="24" customHeight="1">
      <c r="A66" s="1147" t="s">
        <v>1666</v>
      </c>
      <c r="B66" s="1148" t="s">
        <v>1766</v>
      </c>
      <c r="C66" s="1123"/>
      <c r="D66" s="1124"/>
      <c r="E66" s="1149"/>
      <c r="F66" s="1150"/>
      <c r="G66" s="1140"/>
      <c r="H66" s="796"/>
      <c r="I66" s="797"/>
      <c r="J66" s="796"/>
      <c r="K66" s="914"/>
      <c r="L66" s="914"/>
    </row>
    <row r="67" spans="1:15" s="714" customFormat="1" ht="24" customHeight="1">
      <c r="A67" s="1147"/>
      <c r="B67" s="1148" t="s">
        <v>1188</v>
      </c>
      <c r="C67" s="1123"/>
      <c r="D67" s="1124"/>
      <c r="E67" s="1149">
        <v>303</v>
      </c>
      <c r="F67" s="1150" t="s">
        <v>438</v>
      </c>
      <c r="G67" s="1140">
        <v>127</v>
      </c>
      <c r="H67" s="796">
        <f t="shared" ref="H67:H91" si="18">ROUND(E67*G67,)</f>
        <v>38481</v>
      </c>
      <c r="I67" s="797">
        <v>40</v>
      </c>
      <c r="J67" s="796">
        <f t="shared" ref="J67:J73" si="19">ROUND(I67*E67,)</f>
        <v>12120</v>
      </c>
      <c r="K67" s="914">
        <f t="shared" ref="K67:K73" si="20">H67+J67</f>
        <v>50601</v>
      </c>
      <c r="L67" s="914"/>
    </row>
    <row r="68" spans="1:15" s="714" customFormat="1" ht="24" customHeight="1">
      <c r="A68" s="1147"/>
      <c r="B68" s="1148" t="s">
        <v>1190</v>
      </c>
      <c r="C68" s="1123"/>
      <c r="D68" s="1124"/>
      <c r="E68" s="1149">
        <v>21</v>
      </c>
      <c r="F68" s="1150" t="s">
        <v>438</v>
      </c>
      <c r="G68" s="1140">
        <v>258</v>
      </c>
      <c r="H68" s="796">
        <f t="shared" si="18"/>
        <v>5418</v>
      </c>
      <c r="I68" s="797">
        <v>75</v>
      </c>
      <c r="J68" s="796">
        <f t="shared" si="19"/>
        <v>1575</v>
      </c>
      <c r="K68" s="914">
        <f t="shared" si="20"/>
        <v>6993</v>
      </c>
      <c r="L68" s="914"/>
    </row>
    <row r="69" spans="1:15" s="714" customFormat="1" ht="24" customHeight="1">
      <c r="A69" s="1147"/>
      <c r="B69" s="1148" t="s">
        <v>1674</v>
      </c>
      <c r="C69" s="1123"/>
      <c r="D69" s="1124"/>
      <c r="E69" s="1149">
        <v>143</v>
      </c>
      <c r="F69" s="1150" t="s">
        <v>438</v>
      </c>
      <c r="G69" s="1140">
        <v>395</v>
      </c>
      <c r="H69" s="796">
        <f t="shared" si="18"/>
        <v>56485</v>
      </c>
      <c r="I69" s="797">
        <v>120</v>
      </c>
      <c r="J69" s="796">
        <f t="shared" si="19"/>
        <v>17160</v>
      </c>
      <c r="K69" s="914">
        <f t="shared" si="20"/>
        <v>73645</v>
      </c>
      <c r="L69" s="914"/>
    </row>
    <row r="70" spans="1:15" s="714" customFormat="1" ht="24" customHeight="1">
      <c r="A70" s="1147"/>
      <c r="B70" s="1148" t="s">
        <v>1675</v>
      </c>
      <c r="C70" s="1123"/>
      <c r="D70" s="1124"/>
      <c r="E70" s="1149">
        <v>74</v>
      </c>
      <c r="F70" s="1150" t="s">
        <v>438</v>
      </c>
      <c r="G70" s="1140">
        <v>789</v>
      </c>
      <c r="H70" s="796">
        <f t="shared" si="18"/>
        <v>58386</v>
      </c>
      <c r="I70" s="797">
        <v>250</v>
      </c>
      <c r="J70" s="796">
        <f t="shared" si="19"/>
        <v>18500</v>
      </c>
      <c r="K70" s="914">
        <f t="shared" si="20"/>
        <v>76886</v>
      </c>
      <c r="L70" s="914"/>
    </row>
    <row r="71" spans="1:15" s="714" customFormat="1" ht="24" customHeight="1">
      <c r="A71" s="1147"/>
      <c r="B71" s="1148" t="s">
        <v>1645</v>
      </c>
      <c r="C71" s="1123"/>
      <c r="D71" s="1124"/>
      <c r="E71" s="1149">
        <v>1</v>
      </c>
      <c r="F71" s="1150" t="s">
        <v>948</v>
      </c>
      <c r="G71" s="1140">
        <f>ROUND(SUM(H67:H70)*40%,)</f>
        <v>63508</v>
      </c>
      <c r="H71" s="796">
        <f t="shared" si="18"/>
        <v>63508</v>
      </c>
      <c r="I71" s="797">
        <f>G71*0.3</f>
        <v>19052.399999999998</v>
      </c>
      <c r="J71" s="796">
        <f t="shared" si="19"/>
        <v>19052</v>
      </c>
      <c r="K71" s="914">
        <f t="shared" si="20"/>
        <v>82560</v>
      </c>
      <c r="L71" s="914"/>
    </row>
    <row r="72" spans="1:15" s="714" customFormat="1" ht="24" customHeight="1">
      <c r="A72" s="1147"/>
      <c r="B72" s="1148" t="s">
        <v>1646</v>
      </c>
      <c r="C72" s="1123"/>
      <c r="D72" s="1124"/>
      <c r="E72" s="1149">
        <v>1</v>
      </c>
      <c r="F72" s="1150" t="s">
        <v>948</v>
      </c>
      <c r="G72" s="1140">
        <f>ROUND(SUM(H67:H70)*20%,)</f>
        <v>31754</v>
      </c>
      <c r="H72" s="796">
        <f t="shared" si="18"/>
        <v>31754</v>
      </c>
      <c r="I72" s="797">
        <f>G72*0.3</f>
        <v>9526.1999999999989</v>
      </c>
      <c r="J72" s="796">
        <f t="shared" si="19"/>
        <v>9526</v>
      </c>
      <c r="K72" s="914">
        <f t="shared" si="20"/>
        <v>41280</v>
      </c>
      <c r="L72" s="914"/>
    </row>
    <row r="73" spans="1:15" s="714" customFormat="1" ht="24" customHeight="1">
      <c r="A73" s="1147"/>
      <c r="B73" s="1148" t="s">
        <v>1677</v>
      </c>
      <c r="C73" s="1123"/>
      <c r="D73" s="1124"/>
      <c r="E73" s="1149">
        <v>1</v>
      </c>
      <c r="F73" s="1150" t="s">
        <v>948</v>
      </c>
      <c r="G73" s="1140">
        <f>ROUND(SUM(H67:H70)*10%,)</f>
        <v>15877</v>
      </c>
      <c r="H73" s="796">
        <f t="shared" si="18"/>
        <v>15877</v>
      </c>
      <c r="I73" s="797">
        <f>G73*0.3</f>
        <v>4763.0999999999995</v>
      </c>
      <c r="J73" s="796">
        <f t="shared" si="19"/>
        <v>4763</v>
      </c>
      <c r="K73" s="914">
        <f t="shared" si="20"/>
        <v>20640</v>
      </c>
      <c r="L73" s="914"/>
    </row>
    <row r="74" spans="1:15" s="714" customFormat="1" ht="24" customHeight="1">
      <c r="A74" s="1159" t="s">
        <v>1672</v>
      </c>
      <c r="B74" s="1160" t="s">
        <v>1772</v>
      </c>
      <c r="C74" s="1161"/>
      <c r="D74" s="1162"/>
      <c r="E74" s="1183"/>
      <c r="F74" s="1163"/>
      <c r="G74" s="1205"/>
      <c r="H74" s="872"/>
      <c r="I74" s="873"/>
      <c r="J74" s="872"/>
      <c r="K74" s="938"/>
      <c r="L74" s="938"/>
    </row>
    <row r="75" spans="1:15" s="714" customFormat="1" ht="24" customHeight="1">
      <c r="A75" s="1147"/>
      <c r="B75" s="1148" t="s">
        <v>1186</v>
      </c>
      <c r="C75" s="1123"/>
      <c r="D75" s="1124"/>
      <c r="E75" s="1149">
        <v>126</v>
      </c>
      <c r="F75" s="1150" t="s">
        <v>438</v>
      </c>
      <c r="G75" s="1140">
        <v>20</v>
      </c>
      <c r="H75" s="796">
        <f t="shared" si="18"/>
        <v>2520</v>
      </c>
      <c r="I75" s="797">
        <v>30</v>
      </c>
      <c r="J75" s="796">
        <f t="shared" ref="J75:J83" si="21">ROUND(I75*E75,)</f>
        <v>3780</v>
      </c>
      <c r="K75" s="914">
        <f t="shared" ref="K75:K83" si="22">H75+J75</f>
        <v>6300</v>
      </c>
      <c r="L75" s="2273" t="s">
        <v>2974</v>
      </c>
      <c r="N75" s="714">
        <v>79.17</v>
      </c>
      <c r="O75" s="714">
        <f>ROUND(N75/4,)</f>
        <v>20</v>
      </c>
    </row>
    <row r="76" spans="1:15" s="714" customFormat="1" ht="24" customHeight="1">
      <c r="A76" s="1147"/>
      <c r="B76" s="1148" t="s">
        <v>1187</v>
      </c>
      <c r="C76" s="1123"/>
      <c r="D76" s="1124"/>
      <c r="E76" s="1149">
        <v>7</v>
      </c>
      <c r="F76" s="1150" t="s">
        <v>438</v>
      </c>
      <c r="G76" s="1140">
        <v>26</v>
      </c>
      <c r="H76" s="796">
        <f t="shared" si="18"/>
        <v>182</v>
      </c>
      <c r="I76" s="797">
        <v>30</v>
      </c>
      <c r="J76" s="796">
        <f t="shared" si="21"/>
        <v>210</v>
      </c>
      <c r="K76" s="914">
        <f t="shared" si="22"/>
        <v>392</v>
      </c>
      <c r="L76" s="2273" t="s">
        <v>2974</v>
      </c>
      <c r="N76" s="714">
        <v>103.74</v>
      </c>
      <c r="O76" s="714">
        <f t="shared" ref="O76:O79" si="23">ROUND(N76/4,)</f>
        <v>26</v>
      </c>
    </row>
    <row r="77" spans="1:15" s="714" customFormat="1" ht="24" customHeight="1">
      <c r="A77" s="1147"/>
      <c r="B77" s="1148" t="s">
        <v>1188</v>
      </c>
      <c r="C77" s="1123"/>
      <c r="D77" s="1124"/>
      <c r="E77" s="1149">
        <v>41</v>
      </c>
      <c r="F77" s="1150" t="s">
        <v>438</v>
      </c>
      <c r="G77" s="1140">
        <v>41</v>
      </c>
      <c r="H77" s="796">
        <f t="shared" si="18"/>
        <v>1681</v>
      </c>
      <c r="I77" s="797">
        <v>40</v>
      </c>
      <c r="J77" s="796">
        <f t="shared" si="21"/>
        <v>1640</v>
      </c>
      <c r="K77" s="914">
        <f t="shared" si="22"/>
        <v>3321</v>
      </c>
      <c r="L77" s="2273" t="s">
        <v>2974</v>
      </c>
      <c r="N77" s="714">
        <v>163.80000000000001</v>
      </c>
      <c r="O77" s="714">
        <f t="shared" si="23"/>
        <v>41</v>
      </c>
    </row>
    <row r="78" spans="1:15" s="714" customFormat="1" ht="24" customHeight="1">
      <c r="A78" s="1147"/>
      <c r="B78" s="1148" t="s">
        <v>1189</v>
      </c>
      <c r="C78" s="1123"/>
      <c r="D78" s="1124"/>
      <c r="E78" s="1149">
        <v>64</v>
      </c>
      <c r="F78" s="1150" t="s">
        <v>438</v>
      </c>
      <c r="G78" s="1140">
        <v>65</v>
      </c>
      <c r="H78" s="796">
        <f t="shared" si="18"/>
        <v>4160</v>
      </c>
      <c r="I78" s="797">
        <v>50</v>
      </c>
      <c r="J78" s="796">
        <f t="shared" si="21"/>
        <v>3200</v>
      </c>
      <c r="K78" s="914">
        <f t="shared" si="22"/>
        <v>7360</v>
      </c>
      <c r="L78" s="2273" t="s">
        <v>2974</v>
      </c>
      <c r="N78" s="714">
        <v>259.35000000000002</v>
      </c>
      <c r="O78" s="714">
        <f t="shared" si="23"/>
        <v>65</v>
      </c>
    </row>
    <row r="79" spans="1:15" s="714" customFormat="1" ht="24" customHeight="1">
      <c r="A79" s="1147"/>
      <c r="B79" s="1148" t="s">
        <v>1190</v>
      </c>
      <c r="C79" s="1123"/>
      <c r="D79" s="1124"/>
      <c r="E79" s="1149">
        <v>16</v>
      </c>
      <c r="F79" s="1150" t="s">
        <v>438</v>
      </c>
      <c r="G79" s="1140">
        <v>90</v>
      </c>
      <c r="H79" s="796">
        <f t="shared" si="18"/>
        <v>1440</v>
      </c>
      <c r="I79" s="797">
        <v>75</v>
      </c>
      <c r="J79" s="796">
        <f t="shared" si="21"/>
        <v>1200</v>
      </c>
      <c r="K79" s="914">
        <f t="shared" si="22"/>
        <v>2640</v>
      </c>
      <c r="L79" s="2273" t="s">
        <v>2974</v>
      </c>
      <c r="N79" s="714">
        <v>359.45</v>
      </c>
      <c r="O79" s="714">
        <f t="shared" si="23"/>
        <v>90</v>
      </c>
    </row>
    <row r="80" spans="1:15" s="714" customFormat="1" ht="24" customHeight="1">
      <c r="A80" s="1147"/>
      <c r="B80" s="1187" t="s">
        <v>951</v>
      </c>
      <c r="C80" s="1123"/>
      <c r="D80" s="1124"/>
      <c r="E80" s="1149">
        <v>7</v>
      </c>
      <c r="F80" s="1150" t="s">
        <v>438</v>
      </c>
      <c r="G80" s="1140">
        <v>146</v>
      </c>
      <c r="H80" s="796">
        <f t="shared" si="18"/>
        <v>1022</v>
      </c>
      <c r="I80" s="797">
        <v>100</v>
      </c>
      <c r="J80" s="796">
        <f t="shared" si="21"/>
        <v>700</v>
      </c>
      <c r="K80" s="914">
        <f t="shared" si="22"/>
        <v>1722</v>
      </c>
      <c r="L80" s="2273" t="s">
        <v>2974</v>
      </c>
      <c r="N80" s="714">
        <v>582.4</v>
      </c>
      <c r="O80" s="714">
        <f>ROUND(N80/4,)</f>
        <v>146</v>
      </c>
    </row>
    <row r="81" spans="1:12" s="714" customFormat="1" ht="24" customHeight="1">
      <c r="A81" s="1147"/>
      <c r="B81" s="1148" t="s">
        <v>1645</v>
      </c>
      <c r="C81" s="1123"/>
      <c r="D81" s="1124"/>
      <c r="E81" s="1149">
        <v>1</v>
      </c>
      <c r="F81" s="1150" t="s">
        <v>948</v>
      </c>
      <c r="G81" s="1140">
        <f>ROUND(SUM(H75:H80)*40%,)</f>
        <v>4402</v>
      </c>
      <c r="H81" s="796">
        <f t="shared" si="18"/>
        <v>4402</v>
      </c>
      <c r="I81" s="797">
        <f>G81*0.3</f>
        <v>1320.6</v>
      </c>
      <c r="J81" s="796">
        <f t="shared" si="21"/>
        <v>1321</v>
      </c>
      <c r="K81" s="914">
        <f t="shared" si="22"/>
        <v>5723</v>
      </c>
      <c r="L81" s="914"/>
    </row>
    <row r="82" spans="1:12" s="714" customFormat="1" ht="24" customHeight="1">
      <c r="A82" s="1147"/>
      <c r="B82" s="1148" t="s">
        <v>1646</v>
      </c>
      <c r="C82" s="1123"/>
      <c r="D82" s="1124"/>
      <c r="E82" s="1149">
        <v>1</v>
      </c>
      <c r="F82" s="1150" t="s">
        <v>948</v>
      </c>
      <c r="G82" s="1140">
        <f>ROUND(SUM(H75:H80)*30%,)</f>
        <v>3302</v>
      </c>
      <c r="H82" s="796">
        <f t="shared" si="18"/>
        <v>3302</v>
      </c>
      <c r="I82" s="797">
        <f>G82*0.3</f>
        <v>990.59999999999991</v>
      </c>
      <c r="J82" s="796">
        <f t="shared" si="21"/>
        <v>991</v>
      </c>
      <c r="K82" s="914">
        <f t="shared" si="22"/>
        <v>4293</v>
      </c>
      <c r="L82" s="914"/>
    </row>
    <row r="83" spans="1:12" s="714" customFormat="1" ht="24" customHeight="1">
      <c r="A83" s="1147"/>
      <c r="B83" s="1148" t="s">
        <v>1677</v>
      </c>
      <c r="C83" s="1123"/>
      <c r="D83" s="1124"/>
      <c r="E83" s="1149">
        <v>1</v>
      </c>
      <c r="F83" s="1150" t="s">
        <v>948</v>
      </c>
      <c r="G83" s="1140">
        <f>ROUND(SUM(H75:H80)*10%,)</f>
        <v>1101</v>
      </c>
      <c r="H83" s="796">
        <f t="shared" si="18"/>
        <v>1101</v>
      </c>
      <c r="I83" s="797">
        <f>G83*0.3</f>
        <v>330.3</v>
      </c>
      <c r="J83" s="796">
        <f t="shared" si="21"/>
        <v>330</v>
      </c>
      <c r="K83" s="914">
        <f t="shared" si="22"/>
        <v>1431</v>
      </c>
      <c r="L83" s="914"/>
    </row>
    <row r="84" spans="1:12" s="714" customFormat="1" ht="24" customHeight="1">
      <c r="A84" s="1147"/>
      <c r="B84" s="1148"/>
      <c r="C84" s="1123"/>
      <c r="D84" s="1124"/>
      <c r="E84" s="1149"/>
      <c r="F84" s="1150"/>
      <c r="G84" s="1140"/>
      <c r="H84" s="796"/>
      <c r="I84" s="797"/>
      <c r="J84" s="796"/>
      <c r="K84" s="914"/>
      <c r="L84" s="914"/>
    </row>
    <row r="85" spans="1:12" s="714" customFormat="1" ht="24" customHeight="1">
      <c r="A85" s="1147" t="s">
        <v>1678</v>
      </c>
      <c r="B85" s="1148" t="s">
        <v>1767</v>
      </c>
      <c r="C85" s="1123"/>
      <c r="D85" s="1124"/>
      <c r="E85" s="1149"/>
      <c r="F85" s="1150"/>
      <c r="G85" s="1140"/>
      <c r="H85" s="796"/>
      <c r="I85" s="797"/>
      <c r="J85" s="796"/>
      <c r="K85" s="914"/>
      <c r="L85" s="914"/>
    </row>
    <row r="86" spans="1:12" s="714" customFormat="1" ht="24" customHeight="1">
      <c r="A86" s="1147"/>
      <c r="B86" s="1148" t="s">
        <v>1188</v>
      </c>
      <c r="C86" s="1123"/>
      <c r="D86" s="1124"/>
      <c r="E86" s="1149">
        <v>39</v>
      </c>
      <c r="F86" s="1150" t="s">
        <v>240</v>
      </c>
      <c r="G86" s="1140">
        <f>ROUND(665*0.7,)</f>
        <v>466</v>
      </c>
      <c r="H86" s="796">
        <f t="shared" si="18"/>
        <v>18174</v>
      </c>
      <c r="I86" s="797">
        <v>200</v>
      </c>
      <c r="J86" s="796">
        <f t="shared" ref="J86" si="24">ROUND(I86*E86,)</f>
        <v>7800</v>
      </c>
      <c r="K86" s="914">
        <f t="shared" ref="K86" si="25">H86+J86</f>
        <v>25974</v>
      </c>
      <c r="L86" s="914"/>
    </row>
    <row r="87" spans="1:12" s="714" customFormat="1" ht="24" customHeight="1">
      <c r="A87" s="1147" t="s">
        <v>1680</v>
      </c>
      <c r="B87" s="1148" t="s">
        <v>1699</v>
      </c>
      <c r="C87" s="1123"/>
      <c r="D87" s="1124"/>
      <c r="E87" s="1149"/>
      <c r="F87" s="1150"/>
      <c r="G87" s="1140"/>
      <c r="H87" s="796"/>
      <c r="I87" s="797"/>
      <c r="J87" s="796"/>
      <c r="K87" s="914"/>
      <c r="L87" s="914"/>
    </row>
    <row r="88" spans="1:12" s="714" customFormat="1" ht="24" customHeight="1">
      <c r="A88" s="1147"/>
      <c r="B88" s="1148" t="s">
        <v>1188</v>
      </c>
      <c r="C88" s="1123"/>
      <c r="D88" s="1124"/>
      <c r="E88" s="1149">
        <v>8</v>
      </c>
      <c r="F88" s="1150" t="s">
        <v>240</v>
      </c>
      <c r="G88" s="1140">
        <f>ROUND(240*0.75,)</f>
        <v>180</v>
      </c>
      <c r="H88" s="796">
        <f t="shared" si="18"/>
        <v>1440</v>
      </c>
      <c r="I88" s="797">
        <v>100</v>
      </c>
      <c r="J88" s="796">
        <f t="shared" ref="J88:J91" si="26">ROUND(I88*E88,)</f>
        <v>800</v>
      </c>
      <c r="K88" s="914">
        <f t="shared" ref="K88:K91" si="27">H88+J88</f>
        <v>2240</v>
      </c>
      <c r="L88" s="914"/>
    </row>
    <row r="89" spans="1:12" s="714" customFormat="1" ht="24" customHeight="1">
      <c r="A89" s="1147"/>
      <c r="B89" s="1148" t="s">
        <v>1190</v>
      </c>
      <c r="C89" s="1123"/>
      <c r="D89" s="1124"/>
      <c r="E89" s="1149">
        <v>4</v>
      </c>
      <c r="F89" s="1150" t="s">
        <v>240</v>
      </c>
      <c r="G89" s="1140">
        <f>ROUND(360*0.75,)</f>
        <v>270</v>
      </c>
      <c r="H89" s="796">
        <f t="shared" si="18"/>
        <v>1080</v>
      </c>
      <c r="I89" s="797">
        <v>150</v>
      </c>
      <c r="J89" s="796">
        <f t="shared" si="26"/>
        <v>600</v>
      </c>
      <c r="K89" s="914">
        <f t="shared" si="27"/>
        <v>1680</v>
      </c>
      <c r="L89" s="914"/>
    </row>
    <row r="90" spans="1:12" s="714" customFormat="1" ht="24" customHeight="1">
      <c r="A90" s="1221"/>
      <c r="B90" s="1219" t="s">
        <v>1674</v>
      </c>
      <c r="C90" s="1209"/>
      <c r="D90" s="1210"/>
      <c r="E90" s="1149">
        <v>4</v>
      </c>
      <c r="F90" s="1212" t="s">
        <v>240</v>
      </c>
      <c r="G90" s="1140">
        <f>ROUND(500*0.75,)</f>
        <v>375</v>
      </c>
      <c r="H90" s="796">
        <f t="shared" si="18"/>
        <v>1500</v>
      </c>
      <c r="I90" s="855">
        <v>200</v>
      </c>
      <c r="J90" s="796">
        <f t="shared" si="26"/>
        <v>800</v>
      </c>
      <c r="K90" s="914">
        <f t="shared" si="27"/>
        <v>2300</v>
      </c>
      <c r="L90" s="912"/>
    </row>
    <row r="91" spans="1:12" s="714" customFormat="1" ht="24" customHeight="1">
      <c r="A91" s="1147"/>
      <c r="B91" s="1148" t="s">
        <v>1675</v>
      </c>
      <c r="C91" s="1123"/>
      <c r="D91" s="1124"/>
      <c r="E91" s="1149">
        <v>2</v>
      </c>
      <c r="F91" s="1150" t="s">
        <v>240</v>
      </c>
      <c r="G91" s="1140">
        <f>ROUND(950*0.75,)</f>
        <v>713</v>
      </c>
      <c r="H91" s="796">
        <f t="shared" si="18"/>
        <v>1426</v>
      </c>
      <c r="I91" s="797">
        <v>300</v>
      </c>
      <c r="J91" s="796">
        <f t="shared" si="26"/>
        <v>600</v>
      </c>
      <c r="K91" s="914">
        <f t="shared" si="27"/>
        <v>2026</v>
      </c>
      <c r="L91" s="914"/>
    </row>
    <row r="92" spans="1:12" s="714" customFormat="1" ht="24" customHeight="1">
      <c r="A92" s="1147"/>
      <c r="B92" s="1148"/>
      <c r="C92" s="1123"/>
      <c r="D92" s="1124"/>
      <c r="E92" s="1149"/>
      <c r="F92" s="1150"/>
      <c r="G92" s="1140"/>
      <c r="H92" s="796"/>
      <c r="I92" s="797"/>
      <c r="J92" s="796"/>
      <c r="K92" s="914"/>
      <c r="L92" s="914"/>
    </row>
    <row r="93" spans="1:12" s="714" customFormat="1" ht="24" customHeight="1">
      <c r="A93" s="1147"/>
      <c r="B93" s="1148"/>
      <c r="C93" s="1123"/>
      <c r="D93" s="1124"/>
      <c r="E93" s="1149"/>
      <c r="F93" s="1150"/>
      <c r="G93" s="1140"/>
      <c r="H93" s="796"/>
      <c r="I93" s="797"/>
      <c r="J93" s="796"/>
      <c r="K93" s="914"/>
      <c r="L93" s="914"/>
    </row>
    <row r="94" spans="1:12" s="714" customFormat="1" ht="24" customHeight="1">
      <c r="A94" s="1147"/>
      <c r="B94" s="1148"/>
      <c r="C94" s="1123"/>
      <c r="D94" s="1124"/>
      <c r="E94" s="1149"/>
      <c r="F94" s="1150"/>
      <c r="G94" s="1140"/>
      <c r="H94" s="796"/>
      <c r="I94" s="797"/>
      <c r="J94" s="796"/>
      <c r="K94" s="914"/>
      <c r="L94" s="914"/>
    </row>
    <row r="95" spans="1:12" s="714" customFormat="1" ht="24" customHeight="1">
      <c r="A95" s="1147"/>
      <c r="B95" s="1148"/>
      <c r="C95" s="1123"/>
      <c r="D95" s="1124"/>
      <c r="E95" s="1149"/>
      <c r="F95" s="1150"/>
      <c r="G95" s="1140"/>
      <c r="H95" s="796"/>
      <c r="I95" s="797"/>
      <c r="J95" s="796"/>
      <c r="K95" s="914"/>
      <c r="L95" s="914"/>
    </row>
    <row r="96" spans="1:12" s="714" customFormat="1" ht="24" customHeight="1">
      <c r="A96" s="1147"/>
      <c r="B96" s="1148"/>
      <c r="C96" s="1123"/>
      <c r="D96" s="1124"/>
      <c r="E96" s="1149"/>
      <c r="F96" s="1150"/>
      <c r="G96" s="1140"/>
      <c r="H96" s="796"/>
      <c r="I96" s="797"/>
      <c r="J96" s="796"/>
      <c r="K96" s="914"/>
      <c r="L96" s="914"/>
    </row>
    <row r="97" spans="1:12" s="714" customFormat="1" ht="24" customHeight="1">
      <c r="A97" s="1166"/>
      <c r="B97" s="2475" t="str">
        <f>"รวมราคารายการที่ "&amp;A65</f>
        <v>รวมราคารายการที่ 5.2</v>
      </c>
      <c r="C97" s="2476"/>
      <c r="D97" s="2477"/>
      <c r="E97" s="1167"/>
      <c r="F97" s="1167"/>
      <c r="G97" s="1168"/>
      <c r="H97" s="1169">
        <f>SUM(H66:H96)</f>
        <v>313339</v>
      </c>
      <c r="I97" s="1170"/>
      <c r="J97" s="1169">
        <f>SUM(J66:J96)</f>
        <v>106668</v>
      </c>
      <c r="K97" s="1171">
        <f>SUM(K66:K96)</f>
        <v>420007</v>
      </c>
      <c r="L97" s="1171"/>
    </row>
    <row r="98" spans="1:12" s="714" customFormat="1" ht="24" customHeight="1">
      <c r="A98" s="1011">
        <v>5.3</v>
      </c>
      <c r="B98" s="1196" t="s">
        <v>1691</v>
      </c>
      <c r="C98" s="859"/>
      <c r="D98" s="859"/>
      <c r="E98" s="1216"/>
      <c r="F98" s="852"/>
      <c r="G98" s="874"/>
      <c r="H98" s="854"/>
      <c r="I98" s="855"/>
      <c r="J98" s="854"/>
      <c r="K98" s="912"/>
      <c r="L98" s="914"/>
    </row>
    <row r="99" spans="1:12" s="714" customFormat="1" ht="24" customHeight="1">
      <c r="A99" s="1159" t="s">
        <v>1692</v>
      </c>
      <c r="B99" s="1160" t="s">
        <v>1768</v>
      </c>
      <c r="C99" s="1161"/>
      <c r="D99" s="1162"/>
      <c r="E99" s="1183"/>
      <c r="F99" s="1163"/>
      <c r="G99" s="1205"/>
      <c r="H99" s="872"/>
      <c r="I99" s="873"/>
      <c r="J99" s="872"/>
      <c r="K99" s="938"/>
      <c r="L99" s="1194"/>
    </row>
    <row r="100" spans="1:12" s="714" customFormat="1" ht="24" customHeight="1">
      <c r="A100" s="1147"/>
      <c r="B100" s="1148" t="s">
        <v>1188</v>
      </c>
      <c r="C100" s="1123"/>
      <c r="D100" s="1124"/>
      <c r="E100" s="1149">
        <v>83</v>
      </c>
      <c r="F100" s="1150" t="s">
        <v>438</v>
      </c>
      <c r="G100" s="1140">
        <v>127</v>
      </c>
      <c r="H100" s="796">
        <f t="shared" ref="H100:H103" si="28">ROUND(E100*G100,)</f>
        <v>10541</v>
      </c>
      <c r="I100" s="797">
        <v>40</v>
      </c>
      <c r="J100" s="796">
        <f t="shared" ref="J100:J103" si="29">ROUND(I100*E100,)</f>
        <v>3320</v>
      </c>
      <c r="K100" s="914">
        <f t="shared" ref="K100:K103" si="30">H100+J100</f>
        <v>13861</v>
      </c>
      <c r="L100" s="914"/>
    </row>
    <row r="101" spans="1:12" s="714" customFormat="1" ht="24" customHeight="1">
      <c r="A101" s="1147"/>
      <c r="B101" s="1148" t="s">
        <v>1645</v>
      </c>
      <c r="C101" s="1123"/>
      <c r="D101" s="1124"/>
      <c r="E101" s="1149">
        <v>1</v>
      </c>
      <c r="F101" s="1150" t="s">
        <v>948</v>
      </c>
      <c r="G101" s="1140">
        <f>ROUND(SUM(H100:H100)*50%,)</f>
        <v>5271</v>
      </c>
      <c r="H101" s="796">
        <f t="shared" si="28"/>
        <v>5271</v>
      </c>
      <c r="I101" s="797">
        <f>G101*0.3</f>
        <v>1581.3</v>
      </c>
      <c r="J101" s="796">
        <f t="shared" si="29"/>
        <v>1581</v>
      </c>
      <c r="K101" s="914">
        <f t="shared" si="30"/>
        <v>6852</v>
      </c>
      <c r="L101" s="1194"/>
    </row>
    <row r="102" spans="1:12" s="714" customFormat="1" ht="24" customHeight="1">
      <c r="A102" s="1147"/>
      <c r="B102" s="1148" t="s">
        <v>1646</v>
      </c>
      <c r="C102" s="1123"/>
      <c r="D102" s="1124"/>
      <c r="E102" s="1149">
        <v>1</v>
      </c>
      <c r="F102" s="1150" t="s">
        <v>948</v>
      </c>
      <c r="G102" s="1140">
        <f>ROUND(SUM(H100:H100)*20%,)</f>
        <v>2108</v>
      </c>
      <c r="H102" s="796">
        <f t="shared" si="28"/>
        <v>2108</v>
      </c>
      <c r="I102" s="797">
        <f>G102*0.3</f>
        <v>632.4</v>
      </c>
      <c r="J102" s="796">
        <f t="shared" si="29"/>
        <v>632</v>
      </c>
      <c r="K102" s="914">
        <f t="shared" si="30"/>
        <v>2740</v>
      </c>
      <c r="L102" s="914"/>
    </row>
    <row r="103" spans="1:12" s="714" customFormat="1" ht="24" customHeight="1">
      <c r="A103" s="1147"/>
      <c r="B103" s="1148" t="s">
        <v>1677</v>
      </c>
      <c r="C103" s="1123"/>
      <c r="D103" s="1124"/>
      <c r="E103" s="1149">
        <v>1</v>
      </c>
      <c r="F103" s="1150" t="s">
        <v>948</v>
      </c>
      <c r="G103" s="1140">
        <f>ROUND(SUM(H100:H100)*10%,)</f>
        <v>1054</v>
      </c>
      <c r="H103" s="796">
        <f t="shared" si="28"/>
        <v>1054</v>
      </c>
      <c r="I103" s="797">
        <f>ROUND(G103*0.3,)</f>
        <v>316</v>
      </c>
      <c r="J103" s="796">
        <f t="shared" si="29"/>
        <v>316</v>
      </c>
      <c r="K103" s="914">
        <f t="shared" si="30"/>
        <v>1370</v>
      </c>
      <c r="L103" s="1194"/>
    </row>
    <row r="104" spans="1:12" s="714" customFormat="1" ht="24" customHeight="1">
      <c r="A104" s="1147" t="s">
        <v>1695</v>
      </c>
      <c r="B104" s="1148" t="s">
        <v>1767</v>
      </c>
      <c r="C104" s="1123"/>
      <c r="D104" s="1124"/>
      <c r="E104" s="1149"/>
      <c r="F104" s="1150"/>
      <c r="G104" s="1140"/>
      <c r="H104" s="796"/>
      <c r="I104" s="797"/>
      <c r="J104" s="796"/>
      <c r="K104" s="914"/>
      <c r="L104" s="1194"/>
    </row>
    <row r="105" spans="1:12" s="714" customFormat="1" ht="24" customHeight="1">
      <c r="A105" s="1147"/>
      <c r="B105" s="1148" t="s">
        <v>1188</v>
      </c>
      <c r="C105" s="1123"/>
      <c r="D105" s="1124"/>
      <c r="E105" s="1149">
        <v>18</v>
      </c>
      <c r="F105" s="1150" t="s">
        <v>240</v>
      </c>
      <c r="G105" s="1140">
        <f>ROUND(665*0.7,)</f>
        <v>466</v>
      </c>
      <c r="H105" s="796">
        <f t="shared" ref="H105" si="31">ROUND(E105*G105,)</f>
        <v>8388</v>
      </c>
      <c r="I105" s="797">
        <v>200</v>
      </c>
      <c r="J105" s="796">
        <f t="shared" ref="J105" si="32">ROUND(I105*E105,)</f>
        <v>3600</v>
      </c>
      <c r="K105" s="914">
        <f t="shared" ref="K105" si="33">H105+J105</f>
        <v>11988</v>
      </c>
      <c r="L105" s="1194"/>
    </row>
    <row r="106" spans="1:12" s="714" customFormat="1" ht="24" customHeight="1">
      <c r="A106" s="1147"/>
      <c r="B106" s="1148"/>
      <c r="C106" s="1123"/>
      <c r="D106" s="1124"/>
      <c r="E106" s="1149"/>
      <c r="F106" s="1150"/>
      <c r="G106" s="1140"/>
      <c r="H106" s="796"/>
      <c r="I106" s="797"/>
      <c r="J106" s="796"/>
      <c r="K106" s="914"/>
      <c r="L106" s="1194"/>
    </row>
    <row r="107" spans="1:12" s="714" customFormat="1" ht="24" customHeight="1">
      <c r="A107" s="1147"/>
      <c r="B107" s="1148"/>
      <c r="C107" s="1123"/>
      <c r="D107" s="1124"/>
      <c r="E107" s="1149"/>
      <c r="F107" s="1150"/>
      <c r="G107" s="1140"/>
      <c r="H107" s="796"/>
      <c r="I107" s="797"/>
      <c r="J107" s="796"/>
      <c r="K107" s="914"/>
      <c r="L107" s="1194"/>
    </row>
    <row r="108" spans="1:12" s="714" customFormat="1" ht="24" customHeight="1">
      <c r="A108" s="898"/>
      <c r="B108" s="1191"/>
      <c r="C108" s="890"/>
      <c r="D108" s="890"/>
      <c r="E108" s="1224"/>
      <c r="F108" s="928"/>
      <c r="G108" s="1192"/>
      <c r="H108" s="1193"/>
      <c r="I108" s="1185"/>
      <c r="J108" s="1193"/>
      <c r="K108" s="1194"/>
      <c r="L108" s="1194"/>
    </row>
    <row r="109" spans="1:12" s="714" customFormat="1" ht="24" customHeight="1">
      <c r="A109" s="1166"/>
      <c r="B109" s="2475" t="str">
        <f>"รวมราคารายการที่ "&amp;A98</f>
        <v>รวมราคารายการที่ 5.3</v>
      </c>
      <c r="C109" s="2476"/>
      <c r="D109" s="2477"/>
      <c r="E109" s="1167"/>
      <c r="F109" s="1167"/>
      <c r="G109" s="1168"/>
      <c r="H109" s="1169">
        <f>SUM(H99:H108)</f>
        <v>27362</v>
      </c>
      <c r="I109" s="1170"/>
      <c r="J109" s="1169">
        <f>SUM(J99:J108)</f>
        <v>9449</v>
      </c>
      <c r="K109" s="1169">
        <f>SUM(K99:K108)</f>
        <v>36811</v>
      </c>
      <c r="L109" s="1226"/>
    </row>
    <row r="110" spans="1:12" s="714" customFormat="1" ht="24" customHeight="1">
      <c r="A110" s="1207" t="s">
        <v>1707</v>
      </c>
      <c r="B110" s="1208" t="s">
        <v>1708</v>
      </c>
      <c r="C110" s="1209"/>
      <c r="D110" s="1210"/>
      <c r="E110" s="1211"/>
      <c r="F110" s="1212"/>
      <c r="G110" s="874"/>
      <c r="H110" s="854"/>
      <c r="I110" s="855"/>
      <c r="J110" s="854"/>
      <c r="K110" s="912"/>
      <c r="L110" s="912"/>
    </row>
    <row r="111" spans="1:12" s="714" customFormat="1" ht="24" customHeight="1">
      <c r="A111" s="1147" t="s">
        <v>1709</v>
      </c>
      <c r="B111" s="1148" t="s">
        <v>1746</v>
      </c>
      <c r="C111" s="1123"/>
      <c r="D111" s="1124"/>
      <c r="E111" s="1149"/>
      <c r="F111" s="1150"/>
      <c r="G111" s="1179"/>
      <c r="H111" s="796"/>
      <c r="I111" s="1181"/>
      <c r="J111" s="796"/>
      <c r="K111" s="797"/>
      <c r="L111" s="1182"/>
    </row>
    <row r="112" spans="1:12" s="714" customFormat="1" ht="21.3">
      <c r="A112" s="1147"/>
      <c r="B112" s="1148" t="s">
        <v>1650</v>
      </c>
      <c r="C112" s="1123"/>
      <c r="D112" s="1124"/>
      <c r="E112" s="1149">
        <v>272</v>
      </c>
      <c r="F112" s="1150" t="s">
        <v>438</v>
      </c>
      <c r="G112" s="1179">
        <v>46</v>
      </c>
      <c r="H112" s="796">
        <f t="shared" ref="H112:H119" si="34">ROUND(E112*G112,)</f>
        <v>12512</v>
      </c>
      <c r="I112" s="1181">
        <v>30</v>
      </c>
      <c r="J112" s="796">
        <f t="shared" ref="J112:J119" si="35">ROUND(E112*I112,)</f>
        <v>8160</v>
      </c>
      <c r="K112" s="797">
        <f t="shared" ref="K112:K119" si="36">H112+J112</f>
        <v>20672</v>
      </c>
      <c r="L112" s="1182"/>
    </row>
    <row r="113" spans="1:12" s="714" customFormat="1" ht="21.3">
      <c r="A113" s="1147"/>
      <c r="B113" s="1148" t="s">
        <v>1760</v>
      </c>
      <c r="C113" s="1123"/>
      <c r="D113" s="1124"/>
      <c r="E113" s="1149">
        <v>18</v>
      </c>
      <c r="F113" s="1150" t="s">
        <v>438</v>
      </c>
      <c r="G113" s="1179">
        <v>113</v>
      </c>
      <c r="H113" s="796">
        <f t="shared" si="34"/>
        <v>2034</v>
      </c>
      <c r="I113" s="1181">
        <v>50</v>
      </c>
      <c r="J113" s="796">
        <f t="shared" si="35"/>
        <v>900</v>
      </c>
      <c r="K113" s="797">
        <f t="shared" si="36"/>
        <v>2934</v>
      </c>
      <c r="L113" s="1182"/>
    </row>
    <row r="114" spans="1:12" s="714" customFormat="1" ht="21.3">
      <c r="A114" s="1147"/>
      <c r="B114" s="1148" t="s">
        <v>1761</v>
      </c>
      <c r="C114" s="1123"/>
      <c r="D114" s="1124"/>
      <c r="E114" s="1149">
        <v>20</v>
      </c>
      <c r="F114" s="1150" t="s">
        <v>438</v>
      </c>
      <c r="G114" s="1179">
        <v>193</v>
      </c>
      <c r="H114" s="796">
        <f t="shared" si="34"/>
        <v>3860</v>
      </c>
      <c r="I114" s="1181">
        <v>75</v>
      </c>
      <c r="J114" s="796">
        <f t="shared" si="35"/>
        <v>1500</v>
      </c>
      <c r="K114" s="797">
        <f t="shared" si="36"/>
        <v>5360</v>
      </c>
      <c r="L114" s="1182"/>
    </row>
    <row r="115" spans="1:12" s="714" customFormat="1" ht="21.3">
      <c r="A115" s="1147"/>
      <c r="B115" s="1148" t="s">
        <v>1661</v>
      </c>
      <c r="C115" s="1123"/>
      <c r="D115" s="1124"/>
      <c r="E115" s="1149">
        <v>60</v>
      </c>
      <c r="F115" s="1150" t="s">
        <v>438</v>
      </c>
      <c r="G115" s="1179">
        <v>287</v>
      </c>
      <c r="H115" s="796">
        <f t="shared" si="34"/>
        <v>17220</v>
      </c>
      <c r="I115" s="1181">
        <v>100</v>
      </c>
      <c r="J115" s="796">
        <f t="shared" si="35"/>
        <v>6000</v>
      </c>
      <c r="K115" s="797">
        <f t="shared" si="36"/>
        <v>23220</v>
      </c>
      <c r="L115" s="1182"/>
    </row>
    <row r="116" spans="1:12" s="714" customFormat="1" ht="21.3">
      <c r="A116" s="1147"/>
      <c r="B116" s="1187" t="s">
        <v>1642</v>
      </c>
      <c r="C116" s="1123"/>
      <c r="D116" s="1124"/>
      <c r="E116" s="1149">
        <v>8</v>
      </c>
      <c r="F116" s="1150" t="s">
        <v>438</v>
      </c>
      <c r="G116" s="1179">
        <v>562</v>
      </c>
      <c r="H116" s="796">
        <f t="shared" si="34"/>
        <v>4496</v>
      </c>
      <c r="I116" s="1181">
        <v>120</v>
      </c>
      <c r="J116" s="796">
        <f t="shared" si="35"/>
        <v>960</v>
      </c>
      <c r="K116" s="914">
        <f t="shared" si="36"/>
        <v>5456</v>
      </c>
      <c r="L116" s="1182"/>
    </row>
    <row r="117" spans="1:12" s="714" customFormat="1" ht="21.3">
      <c r="A117" s="1147"/>
      <c r="B117" s="1148" t="s">
        <v>1645</v>
      </c>
      <c r="C117" s="1123"/>
      <c r="D117" s="1124"/>
      <c r="E117" s="1149">
        <v>1</v>
      </c>
      <c r="F117" s="1150" t="s">
        <v>948</v>
      </c>
      <c r="G117" s="1179">
        <f>SUM(H112:H116)*50%</f>
        <v>20061</v>
      </c>
      <c r="H117" s="796">
        <f t="shared" si="34"/>
        <v>20061</v>
      </c>
      <c r="I117" s="1181">
        <f t="shared" ref="I117:I119" si="37">ROUNDUP(G117*30%,0)</f>
        <v>6019</v>
      </c>
      <c r="J117" s="796">
        <f t="shared" si="35"/>
        <v>6019</v>
      </c>
      <c r="K117" s="797">
        <f t="shared" si="36"/>
        <v>26080</v>
      </c>
      <c r="L117" s="1182"/>
    </row>
    <row r="118" spans="1:12" s="714" customFormat="1" ht="21.3">
      <c r="A118" s="1147"/>
      <c r="B118" s="1148" t="s">
        <v>1646</v>
      </c>
      <c r="C118" s="1123"/>
      <c r="D118" s="1124"/>
      <c r="E118" s="1149">
        <v>1</v>
      </c>
      <c r="F118" s="1150" t="s">
        <v>948</v>
      </c>
      <c r="G118" s="1179">
        <f>ROUND(SUM(H112:H116)*20%,)</f>
        <v>8024</v>
      </c>
      <c r="H118" s="796">
        <f t="shared" si="34"/>
        <v>8024</v>
      </c>
      <c r="I118" s="1181">
        <f t="shared" si="37"/>
        <v>2408</v>
      </c>
      <c r="J118" s="796">
        <f t="shared" si="35"/>
        <v>2408</v>
      </c>
      <c r="K118" s="797">
        <f t="shared" si="36"/>
        <v>10432</v>
      </c>
      <c r="L118" s="1182"/>
    </row>
    <row r="119" spans="1:12" s="714" customFormat="1" ht="21.3">
      <c r="A119" s="1147"/>
      <c r="B119" s="1148" t="s">
        <v>1647</v>
      </c>
      <c r="C119" s="1123"/>
      <c r="D119" s="1124"/>
      <c r="E119" s="1149">
        <v>1</v>
      </c>
      <c r="F119" s="1150" t="s">
        <v>948</v>
      </c>
      <c r="G119" s="1179">
        <f>ROUND(SUM(H112:H116)*10%,)</f>
        <v>4012</v>
      </c>
      <c r="H119" s="796">
        <f t="shared" si="34"/>
        <v>4012</v>
      </c>
      <c r="I119" s="1181">
        <f t="shared" si="37"/>
        <v>1204</v>
      </c>
      <c r="J119" s="796">
        <f t="shared" si="35"/>
        <v>1204</v>
      </c>
      <c r="K119" s="797">
        <f t="shared" si="36"/>
        <v>5216</v>
      </c>
      <c r="L119" s="1182"/>
    </row>
    <row r="120" spans="1:12" s="714" customFormat="1" ht="21.3">
      <c r="A120" s="1147" t="s">
        <v>1712</v>
      </c>
      <c r="B120" s="1148" t="s">
        <v>1652</v>
      </c>
      <c r="C120" s="1123"/>
      <c r="D120" s="1124"/>
      <c r="E120" s="1149"/>
      <c r="F120" s="1150"/>
      <c r="G120" s="1179"/>
      <c r="H120" s="796"/>
      <c r="I120" s="1181"/>
      <c r="J120" s="796"/>
      <c r="K120" s="797"/>
      <c r="L120" s="1182"/>
    </row>
    <row r="121" spans="1:12" s="714" customFormat="1" ht="21.3">
      <c r="A121" s="1147"/>
      <c r="B121" s="1148" t="s">
        <v>1661</v>
      </c>
      <c r="C121" s="1123"/>
      <c r="D121" s="1124"/>
      <c r="E121" s="1149">
        <v>5</v>
      </c>
      <c r="F121" s="1150" t="s">
        <v>240</v>
      </c>
      <c r="G121" s="1179">
        <v>1742</v>
      </c>
      <c r="H121" s="796">
        <f t="shared" ref="H121" si="38">ROUND(E121*G121,)</f>
        <v>8710</v>
      </c>
      <c r="I121" s="1181">
        <v>500</v>
      </c>
      <c r="J121" s="796">
        <f t="shared" ref="J121" si="39">ROUND(E121*I121,)</f>
        <v>2500</v>
      </c>
      <c r="K121" s="797">
        <f t="shared" ref="K121" si="40">H121+J121</f>
        <v>11210</v>
      </c>
      <c r="L121" s="1182"/>
    </row>
    <row r="122" spans="1:12" s="714" customFormat="1" ht="21.3">
      <c r="A122" s="1147" t="s">
        <v>1770</v>
      </c>
      <c r="B122" s="1148" t="s">
        <v>1649</v>
      </c>
      <c r="C122" s="1123"/>
      <c r="D122" s="1124"/>
      <c r="E122" s="1149"/>
      <c r="F122" s="1150"/>
      <c r="G122" s="1179"/>
      <c r="H122" s="796"/>
      <c r="I122" s="1181"/>
      <c r="J122" s="796"/>
      <c r="K122" s="797"/>
      <c r="L122" s="1182"/>
    </row>
    <row r="123" spans="1:12" s="714" customFormat="1" ht="21.3">
      <c r="A123" s="1147"/>
      <c r="B123" s="1187" t="s">
        <v>1650</v>
      </c>
      <c r="C123" s="1123"/>
      <c r="D123" s="1124"/>
      <c r="E123" s="1149">
        <v>2</v>
      </c>
      <c r="F123" s="1150" t="s">
        <v>240</v>
      </c>
      <c r="G123" s="1179">
        <v>1316</v>
      </c>
      <c r="H123" s="796">
        <f t="shared" ref="H123:H124" si="41">ROUND(E123*G123,)</f>
        <v>2632</v>
      </c>
      <c r="I123" s="1181">
        <v>200</v>
      </c>
      <c r="J123" s="796">
        <f t="shared" ref="J123:J124" si="42">ROUND(E123*I123,)</f>
        <v>400</v>
      </c>
      <c r="K123" s="914">
        <f t="shared" ref="K123:K124" si="43">H123+J123</f>
        <v>3032</v>
      </c>
      <c r="L123" s="1182" t="s">
        <v>2915</v>
      </c>
    </row>
    <row r="124" spans="1:12" s="714" customFormat="1" ht="21.3">
      <c r="A124" s="1147"/>
      <c r="B124" s="1148" t="s">
        <v>1760</v>
      </c>
      <c r="C124" s="1123"/>
      <c r="D124" s="1124"/>
      <c r="E124" s="1149">
        <v>1</v>
      </c>
      <c r="F124" s="1150" t="s">
        <v>240</v>
      </c>
      <c r="G124" s="1179">
        <v>2610</v>
      </c>
      <c r="H124" s="796">
        <f t="shared" si="41"/>
        <v>2610</v>
      </c>
      <c r="I124" s="1181">
        <v>300</v>
      </c>
      <c r="J124" s="796">
        <f t="shared" si="42"/>
        <v>300</v>
      </c>
      <c r="K124" s="797">
        <f t="shared" si="43"/>
        <v>2910</v>
      </c>
      <c r="L124" s="1182" t="s">
        <v>2915</v>
      </c>
    </row>
    <row r="125" spans="1:12" s="714" customFormat="1" ht="21.3">
      <c r="A125" s="1147" t="s">
        <v>1713</v>
      </c>
      <c r="B125" s="1148" t="s">
        <v>1762</v>
      </c>
      <c r="C125" s="1123"/>
      <c r="D125" s="1124"/>
      <c r="E125" s="1149"/>
      <c r="F125" s="1150"/>
      <c r="G125" s="1179"/>
      <c r="H125" s="796"/>
      <c r="I125" s="1181"/>
      <c r="J125" s="796"/>
      <c r="K125" s="797"/>
      <c r="L125" s="1182"/>
    </row>
    <row r="126" spans="1:12" s="714" customFormat="1" ht="21.3">
      <c r="A126" s="1147"/>
      <c r="B126" s="1148" t="s">
        <v>1764</v>
      </c>
      <c r="C126" s="1123"/>
      <c r="D126" s="1124"/>
      <c r="E126" s="1149">
        <v>4</v>
      </c>
      <c r="F126" s="1150" t="s">
        <v>240</v>
      </c>
      <c r="G126" s="1179">
        <v>5603</v>
      </c>
      <c r="H126" s="796">
        <f t="shared" ref="H126" si="44">ROUND(E126*G126,)</f>
        <v>22412</v>
      </c>
      <c r="I126" s="1181">
        <v>330</v>
      </c>
      <c r="J126" s="796">
        <f t="shared" ref="J126" si="45">ROUND(I126*E126,)</f>
        <v>1320</v>
      </c>
      <c r="K126" s="797">
        <f t="shared" ref="K126" si="46">H126+J126</f>
        <v>23732</v>
      </c>
      <c r="L126" s="1182"/>
    </row>
    <row r="127" spans="1:12" s="714" customFormat="1" ht="21.3">
      <c r="A127" s="1147"/>
      <c r="B127" s="1148"/>
      <c r="C127" s="1123"/>
      <c r="D127" s="1124"/>
      <c r="E127" s="1149"/>
      <c r="F127" s="1150"/>
      <c r="G127" s="1179"/>
      <c r="H127" s="796"/>
      <c r="I127" s="1181"/>
      <c r="J127" s="796"/>
      <c r="K127" s="797"/>
      <c r="L127" s="1182"/>
    </row>
    <row r="128" spans="1:12" s="714" customFormat="1" ht="21.3">
      <c r="A128" s="1147"/>
      <c r="B128" s="1148"/>
      <c r="C128" s="1123"/>
      <c r="D128" s="1124"/>
      <c r="E128" s="1149"/>
      <c r="F128" s="1150"/>
      <c r="G128" s="1179"/>
      <c r="H128" s="796"/>
      <c r="I128" s="1181"/>
      <c r="J128" s="796"/>
      <c r="K128" s="797"/>
      <c r="L128" s="1182"/>
    </row>
    <row r="129" spans="1:12" s="714" customFormat="1" ht="21.3">
      <c r="A129" s="1147"/>
      <c r="B129" s="1148"/>
      <c r="C129" s="1123"/>
      <c r="D129" s="1124"/>
      <c r="E129" s="1149"/>
      <c r="F129" s="1150"/>
      <c r="G129" s="1179"/>
      <c r="H129" s="796"/>
      <c r="I129" s="1181"/>
      <c r="J129" s="796"/>
      <c r="K129" s="797"/>
      <c r="L129" s="1182"/>
    </row>
    <row r="130" spans="1:12" s="714" customFormat="1" ht="21.3">
      <c r="A130" s="1147"/>
      <c r="B130" s="1187"/>
      <c r="C130" s="1123"/>
      <c r="D130" s="1124"/>
      <c r="E130" s="1149"/>
      <c r="F130" s="1150"/>
      <c r="G130" s="1179"/>
      <c r="H130" s="796"/>
      <c r="I130" s="1181"/>
      <c r="J130" s="796"/>
      <c r="K130" s="914"/>
      <c r="L130" s="1182"/>
    </row>
    <row r="131" spans="1:12" s="714" customFormat="1" ht="21.3">
      <c r="A131" s="1147"/>
      <c r="B131" s="1148"/>
      <c r="C131" s="1123"/>
      <c r="D131" s="1124"/>
      <c r="E131" s="1149"/>
      <c r="F131" s="1150"/>
      <c r="G131" s="1179"/>
      <c r="H131" s="796"/>
      <c r="I131" s="1181"/>
      <c r="J131" s="796"/>
      <c r="K131" s="797"/>
      <c r="L131" s="1182"/>
    </row>
    <row r="132" spans="1:12" s="714" customFormat="1" ht="21.3">
      <c r="A132" s="1147"/>
      <c r="B132" s="1148"/>
      <c r="C132" s="1123"/>
      <c r="D132" s="1124"/>
      <c r="E132" s="1149"/>
      <c r="F132" s="1150"/>
      <c r="G132" s="1179"/>
      <c r="H132" s="796"/>
      <c r="I132" s="1181"/>
      <c r="J132" s="796"/>
      <c r="K132" s="797"/>
      <c r="L132" s="1182"/>
    </row>
    <row r="133" spans="1:12" s="714" customFormat="1" ht="21.3">
      <c r="A133" s="1147"/>
      <c r="B133" s="1148"/>
      <c r="C133" s="1123"/>
      <c r="D133" s="1124"/>
      <c r="E133" s="1149"/>
      <c r="F133" s="1150"/>
      <c r="G133" s="1179"/>
      <c r="H133" s="796"/>
      <c r="I133" s="1181"/>
      <c r="J133" s="796"/>
      <c r="K133" s="797"/>
      <c r="L133" s="1182"/>
    </row>
    <row r="134" spans="1:12" s="714" customFormat="1" ht="21.3">
      <c r="A134" s="1147"/>
      <c r="B134" s="1148"/>
      <c r="C134" s="1123"/>
      <c r="D134" s="1124"/>
      <c r="E134" s="1149"/>
      <c r="F134" s="1150"/>
      <c r="G134" s="1179"/>
      <c r="H134" s="796"/>
      <c r="I134" s="1181"/>
      <c r="J134" s="796"/>
      <c r="K134" s="797"/>
      <c r="L134" s="1182"/>
    </row>
    <row r="135" spans="1:12" s="714" customFormat="1" ht="21.3">
      <c r="A135" s="1147"/>
      <c r="B135" s="1148"/>
      <c r="C135" s="1123"/>
      <c r="D135" s="1124"/>
      <c r="E135" s="1149"/>
      <c r="F135" s="1150"/>
      <c r="G135" s="1179"/>
      <c r="H135" s="796"/>
      <c r="I135" s="1181"/>
      <c r="J135" s="796"/>
      <c r="K135" s="797"/>
      <c r="L135" s="1182"/>
    </row>
    <row r="136" spans="1:12" s="714" customFormat="1" ht="21.3">
      <c r="A136" s="1166"/>
      <c r="B136" s="2475" t="str">
        <f>"รวมราคารายการที่ "&amp;A110</f>
        <v>รวมราคารายการที่ 5.4</v>
      </c>
      <c r="C136" s="2476"/>
      <c r="D136" s="2477"/>
      <c r="E136" s="2264"/>
      <c r="F136" s="1167"/>
      <c r="G136" s="1168"/>
      <c r="H136" s="1169">
        <f>SUM(H111:H135)</f>
        <v>108583</v>
      </c>
      <c r="I136" s="1170"/>
      <c r="J136" s="1169">
        <f>SUM(J111:J135)</f>
        <v>31671</v>
      </c>
      <c r="K136" s="1169">
        <f>SUM(K111:K135)</f>
        <v>140254</v>
      </c>
      <c r="L136" s="1171"/>
    </row>
    <row r="137" spans="1:12" s="714" customFormat="1" ht="21.3">
      <c r="A137" s="950"/>
      <c r="E137" s="1234"/>
    </row>
  </sheetData>
  <mergeCells count="13"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64:D64"/>
    <mergeCell ref="B97:D97"/>
    <mergeCell ref="B109:D109"/>
    <mergeCell ref="B136:D136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4-อาคารสนับนุน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885B-9FF8-4FE2-B0ED-EBD897EC4EB2}">
  <sheetPr>
    <tabColor rgb="FF92D050"/>
  </sheetPr>
  <dimension ref="A1:O139"/>
  <sheetViews>
    <sheetView showGridLines="0" tabSelected="1" view="pageBreakPreview" topLeftCell="A106" zoomScale="55" zoomScaleNormal="60" zoomScaleSheetLayoutView="5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29296875" style="1" customWidth="1"/>
    <col min="13" max="86" width="7.703125" style="1" customWidth="1"/>
    <col min="87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1635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 t="s">
        <v>29</v>
      </c>
      <c r="B11" s="1144" t="s">
        <v>1775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 t="str">
        <f>A36</f>
        <v>5.1</v>
      </c>
      <c r="B12" s="1148" t="str">
        <f>B36</f>
        <v>ระบบน้ำประปา (Cold Water Supply System)</v>
      </c>
      <c r="C12" s="1123"/>
      <c r="D12" s="1124"/>
      <c r="E12" s="1149">
        <v>1</v>
      </c>
      <c r="F12" s="1150" t="s">
        <v>19</v>
      </c>
      <c r="G12" s="710"/>
      <c r="H12" s="711">
        <f>H64</f>
        <v>157104</v>
      </c>
      <c r="I12" s="712"/>
      <c r="J12" s="711">
        <f>J64</f>
        <v>54117</v>
      </c>
      <c r="K12" s="1129">
        <f t="shared" ref="K12:K15" si="0">SUM(H12:J12)</f>
        <v>211221</v>
      </c>
      <c r="L12" s="1024"/>
    </row>
    <row r="13" spans="1:12" s="714" customFormat="1" ht="24" customHeight="1">
      <c r="A13" s="1159" t="str">
        <f>A65</f>
        <v>5.2</v>
      </c>
      <c r="B13" s="1160" t="str">
        <f>B65</f>
        <v xml:space="preserve">ระบบระบายน้ำโสโครก น้ำทิ้ง ระบายอากาศ และ ท่อน้ำทิ้งจากห้องครัว </v>
      </c>
      <c r="C13" s="1161"/>
      <c r="D13" s="1162"/>
      <c r="E13" s="1183">
        <v>1</v>
      </c>
      <c r="F13" s="1163" t="s">
        <v>19</v>
      </c>
      <c r="G13" s="1164"/>
      <c r="H13" s="957">
        <f>H96</f>
        <v>327096</v>
      </c>
      <c r="I13" s="1165"/>
      <c r="J13" s="957">
        <f>J96</f>
        <v>115972</v>
      </c>
      <c r="K13" s="1129">
        <f t="shared" si="0"/>
        <v>443068</v>
      </c>
      <c r="L13" s="954"/>
    </row>
    <row r="14" spans="1:12" s="714" customFormat="1" ht="24" customHeight="1">
      <c r="A14" s="1159">
        <f>A97</f>
        <v>5.3</v>
      </c>
      <c r="B14" s="1160" t="str">
        <f>B97</f>
        <v>ระบบระบายน้ำฝนและระบายน้ำในอาคาร (Storm Drain &amp; Building Drain System)</v>
      </c>
      <c r="C14" s="1161"/>
      <c r="D14" s="1162"/>
      <c r="E14" s="1183">
        <v>1</v>
      </c>
      <c r="F14" s="1163" t="s">
        <v>19</v>
      </c>
      <c r="G14" s="1164"/>
      <c r="H14" s="957">
        <f>H109</f>
        <v>13963</v>
      </c>
      <c r="I14" s="1165"/>
      <c r="J14" s="957">
        <f>J109</f>
        <v>4419</v>
      </c>
      <c r="K14" s="1129">
        <f t="shared" si="0"/>
        <v>18382</v>
      </c>
      <c r="L14" s="1024"/>
    </row>
    <row r="15" spans="1:12" s="714" customFormat="1" ht="24" customHeight="1">
      <c r="A15" s="1159" t="str">
        <f>A110</f>
        <v>5.4</v>
      </c>
      <c r="B15" s="1160" t="str">
        <f>B110</f>
        <v>ระบบน้ำชำระสุขภัณฑ์ (Flush Water System)</v>
      </c>
      <c r="C15" s="1161"/>
      <c r="D15" s="1162"/>
      <c r="E15" s="1183">
        <v>1</v>
      </c>
      <c r="F15" s="1163" t="s">
        <v>19</v>
      </c>
      <c r="G15" s="1164"/>
      <c r="H15" s="957">
        <f>H136</f>
        <v>122109</v>
      </c>
      <c r="I15" s="1165"/>
      <c r="J15" s="957">
        <f>J136</f>
        <v>35429</v>
      </c>
      <c r="K15" s="1129">
        <f t="shared" si="0"/>
        <v>157538</v>
      </c>
      <c r="L15" s="1024"/>
    </row>
    <row r="16" spans="1:12" s="714" customFormat="1" ht="24" customHeight="1">
      <c r="A16" s="1147"/>
      <c r="B16" s="1148"/>
      <c r="C16" s="1123"/>
      <c r="D16" s="1124"/>
      <c r="E16" s="1149"/>
      <c r="F16" s="1150"/>
      <c r="G16" s="710"/>
      <c r="H16" s="711"/>
      <c r="I16" s="712"/>
      <c r="J16" s="711"/>
      <c r="K16" s="1129"/>
      <c r="L16" s="1024"/>
    </row>
    <row r="17" spans="1:12" s="714" customFormat="1" ht="24" customHeight="1">
      <c r="A17" s="1147"/>
      <c r="B17" s="1148"/>
      <c r="C17" s="1123"/>
      <c r="D17" s="1124"/>
      <c r="E17" s="1149"/>
      <c r="F17" s="1150"/>
      <c r="G17" s="710"/>
      <c r="H17" s="711"/>
      <c r="I17" s="712"/>
      <c r="J17" s="711"/>
      <c r="K17" s="1129"/>
      <c r="L17" s="1024"/>
    </row>
    <row r="18" spans="1:12" s="714" customFormat="1" ht="24" customHeight="1">
      <c r="A18" s="1147"/>
      <c r="B18" s="1148"/>
      <c r="C18" s="1123"/>
      <c r="D18" s="1124"/>
      <c r="E18" s="1149"/>
      <c r="F18" s="1150"/>
      <c r="G18" s="710"/>
      <c r="H18" s="711"/>
      <c r="I18" s="712"/>
      <c r="J18" s="711"/>
      <c r="K18" s="1129"/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2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2" s="714" customFormat="1" ht="30" customHeight="1">
      <c r="A34" s="1166"/>
      <c r="B34" s="2475" t="str">
        <f>"รวมราคา"&amp;B11</f>
        <v>รวมราคางานระบบสุขาภิบาล ชั้น 5</v>
      </c>
      <c r="C34" s="2476"/>
      <c r="D34" s="2477"/>
      <c r="E34" s="1167"/>
      <c r="F34" s="1167"/>
      <c r="G34" s="1168"/>
      <c r="H34" s="1169">
        <f>SUM(H12:H33)</f>
        <v>620272</v>
      </c>
      <c r="I34" s="1170"/>
      <c r="J34" s="1169">
        <f>SUM(J12:J33)</f>
        <v>209937</v>
      </c>
      <c r="K34" s="1171">
        <f>SUM(K12:K33)</f>
        <v>830209</v>
      </c>
      <c r="L34" s="1171"/>
    </row>
    <row r="35" spans="1:12" s="714" customFormat="1" ht="24" customHeight="1">
      <c r="A35" s="1011"/>
      <c r="B35" s="1173" t="s">
        <v>30</v>
      </c>
      <c r="C35" s="859"/>
      <c r="D35" s="859"/>
      <c r="E35" s="1216"/>
      <c r="F35" s="935"/>
      <c r="G35" s="1174"/>
      <c r="H35" s="1175"/>
      <c r="I35" s="1176"/>
      <c r="J35" s="1175"/>
      <c r="K35" s="1176"/>
      <c r="L35" s="825"/>
    </row>
    <row r="36" spans="1:12" s="714" customFormat="1" ht="24" customHeight="1">
      <c r="A36" s="1177" t="s">
        <v>1637</v>
      </c>
      <c r="B36" s="1151" t="s">
        <v>1638</v>
      </c>
      <c r="C36" s="1178"/>
      <c r="D36" s="1124"/>
      <c r="E36" s="1149"/>
      <c r="F36" s="1150"/>
      <c r="G36" s="1179"/>
      <c r="H36" s="1180"/>
      <c r="I36" s="1181"/>
      <c r="J36" s="1180"/>
      <c r="K36" s="1181"/>
      <c r="L36" s="1182"/>
    </row>
    <row r="37" spans="1:12" s="714" customFormat="1" ht="24" customHeight="1">
      <c r="A37" s="1147" t="s">
        <v>1639</v>
      </c>
      <c r="B37" s="1148" t="s">
        <v>1746</v>
      </c>
      <c r="C37" s="1123"/>
      <c r="D37" s="1124"/>
      <c r="E37" s="1149"/>
      <c r="F37" s="1150"/>
      <c r="G37" s="1179"/>
      <c r="H37" s="796"/>
      <c r="I37" s="1181"/>
      <c r="J37" s="796"/>
      <c r="K37" s="797"/>
      <c r="L37" s="1182"/>
    </row>
    <row r="38" spans="1:12" s="714" customFormat="1" ht="24" customHeight="1">
      <c r="A38" s="1147"/>
      <c r="B38" s="1148" t="s">
        <v>1715</v>
      </c>
      <c r="C38" s="1123"/>
      <c r="D38" s="1124"/>
      <c r="E38" s="1149">
        <v>739</v>
      </c>
      <c r="F38" s="1150" t="s">
        <v>438</v>
      </c>
      <c r="G38" s="1179">
        <v>35</v>
      </c>
      <c r="H38" s="796">
        <f t="shared" ref="H38:H55" si="1">ROUND(E38*G38,)</f>
        <v>25865</v>
      </c>
      <c r="I38" s="1181">
        <v>30</v>
      </c>
      <c r="J38" s="796">
        <f t="shared" ref="J38:J46" si="2">ROUND(E38*I38,)</f>
        <v>22170</v>
      </c>
      <c r="K38" s="797">
        <f t="shared" ref="K38:K46" si="3">H38+J38</f>
        <v>48035</v>
      </c>
      <c r="L38" s="1182"/>
    </row>
    <row r="39" spans="1:12" s="714" customFormat="1" ht="24" customHeight="1">
      <c r="A39" s="1147"/>
      <c r="B39" s="1148" t="s">
        <v>1650</v>
      </c>
      <c r="C39" s="1123"/>
      <c r="D39" s="1124"/>
      <c r="E39" s="1149">
        <v>24</v>
      </c>
      <c r="F39" s="1150" t="s">
        <v>438</v>
      </c>
      <c r="G39" s="1179">
        <v>46</v>
      </c>
      <c r="H39" s="796">
        <f t="shared" si="1"/>
        <v>1104</v>
      </c>
      <c r="I39" s="1181">
        <v>30</v>
      </c>
      <c r="J39" s="796">
        <f t="shared" si="2"/>
        <v>720</v>
      </c>
      <c r="K39" s="797">
        <f t="shared" si="3"/>
        <v>1824</v>
      </c>
      <c r="L39" s="1182"/>
    </row>
    <row r="40" spans="1:12" s="714" customFormat="1" ht="24" customHeight="1">
      <c r="A40" s="1147"/>
      <c r="B40" s="1148" t="s">
        <v>1760</v>
      </c>
      <c r="C40" s="1123"/>
      <c r="D40" s="1124"/>
      <c r="E40" s="1149">
        <v>75</v>
      </c>
      <c r="F40" s="1150" t="s">
        <v>438</v>
      </c>
      <c r="G40" s="1179">
        <v>113</v>
      </c>
      <c r="H40" s="796">
        <f t="shared" si="1"/>
        <v>8475</v>
      </c>
      <c r="I40" s="1181">
        <v>50</v>
      </c>
      <c r="J40" s="796">
        <f t="shared" si="2"/>
        <v>3750</v>
      </c>
      <c r="K40" s="797">
        <f t="shared" si="3"/>
        <v>12225</v>
      </c>
      <c r="L40" s="1182"/>
    </row>
    <row r="41" spans="1:12" s="714" customFormat="1" ht="24" customHeight="1">
      <c r="A41" s="1147"/>
      <c r="B41" s="1148" t="s">
        <v>1761</v>
      </c>
      <c r="C41" s="1123"/>
      <c r="D41" s="1124"/>
      <c r="E41" s="1149">
        <v>18</v>
      </c>
      <c r="F41" s="1150" t="s">
        <v>438</v>
      </c>
      <c r="G41" s="1179">
        <v>193</v>
      </c>
      <c r="H41" s="796">
        <f t="shared" si="1"/>
        <v>3474</v>
      </c>
      <c r="I41" s="1181">
        <v>75</v>
      </c>
      <c r="J41" s="796">
        <f t="shared" si="2"/>
        <v>1350</v>
      </c>
      <c r="K41" s="797">
        <f t="shared" si="3"/>
        <v>4824</v>
      </c>
      <c r="L41" s="1182"/>
    </row>
    <row r="42" spans="1:12" s="714" customFormat="1" ht="24" customHeight="1">
      <c r="A42" s="1147"/>
      <c r="B42" s="1148" t="s">
        <v>1661</v>
      </c>
      <c r="C42" s="1123"/>
      <c r="D42" s="1124"/>
      <c r="E42" s="1149">
        <v>25</v>
      </c>
      <c r="F42" s="1150" t="s">
        <v>438</v>
      </c>
      <c r="G42" s="1179">
        <v>287</v>
      </c>
      <c r="H42" s="796">
        <f t="shared" si="1"/>
        <v>7175</v>
      </c>
      <c r="I42" s="1181">
        <v>100</v>
      </c>
      <c r="J42" s="796">
        <f t="shared" si="2"/>
        <v>2500</v>
      </c>
      <c r="K42" s="797">
        <f t="shared" si="3"/>
        <v>9675</v>
      </c>
      <c r="L42" s="1182"/>
    </row>
    <row r="43" spans="1:12" s="714" customFormat="1" ht="24" customHeight="1">
      <c r="A43" s="1147"/>
      <c r="B43" s="1148" t="s">
        <v>1642</v>
      </c>
      <c r="C43" s="1123"/>
      <c r="D43" s="1124"/>
      <c r="E43" s="1149">
        <v>15</v>
      </c>
      <c r="F43" s="1150" t="s">
        <v>438</v>
      </c>
      <c r="G43" s="1179">
        <v>562</v>
      </c>
      <c r="H43" s="796">
        <f t="shared" si="1"/>
        <v>8430</v>
      </c>
      <c r="I43" s="1181">
        <v>120</v>
      </c>
      <c r="J43" s="796">
        <f t="shared" si="2"/>
        <v>1800</v>
      </c>
      <c r="K43" s="797">
        <f t="shared" si="3"/>
        <v>10230</v>
      </c>
      <c r="L43" s="1182"/>
    </row>
    <row r="44" spans="1:12" s="714" customFormat="1" ht="24" customHeight="1">
      <c r="A44" s="1147"/>
      <c r="B44" s="1148" t="s">
        <v>1645</v>
      </c>
      <c r="C44" s="1123"/>
      <c r="D44" s="1124"/>
      <c r="E44" s="1149">
        <v>1</v>
      </c>
      <c r="F44" s="1150" t="s">
        <v>948</v>
      </c>
      <c r="G44" s="1179">
        <f>ROUND(SUM(H38:H43)*50%,)</f>
        <v>27262</v>
      </c>
      <c r="H44" s="796">
        <f t="shared" si="1"/>
        <v>27262</v>
      </c>
      <c r="I44" s="1181">
        <f t="shared" ref="I44:I46" si="4">ROUNDUP(G44*30%,0)</f>
        <v>8179</v>
      </c>
      <c r="J44" s="796">
        <f t="shared" si="2"/>
        <v>8179</v>
      </c>
      <c r="K44" s="797">
        <f t="shared" si="3"/>
        <v>35441</v>
      </c>
      <c r="L44" s="1182"/>
    </row>
    <row r="45" spans="1:12" s="714" customFormat="1" ht="24" customHeight="1">
      <c r="A45" s="1147"/>
      <c r="B45" s="1148" t="s">
        <v>1646</v>
      </c>
      <c r="C45" s="1123"/>
      <c r="D45" s="1124"/>
      <c r="E45" s="1149">
        <v>1</v>
      </c>
      <c r="F45" s="1150" t="s">
        <v>948</v>
      </c>
      <c r="G45" s="1179">
        <f>ROUND(SUM(H38:H43)*20%,)</f>
        <v>10905</v>
      </c>
      <c r="H45" s="796">
        <f t="shared" si="1"/>
        <v>10905</v>
      </c>
      <c r="I45" s="1181">
        <f t="shared" si="4"/>
        <v>3272</v>
      </c>
      <c r="J45" s="796">
        <f t="shared" si="2"/>
        <v>3272</v>
      </c>
      <c r="K45" s="797">
        <f t="shared" si="3"/>
        <v>14177</v>
      </c>
      <c r="L45" s="1182"/>
    </row>
    <row r="46" spans="1:12" s="714" customFormat="1" ht="24" customHeight="1">
      <c r="A46" s="1147"/>
      <c r="B46" s="1148" t="s">
        <v>1647</v>
      </c>
      <c r="C46" s="1123"/>
      <c r="D46" s="1124"/>
      <c r="E46" s="1149">
        <v>1</v>
      </c>
      <c r="F46" s="1150" t="s">
        <v>948</v>
      </c>
      <c r="G46" s="1179">
        <f>ROUND(SUM(H38:H43)*10%,)</f>
        <v>5452</v>
      </c>
      <c r="H46" s="796">
        <f t="shared" si="1"/>
        <v>5452</v>
      </c>
      <c r="I46" s="1181">
        <f t="shared" si="4"/>
        <v>1636</v>
      </c>
      <c r="J46" s="796">
        <f t="shared" si="2"/>
        <v>1636</v>
      </c>
      <c r="K46" s="797">
        <f t="shared" si="3"/>
        <v>7088</v>
      </c>
      <c r="L46" s="1182"/>
    </row>
    <row r="47" spans="1:12" s="714" customFormat="1" ht="24" customHeight="1">
      <c r="A47" s="1147" t="s">
        <v>1648</v>
      </c>
      <c r="B47" s="1148" t="s">
        <v>1649</v>
      </c>
      <c r="C47" s="1123"/>
      <c r="D47" s="1124"/>
      <c r="E47" s="1149"/>
      <c r="F47" s="1150"/>
      <c r="G47" s="1179"/>
      <c r="H47" s="796"/>
      <c r="I47" s="1181"/>
      <c r="J47" s="796"/>
      <c r="K47" s="797"/>
      <c r="L47" s="1182"/>
    </row>
    <row r="48" spans="1:12" s="714" customFormat="1" ht="24" customHeight="1">
      <c r="A48" s="1147"/>
      <c r="B48" s="1148" t="s">
        <v>1715</v>
      </c>
      <c r="C48" s="1123"/>
      <c r="D48" s="1124"/>
      <c r="E48" s="1149">
        <v>5</v>
      </c>
      <c r="F48" s="1150" t="s">
        <v>240</v>
      </c>
      <c r="G48" s="1179">
        <v>880</v>
      </c>
      <c r="H48" s="796">
        <f t="shared" ref="H48:H50" si="5">ROUND(E48*G48,)</f>
        <v>4400</v>
      </c>
      <c r="I48" s="1181">
        <v>150</v>
      </c>
      <c r="J48" s="796">
        <f t="shared" ref="J48:J50" si="6">ROUND(E48*I48,)</f>
        <v>750</v>
      </c>
      <c r="K48" s="797">
        <f t="shared" ref="K48:K50" si="7">H48+J48</f>
        <v>5150</v>
      </c>
      <c r="L48" s="2273" t="s">
        <v>2974</v>
      </c>
    </row>
    <row r="49" spans="1:12" s="714" customFormat="1" ht="24" customHeight="1">
      <c r="A49" s="1147"/>
      <c r="B49" s="1148" t="s">
        <v>1760</v>
      </c>
      <c r="C49" s="1123"/>
      <c r="D49" s="1124"/>
      <c r="E49" s="1149">
        <v>3</v>
      </c>
      <c r="F49" s="1150" t="s">
        <v>240</v>
      </c>
      <c r="G49" s="1179">
        <v>2610</v>
      </c>
      <c r="H49" s="796">
        <f t="shared" si="5"/>
        <v>7830</v>
      </c>
      <c r="I49" s="1181">
        <v>300</v>
      </c>
      <c r="J49" s="796">
        <f t="shared" si="6"/>
        <v>900</v>
      </c>
      <c r="K49" s="797">
        <f t="shared" si="7"/>
        <v>8730</v>
      </c>
      <c r="L49" s="2273" t="s">
        <v>2974</v>
      </c>
    </row>
    <row r="50" spans="1:12" s="714" customFormat="1" ht="24" customHeight="1">
      <c r="A50" s="1147"/>
      <c r="B50" s="1148" t="s">
        <v>1761</v>
      </c>
      <c r="C50" s="1123"/>
      <c r="D50" s="1124"/>
      <c r="E50" s="1149">
        <v>2</v>
      </c>
      <c r="F50" s="1150" t="s">
        <v>240</v>
      </c>
      <c r="G50" s="1174">
        <v>4040</v>
      </c>
      <c r="H50" s="796">
        <f t="shared" si="5"/>
        <v>8080</v>
      </c>
      <c r="I50" s="1176">
        <v>400</v>
      </c>
      <c r="J50" s="796">
        <f t="shared" si="6"/>
        <v>800</v>
      </c>
      <c r="K50" s="797">
        <f t="shared" si="7"/>
        <v>8880</v>
      </c>
      <c r="L50" s="2273" t="s">
        <v>2974</v>
      </c>
    </row>
    <row r="51" spans="1:12" s="714" customFormat="1" ht="24" customHeight="1">
      <c r="A51" s="1147" t="s">
        <v>1651</v>
      </c>
      <c r="B51" s="1148" t="s">
        <v>1748</v>
      </c>
      <c r="C51" s="1123"/>
      <c r="D51" s="1124"/>
      <c r="E51" s="1149"/>
      <c r="F51" s="1150"/>
      <c r="G51" s="1179"/>
      <c r="H51" s="796"/>
      <c r="I51" s="1181"/>
      <c r="J51" s="796"/>
      <c r="K51" s="797"/>
      <c r="L51" s="1182"/>
    </row>
    <row r="52" spans="1:12" s="714" customFormat="1" ht="24" customHeight="1">
      <c r="A52" s="1147"/>
      <c r="B52" s="1148" t="s">
        <v>1749</v>
      </c>
      <c r="C52" s="1123"/>
      <c r="D52" s="1124"/>
      <c r="E52" s="1149">
        <v>9</v>
      </c>
      <c r="F52" s="1150" t="s">
        <v>240</v>
      </c>
      <c r="G52" s="1188">
        <v>210</v>
      </c>
      <c r="H52" s="796">
        <f t="shared" ref="H52" si="8">ROUND(E52*G52,)</f>
        <v>1890</v>
      </c>
      <c r="I52" s="1181">
        <v>100</v>
      </c>
      <c r="J52" s="796">
        <f t="shared" ref="J52" si="9">ROUND(E52*I52,)</f>
        <v>900</v>
      </c>
      <c r="K52" s="797">
        <f t="shared" ref="K52" si="10">H52+J52</f>
        <v>2790</v>
      </c>
      <c r="L52" s="1182"/>
    </row>
    <row r="53" spans="1:12" s="714" customFormat="1" ht="24" customHeight="1">
      <c r="A53" s="1147" t="s">
        <v>1653</v>
      </c>
      <c r="B53" s="1148" t="s">
        <v>1652</v>
      </c>
      <c r="C53" s="1123"/>
      <c r="D53" s="1124"/>
      <c r="E53" s="1149"/>
      <c r="F53" s="1150"/>
      <c r="G53" s="1179"/>
      <c r="H53" s="796"/>
      <c r="I53" s="1181"/>
      <c r="J53" s="796"/>
      <c r="K53" s="797"/>
      <c r="L53" s="1182"/>
    </row>
    <row r="54" spans="1:12" s="714" customFormat="1" ht="24" customHeight="1">
      <c r="A54" s="1147"/>
      <c r="B54" s="1148" t="s">
        <v>1661</v>
      </c>
      <c r="C54" s="1123"/>
      <c r="D54" s="1124"/>
      <c r="E54" s="1149">
        <v>2</v>
      </c>
      <c r="F54" s="1150" t="s">
        <v>240</v>
      </c>
      <c r="G54" s="1179">
        <v>1742</v>
      </c>
      <c r="H54" s="796">
        <f t="shared" si="1"/>
        <v>3484</v>
      </c>
      <c r="I54" s="1181">
        <v>500</v>
      </c>
      <c r="J54" s="796">
        <f t="shared" ref="J54:J55" si="11">ROUND(E54*I54,)</f>
        <v>1000</v>
      </c>
      <c r="K54" s="797">
        <f t="shared" ref="K54:K55" si="12">H54+J54</f>
        <v>4484</v>
      </c>
      <c r="L54" s="1182"/>
    </row>
    <row r="55" spans="1:12" s="714" customFormat="1" ht="24" customHeight="1">
      <c r="A55" s="1147"/>
      <c r="B55" s="1148" t="s">
        <v>1642</v>
      </c>
      <c r="C55" s="1123"/>
      <c r="D55" s="1124"/>
      <c r="E55" s="1149">
        <v>4</v>
      </c>
      <c r="F55" s="1150" t="s">
        <v>240</v>
      </c>
      <c r="G55" s="1179">
        <v>1899</v>
      </c>
      <c r="H55" s="796">
        <f t="shared" si="1"/>
        <v>7596</v>
      </c>
      <c r="I55" s="1181">
        <v>600</v>
      </c>
      <c r="J55" s="796">
        <f t="shared" si="11"/>
        <v>2400</v>
      </c>
      <c r="K55" s="797">
        <f t="shared" si="12"/>
        <v>9996</v>
      </c>
      <c r="L55" s="1182"/>
    </row>
    <row r="56" spans="1:12" s="714" customFormat="1" ht="24" customHeight="1">
      <c r="A56" s="1147" t="s">
        <v>1655</v>
      </c>
      <c r="B56" s="1148" t="s">
        <v>1762</v>
      </c>
      <c r="C56" s="1123"/>
      <c r="D56" s="1124"/>
      <c r="E56" s="1149"/>
      <c r="F56" s="1150"/>
      <c r="G56" s="1179"/>
      <c r="H56" s="796"/>
      <c r="I56" s="1181"/>
      <c r="J56" s="796"/>
      <c r="K56" s="797"/>
      <c r="L56" s="1182"/>
    </row>
    <row r="57" spans="1:12" s="714" customFormat="1" ht="24" customHeight="1">
      <c r="A57" s="1147"/>
      <c r="B57" s="1148" t="s">
        <v>1763</v>
      </c>
      <c r="C57" s="1123"/>
      <c r="D57" s="1124"/>
      <c r="E57" s="1149">
        <v>2</v>
      </c>
      <c r="F57" s="1150" t="s">
        <v>240</v>
      </c>
      <c r="G57" s="1179">
        <v>1095</v>
      </c>
      <c r="H57" s="796">
        <f t="shared" ref="H57:H58" si="13">ROUND(E57*G57,)</f>
        <v>2190</v>
      </c>
      <c r="I57" s="1181">
        <v>110</v>
      </c>
      <c r="J57" s="796">
        <f t="shared" ref="J57:J58" si="14">ROUND(I57*E57,)</f>
        <v>220</v>
      </c>
      <c r="K57" s="797">
        <f t="shared" ref="K57:K58" si="15">H57+J57</f>
        <v>2410</v>
      </c>
      <c r="L57" s="1182"/>
    </row>
    <row r="58" spans="1:12" s="714" customFormat="1" ht="24" customHeight="1">
      <c r="A58" s="1147"/>
      <c r="B58" s="1148" t="s">
        <v>1764</v>
      </c>
      <c r="C58" s="1123"/>
      <c r="D58" s="1124"/>
      <c r="E58" s="1149">
        <v>4</v>
      </c>
      <c r="F58" s="1150" t="s">
        <v>240</v>
      </c>
      <c r="G58" s="1179">
        <v>5603</v>
      </c>
      <c r="H58" s="796">
        <f t="shared" si="13"/>
        <v>22412</v>
      </c>
      <c r="I58" s="1181">
        <v>330</v>
      </c>
      <c r="J58" s="796">
        <f t="shared" si="14"/>
        <v>1320</v>
      </c>
      <c r="K58" s="797">
        <f t="shared" si="15"/>
        <v>23732</v>
      </c>
      <c r="L58" s="1182"/>
    </row>
    <row r="59" spans="1:12" s="714" customFormat="1" ht="24" customHeight="1">
      <c r="A59" s="1147"/>
      <c r="B59" s="1148"/>
      <c r="C59" s="1123"/>
      <c r="D59" s="1124"/>
      <c r="E59" s="1149"/>
      <c r="F59" s="1150"/>
      <c r="G59" s="1179"/>
      <c r="H59" s="796"/>
      <c r="I59" s="1181"/>
      <c r="J59" s="796"/>
      <c r="K59" s="797"/>
      <c r="L59" s="1182"/>
    </row>
    <row r="60" spans="1:12" s="714" customFormat="1" ht="24" customHeight="1">
      <c r="A60" s="1147" t="s">
        <v>1657</v>
      </c>
      <c r="B60" s="1148" t="s">
        <v>1750</v>
      </c>
      <c r="C60" s="1123"/>
      <c r="D60" s="1124"/>
      <c r="E60" s="1149"/>
      <c r="F60" s="1150"/>
      <c r="G60" s="1179"/>
      <c r="H60" s="796"/>
      <c r="I60" s="1181"/>
      <c r="J60" s="796"/>
      <c r="K60" s="797"/>
      <c r="L60" s="1182"/>
    </row>
    <row r="61" spans="1:12" s="714" customFormat="1" ht="24" customHeight="1">
      <c r="A61" s="1147"/>
      <c r="B61" s="1148" t="s">
        <v>1749</v>
      </c>
      <c r="C61" s="1123"/>
      <c r="D61" s="1124"/>
      <c r="E61" s="1149">
        <v>9</v>
      </c>
      <c r="F61" s="1150" t="s">
        <v>240</v>
      </c>
      <c r="G61" s="1179">
        <v>120</v>
      </c>
      <c r="H61" s="796">
        <f t="shared" ref="H61" si="16">ROUND(E61*G61,)</f>
        <v>1080</v>
      </c>
      <c r="I61" s="1181">
        <v>50</v>
      </c>
      <c r="J61" s="796">
        <f t="shared" ref="J61" si="17">ROUND(I61*E61,)</f>
        <v>450</v>
      </c>
      <c r="K61" s="797">
        <f t="shared" ref="K61" si="18">H61+J61</f>
        <v>1530</v>
      </c>
      <c r="L61" s="1182"/>
    </row>
    <row r="62" spans="1:12" s="714" customFormat="1" ht="24" customHeight="1">
      <c r="A62" s="1147"/>
      <c r="B62" s="1148"/>
      <c r="C62" s="1123"/>
      <c r="D62" s="1213"/>
      <c r="E62" s="1149"/>
      <c r="F62" s="1124"/>
      <c r="G62" s="1179"/>
      <c r="H62" s="796"/>
      <c r="I62" s="1181"/>
      <c r="J62" s="796"/>
      <c r="K62" s="797"/>
      <c r="L62" s="825"/>
    </row>
    <row r="63" spans="1:12" s="714" customFormat="1" ht="24" customHeight="1">
      <c r="A63" s="704"/>
      <c r="B63" s="1228"/>
      <c r="C63" s="792"/>
      <c r="D63" s="792"/>
      <c r="E63" s="1229"/>
      <c r="F63" s="919"/>
      <c r="G63" s="1179"/>
      <c r="H63" s="796"/>
      <c r="I63" s="1181"/>
      <c r="J63" s="796"/>
      <c r="K63" s="797"/>
      <c r="L63" s="825"/>
    </row>
    <row r="64" spans="1:12" s="714" customFormat="1" ht="24" customHeight="1">
      <c r="A64" s="1166"/>
      <c r="B64" s="2475" t="str">
        <f>"รวมราคารายการที่ "&amp;A36</f>
        <v>รวมราคารายการที่ 5.1</v>
      </c>
      <c r="C64" s="2476"/>
      <c r="D64" s="2477"/>
      <c r="E64" s="1167"/>
      <c r="F64" s="1167"/>
      <c r="G64" s="1168"/>
      <c r="H64" s="1169">
        <f>SUM(H37:H63)</f>
        <v>157104</v>
      </c>
      <c r="I64" s="1170"/>
      <c r="J64" s="1169">
        <f>SUM(J36:J63)</f>
        <v>54117</v>
      </c>
      <c r="K64" s="1171">
        <f>SUM(K36:K63)</f>
        <v>211221</v>
      </c>
      <c r="L64" s="1171"/>
    </row>
    <row r="65" spans="1:15" s="714" customFormat="1" ht="24" customHeight="1">
      <c r="A65" s="1195" t="s">
        <v>1664</v>
      </c>
      <c r="B65" s="1196" t="s">
        <v>1665</v>
      </c>
      <c r="C65" s="1197"/>
      <c r="D65" s="1198"/>
      <c r="E65" s="1199"/>
      <c r="F65" s="1200"/>
      <c r="G65" s="1201"/>
      <c r="H65" s="1202"/>
      <c r="I65" s="1203"/>
      <c r="J65" s="1202"/>
      <c r="K65" s="1204"/>
      <c r="L65" s="1204"/>
    </row>
    <row r="66" spans="1:15" s="714" customFormat="1" ht="24" customHeight="1">
      <c r="A66" s="1147" t="s">
        <v>1666</v>
      </c>
      <c r="B66" s="1148" t="s">
        <v>1766</v>
      </c>
      <c r="C66" s="1123"/>
      <c r="D66" s="1124"/>
      <c r="E66" s="1149"/>
      <c r="F66" s="1150"/>
      <c r="G66" s="1140"/>
      <c r="H66" s="796"/>
      <c r="I66" s="797"/>
      <c r="J66" s="796"/>
      <c r="K66" s="914"/>
      <c r="L66" s="914"/>
    </row>
    <row r="67" spans="1:15" s="714" customFormat="1" ht="24" customHeight="1">
      <c r="A67" s="1147"/>
      <c r="B67" s="1148" t="s">
        <v>1188</v>
      </c>
      <c r="C67" s="1123"/>
      <c r="D67" s="1124"/>
      <c r="E67" s="1149">
        <v>304</v>
      </c>
      <c r="F67" s="1150" t="s">
        <v>438</v>
      </c>
      <c r="G67" s="1140">
        <v>127</v>
      </c>
      <c r="H67" s="796">
        <f t="shared" ref="H67:H91" si="19">ROUND(E67*G67,)</f>
        <v>38608</v>
      </c>
      <c r="I67" s="797">
        <v>40</v>
      </c>
      <c r="J67" s="796">
        <f t="shared" ref="J67:J73" si="20">ROUND(I67*E67,)</f>
        <v>12160</v>
      </c>
      <c r="K67" s="914">
        <f t="shared" ref="K67:K73" si="21">H67+J67</f>
        <v>50768</v>
      </c>
      <c r="L67" s="914"/>
    </row>
    <row r="68" spans="1:15" s="714" customFormat="1" ht="24" customHeight="1">
      <c r="A68" s="1147"/>
      <c r="B68" s="1148" t="s">
        <v>1190</v>
      </c>
      <c r="C68" s="1123"/>
      <c r="D68" s="1124"/>
      <c r="E68" s="1149">
        <v>21</v>
      </c>
      <c r="F68" s="1150" t="s">
        <v>438</v>
      </c>
      <c r="G68" s="1140">
        <v>258</v>
      </c>
      <c r="H68" s="796">
        <f t="shared" si="19"/>
        <v>5418</v>
      </c>
      <c r="I68" s="797">
        <v>75</v>
      </c>
      <c r="J68" s="796">
        <f t="shared" si="20"/>
        <v>1575</v>
      </c>
      <c r="K68" s="914">
        <f t="shared" si="21"/>
        <v>6993</v>
      </c>
      <c r="L68" s="914"/>
    </row>
    <row r="69" spans="1:15" s="714" customFormat="1" ht="24" customHeight="1">
      <c r="A69" s="1147"/>
      <c r="B69" s="1148" t="s">
        <v>1674</v>
      </c>
      <c r="C69" s="1123"/>
      <c r="D69" s="1124"/>
      <c r="E69" s="1149">
        <v>144</v>
      </c>
      <c r="F69" s="1150" t="s">
        <v>438</v>
      </c>
      <c r="G69" s="1140">
        <v>395</v>
      </c>
      <c r="H69" s="796">
        <f t="shared" si="19"/>
        <v>56880</v>
      </c>
      <c r="I69" s="797">
        <v>120</v>
      </c>
      <c r="J69" s="796">
        <f t="shared" si="20"/>
        <v>17280</v>
      </c>
      <c r="K69" s="914">
        <f t="shared" si="21"/>
        <v>74160</v>
      </c>
      <c r="L69" s="914"/>
    </row>
    <row r="70" spans="1:15" s="714" customFormat="1" ht="24" customHeight="1">
      <c r="A70" s="1147"/>
      <c r="B70" s="1148" t="s">
        <v>1675</v>
      </c>
      <c r="C70" s="1123"/>
      <c r="D70" s="1124"/>
      <c r="E70" s="1149">
        <v>74</v>
      </c>
      <c r="F70" s="1150" t="s">
        <v>438</v>
      </c>
      <c r="G70" s="1140">
        <v>789</v>
      </c>
      <c r="H70" s="796">
        <f t="shared" si="19"/>
        <v>58386</v>
      </c>
      <c r="I70" s="797">
        <v>250</v>
      </c>
      <c r="J70" s="796">
        <f t="shared" si="20"/>
        <v>18500</v>
      </c>
      <c r="K70" s="914">
        <f t="shared" si="21"/>
        <v>76886</v>
      </c>
      <c r="L70" s="914"/>
    </row>
    <row r="71" spans="1:15" s="714" customFormat="1" ht="24" customHeight="1">
      <c r="A71" s="1147"/>
      <c r="B71" s="1148" t="s">
        <v>1645</v>
      </c>
      <c r="C71" s="1123"/>
      <c r="D71" s="1124"/>
      <c r="E71" s="1149">
        <v>1</v>
      </c>
      <c r="F71" s="1150" t="s">
        <v>948</v>
      </c>
      <c r="G71" s="1140">
        <f>ROUND(SUM(H67:H70)*40%,)</f>
        <v>63717</v>
      </c>
      <c r="H71" s="796">
        <f t="shared" si="19"/>
        <v>63717</v>
      </c>
      <c r="I71" s="1181">
        <f t="shared" ref="I71:I73" si="22">ROUNDUP(G71*30%,0)</f>
        <v>19116</v>
      </c>
      <c r="J71" s="796">
        <f t="shared" si="20"/>
        <v>19116</v>
      </c>
      <c r="K71" s="914">
        <f t="shared" si="21"/>
        <v>82833</v>
      </c>
      <c r="L71" s="914"/>
    </row>
    <row r="72" spans="1:15" s="714" customFormat="1" ht="24" customHeight="1">
      <c r="A72" s="1147"/>
      <c r="B72" s="1148" t="s">
        <v>1646</v>
      </c>
      <c r="C72" s="1123"/>
      <c r="D72" s="1124"/>
      <c r="E72" s="1149">
        <v>1</v>
      </c>
      <c r="F72" s="1150" t="s">
        <v>948</v>
      </c>
      <c r="G72" s="1140">
        <f>ROUND(SUM(H67:H70)*20%,)</f>
        <v>31858</v>
      </c>
      <c r="H72" s="796">
        <f t="shared" si="19"/>
        <v>31858</v>
      </c>
      <c r="I72" s="1181">
        <f t="shared" si="22"/>
        <v>9558</v>
      </c>
      <c r="J72" s="796">
        <f t="shared" si="20"/>
        <v>9558</v>
      </c>
      <c r="K72" s="914">
        <f t="shared" si="21"/>
        <v>41416</v>
      </c>
      <c r="L72" s="914"/>
    </row>
    <row r="73" spans="1:15" s="714" customFormat="1" ht="24" customHeight="1">
      <c r="A73" s="1147"/>
      <c r="B73" s="1148" t="s">
        <v>1677</v>
      </c>
      <c r="C73" s="1123"/>
      <c r="D73" s="1124"/>
      <c r="E73" s="1149">
        <v>1</v>
      </c>
      <c r="F73" s="1150" t="s">
        <v>948</v>
      </c>
      <c r="G73" s="1140">
        <f>ROUND(SUM(H67:H70)*10%,)</f>
        <v>15929</v>
      </c>
      <c r="H73" s="796">
        <f t="shared" si="19"/>
        <v>15929</v>
      </c>
      <c r="I73" s="1181">
        <f t="shared" si="22"/>
        <v>4779</v>
      </c>
      <c r="J73" s="796">
        <f t="shared" si="20"/>
        <v>4779</v>
      </c>
      <c r="K73" s="914">
        <f t="shared" si="21"/>
        <v>20708</v>
      </c>
      <c r="L73" s="914"/>
    </row>
    <row r="74" spans="1:15" s="714" customFormat="1" ht="24" customHeight="1">
      <c r="A74" s="1159" t="s">
        <v>1678</v>
      </c>
      <c r="B74" s="1160" t="s">
        <v>1772</v>
      </c>
      <c r="C74" s="1161"/>
      <c r="D74" s="1162"/>
      <c r="E74" s="1183"/>
      <c r="F74" s="1163"/>
      <c r="G74" s="1205"/>
      <c r="H74" s="872"/>
      <c r="I74" s="873"/>
      <c r="J74" s="872"/>
      <c r="K74" s="938"/>
      <c r="L74" s="938"/>
    </row>
    <row r="75" spans="1:15" s="714" customFormat="1" ht="24" customHeight="1">
      <c r="A75" s="1147"/>
      <c r="B75" s="1148" t="s">
        <v>1186</v>
      </c>
      <c r="C75" s="1123"/>
      <c r="D75" s="1124"/>
      <c r="E75" s="1149">
        <v>239</v>
      </c>
      <c r="F75" s="1150" t="s">
        <v>438</v>
      </c>
      <c r="G75" s="1140">
        <v>20</v>
      </c>
      <c r="H75" s="796">
        <f t="shared" si="19"/>
        <v>4780</v>
      </c>
      <c r="I75" s="797">
        <v>30</v>
      </c>
      <c r="J75" s="796">
        <f t="shared" ref="J75:J83" si="23">ROUND(I75*E75,)</f>
        <v>7170</v>
      </c>
      <c r="K75" s="914">
        <f t="shared" ref="K75:K83" si="24">H75+J75</f>
        <v>11950</v>
      </c>
      <c r="L75" s="2273" t="s">
        <v>2974</v>
      </c>
      <c r="N75" s="714">
        <v>79.17</v>
      </c>
      <c r="O75" s="714">
        <f>ROUND(N75/4,)</f>
        <v>20</v>
      </c>
    </row>
    <row r="76" spans="1:15" s="714" customFormat="1" ht="24" customHeight="1">
      <c r="A76" s="1147"/>
      <c r="B76" s="1148" t="s">
        <v>1187</v>
      </c>
      <c r="C76" s="1123"/>
      <c r="D76" s="1124"/>
      <c r="E76" s="1149">
        <v>14</v>
      </c>
      <c r="F76" s="1150" t="s">
        <v>438</v>
      </c>
      <c r="G76" s="1140">
        <v>26</v>
      </c>
      <c r="H76" s="796">
        <f t="shared" si="19"/>
        <v>364</v>
      </c>
      <c r="I76" s="797">
        <v>30</v>
      </c>
      <c r="J76" s="796">
        <f t="shared" si="23"/>
        <v>420</v>
      </c>
      <c r="K76" s="914">
        <f t="shared" si="24"/>
        <v>784</v>
      </c>
      <c r="L76" s="2273" t="s">
        <v>2974</v>
      </c>
      <c r="N76" s="714">
        <v>103.74</v>
      </c>
      <c r="O76" s="714">
        <f t="shared" ref="O76:O79" si="25">ROUND(N76/4,)</f>
        <v>26</v>
      </c>
    </row>
    <row r="77" spans="1:15" s="714" customFormat="1" ht="24" customHeight="1">
      <c r="A77" s="1147"/>
      <c r="B77" s="1148" t="s">
        <v>1188</v>
      </c>
      <c r="C77" s="1123"/>
      <c r="D77" s="1124"/>
      <c r="E77" s="1149">
        <v>52</v>
      </c>
      <c r="F77" s="1150" t="s">
        <v>438</v>
      </c>
      <c r="G77" s="1140">
        <v>41</v>
      </c>
      <c r="H77" s="796">
        <f t="shared" si="19"/>
        <v>2132</v>
      </c>
      <c r="I77" s="797">
        <v>40</v>
      </c>
      <c r="J77" s="796">
        <f t="shared" si="23"/>
        <v>2080</v>
      </c>
      <c r="K77" s="914">
        <f t="shared" si="24"/>
        <v>4212</v>
      </c>
      <c r="L77" s="2273" t="s">
        <v>2974</v>
      </c>
      <c r="N77" s="714">
        <v>163.80000000000001</v>
      </c>
      <c r="O77" s="714">
        <f t="shared" si="25"/>
        <v>41</v>
      </c>
    </row>
    <row r="78" spans="1:15" s="714" customFormat="1" ht="24" customHeight="1">
      <c r="A78" s="1147"/>
      <c r="B78" s="1148" t="s">
        <v>1189</v>
      </c>
      <c r="C78" s="1123"/>
      <c r="D78" s="1124"/>
      <c r="E78" s="1149">
        <v>93</v>
      </c>
      <c r="F78" s="1150" t="s">
        <v>438</v>
      </c>
      <c r="G78" s="1140">
        <v>65</v>
      </c>
      <c r="H78" s="796">
        <f t="shared" si="19"/>
        <v>6045</v>
      </c>
      <c r="I78" s="797">
        <v>50</v>
      </c>
      <c r="J78" s="796">
        <f t="shared" si="23"/>
        <v>4650</v>
      </c>
      <c r="K78" s="914">
        <f t="shared" si="24"/>
        <v>10695</v>
      </c>
      <c r="L78" s="2273" t="s">
        <v>2974</v>
      </c>
      <c r="N78" s="714">
        <v>259.35000000000002</v>
      </c>
      <c r="O78" s="714">
        <f t="shared" si="25"/>
        <v>65</v>
      </c>
    </row>
    <row r="79" spans="1:15" s="714" customFormat="1" ht="24" customHeight="1">
      <c r="A79" s="1147"/>
      <c r="B79" s="1148" t="s">
        <v>1190</v>
      </c>
      <c r="C79" s="1123"/>
      <c r="D79" s="1124"/>
      <c r="E79" s="1149">
        <v>31</v>
      </c>
      <c r="F79" s="1150" t="s">
        <v>438</v>
      </c>
      <c r="G79" s="1140">
        <v>90</v>
      </c>
      <c r="H79" s="796">
        <f t="shared" si="19"/>
        <v>2790</v>
      </c>
      <c r="I79" s="797">
        <v>75</v>
      </c>
      <c r="J79" s="796">
        <f t="shared" si="23"/>
        <v>2325</v>
      </c>
      <c r="K79" s="914">
        <f t="shared" si="24"/>
        <v>5115</v>
      </c>
      <c r="L79" s="2273" t="s">
        <v>2974</v>
      </c>
      <c r="N79" s="714">
        <v>359.45</v>
      </c>
      <c r="O79" s="714">
        <f t="shared" si="25"/>
        <v>90</v>
      </c>
    </row>
    <row r="80" spans="1:15" s="714" customFormat="1" ht="24" customHeight="1">
      <c r="A80" s="1147"/>
      <c r="B80" s="1187" t="s">
        <v>951</v>
      </c>
      <c r="C80" s="1123"/>
      <c r="D80" s="1124"/>
      <c r="E80" s="1149">
        <v>14</v>
      </c>
      <c r="F80" s="1150" t="s">
        <v>438</v>
      </c>
      <c r="G80" s="1140">
        <v>146</v>
      </c>
      <c r="H80" s="796">
        <f t="shared" si="19"/>
        <v>2044</v>
      </c>
      <c r="I80" s="797">
        <v>100</v>
      </c>
      <c r="J80" s="796">
        <f t="shared" si="23"/>
        <v>1400</v>
      </c>
      <c r="K80" s="914">
        <f t="shared" si="24"/>
        <v>3444</v>
      </c>
      <c r="L80" s="2273" t="s">
        <v>2974</v>
      </c>
      <c r="N80" s="714">
        <v>582.4</v>
      </c>
      <c r="O80" s="714">
        <f>ROUND(N80/4,)</f>
        <v>146</v>
      </c>
    </row>
    <row r="81" spans="1:12" s="714" customFormat="1" ht="24" customHeight="1">
      <c r="A81" s="1147"/>
      <c r="B81" s="1148" t="s">
        <v>1645</v>
      </c>
      <c r="C81" s="1123"/>
      <c r="D81" s="1124"/>
      <c r="E81" s="1149">
        <v>1</v>
      </c>
      <c r="F81" s="1150" t="s">
        <v>948</v>
      </c>
      <c r="G81" s="1140">
        <f>ROUND(SUM(H75:H80)*40%,)</f>
        <v>7262</v>
      </c>
      <c r="H81" s="796">
        <f t="shared" si="19"/>
        <v>7262</v>
      </c>
      <c r="I81" s="1181">
        <f t="shared" ref="I81:I83" si="26">ROUNDUP(G81*30%,0)</f>
        <v>2179</v>
      </c>
      <c r="J81" s="796">
        <f t="shared" si="23"/>
        <v>2179</v>
      </c>
      <c r="K81" s="914">
        <f t="shared" si="24"/>
        <v>9441</v>
      </c>
      <c r="L81" s="914"/>
    </row>
    <row r="82" spans="1:12" s="714" customFormat="1" ht="24" customHeight="1">
      <c r="A82" s="1147"/>
      <c r="B82" s="1148" t="s">
        <v>1646</v>
      </c>
      <c r="C82" s="1123"/>
      <c r="D82" s="1124"/>
      <c r="E82" s="1149">
        <v>1</v>
      </c>
      <c r="F82" s="1150" t="s">
        <v>948</v>
      </c>
      <c r="G82" s="1140">
        <f>ROUND(SUM(H75:H80)*30%,)</f>
        <v>5447</v>
      </c>
      <c r="H82" s="796">
        <f t="shared" si="19"/>
        <v>5447</v>
      </c>
      <c r="I82" s="1181">
        <f t="shared" si="26"/>
        <v>1635</v>
      </c>
      <c r="J82" s="796">
        <f t="shared" si="23"/>
        <v>1635</v>
      </c>
      <c r="K82" s="914">
        <f t="shared" si="24"/>
        <v>7082</v>
      </c>
      <c r="L82" s="914"/>
    </row>
    <row r="83" spans="1:12" s="714" customFormat="1" ht="24" customHeight="1">
      <c r="A83" s="1147"/>
      <c r="B83" s="1148" t="s">
        <v>1677</v>
      </c>
      <c r="C83" s="1123"/>
      <c r="D83" s="1124"/>
      <c r="E83" s="1149">
        <v>1</v>
      </c>
      <c r="F83" s="1150" t="s">
        <v>948</v>
      </c>
      <c r="G83" s="1140">
        <f>ROUND(SUM(H75:H80)*10%,)</f>
        <v>1816</v>
      </c>
      <c r="H83" s="796">
        <f t="shared" si="19"/>
        <v>1816</v>
      </c>
      <c r="I83" s="1181">
        <f t="shared" si="26"/>
        <v>545</v>
      </c>
      <c r="J83" s="796">
        <f t="shared" si="23"/>
        <v>545</v>
      </c>
      <c r="K83" s="914">
        <f t="shared" si="24"/>
        <v>2361</v>
      </c>
      <c r="L83" s="914"/>
    </row>
    <row r="84" spans="1:12" s="714" customFormat="1" ht="24" customHeight="1">
      <c r="A84" s="1147"/>
      <c r="B84" s="1148"/>
      <c r="C84" s="1123"/>
      <c r="D84" s="1124"/>
      <c r="E84" s="1149"/>
      <c r="F84" s="1150"/>
      <c r="G84" s="1140"/>
      <c r="H84" s="796"/>
      <c r="I84" s="797"/>
      <c r="J84" s="796"/>
      <c r="K84" s="914"/>
      <c r="L84" s="914"/>
    </row>
    <row r="85" spans="1:12" s="714" customFormat="1" ht="24" customHeight="1">
      <c r="A85" s="1147" t="s">
        <v>1680</v>
      </c>
      <c r="B85" s="1148" t="s">
        <v>1767</v>
      </c>
      <c r="C85" s="1123"/>
      <c r="D85" s="1124"/>
      <c r="E85" s="1149"/>
      <c r="F85" s="1150"/>
      <c r="G85" s="1140"/>
      <c r="H85" s="796"/>
      <c r="I85" s="797"/>
      <c r="J85" s="796"/>
      <c r="K85" s="914"/>
      <c r="L85" s="914"/>
    </row>
    <row r="86" spans="1:12" s="714" customFormat="1" ht="24" customHeight="1">
      <c r="A86" s="1147"/>
      <c r="B86" s="1148" t="s">
        <v>1188</v>
      </c>
      <c r="C86" s="1123"/>
      <c r="D86" s="1124"/>
      <c r="E86" s="1149">
        <v>39</v>
      </c>
      <c r="F86" s="1150" t="s">
        <v>240</v>
      </c>
      <c r="G86" s="1140">
        <f>ROUND(665*0.7,)</f>
        <v>466</v>
      </c>
      <c r="H86" s="796">
        <f t="shared" si="19"/>
        <v>18174</v>
      </c>
      <c r="I86" s="797">
        <v>200</v>
      </c>
      <c r="J86" s="796">
        <f t="shared" ref="J86" si="27">ROUND(I86*E86,)</f>
        <v>7800</v>
      </c>
      <c r="K86" s="914">
        <f t="shared" ref="K86" si="28">H86+J86</f>
        <v>25974</v>
      </c>
      <c r="L86" s="914"/>
    </row>
    <row r="87" spans="1:12" s="714" customFormat="1" ht="24" customHeight="1">
      <c r="A87" s="1147" t="s">
        <v>1682</v>
      </c>
      <c r="B87" s="1148" t="s">
        <v>1699</v>
      </c>
      <c r="C87" s="1123"/>
      <c r="D87" s="1124"/>
      <c r="E87" s="1149"/>
      <c r="F87" s="1150"/>
      <c r="G87" s="1140"/>
      <c r="H87" s="796"/>
      <c r="I87" s="797"/>
      <c r="J87" s="796"/>
      <c r="K87" s="914"/>
      <c r="L87" s="914"/>
    </row>
    <row r="88" spans="1:12" s="714" customFormat="1" ht="24" customHeight="1">
      <c r="A88" s="1147"/>
      <c r="B88" s="1148" t="s">
        <v>1188</v>
      </c>
      <c r="C88" s="1123"/>
      <c r="D88" s="1124"/>
      <c r="E88" s="1149">
        <v>8</v>
      </c>
      <c r="F88" s="1150" t="s">
        <v>240</v>
      </c>
      <c r="G88" s="1140">
        <f>ROUND(240*0.75,)</f>
        <v>180</v>
      </c>
      <c r="H88" s="796">
        <f t="shared" si="19"/>
        <v>1440</v>
      </c>
      <c r="I88" s="797">
        <v>100</v>
      </c>
      <c r="J88" s="796">
        <f t="shared" ref="J88:J91" si="29">ROUND(I88*E88,)</f>
        <v>800</v>
      </c>
      <c r="K88" s="914">
        <f t="shared" ref="K88:K91" si="30">H88+J88</f>
        <v>2240</v>
      </c>
      <c r="L88" s="914"/>
    </row>
    <row r="89" spans="1:12" s="714" customFormat="1" ht="24" customHeight="1">
      <c r="A89" s="1147"/>
      <c r="B89" s="1148" t="s">
        <v>1190</v>
      </c>
      <c r="C89" s="1123"/>
      <c r="D89" s="1124"/>
      <c r="E89" s="1149">
        <v>4</v>
      </c>
      <c r="F89" s="1150" t="s">
        <v>240</v>
      </c>
      <c r="G89" s="1140">
        <f>ROUND(360*0.75,)</f>
        <v>270</v>
      </c>
      <c r="H89" s="796">
        <f t="shared" si="19"/>
        <v>1080</v>
      </c>
      <c r="I89" s="797">
        <v>150</v>
      </c>
      <c r="J89" s="796">
        <f t="shared" si="29"/>
        <v>600</v>
      </c>
      <c r="K89" s="914">
        <f t="shared" si="30"/>
        <v>1680</v>
      </c>
      <c r="L89" s="914"/>
    </row>
    <row r="90" spans="1:12" s="714" customFormat="1" ht="24" customHeight="1">
      <c r="A90" s="1221"/>
      <c r="B90" s="1219" t="s">
        <v>1674</v>
      </c>
      <c r="C90" s="1209"/>
      <c r="D90" s="1210"/>
      <c r="E90" s="1149">
        <v>4</v>
      </c>
      <c r="F90" s="1212" t="s">
        <v>240</v>
      </c>
      <c r="G90" s="1140">
        <f>ROUND(500*0.75,)</f>
        <v>375</v>
      </c>
      <c r="H90" s="796">
        <f t="shared" si="19"/>
        <v>1500</v>
      </c>
      <c r="I90" s="855">
        <v>200</v>
      </c>
      <c r="J90" s="796">
        <f t="shared" si="29"/>
        <v>800</v>
      </c>
      <c r="K90" s="914">
        <f t="shared" si="30"/>
        <v>2300</v>
      </c>
      <c r="L90" s="912"/>
    </row>
    <row r="91" spans="1:12" s="714" customFormat="1" ht="24" customHeight="1">
      <c r="A91" s="1147"/>
      <c r="B91" s="1148" t="s">
        <v>1675</v>
      </c>
      <c r="C91" s="1123"/>
      <c r="D91" s="1124"/>
      <c r="E91" s="1149">
        <v>2</v>
      </c>
      <c r="F91" s="1150" t="s">
        <v>240</v>
      </c>
      <c r="G91" s="1140">
        <f>ROUND(950*0.75,)</f>
        <v>713</v>
      </c>
      <c r="H91" s="796">
        <f t="shared" si="19"/>
        <v>1426</v>
      </c>
      <c r="I91" s="797">
        <v>300</v>
      </c>
      <c r="J91" s="796">
        <f t="shared" si="29"/>
        <v>600</v>
      </c>
      <c r="K91" s="914">
        <f t="shared" si="30"/>
        <v>2026</v>
      </c>
      <c r="L91" s="914"/>
    </row>
    <row r="92" spans="1:12" s="714" customFormat="1" ht="24" customHeight="1">
      <c r="A92" s="1147"/>
      <c r="B92" s="1148"/>
      <c r="C92" s="1123"/>
      <c r="D92" s="1124"/>
      <c r="E92" s="1149"/>
      <c r="F92" s="1150"/>
      <c r="G92" s="1140"/>
      <c r="H92" s="796"/>
      <c r="I92" s="797"/>
      <c r="J92" s="796"/>
      <c r="K92" s="914"/>
      <c r="L92" s="914"/>
    </row>
    <row r="93" spans="1:12" s="714" customFormat="1" ht="24" customHeight="1">
      <c r="A93" s="1147"/>
      <c r="B93" s="1148"/>
      <c r="C93" s="1123"/>
      <c r="D93" s="1124"/>
      <c r="E93" s="1149"/>
      <c r="F93" s="1150"/>
      <c r="G93" s="1140"/>
      <c r="H93" s="796"/>
      <c r="I93" s="797"/>
      <c r="J93" s="796"/>
      <c r="K93" s="914"/>
      <c r="L93" s="914"/>
    </row>
    <row r="94" spans="1:12" s="714" customFormat="1" ht="24" customHeight="1">
      <c r="A94" s="1147"/>
      <c r="B94" s="1148"/>
      <c r="C94" s="1123"/>
      <c r="D94" s="1124"/>
      <c r="E94" s="1149"/>
      <c r="F94" s="1150"/>
      <c r="G94" s="1140"/>
      <c r="H94" s="796"/>
      <c r="I94" s="797"/>
      <c r="J94" s="796"/>
      <c r="K94" s="914"/>
      <c r="L94" s="914"/>
    </row>
    <row r="95" spans="1:12" s="714" customFormat="1" ht="24" customHeight="1">
      <c r="A95" s="1147"/>
      <c r="B95" s="1148"/>
      <c r="C95" s="1123"/>
      <c r="D95" s="1124"/>
      <c r="E95" s="1149"/>
      <c r="F95" s="1150"/>
      <c r="G95" s="1140"/>
      <c r="H95" s="796"/>
      <c r="I95" s="797"/>
      <c r="J95" s="796"/>
      <c r="K95" s="914"/>
      <c r="L95" s="914"/>
    </row>
    <row r="96" spans="1:12" s="714" customFormat="1" ht="24" customHeight="1">
      <c r="A96" s="1166"/>
      <c r="B96" s="2475" t="str">
        <f>"รวมราคารายการที่ "&amp;A65</f>
        <v>รวมราคารายการที่ 5.2</v>
      </c>
      <c r="C96" s="2476"/>
      <c r="D96" s="2477"/>
      <c r="E96" s="1167"/>
      <c r="F96" s="1167"/>
      <c r="G96" s="1168"/>
      <c r="H96" s="1169">
        <f>SUM(H66:H95)</f>
        <v>327096</v>
      </c>
      <c r="I96" s="1170"/>
      <c r="J96" s="1169">
        <f>SUM(J66:J95)</f>
        <v>115972</v>
      </c>
      <c r="K96" s="1171">
        <f>SUM(K66:K95)</f>
        <v>443068</v>
      </c>
      <c r="L96" s="1171"/>
    </row>
    <row r="97" spans="1:12" s="714" customFormat="1" ht="24" customHeight="1">
      <c r="A97" s="1011">
        <v>5.3</v>
      </c>
      <c r="B97" s="1196" t="s">
        <v>1691</v>
      </c>
      <c r="C97" s="859"/>
      <c r="D97" s="859"/>
      <c r="E97" s="1216"/>
      <c r="F97" s="852"/>
      <c r="G97" s="874"/>
      <c r="H97" s="854"/>
      <c r="I97" s="855"/>
      <c r="J97" s="854"/>
      <c r="K97" s="912"/>
      <c r="L97" s="914"/>
    </row>
    <row r="98" spans="1:12" s="714" customFormat="1" ht="24" customHeight="1">
      <c r="A98" s="1159" t="s">
        <v>1692</v>
      </c>
      <c r="B98" s="1160" t="s">
        <v>1768</v>
      </c>
      <c r="C98" s="1161"/>
      <c r="D98" s="1162"/>
      <c r="E98" s="1183"/>
      <c r="F98" s="1163"/>
      <c r="G98" s="1205"/>
      <c r="H98" s="872"/>
      <c r="I98" s="873"/>
      <c r="J98" s="872"/>
      <c r="K98" s="938"/>
      <c r="L98" s="1194"/>
    </row>
    <row r="99" spans="1:12" s="714" customFormat="1" ht="24" customHeight="1">
      <c r="A99" s="1147"/>
      <c r="B99" s="1148" t="s">
        <v>1188</v>
      </c>
      <c r="C99" s="1123"/>
      <c r="D99" s="1124"/>
      <c r="E99" s="1149">
        <v>57</v>
      </c>
      <c r="F99" s="1150" t="s">
        <v>438</v>
      </c>
      <c r="G99" s="1140">
        <v>127</v>
      </c>
      <c r="H99" s="796">
        <f t="shared" ref="H99:H102" si="31">ROUND(E99*G99,)</f>
        <v>7239</v>
      </c>
      <c r="I99" s="797">
        <v>40</v>
      </c>
      <c r="J99" s="796">
        <f t="shared" ref="J99:J102" si="32">ROUND(I99*E99,)</f>
        <v>2280</v>
      </c>
      <c r="K99" s="914">
        <f t="shared" ref="K99:K102" si="33">H99+J99</f>
        <v>9519</v>
      </c>
      <c r="L99" s="914"/>
    </row>
    <row r="100" spans="1:12" s="714" customFormat="1" ht="24" customHeight="1">
      <c r="A100" s="1147"/>
      <c r="B100" s="1148" t="s">
        <v>1645</v>
      </c>
      <c r="C100" s="1123"/>
      <c r="D100" s="1124"/>
      <c r="E100" s="1149">
        <v>1</v>
      </c>
      <c r="F100" s="1150" t="s">
        <v>948</v>
      </c>
      <c r="G100" s="1140">
        <f>SUM(H99:H99)*50%</f>
        <v>3619.5</v>
      </c>
      <c r="H100" s="796">
        <f t="shared" si="31"/>
        <v>3620</v>
      </c>
      <c r="I100" s="1181">
        <f t="shared" ref="I100:I102" si="34">ROUNDUP(G100*30%,0)</f>
        <v>1086</v>
      </c>
      <c r="J100" s="796">
        <f t="shared" si="32"/>
        <v>1086</v>
      </c>
      <c r="K100" s="914">
        <f t="shared" si="33"/>
        <v>4706</v>
      </c>
      <c r="L100" s="1194"/>
    </row>
    <row r="101" spans="1:12" s="714" customFormat="1" ht="24" customHeight="1">
      <c r="A101" s="1147"/>
      <c r="B101" s="1148" t="s">
        <v>1646</v>
      </c>
      <c r="C101" s="1123"/>
      <c r="D101" s="1124"/>
      <c r="E101" s="1149">
        <v>1</v>
      </c>
      <c r="F101" s="1150" t="s">
        <v>948</v>
      </c>
      <c r="G101" s="1140">
        <f>SUM(H99:H99)*20%</f>
        <v>1447.8000000000002</v>
      </c>
      <c r="H101" s="796">
        <f t="shared" si="31"/>
        <v>1448</v>
      </c>
      <c r="I101" s="1181">
        <f t="shared" si="34"/>
        <v>435</v>
      </c>
      <c r="J101" s="796">
        <f t="shared" si="32"/>
        <v>435</v>
      </c>
      <c r="K101" s="914">
        <f t="shared" si="33"/>
        <v>1883</v>
      </c>
      <c r="L101" s="914"/>
    </row>
    <row r="102" spans="1:12" s="714" customFormat="1" ht="24" customHeight="1">
      <c r="A102" s="1147"/>
      <c r="B102" s="1148" t="s">
        <v>1677</v>
      </c>
      <c r="C102" s="1123"/>
      <c r="D102" s="1124"/>
      <c r="E102" s="1149">
        <v>1</v>
      </c>
      <c r="F102" s="1150" t="s">
        <v>948</v>
      </c>
      <c r="G102" s="1140">
        <f>SUM(H99:H99)*10%</f>
        <v>723.90000000000009</v>
      </c>
      <c r="H102" s="796">
        <f t="shared" si="31"/>
        <v>724</v>
      </c>
      <c r="I102" s="1181">
        <f t="shared" si="34"/>
        <v>218</v>
      </c>
      <c r="J102" s="796">
        <f t="shared" si="32"/>
        <v>218</v>
      </c>
      <c r="K102" s="914">
        <f t="shared" si="33"/>
        <v>942</v>
      </c>
      <c r="L102" s="1194"/>
    </row>
    <row r="103" spans="1:12" s="714" customFormat="1" ht="24" customHeight="1">
      <c r="A103" s="1147" t="s">
        <v>1695</v>
      </c>
      <c r="B103" s="1148" t="s">
        <v>1767</v>
      </c>
      <c r="C103" s="1123"/>
      <c r="D103" s="1124"/>
      <c r="E103" s="1149"/>
      <c r="F103" s="1150"/>
      <c r="G103" s="1140"/>
      <c r="H103" s="796"/>
      <c r="I103" s="797"/>
      <c r="J103" s="796"/>
      <c r="K103" s="914"/>
      <c r="L103" s="1194"/>
    </row>
    <row r="104" spans="1:12" s="714" customFormat="1" ht="24" customHeight="1">
      <c r="A104" s="1147"/>
      <c r="B104" s="1148" t="s">
        <v>1188</v>
      </c>
      <c r="C104" s="1123"/>
      <c r="D104" s="1124"/>
      <c r="E104" s="1149">
        <v>2</v>
      </c>
      <c r="F104" s="1150" t="s">
        <v>240</v>
      </c>
      <c r="G104" s="1140">
        <f>ROUND(665*0.7,)</f>
        <v>466</v>
      </c>
      <c r="H104" s="796">
        <f t="shared" ref="H104" si="35">ROUND(E104*G104,)</f>
        <v>932</v>
      </c>
      <c r="I104" s="797">
        <v>200</v>
      </c>
      <c r="J104" s="796">
        <f t="shared" ref="J104" si="36">ROUND(I104*E104,)</f>
        <v>400</v>
      </c>
      <c r="K104" s="914">
        <f t="shared" ref="K104" si="37">H104+J104</f>
        <v>1332</v>
      </c>
      <c r="L104" s="1194"/>
    </row>
    <row r="105" spans="1:12" s="714" customFormat="1" ht="24" customHeight="1">
      <c r="A105" s="1147"/>
      <c r="B105" s="1148"/>
      <c r="C105" s="1123"/>
      <c r="D105" s="1124"/>
      <c r="E105" s="1149"/>
      <c r="F105" s="1150"/>
      <c r="G105" s="1140"/>
      <c r="H105" s="796"/>
      <c r="I105" s="797"/>
      <c r="J105" s="796"/>
      <c r="K105" s="914"/>
      <c r="L105" s="914"/>
    </row>
    <row r="106" spans="1:12" s="714" customFormat="1" ht="24" customHeight="1">
      <c r="A106" s="1159"/>
      <c r="B106" s="1160"/>
      <c r="C106" s="1161"/>
      <c r="D106" s="1190"/>
      <c r="E106" s="1183"/>
      <c r="F106" s="1162"/>
      <c r="G106" s="1205"/>
      <c r="H106" s="872"/>
      <c r="I106" s="873"/>
      <c r="J106" s="872"/>
      <c r="K106" s="938"/>
      <c r="L106" s="938"/>
    </row>
    <row r="107" spans="1:12" s="714" customFormat="1" ht="24" customHeight="1">
      <c r="A107" s="1159"/>
      <c r="B107" s="1160"/>
      <c r="C107" s="1161"/>
      <c r="D107" s="1190"/>
      <c r="E107" s="1183"/>
      <c r="F107" s="1162"/>
      <c r="G107" s="1205"/>
      <c r="H107" s="872"/>
      <c r="I107" s="873"/>
      <c r="J107" s="872"/>
      <c r="K107" s="938"/>
      <c r="L107" s="938"/>
    </row>
    <row r="108" spans="1:12" s="714" customFormat="1" ht="24" customHeight="1">
      <c r="A108" s="898"/>
      <c r="B108" s="1191"/>
      <c r="C108" s="890"/>
      <c r="D108" s="890"/>
      <c r="E108" s="1224"/>
      <c r="F108" s="928"/>
      <c r="G108" s="1192"/>
      <c r="H108" s="1193"/>
      <c r="I108" s="1185"/>
      <c r="J108" s="1193"/>
      <c r="K108" s="1194"/>
      <c r="L108" s="1194"/>
    </row>
    <row r="109" spans="1:12" s="714" customFormat="1" ht="24" customHeight="1">
      <c r="A109" s="1166"/>
      <c r="B109" s="2475" t="str">
        <f>"รวมราคารายการที่ "&amp;A97</f>
        <v>รวมราคารายการที่ 5.3</v>
      </c>
      <c r="C109" s="2476"/>
      <c r="D109" s="2477"/>
      <c r="E109" s="1167"/>
      <c r="F109" s="1167"/>
      <c r="G109" s="1168"/>
      <c r="H109" s="1169">
        <f>SUM(H98:H108)</f>
        <v>13963</v>
      </c>
      <c r="I109" s="1170"/>
      <c r="J109" s="1169">
        <f>SUM(J98:J108)</f>
        <v>4419</v>
      </c>
      <c r="K109" s="1169">
        <f>SUM(K98:K108)</f>
        <v>18382</v>
      </c>
      <c r="L109" s="1226"/>
    </row>
    <row r="110" spans="1:12" s="714" customFormat="1" ht="24" customHeight="1">
      <c r="A110" s="1207" t="s">
        <v>1707</v>
      </c>
      <c r="B110" s="1208" t="s">
        <v>1708</v>
      </c>
      <c r="C110" s="1209"/>
      <c r="D110" s="1210"/>
      <c r="E110" s="1211"/>
      <c r="F110" s="1212"/>
      <c r="G110" s="874"/>
      <c r="H110" s="854"/>
      <c r="I110" s="855"/>
      <c r="J110" s="854"/>
      <c r="K110" s="912"/>
      <c r="L110" s="912"/>
    </row>
    <row r="111" spans="1:12" s="714" customFormat="1" ht="24" customHeight="1">
      <c r="A111" s="1147" t="s">
        <v>1709</v>
      </c>
      <c r="B111" s="1148" t="s">
        <v>1746</v>
      </c>
      <c r="C111" s="1123"/>
      <c r="D111" s="1124"/>
      <c r="E111" s="1149"/>
      <c r="F111" s="1150"/>
      <c r="G111" s="1179"/>
      <c r="H111" s="796"/>
      <c r="I111" s="1181"/>
      <c r="J111" s="796"/>
      <c r="K111" s="797"/>
      <c r="L111" s="1182"/>
    </row>
    <row r="112" spans="1:12" s="714" customFormat="1" ht="24" customHeight="1">
      <c r="A112" s="1147"/>
      <c r="B112" s="1148" t="s">
        <v>1650</v>
      </c>
      <c r="C112" s="1123"/>
      <c r="D112" s="1124"/>
      <c r="E112" s="1149">
        <v>273</v>
      </c>
      <c r="F112" s="1150" t="s">
        <v>438</v>
      </c>
      <c r="G112" s="1179">
        <v>46</v>
      </c>
      <c r="H112" s="796">
        <f t="shared" ref="H112:H119" si="38">ROUND(E112*G112,)</f>
        <v>12558</v>
      </c>
      <c r="I112" s="1181">
        <v>30</v>
      </c>
      <c r="J112" s="796">
        <f t="shared" ref="J112:J119" si="39">ROUND(E112*I112,)</f>
        <v>8190</v>
      </c>
      <c r="K112" s="797">
        <f t="shared" ref="K112:K119" si="40">H112+J112</f>
        <v>20748</v>
      </c>
      <c r="L112" s="1182"/>
    </row>
    <row r="113" spans="1:12" s="714" customFormat="1" ht="24" customHeight="1">
      <c r="A113" s="1147"/>
      <c r="B113" s="1148" t="s">
        <v>1760</v>
      </c>
      <c r="C113" s="1123"/>
      <c r="D113" s="1124"/>
      <c r="E113" s="1149">
        <v>19</v>
      </c>
      <c r="F113" s="1150" t="s">
        <v>438</v>
      </c>
      <c r="G113" s="1179">
        <v>113</v>
      </c>
      <c r="H113" s="796">
        <f t="shared" si="38"/>
        <v>2147</v>
      </c>
      <c r="I113" s="1181">
        <v>50</v>
      </c>
      <c r="J113" s="796">
        <f t="shared" si="39"/>
        <v>950</v>
      </c>
      <c r="K113" s="797">
        <f t="shared" si="40"/>
        <v>3097</v>
      </c>
      <c r="L113" s="1182"/>
    </row>
    <row r="114" spans="1:12" s="714" customFormat="1" ht="21.3">
      <c r="A114" s="1147"/>
      <c r="B114" s="1148" t="s">
        <v>1761</v>
      </c>
      <c r="C114" s="1123"/>
      <c r="D114" s="1124"/>
      <c r="E114" s="1149">
        <v>21</v>
      </c>
      <c r="F114" s="1150" t="s">
        <v>438</v>
      </c>
      <c r="G114" s="1179">
        <v>193</v>
      </c>
      <c r="H114" s="796">
        <f t="shared" si="38"/>
        <v>4053</v>
      </c>
      <c r="I114" s="1181">
        <v>75</v>
      </c>
      <c r="J114" s="796">
        <f t="shared" si="39"/>
        <v>1575</v>
      </c>
      <c r="K114" s="797">
        <f t="shared" si="40"/>
        <v>5628</v>
      </c>
      <c r="L114" s="1182"/>
    </row>
    <row r="115" spans="1:12" s="714" customFormat="1" ht="21.3">
      <c r="A115" s="1147"/>
      <c r="B115" s="1148" t="s">
        <v>1661</v>
      </c>
      <c r="C115" s="1123"/>
      <c r="D115" s="1124"/>
      <c r="E115" s="1149">
        <v>56</v>
      </c>
      <c r="F115" s="1150" t="s">
        <v>438</v>
      </c>
      <c r="G115" s="1179">
        <v>287</v>
      </c>
      <c r="H115" s="796">
        <f t="shared" si="38"/>
        <v>16072</v>
      </c>
      <c r="I115" s="1181">
        <v>100</v>
      </c>
      <c r="J115" s="796">
        <f t="shared" si="39"/>
        <v>5600</v>
      </c>
      <c r="K115" s="797">
        <f t="shared" si="40"/>
        <v>21672</v>
      </c>
      <c r="L115" s="1182"/>
    </row>
    <row r="116" spans="1:12" s="714" customFormat="1" ht="21.3">
      <c r="A116" s="1147"/>
      <c r="B116" s="1187" t="s">
        <v>1642</v>
      </c>
      <c r="C116" s="1123"/>
      <c r="D116" s="1124"/>
      <c r="E116" s="1149">
        <v>17</v>
      </c>
      <c r="F116" s="1150" t="s">
        <v>438</v>
      </c>
      <c r="G116" s="1179">
        <v>562</v>
      </c>
      <c r="H116" s="796">
        <f t="shared" si="38"/>
        <v>9554</v>
      </c>
      <c r="I116" s="1181">
        <v>120</v>
      </c>
      <c r="J116" s="796">
        <f t="shared" si="39"/>
        <v>2040</v>
      </c>
      <c r="K116" s="914">
        <f t="shared" si="40"/>
        <v>11594</v>
      </c>
      <c r="L116" s="1182"/>
    </row>
    <row r="117" spans="1:12" s="714" customFormat="1" ht="21.3">
      <c r="A117" s="1147"/>
      <c r="B117" s="1148" t="s">
        <v>1645</v>
      </c>
      <c r="C117" s="1123"/>
      <c r="D117" s="1124"/>
      <c r="E117" s="1149">
        <v>1</v>
      </c>
      <c r="F117" s="1150" t="s">
        <v>948</v>
      </c>
      <c r="G117" s="1179">
        <f>SUM(H112:H116)*50%</f>
        <v>22192</v>
      </c>
      <c r="H117" s="796">
        <f t="shared" si="38"/>
        <v>22192</v>
      </c>
      <c r="I117" s="1181">
        <f t="shared" ref="I117:I119" si="41">ROUNDUP(G117*30%,0)</f>
        <v>6658</v>
      </c>
      <c r="J117" s="796">
        <f t="shared" si="39"/>
        <v>6658</v>
      </c>
      <c r="K117" s="797">
        <f t="shared" si="40"/>
        <v>28850</v>
      </c>
      <c r="L117" s="1182"/>
    </row>
    <row r="118" spans="1:12" s="714" customFormat="1" ht="21.3">
      <c r="A118" s="1147"/>
      <c r="B118" s="1148" t="s">
        <v>1646</v>
      </c>
      <c r="C118" s="1123"/>
      <c r="D118" s="1124"/>
      <c r="E118" s="1149">
        <v>1</v>
      </c>
      <c r="F118" s="1150" t="s">
        <v>948</v>
      </c>
      <c r="G118" s="1179">
        <f>ROUND(SUM(H112:H116)*20%,)</f>
        <v>8877</v>
      </c>
      <c r="H118" s="796">
        <f t="shared" si="38"/>
        <v>8877</v>
      </c>
      <c r="I118" s="1181">
        <f t="shared" si="41"/>
        <v>2664</v>
      </c>
      <c r="J118" s="796">
        <f t="shared" si="39"/>
        <v>2664</v>
      </c>
      <c r="K118" s="797">
        <f t="shared" si="40"/>
        <v>11541</v>
      </c>
      <c r="L118" s="1182"/>
    </row>
    <row r="119" spans="1:12" s="714" customFormat="1" ht="21.3">
      <c r="A119" s="1147"/>
      <c r="B119" s="1148" t="s">
        <v>1647</v>
      </c>
      <c r="C119" s="1123"/>
      <c r="D119" s="1124"/>
      <c r="E119" s="1149">
        <v>1</v>
      </c>
      <c r="F119" s="1150" t="s">
        <v>948</v>
      </c>
      <c r="G119" s="1179">
        <f>ROUND(SUM(H112:H116)*10%,)</f>
        <v>4438</v>
      </c>
      <c r="H119" s="796">
        <f t="shared" si="38"/>
        <v>4438</v>
      </c>
      <c r="I119" s="1181">
        <f t="shared" si="41"/>
        <v>1332</v>
      </c>
      <c r="J119" s="796">
        <f t="shared" si="39"/>
        <v>1332</v>
      </c>
      <c r="K119" s="797">
        <f t="shared" si="40"/>
        <v>5770</v>
      </c>
      <c r="L119" s="1182"/>
    </row>
    <row r="120" spans="1:12" s="714" customFormat="1" ht="21.3">
      <c r="A120" s="1147" t="s">
        <v>1712</v>
      </c>
      <c r="B120" s="1148" t="s">
        <v>1652</v>
      </c>
      <c r="C120" s="1123"/>
      <c r="D120" s="1124"/>
      <c r="E120" s="1149"/>
      <c r="F120" s="1150"/>
      <c r="G120" s="1179"/>
      <c r="H120" s="796"/>
      <c r="I120" s="1181"/>
      <c r="J120" s="796"/>
      <c r="K120" s="797"/>
      <c r="L120" s="1182"/>
    </row>
    <row r="121" spans="1:12" s="714" customFormat="1" ht="21.3">
      <c r="A121" s="1147"/>
      <c r="B121" s="1148" t="s">
        <v>1661</v>
      </c>
      <c r="C121" s="1123"/>
      <c r="D121" s="1124"/>
      <c r="E121" s="1149">
        <v>4</v>
      </c>
      <c r="F121" s="1150" t="s">
        <v>240</v>
      </c>
      <c r="G121" s="1179">
        <v>1742</v>
      </c>
      <c r="H121" s="796">
        <f t="shared" ref="H121:H122" si="42">ROUND(E121*G121,)</f>
        <v>6968</v>
      </c>
      <c r="I121" s="1181">
        <v>500</v>
      </c>
      <c r="J121" s="796">
        <f t="shared" ref="J121:J122" si="43">ROUND(E121*I121,)</f>
        <v>2000</v>
      </c>
      <c r="K121" s="797">
        <f t="shared" ref="K121:K122" si="44">H121+J121</f>
        <v>8968</v>
      </c>
      <c r="L121" s="1182"/>
    </row>
    <row r="122" spans="1:12" s="714" customFormat="1" ht="21.3">
      <c r="A122" s="1147"/>
      <c r="B122" s="1148" t="s">
        <v>1642</v>
      </c>
      <c r="C122" s="1123"/>
      <c r="D122" s="1124"/>
      <c r="E122" s="1149">
        <v>4</v>
      </c>
      <c r="F122" s="1150" t="s">
        <v>240</v>
      </c>
      <c r="G122" s="1179">
        <v>1899</v>
      </c>
      <c r="H122" s="796">
        <f t="shared" si="42"/>
        <v>7596</v>
      </c>
      <c r="I122" s="1181">
        <v>600</v>
      </c>
      <c r="J122" s="796">
        <f t="shared" si="43"/>
        <v>2400</v>
      </c>
      <c r="K122" s="797">
        <f t="shared" si="44"/>
        <v>9996</v>
      </c>
      <c r="L122" s="1182"/>
    </row>
    <row r="123" spans="1:12" s="714" customFormat="1" ht="21.3">
      <c r="A123" s="1147" t="s">
        <v>1770</v>
      </c>
      <c r="B123" s="1148" t="s">
        <v>1649</v>
      </c>
      <c r="C123" s="1123"/>
      <c r="D123" s="1124"/>
      <c r="E123" s="1149"/>
      <c r="F123" s="1150"/>
      <c r="G123" s="1179"/>
      <c r="H123" s="796"/>
      <c r="I123" s="1181"/>
      <c r="J123" s="796"/>
      <c r="K123" s="797"/>
      <c r="L123" s="1182"/>
    </row>
    <row r="124" spans="1:12" s="714" customFormat="1" ht="21.3">
      <c r="A124" s="1147"/>
      <c r="B124" s="1148" t="s">
        <v>1650</v>
      </c>
      <c r="C124" s="1123"/>
      <c r="D124" s="1124"/>
      <c r="E124" s="1149">
        <v>2</v>
      </c>
      <c r="F124" s="1150" t="s">
        <v>240</v>
      </c>
      <c r="G124" s="1179">
        <v>1316</v>
      </c>
      <c r="H124" s="796">
        <f t="shared" ref="H124:H125" si="45">ROUND(E124*G124,)</f>
        <v>2632</v>
      </c>
      <c r="I124" s="1181">
        <v>200</v>
      </c>
      <c r="J124" s="796">
        <f t="shared" ref="J124:J125" si="46">ROUND(E124*I124,)</f>
        <v>400</v>
      </c>
      <c r="K124" s="797">
        <f t="shared" ref="K124:K125" si="47">H124+J124</f>
        <v>3032</v>
      </c>
      <c r="L124" s="1718" t="s">
        <v>2915</v>
      </c>
    </row>
    <row r="125" spans="1:12" s="714" customFormat="1" ht="21.3">
      <c r="A125" s="1147"/>
      <c r="B125" s="1148" t="s">
        <v>1760</v>
      </c>
      <c r="C125" s="1123"/>
      <c r="D125" s="1124"/>
      <c r="E125" s="1149">
        <v>1</v>
      </c>
      <c r="F125" s="1150" t="s">
        <v>240</v>
      </c>
      <c r="G125" s="1179">
        <v>2610</v>
      </c>
      <c r="H125" s="796">
        <f t="shared" si="45"/>
        <v>2610</v>
      </c>
      <c r="I125" s="1181">
        <v>300</v>
      </c>
      <c r="J125" s="796">
        <f t="shared" si="46"/>
        <v>300</v>
      </c>
      <c r="K125" s="797">
        <f t="shared" si="47"/>
        <v>2910</v>
      </c>
      <c r="L125" s="1718" t="s">
        <v>2915</v>
      </c>
    </row>
    <row r="126" spans="1:12" s="714" customFormat="1" ht="21.3">
      <c r="A126" s="1147" t="s">
        <v>1713</v>
      </c>
      <c r="B126" s="1148" t="s">
        <v>1762</v>
      </c>
      <c r="C126" s="1123"/>
      <c r="D126" s="1124"/>
      <c r="E126" s="1149"/>
      <c r="F126" s="1150"/>
      <c r="G126" s="1179"/>
      <c r="H126" s="796"/>
      <c r="I126" s="1181"/>
      <c r="J126" s="796"/>
      <c r="K126" s="797"/>
      <c r="L126" s="1182"/>
    </row>
    <row r="127" spans="1:12" s="714" customFormat="1" ht="21.3">
      <c r="A127" s="1147"/>
      <c r="B127" s="1148" t="s">
        <v>1764</v>
      </c>
      <c r="C127" s="1123"/>
      <c r="D127" s="1124"/>
      <c r="E127" s="1149">
        <v>4</v>
      </c>
      <c r="F127" s="1150" t="s">
        <v>240</v>
      </c>
      <c r="G127" s="1179">
        <v>5603</v>
      </c>
      <c r="H127" s="796">
        <f t="shared" ref="H127" si="48">ROUND(E127*G127,)</f>
        <v>22412</v>
      </c>
      <c r="I127" s="1181">
        <v>330</v>
      </c>
      <c r="J127" s="796">
        <f t="shared" ref="J127" si="49">ROUND(I127*E127,)</f>
        <v>1320</v>
      </c>
      <c r="K127" s="797">
        <f t="shared" ref="K127" si="50">H127+J127</f>
        <v>23732</v>
      </c>
      <c r="L127" s="1182"/>
    </row>
    <row r="128" spans="1:12" s="714" customFormat="1" ht="21.3">
      <c r="A128" s="1147"/>
      <c r="B128" s="1148"/>
      <c r="C128" s="1123"/>
      <c r="D128" s="1124"/>
      <c r="E128" s="1149"/>
      <c r="F128" s="1150"/>
      <c r="G128" s="1140"/>
      <c r="H128" s="796"/>
      <c r="I128" s="797"/>
      <c r="J128" s="796"/>
      <c r="K128" s="914"/>
      <c r="L128" s="914"/>
    </row>
    <row r="129" spans="1:12" s="714" customFormat="1" ht="21.3">
      <c r="A129" s="1147"/>
      <c r="B129" s="1148"/>
      <c r="C129" s="1123"/>
      <c r="D129" s="1213"/>
      <c r="E129" s="1149"/>
      <c r="F129" s="1124"/>
      <c r="G129" s="1140"/>
      <c r="H129" s="796"/>
      <c r="I129" s="797"/>
      <c r="J129" s="796"/>
      <c r="K129" s="914"/>
      <c r="L129" s="914"/>
    </row>
    <row r="130" spans="1:12" s="714" customFormat="1" ht="21.3">
      <c r="A130" s="1147"/>
      <c r="B130" s="1148"/>
      <c r="C130" s="1123"/>
      <c r="D130" s="1213"/>
      <c r="E130" s="1149"/>
      <c r="F130" s="1124"/>
      <c r="G130" s="1140"/>
      <c r="H130" s="796"/>
      <c r="I130" s="797"/>
      <c r="J130" s="796"/>
      <c r="K130" s="914"/>
      <c r="L130" s="914"/>
    </row>
    <row r="131" spans="1:12" s="714" customFormat="1" ht="21.3">
      <c r="A131" s="1147"/>
      <c r="B131" s="1148"/>
      <c r="C131" s="1123"/>
      <c r="D131" s="1213"/>
      <c r="E131" s="1149"/>
      <c r="F131" s="1124"/>
      <c r="G131" s="1140"/>
      <c r="H131" s="796"/>
      <c r="I131" s="797"/>
      <c r="J131" s="796"/>
      <c r="K131" s="914"/>
      <c r="L131" s="914"/>
    </row>
    <row r="132" spans="1:12" s="714" customFormat="1" ht="21.3">
      <c r="A132" s="1147"/>
      <c r="B132" s="1148"/>
      <c r="C132" s="1123"/>
      <c r="D132" s="1213"/>
      <c r="E132" s="1149"/>
      <c r="F132" s="1124"/>
      <c r="G132" s="1140"/>
      <c r="H132" s="796"/>
      <c r="I132" s="797"/>
      <c r="J132" s="796"/>
      <c r="K132" s="914"/>
      <c r="L132" s="914"/>
    </row>
    <row r="133" spans="1:12" s="714" customFormat="1" ht="21.3">
      <c r="A133" s="1147"/>
      <c r="B133" s="1148"/>
      <c r="C133" s="1123"/>
      <c r="D133" s="1213"/>
      <c r="E133" s="1149"/>
      <c r="F133" s="1124"/>
      <c r="G133" s="1140"/>
      <c r="H133" s="796"/>
      <c r="I133" s="797"/>
      <c r="J133" s="796"/>
      <c r="K133" s="914"/>
      <c r="L133" s="914"/>
    </row>
    <row r="134" spans="1:12" s="714" customFormat="1" ht="21.3">
      <c r="A134" s="1147"/>
      <c r="B134" s="1148"/>
      <c r="C134" s="1123"/>
      <c r="D134" s="1213"/>
      <c r="E134" s="1149"/>
      <c r="F134" s="1124"/>
      <c r="G134" s="1140"/>
      <c r="H134" s="796"/>
      <c r="I134" s="797"/>
      <c r="J134" s="796"/>
      <c r="K134" s="914"/>
      <c r="L134" s="914"/>
    </row>
    <row r="135" spans="1:12" s="714" customFormat="1" ht="21.3">
      <c r="A135" s="1038"/>
      <c r="B135" s="1232"/>
      <c r="C135" s="1233"/>
      <c r="D135" s="792"/>
      <c r="E135" s="834"/>
      <c r="F135" s="794"/>
      <c r="G135" s="1140"/>
      <c r="H135" s="796"/>
      <c r="I135" s="797"/>
      <c r="J135" s="796"/>
      <c r="K135" s="914"/>
      <c r="L135" s="914"/>
    </row>
    <row r="136" spans="1:12" s="714" customFormat="1" ht="21.3">
      <c r="A136" s="1166"/>
      <c r="B136" s="2475" t="str">
        <f>"รวมราคารายการที่ "&amp;A110</f>
        <v>รวมราคารายการที่ 5.4</v>
      </c>
      <c r="C136" s="2476"/>
      <c r="D136" s="2477"/>
      <c r="E136" s="2264"/>
      <c r="F136" s="1167"/>
      <c r="G136" s="1168"/>
      <c r="H136" s="1169">
        <f>SUM(H111:H135)</f>
        <v>122109</v>
      </c>
      <c r="I136" s="1170"/>
      <c r="J136" s="1169">
        <f>SUM(J111:J135)</f>
        <v>35429</v>
      </c>
      <c r="K136" s="1169">
        <f>SUM(K111:K135)</f>
        <v>157538</v>
      </c>
      <c r="L136" s="1171"/>
    </row>
    <row r="137" spans="1:12" s="714" customFormat="1" ht="21.3">
      <c r="A137" s="950"/>
      <c r="E137" s="1234"/>
    </row>
    <row r="138" spans="1:12" s="714" customFormat="1" ht="21.3">
      <c r="A138" s="950"/>
      <c r="E138" s="1234"/>
    </row>
    <row r="139" spans="1:12" s="714" customFormat="1" ht="21.3">
      <c r="A139" s="950"/>
      <c r="E139" s="1234"/>
    </row>
  </sheetData>
  <mergeCells count="13"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64:D64"/>
    <mergeCell ref="B96:D96"/>
    <mergeCell ref="B109:D109"/>
    <mergeCell ref="B136:D136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5-อาคารสนับนุน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U1260"/>
  <sheetViews>
    <sheetView showGridLines="0" tabSelected="1" view="pageBreakPreview" topLeftCell="A1099" zoomScale="70" zoomScaleNormal="60" zoomScaleSheetLayoutView="70" workbookViewId="0">
      <selection activeCell="O16" sqref="O16"/>
    </sheetView>
  </sheetViews>
  <sheetFormatPr defaultColWidth="9.1171875" defaultRowHeight="23.7"/>
  <cols>
    <col min="1" max="1" width="9.5859375" style="120" customWidth="1"/>
    <col min="2" max="3" width="6.703125" style="52" customWidth="1"/>
    <col min="4" max="4" width="59.703125" style="52" customWidth="1"/>
    <col min="5" max="5" width="17" style="52" bestFit="1" customWidth="1"/>
    <col min="6" max="6" width="12.703125" style="52" customWidth="1"/>
    <col min="7" max="7" width="16.703125" style="52" customWidth="1"/>
    <col min="8" max="8" width="22.703125" style="52" customWidth="1"/>
    <col min="9" max="9" width="16.703125" style="52" customWidth="1"/>
    <col min="10" max="10" width="22.703125" style="52" customWidth="1"/>
    <col min="11" max="11" width="24.703125" style="52" customWidth="1"/>
    <col min="12" max="12" width="15.703125" style="52" customWidth="1"/>
    <col min="13" max="13" width="7.703125" style="52" customWidth="1"/>
    <col min="14" max="14" width="25" style="52" bestFit="1" customWidth="1"/>
    <col min="15" max="15" width="27" style="52" customWidth="1"/>
    <col min="16" max="16" width="28.703125" style="52" customWidth="1"/>
    <col min="17" max="17" width="23.5859375" style="52" bestFit="1" customWidth="1"/>
    <col min="18" max="99" width="7.703125" style="52" customWidth="1"/>
    <col min="100" max="16384" width="9.1171875" style="52"/>
  </cols>
  <sheetData>
    <row r="1" spans="1:17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7" ht="25.15" customHeight="1">
      <c r="A2" s="42" t="s">
        <v>2</v>
      </c>
      <c r="B2" s="33"/>
      <c r="C2" s="34"/>
      <c r="D2" s="11" t="s">
        <v>146</v>
      </c>
      <c r="E2" s="34"/>
      <c r="F2" s="12"/>
      <c r="G2" s="12"/>
      <c r="H2" s="12"/>
      <c r="I2" s="12"/>
      <c r="J2" s="13"/>
      <c r="K2" s="12"/>
      <c r="L2" s="14"/>
    </row>
    <row r="3" spans="1:17" ht="25.15" customHeight="1">
      <c r="A3" s="43" t="s">
        <v>147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7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7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7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7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7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</row>
    <row r="9" spans="1:17" s="32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403" t="s">
        <v>14</v>
      </c>
      <c r="L9" s="2442" t="s">
        <v>15</v>
      </c>
    </row>
    <row r="10" spans="1:17" s="32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9" t="s">
        <v>17</v>
      </c>
      <c r="I10" s="28" t="s">
        <v>16</v>
      </c>
      <c r="J10" s="29" t="s">
        <v>17</v>
      </c>
      <c r="K10" s="404" t="s">
        <v>18</v>
      </c>
      <c r="L10" s="2443"/>
    </row>
    <row r="11" spans="1:17" ht="24" customHeight="1">
      <c r="A11" s="405" t="s">
        <v>34</v>
      </c>
      <c r="B11" s="406" t="s">
        <v>131</v>
      </c>
      <c r="C11" s="121"/>
      <c r="D11" s="122"/>
      <c r="E11" s="123"/>
      <c r="F11" s="123"/>
      <c r="G11" s="407"/>
      <c r="H11" s="54"/>
      <c r="I11" s="55"/>
      <c r="J11" s="54"/>
      <c r="K11" s="56"/>
      <c r="L11" s="57"/>
    </row>
    <row r="12" spans="1:17" ht="24" customHeight="1">
      <c r="A12" s="361"/>
      <c r="B12" s="362"/>
      <c r="C12" s="124"/>
      <c r="D12" s="122"/>
      <c r="E12" s="123"/>
      <c r="F12" s="123"/>
      <c r="G12" s="407"/>
      <c r="H12" s="54"/>
      <c r="I12" s="55"/>
      <c r="J12" s="54"/>
      <c r="K12" s="56"/>
      <c r="L12" s="57"/>
    </row>
    <row r="13" spans="1:17" s="62" customFormat="1" ht="24" customHeight="1">
      <c r="A13" s="65">
        <f>A36</f>
        <v>1.1000000000000001</v>
      </c>
      <c r="B13" s="125" t="s">
        <v>148</v>
      </c>
      <c r="C13" s="63"/>
      <c r="D13" s="64"/>
      <c r="E13" s="71">
        <v>1</v>
      </c>
      <c r="F13" s="67" t="s">
        <v>19</v>
      </c>
      <c r="G13" s="408"/>
      <c r="H13" s="59">
        <f>ROUND(H110,2)</f>
        <v>8016574.0700000003</v>
      </c>
      <c r="I13" s="60"/>
      <c r="J13" s="59">
        <f>ROUND(J110,2)</f>
        <v>1407547.76</v>
      </c>
      <c r="K13" s="59">
        <f t="shared" ref="K13:K24" si="0">ROUND(H13+J13,2)</f>
        <v>9424121.8300000001</v>
      </c>
      <c r="L13" s="61"/>
    </row>
    <row r="14" spans="1:17" s="62" customFormat="1" ht="24" customHeight="1">
      <c r="A14" s="65">
        <f>+A111</f>
        <v>1.2</v>
      </c>
      <c r="B14" s="125" t="s">
        <v>169</v>
      </c>
      <c r="C14" s="63"/>
      <c r="D14" s="64"/>
      <c r="E14" s="71">
        <v>1</v>
      </c>
      <c r="F14" s="67" t="s">
        <v>19</v>
      </c>
      <c r="G14" s="58"/>
      <c r="H14" s="59">
        <f>ROUND(H235,2)</f>
        <v>19737655.920000002</v>
      </c>
      <c r="I14" s="60"/>
      <c r="J14" s="59">
        <f>ROUND(J235,2)</f>
        <v>3647329.23</v>
      </c>
      <c r="K14" s="59">
        <f t="shared" si="0"/>
        <v>23384985.149999999</v>
      </c>
      <c r="L14" s="61"/>
    </row>
    <row r="15" spans="1:17" s="62" customFormat="1" ht="24" customHeight="1">
      <c r="A15" s="65">
        <f>A236</f>
        <v>1.3</v>
      </c>
      <c r="B15" s="125" t="str">
        <f>B236</f>
        <v>งานโครงสร้าง คสล. ชั้นที่ 3</v>
      </c>
      <c r="C15" s="63"/>
      <c r="D15" s="64"/>
      <c r="E15" s="71">
        <v>1</v>
      </c>
      <c r="F15" s="67" t="s">
        <v>19</v>
      </c>
      <c r="G15" s="58"/>
      <c r="H15" s="59">
        <f>ROUND(H360,2)</f>
        <v>21888587.530000001</v>
      </c>
      <c r="I15" s="60"/>
      <c r="J15" s="59">
        <f>ROUND(J360,2)</f>
        <v>4065422.82</v>
      </c>
      <c r="K15" s="59">
        <f t="shared" si="0"/>
        <v>25954010.350000001</v>
      </c>
      <c r="L15" s="61"/>
      <c r="P15" s="62" t="s">
        <v>309</v>
      </c>
      <c r="Q15" s="62" t="s">
        <v>310</v>
      </c>
    </row>
    <row r="16" spans="1:17" s="62" customFormat="1" ht="24" customHeight="1">
      <c r="A16" s="65">
        <f>A361</f>
        <v>1.4</v>
      </c>
      <c r="B16" s="125" t="str">
        <f>B361</f>
        <v>งานโครงสร้าง คสล. ชั้นที่ 4</v>
      </c>
      <c r="C16" s="63"/>
      <c r="D16" s="64"/>
      <c r="E16" s="71">
        <v>1</v>
      </c>
      <c r="F16" s="67" t="s">
        <v>19</v>
      </c>
      <c r="G16" s="58"/>
      <c r="H16" s="59">
        <f>ROUND(H485,2)</f>
        <v>19599122.469999999</v>
      </c>
      <c r="I16" s="60"/>
      <c r="J16" s="59">
        <f>ROUND(J485,2)</f>
        <v>3651734.95</v>
      </c>
      <c r="K16" s="59">
        <f t="shared" si="0"/>
        <v>23250857.420000002</v>
      </c>
      <c r="L16" s="61"/>
      <c r="O16" s="474">
        <f>SUM(K13:K23)</f>
        <v>235928450.44</v>
      </c>
      <c r="P16" s="70">
        <v>569926000</v>
      </c>
      <c r="Q16" s="72">
        <f>P16-O18</f>
        <v>247009220.61432004</v>
      </c>
    </row>
    <row r="17" spans="1:16" s="62" customFormat="1" ht="24" customHeight="1">
      <c r="A17" s="65">
        <f>A486</f>
        <v>1.5</v>
      </c>
      <c r="B17" s="125" t="str">
        <f>B486</f>
        <v>งานโครงสร้าง คสล. ชั้นที่ 5</v>
      </c>
      <c r="C17" s="63"/>
      <c r="D17" s="64"/>
      <c r="E17" s="71">
        <v>1</v>
      </c>
      <c r="F17" s="67" t="s">
        <v>19</v>
      </c>
      <c r="G17" s="58"/>
      <c r="H17" s="59">
        <f>ROUND(H610,2)</f>
        <v>21739866.850000001</v>
      </c>
      <c r="I17" s="60"/>
      <c r="J17" s="59">
        <f>ROUND(J610,2)</f>
        <v>4052976.65</v>
      </c>
      <c r="K17" s="59">
        <f t="shared" si="0"/>
        <v>25792843.5</v>
      </c>
      <c r="L17" s="61"/>
      <c r="O17" s="72">
        <f>1.172*O16</f>
        <v>276508143.91567999</v>
      </c>
    </row>
    <row r="18" spans="1:16" s="62" customFormat="1" ht="24" customHeight="1">
      <c r="A18" s="65">
        <f>A611</f>
        <v>1.6</v>
      </c>
      <c r="B18" s="125" t="str">
        <f>B611</f>
        <v>งานโครงสร้าง คสล. ชั้นที่ 6 และ ชั้น 6 Mezzanine</v>
      </c>
      <c r="C18" s="63"/>
      <c r="D18" s="64"/>
      <c r="E18" s="71">
        <v>1</v>
      </c>
      <c r="F18" s="67" t="s">
        <v>19</v>
      </c>
      <c r="G18" s="58"/>
      <c r="H18" s="59">
        <f>ROUND(H785,2)</f>
        <v>27125428.640000001</v>
      </c>
      <c r="I18" s="60"/>
      <c r="J18" s="59">
        <f>ROUND(J785,2)</f>
        <v>5115739.87</v>
      </c>
      <c r="K18" s="59">
        <f t="shared" si="0"/>
        <v>32241168.510000002</v>
      </c>
      <c r="L18" s="61"/>
      <c r="O18" s="72">
        <f>O17+ปร.6!F33</f>
        <v>322916779.38567996</v>
      </c>
    </row>
    <row r="19" spans="1:16" s="62" customFormat="1" ht="24" customHeight="1">
      <c r="A19" s="65">
        <f>A786</f>
        <v>1.7</v>
      </c>
      <c r="B19" s="125" t="str">
        <f>B786</f>
        <v>งานโครงสร้าง คสล. ชั้นที่ 7</v>
      </c>
      <c r="C19" s="63"/>
      <c r="D19" s="64"/>
      <c r="E19" s="71">
        <v>1</v>
      </c>
      <c r="F19" s="67" t="s">
        <v>19</v>
      </c>
      <c r="G19" s="58"/>
      <c r="H19" s="59">
        <f>ROUND(H910,2)</f>
        <v>18806761.68</v>
      </c>
      <c r="I19" s="60"/>
      <c r="J19" s="59">
        <f>ROUND(J910,2)</f>
        <v>3546217.85</v>
      </c>
      <c r="K19" s="59">
        <f t="shared" si="0"/>
        <v>22352979.530000001</v>
      </c>
      <c r="L19" s="61"/>
    </row>
    <row r="20" spans="1:16" s="62" customFormat="1" ht="24" customHeight="1">
      <c r="A20" s="65">
        <f>A911</f>
        <v>1.8</v>
      </c>
      <c r="B20" s="125" t="str">
        <f>B911</f>
        <v>งานโครงสร้าง คสล. ชั้นที่ 8</v>
      </c>
      <c r="C20" s="63"/>
      <c r="D20" s="64"/>
      <c r="E20" s="71">
        <v>1</v>
      </c>
      <c r="F20" s="67" t="s">
        <v>19</v>
      </c>
      <c r="G20" s="58"/>
      <c r="H20" s="59">
        <f>ROUND(H1035,2)</f>
        <v>12686893.33</v>
      </c>
      <c r="I20" s="60"/>
      <c r="J20" s="59">
        <f>ROUND(J1035,2)</f>
        <v>2492458.14</v>
      </c>
      <c r="K20" s="59">
        <f t="shared" si="0"/>
        <v>15179351.470000001</v>
      </c>
      <c r="L20" s="61"/>
    </row>
    <row r="21" spans="1:16" s="62" customFormat="1" ht="24" customHeight="1">
      <c r="A21" s="409" t="str">
        <f>A1036</f>
        <v>1.9</v>
      </c>
      <c r="B21" s="125" t="str">
        <f>B1036</f>
        <v>งานโครงสร้าง คสล. ชั้นดาดฟ้า</v>
      </c>
      <c r="C21" s="63"/>
      <c r="D21" s="64"/>
      <c r="E21" s="71">
        <v>1</v>
      </c>
      <c r="F21" s="67" t="s">
        <v>19</v>
      </c>
      <c r="G21" s="58"/>
      <c r="H21" s="59">
        <f>ROUND(H1110,2)</f>
        <v>4892320.4400000004</v>
      </c>
      <c r="I21" s="60"/>
      <c r="J21" s="59">
        <f>ROUND(J1110,2)</f>
        <v>1009972.93</v>
      </c>
      <c r="K21" s="59">
        <f t="shared" si="0"/>
        <v>5902293.3700000001</v>
      </c>
      <c r="L21" s="61"/>
    </row>
    <row r="22" spans="1:16" s="62" customFormat="1" ht="24" customHeight="1">
      <c r="A22" s="409" t="str">
        <f>A1111</f>
        <v>1.10</v>
      </c>
      <c r="B22" s="125" t="str">
        <f>B1111</f>
        <v>งานโครงสร้าง คสล. ชั้นหลังคา</v>
      </c>
      <c r="C22" s="63"/>
      <c r="D22" s="64"/>
      <c r="E22" s="71">
        <v>1</v>
      </c>
      <c r="F22" s="67" t="s">
        <v>19</v>
      </c>
      <c r="G22" s="58"/>
      <c r="H22" s="59">
        <f>ROUND(H1160,2)</f>
        <v>570731.01</v>
      </c>
      <c r="I22" s="60"/>
      <c r="J22" s="59">
        <f>ROUND(J1160,2)</f>
        <v>125362.98</v>
      </c>
      <c r="K22" s="59">
        <f t="shared" si="0"/>
        <v>696093.99</v>
      </c>
      <c r="L22" s="61"/>
    </row>
    <row r="23" spans="1:16" s="62" customFormat="1" ht="24" customHeight="1">
      <c r="A23" s="409" t="str">
        <f>A1161</f>
        <v>1.11</v>
      </c>
      <c r="B23" s="125" t="str">
        <f>B1161</f>
        <v>งานโครงสร้างเหล็กรูปพรรณ (รวมค่าเชื่อมประกอบและการยกติดตั้ง)</v>
      </c>
      <c r="C23" s="63"/>
      <c r="D23" s="64"/>
      <c r="E23" s="71">
        <v>1</v>
      </c>
      <c r="F23" s="67" t="s">
        <v>19</v>
      </c>
      <c r="G23" s="58"/>
      <c r="H23" s="59">
        <f>ROUND(H1235,2)</f>
        <v>36960951.490000002</v>
      </c>
      <c r="I23" s="60"/>
      <c r="J23" s="59">
        <f>ROUND(J1235,2)</f>
        <v>14788793.83</v>
      </c>
      <c r="K23" s="59">
        <f t="shared" si="0"/>
        <v>51749745.32</v>
      </c>
      <c r="L23" s="61"/>
    </row>
    <row r="24" spans="1:16" s="62" customFormat="1" ht="24" customHeight="1">
      <c r="A24" s="409" t="str">
        <f>A1236</f>
        <v>1.12</v>
      </c>
      <c r="B24" s="125" t="str">
        <f>B1236</f>
        <v>งานโรงพักขยะ</v>
      </c>
      <c r="C24" s="63"/>
      <c r="D24" s="64"/>
      <c r="E24" s="71">
        <v>1</v>
      </c>
      <c r="F24" s="67" t="s">
        <v>19</v>
      </c>
      <c r="G24" s="58"/>
      <c r="H24" s="59">
        <f>ROUND(H1260,2)</f>
        <v>211599.06</v>
      </c>
      <c r="I24" s="60"/>
      <c r="J24" s="59">
        <f>ROUND(J1260,2)</f>
        <v>75865.75</v>
      </c>
      <c r="K24" s="59">
        <f t="shared" si="0"/>
        <v>287464.81</v>
      </c>
      <c r="L24" s="61"/>
    </row>
    <row r="25" spans="1:16" s="62" customFormat="1" ht="24" customHeight="1">
      <c r="A25" s="409"/>
      <c r="B25" s="66"/>
      <c r="C25" s="63"/>
      <c r="D25" s="64"/>
      <c r="E25" s="67"/>
      <c r="F25" s="67"/>
      <c r="G25" s="58"/>
      <c r="H25" s="59"/>
      <c r="I25" s="60"/>
      <c r="J25" s="59"/>
      <c r="K25" s="68"/>
      <c r="L25" s="61"/>
    </row>
    <row r="26" spans="1:16" s="62" customFormat="1" ht="24" customHeight="1">
      <c r="A26" s="409"/>
      <c r="B26" s="66"/>
      <c r="C26" s="63"/>
      <c r="D26" s="64"/>
      <c r="E26" s="67"/>
      <c r="F26" s="67"/>
      <c r="G26" s="58"/>
      <c r="H26" s="59"/>
      <c r="I26" s="60"/>
      <c r="J26" s="59"/>
      <c r="K26" s="68"/>
      <c r="L26" s="61"/>
    </row>
    <row r="27" spans="1:16" s="62" customFormat="1" ht="24" customHeight="1">
      <c r="A27" s="409"/>
      <c r="B27" s="66"/>
      <c r="C27" s="63"/>
      <c r="D27" s="64"/>
      <c r="E27" s="67"/>
      <c r="F27" s="67"/>
      <c r="G27" s="58"/>
      <c r="H27" s="59"/>
      <c r="I27" s="60"/>
      <c r="J27" s="59"/>
      <c r="K27" s="68"/>
      <c r="L27" s="61"/>
    </row>
    <row r="28" spans="1:16" s="62" customFormat="1" ht="24" customHeight="1">
      <c r="A28" s="409"/>
      <c r="B28" s="66"/>
      <c r="C28" s="63"/>
      <c r="D28" s="64"/>
      <c r="E28" s="67"/>
      <c r="F28" s="67"/>
      <c r="G28" s="58"/>
      <c r="H28" s="59"/>
      <c r="I28" s="60"/>
      <c r="J28" s="59"/>
      <c r="K28" s="68"/>
      <c r="L28" s="61"/>
    </row>
    <row r="29" spans="1:16" s="62" customFormat="1" ht="24" customHeight="1">
      <c r="A29" s="409"/>
      <c r="B29" s="66"/>
      <c r="C29" s="63"/>
      <c r="D29" s="64"/>
      <c r="E29" s="67"/>
      <c r="F29" s="67"/>
      <c r="G29" s="58"/>
      <c r="H29" s="59"/>
      <c r="I29" s="60"/>
      <c r="J29" s="59"/>
      <c r="K29" s="68"/>
      <c r="L29" s="61"/>
    </row>
    <row r="30" spans="1:16" s="62" customFormat="1" ht="24" customHeight="1">
      <c r="A30" s="69"/>
      <c r="B30" s="66"/>
      <c r="C30" s="63"/>
      <c r="D30" s="64"/>
      <c r="E30" s="67"/>
      <c r="F30" s="67"/>
      <c r="G30" s="58"/>
      <c r="H30" s="59"/>
      <c r="I30" s="60"/>
      <c r="J30" s="59"/>
      <c r="K30" s="68"/>
      <c r="L30" s="61"/>
      <c r="P30" s="70">
        <v>221439132.58000001</v>
      </c>
    </row>
    <row r="31" spans="1:16" s="62" customFormat="1" ht="24" customHeight="1">
      <c r="A31" s="71"/>
      <c r="B31" s="66"/>
      <c r="C31" s="63"/>
      <c r="D31" s="64"/>
      <c r="E31" s="67"/>
      <c r="F31" s="67"/>
      <c r="G31" s="58"/>
      <c r="H31" s="59"/>
      <c r="I31" s="60"/>
      <c r="J31" s="59"/>
      <c r="K31" s="68"/>
      <c r="L31" s="61"/>
    </row>
    <row r="32" spans="1:16" s="62" customFormat="1" ht="24" customHeight="1">
      <c r="A32" s="71"/>
      <c r="B32" s="66"/>
      <c r="C32" s="63"/>
      <c r="D32" s="64"/>
      <c r="E32" s="67"/>
      <c r="F32" s="67"/>
      <c r="G32" s="58"/>
      <c r="H32" s="59"/>
      <c r="I32" s="60"/>
      <c r="J32" s="59"/>
      <c r="K32" s="68"/>
      <c r="L32" s="61"/>
    </row>
    <row r="33" spans="1:21" s="62" customFormat="1" ht="24" customHeight="1">
      <c r="A33" s="71"/>
      <c r="B33" s="66"/>
      <c r="C33" s="63"/>
      <c r="D33" s="64"/>
      <c r="E33" s="67"/>
      <c r="F33" s="67"/>
      <c r="G33" s="58"/>
      <c r="H33" s="59"/>
      <c r="I33" s="60"/>
      <c r="J33" s="59"/>
      <c r="K33" s="68"/>
      <c r="L33" s="61"/>
      <c r="P33" s="72"/>
    </row>
    <row r="34" spans="1:21" s="62" customFormat="1" ht="24" customHeight="1">
      <c r="A34" s="73"/>
      <c r="B34" s="74"/>
      <c r="D34" s="75"/>
      <c r="E34" s="76"/>
      <c r="F34" s="76"/>
      <c r="G34" s="77"/>
      <c r="H34" s="78"/>
      <c r="I34" s="79"/>
      <c r="J34" s="78"/>
      <c r="K34" s="80"/>
      <c r="L34" s="81"/>
      <c r="N34" s="70"/>
      <c r="P34" s="72"/>
    </row>
    <row r="35" spans="1:21" s="62" customFormat="1" ht="24" customHeight="1">
      <c r="A35" s="82"/>
      <c r="B35" s="2444" t="str">
        <f>"รวมราคา"&amp;B11</f>
        <v>รวมราคางานโครงสร้าง</v>
      </c>
      <c r="C35" s="2444"/>
      <c r="D35" s="2444"/>
      <c r="E35" s="83"/>
      <c r="F35" s="84"/>
      <c r="G35" s="85"/>
      <c r="H35" s="86">
        <f>ROUND(SUM(H13:H34),2)</f>
        <v>192236492.49000001</v>
      </c>
      <c r="I35" s="86"/>
      <c r="J35" s="86">
        <f>ROUND(SUM(J13:J34),2)</f>
        <v>43979422.759999998</v>
      </c>
      <c r="K35" s="86">
        <f>ROUND(SUM(K13:K34),2)</f>
        <v>236215915.25</v>
      </c>
      <c r="L35" s="86"/>
      <c r="M35" s="87"/>
      <c r="N35" s="410">
        <f>K35*1.172</f>
        <v>276845052.67299998</v>
      </c>
      <c r="O35" s="410">
        <f>N35+ปร.6!F33</f>
        <v>323253688.14300001</v>
      </c>
      <c r="P35" s="410"/>
      <c r="Q35" s="87"/>
      <c r="R35" s="87"/>
      <c r="S35" s="87"/>
      <c r="T35" s="87"/>
      <c r="U35" s="87"/>
    </row>
    <row r="36" spans="1:21" s="62" customFormat="1" ht="24" customHeight="1">
      <c r="A36" s="90">
        <v>1.1000000000000001</v>
      </c>
      <c r="B36" s="411" t="s">
        <v>148</v>
      </c>
      <c r="C36" s="412"/>
      <c r="D36" s="412"/>
      <c r="E36" s="413"/>
      <c r="F36" s="414"/>
      <c r="G36" s="415"/>
      <c r="H36" s="416"/>
      <c r="I36" s="417"/>
      <c r="J36" s="416"/>
      <c r="K36" s="418"/>
      <c r="L36" s="419"/>
      <c r="M36" s="87"/>
      <c r="N36" s="410"/>
      <c r="O36" s="87"/>
      <c r="P36" s="87"/>
      <c r="Q36" s="87"/>
      <c r="R36" s="87"/>
      <c r="S36" s="87"/>
      <c r="T36" s="87"/>
      <c r="U36" s="87"/>
    </row>
    <row r="37" spans="1:21" s="62" customFormat="1" ht="24" customHeight="1">
      <c r="A37" s="67"/>
      <c r="B37" s="117"/>
      <c r="C37" s="117"/>
      <c r="D37" s="117"/>
      <c r="E37" s="118"/>
      <c r="F37" s="119"/>
      <c r="G37" s="113"/>
      <c r="H37" s="59"/>
      <c r="I37" s="114"/>
      <c r="J37" s="59"/>
      <c r="K37" s="60"/>
      <c r="L37" s="92"/>
      <c r="M37" s="87"/>
      <c r="N37" s="87"/>
      <c r="O37" s="87"/>
      <c r="P37" s="87"/>
      <c r="Q37" s="87"/>
      <c r="R37" s="87"/>
      <c r="S37" s="87"/>
      <c r="T37" s="87"/>
      <c r="U37" s="87"/>
    </row>
    <row r="38" spans="1:21" s="62" customFormat="1" ht="24" customHeight="1">
      <c r="A38" s="90" t="s">
        <v>36</v>
      </c>
      <c r="B38" s="411" t="s">
        <v>149</v>
      </c>
      <c r="C38" s="420"/>
      <c r="D38" s="421"/>
      <c r="E38" s="118"/>
      <c r="F38" s="94"/>
      <c r="G38" s="113"/>
      <c r="H38" s="59"/>
      <c r="I38" s="114"/>
      <c r="J38" s="59"/>
      <c r="K38" s="60"/>
      <c r="L38" s="92"/>
      <c r="M38" s="87"/>
      <c r="N38" s="87"/>
      <c r="O38" s="87"/>
      <c r="P38" s="1714"/>
      <c r="Q38" s="87"/>
      <c r="R38" s="87"/>
      <c r="S38" s="87"/>
      <c r="T38" s="87"/>
      <c r="U38" s="87"/>
    </row>
    <row r="39" spans="1:21" s="62" customFormat="1" ht="24" customHeight="1">
      <c r="A39" s="422"/>
      <c r="B39" s="423" t="s">
        <v>150</v>
      </c>
      <c r="C39" s="424"/>
      <c r="D39" s="424"/>
      <c r="E39" s="425">
        <v>327.13</v>
      </c>
      <c r="F39" s="94" t="s">
        <v>151</v>
      </c>
      <c r="G39" s="113">
        <v>2516</v>
      </c>
      <c r="H39" s="59">
        <f>ROUND(E39*G39,2)</f>
        <v>823059.08</v>
      </c>
      <c r="I39" s="114">
        <v>485</v>
      </c>
      <c r="J39" s="59">
        <f>ROUND(E39*I39,2)</f>
        <v>158658.04999999999</v>
      </c>
      <c r="K39" s="60">
        <f t="shared" ref="K39:K53" si="1">H39+J39</f>
        <v>981717.12999999989</v>
      </c>
      <c r="L39" s="92"/>
      <c r="M39" s="87"/>
      <c r="N39" s="87"/>
      <c r="O39" s="410"/>
      <c r="P39" s="87"/>
      <c r="Q39" s="87"/>
      <c r="R39" s="87"/>
      <c r="S39" s="87"/>
      <c r="T39" s="87"/>
      <c r="U39" s="87"/>
    </row>
    <row r="40" spans="1:21" s="62" customFormat="1" ht="24" customHeight="1">
      <c r="A40" s="422"/>
      <c r="B40" s="426" t="s">
        <v>152</v>
      </c>
      <c r="C40" s="423"/>
      <c r="D40" s="423"/>
      <c r="E40" s="425"/>
      <c r="F40" s="94"/>
      <c r="G40" s="113"/>
      <c r="H40" s="59">
        <f t="shared" ref="H40:H53" si="2">ROUND(E40*G40,2)</f>
        <v>0</v>
      </c>
      <c r="I40" s="114"/>
      <c r="J40" s="59">
        <f t="shared" ref="J40:J53" si="3">ROUND(E40*I40,2)</f>
        <v>0</v>
      </c>
      <c r="K40" s="60">
        <f t="shared" si="1"/>
        <v>0</v>
      </c>
      <c r="L40" s="92"/>
      <c r="M40" s="87"/>
      <c r="N40" s="87"/>
      <c r="O40" s="87"/>
      <c r="P40" s="87"/>
      <c r="Q40" s="87"/>
      <c r="R40" s="87"/>
      <c r="S40" s="87"/>
      <c r="T40" s="87"/>
      <c r="U40" s="87"/>
    </row>
    <row r="41" spans="1:21" s="62" customFormat="1" ht="24" customHeight="1">
      <c r="A41" s="422"/>
      <c r="B41" s="426"/>
      <c r="C41" s="423" t="s">
        <v>153</v>
      </c>
      <c r="D41" s="423"/>
      <c r="E41" s="425">
        <f>E42/2</f>
        <v>649.49</v>
      </c>
      <c r="F41" s="94" t="s">
        <v>37</v>
      </c>
      <c r="G41" s="113">
        <v>661.62</v>
      </c>
      <c r="H41" s="59">
        <f t="shared" si="2"/>
        <v>429715.57</v>
      </c>
      <c r="I41" s="114"/>
      <c r="J41" s="59">
        <f t="shared" si="3"/>
        <v>0</v>
      </c>
      <c r="K41" s="60">
        <f t="shared" si="1"/>
        <v>429715.57</v>
      </c>
      <c r="L41" s="92"/>
      <c r="M41" s="87"/>
      <c r="N41" s="87"/>
      <c r="O41" s="87"/>
      <c r="P41" s="87"/>
      <c r="Q41" s="87"/>
      <c r="R41" s="87"/>
      <c r="S41" s="87"/>
      <c r="T41" s="87"/>
      <c r="U41" s="87"/>
    </row>
    <row r="42" spans="1:21" s="62" customFormat="1" ht="24" customHeight="1">
      <c r="A42" s="422"/>
      <c r="B42" s="426"/>
      <c r="C42" s="423" t="s">
        <v>154</v>
      </c>
      <c r="D42" s="423"/>
      <c r="E42" s="425">
        <v>1298.98</v>
      </c>
      <c r="F42" s="94" t="s">
        <v>37</v>
      </c>
      <c r="G42" s="113"/>
      <c r="H42" s="59">
        <f t="shared" si="2"/>
        <v>0</v>
      </c>
      <c r="I42" s="114">
        <v>154</v>
      </c>
      <c r="J42" s="59">
        <f t="shared" si="3"/>
        <v>200042.92</v>
      </c>
      <c r="K42" s="60">
        <f t="shared" si="1"/>
        <v>200042.92</v>
      </c>
      <c r="L42" s="92"/>
      <c r="M42" s="87"/>
      <c r="N42" s="87"/>
      <c r="O42" s="87"/>
      <c r="P42" s="87"/>
      <c r="Q42" s="87"/>
      <c r="R42" s="87"/>
      <c r="S42" s="87"/>
      <c r="T42" s="87"/>
      <c r="U42" s="87"/>
    </row>
    <row r="43" spans="1:21" s="62" customFormat="1" ht="24" customHeight="1">
      <c r="A43" s="422"/>
      <c r="B43" s="423" t="s">
        <v>155</v>
      </c>
      <c r="C43" s="423"/>
      <c r="D43" s="423"/>
      <c r="E43" s="425">
        <f>(E42*0.25)</f>
        <v>324.745</v>
      </c>
      <c r="F43" s="94" t="s">
        <v>156</v>
      </c>
      <c r="G43" s="113">
        <f>VLOOKUP(B43,$N$43:$O$53,2,FALSE)</f>
        <v>29.94</v>
      </c>
      <c r="H43" s="59">
        <f t="shared" si="2"/>
        <v>9722.8700000000008</v>
      </c>
      <c r="I43" s="114"/>
      <c r="J43" s="59">
        <f t="shared" si="3"/>
        <v>0</v>
      </c>
      <c r="K43" s="60">
        <f t="shared" si="1"/>
        <v>9722.8700000000008</v>
      </c>
      <c r="L43" s="427"/>
      <c r="M43" s="87"/>
      <c r="N43" s="423" t="s">
        <v>155</v>
      </c>
      <c r="O43" s="113">
        <v>29.94</v>
      </c>
      <c r="P43" s="87"/>
      <c r="Q43" s="423"/>
      <c r="R43" s="87"/>
      <c r="S43" s="87"/>
      <c r="T43" s="87"/>
      <c r="U43" s="87"/>
    </row>
    <row r="44" spans="1:21" s="62" customFormat="1" ht="24" customHeight="1">
      <c r="A44" s="422"/>
      <c r="B44" s="428" t="s">
        <v>157</v>
      </c>
      <c r="C44" s="428"/>
      <c r="D44" s="428"/>
      <c r="E44" s="425"/>
      <c r="F44" s="115"/>
      <c r="G44" s="101"/>
      <c r="H44" s="59">
        <f t="shared" si="2"/>
        <v>0</v>
      </c>
      <c r="I44" s="103"/>
      <c r="J44" s="59">
        <f t="shared" si="3"/>
        <v>0</v>
      </c>
      <c r="K44" s="60">
        <f t="shared" si="1"/>
        <v>0</v>
      </c>
      <c r="L44" s="92"/>
      <c r="M44" s="87"/>
      <c r="N44" s="423" t="s">
        <v>158</v>
      </c>
      <c r="O44" s="101">
        <v>25.73</v>
      </c>
      <c r="P44" s="87"/>
      <c r="Q44" s="423"/>
      <c r="R44" s="87"/>
      <c r="S44" s="87"/>
      <c r="T44" s="87"/>
      <c r="U44" s="87"/>
    </row>
    <row r="45" spans="1:21" s="62" customFormat="1" ht="24" customHeight="1">
      <c r="A45" s="422"/>
      <c r="B45" s="423" t="s">
        <v>158</v>
      </c>
      <c r="C45" s="423"/>
      <c r="D45" s="423"/>
      <c r="E45" s="425"/>
      <c r="F45" s="94" t="s">
        <v>156</v>
      </c>
      <c r="G45" s="113">
        <f>VLOOKUP(B45,$N$43:$O$53,2,FALSE)</f>
        <v>25.73</v>
      </c>
      <c r="H45" s="59">
        <f t="shared" si="2"/>
        <v>0</v>
      </c>
      <c r="I45" s="103">
        <v>4.0999999999999996</v>
      </c>
      <c r="J45" s="59">
        <f t="shared" si="3"/>
        <v>0</v>
      </c>
      <c r="K45" s="60">
        <f t="shared" si="1"/>
        <v>0</v>
      </c>
      <c r="L45" s="427"/>
      <c r="M45" s="87"/>
      <c r="N45" s="423" t="s">
        <v>159</v>
      </c>
      <c r="O45" s="113">
        <v>24.97</v>
      </c>
      <c r="P45" s="87"/>
      <c r="Q45" s="423"/>
      <c r="R45" s="87"/>
      <c r="S45" s="87"/>
      <c r="T45" s="87"/>
      <c r="U45" s="87"/>
    </row>
    <row r="46" spans="1:21" s="62" customFormat="1" ht="24" customHeight="1">
      <c r="A46" s="422"/>
      <c r="B46" s="423" t="s">
        <v>159</v>
      </c>
      <c r="C46" s="423"/>
      <c r="D46" s="423"/>
      <c r="E46" s="425">
        <v>6.95</v>
      </c>
      <c r="F46" s="94" t="s">
        <v>156</v>
      </c>
      <c r="G46" s="113">
        <f t="shared" ref="G46:G52" si="4">VLOOKUP(B46,$N$43:$O$53,2,FALSE)</f>
        <v>24.97</v>
      </c>
      <c r="H46" s="59">
        <f t="shared" si="2"/>
        <v>173.54</v>
      </c>
      <c r="I46" s="114">
        <v>4.0999999999999996</v>
      </c>
      <c r="J46" s="59">
        <f t="shared" si="3"/>
        <v>28.5</v>
      </c>
      <c r="K46" s="60">
        <f t="shared" si="1"/>
        <v>202.04</v>
      </c>
      <c r="L46" s="92"/>
      <c r="M46" s="87"/>
      <c r="N46" s="423" t="s">
        <v>362</v>
      </c>
      <c r="O46" s="410">
        <v>24.67</v>
      </c>
      <c r="P46" s="87"/>
      <c r="Q46" s="423"/>
      <c r="R46" s="87"/>
      <c r="S46" s="87"/>
      <c r="T46" s="87"/>
      <c r="U46" s="87"/>
    </row>
    <row r="47" spans="1:21" s="62" customFormat="1" ht="24" customHeight="1">
      <c r="A47" s="422"/>
      <c r="B47" s="423" t="s">
        <v>160</v>
      </c>
      <c r="C47" s="423"/>
      <c r="D47" s="423"/>
      <c r="E47" s="425">
        <v>22409.78</v>
      </c>
      <c r="F47" s="94" t="s">
        <v>156</v>
      </c>
      <c r="G47" s="113">
        <f t="shared" si="4"/>
        <v>24.47</v>
      </c>
      <c r="H47" s="59">
        <f t="shared" si="2"/>
        <v>548367.31999999995</v>
      </c>
      <c r="I47" s="114">
        <v>3.3</v>
      </c>
      <c r="J47" s="59">
        <f t="shared" si="3"/>
        <v>73952.27</v>
      </c>
      <c r="K47" s="60">
        <f t="shared" si="1"/>
        <v>622319.59</v>
      </c>
      <c r="L47" s="92"/>
      <c r="M47" s="87"/>
      <c r="N47" s="423" t="s">
        <v>328</v>
      </c>
      <c r="O47" s="410">
        <v>23.5</v>
      </c>
      <c r="P47" s="87"/>
      <c r="Q47" s="423"/>
      <c r="R47" s="87"/>
      <c r="S47" s="87"/>
      <c r="T47" s="87"/>
      <c r="U47" s="87"/>
    </row>
    <row r="48" spans="1:21" s="62" customFormat="1" ht="24" customHeight="1">
      <c r="A48" s="422"/>
      <c r="B48" s="428" t="s">
        <v>161</v>
      </c>
      <c r="C48" s="428"/>
      <c r="D48" s="428"/>
      <c r="E48" s="425">
        <v>20</v>
      </c>
      <c r="F48" s="115" t="s">
        <v>156</v>
      </c>
      <c r="G48" s="113">
        <f t="shared" si="4"/>
        <v>24.27</v>
      </c>
      <c r="H48" s="59">
        <f t="shared" si="2"/>
        <v>485.4</v>
      </c>
      <c r="I48" s="114">
        <v>3.3</v>
      </c>
      <c r="J48" s="59">
        <f t="shared" si="3"/>
        <v>66</v>
      </c>
      <c r="K48" s="60">
        <f t="shared" si="1"/>
        <v>551.4</v>
      </c>
      <c r="L48" s="92"/>
      <c r="M48" s="87"/>
      <c r="N48" s="423" t="s">
        <v>160</v>
      </c>
      <c r="O48" s="113">
        <v>24.47</v>
      </c>
      <c r="P48" s="87"/>
      <c r="Q48" s="428"/>
      <c r="R48" s="87"/>
      <c r="S48" s="87"/>
      <c r="T48" s="87"/>
      <c r="U48" s="87"/>
    </row>
    <row r="49" spans="1:21" s="62" customFormat="1" ht="24" customHeight="1">
      <c r="A49" s="422"/>
      <c r="B49" s="423" t="s">
        <v>162</v>
      </c>
      <c r="C49" s="423"/>
      <c r="D49" s="423"/>
      <c r="E49" s="425">
        <v>933.35</v>
      </c>
      <c r="F49" s="94" t="s">
        <v>156</v>
      </c>
      <c r="G49" s="113">
        <f t="shared" si="4"/>
        <v>24.27</v>
      </c>
      <c r="H49" s="59">
        <f t="shared" si="2"/>
        <v>22652.400000000001</v>
      </c>
      <c r="I49" s="114">
        <v>2.9</v>
      </c>
      <c r="J49" s="59">
        <f t="shared" si="3"/>
        <v>2706.72</v>
      </c>
      <c r="K49" s="60">
        <f t="shared" si="1"/>
        <v>25359.120000000003</v>
      </c>
      <c r="L49" s="92"/>
      <c r="M49" s="87"/>
      <c r="N49" s="428" t="s">
        <v>161</v>
      </c>
      <c r="O49" s="113">
        <v>24.27</v>
      </c>
      <c r="P49" s="87"/>
      <c r="Q49" s="423"/>
      <c r="R49" s="87"/>
      <c r="S49" s="87"/>
      <c r="T49" s="87"/>
      <c r="U49" s="87"/>
    </row>
    <row r="50" spans="1:21" s="62" customFormat="1" ht="24" customHeight="1">
      <c r="A50" s="422"/>
      <c r="B50" s="423" t="s">
        <v>163</v>
      </c>
      <c r="C50" s="423"/>
      <c r="D50" s="423"/>
      <c r="E50" s="425">
        <v>8748.74</v>
      </c>
      <c r="F50" s="94" t="s">
        <v>156</v>
      </c>
      <c r="G50" s="113">
        <f t="shared" si="4"/>
        <v>24.27</v>
      </c>
      <c r="H50" s="59">
        <f t="shared" si="2"/>
        <v>212331.92</v>
      </c>
      <c r="I50" s="114">
        <v>2.9</v>
      </c>
      <c r="J50" s="59">
        <f t="shared" si="3"/>
        <v>25371.35</v>
      </c>
      <c r="K50" s="60">
        <f t="shared" si="1"/>
        <v>237703.27000000002</v>
      </c>
      <c r="L50" s="92"/>
      <c r="M50" s="87"/>
      <c r="N50" s="423" t="s">
        <v>162</v>
      </c>
      <c r="O50" s="113">
        <v>24.27</v>
      </c>
      <c r="P50" s="87"/>
      <c r="Q50" s="423"/>
      <c r="R50" s="87"/>
      <c r="S50" s="87"/>
      <c r="T50" s="87"/>
      <c r="U50" s="87"/>
    </row>
    <row r="51" spans="1:21" s="62" customFormat="1" ht="24" customHeight="1">
      <c r="A51" s="422"/>
      <c r="B51" s="423" t="s">
        <v>164</v>
      </c>
      <c r="C51" s="423"/>
      <c r="D51" s="423"/>
      <c r="E51" s="425">
        <v>70413.289999999994</v>
      </c>
      <c r="F51" s="94" t="s">
        <v>156</v>
      </c>
      <c r="G51" s="113">
        <f t="shared" si="4"/>
        <v>24.27</v>
      </c>
      <c r="H51" s="59">
        <f t="shared" si="2"/>
        <v>1708930.55</v>
      </c>
      <c r="I51" s="114">
        <v>2.9</v>
      </c>
      <c r="J51" s="59">
        <f t="shared" si="3"/>
        <v>204198.54</v>
      </c>
      <c r="K51" s="60">
        <f t="shared" si="1"/>
        <v>1913129.09</v>
      </c>
      <c r="L51" s="92"/>
      <c r="M51" s="87"/>
      <c r="N51" s="423" t="s">
        <v>163</v>
      </c>
      <c r="O51" s="113">
        <v>24.27</v>
      </c>
      <c r="P51" s="87"/>
      <c r="Q51" s="423"/>
      <c r="R51" s="87"/>
      <c r="S51" s="87"/>
      <c r="T51" s="87"/>
      <c r="U51" s="87"/>
    </row>
    <row r="52" spans="1:21" s="62" customFormat="1" ht="24" customHeight="1">
      <c r="A52" s="422"/>
      <c r="B52" s="423" t="s">
        <v>165</v>
      </c>
      <c r="C52" s="423"/>
      <c r="D52" s="423"/>
      <c r="E52" s="425"/>
      <c r="F52" s="94" t="s">
        <v>156</v>
      </c>
      <c r="G52" s="113">
        <f t="shared" si="4"/>
        <v>23.8</v>
      </c>
      <c r="H52" s="59">
        <f t="shared" si="2"/>
        <v>0</v>
      </c>
      <c r="I52" s="114">
        <v>2.9</v>
      </c>
      <c r="J52" s="59">
        <f t="shared" si="3"/>
        <v>0</v>
      </c>
      <c r="K52" s="60">
        <f t="shared" si="1"/>
        <v>0</v>
      </c>
      <c r="L52" s="92"/>
      <c r="M52" s="87"/>
      <c r="N52" s="423" t="s">
        <v>164</v>
      </c>
      <c r="O52" s="113">
        <v>24.27</v>
      </c>
      <c r="P52" s="87"/>
      <c r="Q52" s="423"/>
      <c r="R52" s="87"/>
      <c r="S52" s="87"/>
      <c r="T52" s="87"/>
      <c r="U52" s="87"/>
    </row>
    <row r="53" spans="1:21" s="62" customFormat="1" ht="24" customHeight="1">
      <c r="A53" s="422"/>
      <c r="B53" s="423" t="s">
        <v>166</v>
      </c>
      <c r="C53" s="423"/>
      <c r="D53" s="423"/>
      <c r="E53" s="425">
        <f>(SUM(E45:E52)/1000)*30</f>
        <v>3075.9632999999994</v>
      </c>
      <c r="F53" s="94" t="s">
        <v>156</v>
      </c>
      <c r="G53" s="113">
        <f>VLOOKUP(B53,$N$43:$O$54,2,FALSE)</f>
        <v>29.92</v>
      </c>
      <c r="H53" s="59">
        <f t="shared" si="2"/>
        <v>92032.82</v>
      </c>
      <c r="I53" s="114"/>
      <c r="J53" s="59">
        <f t="shared" si="3"/>
        <v>0</v>
      </c>
      <c r="K53" s="60">
        <f t="shared" si="1"/>
        <v>92032.82</v>
      </c>
      <c r="L53" s="92"/>
      <c r="M53" s="87"/>
      <c r="N53" s="423" t="s">
        <v>165</v>
      </c>
      <c r="O53" s="113">
        <v>23.8</v>
      </c>
      <c r="P53" s="87"/>
      <c r="Q53" s="423"/>
      <c r="R53" s="87"/>
      <c r="S53" s="87"/>
      <c r="T53" s="87"/>
      <c r="U53" s="87"/>
    </row>
    <row r="54" spans="1:21" s="62" customFormat="1" ht="24" customHeight="1">
      <c r="A54" s="422"/>
      <c r="B54" s="423" t="s">
        <v>167</v>
      </c>
      <c r="C54" s="423"/>
      <c r="D54" s="423"/>
      <c r="E54" s="425"/>
      <c r="F54" s="94"/>
      <c r="G54" s="113"/>
      <c r="H54" s="59"/>
      <c r="I54" s="114"/>
      <c r="J54" s="59"/>
      <c r="K54" s="60"/>
      <c r="L54" s="92"/>
      <c r="M54" s="87"/>
      <c r="N54" s="423" t="s">
        <v>166</v>
      </c>
      <c r="O54" s="113">
        <v>29.92</v>
      </c>
      <c r="P54" s="87"/>
      <c r="Q54" s="87"/>
      <c r="R54" s="87"/>
      <c r="S54" s="87"/>
      <c r="T54" s="87"/>
      <c r="U54" s="87"/>
    </row>
    <row r="55" spans="1:21" s="62" customFormat="1" ht="24" customHeight="1">
      <c r="A55" s="93"/>
      <c r="B55" s="423"/>
      <c r="C55" s="423"/>
      <c r="D55" s="423"/>
      <c r="E55" s="425"/>
      <c r="F55" s="94"/>
      <c r="G55" s="113"/>
      <c r="H55" s="59"/>
      <c r="I55" s="114"/>
      <c r="J55" s="59">
        <f t="shared" ref="J55" si="5">E55*I55</f>
        <v>0</v>
      </c>
      <c r="K55" s="60">
        <f t="shared" ref="K55" si="6">H55+J55</f>
        <v>0</v>
      </c>
      <c r="L55" s="92"/>
      <c r="M55" s="87"/>
      <c r="N55" s="410"/>
      <c r="O55" s="410"/>
      <c r="P55" s="87"/>
      <c r="Q55" s="87"/>
      <c r="R55" s="87"/>
      <c r="S55" s="87"/>
      <c r="T55" s="87"/>
      <c r="U55" s="87"/>
    </row>
    <row r="56" spans="1:21" s="62" customFormat="1" ht="24" customHeight="1">
      <c r="A56" s="93"/>
      <c r="B56" s="423"/>
      <c r="C56" s="423"/>
      <c r="D56" s="423"/>
      <c r="E56" s="425"/>
      <c r="F56" s="94"/>
      <c r="G56" s="113"/>
      <c r="H56" s="59"/>
      <c r="I56" s="114"/>
      <c r="J56" s="59"/>
      <c r="K56" s="60"/>
      <c r="L56" s="92"/>
      <c r="M56" s="87"/>
      <c r="N56" s="410"/>
      <c r="O56" s="410"/>
      <c r="P56" s="87"/>
      <c r="Q56" s="87"/>
      <c r="R56" s="87"/>
      <c r="S56" s="87"/>
      <c r="T56" s="87"/>
      <c r="U56" s="87"/>
    </row>
    <row r="57" spans="1:21" s="62" customFormat="1" ht="24" customHeight="1">
      <c r="A57" s="422"/>
      <c r="B57" s="423"/>
      <c r="C57" s="423"/>
      <c r="D57" s="423"/>
      <c r="E57" s="429"/>
      <c r="F57" s="94"/>
      <c r="G57" s="113"/>
      <c r="H57" s="59"/>
      <c r="I57" s="114"/>
      <c r="J57" s="59"/>
      <c r="K57" s="60"/>
      <c r="L57" s="92"/>
      <c r="M57" s="87"/>
      <c r="N57" s="410"/>
      <c r="O57" s="410"/>
      <c r="P57" s="87"/>
      <c r="Q57" s="87"/>
      <c r="R57" s="87"/>
      <c r="S57" s="87"/>
      <c r="T57" s="87"/>
      <c r="U57" s="87"/>
    </row>
    <row r="58" spans="1:21" s="62" customFormat="1" ht="24" customHeight="1">
      <c r="A58" s="97"/>
      <c r="B58" s="430"/>
      <c r="C58" s="430"/>
      <c r="D58" s="430"/>
      <c r="E58" s="431"/>
      <c r="F58" s="432"/>
      <c r="G58" s="101"/>
      <c r="H58" s="102"/>
      <c r="I58" s="103"/>
      <c r="J58" s="102"/>
      <c r="K58" s="104"/>
      <c r="L58" s="433"/>
      <c r="M58" s="87"/>
      <c r="N58" s="410"/>
      <c r="O58" s="410"/>
      <c r="P58" s="87"/>
      <c r="Q58" s="87"/>
      <c r="R58" s="87"/>
      <c r="S58" s="87"/>
      <c r="T58" s="87"/>
      <c r="U58" s="87"/>
    </row>
    <row r="59" spans="1:21" s="62" customFormat="1" ht="24" customHeight="1">
      <c r="A59" s="97"/>
      <c r="B59" s="98"/>
      <c r="C59" s="98"/>
      <c r="D59" s="98"/>
      <c r="E59" s="99"/>
      <c r="F59" s="100"/>
      <c r="G59" s="101"/>
      <c r="H59" s="102"/>
      <c r="I59" s="103"/>
      <c r="J59" s="102"/>
      <c r="K59" s="104"/>
      <c r="L59" s="105"/>
      <c r="M59" s="87"/>
      <c r="N59" s="410"/>
      <c r="O59" s="410"/>
      <c r="P59" s="87"/>
      <c r="Q59" s="87"/>
      <c r="R59" s="87"/>
      <c r="S59" s="87"/>
      <c r="T59" s="87"/>
      <c r="U59" s="87"/>
    </row>
    <row r="60" spans="1:21" s="62" customFormat="1" ht="24" customHeight="1">
      <c r="A60" s="116"/>
      <c r="B60" s="434"/>
      <c r="C60" s="117"/>
      <c r="D60" s="117"/>
      <c r="E60" s="118"/>
      <c r="F60" s="119"/>
      <c r="G60" s="113"/>
      <c r="H60" s="59"/>
      <c r="I60" s="114"/>
      <c r="J60" s="59"/>
      <c r="K60" s="60"/>
      <c r="L60" s="96"/>
      <c r="M60" s="87"/>
      <c r="N60" s="410"/>
      <c r="O60" s="410"/>
      <c r="P60" s="87"/>
      <c r="Q60" s="87"/>
      <c r="R60" s="87"/>
      <c r="S60" s="87"/>
      <c r="T60" s="87"/>
      <c r="U60" s="87"/>
    </row>
    <row r="61" spans="1:21" s="62" customFormat="1" ht="24" customHeight="1">
      <c r="A61" s="90" t="s">
        <v>38</v>
      </c>
      <c r="B61" s="411" t="s">
        <v>225</v>
      </c>
      <c r="C61" s="435"/>
      <c r="D61" s="436"/>
      <c r="E61" s="437"/>
      <c r="F61" s="414"/>
      <c r="G61" s="415"/>
      <c r="H61" s="416"/>
      <c r="I61" s="417"/>
      <c r="J61" s="416"/>
      <c r="K61" s="418"/>
      <c r="L61" s="89"/>
      <c r="M61" s="87"/>
      <c r="N61" s="410"/>
      <c r="O61" s="410"/>
      <c r="P61" s="87"/>
      <c r="Q61" s="87"/>
      <c r="R61" s="87"/>
      <c r="S61" s="87"/>
      <c r="T61" s="87"/>
      <c r="U61" s="87"/>
    </row>
    <row r="62" spans="1:21" s="62" customFormat="1" ht="24" customHeight="1">
      <c r="A62" s="422"/>
      <c r="B62" s="423" t="s">
        <v>150</v>
      </c>
      <c r="C62" s="424"/>
      <c r="D62" s="424"/>
      <c r="E62" s="425">
        <v>220.16</v>
      </c>
      <c r="F62" s="94" t="s">
        <v>151</v>
      </c>
      <c r="G62" s="113">
        <v>2516</v>
      </c>
      <c r="H62" s="59">
        <f t="shared" ref="H62:H76" si="7">ROUND(E62*G62,2)</f>
        <v>553922.56000000006</v>
      </c>
      <c r="I62" s="114">
        <v>485</v>
      </c>
      <c r="J62" s="59">
        <f t="shared" ref="J62:J76" si="8">ROUND(E62*I62,2)</f>
        <v>106777.60000000001</v>
      </c>
      <c r="K62" s="60">
        <f t="shared" ref="K62:K76" si="9">H62+J62</f>
        <v>660700.16000000003</v>
      </c>
      <c r="L62" s="92"/>
      <c r="M62" s="87"/>
      <c r="N62" s="410"/>
      <c r="O62" s="410"/>
      <c r="P62" s="87"/>
      <c r="Q62" s="87"/>
      <c r="R62" s="87"/>
      <c r="S62" s="87"/>
      <c r="T62" s="87"/>
      <c r="U62" s="87"/>
    </row>
    <row r="63" spans="1:21" s="62" customFormat="1" ht="24" customHeight="1">
      <c r="A63" s="422"/>
      <c r="B63" s="426" t="s">
        <v>152</v>
      </c>
      <c r="C63" s="423"/>
      <c r="D63" s="423"/>
      <c r="E63" s="425"/>
      <c r="F63" s="94"/>
      <c r="G63" s="113"/>
      <c r="H63" s="59">
        <f t="shared" si="7"/>
        <v>0</v>
      </c>
      <c r="I63" s="114"/>
      <c r="J63" s="59">
        <f t="shared" si="8"/>
        <v>0</v>
      </c>
      <c r="K63" s="60">
        <f t="shared" si="9"/>
        <v>0</v>
      </c>
      <c r="L63" s="92"/>
      <c r="M63" s="87"/>
      <c r="N63" s="410"/>
      <c r="O63" s="410"/>
      <c r="P63" s="87"/>
      <c r="Q63" s="87"/>
      <c r="R63" s="87"/>
      <c r="S63" s="87"/>
      <c r="T63" s="87"/>
      <c r="U63" s="87"/>
    </row>
    <row r="64" spans="1:21" s="62" customFormat="1" ht="24" customHeight="1">
      <c r="A64" s="422"/>
      <c r="B64" s="426"/>
      <c r="C64" s="423" t="s">
        <v>153</v>
      </c>
      <c r="D64" s="423"/>
      <c r="E64" s="425">
        <f>E65/2</f>
        <v>728.65499999999997</v>
      </c>
      <c r="F64" s="94" t="s">
        <v>37</v>
      </c>
      <c r="G64" s="113">
        <v>661.62</v>
      </c>
      <c r="H64" s="59">
        <f t="shared" si="7"/>
        <v>482092.72</v>
      </c>
      <c r="I64" s="114"/>
      <c r="J64" s="59">
        <f t="shared" si="8"/>
        <v>0</v>
      </c>
      <c r="K64" s="60">
        <f t="shared" si="9"/>
        <v>482092.72</v>
      </c>
      <c r="L64" s="92"/>
      <c r="M64" s="87"/>
      <c r="N64" s="410"/>
      <c r="O64" s="410"/>
      <c r="P64" s="87"/>
      <c r="Q64" s="87"/>
      <c r="R64" s="87"/>
      <c r="S64" s="87"/>
      <c r="T64" s="87"/>
      <c r="U64" s="87"/>
    </row>
    <row r="65" spans="1:21" s="62" customFormat="1" ht="24" customHeight="1">
      <c r="A65" s="422"/>
      <c r="B65" s="426"/>
      <c r="C65" s="423" t="s">
        <v>154</v>
      </c>
      <c r="D65" s="423"/>
      <c r="E65" s="425">
        <v>1457.31</v>
      </c>
      <c r="F65" s="94" t="s">
        <v>37</v>
      </c>
      <c r="G65" s="113"/>
      <c r="H65" s="59">
        <f t="shared" si="7"/>
        <v>0</v>
      </c>
      <c r="I65" s="114">
        <v>154</v>
      </c>
      <c r="J65" s="59">
        <f t="shared" si="8"/>
        <v>224425.74</v>
      </c>
      <c r="K65" s="60">
        <f t="shared" si="9"/>
        <v>224425.74</v>
      </c>
      <c r="L65" s="92"/>
      <c r="M65" s="87"/>
      <c r="N65" s="410"/>
      <c r="O65" s="410"/>
      <c r="P65" s="87"/>
      <c r="Q65" s="87"/>
      <c r="R65" s="87"/>
      <c r="S65" s="87"/>
      <c r="T65" s="87"/>
      <c r="U65" s="87"/>
    </row>
    <row r="66" spans="1:21" s="62" customFormat="1" ht="24" customHeight="1">
      <c r="A66" s="422"/>
      <c r="B66" s="423" t="s">
        <v>155</v>
      </c>
      <c r="C66" s="423"/>
      <c r="D66" s="423"/>
      <c r="E66" s="425">
        <f>(E65*0.25)</f>
        <v>364.32749999999999</v>
      </c>
      <c r="F66" s="94" t="s">
        <v>156</v>
      </c>
      <c r="G66" s="113">
        <f>VLOOKUP(B66,$N$43:$O$53,2,FALSE)</f>
        <v>29.94</v>
      </c>
      <c r="H66" s="59">
        <f t="shared" si="7"/>
        <v>10907.97</v>
      </c>
      <c r="I66" s="114"/>
      <c r="J66" s="59">
        <f t="shared" si="8"/>
        <v>0</v>
      </c>
      <c r="K66" s="60">
        <f t="shared" si="9"/>
        <v>10907.97</v>
      </c>
      <c r="L66" s="92"/>
      <c r="M66" s="87"/>
      <c r="N66" s="410"/>
      <c r="O66" s="410"/>
      <c r="P66" s="87"/>
      <c r="Q66" s="87"/>
      <c r="R66" s="87"/>
      <c r="S66" s="87"/>
      <c r="T66" s="87"/>
      <c r="U66" s="87"/>
    </row>
    <row r="67" spans="1:21" s="62" customFormat="1" ht="24" customHeight="1">
      <c r="A67" s="422"/>
      <c r="B67" s="423" t="s">
        <v>157</v>
      </c>
      <c r="C67" s="423"/>
      <c r="D67" s="423"/>
      <c r="E67" s="425"/>
      <c r="F67" s="115"/>
      <c r="G67" s="101"/>
      <c r="H67" s="59">
        <f t="shared" si="7"/>
        <v>0</v>
      </c>
      <c r="I67" s="103"/>
      <c r="J67" s="59">
        <f t="shared" si="8"/>
        <v>0</v>
      </c>
      <c r="K67" s="60">
        <f t="shared" si="9"/>
        <v>0</v>
      </c>
      <c r="L67" s="92"/>
      <c r="M67" s="87"/>
      <c r="N67" s="410"/>
      <c r="O67" s="410">
        <f>SUM(E68:E75)/E62</f>
        <v>501.02357376453494</v>
      </c>
      <c r="P67" s="87"/>
      <c r="Q67" s="87"/>
      <c r="R67" s="87"/>
      <c r="S67" s="87"/>
      <c r="T67" s="87"/>
      <c r="U67" s="87"/>
    </row>
    <row r="68" spans="1:21" s="62" customFormat="1" ht="24" customHeight="1">
      <c r="A68" s="422"/>
      <c r="B68" s="428" t="s">
        <v>158</v>
      </c>
      <c r="C68" s="428"/>
      <c r="D68" s="428"/>
      <c r="E68" s="425"/>
      <c r="F68" s="94" t="s">
        <v>156</v>
      </c>
      <c r="G68" s="113">
        <f t="shared" ref="G68:G74" si="10">VLOOKUP(B68,$N$43:$O$54,2,FALSE)</f>
        <v>25.73</v>
      </c>
      <c r="H68" s="59">
        <f t="shared" si="7"/>
        <v>0</v>
      </c>
      <c r="I68" s="103">
        <v>4.0999999999999996</v>
      </c>
      <c r="J68" s="59">
        <f t="shared" si="8"/>
        <v>0</v>
      </c>
      <c r="K68" s="60">
        <f t="shared" si="9"/>
        <v>0</v>
      </c>
      <c r="L68" s="92"/>
      <c r="M68" s="87"/>
      <c r="N68" s="410"/>
      <c r="O68" s="410"/>
      <c r="P68" s="87"/>
      <c r="Q68" s="87"/>
      <c r="R68" s="87"/>
      <c r="S68" s="87"/>
      <c r="T68" s="87"/>
      <c r="U68" s="87"/>
    </row>
    <row r="69" spans="1:21" s="62" customFormat="1" ht="24" customHeight="1">
      <c r="A69" s="422"/>
      <c r="B69" s="423" t="s">
        <v>159</v>
      </c>
      <c r="C69" s="423"/>
      <c r="D69" s="423"/>
      <c r="E69" s="425"/>
      <c r="F69" s="94" t="s">
        <v>156</v>
      </c>
      <c r="G69" s="113">
        <f t="shared" si="10"/>
        <v>24.97</v>
      </c>
      <c r="H69" s="59">
        <f t="shared" si="7"/>
        <v>0</v>
      </c>
      <c r="I69" s="114">
        <v>4.0999999999999996</v>
      </c>
      <c r="J69" s="59">
        <f t="shared" si="8"/>
        <v>0</v>
      </c>
      <c r="K69" s="60">
        <f t="shared" si="9"/>
        <v>0</v>
      </c>
      <c r="L69" s="92"/>
      <c r="M69" s="87"/>
      <c r="N69" s="410"/>
      <c r="O69" s="410"/>
      <c r="P69" s="87"/>
      <c r="Q69" s="87"/>
      <c r="R69" s="87"/>
      <c r="S69" s="87"/>
      <c r="T69" s="87"/>
      <c r="U69" s="87"/>
    </row>
    <row r="70" spans="1:21" s="62" customFormat="1" ht="24" customHeight="1">
      <c r="A70" s="422"/>
      <c r="B70" s="423" t="s">
        <v>160</v>
      </c>
      <c r="C70" s="423"/>
      <c r="D70" s="423"/>
      <c r="E70" s="425">
        <v>548.23</v>
      </c>
      <c r="F70" s="94" t="s">
        <v>156</v>
      </c>
      <c r="G70" s="113">
        <f t="shared" si="10"/>
        <v>24.47</v>
      </c>
      <c r="H70" s="59">
        <f t="shared" si="7"/>
        <v>13415.19</v>
      </c>
      <c r="I70" s="114">
        <v>3.3</v>
      </c>
      <c r="J70" s="59">
        <f t="shared" si="8"/>
        <v>1809.16</v>
      </c>
      <c r="K70" s="60">
        <f t="shared" si="9"/>
        <v>15224.35</v>
      </c>
      <c r="L70" s="92"/>
      <c r="M70" s="87"/>
      <c r="N70" s="410"/>
      <c r="O70" s="410"/>
      <c r="P70" s="87"/>
      <c r="Q70" s="87"/>
      <c r="R70" s="87"/>
      <c r="S70" s="87"/>
      <c r="T70" s="87"/>
      <c r="U70" s="87"/>
    </row>
    <row r="71" spans="1:21" s="62" customFormat="1" ht="24" customHeight="1">
      <c r="A71" s="422"/>
      <c r="B71" s="423" t="s">
        <v>161</v>
      </c>
      <c r="C71" s="423"/>
      <c r="D71" s="423"/>
      <c r="E71" s="425">
        <v>33607.440000000002</v>
      </c>
      <c r="F71" s="115" t="s">
        <v>156</v>
      </c>
      <c r="G71" s="113">
        <f t="shared" si="10"/>
        <v>24.27</v>
      </c>
      <c r="H71" s="59">
        <f t="shared" si="7"/>
        <v>815652.57</v>
      </c>
      <c r="I71" s="114">
        <v>3.3</v>
      </c>
      <c r="J71" s="59">
        <f t="shared" si="8"/>
        <v>110904.55</v>
      </c>
      <c r="K71" s="60">
        <f t="shared" si="9"/>
        <v>926557.12</v>
      </c>
      <c r="L71" s="92"/>
      <c r="M71" s="87"/>
      <c r="N71" s="410"/>
      <c r="O71" s="410"/>
      <c r="P71" s="87"/>
      <c r="Q71" s="87"/>
      <c r="R71" s="87"/>
      <c r="S71" s="87"/>
      <c r="T71" s="87"/>
      <c r="U71" s="87"/>
    </row>
    <row r="72" spans="1:21" s="62" customFormat="1" ht="24" customHeight="1">
      <c r="A72" s="422"/>
      <c r="B72" s="428" t="s">
        <v>162</v>
      </c>
      <c r="C72" s="428"/>
      <c r="D72" s="428"/>
      <c r="E72" s="425">
        <v>1925.86</v>
      </c>
      <c r="F72" s="94" t="s">
        <v>156</v>
      </c>
      <c r="G72" s="113">
        <f t="shared" si="10"/>
        <v>24.27</v>
      </c>
      <c r="H72" s="59">
        <f t="shared" si="7"/>
        <v>46740.62</v>
      </c>
      <c r="I72" s="114">
        <v>2.9</v>
      </c>
      <c r="J72" s="59">
        <f t="shared" si="8"/>
        <v>5584.99</v>
      </c>
      <c r="K72" s="60">
        <f t="shared" si="9"/>
        <v>52325.61</v>
      </c>
      <c r="L72" s="92"/>
      <c r="M72" s="87"/>
      <c r="N72" s="410"/>
      <c r="O72" s="410"/>
      <c r="P72" s="87"/>
      <c r="Q72" s="87"/>
      <c r="R72" s="87"/>
      <c r="S72" s="87"/>
      <c r="T72" s="87"/>
      <c r="U72" s="87"/>
    </row>
    <row r="73" spans="1:21" s="62" customFormat="1" ht="24" customHeight="1">
      <c r="A73" s="422"/>
      <c r="B73" s="423" t="s">
        <v>163</v>
      </c>
      <c r="C73" s="423"/>
      <c r="D73" s="423"/>
      <c r="E73" s="425">
        <v>68758.19</v>
      </c>
      <c r="F73" s="94" t="s">
        <v>156</v>
      </c>
      <c r="G73" s="113">
        <f t="shared" si="10"/>
        <v>24.27</v>
      </c>
      <c r="H73" s="59">
        <f t="shared" si="7"/>
        <v>1668761.27</v>
      </c>
      <c r="I73" s="114">
        <v>2.9</v>
      </c>
      <c r="J73" s="59">
        <f t="shared" si="8"/>
        <v>199398.75</v>
      </c>
      <c r="K73" s="60">
        <f t="shared" si="9"/>
        <v>1868160.02</v>
      </c>
      <c r="L73" s="92"/>
      <c r="M73" s="87"/>
      <c r="N73" s="410"/>
      <c r="O73" s="410"/>
      <c r="P73" s="87"/>
      <c r="Q73" s="87"/>
      <c r="R73" s="87"/>
      <c r="S73" s="87"/>
      <c r="T73" s="87"/>
      <c r="U73" s="87"/>
    </row>
    <row r="74" spans="1:21" s="62" customFormat="1" ht="24" customHeight="1">
      <c r="A74" s="422"/>
      <c r="B74" s="423" t="s">
        <v>164</v>
      </c>
      <c r="C74" s="423"/>
      <c r="D74" s="423"/>
      <c r="E74" s="425">
        <v>5465.63</v>
      </c>
      <c r="F74" s="94" t="s">
        <v>156</v>
      </c>
      <c r="G74" s="113">
        <f t="shared" si="10"/>
        <v>24.27</v>
      </c>
      <c r="H74" s="59">
        <f t="shared" si="7"/>
        <v>132650.84</v>
      </c>
      <c r="I74" s="114">
        <v>2.9</v>
      </c>
      <c r="J74" s="59">
        <f t="shared" si="8"/>
        <v>15850.33</v>
      </c>
      <c r="K74" s="60">
        <f t="shared" si="9"/>
        <v>148501.16999999998</v>
      </c>
      <c r="L74" s="92"/>
      <c r="M74" s="87"/>
      <c r="N74" s="410"/>
      <c r="O74" s="410"/>
      <c r="P74" s="87"/>
      <c r="Q74" s="87"/>
      <c r="R74" s="87"/>
      <c r="S74" s="87"/>
      <c r="T74" s="87"/>
      <c r="U74" s="87"/>
    </row>
    <row r="75" spans="1:21" s="62" customFormat="1" ht="24" customHeight="1">
      <c r="A75" s="422"/>
      <c r="B75" s="423" t="s">
        <v>165</v>
      </c>
      <c r="C75" s="423"/>
      <c r="D75" s="423"/>
      <c r="E75" s="425">
        <v>0</v>
      </c>
      <c r="F75" s="94" t="s">
        <v>156</v>
      </c>
      <c r="G75" s="113">
        <f>VLOOKUP(B75,$N$43:$O$54,2,FALSE)</f>
        <v>23.8</v>
      </c>
      <c r="H75" s="59">
        <f t="shared" si="7"/>
        <v>0</v>
      </c>
      <c r="I75" s="114">
        <v>2.9</v>
      </c>
      <c r="J75" s="59">
        <f t="shared" si="8"/>
        <v>0</v>
      </c>
      <c r="K75" s="60">
        <f t="shared" si="9"/>
        <v>0</v>
      </c>
      <c r="L75" s="92"/>
      <c r="M75" s="87"/>
      <c r="N75" s="410"/>
      <c r="O75" s="410"/>
      <c r="P75" s="87"/>
      <c r="Q75" s="87"/>
      <c r="R75" s="87"/>
      <c r="S75" s="87"/>
      <c r="T75" s="87"/>
      <c r="U75" s="87"/>
    </row>
    <row r="76" spans="1:21" s="62" customFormat="1" ht="24" customHeight="1">
      <c r="A76" s="422"/>
      <c r="B76" s="423" t="s">
        <v>166</v>
      </c>
      <c r="C76" s="423"/>
      <c r="D76" s="423"/>
      <c r="E76" s="425">
        <f>(SUM(E68:E75)/1000)*30</f>
        <v>3309.1605</v>
      </c>
      <c r="F76" s="94" t="s">
        <v>156</v>
      </c>
      <c r="G76" s="113">
        <f>VLOOKUP(B76,$N$43:$O$54,2,FALSE)</f>
        <v>29.92</v>
      </c>
      <c r="H76" s="59">
        <f t="shared" si="7"/>
        <v>99010.08</v>
      </c>
      <c r="I76" s="114"/>
      <c r="J76" s="59">
        <f t="shared" si="8"/>
        <v>0</v>
      </c>
      <c r="K76" s="60">
        <f t="shared" si="9"/>
        <v>99010.08</v>
      </c>
      <c r="L76" s="92"/>
      <c r="M76" s="87"/>
      <c r="N76" s="410"/>
      <c r="O76" s="410"/>
      <c r="P76" s="87"/>
      <c r="Q76" s="87"/>
      <c r="R76" s="87"/>
      <c r="S76" s="87"/>
      <c r="T76" s="87"/>
      <c r="U76" s="87"/>
    </row>
    <row r="77" spans="1:21" s="62" customFormat="1" ht="24" customHeight="1">
      <c r="A77" s="422"/>
      <c r="B77" s="423" t="s">
        <v>167</v>
      </c>
      <c r="C77" s="423"/>
      <c r="D77" s="423"/>
      <c r="E77" s="425"/>
      <c r="F77" s="94"/>
      <c r="G77" s="113"/>
      <c r="H77" s="59"/>
      <c r="I77" s="114"/>
      <c r="J77" s="59"/>
      <c r="K77" s="60"/>
      <c r="L77" s="92"/>
      <c r="M77" s="87"/>
      <c r="N77" s="410"/>
      <c r="O77" s="410"/>
      <c r="P77" s="87"/>
      <c r="Q77" s="87"/>
      <c r="R77" s="87"/>
      <c r="S77" s="87"/>
      <c r="T77" s="87"/>
      <c r="U77" s="87"/>
    </row>
    <row r="78" spans="1:21" s="62" customFormat="1" ht="24" customHeight="1">
      <c r="A78" s="93"/>
      <c r="B78" s="423"/>
      <c r="C78" s="423"/>
      <c r="D78" s="423"/>
      <c r="E78" s="425"/>
      <c r="F78" s="94"/>
      <c r="G78" s="113"/>
      <c r="H78" s="59"/>
      <c r="I78" s="114"/>
      <c r="J78" s="59"/>
      <c r="K78" s="60"/>
      <c r="L78" s="92"/>
      <c r="M78" s="87"/>
      <c r="N78" s="410"/>
      <c r="O78" s="410"/>
      <c r="P78" s="87"/>
      <c r="Q78" s="87"/>
      <c r="R78" s="87"/>
      <c r="S78" s="87"/>
      <c r="T78" s="87"/>
      <c r="U78" s="87"/>
    </row>
    <row r="79" spans="1:21" s="62" customFormat="1" ht="24" customHeight="1">
      <c r="A79" s="422"/>
      <c r="B79" s="423"/>
      <c r="C79" s="423"/>
      <c r="D79" s="423"/>
      <c r="E79" s="429"/>
      <c r="F79" s="94"/>
      <c r="G79" s="113"/>
      <c r="H79" s="59"/>
      <c r="I79" s="114"/>
      <c r="J79" s="59"/>
      <c r="K79" s="60"/>
      <c r="L79" s="92"/>
      <c r="M79" s="87"/>
      <c r="N79" s="410"/>
      <c r="O79" s="410"/>
      <c r="P79" s="87"/>
      <c r="Q79" s="87"/>
      <c r="R79" s="87"/>
      <c r="S79" s="87"/>
      <c r="T79" s="87"/>
      <c r="U79" s="87"/>
    </row>
    <row r="80" spans="1:21" s="62" customFormat="1" ht="24" customHeight="1">
      <c r="A80" s="97"/>
      <c r="B80" s="430"/>
      <c r="C80" s="430"/>
      <c r="D80" s="430"/>
      <c r="E80" s="431"/>
      <c r="F80" s="432"/>
      <c r="G80" s="101"/>
      <c r="H80" s="102"/>
      <c r="I80" s="103"/>
      <c r="J80" s="102"/>
      <c r="K80" s="104"/>
      <c r="L80" s="433"/>
      <c r="M80" s="87"/>
      <c r="N80" s="410"/>
      <c r="O80" s="410"/>
      <c r="P80" s="87"/>
      <c r="Q80" s="87"/>
      <c r="R80" s="87"/>
      <c r="S80" s="87"/>
      <c r="T80" s="87"/>
      <c r="U80" s="87"/>
    </row>
    <row r="81" spans="1:21" s="62" customFormat="1" ht="24" customHeight="1">
      <c r="A81" s="97"/>
      <c r="B81" s="430"/>
      <c r="C81" s="430"/>
      <c r="D81" s="430"/>
      <c r="E81" s="431"/>
      <c r="F81" s="432"/>
      <c r="G81" s="101"/>
      <c r="H81" s="102"/>
      <c r="I81" s="103"/>
      <c r="J81" s="102"/>
      <c r="K81" s="104"/>
      <c r="L81" s="433"/>
      <c r="M81" s="87"/>
      <c r="N81" s="410"/>
      <c r="O81" s="410"/>
      <c r="P81" s="87"/>
      <c r="Q81" s="87"/>
      <c r="R81" s="87"/>
      <c r="S81" s="87"/>
      <c r="T81" s="87"/>
      <c r="U81" s="87"/>
    </row>
    <row r="82" spans="1:21" s="62" customFormat="1" ht="24" customHeight="1">
      <c r="A82" s="97"/>
      <c r="B82" s="430"/>
      <c r="C82" s="430"/>
      <c r="D82" s="430"/>
      <c r="E82" s="431"/>
      <c r="F82" s="432"/>
      <c r="G82" s="101"/>
      <c r="H82" s="102"/>
      <c r="I82" s="103"/>
      <c r="J82" s="102"/>
      <c r="K82" s="104"/>
      <c r="L82" s="433"/>
      <c r="M82" s="87"/>
      <c r="N82" s="410"/>
      <c r="O82" s="410"/>
      <c r="P82" s="87"/>
      <c r="Q82" s="87"/>
      <c r="R82" s="87"/>
      <c r="S82" s="87"/>
      <c r="T82" s="87"/>
      <c r="U82" s="87"/>
    </row>
    <row r="83" spans="1:21" s="62" customFormat="1" ht="24" customHeight="1">
      <c r="A83" s="97"/>
      <c r="B83" s="430"/>
      <c r="C83" s="430"/>
      <c r="D83" s="430"/>
      <c r="E83" s="431"/>
      <c r="F83" s="432"/>
      <c r="G83" s="101"/>
      <c r="H83" s="102"/>
      <c r="I83" s="103"/>
      <c r="J83" s="102"/>
      <c r="K83" s="104"/>
      <c r="L83" s="433"/>
      <c r="M83" s="87"/>
      <c r="N83" s="410"/>
      <c r="O83" s="410"/>
      <c r="P83" s="87"/>
      <c r="Q83" s="87"/>
      <c r="R83" s="87"/>
      <c r="S83" s="87"/>
      <c r="T83" s="87"/>
      <c r="U83" s="87"/>
    </row>
    <row r="84" spans="1:21" s="62" customFormat="1" ht="24" customHeight="1">
      <c r="A84" s="97"/>
      <c r="B84" s="430"/>
      <c r="C84" s="430"/>
      <c r="D84" s="430"/>
      <c r="E84" s="431"/>
      <c r="F84" s="432"/>
      <c r="G84" s="101"/>
      <c r="H84" s="102"/>
      <c r="I84" s="103"/>
      <c r="J84" s="102"/>
      <c r="K84" s="104"/>
      <c r="L84" s="433"/>
      <c r="M84" s="87"/>
      <c r="N84" s="410"/>
      <c r="O84" s="410"/>
      <c r="P84" s="87"/>
      <c r="Q84" s="87"/>
      <c r="R84" s="87"/>
      <c r="S84" s="87"/>
      <c r="T84" s="87"/>
      <c r="U84" s="87"/>
    </row>
    <row r="85" spans="1:21" s="62" customFormat="1" ht="24" customHeight="1">
      <c r="A85" s="116"/>
      <c r="B85" s="423"/>
      <c r="C85" s="423"/>
      <c r="D85" s="423"/>
      <c r="E85" s="429"/>
      <c r="F85" s="94"/>
      <c r="G85" s="113"/>
      <c r="H85" s="59"/>
      <c r="I85" s="114"/>
      <c r="J85" s="59"/>
      <c r="K85" s="60"/>
      <c r="L85" s="92"/>
      <c r="M85" s="87"/>
      <c r="N85" s="410"/>
      <c r="O85" s="410"/>
      <c r="P85" s="87"/>
      <c r="Q85" s="87"/>
      <c r="R85" s="87"/>
      <c r="S85" s="87"/>
      <c r="T85" s="87"/>
      <c r="U85" s="87"/>
    </row>
    <row r="86" spans="1:21" s="62" customFormat="1" ht="24" customHeight="1">
      <c r="A86" s="90" t="s">
        <v>39</v>
      </c>
      <c r="B86" s="438" t="s">
        <v>168</v>
      </c>
      <c r="C86" s="439"/>
      <c r="D86" s="439"/>
      <c r="E86" s="440"/>
      <c r="F86" s="441"/>
      <c r="G86" s="442"/>
      <c r="H86" s="443"/>
      <c r="I86" s="444"/>
      <c r="J86" s="443"/>
      <c r="K86" s="445"/>
      <c r="L86" s="446"/>
      <c r="M86" s="87"/>
      <c r="N86" s="410"/>
      <c r="O86" s="410"/>
      <c r="P86" s="87"/>
      <c r="Q86" s="87"/>
      <c r="R86" s="87"/>
      <c r="S86" s="87"/>
      <c r="T86" s="87"/>
      <c r="U86" s="87"/>
    </row>
    <row r="87" spans="1:21" s="62" customFormat="1" ht="24" customHeight="1">
      <c r="A87" s="97"/>
      <c r="B87" s="423" t="s">
        <v>150</v>
      </c>
      <c r="C87" s="424"/>
      <c r="D87" s="424"/>
      <c r="E87" s="425">
        <v>44.09</v>
      </c>
      <c r="F87" s="94" t="s">
        <v>151</v>
      </c>
      <c r="G87" s="113">
        <v>2516</v>
      </c>
      <c r="H87" s="59">
        <f t="shared" ref="H87:H102" si="11">ROUND(E87*G87,2)</f>
        <v>110930.44</v>
      </c>
      <c r="I87" s="114">
        <v>485</v>
      </c>
      <c r="J87" s="59">
        <f t="shared" ref="J87:J102" si="12">ROUND(E87*I87,2)</f>
        <v>21383.65</v>
      </c>
      <c r="K87" s="60">
        <f t="shared" ref="K87:K102" si="13">H87+J87</f>
        <v>132314.09</v>
      </c>
      <c r="L87" s="92"/>
      <c r="M87" s="87"/>
      <c r="N87" s="410"/>
      <c r="O87" s="410"/>
      <c r="P87" s="87"/>
      <c r="Q87" s="87"/>
      <c r="R87" s="87"/>
      <c r="S87" s="87"/>
      <c r="T87" s="87"/>
      <c r="U87" s="87"/>
    </row>
    <row r="88" spans="1:21" s="62" customFormat="1" ht="24" customHeight="1">
      <c r="A88" s="97"/>
      <c r="B88" s="426" t="s">
        <v>152</v>
      </c>
      <c r="C88" s="423"/>
      <c r="D88" s="423"/>
      <c r="E88" s="425"/>
      <c r="F88" s="94"/>
      <c r="G88" s="113"/>
      <c r="H88" s="59">
        <f t="shared" si="11"/>
        <v>0</v>
      </c>
      <c r="I88" s="114"/>
      <c r="J88" s="59">
        <f t="shared" si="12"/>
        <v>0</v>
      </c>
      <c r="K88" s="60">
        <f t="shared" si="13"/>
        <v>0</v>
      </c>
      <c r="L88" s="92"/>
      <c r="M88" s="87"/>
      <c r="N88" s="410"/>
      <c r="O88" s="410"/>
      <c r="P88" s="87"/>
      <c r="Q88" s="87"/>
      <c r="R88" s="87"/>
      <c r="S88" s="87"/>
      <c r="T88" s="87"/>
      <c r="U88" s="87"/>
    </row>
    <row r="89" spans="1:21" s="62" customFormat="1" ht="24" customHeight="1">
      <c r="A89" s="97"/>
      <c r="B89" s="426"/>
      <c r="C89" s="423" t="s">
        <v>153</v>
      </c>
      <c r="D89" s="423"/>
      <c r="E89" s="425">
        <f>E90/2</f>
        <v>113.745</v>
      </c>
      <c r="F89" s="94" t="s">
        <v>37</v>
      </c>
      <c r="G89" s="113">
        <v>661.62</v>
      </c>
      <c r="H89" s="59">
        <f t="shared" si="11"/>
        <v>75255.97</v>
      </c>
      <c r="I89" s="114"/>
      <c r="J89" s="59">
        <f t="shared" si="12"/>
        <v>0</v>
      </c>
      <c r="K89" s="60">
        <f t="shared" si="13"/>
        <v>75255.97</v>
      </c>
      <c r="L89" s="92"/>
      <c r="M89" s="87"/>
      <c r="N89" s="410"/>
      <c r="O89" s="410"/>
      <c r="P89" s="87"/>
      <c r="Q89" s="87"/>
      <c r="R89" s="87"/>
      <c r="S89" s="87"/>
      <c r="T89" s="87"/>
      <c r="U89" s="87"/>
    </row>
    <row r="90" spans="1:21" s="62" customFormat="1" ht="24" customHeight="1">
      <c r="A90" s="97"/>
      <c r="B90" s="426"/>
      <c r="C90" s="423" t="s">
        <v>154</v>
      </c>
      <c r="D90" s="423"/>
      <c r="E90" s="425">
        <v>227.49</v>
      </c>
      <c r="F90" s="94" t="s">
        <v>37</v>
      </c>
      <c r="G90" s="113"/>
      <c r="H90" s="59">
        <f t="shared" si="11"/>
        <v>0</v>
      </c>
      <c r="I90" s="114">
        <v>154</v>
      </c>
      <c r="J90" s="59">
        <f t="shared" si="12"/>
        <v>35033.46</v>
      </c>
      <c r="K90" s="60">
        <f t="shared" si="13"/>
        <v>35033.46</v>
      </c>
      <c r="L90" s="92"/>
      <c r="M90" s="87"/>
      <c r="N90" s="410"/>
      <c r="O90" s="410"/>
      <c r="P90" s="87"/>
      <c r="Q90" s="87"/>
      <c r="R90" s="87"/>
      <c r="S90" s="87"/>
      <c r="T90" s="87"/>
      <c r="U90" s="87"/>
    </row>
    <row r="91" spans="1:21" s="62" customFormat="1" ht="24" customHeight="1">
      <c r="A91" s="97"/>
      <c r="B91" s="423" t="s">
        <v>155</v>
      </c>
      <c r="C91" s="423"/>
      <c r="D91" s="423"/>
      <c r="E91" s="425">
        <f>(E90*0.25)</f>
        <v>56.872500000000002</v>
      </c>
      <c r="F91" s="94" t="s">
        <v>156</v>
      </c>
      <c r="G91" s="113">
        <f t="shared" ref="G91" si="14">VLOOKUP(B91,$N$43:$O$53,2,FALSE)</f>
        <v>29.94</v>
      </c>
      <c r="H91" s="59">
        <f t="shared" si="11"/>
        <v>1702.76</v>
      </c>
      <c r="I91" s="114"/>
      <c r="J91" s="59">
        <f t="shared" si="12"/>
        <v>0</v>
      </c>
      <c r="K91" s="60">
        <f t="shared" si="13"/>
        <v>1702.76</v>
      </c>
      <c r="L91" s="92"/>
      <c r="M91" s="87"/>
      <c r="N91" s="410"/>
      <c r="O91" s="410"/>
      <c r="P91" s="87"/>
      <c r="Q91" s="87"/>
      <c r="R91" s="87"/>
      <c r="S91" s="87"/>
      <c r="T91" s="87"/>
      <c r="U91" s="87"/>
    </row>
    <row r="92" spans="1:21" s="62" customFormat="1" ht="24" customHeight="1">
      <c r="A92" s="97"/>
      <c r="B92" s="423" t="s">
        <v>157</v>
      </c>
      <c r="C92" s="423"/>
      <c r="D92" s="423"/>
      <c r="E92" s="425"/>
      <c r="F92" s="115"/>
      <c r="G92" s="101"/>
      <c r="H92" s="59">
        <f t="shared" si="11"/>
        <v>0</v>
      </c>
      <c r="I92" s="103"/>
      <c r="J92" s="59">
        <f t="shared" si="12"/>
        <v>0</v>
      </c>
      <c r="K92" s="60">
        <f t="shared" si="13"/>
        <v>0</v>
      </c>
      <c r="L92" s="92"/>
      <c r="M92" s="87"/>
      <c r="N92" s="410"/>
      <c r="O92" s="410"/>
      <c r="P92" s="87"/>
      <c r="Q92" s="87"/>
      <c r="R92" s="87"/>
      <c r="S92" s="87"/>
      <c r="T92" s="87"/>
      <c r="U92" s="87"/>
    </row>
    <row r="93" spans="1:21" s="62" customFormat="1" ht="24" customHeight="1">
      <c r="A93" s="97"/>
      <c r="B93" s="428" t="s">
        <v>158</v>
      </c>
      <c r="C93" s="428"/>
      <c r="D93" s="428"/>
      <c r="E93" s="425">
        <v>0</v>
      </c>
      <c r="F93" s="94" t="s">
        <v>156</v>
      </c>
      <c r="G93" s="113">
        <f>VLOOKUP(B93,$N$43:$O$54,2,FALSE)</f>
        <v>25.73</v>
      </c>
      <c r="H93" s="59">
        <f t="shared" si="11"/>
        <v>0</v>
      </c>
      <c r="I93" s="103">
        <v>4.0999999999999996</v>
      </c>
      <c r="J93" s="59">
        <f t="shared" si="12"/>
        <v>0</v>
      </c>
      <c r="K93" s="60">
        <f t="shared" si="13"/>
        <v>0</v>
      </c>
      <c r="L93" s="92"/>
      <c r="M93" s="87"/>
      <c r="N93" s="410"/>
      <c r="O93" s="410"/>
      <c r="P93" s="87"/>
      <c r="Q93" s="87"/>
      <c r="R93" s="87"/>
      <c r="S93" s="87"/>
      <c r="T93" s="87"/>
      <c r="U93" s="87"/>
    </row>
    <row r="94" spans="1:21" s="62" customFormat="1" ht="24" customHeight="1">
      <c r="A94" s="97"/>
      <c r="B94" s="423" t="s">
        <v>159</v>
      </c>
      <c r="C94" s="423"/>
      <c r="D94" s="423"/>
      <c r="E94" s="425">
        <v>1001.32</v>
      </c>
      <c r="F94" s="94" t="s">
        <v>156</v>
      </c>
      <c r="G94" s="113">
        <f t="shared" ref="G94:G102" si="15">VLOOKUP(B94,$N$43:$O$54,2,FALSE)</f>
        <v>24.97</v>
      </c>
      <c r="H94" s="59">
        <f t="shared" si="11"/>
        <v>25002.959999999999</v>
      </c>
      <c r="I94" s="114">
        <v>4.0999999999999996</v>
      </c>
      <c r="J94" s="59">
        <f t="shared" si="12"/>
        <v>4105.41</v>
      </c>
      <c r="K94" s="60">
        <f t="shared" si="13"/>
        <v>29108.37</v>
      </c>
      <c r="L94" s="92"/>
      <c r="M94" s="87"/>
      <c r="N94" s="410"/>
      <c r="O94" s="410"/>
      <c r="P94" s="87"/>
      <c r="Q94" s="87"/>
      <c r="R94" s="87"/>
      <c r="S94" s="87"/>
      <c r="T94" s="87"/>
      <c r="U94" s="87"/>
    </row>
    <row r="95" spans="1:21" s="62" customFormat="1" ht="24" customHeight="1">
      <c r="A95" s="97"/>
      <c r="B95" s="423" t="s">
        <v>328</v>
      </c>
      <c r="C95" s="423"/>
      <c r="D95" s="423"/>
      <c r="E95" s="425">
        <v>223.05</v>
      </c>
      <c r="F95" s="94" t="s">
        <v>156</v>
      </c>
      <c r="G95" s="113">
        <f t="shared" si="15"/>
        <v>23.5</v>
      </c>
      <c r="H95" s="59">
        <f t="shared" si="11"/>
        <v>5241.68</v>
      </c>
      <c r="I95" s="114">
        <v>3.3</v>
      </c>
      <c r="J95" s="59">
        <f t="shared" si="12"/>
        <v>736.07</v>
      </c>
      <c r="K95" s="60">
        <f t="shared" ref="K95" si="16">H95+J95</f>
        <v>5977.75</v>
      </c>
      <c r="L95" s="92"/>
      <c r="M95" s="87"/>
      <c r="N95" s="410"/>
      <c r="O95" s="410"/>
      <c r="P95" s="87"/>
      <c r="Q95" s="87"/>
      <c r="R95" s="87"/>
      <c r="S95" s="87"/>
      <c r="T95" s="87"/>
      <c r="U95" s="87"/>
    </row>
    <row r="96" spans="1:21" s="62" customFormat="1" ht="24" customHeight="1">
      <c r="A96" s="97"/>
      <c r="B96" s="423" t="s">
        <v>160</v>
      </c>
      <c r="C96" s="423"/>
      <c r="D96" s="423"/>
      <c r="E96" s="425">
        <v>3867.69</v>
      </c>
      <c r="F96" s="94" t="s">
        <v>156</v>
      </c>
      <c r="G96" s="113">
        <f t="shared" si="15"/>
        <v>24.47</v>
      </c>
      <c r="H96" s="59">
        <f t="shared" si="11"/>
        <v>94642.37</v>
      </c>
      <c r="I96" s="114">
        <v>3.3</v>
      </c>
      <c r="J96" s="59">
        <f t="shared" si="12"/>
        <v>12763.38</v>
      </c>
      <c r="K96" s="60">
        <f t="shared" si="13"/>
        <v>107405.75</v>
      </c>
      <c r="L96" s="92"/>
      <c r="M96" s="87"/>
      <c r="N96" s="410"/>
      <c r="O96" s="410"/>
      <c r="P96" s="87"/>
      <c r="Q96" s="87"/>
      <c r="R96" s="87"/>
      <c r="S96" s="87"/>
      <c r="T96" s="87"/>
      <c r="U96" s="87"/>
    </row>
    <row r="97" spans="1:21" s="62" customFormat="1" ht="24" customHeight="1">
      <c r="A97" s="97"/>
      <c r="B97" s="423" t="s">
        <v>161</v>
      </c>
      <c r="C97" s="423"/>
      <c r="D97" s="423"/>
      <c r="E97" s="425">
        <v>1136.46</v>
      </c>
      <c r="F97" s="115" t="s">
        <v>156</v>
      </c>
      <c r="G97" s="113">
        <f t="shared" si="15"/>
        <v>24.27</v>
      </c>
      <c r="H97" s="59">
        <f t="shared" si="11"/>
        <v>27581.88</v>
      </c>
      <c r="I97" s="114">
        <v>3.3</v>
      </c>
      <c r="J97" s="59">
        <f t="shared" si="12"/>
        <v>3750.32</v>
      </c>
      <c r="K97" s="60">
        <f t="shared" si="13"/>
        <v>31332.2</v>
      </c>
      <c r="L97" s="92"/>
      <c r="M97" s="87"/>
      <c r="N97" s="410"/>
      <c r="O97" s="410"/>
      <c r="P97" s="87"/>
      <c r="Q97" s="87"/>
      <c r="R97" s="87"/>
      <c r="S97" s="87"/>
      <c r="T97" s="87"/>
      <c r="U97" s="87"/>
    </row>
    <row r="98" spans="1:21" s="62" customFormat="1" ht="24" customHeight="1">
      <c r="A98" s="97"/>
      <c r="B98" s="428" t="s">
        <v>162</v>
      </c>
      <c r="C98" s="428"/>
      <c r="D98" s="428"/>
      <c r="E98" s="425">
        <v>0</v>
      </c>
      <c r="F98" s="94" t="s">
        <v>156</v>
      </c>
      <c r="G98" s="113">
        <f t="shared" si="15"/>
        <v>24.27</v>
      </c>
      <c r="H98" s="59">
        <f t="shared" si="11"/>
        <v>0</v>
      </c>
      <c r="I98" s="114">
        <v>2.9</v>
      </c>
      <c r="J98" s="59">
        <f t="shared" si="12"/>
        <v>0</v>
      </c>
      <c r="K98" s="60">
        <f t="shared" si="13"/>
        <v>0</v>
      </c>
      <c r="L98" s="92"/>
      <c r="M98" s="87"/>
      <c r="N98" s="410"/>
      <c r="O98" s="410"/>
      <c r="P98" s="87"/>
      <c r="Q98" s="87"/>
      <c r="R98" s="87"/>
      <c r="S98" s="87"/>
      <c r="T98" s="87"/>
      <c r="U98" s="87"/>
    </row>
    <row r="99" spans="1:21" s="62" customFormat="1" ht="24" customHeight="1">
      <c r="A99" s="97"/>
      <c r="B99" s="423" t="s">
        <v>163</v>
      </c>
      <c r="C99" s="423"/>
      <c r="D99" s="423"/>
      <c r="E99" s="425"/>
      <c r="F99" s="94" t="s">
        <v>156</v>
      </c>
      <c r="G99" s="113">
        <f t="shared" si="15"/>
        <v>24.27</v>
      </c>
      <c r="H99" s="59">
        <f t="shared" si="11"/>
        <v>0</v>
      </c>
      <c r="I99" s="114">
        <v>2.9</v>
      </c>
      <c r="J99" s="59">
        <f t="shared" si="12"/>
        <v>0</v>
      </c>
      <c r="K99" s="60">
        <f t="shared" si="13"/>
        <v>0</v>
      </c>
      <c r="L99" s="92"/>
      <c r="M99" s="87"/>
      <c r="N99" s="410"/>
      <c r="O99" s="410"/>
      <c r="P99" s="87"/>
      <c r="Q99" s="87"/>
      <c r="R99" s="87"/>
      <c r="S99" s="87"/>
      <c r="T99" s="87"/>
      <c r="U99" s="87"/>
    </row>
    <row r="100" spans="1:21" s="62" customFormat="1" ht="24" customHeight="1">
      <c r="A100" s="97"/>
      <c r="B100" s="423" t="s">
        <v>164</v>
      </c>
      <c r="C100" s="423"/>
      <c r="D100" s="423"/>
      <c r="E100" s="425"/>
      <c r="F100" s="94" t="s">
        <v>156</v>
      </c>
      <c r="G100" s="113">
        <f t="shared" si="15"/>
        <v>24.27</v>
      </c>
      <c r="H100" s="59">
        <f t="shared" si="11"/>
        <v>0</v>
      </c>
      <c r="I100" s="114">
        <v>2.9</v>
      </c>
      <c r="J100" s="59">
        <f t="shared" si="12"/>
        <v>0</v>
      </c>
      <c r="K100" s="60">
        <f t="shared" si="13"/>
        <v>0</v>
      </c>
      <c r="L100" s="92"/>
      <c r="M100" s="87"/>
      <c r="N100" s="410"/>
      <c r="O100" s="410"/>
      <c r="P100" s="87"/>
      <c r="Q100" s="87"/>
      <c r="R100" s="87"/>
      <c r="S100" s="87"/>
      <c r="T100" s="87"/>
      <c r="U100" s="87"/>
    </row>
    <row r="101" spans="1:21" s="62" customFormat="1" ht="24" customHeight="1">
      <c r="A101" s="97"/>
      <c r="B101" s="423" t="s">
        <v>165</v>
      </c>
      <c r="C101" s="423"/>
      <c r="D101" s="423"/>
      <c r="E101" s="425"/>
      <c r="F101" s="94" t="s">
        <v>156</v>
      </c>
      <c r="G101" s="113">
        <f t="shared" si="15"/>
        <v>23.8</v>
      </c>
      <c r="H101" s="59">
        <f t="shared" si="11"/>
        <v>0</v>
      </c>
      <c r="I101" s="114">
        <v>2.9</v>
      </c>
      <c r="J101" s="59">
        <f t="shared" si="12"/>
        <v>0</v>
      </c>
      <c r="K101" s="60">
        <f t="shared" si="13"/>
        <v>0</v>
      </c>
      <c r="L101" s="92"/>
      <c r="M101" s="87"/>
      <c r="N101" s="410"/>
      <c r="O101" s="410"/>
      <c r="P101" s="87"/>
      <c r="Q101" s="87"/>
      <c r="R101" s="87"/>
      <c r="S101" s="87"/>
      <c r="T101" s="87"/>
      <c r="U101" s="87"/>
    </row>
    <row r="102" spans="1:21" s="62" customFormat="1" ht="24" customHeight="1">
      <c r="A102" s="97"/>
      <c r="B102" s="423" t="s">
        <v>166</v>
      </c>
      <c r="C102" s="423"/>
      <c r="D102" s="423"/>
      <c r="E102" s="425">
        <f>(SUM(E93:E101)/1000)*30</f>
        <v>186.85560000000001</v>
      </c>
      <c r="F102" s="94" t="s">
        <v>156</v>
      </c>
      <c r="G102" s="113">
        <f t="shared" si="15"/>
        <v>29.92</v>
      </c>
      <c r="H102" s="59">
        <f t="shared" si="11"/>
        <v>5590.72</v>
      </c>
      <c r="I102" s="114"/>
      <c r="J102" s="59">
        <f t="shared" si="12"/>
        <v>0</v>
      </c>
      <c r="K102" s="60">
        <f t="shared" si="13"/>
        <v>5590.72</v>
      </c>
      <c r="L102" s="92"/>
      <c r="M102" s="87"/>
      <c r="N102" s="410"/>
      <c r="O102" s="410"/>
      <c r="P102" s="87"/>
      <c r="Q102" s="87"/>
      <c r="R102" s="87"/>
      <c r="S102" s="87"/>
      <c r="T102" s="87"/>
      <c r="U102" s="87"/>
    </row>
    <row r="103" spans="1:21" s="62" customFormat="1" ht="24" customHeight="1">
      <c r="A103" s="97"/>
      <c r="B103" s="423" t="s">
        <v>167</v>
      </c>
      <c r="C103" s="423"/>
      <c r="D103" s="423"/>
      <c r="E103" s="425"/>
      <c r="F103" s="94"/>
      <c r="G103" s="113"/>
      <c r="H103" s="59"/>
      <c r="I103" s="114"/>
      <c r="J103" s="59"/>
      <c r="K103" s="60"/>
      <c r="L103" s="92"/>
      <c r="M103" s="87"/>
      <c r="N103" s="410"/>
      <c r="O103" s="410"/>
      <c r="P103" s="87"/>
      <c r="Q103" s="87"/>
      <c r="R103" s="87"/>
      <c r="S103" s="87"/>
      <c r="T103" s="87"/>
      <c r="U103" s="87"/>
    </row>
    <row r="104" spans="1:21" s="62" customFormat="1" ht="24" customHeight="1">
      <c r="A104" s="97"/>
      <c r="B104" s="423"/>
      <c r="C104" s="423"/>
      <c r="D104" s="423"/>
      <c r="E104" s="425"/>
      <c r="F104" s="94"/>
      <c r="G104" s="113"/>
      <c r="H104" s="59"/>
      <c r="I104" s="114"/>
      <c r="J104" s="59"/>
      <c r="K104" s="60">
        <f t="shared" ref="K104" si="17">H104+J104</f>
        <v>0</v>
      </c>
      <c r="L104" s="92"/>
      <c r="M104" s="87"/>
      <c r="N104" s="410"/>
      <c r="O104" s="410"/>
      <c r="P104" s="87"/>
      <c r="Q104" s="87"/>
      <c r="R104" s="87"/>
      <c r="S104" s="87"/>
      <c r="T104" s="87"/>
      <c r="U104" s="87"/>
    </row>
    <row r="105" spans="1:21" s="62" customFormat="1" ht="24" customHeight="1">
      <c r="A105" s="97"/>
      <c r="B105" s="430"/>
      <c r="C105" s="430"/>
      <c r="D105" s="430"/>
      <c r="E105" s="431"/>
      <c r="F105" s="432"/>
      <c r="G105" s="101"/>
      <c r="H105" s="102"/>
      <c r="I105" s="103"/>
      <c r="J105" s="102"/>
      <c r="K105" s="104"/>
      <c r="L105" s="433"/>
      <c r="M105" s="87"/>
      <c r="N105" s="410"/>
      <c r="O105" s="410"/>
      <c r="P105" s="87"/>
      <c r="Q105" s="87"/>
      <c r="R105" s="87"/>
      <c r="S105" s="87"/>
      <c r="T105" s="87"/>
      <c r="U105" s="87"/>
    </row>
    <row r="106" spans="1:21" s="62" customFormat="1" ht="24" customHeight="1">
      <c r="A106" s="97"/>
      <c r="B106" s="430"/>
      <c r="C106" s="430"/>
      <c r="D106" s="430"/>
      <c r="E106" s="431"/>
      <c r="F106" s="432"/>
      <c r="G106" s="101"/>
      <c r="H106" s="102"/>
      <c r="I106" s="103"/>
      <c r="J106" s="102"/>
      <c r="K106" s="104"/>
      <c r="L106" s="433"/>
      <c r="M106" s="87"/>
      <c r="N106" s="410"/>
      <c r="O106" s="410"/>
      <c r="P106" s="87"/>
      <c r="Q106" s="87"/>
      <c r="R106" s="87"/>
      <c r="S106" s="87"/>
      <c r="T106" s="87"/>
      <c r="U106" s="87"/>
    </row>
    <row r="107" spans="1:21" s="62" customFormat="1" ht="24" customHeight="1">
      <c r="A107" s="97"/>
      <c r="B107" s="430"/>
      <c r="C107" s="430"/>
      <c r="D107" s="430"/>
      <c r="E107" s="431"/>
      <c r="F107" s="432"/>
      <c r="G107" s="101"/>
      <c r="H107" s="102"/>
      <c r="I107" s="103"/>
      <c r="J107" s="102"/>
      <c r="K107" s="104"/>
      <c r="L107" s="433"/>
      <c r="M107" s="87"/>
      <c r="N107" s="410"/>
      <c r="O107" s="410"/>
      <c r="P107" s="87"/>
      <c r="Q107" s="87"/>
      <c r="R107" s="87"/>
      <c r="S107" s="87"/>
      <c r="T107" s="87"/>
      <c r="U107" s="87"/>
    </row>
    <row r="108" spans="1:21" s="62" customFormat="1" ht="24" customHeight="1">
      <c r="A108" s="97"/>
      <c r="B108" s="430"/>
      <c r="C108" s="430"/>
      <c r="D108" s="430"/>
      <c r="E108" s="431"/>
      <c r="F108" s="432"/>
      <c r="G108" s="101"/>
      <c r="H108" s="102"/>
      <c r="I108" s="103"/>
      <c r="J108" s="102"/>
      <c r="K108" s="104"/>
      <c r="L108" s="433"/>
      <c r="M108" s="87"/>
      <c r="N108" s="410"/>
      <c r="O108" s="410"/>
      <c r="P108" s="87"/>
      <c r="Q108" s="87"/>
      <c r="R108" s="87"/>
      <c r="S108" s="87"/>
      <c r="T108" s="87"/>
      <c r="U108" s="87"/>
    </row>
    <row r="109" spans="1:21" s="62" customFormat="1" ht="24" customHeight="1">
      <c r="A109" s="97"/>
      <c r="B109" s="430"/>
      <c r="C109" s="430"/>
      <c r="D109" s="430"/>
      <c r="E109" s="431"/>
      <c r="F109" s="432"/>
      <c r="G109" s="101"/>
      <c r="H109" s="102"/>
      <c r="I109" s="103"/>
      <c r="J109" s="102"/>
      <c r="K109" s="104"/>
      <c r="L109" s="433"/>
      <c r="M109" s="87"/>
      <c r="N109" s="87"/>
      <c r="O109" s="410"/>
      <c r="P109" s="87"/>
      <c r="Q109" s="87"/>
      <c r="R109" s="87"/>
      <c r="S109" s="87"/>
      <c r="T109" s="87"/>
      <c r="U109" s="87"/>
    </row>
    <row r="110" spans="1:21" s="62" customFormat="1" ht="24" customHeight="1">
      <c r="A110" s="109"/>
      <c r="B110" s="2444" t="str">
        <f>"รวมราคารายการที่ "&amp;A36</f>
        <v>รวมราคารายการที่ 1.1</v>
      </c>
      <c r="C110" s="2444"/>
      <c r="D110" s="2444"/>
      <c r="E110" s="110"/>
      <c r="F110" s="111"/>
      <c r="G110" s="112"/>
      <c r="H110" s="106">
        <f>ROUND(SUBTOTAL(9,H39:H109),2)</f>
        <v>8016574.0700000003</v>
      </c>
      <c r="I110" s="108"/>
      <c r="J110" s="106">
        <f>ROUND(SUBTOTAL(9,J39:J109),2)</f>
        <v>1407547.76</v>
      </c>
      <c r="K110" s="106">
        <f>ROUND(SUBTOTAL(9,K39:K109),2)</f>
        <v>9424121.8300000001</v>
      </c>
      <c r="L110" s="106"/>
      <c r="M110" s="87"/>
      <c r="N110" s="87"/>
      <c r="O110" s="410"/>
      <c r="P110" s="87"/>
      <c r="Q110" s="87"/>
      <c r="R110" s="87"/>
      <c r="S110" s="87"/>
      <c r="T110" s="87"/>
      <c r="U110" s="87"/>
    </row>
    <row r="111" spans="1:21" s="62" customFormat="1" ht="24" customHeight="1">
      <c r="A111" s="90">
        <v>1.2</v>
      </c>
      <c r="B111" s="411" t="s">
        <v>169</v>
      </c>
      <c r="C111" s="412"/>
      <c r="D111" s="412"/>
      <c r="E111" s="413"/>
      <c r="F111" s="414"/>
      <c r="G111" s="415"/>
      <c r="H111" s="416"/>
      <c r="I111" s="417"/>
      <c r="J111" s="416"/>
      <c r="K111" s="418"/>
      <c r="L111" s="419"/>
      <c r="M111" s="87"/>
      <c r="N111" s="87"/>
      <c r="O111" s="410"/>
      <c r="P111" s="87"/>
      <c r="Q111" s="87"/>
      <c r="R111" s="87"/>
      <c r="S111" s="87"/>
      <c r="T111" s="87"/>
      <c r="U111" s="87"/>
    </row>
    <row r="112" spans="1:21" s="62" customFormat="1" ht="24" customHeight="1">
      <c r="A112" s="67"/>
      <c r="B112" s="117"/>
      <c r="C112" s="117"/>
      <c r="D112" s="117"/>
      <c r="E112" s="118"/>
      <c r="F112" s="119"/>
      <c r="G112" s="113"/>
      <c r="H112" s="59"/>
      <c r="I112" s="114"/>
      <c r="J112" s="59"/>
      <c r="K112" s="60"/>
      <c r="L112" s="92"/>
      <c r="M112" s="87"/>
      <c r="N112" s="87"/>
      <c r="O112" s="410"/>
      <c r="P112" s="87"/>
      <c r="Q112" s="87"/>
      <c r="R112" s="87"/>
      <c r="S112" s="87"/>
      <c r="T112" s="87"/>
      <c r="U112" s="87"/>
    </row>
    <row r="113" spans="1:21" s="62" customFormat="1" ht="24" customHeight="1">
      <c r="A113" s="90" t="s">
        <v>40</v>
      </c>
      <c r="B113" s="411" t="s">
        <v>170</v>
      </c>
      <c r="C113" s="420"/>
      <c r="D113" s="421"/>
      <c r="E113" s="118"/>
      <c r="F113" s="119"/>
      <c r="G113" s="113"/>
      <c r="H113" s="59"/>
      <c r="I113" s="114"/>
      <c r="J113" s="59"/>
      <c r="K113" s="60"/>
      <c r="L113" s="92"/>
      <c r="M113" s="87"/>
      <c r="N113" s="410">
        <f>E114+E239+E364+E489+E614+E789+E914+E1039+E1113+E737</f>
        <v>8399.2099999999991</v>
      </c>
      <c r="O113" s="410"/>
      <c r="P113" s="87"/>
      <c r="Q113" s="87"/>
      <c r="R113" s="87"/>
      <c r="S113" s="87"/>
      <c r="T113" s="87"/>
      <c r="U113" s="87"/>
    </row>
    <row r="114" spans="1:21" s="62" customFormat="1" ht="24" customHeight="1">
      <c r="A114" s="93"/>
      <c r="B114" s="423" t="s">
        <v>150</v>
      </c>
      <c r="C114" s="424"/>
      <c r="D114" s="424"/>
      <c r="E114" s="425">
        <v>1301.1300000000001</v>
      </c>
      <c r="F114" s="94" t="s">
        <v>151</v>
      </c>
      <c r="G114" s="113">
        <v>2516</v>
      </c>
      <c r="H114" s="59">
        <f t="shared" ref="H114:H129" si="18">ROUND(E114*G114,2)</f>
        <v>3273643.08</v>
      </c>
      <c r="I114" s="114">
        <v>485</v>
      </c>
      <c r="J114" s="59">
        <f t="shared" ref="J114:J129" si="19">ROUND(E114*I114,2)</f>
        <v>631048.05000000005</v>
      </c>
      <c r="K114" s="60">
        <f t="shared" ref="K114:K129" si="20">H114+J114</f>
        <v>3904691.13</v>
      </c>
      <c r="L114" s="92"/>
      <c r="M114" s="87"/>
      <c r="N114" s="87"/>
      <c r="O114" s="410"/>
      <c r="P114" s="87"/>
      <c r="Q114" s="87"/>
      <c r="R114" s="87"/>
      <c r="S114" s="87"/>
      <c r="T114" s="87"/>
      <c r="U114" s="87"/>
    </row>
    <row r="115" spans="1:21" s="62" customFormat="1" ht="24" customHeight="1">
      <c r="A115" s="93"/>
      <c r="B115" s="426" t="s">
        <v>152</v>
      </c>
      <c r="C115" s="423"/>
      <c r="D115" s="423"/>
      <c r="E115" s="425"/>
      <c r="F115" s="94"/>
      <c r="G115" s="113"/>
      <c r="H115" s="59">
        <f t="shared" si="18"/>
        <v>0</v>
      </c>
      <c r="I115" s="114"/>
      <c r="J115" s="59">
        <f t="shared" si="19"/>
        <v>0</v>
      </c>
      <c r="K115" s="60">
        <f t="shared" si="20"/>
        <v>0</v>
      </c>
      <c r="L115" s="92"/>
      <c r="M115" s="87"/>
      <c r="N115" s="87"/>
      <c r="O115" s="410"/>
      <c r="P115" s="87"/>
      <c r="Q115" s="87"/>
      <c r="R115" s="87"/>
      <c r="S115" s="87"/>
      <c r="T115" s="87"/>
      <c r="U115" s="87"/>
    </row>
    <row r="116" spans="1:21" s="62" customFormat="1" ht="24" customHeight="1">
      <c r="A116" s="93"/>
      <c r="B116" s="426"/>
      <c r="C116" s="423" t="s">
        <v>153</v>
      </c>
      <c r="D116" s="423"/>
      <c r="E116" s="425">
        <f>E117/2</f>
        <v>2568.9050000000002</v>
      </c>
      <c r="F116" s="94" t="s">
        <v>37</v>
      </c>
      <c r="G116" s="113">
        <v>661.62</v>
      </c>
      <c r="H116" s="59">
        <f t="shared" si="18"/>
        <v>1699638.93</v>
      </c>
      <c r="I116" s="114"/>
      <c r="J116" s="59">
        <f t="shared" si="19"/>
        <v>0</v>
      </c>
      <c r="K116" s="60">
        <f t="shared" si="20"/>
        <v>1699638.93</v>
      </c>
      <c r="L116" s="92"/>
      <c r="M116" s="87"/>
      <c r="N116" s="87"/>
      <c r="O116" s="410"/>
      <c r="P116" s="87"/>
      <c r="Q116" s="87"/>
      <c r="R116" s="87"/>
      <c r="S116" s="87"/>
      <c r="T116" s="87"/>
      <c r="U116" s="87"/>
    </row>
    <row r="117" spans="1:21" s="62" customFormat="1" ht="24" customHeight="1">
      <c r="A117" s="93"/>
      <c r="B117" s="426"/>
      <c r="C117" s="423" t="s">
        <v>154</v>
      </c>
      <c r="D117" s="423"/>
      <c r="E117" s="425">
        <v>5137.8100000000004</v>
      </c>
      <c r="F117" s="94" t="s">
        <v>37</v>
      </c>
      <c r="G117" s="113"/>
      <c r="H117" s="59">
        <f t="shared" si="18"/>
        <v>0</v>
      </c>
      <c r="I117" s="114">
        <v>154</v>
      </c>
      <c r="J117" s="59">
        <f t="shared" si="19"/>
        <v>791222.74</v>
      </c>
      <c r="K117" s="60">
        <f t="shared" si="20"/>
        <v>791222.74</v>
      </c>
      <c r="L117" s="92"/>
      <c r="M117" s="87"/>
      <c r="N117" s="87"/>
      <c r="O117" s="410"/>
      <c r="P117" s="87"/>
      <c r="Q117" s="87"/>
      <c r="R117" s="87"/>
      <c r="S117" s="87"/>
      <c r="T117" s="87"/>
      <c r="U117" s="87"/>
    </row>
    <row r="118" spans="1:21" s="62" customFormat="1" ht="24" customHeight="1">
      <c r="A118" s="93"/>
      <c r="B118" s="423" t="s">
        <v>155</v>
      </c>
      <c r="C118" s="423"/>
      <c r="D118" s="423"/>
      <c r="E118" s="425">
        <f>(E117*0.25)</f>
        <v>1284.4525000000001</v>
      </c>
      <c r="F118" s="94" t="s">
        <v>156</v>
      </c>
      <c r="G118" s="113">
        <f t="shared" ref="G118" si="21">VLOOKUP(B118,$N$43:$O$53,2,FALSE)</f>
        <v>29.94</v>
      </c>
      <c r="H118" s="59">
        <f t="shared" si="18"/>
        <v>38456.51</v>
      </c>
      <c r="I118" s="114"/>
      <c r="J118" s="59">
        <f t="shared" si="19"/>
        <v>0</v>
      </c>
      <c r="K118" s="60">
        <f t="shared" si="20"/>
        <v>38456.51</v>
      </c>
      <c r="L118" s="92"/>
      <c r="M118" s="87"/>
      <c r="N118" s="87"/>
      <c r="O118" s="410"/>
      <c r="P118" s="87"/>
      <c r="Q118" s="87"/>
      <c r="R118" s="87"/>
      <c r="S118" s="87"/>
      <c r="T118" s="87"/>
      <c r="U118" s="87"/>
    </row>
    <row r="119" spans="1:21" s="62" customFormat="1" ht="24" customHeight="1">
      <c r="A119" s="93"/>
      <c r="B119" s="423" t="s">
        <v>157</v>
      </c>
      <c r="C119" s="423"/>
      <c r="D119" s="423"/>
      <c r="E119" s="425"/>
      <c r="F119" s="115"/>
      <c r="G119" s="113"/>
      <c r="H119" s="59">
        <f t="shared" si="18"/>
        <v>0</v>
      </c>
      <c r="I119" s="103"/>
      <c r="J119" s="59">
        <f t="shared" si="19"/>
        <v>0</v>
      </c>
      <c r="K119" s="60">
        <f t="shared" si="20"/>
        <v>0</v>
      </c>
      <c r="L119" s="92"/>
      <c r="M119" s="87"/>
      <c r="N119" s="87"/>
      <c r="O119" s="410"/>
      <c r="P119" s="87"/>
      <c r="Q119" s="87"/>
      <c r="R119" s="87"/>
      <c r="S119" s="87"/>
      <c r="T119" s="87"/>
      <c r="U119" s="87"/>
    </row>
    <row r="120" spans="1:21" s="62" customFormat="1" ht="24" customHeight="1">
      <c r="A120" s="93"/>
      <c r="B120" s="428" t="s">
        <v>158</v>
      </c>
      <c r="C120" s="428"/>
      <c r="D120" s="428"/>
      <c r="E120" s="425"/>
      <c r="F120" s="94" t="s">
        <v>156</v>
      </c>
      <c r="G120" s="113">
        <f>VLOOKUP(B120,$N$43:$O$54,2,FALSE)</f>
        <v>25.73</v>
      </c>
      <c r="H120" s="59">
        <f t="shared" si="18"/>
        <v>0</v>
      </c>
      <c r="I120" s="103">
        <v>4.0999999999999996</v>
      </c>
      <c r="J120" s="59">
        <f t="shared" si="19"/>
        <v>0</v>
      </c>
      <c r="K120" s="60">
        <f t="shared" si="20"/>
        <v>0</v>
      </c>
      <c r="L120" s="92"/>
      <c r="M120" s="87"/>
      <c r="N120" s="87"/>
      <c r="O120" s="410"/>
      <c r="P120" s="87"/>
      <c r="Q120" s="87"/>
      <c r="R120" s="87"/>
      <c r="S120" s="87"/>
      <c r="T120" s="87"/>
      <c r="U120" s="87"/>
    </row>
    <row r="121" spans="1:21" s="62" customFormat="1" ht="24" customHeight="1">
      <c r="A121" s="93"/>
      <c r="B121" s="423" t="s">
        <v>159</v>
      </c>
      <c r="C121" s="423"/>
      <c r="D121" s="423"/>
      <c r="E121" s="425">
        <v>21.04</v>
      </c>
      <c r="F121" s="94" t="s">
        <v>156</v>
      </c>
      <c r="G121" s="113">
        <f t="shared" ref="G121:G128" si="22">VLOOKUP(B121,$N$43:$O$54,2,FALSE)</f>
        <v>24.97</v>
      </c>
      <c r="H121" s="59">
        <f t="shared" si="18"/>
        <v>525.37</v>
      </c>
      <c r="I121" s="114">
        <v>4.0999999999999996</v>
      </c>
      <c r="J121" s="59">
        <f t="shared" si="19"/>
        <v>86.26</v>
      </c>
      <c r="K121" s="60">
        <f t="shared" si="20"/>
        <v>611.63</v>
      </c>
      <c r="L121" s="92"/>
      <c r="M121" s="87"/>
      <c r="N121" s="87"/>
      <c r="O121" s="410"/>
      <c r="P121" s="87"/>
      <c r="Q121" s="87"/>
      <c r="R121" s="87"/>
      <c r="S121" s="87"/>
      <c r="T121" s="87"/>
      <c r="U121" s="87"/>
    </row>
    <row r="122" spans="1:21" s="62" customFormat="1" ht="24" customHeight="1">
      <c r="A122" s="93"/>
      <c r="B122" s="423" t="s">
        <v>160</v>
      </c>
      <c r="C122" s="423"/>
      <c r="D122" s="423"/>
      <c r="E122" s="425">
        <v>27337</v>
      </c>
      <c r="F122" s="94" t="s">
        <v>156</v>
      </c>
      <c r="G122" s="113">
        <f t="shared" si="22"/>
        <v>24.47</v>
      </c>
      <c r="H122" s="59">
        <f t="shared" si="18"/>
        <v>668936.39</v>
      </c>
      <c r="I122" s="114">
        <v>3.3</v>
      </c>
      <c r="J122" s="59">
        <f t="shared" si="19"/>
        <v>90212.1</v>
      </c>
      <c r="K122" s="60">
        <f t="shared" si="20"/>
        <v>759148.49</v>
      </c>
      <c r="L122" s="92"/>
      <c r="M122" s="87"/>
      <c r="N122" s="87"/>
      <c r="O122" s="410"/>
      <c r="P122" s="87"/>
      <c r="Q122" s="87"/>
      <c r="R122" s="87"/>
      <c r="S122" s="87"/>
      <c r="T122" s="87"/>
      <c r="U122" s="87"/>
    </row>
    <row r="123" spans="1:21" s="62" customFormat="1" ht="24" customHeight="1">
      <c r="A123" s="93"/>
      <c r="B123" s="423" t="s">
        <v>161</v>
      </c>
      <c r="C123" s="423"/>
      <c r="D123" s="423"/>
      <c r="E123" s="425">
        <v>24961.99</v>
      </c>
      <c r="F123" s="115" t="s">
        <v>156</v>
      </c>
      <c r="G123" s="113">
        <f t="shared" si="22"/>
        <v>24.27</v>
      </c>
      <c r="H123" s="59">
        <f t="shared" si="18"/>
        <v>605827.5</v>
      </c>
      <c r="I123" s="114">
        <v>3.3</v>
      </c>
      <c r="J123" s="59">
        <f t="shared" si="19"/>
        <v>82374.570000000007</v>
      </c>
      <c r="K123" s="60">
        <f t="shared" si="20"/>
        <v>688202.07000000007</v>
      </c>
      <c r="L123" s="92"/>
      <c r="M123" s="87"/>
      <c r="N123" s="87"/>
      <c r="O123" s="410"/>
      <c r="P123" s="87"/>
      <c r="Q123" s="87"/>
      <c r="R123" s="87"/>
      <c r="S123" s="87"/>
      <c r="T123" s="87"/>
      <c r="U123" s="87"/>
    </row>
    <row r="124" spans="1:21" s="62" customFormat="1" ht="24" customHeight="1">
      <c r="A124" s="93"/>
      <c r="B124" s="428" t="s">
        <v>162</v>
      </c>
      <c r="C124" s="428"/>
      <c r="D124" s="428"/>
      <c r="E124" s="425">
        <v>0</v>
      </c>
      <c r="F124" s="94" t="s">
        <v>156</v>
      </c>
      <c r="G124" s="113">
        <f t="shared" si="22"/>
        <v>24.27</v>
      </c>
      <c r="H124" s="59">
        <f t="shared" si="18"/>
        <v>0</v>
      </c>
      <c r="I124" s="114">
        <v>2.9</v>
      </c>
      <c r="J124" s="59">
        <f t="shared" si="19"/>
        <v>0</v>
      </c>
      <c r="K124" s="60">
        <f t="shared" si="20"/>
        <v>0</v>
      </c>
      <c r="L124" s="92"/>
      <c r="M124" s="87"/>
      <c r="N124" s="87"/>
      <c r="O124" s="410"/>
      <c r="P124" s="87"/>
      <c r="Q124" s="87"/>
      <c r="R124" s="87"/>
      <c r="S124" s="87"/>
      <c r="T124" s="87"/>
      <c r="U124" s="87"/>
    </row>
    <row r="125" spans="1:21" s="62" customFormat="1" ht="24" customHeight="1">
      <c r="A125" s="93"/>
      <c r="B125" s="423" t="s">
        <v>163</v>
      </c>
      <c r="C125" s="423"/>
      <c r="D125" s="423"/>
      <c r="E125" s="425"/>
      <c r="F125" s="94" t="s">
        <v>156</v>
      </c>
      <c r="G125" s="113">
        <f t="shared" si="22"/>
        <v>24.27</v>
      </c>
      <c r="H125" s="59">
        <f t="shared" si="18"/>
        <v>0</v>
      </c>
      <c r="I125" s="114">
        <v>2.9</v>
      </c>
      <c r="J125" s="59">
        <f t="shared" si="19"/>
        <v>0</v>
      </c>
      <c r="K125" s="60">
        <f t="shared" si="20"/>
        <v>0</v>
      </c>
      <c r="L125" s="92"/>
      <c r="M125" s="87"/>
      <c r="N125" s="87"/>
      <c r="O125" s="410"/>
      <c r="P125" s="87"/>
      <c r="Q125" s="87"/>
      <c r="R125" s="87"/>
      <c r="S125" s="87"/>
      <c r="T125" s="87"/>
      <c r="U125" s="87"/>
    </row>
    <row r="126" spans="1:21" s="62" customFormat="1" ht="24" customHeight="1">
      <c r="A126" s="93"/>
      <c r="B126" s="423" t="s">
        <v>164</v>
      </c>
      <c r="C126" s="423"/>
      <c r="D126" s="423"/>
      <c r="E126" s="425"/>
      <c r="F126" s="94" t="s">
        <v>156</v>
      </c>
      <c r="G126" s="113">
        <f t="shared" si="22"/>
        <v>24.27</v>
      </c>
      <c r="H126" s="59">
        <f t="shared" si="18"/>
        <v>0</v>
      </c>
      <c r="I126" s="114">
        <v>2.9</v>
      </c>
      <c r="J126" s="59">
        <f t="shared" si="19"/>
        <v>0</v>
      </c>
      <c r="K126" s="60">
        <f t="shared" si="20"/>
        <v>0</v>
      </c>
      <c r="L126" s="92"/>
      <c r="M126" s="87"/>
      <c r="N126" s="87"/>
      <c r="O126" s="410"/>
      <c r="P126" s="87"/>
      <c r="Q126" s="87"/>
      <c r="R126" s="87"/>
      <c r="S126" s="87"/>
      <c r="T126" s="87"/>
      <c r="U126" s="87"/>
    </row>
    <row r="127" spans="1:21" s="62" customFormat="1" ht="24" customHeight="1">
      <c r="A127" s="93"/>
      <c r="B127" s="423" t="s">
        <v>165</v>
      </c>
      <c r="C127" s="423"/>
      <c r="D127" s="423"/>
      <c r="E127" s="425"/>
      <c r="F127" s="94" t="s">
        <v>156</v>
      </c>
      <c r="G127" s="113">
        <f t="shared" si="22"/>
        <v>23.8</v>
      </c>
      <c r="H127" s="59">
        <f t="shared" si="18"/>
        <v>0</v>
      </c>
      <c r="I127" s="114">
        <v>2.9</v>
      </c>
      <c r="J127" s="59">
        <f t="shared" si="19"/>
        <v>0</v>
      </c>
      <c r="K127" s="60">
        <f t="shared" si="20"/>
        <v>0</v>
      </c>
      <c r="L127" s="92"/>
      <c r="M127" s="87"/>
      <c r="N127" s="87"/>
      <c r="O127" s="410"/>
      <c r="P127" s="87"/>
      <c r="Q127" s="87"/>
      <c r="R127" s="87"/>
      <c r="S127" s="87"/>
      <c r="T127" s="87"/>
      <c r="U127" s="87"/>
    </row>
    <row r="128" spans="1:21" s="62" customFormat="1" ht="24" customHeight="1">
      <c r="A128" s="93"/>
      <c r="B128" s="423" t="s">
        <v>166</v>
      </c>
      <c r="C128" s="423"/>
      <c r="D128" s="423"/>
      <c r="E128" s="425">
        <f>(SUM(E120:E127)/1000)*30</f>
        <v>1569.6008999999999</v>
      </c>
      <c r="F128" s="94" t="s">
        <v>156</v>
      </c>
      <c r="G128" s="113">
        <f t="shared" si="22"/>
        <v>29.92</v>
      </c>
      <c r="H128" s="59">
        <f t="shared" si="18"/>
        <v>46962.46</v>
      </c>
      <c r="I128" s="114"/>
      <c r="J128" s="59">
        <f t="shared" si="19"/>
        <v>0</v>
      </c>
      <c r="K128" s="60">
        <f t="shared" si="20"/>
        <v>46962.46</v>
      </c>
      <c r="L128" s="92"/>
      <c r="M128" s="87"/>
      <c r="N128" s="87"/>
      <c r="O128" s="410"/>
      <c r="P128" s="87"/>
      <c r="Q128" s="87"/>
      <c r="R128" s="87"/>
      <c r="S128" s="87"/>
      <c r="T128" s="87"/>
      <c r="U128" s="87"/>
    </row>
    <row r="129" spans="1:21" s="62" customFormat="1" ht="24" customHeight="1">
      <c r="A129" s="93"/>
      <c r="B129" s="430" t="s">
        <v>171</v>
      </c>
      <c r="C129" s="430"/>
      <c r="D129" s="430"/>
      <c r="E129" s="425">
        <v>5016.1899999999996</v>
      </c>
      <c r="F129" s="432" t="s">
        <v>37</v>
      </c>
      <c r="G129" s="101">
        <v>340</v>
      </c>
      <c r="H129" s="59">
        <f t="shared" si="18"/>
        <v>1705504.6</v>
      </c>
      <c r="I129" s="103"/>
      <c r="J129" s="59">
        <f t="shared" si="19"/>
        <v>0</v>
      </c>
      <c r="K129" s="60">
        <f t="shared" si="20"/>
        <v>1705504.6</v>
      </c>
      <c r="L129" s="433"/>
      <c r="M129" s="87"/>
      <c r="N129" s="87"/>
      <c r="O129" s="410"/>
      <c r="P129" s="87"/>
      <c r="Q129" s="87"/>
      <c r="R129" s="87"/>
      <c r="S129" s="87"/>
      <c r="T129" s="87"/>
      <c r="U129" s="87"/>
    </row>
    <row r="130" spans="1:21" s="62" customFormat="1" ht="24" customHeight="1">
      <c r="A130" s="93"/>
      <c r="B130" s="430" t="s">
        <v>167</v>
      </c>
      <c r="C130" s="430"/>
      <c r="D130" s="430"/>
      <c r="E130" s="425"/>
      <c r="F130" s="432"/>
      <c r="G130" s="101"/>
      <c r="H130" s="59"/>
      <c r="I130" s="103"/>
      <c r="J130" s="59"/>
      <c r="K130" s="60"/>
      <c r="L130" s="433"/>
      <c r="M130" s="87"/>
      <c r="N130" s="87"/>
      <c r="O130" s="410"/>
      <c r="P130" s="87"/>
      <c r="Q130" s="87"/>
      <c r="R130" s="87"/>
      <c r="S130" s="87"/>
      <c r="T130" s="87"/>
      <c r="U130" s="87"/>
    </row>
    <row r="131" spans="1:21" s="62" customFormat="1" ht="24" customHeight="1">
      <c r="A131" s="93"/>
      <c r="B131" s="430"/>
      <c r="C131" s="430"/>
      <c r="D131" s="430"/>
      <c r="E131" s="425"/>
      <c r="F131" s="432"/>
      <c r="G131" s="101"/>
      <c r="H131" s="59">
        <f t="shared" ref="H131" si="23">E131*G131</f>
        <v>0</v>
      </c>
      <c r="I131" s="103"/>
      <c r="J131" s="59"/>
      <c r="K131" s="60"/>
      <c r="L131" s="433"/>
      <c r="M131" s="87"/>
      <c r="N131" s="87"/>
      <c r="O131" s="410"/>
      <c r="P131" s="87"/>
      <c r="Q131" s="87"/>
      <c r="R131" s="87"/>
      <c r="S131" s="87"/>
      <c r="T131" s="87"/>
      <c r="U131" s="87"/>
    </row>
    <row r="132" spans="1:21" s="62" customFormat="1" ht="24" customHeight="1">
      <c r="A132" s="93"/>
      <c r="B132" s="430"/>
      <c r="C132" s="430"/>
      <c r="D132" s="430"/>
      <c r="E132" s="425"/>
      <c r="F132" s="432"/>
      <c r="G132" s="101"/>
      <c r="H132" s="59"/>
      <c r="I132" s="103"/>
      <c r="J132" s="59"/>
      <c r="K132" s="60"/>
      <c r="L132" s="433"/>
      <c r="M132" s="87"/>
      <c r="N132" s="87"/>
      <c r="O132" s="410"/>
      <c r="P132" s="87"/>
      <c r="Q132" s="87"/>
      <c r="R132" s="87"/>
      <c r="S132" s="87"/>
      <c r="T132" s="87"/>
      <c r="U132" s="87"/>
    </row>
    <row r="133" spans="1:21" s="62" customFormat="1" ht="24" customHeight="1">
      <c r="A133" s="93"/>
      <c r="B133" s="430"/>
      <c r="C133" s="430"/>
      <c r="D133" s="430"/>
      <c r="E133" s="425"/>
      <c r="F133" s="432"/>
      <c r="G133" s="101"/>
      <c r="H133" s="59"/>
      <c r="I133" s="103"/>
      <c r="J133" s="59"/>
      <c r="K133" s="60"/>
      <c r="L133" s="433"/>
      <c r="M133" s="87"/>
      <c r="N133" s="87"/>
      <c r="O133" s="410"/>
      <c r="P133" s="87"/>
      <c r="Q133" s="87"/>
      <c r="R133" s="87"/>
      <c r="S133" s="87"/>
      <c r="T133" s="87"/>
      <c r="U133" s="87"/>
    </row>
    <row r="134" spans="1:21" s="62" customFormat="1" ht="24" customHeight="1">
      <c r="A134" s="93"/>
      <c r="B134" s="95"/>
      <c r="C134" s="420"/>
      <c r="D134" s="421"/>
      <c r="E134" s="118"/>
      <c r="F134" s="119"/>
      <c r="G134" s="113"/>
      <c r="H134" s="59"/>
      <c r="I134" s="114"/>
      <c r="J134" s="59"/>
      <c r="K134" s="60"/>
      <c r="L134" s="92"/>
      <c r="M134" s="87"/>
      <c r="N134" s="87"/>
      <c r="O134" s="410"/>
      <c r="P134" s="87"/>
      <c r="Q134" s="87"/>
      <c r="R134" s="87"/>
      <c r="S134" s="87"/>
      <c r="T134" s="87"/>
      <c r="U134" s="87"/>
    </row>
    <row r="135" spans="1:21" s="62" customFormat="1" ht="24" customHeight="1">
      <c r="A135" s="93"/>
      <c r="B135" s="95"/>
      <c r="C135" s="420"/>
      <c r="D135" s="421"/>
      <c r="E135" s="118"/>
      <c r="F135" s="119"/>
      <c r="G135" s="113"/>
      <c r="H135" s="59"/>
      <c r="I135" s="114"/>
      <c r="J135" s="59"/>
      <c r="K135" s="60"/>
      <c r="L135" s="92"/>
      <c r="M135" s="87"/>
      <c r="N135" s="87"/>
      <c r="O135" s="410"/>
      <c r="P135" s="87"/>
      <c r="Q135" s="87"/>
      <c r="R135" s="87"/>
      <c r="S135" s="87"/>
      <c r="T135" s="87"/>
      <c r="U135" s="87"/>
    </row>
    <row r="136" spans="1:21" s="62" customFormat="1" ht="24" customHeight="1">
      <c r="A136" s="90" t="s">
        <v>41</v>
      </c>
      <c r="B136" s="411" t="s">
        <v>172</v>
      </c>
      <c r="C136" s="420"/>
      <c r="D136" s="421"/>
      <c r="E136" s="447"/>
      <c r="F136" s="91"/>
      <c r="G136" s="113"/>
      <c r="H136" s="59"/>
      <c r="I136" s="114"/>
      <c r="J136" s="59"/>
      <c r="K136" s="60"/>
      <c r="L136" s="92"/>
      <c r="M136" s="87"/>
      <c r="N136" s="87"/>
      <c r="O136" s="410"/>
      <c r="P136" s="87"/>
      <c r="Q136" s="87"/>
      <c r="R136" s="87"/>
      <c r="S136" s="87"/>
      <c r="T136" s="87"/>
      <c r="U136" s="87"/>
    </row>
    <row r="137" spans="1:21" s="62" customFormat="1" ht="24" customHeight="1">
      <c r="A137" s="93"/>
      <c r="B137" s="423" t="s">
        <v>150</v>
      </c>
      <c r="C137" s="424"/>
      <c r="D137" s="424"/>
      <c r="E137" s="425">
        <v>424.98</v>
      </c>
      <c r="F137" s="94" t="s">
        <v>151</v>
      </c>
      <c r="G137" s="113">
        <v>2516</v>
      </c>
      <c r="H137" s="59">
        <f t="shared" ref="H137:H151" si="24">ROUND(E137*G137,2)</f>
        <v>1069249.68</v>
      </c>
      <c r="I137" s="114">
        <v>485</v>
      </c>
      <c r="J137" s="59">
        <f t="shared" ref="J137:J151" si="25">ROUND(E137*I137,2)</f>
        <v>206115.3</v>
      </c>
      <c r="K137" s="60">
        <f t="shared" ref="K137:K151" si="26">H137+J137</f>
        <v>1275364.98</v>
      </c>
      <c r="L137" s="92"/>
      <c r="M137" s="87"/>
      <c r="N137" s="425">
        <v>511.08</v>
      </c>
      <c r="O137" s="410"/>
      <c r="P137" s="87"/>
      <c r="Q137" s="87"/>
      <c r="R137" s="87"/>
      <c r="S137" s="87"/>
      <c r="T137" s="87"/>
      <c r="U137" s="87"/>
    </row>
    <row r="138" spans="1:21" s="62" customFormat="1" ht="24" customHeight="1">
      <c r="A138" s="93"/>
      <c r="B138" s="426" t="s">
        <v>152</v>
      </c>
      <c r="C138" s="423"/>
      <c r="D138" s="423"/>
      <c r="E138" s="425"/>
      <c r="F138" s="94"/>
      <c r="G138" s="113"/>
      <c r="H138" s="59">
        <f t="shared" si="24"/>
        <v>0</v>
      </c>
      <c r="I138" s="114"/>
      <c r="J138" s="59">
        <f t="shared" si="25"/>
        <v>0</v>
      </c>
      <c r="K138" s="60">
        <f t="shared" si="26"/>
        <v>0</v>
      </c>
      <c r="L138" s="92"/>
      <c r="M138" s="87"/>
      <c r="N138" s="87"/>
      <c r="O138" s="410"/>
      <c r="P138" s="87"/>
      <c r="Q138" s="87"/>
      <c r="R138" s="87"/>
      <c r="S138" s="87"/>
      <c r="T138" s="87"/>
      <c r="U138" s="87"/>
    </row>
    <row r="139" spans="1:21" s="62" customFormat="1" ht="24" customHeight="1">
      <c r="A139" s="93"/>
      <c r="B139" s="426"/>
      <c r="C139" s="423" t="s">
        <v>153</v>
      </c>
      <c r="D139" s="423"/>
      <c r="E139" s="425">
        <f>E140/2</f>
        <v>479.10500000000002</v>
      </c>
      <c r="F139" s="94" t="s">
        <v>37</v>
      </c>
      <c r="G139" s="113">
        <v>661.62</v>
      </c>
      <c r="H139" s="59">
        <f t="shared" si="24"/>
        <v>316985.45</v>
      </c>
      <c r="I139" s="114"/>
      <c r="J139" s="59">
        <f t="shared" si="25"/>
        <v>0</v>
      </c>
      <c r="K139" s="60">
        <f t="shared" si="26"/>
        <v>316985.45</v>
      </c>
      <c r="L139" s="92"/>
      <c r="M139" s="87"/>
      <c r="N139" s="87"/>
      <c r="O139" s="410"/>
      <c r="P139" s="87"/>
      <c r="Q139" s="87"/>
      <c r="R139" s="87"/>
      <c r="S139" s="87"/>
      <c r="T139" s="87"/>
      <c r="U139" s="87"/>
    </row>
    <row r="140" spans="1:21" s="62" customFormat="1" ht="24" customHeight="1">
      <c r="A140" s="93"/>
      <c r="B140" s="426"/>
      <c r="C140" s="423" t="s">
        <v>154</v>
      </c>
      <c r="D140" s="423"/>
      <c r="E140" s="425">
        <v>958.21</v>
      </c>
      <c r="F140" s="94" t="s">
        <v>37</v>
      </c>
      <c r="G140" s="113"/>
      <c r="H140" s="59">
        <f t="shared" si="24"/>
        <v>0</v>
      </c>
      <c r="I140" s="114">
        <v>154</v>
      </c>
      <c r="J140" s="59">
        <f t="shared" si="25"/>
        <v>147564.34</v>
      </c>
      <c r="K140" s="60">
        <f t="shared" si="26"/>
        <v>147564.34</v>
      </c>
      <c r="L140" s="92"/>
      <c r="M140" s="87"/>
      <c r="N140" s="87"/>
      <c r="O140" s="410"/>
      <c r="P140" s="87"/>
      <c r="Q140" s="87"/>
      <c r="R140" s="87"/>
      <c r="S140" s="87"/>
      <c r="T140" s="87"/>
      <c r="U140" s="87"/>
    </row>
    <row r="141" spans="1:21" s="62" customFormat="1" ht="24" customHeight="1">
      <c r="A141" s="93"/>
      <c r="B141" s="423" t="s">
        <v>155</v>
      </c>
      <c r="C141" s="423"/>
      <c r="D141" s="423"/>
      <c r="E141" s="425">
        <f>(E140*0.25)</f>
        <v>239.55250000000001</v>
      </c>
      <c r="F141" s="94" t="s">
        <v>156</v>
      </c>
      <c r="G141" s="113">
        <f t="shared" ref="G141" si="27">VLOOKUP(B141,$N$43:$O$53,2,FALSE)</f>
        <v>29.94</v>
      </c>
      <c r="H141" s="59">
        <f t="shared" si="24"/>
        <v>7172.2</v>
      </c>
      <c r="I141" s="114"/>
      <c r="J141" s="59">
        <f t="shared" si="25"/>
        <v>0</v>
      </c>
      <c r="K141" s="60">
        <f t="shared" si="26"/>
        <v>7172.2</v>
      </c>
      <c r="L141" s="92"/>
      <c r="M141" s="87"/>
      <c r="N141" s="87"/>
      <c r="O141" s="410"/>
      <c r="P141" s="87"/>
      <c r="Q141" s="87"/>
      <c r="R141" s="87"/>
      <c r="S141" s="87"/>
      <c r="T141" s="87"/>
      <c r="U141" s="87"/>
    </row>
    <row r="142" spans="1:21" s="62" customFormat="1" ht="24" customHeight="1">
      <c r="A142" s="93"/>
      <c r="B142" s="423" t="s">
        <v>157</v>
      </c>
      <c r="C142" s="423"/>
      <c r="D142" s="423"/>
      <c r="E142" s="425"/>
      <c r="F142" s="115"/>
      <c r="G142" s="113"/>
      <c r="H142" s="59">
        <f t="shared" si="24"/>
        <v>0</v>
      </c>
      <c r="I142" s="103"/>
      <c r="J142" s="59">
        <f t="shared" si="25"/>
        <v>0</v>
      </c>
      <c r="K142" s="60">
        <f t="shared" si="26"/>
        <v>0</v>
      </c>
      <c r="L142" s="92"/>
      <c r="M142" s="87"/>
      <c r="N142" s="87"/>
      <c r="O142" s="410"/>
      <c r="P142" s="87"/>
      <c r="Q142" s="87"/>
      <c r="R142" s="87"/>
      <c r="S142" s="87"/>
      <c r="T142" s="87"/>
      <c r="U142" s="87"/>
    </row>
    <row r="143" spans="1:21" s="62" customFormat="1" ht="24" customHeight="1">
      <c r="A143" s="93"/>
      <c r="B143" s="428" t="s">
        <v>158</v>
      </c>
      <c r="C143" s="428"/>
      <c r="D143" s="428"/>
      <c r="E143" s="425"/>
      <c r="F143" s="94" t="s">
        <v>156</v>
      </c>
      <c r="G143" s="113">
        <f>VLOOKUP(B143,$N$43:$O$54,2,FALSE)</f>
        <v>25.73</v>
      </c>
      <c r="H143" s="59">
        <f t="shared" si="24"/>
        <v>0</v>
      </c>
      <c r="I143" s="103">
        <v>4.0999999999999996</v>
      </c>
      <c r="J143" s="59">
        <f t="shared" si="25"/>
        <v>0</v>
      </c>
      <c r="K143" s="60">
        <f t="shared" si="26"/>
        <v>0</v>
      </c>
      <c r="L143" s="92"/>
      <c r="M143" s="87"/>
      <c r="N143" s="87"/>
      <c r="O143" s="410"/>
      <c r="P143" s="87"/>
      <c r="Q143" s="87"/>
      <c r="R143" s="87"/>
      <c r="S143" s="87"/>
      <c r="T143" s="87"/>
      <c r="U143" s="87"/>
    </row>
    <row r="144" spans="1:21" s="62" customFormat="1" ht="24" customHeight="1">
      <c r="A144" s="93"/>
      <c r="B144" s="423" t="s">
        <v>159</v>
      </c>
      <c r="C144" s="423"/>
      <c r="D144" s="423"/>
      <c r="E144" s="425">
        <v>553.20000000000005</v>
      </c>
      <c r="F144" s="94" t="s">
        <v>156</v>
      </c>
      <c r="G144" s="113">
        <f t="shared" ref="G144:G151" si="28">VLOOKUP(B144,$N$43:$O$54,2,FALSE)</f>
        <v>24.97</v>
      </c>
      <c r="H144" s="59">
        <f t="shared" si="24"/>
        <v>13813.4</v>
      </c>
      <c r="I144" s="114">
        <v>4.0999999999999996</v>
      </c>
      <c r="J144" s="59">
        <f t="shared" si="25"/>
        <v>2268.12</v>
      </c>
      <c r="K144" s="60">
        <f t="shared" si="26"/>
        <v>16081.52</v>
      </c>
      <c r="L144" s="92"/>
      <c r="M144" s="87"/>
      <c r="N144" s="87"/>
      <c r="O144" s="410"/>
      <c r="P144" s="87"/>
      <c r="Q144" s="87"/>
      <c r="R144" s="87"/>
      <c r="S144" s="87"/>
      <c r="T144" s="87"/>
      <c r="U144" s="87"/>
    </row>
    <row r="145" spans="1:21" s="62" customFormat="1" ht="24" customHeight="1">
      <c r="A145" s="93"/>
      <c r="B145" s="423" t="s">
        <v>160</v>
      </c>
      <c r="C145" s="423"/>
      <c r="D145" s="423"/>
      <c r="E145" s="425">
        <v>45412.23</v>
      </c>
      <c r="F145" s="94" t="s">
        <v>156</v>
      </c>
      <c r="G145" s="113">
        <f t="shared" si="28"/>
        <v>24.47</v>
      </c>
      <c r="H145" s="59">
        <f t="shared" si="24"/>
        <v>1111237.27</v>
      </c>
      <c r="I145" s="114">
        <v>3.3</v>
      </c>
      <c r="J145" s="59">
        <f t="shared" si="25"/>
        <v>149860.35999999999</v>
      </c>
      <c r="K145" s="60">
        <f t="shared" si="26"/>
        <v>1261097.6299999999</v>
      </c>
      <c r="L145" s="92"/>
      <c r="M145" s="87"/>
      <c r="N145" s="87"/>
      <c r="O145" s="410"/>
      <c r="P145" s="87"/>
      <c r="Q145" s="87"/>
      <c r="R145" s="87"/>
      <c r="S145" s="87"/>
      <c r="T145" s="87"/>
      <c r="U145" s="87"/>
    </row>
    <row r="146" spans="1:21" s="62" customFormat="1" ht="24" customHeight="1">
      <c r="A146" s="93"/>
      <c r="B146" s="423" t="s">
        <v>161</v>
      </c>
      <c r="C146" s="423"/>
      <c r="D146" s="423"/>
      <c r="E146" s="425">
        <v>1196.0899999999999</v>
      </c>
      <c r="F146" s="115" t="s">
        <v>156</v>
      </c>
      <c r="G146" s="113">
        <f t="shared" si="28"/>
        <v>24.27</v>
      </c>
      <c r="H146" s="59">
        <f t="shared" si="24"/>
        <v>29029.1</v>
      </c>
      <c r="I146" s="114">
        <v>3.3</v>
      </c>
      <c r="J146" s="59">
        <f t="shared" si="25"/>
        <v>3947.1</v>
      </c>
      <c r="K146" s="60">
        <f t="shared" si="26"/>
        <v>32976.199999999997</v>
      </c>
      <c r="L146" s="92"/>
      <c r="M146" s="87"/>
      <c r="N146" s="87"/>
      <c r="O146" s="410"/>
      <c r="P146" s="87"/>
      <c r="Q146" s="87"/>
      <c r="R146" s="87"/>
      <c r="S146" s="87"/>
      <c r="T146" s="87"/>
      <c r="U146" s="87"/>
    </row>
    <row r="147" spans="1:21" s="62" customFormat="1" ht="24" customHeight="1">
      <c r="A147" s="93"/>
      <c r="B147" s="428" t="s">
        <v>162</v>
      </c>
      <c r="C147" s="428"/>
      <c r="D147" s="428"/>
      <c r="E147" s="425">
        <v>1817.79</v>
      </c>
      <c r="F147" s="94" t="s">
        <v>156</v>
      </c>
      <c r="G147" s="113">
        <f t="shared" si="28"/>
        <v>24.27</v>
      </c>
      <c r="H147" s="59">
        <f t="shared" si="24"/>
        <v>44117.760000000002</v>
      </c>
      <c r="I147" s="114">
        <v>2.9</v>
      </c>
      <c r="J147" s="59">
        <f t="shared" si="25"/>
        <v>5271.59</v>
      </c>
      <c r="K147" s="60">
        <f t="shared" si="26"/>
        <v>49389.350000000006</v>
      </c>
      <c r="L147" s="92"/>
      <c r="M147" s="87"/>
      <c r="N147" s="87"/>
      <c r="O147" s="410"/>
      <c r="P147" s="87"/>
      <c r="Q147" s="87"/>
      <c r="R147" s="87"/>
      <c r="S147" s="87"/>
      <c r="T147" s="87"/>
      <c r="U147" s="87"/>
    </row>
    <row r="148" spans="1:21" s="62" customFormat="1" ht="24" customHeight="1">
      <c r="A148" s="93"/>
      <c r="B148" s="423" t="s">
        <v>163</v>
      </c>
      <c r="C148" s="423"/>
      <c r="D148" s="423"/>
      <c r="E148" s="425">
        <v>20167.900000000001</v>
      </c>
      <c r="F148" s="94" t="s">
        <v>156</v>
      </c>
      <c r="G148" s="113">
        <f t="shared" si="28"/>
        <v>24.27</v>
      </c>
      <c r="H148" s="59">
        <f t="shared" si="24"/>
        <v>489474.93</v>
      </c>
      <c r="I148" s="114">
        <v>2.9</v>
      </c>
      <c r="J148" s="59">
        <f t="shared" si="25"/>
        <v>58486.91</v>
      </c>
      <c r="K148" s="60">
        <f t="shared" si="26"/>
        <v>547961.84</v>
      </c>
      <c r="L148" s="92"/>
      <c r="M148" s="87"/>
      <c r="N148" s="87"/>
      <c r="O148" s="410"/>
      <c r="P148" s="87"/>
      <c r="Q148" s="87"/>
      <c r="R148" s="87"/>
      <c r="S148" s="87"/>
      <c r="T148" s="87"/>
      <c r="U148" s="87"/>
    </row>
    <row r="149" spans="1:21" s="62" customFormat="1" ht="24" customHeight="1">
      <c r="A149" s="93"/>
      <c r="B149" s="423" t="s">
        <v>164</v>
      </c>
      <c r="C149" s="423"/>
      <c r="D149" s="423"/>
      <c r="E149" s="425">
        <v>31872.04</v>
      </c>
      <c r="F149" s="94" t="s">
        <v>156</v>
      </c>
      <c r="G149" s="113">
        <f t="shared" si="28"/>
        <v>24.27</v>
      </c>
      <c r="H149" s="59">
        <f t="shared" si="24"/>
        <v>773534.41</v>
      </c>
      <c r="I149" s="114">
        <v>2.9</v>
      </c>
      <c r="J149" s="59">
        <f t="shared" si="25"/>
        <v>92428.92</v>
      </c>
      <c r="K149" s="60">
        <f t="shared" si="26"/>
        <v>865963.33000000007</v>
      </c>
      <c r="L149" s="92"/>
      <c r="M149" s="87"/>
      <c r="N149" s="87"/>
      <c r="O149" s="410"/>
      <c r="P149" s="87"/>
      <c r="Q149" s="87"/>
      <c r="R149" s="87"/>
      <c r="S149" s="87"/>
      <c r="T149" s="87"/>
      <c r="U149" s="87"/>
    </row>
    <row r="150" spans="1:21" s="62" customFormat="1" ht="24" customHeight="1">
      <c r="A150" s="93"/>
      <c r="B150" s="423" t="s">
        <v>165</v>
      </c>
      <c r="C150" s="423"/>
      <c r="D150" s="423"/>
      <c r="E150" s="425">
        <v>0</v>
      </c>
      <c r="F150" s="94" t="s">
        <v>156</v>
      </c>
      <c r="G150" s="113">
        <f t="shared" si="28"/>
        <v>23.8</v>
      </c>
      <c r="H150" s="59">
        <f t="shared" si="24"/>
        <v>0</v>
      </c>
      <c r="I150" s="114">
        <v>2.9</v>
      </c>
      <c r="J150" s="59">
        <f t="shared" si="25"/>
        <v>0</v>
      </c>
      <c r="K150" s="60">
        <f t="shared" si="26"/>
        <v>0</v>
      </c>
      <c r="L150" s="92"/>
      <c r="M150" s="87"/>
      <c r="N150" s="87"/>
      <c r="O150" s="410"/>
      <c r="P150" s="87"/>
      <c r="Q150" s="87"/>
      <c r="R150" s="87"/>
      <c r="S150" s="87"/>
      <c r="T150" s="87"/>
      <c r="U150" s="87"/>
    </row>
    <row r="151" spans="1:21" s="62" customFormat="1" ht="24" customHeight="1">
      <c r="A151" s="93"/>
      <c r="B151" s="423" t="s">
        <v>166</v>
      </c>
      <c r="C151" s="423"/>
      <c r="D151" s="423"/>
      <c r="E151" s="425">
        <f>(SUM(E143:E150)/1000)*30</f>
        <v>3030.5774999999999</v>
      </c>
      <c r="F151" s="94" t="s">
        <v>156</v>
      </c>
      <c r="G151" s="113">
        <f t="shared" si="28"/>
        <v>29.92</v>
      </c>
      <c r="H151" s="59">
        <f t="shared" si="24"/>
        <v>90674.880000000005</v>
      </c>
      <c r="I151" s="114"/>
      <c r="J151" s="59">
        <f t="shared" si="25"/>
        <v>0</v>
      </c>
      <c r="K151" s="60">
        <f t="shared" si="26"/>
        <v>90674.880000000005</v>
      </c>
      <c r="L151" s="92"/>
      <c r="M151" s="87"/>
      <c r="N151" s="87"/>
      <c r="O151" s="410"/>
      <c r="P151" s="87"/>
      <c r="Q151" s="87"/>
      <c r="R151" s="87"/>
      <c r="S151" s="87"/>
      <c r="T151" s="87"/>
      <c r="U151" s="87"/>
    </row>
    <row r="152" spans="1:21" s="62" customFormat="1" ht="24" customHeight="1">
      <c r="A152" s="93"/>
      <c r="B152" s="423" t="s">
        <v>167</v>
      </c>
      <c r="C152" s="423"/>
      <c r="D152" s="423"/>
      <c r="E152" s="425"/>
      <c r="F152" s="94"/>
      <c r="G152" s="113"/>
      <c r="H152" s="59"/>
      <c r="I152" s="114"/>
      <c r="J152" s="59"/>
      <c r="K152" s="60"/>
      <c r="L152" s="92"/>
      <c r="M152" s="87"/>
      <c r="N152" s="87"/>
      <c r="O152" s="410"/>
      <c r="P152" s="87"/>
      <c r="Q152" s="87"/>
      <c r="R152" s="87"/>
      <c r="S152" s="87"/>
      <c r="T152" s="87"/>
      <c r="U152" s="87"/>
    </row>
    <row r="153" spans="1:21" s="62" customFormat="1" ht="24" customHeight="1">
      <c r="A153" s="93"/>
      <c r="B153" s="95"/>
      <c r="C153" s="420"/>
      <c r="D153" s="421"/>
      <c r="E153" s="447"/>
      <c r="F153" s="91"/>
      <c r="G153" s="113"/>
      <c r="H153" s="59"/>
      <c r="I153" s="114"/>
      <c r="J153" s="59"/>
      <c r="K153" s="60"/>
      <c r="L153" s="92"/>
      <c r="M153" s="87"/>
      <c r="N153" s="87"/>
      <c r="O153" s="410"/>
      <c r="P153" s="87"/>
      <c r="Q153" s="87"/>
      <c r="R153" s="87"/>
      <c r="S153" s="87"/>
      <c r="T153" s="87"/>
      <c r="U153" s="87"/>
    </row>
    <row r="154" spans="1:21" s="62" customFormat="1" ht="24" customHeight="1">
      <c r="A154" s="93"/>
      <c r="B154" s="95"/>
      <c r="C154" s="420"/>
      <c r="D154" s="421"/>
      <c r="E154" s="447"/>
      <c r="F154" s="91"/>
      <c r="G154" s="113"/>
      <c r="H154" s="59"/>
      <c r="I154" s="114"/>
      <c r="J154" s="59"/>
      <c r="K154" s="60"/>
      <c r="L154" s="92"/>
      <c r="M154" s="87"/>
      <c r="N154" s="87"/>
      <c r="O154" s="410"/>
      <c r="P154" s="87"/>
      <c r="Q154" s="87"/>
      <c r="R154" s="87"/>
      <c r="S154" s="87"/>
      <c r="T154" s="87"/>
      <c r="U154" s="87"/>
    </row>
    <row r="155" spans="1:21" s="62" customFormat="1" ht="24" customHeight="1">
      <c r="A155" s="93"/>
      <c r="B155" s="95"/>
      <c r="C155" s="420"/>
      <c r="D155" s="421"/>
      <c r="E155" s="447"/>
      <c r="F155" s="91"/>
      <c r="G155" s="113"/>
      <c r="H155" s="59"/>
      <c r="I155" s="114"/>
      <c r="J155" s="59"/>
      <c r="K155" s="60"/>
      <c r="L155" s="92"/>
      <c r="M155" s="87"/>
      <c r="N155" s="87"/>
      <c r="O155" s="410"/>
      <c r="P155" s="87"/>
      <c r="Q155" s="87"/>
      <c r="R155" s="87"/>
      <c r="S155" s="87"/>
      <c r="T155" s="87"/>
      <c r="U155" s="87"/>
    </row>
    <row r="156" spans="1:21" s="62" customFormat="1" ht="24" customHeight="1">
      <c r="A156" s="93"/>
      <c r="B156" s="95"/>
      <c r="C156" s="420"/>
      <c r="D156" s="421"/>
      <c r="E156" s="447"/>
      <c r="F156" s="91"/>
      <c r="G156" s="113"/>
      <c r="H156" s="59"/>
      <c r="I156" s="114"/>
      <c r="J156" s="59"/>
      <c r="K156" s="60"/>
      <c r="L156" s="92"/>
      <c r="M156" s="87"/>
      <c r="N156" s="87"/>
      <c r="O156" s="410"/>
      <c r="P156" s="87"/>
      <c r="Q156" s="87"/>
      <c r="R156" s="87"/>
      <c r="S156" s="87"/>
      <c r="T156" s="87"/>
      <c r="U156" s="87"/>
    </row>
    <row r="157" spans="1:21" s="62" customFormat="1" ht="24" customHeight="1">
      <c r="A157" s="93"/>
      <c r="B157" s="95"/>
      <c r="C157" s="420"/>
      <c r="D157" s="421"/>
      <c r="E157" s="447"/>
      <c r="F157" s="91"/>
      <c r="G157" s="113"/>
      <c r="H157" s="59"/>
      <c r="I157" s="114"/>
      <c r="J157" s="59"/>
      <c r="K157" s="60"/>
      <c r="L157" s="92"/>
      <c r="M157" s="87"/>
      <c r="N157" s="87"/>
      <c r="O157" s="410"/>
      <c r="P157" s="87"/>
      <c r="Q157" s="87"/>
      <c r="R157" s="87"/>
      <c r="S157" s="87"/>
      <c r="T157" s="87"/>
      <c r="U157" s="87"/>
    </row>
    <row r="158" spans="1:21" s="62" customFormat="1" ht="24" customHeight="1">
      <c r="A158" s="93"/>
      <c r="B158" s="95"/>
      <c r="C158" s="420"/>
      <c r="D158" s="421"/>
      <c r="E158" s="447"/>
      <c r="F158" s="91"/>
      <c r="G158" s="113"/>
      <c r="H158" s="59"/>
      <c r="I158" s="114"/>
      <c r="J158" s="59"/>
      <c r="K158" s="60"/>
      <c r="L158" s="92"/>
      <c r="M158" s="87"/>
      <c r="N158" s="87"/>
      <c r="O158" s="410"/>
      <c r="P158" s="87"/>
      <c r="Q158" s="87"/>
      <c r="R158" s="87"/>
      <c r="S158" s="87"/>
      <c r="T158" s="87"/>
      <c r="U158" s="87"/>
    </row>
    <row r="159" spans="1:21" s="62" customFormat="1" ht="24" customHeight="1">
      <c r="A159" s="93"/>
      <c r="B159" s="95"/>
      <c r="C159" s="420"/>
      <c r="D159" s="421"/>
      <c r="E159" s="447"/>
      <c r="F159" s="91"/>
      <c r="G159" s="113"/>
      <c r="H159" s="59"/>
      <c r="I159" s="114"/>
      <c r="J159" s="59"/>
      <c r="K159" s="60"/>
      <c r="L159" s="92"/>
      <c r="M159" s="87"/>
      <c r="N159" s="87"/>
      <c r="O159" s="410"/>
      <c r="P159" s="87"/>
      <c r="Q159" s="87"/>
      <c r="R159" s="87"/>
      <c r="S159" s="87"/>
      <c r="T159" s="87"/>
      <c r="U159" s="87"/>
    </row>
    <row r="160" spans="1:21" s="62" customFormat="1" ht="24" customHeight="1">
      <c r="A160" s="93"/>
      <c r="B160" s="95"/>
      <c r="C160" s="420"/>
      <c r="D160" s="421"/>
      <c r="E160" s="447"/>
      <c r="F160" s="91"/>
      <c r="G160" s="113"/>
      <c r="H160" s="59"/>
      <c r="I160" s="114"/>
      <c r="J160" s="59"/>
      <c r="K160" s="60"/>
      <c r="L160" s="92"/>
      <c r="M160" s="87"/>
      <c r="N160" s="87"/>
      <c r="O160" s="410"/>
      <c r="P160" s="87"/>
      <c r="Q160" s="87"/>
      <c r="R160" s="87"/>
      <c r="S160" s="87"/>
      <c r="T160" s="87"/>
      <c r="U160" s="87"/>
    </row>
    <row r="161" spans="1:21" s="62" customFormat="1" ht="24" customHeight="1">
      <c r="A161" s="90" t="s">
        <v>42</v>
      </c>
      <c r="B161" s="411" t="s">
        <v>173</v>
      </c>
      <c r="C161" s="420"/>
      <c r="D161" s="421"/>
      <c r="E161" s="429"/>
      <c r="F161" s="94"/>
      <c r="G161" s="113"/>
      <c r="H161" s="59"/>
      <c r="I161" s="114"/>
      <c r="J161" s="59"/>
      <c r="K161" s="60"/>
      <c r="L161" s="92"/>
      <c r="M161" s="87"/>
      <c r="N161" s="87"/>
      <c r="O161" s="410"/>
      <c r="P161" s="87"/>
      <c r="Q161" s="87"/>
      <c r="R161" s="87"/>
      <c r="S161" s="87"/>
      <c r="T161" s="87"/>
      <c r="U161" s="87"/>
    </row>
    <row r="162" spans="1:21" s="62" customFormat="1" ht="24" customHeight="1">
      <c r="A162" s="93"/>
      <c r="B162" s="423" t="s">
        <v>150</v>
      </c>
      <c r="C162" s="424"/>
      <c r="D162" s="424"/>
      <c r="E162" s="425">
        <v>327.13</v>
      </c>
      <c r="F162" s="94" t="s">
        <v>151</v>
      </c>
      <c r="G162" s="113">
        <v>2516</v>
      </c>
      <c r="H162" s="59">
        <f t="shared" ref="H162:H176" si="29">ROUND(E162*G162,2)</f>
        <v>823059.08</v>
      </c>
      <c r="I162" s="114">
        <v>485</v>
      </c>
      <c r="J162" s="59">
        <f>ROUND(E162*I162,2)</f>
        <v>158658.04999999999</v>
      </c>
      <c r="K162" s="60">
        <f t="shared" ref="K162:K176" si="30">H162+J162</f>
        <v>981717.12999999989</v>
      </c>
      <c r="L162" s="92"/>
      <c r="M162" s="87"/>
      <c r="N162" s="87"/>
      <c r="O162" s="410"/>
      <c r="P162" s="87"/>
      <c r="Q162" s="87"/>
      <c r="R162" s="87"/>
      <c r="S162" s="87"/>
      <c r="T162" s="87"/>
      <c r="U162" s="87"/>
    </row>
    <row r="163" spans="1:21" s="62" customFormat="1" ht="24" customHeight="1">
      <c r="A163" s="93"/>
      <c r="B163" s="426" t="s">
        <v>152</v>
      </c>
      <c r="C163" s="423"/>
      <c r="D163" s="423"/>
      <c r="E163" s="425"/>
      <c r="F163" s="94"/>
      <c r="G163" s="113"/>
      <c r="H163" s="59">
        <f t="shared" si="29"/>
        <v>0</v>
      </c>
      <c r="I163" s="114"/>
      <c r="J163" s="59">
        <f t="shared" ref="J163:J176" si="31">ROUND(E163*I163,2)</f>
        <v>0</v>
      </c>
      <c r="K163" s="60">
        <f t="shared" si="30"/>
        <v>0</v>
      </c>
      <c r="L163" s="92"/>
      <c r="M163" s="87"/>
      <c r="N163" s="87"/>
      <c r="O163" s="410"/>
      <c r="P163" s="87"/>
      <c r="Q163" s="87"/>
      <c r="R163" s="87"/>
      <c r="S163" s="87"/>
      <c r="T163" s="87"/>
      <c r="U163" s="87"/>
    </row>
    <row r="164" spans="1:21" s="62" customFormat="1" ht="24" customHeight="1">
      <c r="A164" s="93"/>
      <c r="B164" s="426"/>
      <c r="C164" s="423" t="s">
        <v>153</v>
      </c>
      <c r="D164" s="423"/>
      <c r="E164" s="425">
        <f>E165/2</f>
        <v>649.49</v>
      </c>
      <c r="F164" s="94" t="s">
        <v>37</v>
      </c>
      <c r="G164" s="113">
        <v>661.62</v>
      </c>
      <c r="H164" s="59">
        <f t="shared" si="29"/>
        <v>429715.57</v>
      </c>
      <c r="I164" s="114"/>
      <c r="J164" s="59">
        <f t="shared" si="31"/>
        <v>0</v>
      </c>
      <c r="K164" s="60">
        <f t="shared" si="30"/>
        <v>429715.57</v>
      </c>
      <c r="L164" s="92"/>
      <c r="M164" s="87"/>
      <c r="N164" s="87"/>
      <c r="O164" s="410"/>
      <c r="P164" s="87"/>
      <c r="Q164" s="87"/>
      <c r="R164" s="87"/>
      <c r="S164" s="87"/>
      <c r="T164" s="87"/>
      <c r="U164" s="87"/>
    </row>
    <row r="165" spans="1:21" s="62" customFormat="1" ht="24" customHeight="1">
      <c r="A165" s="93"/>
      <c r="B165" s="426"/>
      <c r="C165" s="423" t="s">
        <v>154</v>
      </c>
      <c r="D165" s="423"/>
      <c r="E165" s="425">
        <v>1298.98</v>
      </c>
      <c r="F165" s="94" t="s">
        <v>37</v>
      </c>
      <c r="G165" s="113"/>
      <c r="H165" s="59">
        <f t="shared" si="29"/>
        <v>0</v>
      </c>
      <c r="I165" s="114">
        <v>154</v>
      </c>
      <c r="J165" s="59">
        <f t="shared" si="31"/>
        <v>200042.92</v>
      </c>
      <c r="K165" s="60">
        <f t="shared" si="30"/>
        <v>200042.92</v>
      </c>
      <c r="L165" s="92"/>
      <c r="M165" s="87"/>
      <c r="N165" s="87"/>
      <c r="O165" s="410"/>
      <c r="P165" s="87"/>
      <c r="Q165" s="87"/>
      <c r="R165" s="87"/>
      <c r="S165" s="87"/>
      <c r="T165" s="87"/>
      <c r="U165" s="87"/>
    </row>
    <row r="166" spans="1:21" s="62" customFormat="1" ht="24" customHeight="1">
      <c r="A166" s="93"/>
      <c r="B166" s="423" t="s">
        <v>155</v>
      </c>
      <c r="C166" s="423"/>
      <c r="D166" s="423"/>
      <c r="E166" s="425">
        <f>(E165*0.25)</f>
        <v>324.745</v>
      </c>
      <c r="F166" s="94" t="s">
        <v>156</v>
      </c>
      <c r="G166" s="113">
        <f t="shared" ref="G166" si="32">VLOOKUP(B166,$N$43:$O$53,2,FALSE)</f>
        <v>29.94</v>
      </c>
      <c r="H166" s="59">
        <f t="shared" si="29"/>
        <v>9722.8700000000008</v>
      </c>
      <c r="I166" s="114"/>
      <c r="J166" s="59">
        <f t="shared" si="31"/>
        <v>0</v>
      </c>
      <c r="K166" s="60">
        <f t="shared" si="30"/>
        <v>9722.8700000000008</v>
      </c>
      <c r="L166" s="92"/>
      <c r="M166" s="87"/>
      <c r="N166" s="87"/>
      <c r="O166" s="410"/>
      <c r="P166" s="87"/>
      <c r="Q166" s="87"/>
      <c r="R166" s="87"/>
      <c r="S166" s="87"/>
      <c r="T166" s="87"/>
      <c r="U166" s="87"/>
    </row>
    <row r="167" spans="1:21" s="62" customFormat="1" ht="24" customHeight="1">
      <c r="A167" s="93"/>
      <c r="B167" s="423" t="s">
        <v>157</v>
      </c>
      <c r="C167" s="423"/>
      <c r="D167" s="423"/>
      <c r="E167" s="425"/>
      <c r="F167" s="115"/>
      <c r="G167" s="101"/>
      <c r="H167" s="59">
        <f t="shared" si="29"/>
        <v>0</v>
      </c>
      <c r="I167" s="103"/>
      <c r="J167" s="59">
        <f t="shared" si="31"/>
        <v>0</v>
      </c>
      <c r="K167" s="60">
        <f t="shared" si="30"/>
        <v>0</v>
      </c>
      <c r="L167" s="92"/>
      <c r="M167" s="87"/>
      <c r="N167" s="87"/>
      <c r="O167" s="410"/>
      <c r="P167" s="87"/>
      <c r="Q167" s="87"/>
      <c r="R167" s="87"/>
      <c r="S167" s="87"/>
      <c r="T167" s="87"/>
      <c r="U167" s="87"/>
    </row>
    <row r="168" spans="1:21" s="62" customFormat="1" ht="24" customHeight="1">
      <c r="A168" s="93"/>
      <c r="B168" s="428" t="s">
        <v>158</v>
      </c>
      <c r="C168" s="428"/>
      <c r="D168" s="428"/>
      <c r="E168" s="425"/>
      <c r="F168" s="94" t="s">
        <v>156</v>
      </c>
      <c r="G168" s="113">
        <f>VLOOKUP(B168,$N$43:$O$54,2,FALSE)</f>
        <v>25.73</v>
      </c>
      <c r="H168" s="59">
        <f t="shared" si="29"/>
        <v>0</v>
      </c>
      <c r="I168" s="103">
        <v>4.0999999999999996</v>
      </c>
      <c r="J168" s="59">
        <f t="shared" si="31"/>
        <v>0</v>
      </c>
      <c r="K168" s="60">
        <f t="shared" si="30"/>
        <v>0</v>
      </c>
      <c r="L168" s="92"/>
      <c r="M168" s="87"/>
      <c r="N168" s="87"/>
      <c r="O168" s="410"/>
      <c r="P168" s="87"/>
      <c r="Q168" s="87"/>
      <c r="R168" s="87"/>
      <c r="S168" s="87"/>
      <c r="T168" s="87"/>
      <c r="U168" s="87"/>
    </row>
    <row r="169" spans="1:21" s="62" customFormat="1" ht="24" customHeight="1">
      <c r="A169" s="93"/>
      <c r="B169" s="423" t="s">
        <v>159</v>
      </c>
      <c r="C169" s="423"/>
      <c r="D169" s="423"/>
      <c r="E169" s="425">
        <v>6.95</v>
      </c>
      <c r="F169" s="94" t="s">
        <v>156</v>
      </c>
      <c r="G169" s="113">
        <f t="shared" ref="G169:G176" si="33">VLOOKUP(B169,$N$43:$O$54,2,FALSE)</f>
        <v>24.97</v>
      </c>
      <c r="H169" s="59">
        <f t="shared" si="29"/>
        <v>173.54</v>
      </c>
      <c r="I169" s="114">
        <v>4.0999999999999996</v>
      </c>
      <c r="J169" s="59">
        <f t="shared" si="31"/>
        <v>28.5</v>
      </c>
      <c r="K169" s="60">
        <f t="shared" si="30"/>
        <v>202.04</v>
      </c>
      <c r="L169" s="92"/>
      <c r="M169" s="87"/>
      <c r="N169" s="87"/>
      <c r="O169" s="410"/>
      <c r="P169" s="87"/>
      <c r="Q169" s="87"/>
      <c r="R169" s="87"/>
      <c r="S169" s="87"/>
      <c r="T169" s="87"/>
      <c r="U169" s="87"/>
    </row>
    <row r="170" spans="1:21" s="62" customFormat="1" ht="24" customHeight="1">
      <c r="A170" s="93"/>
      <c r="B170" s="423" t="s">
        <v>160</v>
      </c>
      <c r="C170" s="423"/>
      <c r="D170" s="423"/>
      <c r="E170" s="425">
        <v>22409.78</v>
      </c>
      <c r="F170" s="94" t="s">
        <v>156</v>
      </c>
      <c r="G170" s="113">
        <f t="shared" si="33"/>
        <v>24.47</v>
      </c>
      <c r="H170" s="59">
        <f t="shared" si="29"/>
        <v>548367.31999999995</v>
      </c>
      <c r="I170" s="114">
        <v>3.3</v>
      </c>
      <c r="J170" s="59">
        <f t="shared" si="31"/>
        <v>73952.27</v>
      </c>
      <c r="K170" s="60">
        <f t="shared" si="30"/>
        <v>622319.59</v>
      </c>
      <c r="L170" s="92"/>
      <c r="M170" s="87"/>
      <c r="N170" s="87"/>
      <c r="O170" s="410"/>
      <c r="P170" s="87"/>
      <c r="Q170" s="87"/>
      <c r="R170" s="87"/>
      <c r="S170" s="87"/>
      <c r="T170" s="87"/>
      <c r="U170" s="87"/>
    </row>
    <row r="171" spans="1:21" s="62" customFormat="1" ht="24" customHeight="1">
      <c r="A171" s="93"/>
      <c r="B171" s="423" t="s">
        <v>161</v>
      </c>
      <c r="C171" s="423"/>
      <c r="D171" s="423"/>
      <c r="E171" s="425">
        <v>20</v>
      </c>
      <c r="F171" s="115" t="s">
        <v>156</v>
      </c>
      <c r="G171" s="113">
        <f t="shared" si="33"/>
        <v>24.27</v>
      </c>
      <c r="H171" s="59">
        <f t="shared" si="29"/>
        <v>485.4</v>
      </c>
      <c r="I171" s="114">
        <v>3.3</v>
      </c>
      <c r="J171" s="59">
        <f t="shared" si="31"/>
        <v>66</v>
      </c>
      <c r="K171" s="60">
        <f t="shared" si="30"/>
        <v>551.4</v>
      </c>
      <c r="L171" s="92"/>
      <c r="M171" s="87"/>
      <c r="N171" s="87"/>
      <c r="O171" s="410"/>
      <c r="P171" s="87"/>
      <c r="Q171" s="87"/>
      <c r="R171" s="87"/>
      <c r="S171" s="87"/>
      <c r="T171" s="87"/>
      <c r="U171" s="87"/>
    </row>
    <row r="172" spans="1:21" s="62" customFormat="1" ht="24" customHeight="1">
      <c r="A172" s="93"/>
      <c r="B172" s="428" t="s">
        <v>162</v>
      </c>
      <c r="C172" s="428"/>
      <c r="D172" s="428"/>
      <c r="E172" s="425">
        <v>933.35</v>
      </c>
      <c r="F172" s="94" t="s">
        <v>156</v>
      </c>
      <c r="G172" s="113">
        <f t="shared" si="33"/>
        <v>24.27</v>
      </c>
      <c r="H172" s="59">
        <f t="shared" si="29"/>
        <v>22652.400000000001</v>
      </c>
      <c r="I172" s="114">
        <v>2.9</v>
      </c>
      <c r="J172" s="59">
        <f t="shared" si="31"/>
        <v>2706.72</v>
      </c>
      <c r="K172" s="60">
        <f t="shared" si="30"/>
        <v>25359.120000000003</v>
      </c>
      <c r="L172" s="92"/>
      <c r="M172" s="87"/>
      <c r="N172" s="87"/>
      <c r="O172" s="410"/>
      <c r="P172" s="87"/>
      <c r="Q172" s="87"/>
      <c r="R172" s="87"/>
      <c r="S172" s="87"/>
      <c r="T172" s="87"/>
      <c r="U172" s="87"/>
    </row>
    <row r="173" spans="1:21" s="62" customFormat="1" ht="24" customHeight="1">
      <c r="A173" s="93"/>
      <c r="B173" s="423" t="s">
        <v>163</v>
      </c>
      <c r="C173" s="423"/>
      <c r="D173" s="423"/>
      <c r="E173" s="425">
        <v>8748.74</v>
      </c>
      <c r="F173" s="94" t="s">
        <v>156</v>
      </c>
      <c r="G173" s="113">
        <f t="shared" si="33"/>
        <v>24.27</v>
      </c>
      <c r="H173" s="59">
        <f t="shared" si="29"/>
        <v>212331.92</v>
      </c>
      <c r="I173" s="114">
        <v>2.9</v>
      </c>
      <c r="J173" s="59">
        <f t="shared" si="31"/>
        <v>25371.35</v>
      </c>
      <c r="K173" s="60">
        <f t="shared" si="30"/>
        <v>237703.27000000002</v>
      </c>
      <c r="L173" s="92"/>
      <c r="M173" s="87"/>
      <c r="N173" s="87"/>
      <c r="O173" s="410"/>
      <c r="P173" s="87"/>
      <c r="Q173" s="87"/>
      <c r="R173" s="87"/>
      <c r="S173" s="87"/>
      <c r="T173" s="87"/>
      <c r="U173" s="87"/>
    </row>
    <row r="174" spans="1:21" s="62" customFormat="1" ht="24" customHeight="1">
      <c r="A174" s="93"/>
      <c r="B174" s="423" t="s">
        <v>164</v>
      </c>
      <c r="C174" s="423"/>
      <c r="D174" s="423"/>
      <c r="E174" s="425">
        <v>58171.170000000006</v>
      </c>
      <c r="F174" s="94" t="s">
        <v>156</v>
      </c>
      <c r="G174" s="113">
        <f t="shared" si="33"/>
        <v>24.27</v>
      </c>
      <c r="H174" s="59">
        <f t="shared" si="29"/>
        <v>1411814.3</v>
      </c>
      <c r="I174" s="114">
        <v>2.9</v>
      </c>
      <c r="J174" s="59">
        <f t="shared" si="31"/>
        <v>168696.39</v>
      </c>
      <c r="K174" s="60">
        <f t="shared" si="30"/>
        <v>1580510.69</v>
      </c>
      <c r="L174" s="92"/>
      <c r="M174" s="87"/>
      <c r="N174" s="87"/>
      <c r="O174" s="410"/>
      <c r="P174" s="87"/>
      <c r="Q174" s="87"/>
      <c r="R174" s="87"/>
      <c r="S174" s="87"/>
      <c r="T174" s="87"/>
      <c r="U174" s="87"/>
    </row>
    <row r="175" spans="1:21" s="62" customFormat="1" ht="24" customHeight="1">
      <c r="A175" s="93"/>
      <c r="B175" s="423" t="s">
        <v>165</v>
      </c>
      <c r="C175" s="423"/>
      <c r="D175" s="423"/>
      <c r="E175" s="425"/>
      <c r="F175" s="94" t="s">
        <v>156</v>
      </c>
      <c r="G175" s="113">
        <f t="shared" si="33"/>
        <v>23.8</v>
      </c>
      <c r="H175" s="59">
        <f t="shared" si="29"/>
        <v>0</v>
      </c>
      <c r="I175" s="114">
        <v>2.9</v>
      </c>
      <c r="J175" s="59">
        <f t="shared" si="31"/>
        <v>0</v>
      </c>
      <c r="K175" s="60">
        <f t="shared" si="30"/>
        <v>0</v>
      </c>
      <c r="L175" s="92"/>
      <c r="M175" s="87"/>
      <c r="N175" s="87"/>
      <c r="O175" s="410"/>
      <c r="P175" s="87"/>
      <c r="Q175" s="87"/>
      <c r="R175" s="87"/>
      <c r="S175" s="87"/>
      <c r="T175" s="87"/>
      <c r="U175" s="87"/>
    </row>
    <row r="176" spans="1:21" s="62" customFormat="1" ht="24" customHeight="1">
      <c r="A176" s="93"/>
      <c r="B176" s="423" t="s">
        <v>166</v>
      </c>
      <c r="C176" s="423"/>
      <c r="D176" s="423"/>
      <c r="E176" s="425">
        <f>(SUM(E168:E175)/1000)*30</f>
        <v>2708.6997000000001</v>
      </c>
      <c r="F176" s="94" t="s">
        <v>156</v>
      </c>
      <c r="G176" s="113">
        <f t="shared" si="33"/>
        <v>29.92</v>
      </c>
      <c r="H176" s="59">
        <f t="shared" si="29"/>
        <v>81044.3</v>
      </c>
      <c r="I176" s="114"/>
      <c r="J176" s="59">
        <f t="shared" si="31"/>
        <v>0</v>
      </c>
      <c r="K176" s="60">
        <f t="shared" si="30"/>
        <v>81044.3</v>
      </c>
      <c r="L176" s="92"/>
      <c r="M176" s="87"/>
      <c r="N176" s="87"/>
      <c r="O176" s="410"/>
      <c r="P176" s="87"/>
      <c r="Q176" s="87"/>
      <c r="R176" s="87"/>
      <c r="S176" s="87"/>
      <c r="T176" s="87"/>
      <c r="U176" s="87"/>
    </row>
    <row r="177" spans="1:21" s="62" customFormat="1" ht="24" customHeight="1">
      <c r="A177" s="93"/>
      <c r="B177" s="423" t="s">
        <v>167</v>
      </c>
      <c r="C177" s="423"/>
      <c r="D177" s="423"/>
      <c r="E177" s="425"/>
      <c r="F177" s="94"/>
      <c r="G177" s="113"/>
      <c r="H177" s="59"/>
      <c r="I177" s="114"/>
      <c r="J177" s="59"/>
      <c r="K177" s="60"/>
      <c r="L177" s="92"/>
      <c r="M177" s="87"/>
      <c r="N177" s="87"/>
      <c r="O177" s="410"/>
      <c r="P177" s="87"/>
      <c r="Q177" s="87"/>
      <c r="R177" s="87"/>
      <c r="S177" s="87"/>
      <c r="T177" s="87"/>
      <c r="U177" s="87"/>
    </row>
    <row r="178" spans="1:21" s="62" customFormat="1" ht="24" customHeight="1">
      <c r="A178" s="93"/>
      <c r="B178" s="423"/>
      <c r="C178" s="423"/>
      <c r="D178" s="423"/>
      <c r="E178" s="425"/>
      <c r="F178" s="94"/>
      <c r="G178" s="113"/>
      <c r="H178" s="59"/>
      <c r="I178" s="114"/>
      <c r="J178" s="59"/>
      <c r="K178" s="60">
        <f t="shared" ref="K178" si="34">H178+J178</f>
        <v>0</v>
      </c>
      <c r="L178" s="92"/>
      <c r="M178" s="87"/>
      <c r="N178" s="87"/>
      <c r="O178" s="410"/>
      <c r="P178" s="87"/>
      <c r="Q178" s="87"/>
      <c r="R178" s="87"/>
      <c r="S178" s="87"/>
      <c r="T178" s="87"/>
      <c r="U178" s="87"/>
    </row>
    <row r="179" spans="1:21" s="62" customFormat="1" ht="24" customHeight="1">
      <c r="A179" s="93"/>
      <c r="B179" s="95"/>
      <c r="C179" s="420"/>
      <c r="D179" s="421"/>
      <c r="E179" s="429"/>
      <c r="F179" s="94"/>
      <c r="G179" s="113"/>
      <c r="H179" s="59"/>
      <c r="I179" s="114"/>
      <c r="J179" s="59"/>
      <c r="K179" s="60"/>
      <c r="L179" s="92"/>
      <c r="M179" s="87"/>
      <c r="N179" s="87"/>
      <c r="O179" s="410"/>
      <c r="P179" s="87"/>
      <c r="Q179" s="87"/>
      <c r="R179" s="87"/>
      <c r="S179" s="87"/>
      <c r="T179" s="87"/>
      <c r="U179" s="87"/>
    </row>
    <row r="180" spans="1:21" s="62" customFormat="1" ht="24" customHeight="1">
      <c r="A180" s="93"/>
      <c r="B180" s="95"/>
      <c r="C180" s="420"/>
      <c r="D180" s="421"/>
      <c r="E180" s="429"/>
      <c r="F180" s="94"/>
      <c r="G180" s="113"/>
      <c r="H180" s="59"/>
      <c r="I180" s="114"/>
      <c r="J180" s="59"/>
      <c r="K180" s="60"/>
      <c r="L180" s="92"/>
      <c r="M180" s="87"/>
      <c r="N180" s="87"/>
      <c r="O180" s="410"/>
      <c r="P180" s="87"/>
      <c r="Q180" s="87"/>
      <c r="R180" s="87"/>
      <c r="S180" s="87"/>
      <c r="T180" s="87"/>
      <c r="U180" s="87"/>
    </row>
    <row r="181" spans="1:21" s="62" customFormat="1" ht="24" customHeight="1">
      <c r="A181" s="93"/>
      <c r="B181" s="95"/>
      <c r="C181" s="420"/>
      <c r="D181" s="421"/>
      <c r="E181" s="429"/>
      <c r="F181" s="94"/>
      <c r="G181" s="113"/>
      <c r="H181" s="59"/>
      <c r="I181" s="114"/>
      <c r="J181" s="59"/>
      <c r="K181" s="60"/>
      <c r="L181" s="92"/>
      <c r="M181" s="87"/>
      <c r="N181" s="87"/>
      <c r="O181" s="410"/>
      <c r="P181" s="87"/>
      <c r="Q181" s="87"/>
      <c r="R181" s="87"/>
      <c r="S181" s="87"/>
      <c r="T181" s="87"/>
      <c r="U181" s="87"/>
    </row>
    <row r="182" spans="1:21" s="62" customFormat="1" ht="24" customHeight="1">
      <c r="A182" s="93"/>
      <c r="B182" s="95"/>
      <c r="C182" s="420"/>
      <c r="D182" s="421"/>
      <c r="E182" s="429"/>
      <c r="F182" s="94"/>
      <c r="G182" s="113"/>
      <c r="H182" s="59"/>
      <c r="I182" s="114"/>
      <c r="J182" s="59"/>
      <c r="K182" s="60"/>
      <c r="L182" s="92"/>
      <c r="M182" s="87"/>
      <c r="N182" s="87"/>
      <c r="O182" s="410"/>
      <c r="P182" s="87"/>
      <c r="Q182" s="87"/>
      <c r="R182" s="87"/>
      <c r="S182" s="87"/>
      <c r="T182" s="87"/>
      <c r="U182" s="87"/>
    </row>
    <row r="183" spans="1:21" s="62" customFormat="1" ht="24" customHeight="1">
      <c r="A183" s="93"/>
      <c r="B183" s="95"/>
      <c r="C183" s="420"/>
      <c r="D183" s="421"/>
      <c r="E183" s="429"/>
      <c r="F183" s="94"/>
      <c r="G183" s="113"/>
      <c r="H183" s="59"/>
      <c r="I183" s="114"/>
      <c r="J183" s="59"/>
      <c r="K183" s="60"/>
      <c r="L183" s="92"/>
      <c r="M183" s="87"/>
      <c r="N183" s="87"/>
      <c r="O183" s="410"/>
      <c r="P183" s="87"/>
      <c r="Q183" s="87"/>
      <c r="R183" s="87"/>
      <c r="S183" s="87"/>
      <c r="T183" s="87"/>
      <c r="U183" s="87"/>
    </row>
    <row r="184" spans="1:21" s="62" customFormat="1" ht="24" customHeight="1">
      <c r="A184" s="93"/>
      <c r="B184" s="95"/>
      <c r="C184" s="420"/>
      <c r="D184" s="421"/>
      <c r="E184" s="429"/>
      <c r="F184" s="94"/>
      <c r="G184" s="113"/>
      <c r="H184" s="59"/>
      <c r="I184" s="114"/>
      <c r="J184" s="59"/>
      <c r="K184" s="60"/>
      <c r="L184" s="92"/>
      <c r="M184" s="87"/>
      <c r="N184" s="87"/>
      <c r="O184" s="410"/>
      <c r="P184" s="87"/>
      <c r="Q184" s="87"/>
      <c r="R184" s="87"/>
      <c r="S184" s="87"/>
      <c r="T184" s="87"/>
      <c r="U184" s="87"/>
    </row>
    <row r="185" spans="1:21" s="62" customFormat="1" ht="24" customHeight="1">
      <c r="A185" s="93"/>
      <c r="B185" s="95"/>
      <c r="C185" s="420"/>
      <c r="D185" s="421"/>
      <c r="E185" s="429"/>
      <c r="F185" s="94"/>
      <c r="G185" s="113"/>
      <c r="H185" s="59"/>
      <c r="I185" s="114"/>
      <c r="J185" s="59"/>
      <c r="K185" s="60"/>
      <c r="L185" s="92"/>
      <c r="M185" s="87"/>
      <c r="N185" s="87"/>
      <c r="O185" s="410"/>
      <c r="P185" s="87"/>
      <c r="Q185" s="87"/>
      <c r="R185" s="87"/>
      <c r="S185" s="87"/>
      <c r="T185" s="87"/>
      <c r="U185" s="87"/>
    </row>
    <row r="186" spans="1:21" s="62" customFormat="1" ht="24" customHeight="1">
      <c r="A186" s="90" t="s">
        <v>43</v>
      </c>
      <c r="B186" s="411" t="s">
        <v>226</v>
      </c>
      <c r="C186" s="420"/>
      <c r="D186" s="421"/>
      <c r="E186" s="429"/>
      <c r="F186" s="94"/>
      <c r="G186" s="113"/>
      <c r="H186" s="59"/>
      <c r="I186" s="114"/>
      <c r="J186" s="59"/>
      <c r="K186" s="60"/>
      <c r="L186" s="92"/>
      <c r="M186" s="87"/>
      <c r="N186" s="87"/>
      <c r="O186" s="410"/>
      <c r="P186" s="87"/>
      <c r="Q186" s="87"/>
      <c r="R186" s="87"/>
      <c r="S186" s="87"/>
      <c r="T186" s="87"/>
      <c r="U186" s="87"/>
    </row>
    <row r="187" spans="1:21" s="62" customFormat="1" ht="24" customHeight="1">
      <c r="A187" s="93"/>
      <c r="B187" s="423" t="s">
        <v>150</v>
      </c>
      <c r="C187" s="424"/>
      <c r="D187" s="424"/>
      <c r="E187" s="425">
        <v>221.5</v>
      </c>
      <c r="F187" s="94" t="s">
        <v>151</v>
      </c>
      <c r="G187" s="113">
        <v>2516</v>
      </c>
      <c r="H187" s="59">
        <f t="shared" ref="H187:H201" si="35">ROUND(E187*G187,2)</f>
        <v>557294</v>
      </c>
      <c r="I187" s="114">
        <v>485</v>
      </c>
      <c r="J187" s="59">
        <f t="shared" ref="J187:J201" si="36">ROUND(E187*I187,2)</f>
        <v>107427.5</v>
      </c>
      <c r="K187" s="60">
        <f t="shared" ref="K187:K201" si="37">H187+J187</f>
        <v>664721.5</v>
      </c>
      <c r="L187" s="92"/>
      <c r="M187" s="87"/>
      <c r="N187" s="87"/>
      <c r="O187" s="410"/>
      <c r="P187" s="87"/>
      <c r="Q187" s="87"/>
      <c r="R187" s="87"/>
      <c r="S187" s="87"/>
      <c r="T187" s="87"/>
      <c r="U187" s="87"/>
    </row>
    <row r="188" spans="1:21" s="62" customFormat="1" ht="24" customHeight="1">
      <c r="A188" s="93"/>
      <c r="B188" s="426" t="s">
        <v>152</v>
      </c>
      <c r="C188" s="423"/>
      <c r="D188" s="423"/>
      <c r="E188" s="425"/>
      <c r="F188" s="94"/>
      <c r="G188" s="113"/>
      <c r="H188" s="59">
        <f t="shared" si="35"/>
        <v>0</v>
      </c>
      <c r="I188" s="114"/>
      <c r="J188" s="59">
        <f t="shared" si="36"/>
        <v>0</v>
      </c>
      <c r="K188" s="60">
        <f t="shared" si="37"/>
        <v>0</v>
      </c>
      <c r="L188" s="92"/>
      <c r="M188" s="87"/>
      <c r="N188" s="87"/>
      <c r="O188" s="410"/>
      <c r="P188" s="87"/>
      <c r="Q188" s="87"/>
      <c r="R188" s="87"/>
      <c r="S188" s="87"/>
      <c r="T188" s="87"/>
      <c r="U188" s="87"/>
    </row>
    <row r="189" spans="1:21" s="62" customFormat="1" ht="24" customHeight="1">
      <c r="A189" s="93"/>
      <c r="B189" s="426"/>
      <c r="C189" s="423" t="s">
        <v>153</v>
      </c>
      <c r="D189" s="423"/>
      <c r="E189" s="425">
        <f>E190/2</f>
        <v>733.26</v>
      </c>
      <c r="F189" s="94" t="s">
        <v>37</v>
      </c>
      <c r="G189" s="113">
        <v>661.62</v>
      </c>
      <c r="H189" s="59">
        <f t="shared" si="35"/>
        <v>485139.48</v>
      </c>
      <c r="I189" s="114"/>
      <c r="J189" s="59">
        <f t="shared" si="36"/>
        <v>0</v>
      </c>
      <c r="K189" s="60">
        <f t="shared" si="37"/>
        <v>485139.48</v>
      </c>
      <c r="L189" s="92"/>
      <c r="M189" s="87"/>
      <c r="N189" s="87"/>
      <c r="O189" s="410"/>
      <c r="P189" s="87"/>
      <c r="Q189" s="87"/>
      <c r="R189" s="87"/>
      <c r="S189" s="87"/>
      <c r="T189" s="87"/>
      <c r="U189" s="87"/>
    </row>
    <row r="190" spans="1:21" s="62" customFormat="1" ht="24" customHeight="1">
      <c r="A190" s="93"/>
      <c r="B190" s="426"/>
      <c r="C190" s="423" t="s">
        <v>154</v>
      </c>
      <c r="D190" s="423"/>
      <c r="E190" s="425">
        <v>1466.52</v>
      </c>
      <c r="F190" s="94" t="s">
        <v>37</v>
      </c>
      <c r="G190" s="113"/>
      <c r="H190" s="59">
        <f t="shared" si="35"/>
        <v>0</v>
      </c>
      <c r="I190" s="114">
        <v>154</v>
      </c>
      <c r="J190" s="59">
        <f t="shared" si="36"/>
        <v>225844.08</v>
      </c>
      <c r="K190" s="60">
        <f t="shared" si="37"/>
        <v>225844.08</v>
      </c>
      <c r="L190" s="92"/>
      <c r="M190" s="87"/>
      <c r="N190" s="87"/>
      <c r="O190" s="410"/>
      <c r="P190" s="87"/>
      <c r="Q190" s="87"/>
      <c r="R190" s="87"/>
      <c r="S190" s="87"/>
      <c r="T190" s="87"/>
      <c r="U190" s="87"/>
    </row>
    <row r="191" spans="1:21" s="62" customFormat="1" ht="24" customHeight="1">
      <c r="A191" s="93"/>
      <c r="B191" s="423" t="s">
        <v>155</v>
      </c>
      <c r="C191" s="423"/>
      <c r="D191" s="423"/>
      <c r="E191" s="425">
        <f>(E190*0.25)</f>
        <v>366.63</v>
      </c>
      <c r="F191" s="94" t="s">
        <v>156</v>
      </c>
      <c r="G191" s="113">
        <f t="shared" ref="G191" si="38">VLOOKUP(B191,$N$43:$O$53,2,FALSE)</f>
        <v>29.94</v>
      </c>
      <c r="H191" s="59">
        <f t="shared" si="35"/>
        <v>10976.9</v>
      </c>
      <c r="I191" s="114"/>
      <c r="J191" s="59">
        <f t="shared" si="36"/>
        <v>0</v>
      </c>
      <c r="K191" s="60">
        <f t="shared" si="37"/>
        <v>10976.9</v>
      </c>
      <c r="L191" s="92"/>
      <c r="M191" s="87"/>
      <c r="N191" s="87"/>
      <c r="O191" s="410"/>
      <c r="P191" s="87"/>
      <c r="Q191" s="87"/>
      <c r="R191" s="87"/>
      <c r="S191" s="87"/>
      <c r="T191" s="87"/>
      <c r="U191" s="87"/>
    </row>
    <row r="192" spans="1:21" s="62" customFormat="1" ht="24" customHeight="1">
      <c r="A192" s="93"/>
      <c r="B192" s="423" t="s">
        <v>157</v>
      </c>
      <c r="C192" s="423"/>
      <c r="D192" s="423"/>
      <c r="E192" s="425"/>
      <c r="F192" s="115"/>
      <c r="G192" s="101"/>
      <c r="H192" s="59">
        <f t="shared" si="35"/>
        <v>0</v>
      </c>
      <c r="I192" s="103"/>
      <c r="J192" s="59">
        <f t="shared" si="36"/>
        <v>0</v>
      </c>
      <c r="K192" s="60">
        <f t="shared" si="37"/>
        <v>0</v>
      </c>
      <c r="L192" s="92"/>
      <c r="M192" s="87"/>
      <c r="N192" s="87"/>
      <c r="O192" s="410"/>
      <c r="P192" s="87"/>
      <c r="Q192" s="87"/>
      <c r="R192" s="87"/>
      <c r="S192" s="87"/>
      <c r="T192" s="87"/>
      <c r="U192" s="87"/>
    </row>
    <row r="193" spans="1:21" s="62" customFormat="1" ht="24" customHeight="1">
      <c r="A193" s="93"/>
      <c r="B193" s="428" t="s">
        <v>158</v>
      </c>
      <c r="C193" s="428"/>
      <c r="D193" s="428"/>
      <c r="E193" s="425"/>
      <c r="F193" s="94" t="s">
        <v>156</v>
      </c>
      <c r="G193" s="113">
        <f>VLOOKUP(B193,$N$43:$O$54,2,FALSE)</f>
        <v>25.73</v>
      </c>
      <c r="H193" s="59">
        <f t="shared" si="35"/>
        <v>0</v>
      </c>
      <c r="I193" s="103">
        <v>4.0999999999999996</v>
      </c>
      <c r="J193" s="59">
        <f t="shared" si="36"/>
        <v>0</v>
      </c>
      <c r="K193" s="60">
        <f t="shared" si="37"/>
        <v>0</v>
      </c>
      <c r="L193" s="92"/>
      <c r="M193" s="87"/>
      <c r="N193" s="87"/>
      <c r="O193" s="410"/>
      <c r="P193" s="87"/>
      <c r="Q193" s="87"/>
      <c r="R193" s="87"/>
      <c r="S193" s="87"/>
      <c r="T193" s="87"/>
      <c r="U193" s="87"/>
    </row>
    <row r="194" spans="1:21" s="62" customFormat="1" ht="24" customHeight="1">
      <c r="A194" s="93"/>
      <c r="B194" s="423" t="s">
        <v>159</v>
      </c>
      <c r="C194" s="423"/>
      <c r="D194" s="423"/>
      <c r="E194" s="425"/>
      <c r="F194" s="94" t="s">
        <v>156</v>
      </c>
      <c r="G194" s="113">
        <f t="shared" ref="G194:G201" si="39">VLOOKUP(B194,$N$43:$O$54,2,FALSE)</f>
        <v>24.97</v>
      </c>
      <c r="H194" s="59">
        <f t="shared" si="35"/>
        <v>0</v>
      </c>
      <c r="I194" s="114">
        <v>4.0999999999999996</v>
      </c>
      <c r="J194" s="59">
        <f t="shared" si="36"/>
        <v>0</v>
      </c>
      <c r="K194" s="60">
        <f t="shared" si="37"/>
        <v>0</v>
      </c>
      <c r="L194" s="92"/>
      <c r="M194" s="87"/>
      <c r="N194" s="87"/>
      <c r="O194" s="410"/>
      <c r="P194" s="87"/>
      <c r="Q194" s="87"/>
      <c r="R194" s="87"/>
      <c r="S194" s="87"/>
      <c r="T194" s="87"/>
      <c r="U194" s="87"/>
    </row>
    <row r="195" spans="1:21" s="62" customFormat="1" ht="24" customHeight="1">
      <c r="A195" s="93"/>
      <c r="B195" s="423" t="s">
        <v>160</v>
      </c>
      <c r="C195" s="423"/>
      <c r="D195" s="423"/>
      <c r="E195" s="425">
        <v>548.23</v>
      </c>
      <c r="F195" s="94" t="s">
        <v>156</v>
      </c>
      <c r="G195" s="113">
        <f t="shared" si="39"/>
        <v>24.47</v>
      </c>
      <c r="H195" s="59">
        <f t="shared" si="35"/>
        <v>13415.19</v>
      </c>
      <c r="I195" s="114">
        <v>3.3</v>
      </c>
      <c r="J195" s="59">
        <f t="shared" si="36"/>
        <v>1809.16</v>
      </c>
      <c r="K195" s="60">
        <f t="shared" si="37"/>
        <v>15224.35</v>
      </c>
      <c r="L195" s="92"/>
      <c r="M195" s="87"/>
      <c r="N195" s="87"/>
      <c r="O195" s="410"/>
      <c r="P195" s="87"/>
      <c r="Q195" s="87"/>
      <c r="R195" s="87"/>
      <c r="S195" s="87"/>
      <c r="T195" s="87"/>
      <c r="U195" s="87"/>
    </row>
    <row r="196" spans="1:21" s="62" customFormat="1" ht="24" customHeight="1">
      <c r="A196" s="93"/>
      <c r="B196" s="423" t="s">
        <v>161</v>
      </c>
      <c r="C196" s="423"/>
      <c r="D196" s="423"/>
      <c r="E196" s="425">
        <v>33607.440000000002</v>
      </c>
      <c r="F196" s="115" t="s">
        <v>156</v>
      </c>
      <c r="G196" s="113">
        <f t="shared" si="39"/>
        <v>24.27</v>
      </c>
      <c r="H196" s="59">
        <f t="shared" si="35"/>
        <v>815652.57</v>
      </c>
      <c r="I196" s="114">
        <v>3.3</v>
      </c>
      <c r="J196" s="59">
        <f t="shared" si="36"/>
        <v>110904.55</v>
      </c>
      <c r="K196" s="60">
        <f t="shared" si="37"/>
        <v>926557.12</v>
      </c>
      <c r="L196" s="92"/>
      <c r="M196" s="87"/>
      <c r="N196" s="87"/>
      <c r="O196" s="410"/>
      <c r="P196" s="87"/>
      <c r="Q196" s="87"/>
      <c r="R196" s="87"/>
      <c r="S196" s="87"/>
      <c r="T196" s="87"/>
      <c r="U196" s="87"/>
    </row>
    <row r="197" spans="1:21" s="62" customFormat="1" ht="24" customHeight="1">
      <c r="A197" s="93"/>
      <c r="B197" s="428" t="s">
        <v>162</v>
      </c>
      <c r="C197" s="428"/>
      <c r="D197" s="428"/>
      <c r="E197" s="425">
        <v>1925.86</v>
      </c>
      <c r="F197" s="94" t="s">
        <v>156</v>
      </c>
      <c r="G197" s="113">
        <f t="shared" si="39"/>
        <v>24.27</v>
      </c>
      <c r="H197" s="59">
        <f t="shared" si="35"/>
        <v>46740.62</v>
      </c>
      <c r="I197" s="114">
        <v>2.9</v>
      </c>
      <c r="J197" s="59">
        <f t="shared" si="36"/>
        <v>5584.99</v>
      </c>
      <c r="K197" s="60">
        <f t="shared" si="37"/>
        <v>52325.61</v>
      </c>
      <c r="L197" s="92"/>
      <c r="M197" s="87"/>
      <c r="N197" s="87"/>
      <c r="O197" s="410"/>
      <c r="P197" s="87"/>
      <c r="Q197" s="87"/>
      <c r="R197" s="87"/>
      <c r="S197" s="87"/>
      <c r="T197" s="87"/>
      <c r="U197" s="87"/>
    </row>
    <row r="198" spans="1:21" s="62" customFormat="1" ht="24" customHeight="1">
      <c r="A198" s="93"/>
      <c r="B198" s="423" t="s">
        <v>163</v>
      </c>
      <c r="C198" s="423"/>
      <c r="D198" s="423"/>
      <c r="E198" s="425">
        <v>68758.19</v>
      </c>
      <c r="F198" s="94" t="s">
        <v>156</v>
      </c>
      <c r="G198" s="113">
        <f t="shared" si="39"/>
        <v>24.27</v>
      </c>
      <c r="H198" s="59">
        <f t="shared" si="35"/>
        <v>1668761.27</v>
      </c>
      <c r="I198" s="114">
        <v>2.9</v>
      </c>
      <c r="J198" s="59">
        <f t="shared" si="36"/>
        <v>199398.75</v>
      </c>
      <c r="K198" s="60">
        <f t="shared" si="37"/>
        <v>1868160.02</v>
      </c>
      <c r="L198" s="92"/>
      <c r="M198" s="87"/>
      <c r="N198" s="87"/>
      <c r="O198" s="410"/>
      <c r="P198" s="87"/>
      <c r="Q198" s="87"/>
      <c r="R198" s="87"/>
      <c r="S198" s="87"/>
      <c r="T198" s="87"/>
      <c r="U198" s="87"/>
    </row>
    <row r="199" spans="1:21" s="62" customFormat="1" ht="24" customHeight="1">
      <c r="A199" s="93"/>
      <c r="B199" s="423" t="s">
        <v>164</v>
      </c>
      <c r="C199" s="423"/>
      <c r="D199" s="423"/>
      <c r="E199" s="425">
        <v>5465.63</v>
      </c>
      <c r="F199" s="94" t="s">
        <v>156</v>
      </c>
      <c r="G199" s="113">
        <f t="shared" si="39"/>
        <v>24.27</v>
      </c>
      <c r="H199" s="59">
        <f t="shared" si="35"/>
        <v>132650.84</v>
      </c>
      <c r="I199" s="114">
        <v>2.9</v>
      </c>
      <c r="J199" s="59">
        <f t="shared" si="36"/>
        <v>15850.33</v>
      </c>
      <c r="K199" s="60">
        <f t="shared" si="37"/>
        <v>148501.16999999998</v>
      </c>
      <c r="L199" s="92"/>
      <c r="M199" s="87"/>
      <c r="N199" s="87"/>
      <c r="O199" s="410"/>
      <c r="P199" s="87"/>
      <c r="Q199" s="87"/>
      <c r="R199" s="87"/>
      <c r="S199" s="87"/>
      <c r="T199" s="87"/>
      <c r="U199" s="87"/>
    </row>
    <row r="200" spans="1:21" s="62" customFormat="1" ht="24" customHeight="1">
      <c r="A200" s="93"/>
      <c r="B200" s="423" t="s">
        <v>165</v>
      </c>
      <c r="C200" s="423"/>
      <c r="D200" s="423"/>
      <c r="E200" s="425">
        <v>0</v>
      </c>
      <c r="F200" s="94" t="s">
        <v>156</v>
      </c>
      <c r="G200" s="113">
        <f t="shared" si="39"/>
        <v>23.8</v>
      </c>
      <c r="H200" s="59">
        <f t="shared" si="35"/>
        <v>0</v>
      </c>
      <c r="I200" s="114">
        <v>2.9</v>
      </c>
      <c r="J200" s="59">
        <f t="shared" si="36"/>
        <v>0</v>
      </c>
      <c r="K200" s="60">
        <f t="shared" si="37"/>
        <v>0</v>
      </c>
      <c r="L200" s="92"/>
      <c r="M200" s="87"/>
      <c r="N200" s="87"/>
      <c r="O200" s="410"/>
      <c r="P200" s="87"/>
      <c r="Q200" s="87"/>
      <c r="R200" s="87"/>
      <c r="S200" s="87"/>
      <c r="T200" s="87"/>
      <c r="U200" s="87"/>
    </row>
    <row r="201" spans="1:21" s="62" customFormat="1" ht="24" customHeight="1">
      <c r="A201" s="93"/>
      <c r="B201" s="423" t="s">
        <v>166</v>
      </c>
      <c r="C201" s="423"/>
      <c r="D201" s="423"/>
      <c r="E201" s="425">
        <f>(SUM(E193:E200)/1000)*30</f>
        <v>3309.1605</v>
      </c>
      <c r="F201" s="94" t="s">
        <v>156</v>
      </c>
      <c r="G201" s="113">
        <f t="shared" si="39"/>
        <v>29.92</v>
      </c>
      <c r="H201" s="59">
        <f t="shared" si="35"/>
        <v>99010.08</v>
      </c>
      <c r="I201" s="114"/>
      <c r="J201" s="59">
        <f t="shared" si="36"/>
        <v>0</v>
      </c>
      <c r="K201" s="60">
        <f t="shared" si="37"/>
        <v>99010.08</v>
      </c>
      <c r="L201" s="92"/>
      <c r="M201" s="87"/>
      <c r="N201" s="87"/>
      <c r="O201" s="410"/>
      <c r="P201" s="87"/>
      <c r="Q201" s="87"/>
      <c r="R201" s="87"/>
      <c r="S201" s="87"/>
      <c r="T201" s="87"/>
      <c r="U201" s="87"/>
    </row>
    <row r="202" spans="1:21" s="62" customFormat="1" ht="24" customHeight="1">
      <c r="A202" s="93"/>
      <c r="B202" s="423" t="s">
        <v>167</v>
      </c>
      <c r="C202" s="423"/>
      <c r="D202" s="423"/>
      <c r="E202" s="425"/>
      <c r="F202" s="94"/>
      <c r="G202" s="113"/>
      <c r="H202" s="59"/>
      <c r="I202" s="114"/>
      <c r="J202" s="59"/>
      <c r="K202" s="60"/>
      <c r="L202" s="92"/>
      <c r="M202" s="87"/>
      <c r="N202" s="87"/>
      <c r="O202" s="410"/>
      <c r="P202" s="87"/>
      <c r="Q202" s="87"/>
      <c r="R202" s="87"/>
      <c r="S202" s="87"/>
      <c r="T202" s="87"/>
      <c r="U202" s="87"/>
    </row>
    <row r="203" spans="1:21" s="62" customFormat="1" ht="24" customHeight="1">
      <c r="A203" s="93"/>
      <c r="B203" s="423"/>
      <c r="C203" s="423"/>
      <c r="D203" s="423"/>
      <c r="E203" s="425"/>
      <c r="F203" s="94"/>
      <c r="G203" s="113"/>
      <c r="H203" s="59"/>
      <c r="I203" s="114"/>
      <c r="J203" s="59"/>
      <c r="K203" s="60">
        <f t="shared" ref="K203" si="40">H203+J203</f>
        <v>0</v>
      </c>
      <c r="L203" s="92"/>
      <c r="M203" s="87"/>
      <c r="N203" s="87"/>
      <c r="O203" s="410"/>
      <c r="P203" s="87"/>
      <c r="Q203" s="87"/>
      <c r="R203" s="87"/>
      <c r="S203" s="87"/>
      <c r="T203" s="87"/>
      <c r="U203" s="87"/>
    </row>
    <row r="204" spans="1:21" s="62" customFormat="1" ht="24" customHeight="1">
      <c r="A204" s="93"/>
      <c r="B204" s="95"/>
      <c r="C204" s="420"/>
      <c r="D204" s="421"/>
      <c r="E204" s="429"/>
      <c r="F204" s="94"/>
      <c r="G204" s="113"/>
      <c r="H204" s="59"/>
      <c r="I204" s="114"/>
      <c r="J204" s="59"/>
      <c r="K204" s="60"/>
      <c r="L204" s="92"/>
      <c r="M204" s="87"/>
      <c r="N204" s="87"/>
      <c r="O204" s="410"/>
      <c r="P204" s="87"/>
      <c r="Q204" s="87"/>
      <c r="R204" s="87"/>
      <c r="S204" s="87"/>
      <c r="T204" s="87"/>
      <c r="U204" s="87"/>
    </row>
    <row r="205" spans="1:21" s="62" customFormat="1" ht="24" customHeight="1">
      <c r="A205" s="93"/>
      <c r="B205" s="95"/>
      <c r="C205" s="420"/>
      <c r="D205" s="421"/>
      <c r="E205" s="429"/>
      <c r="F205" s="94"/>
      <c r="G205" s="113"/>
      <c r="H205" s="59"/>
      <c r="I205" s="114"/>
      <c r="J205" s="59"/>
      <c r="K205" s="60"/>
      <c r="L205" s="92"/>
      <c r="M205" s="87"/>
      <c r="N205" s="87"/>
      <c r="O205" s="410"/>
      <c r="P205" s="87"/>
      <c r="Q205" s="87"/>
      <c r="R205" s="87"/>
      <c r="S205" s="87"/>
      <c r="T205" s="87"/>
      <c r="U205" s="87"/>
    </row>
    <row r="206" spans="1:21" s="62" customFormat="1" ht="24" customHeight="1">
      <c r="A206" s="93"/>
      <c r="B206" s="95"/>
      <c r="C206" s="420"/>
      <c r="D206" s="421"/>
      <c r="E206" s="429"/>
      <c r="F206" s="94"/>
      <c r="G206" s="113"/>
      <c r="H206" s="59"/>
      <c r="I206" s="114"/>
      <c r="J206" s="59"/>
      <c r="K206" s="60"/>
      <c r="L206" s="92"/>
      <c r="M206" s="87"/>
      <c r="N206" s="87"/>
      <c r="O206" s="410"/>
      <c r="P206" s="87"/>
      <c r="Q206" s="87"/>
      <c r="R206" s="87"/>
      <c r="S206" s="87"/>
      <c r="T206" s="87"/>
      <c r="U206" s="87"/>
    </row>
    <row r="207" spans="1:21" s="62" customFormat="1" ht="24" customHeight="1">
      <c r="A207" s="93"/>
      <c r="B207" s="95"/>
      <c r="C207" s="420"/>
      <c r="D207" s="421"/>
      <c r="E207" s="429"/>
      <c r="F207" s="94"/>
      <c r="G207" s="113"/>
      <c r="H207" s="59"/>
      <c r="I207" s="114"/>
      <c r="J207" s="59"/>
      <c r="K207" s="60"/>
      <c r="L207" s="92"/>
      <c r="M207" s="87"/>
      <c r="N207" s="87"/>
      <c r="O207" s="410"/>
      <c r="P207" s="87"/>
      <c r="Q207" s="87"/>
      <c r="R207" s="87"/>
      <c r="S207" s="87"/>
      <c r="T207" s="87"/>
      <c r="U207" s="87"/>
    </row>
    <row r="208" spans="1:21" s="62" customFormat="1" ht="24" customHeight="1">
      <c r="A208" s="93"/>
      <c r="B208" s="95"/>
      <c r="C208" s="420"/>
      <c r="D208" s="421"/>
      <c r="E208" s="429"/>
      <c r="F208" s="94"/>
      <c r="G208" s="113"/>
      <c r="H208" s="59"/>
      <c r="I208" s="114"/>
      <c r="J208" s="59"/>
      <c r="K208" s="60"/>
      <c r="L208" s="92"/>
      <c r="M208" s="87"/>
      <c r="N208" s="87"/>
      <c r="O208" s="410"/>
      <c r="P208" s="87"/>
      <c r="Q208" s="87"/>
      <c r="R208" s="87"/>
      <c r="S208" s="87"/>
      <c r="T208" s="87"/>
      <c r="U208" s="87"/>
    </row>
    <row r="209" spans="1:21" s="62" customFormat="1" ht="24" customHeight="1">
      <c r="A209" s="93"/>
      <c r="B209" s="95"/>
      <c r="C209" s="420"/>
      <c r="D209" s="421"/>
      <c r="E209" s="429"/>
      <c r="F209" s="94"/>
      <c r="G209" s="113"/>
      <c r="H209" s="59"/>
      <c r="I209" s="114"/>
      <c r="J209" s="59"/>
      <c r="K209" s="60"/>
      <c r="L209" s="92"/>
      <c r="M209" s="87"/>
      <c r="N209" s="87"/>
      <c r="O209" s="410"/>
      <c r="P209" s="87"/>
      <c r="Q209" s="87"/>
      <c r="R209" s="87"/>
      <c r="S209" s="87"/>
      <c r="T209" s="87"/>
      <c r="U209" s="87"/>
    </row>
    <row r="210" spans="1:21" s="62" customFormat="1" ht="24" customHeight="1">
      <c r="A210" s="93"/>
      <c r="B210" s="95"/>
      <c r="C210" s="420"/>
      <c r="D210" s="421"/>
      <c r="E210" s="429"/>
      <c r="F210" s="94"/>
      <c r="G210" s="113"/>
      <c r="H210" s="59"/>
      <c r="I210" s="114"/>
      <c r="J210" s="59"/>
      <c r="K210" s="60"/>
      <c r="L210" s="92"/>
      <c r="M210" s="87"/>
      <c r="N210" s="87"/>
      <c r="O210" s="410"/>
      <c r="P210" s="87"/>
      <c r="Q210" s="87"/>
      <c r="R210" s="87"/>
      <c r="S210" s="87"/>
      <c r="T210" s="87"/>
      <c r="U210" s="87"/>
    </row>
    <row r="211" spans="1:21" s="62" customFormat="1" ht="24" customHeight="1">
      <c r="A211" s="90" t="s">
        <v>44</v>
      </c>
      <c r="B211" s="411" t="s">
        <v>174</v>
      </c>
      <c r="C211" s="420"/>
      <c r="D211" s="421"/>
      <c r="E211" s="429"/>
      <c r="F211" s="94"/>
      <c r="G211" s="113"/>
      <c r="H211" s="59"/>
      <c r="I211" s="114"/>
      <c r="J211" s="59"/>
      <c r="K211" s="60"/>
      <c r="L211" s="92"/>
      <c r="M211" s="87"/>
      <c r="N211" s="87"/>
      <c r="O211" s="410"/>
      <c r="P211" s="87"/>
      <c r="Q211" s="87"/>
      <c r="R211" s="87"/>
      <c r="S211" s="87"/>
      <c r="T211" s="87"/>
      <c r="U211" s="87"/>
    </row>
    <row r="212" spans="1:21" s="62" customFormat="1" ht="24" customHeight="1">
      <c r="A212" s="422"/>
      <c r="B212" s="423" t="s">
        <v>150</v>
      </c>
      <c r="C212" s="424"/>
      <c r="D212" s="424"/>
      <c r="E212" s="425">
        <v>46.75</v>
      </c>
      <c r="F212" s="94" t="s">
        <v>151</v>
      </c>
      <c r="G212" s="113">
        <v>2516</v>
      </c>
      <c r="H212" s="59">
        <f t="shared" ref="H212:H227" si="41">ROUND(E212*G212,2)</f>
        <v>117623</v>
      </c>
      <c r="I212" s="114">
        <v>485</v>
      </c>
      <c r="J212" s="59">
        <f t="shared" ref="J212:J227" si="42">ROUND(E212*I212,2)</f>
        <v>22673.75</v>
      </c>
      <c r="K212" s="60">
        <f t="shared" ref="K212:K227" si="43">H212+J212</f>
        <v>140296.75</v>
      </c>
      <c r="L212" s="92"/>
      <c r="M212" s="87"/>
      <c r="N212" s="87"/>
      <c r="O212" s="410"/>
      <c r="P212" s="87"/>
      <c r="Q212" s="87"/>
      <c r="R212" s="87"/>
      <c r="S212" s="87"/>
      <c r="T212" s="87"/>
      <c r="U212" s="87"/>
    </row>
    <row r="213" spans="1:21" s="62" customFormat="1" ht="24" customHeight="1">
      <c r="A213" s="422"/>
      <c r="B213" s="426" t="s">
        <v>152</v>
      </c>
      <c r="C213" s="423"/>
      <c r="D213" s="423"/>
      <c r="E213" s="425"/>
      <c r="F213" s="94"/>
      <c r="G213" s="113"/>
      <c r="H213" s="59">
        <f t="shared" si="41"/>
        <v>0</v>
      </c>
      <c r="I213" s="114"/>
      <c r="J213" s="59">
        <f t="shared" si="42"/>
        <v>0</v>
      </c>
      <c r="K213" s="60">
        <f t="shared" si="43"/>
        <v>0</v>
      </c>
      <c r="L213" s="92"/>
      <c r="M213" s="87"/>
      <c r="N213" s="87"/>
      <c r="O213" s="410"/>
      <c r="P213" s="87"/>
      <c r="Q213" s="87"/>
      <c r="R213" s="87"/>
      <c r="S213" s="87"/>
      <c r="T213" s="87"/>
      <c r="U213" s="87"/>
    </row>
    <row r="214" spans="1:21" s="62" customFormat="1" ht="24" customHeight="1">
      <c r="A214" s="422"/>
      <c r="B214" s="426"/>
      <c r="C214" s="423" t="s">
        <v>153</v>
      </c>
      <c r="D214" s="423"/>
      <c r="E214" s="425">
        <f>E215/2</f>
        <v>145.47</v>
      </c>
      <c r="F214" s="94" t="s">
        <v>37</v>
      </c>
      <c r="G214" s="113">
        <v>661.62</v>
      </c>
      <c r="H214" s="59">
        <f t="shared" si="41"/>
        <v>96245.86</v>
      </c>
      <c r="I214" s="114"/>
      <c r="J214" s="59">
        <f t="shared" si="42"/>
        <v>0</v>
      </c>
      <c r="K214" s="60">
        <f t="shared" si="43"/>
        <v>96245.86</v>
      </c>
      <c r="L214" s="92"/>
      <c r="M214" s="87"/>
      <c r="N214" s="87"/>
      <c r="O214" s="410"/>
      <c r="P214" s="87"/>
      <c r="Q214" s="87"/>
      <c r="R214" s="87"/>
      <c r="S214" s="87"/>
      <c r="T214" s="87"/>
      <c r="U214" s="87"/>
    </row>
    <row r="215" spans="1:21" s="62" customFormat="1" ht="24" customHeight="1">
      <c r="A215" s="422"/>
      <c r="B215" s="426"/>
      <c r="C215" s="423" t="s">
        <v>154</v>
      </c>
      <c r="D215" s="423"/>
      <c r="E215" s="425">
        <v>290.94</v>
      </c>
      <c r="F215" s="94" t="s">
        <v>37</v>
      </c>
      <c r="G215" s="113"/>
      <c r="H215" s="59">
        <f t="shared" si="41"/>
        <v>0</v>
      </c>
      <c r="I215" s="114">
        <v>154</v>
      </c>
      <c r="J215" s="59">
        <f t="shared" si="42"/>
        <v>44804.76</v>
      </c>
      <c r="K215" s="60">
        <f t="shared" si="43"/>
        <v>44804.76</v>
      </c>
      <c r="L215" s="92"/>
      <c r="M215" s="87"/>
      <c r="N215" s="87"/>
      <c r="O215" s="410"/>
      <c r="P215" s="87"/>
      <c r="Q215" s="87"/>
      <c r="R215" s="87"/>
      <c r="S215" s="87"/>
      <c r="T215" s="87"/>
      <c r="U215" s="87"/>
    </row>
    <row r="216" spans="1:21" s="62" customFormat="1" ht="24" customHeight="1">
      <c r="A216" s="422"/>
      <c r="B216" s="423" t="s">
        <v>155</v>
      </c>
      <c r="C216" s="423"/>
      <c r="D216" s="423"/>
      <c r="E216" s="425">
        <f>(E215*0.25)</f>
        <v>72.734999999999999</v>
      </c>
      <c r="F216" s="94" t="s">
        <v>156</v>
      </c>
      <c r="G216" s="113">
        <f t="shared" ref="G216" si="44">VLOOKUP(B216,$N$43:$O$53,2,FALSE)</f>
        <v>29.94</v>
      </c>
      <c r="H216" s="59">
        <f t="shared" si="41"/>
        <v>2177.69</v>
      </c>
      <c r="I216" s="114"/>
      <c r="J216" s="59">
        <f t="shared" si="42"/>
        <v>0</v>
      </c>
      <c r="K216" s="60">
        <f t="shared" si="43"/>
        <v>2177.69</v>
      </c>
      <c r="L216" s="92"/>
      <c r="M216" s="87"/>
      <c r="N216" s="87"/>
      <c r="O216" s="410"/>
      <c r="P216" s="87"/>
      <c r="Q216" s="87"/>
      <c r="R216" s="87"/>
      <c r="S216" s="87"/>
      <c r="T216" s="87"/>
      <c r="U216" s="87"/>
    </row>
    <row r="217" spans="1:21" s="62" customFormat="1" ht="24" customHeight="1">
      <c r="A217" s="422"/>
      <c r="B217" s="423" t="s">
        <v>157</v>
      </c>
      <c r="C217" s="423"/>
      <c r="D217" s="423"/>
      <c r="E217" s="425"/>
      <c r="F217" s="115"/>
      <c r="G217" s="101"/>
      <c r="H217" s="59">
        <f t="shared" si="41"/>
        <v>0</v>
      </c>
      <c r="I217" s="103"/>
      <c r="J217" s="59">
        <f t="shared" si="42"/>
        <v>0</v>
      </c>
      <c r="K217" s="60">
        <f t="shared" si="43"/>
        <v>0</v>
      </c>
      <c r="L217" s="92"/>
      <c r="M217" s="87"/>
      <c r="N217" s="87"/>
      <c r="O217" s="410"/>
      <c r="P217" s="87"/>
      <c r="Q217" s="87"/>
      <c r="R217" s="87"/>
      <c r="S217" s="87"/>
      <c r="T217" s="87"/>
      <c r="U217" s="87"/>
    </row>
    <row r="218" spans="1:21" s="62" customFormat="1" ht="24" customHeight="1">
      <c r="A218" s="422"/>
      <c r="B218" s="428" t="s">
        <v>158</v>
      </c>
      <c r="C218" s="428"/>
      <c r="D218" s="428"/>
      <c r="E218" s="425">
        <v>0</v>
      </c>
      <c r="F218" s="94" t="s">
        <v>156</v>
      </c>
      <c r="G218" s="113">
        <f>VLOOKUP(B218,$N$43:$O$54,2,FALSE)</f>
        <v>25.73</v>
      </c>
      <c r="H218" s="59">
        <f t="shared" si="41"/>
        <v>0</v>
      </c>
      <c r="I218" s="103">
        <v>4.0999999999999996</v>
      </c>
      <c r="J218" s="59">
        <f t="shared" si="42"/>
        <v>0</v>
      </c>
      <c r="K218" s="60">
        <f t="shared" si="43"/>
        <v>0</v>
      </c>
      <c r="L218" s="92"/>
      <c r="M218" s="87"/>
      <c r="N218" s="87"/>
      <c r="O218" s="410"/>
      <c r="P218" s="87"/>
      <c r="Q218" s="87"/>
      <c r="R218" s="87"/>
      <c r="S218" s="87"/>
      <c r="T218" s="87"/>
      <c r="U218" s="87"/>
    </row>
    <row r="219" spans="1:21" s="62" customFormat="1" ht="24" customHeight="1">
      <c r="A219" s="422"/>
      <c r="B219" s="423" t="s">
        <v>159</v>
      </c>
      <c r="C219" s="423"/>
      <c r="D219" s="423"/>
      <c r="E219" s="425">
        <v>998.87</v>
      </c>
      <c r="F219" s="94" t="s">
        <v>156</v>
      </c>
      <c r="G219" s="113">
        <f t="shared" ref="G219:G227" si="45">VLOOKUP(B219,$N$43:$O$54,2,FALSE)</f>
        <v>24.97</v>
      </c>
      <c r="H219" s="59">
        <f t="shared" si="41"/>
        <v>24941.78</v>
      </c>
      <c r="I219" s="114">
        <v>4.0999999999999996</v>
      </c>
      <c r="J219" s="59">
        <f t="shared" si="42"/>
        <v>4095.37</v>
      </c>
      <c r="K219" s="60">
        <f t="shared" si="43"/>
        <v>29037.149999999998</v>
      </c>
      <c r="L219" s="92"/>
      <c r="M219" s="87"/>
      <c r="N219" s="87"/>
      <c r="O219" s="410"/>
      <c r="P219" s="87"/>
      <c r="Q219" s="87"/>
      <c r="R219" s="87"/>
      <c r="S219" s="87"/>
      <c r="T219" s="87"/>
      <c r="U219" s="87"/>
    </row>
    <row r="220" spans="1:21" s="62" customFormat="1" ht="24" customHeight="1">
      <c r="A220" s="422"/>
      <c r="B220" s="423" t="s">
        <v>328</v>
      </c>
      <c r="C220" s="423"/>
      <c r="D220" s="423"/>
      <c r="E220" s="425">
        <v>223.05</v>
      </c>
      <c r="F220" s="94" t="s">
        <v>156</v>
      </c>
      <c r="G220" s="113">
        <f t="shared" si="45"/>
        <v>23.5</v>
      </c>
      <c r="H220" s="59">
        <f t="shared" si="41"/>
        <v>5241.68</v>
      </c>
      <c r="I220" s="114">
        <v>3.3</v>
      </c>
      <c r="J220" s="59">
        <f t="shared" si="42"/>
        <v>736.07</v>
      </c>
      <c r="K220" s="60">
        <f t="shared" si="43"/>
        <v>5977.75</v>
      </c>
      <c r="L220" s="92"/>
      <c r="M220" s="87"/>
      <c r="N220" s="87"/>
      <c r="O220" s="410"/>
      <c r="P220" s="87"/>
      <c r="Q220" s="87"/>
      <c r="R220" s="87"/>
      <c r="S220" s="87"/>
      <c r="T220" s="87"/>
      <c r="U220" s="87"/>
    </row>
    <row r="221" spans="1:21" s="62" customFormat="1" ht="24" customHeight="1">
      <c r="A221" s="422"/>
      <c r="B221" s="423" t="s">
        <v>160</v>
      </c>
      <c r="C221" s="423"/>
      <c r="D221" s="423"/>
      <c r="E221" s="425">
        <v>4254.8599999999997</v>
      </c>
      <c r="F221" s="94" t="s">
        <v>156</v>
      </c>
      <c r="G221" s="113">
        <f t="shared" si="45"/>
        <v>24.47</v>
      </c>
      <c r="H221" s="59">
        <f t="shared" si="41"/>
        <v>104116.42</v>
      </c>
      <c r="I221" s="114">
        <v>3.3</v>
      </c>
      <c r="J221" s="59">
        <f t="shared" si="42"/>
        <v>14041.04</v>
      </c>
      <c r="K221" s="60">
        <f t="shared" si="43"/>
        <v>118157.45999999999</v>
      </c>
      <c r="L221" s="92"/>
      <c r="M221" s="87"/>
      <c r="N221" s="87"/>
      <c r="O221" s="410"/>
      <c r="P221" s="87"/>
      <c r="Q221" s="87"/>
      <c r="R221" s="87"/>
      <c r="S221" s="87"/>
      <c r="T221" s="87"/>
      <c r="U221" s="87"/>
    </row>
    <row r="222" spans="1:21" s="62" customFormat="1" ht="24" customHeight="1">
      <c r="A222" s="422"/>
      <c r="B222" s="423" t="s">
        <v>161</v>
      </c>
      <c r="C222" s="423"/>
      <c r="D222" s="423"/>
      <c r="E222" s="425">
        <v>1136.46</v>
      </c>
      <c r="F222" s="115" t="s">
        <v>156</v>
      </c>
      <c r="G222" s="113">
        <f t="shared" si="45"/>
        <v>24.27</v>
      </c>
      <c r="H222" s="59">
        <f t="shared" si="41"/>
        <v>27581.88</v>
      </c>
      <c r="I222" s="114">
        <v>3.3</v>
      </c>
      <c r="J222" s="59">
        <f t="shared" si="42"/>
        <v>3750.32</v>
      </c>
      <c r="K222" s="60">
        <f t="shared" si="43"/>
        <v>31332.2</v>
      </c>
      <c r="L222" s="92"/>
      <c r="M222" s="87"/>
      <c r="N222" s="87"/>
      <c r="O222" s="410"/>
      <c r="P222" s="87"/>
      <c r="Q222" s="87"/>
      <c r="R222" s="87"/>
      <c r="S222" s="87"/>
      <c r="T222" s="87"/>
      <c r="U222" s="87"/>
    </row>
    <row r="223" spans="1:21" s="62" customFormat="1" ht="24" customHeight="1">
      <c r="A223" s="422"/>
      <c r="B223" s="428" t="s">
        <v>162</v>
      </c>
      <c r="C223" s="428"/>
      <c r="D223" s="428"/>
      <c r="E223" s="425">
        <v>0</v>
      </c>
      <c r="F223" s="94" t="s">
        <v>156</v>
      </c>
      <c r="G223" s="113">
        <f t="shared" si="45"/>
        <v>24.27</v>
      </c>
      <c r="H223" s="59">
        <f t="shared" si="41"/>
        <v>0</v>
      </c>
      <c r="I223" s="114">
        <v>2.9</v>
      </c>
      <c r="J223" s="59">
        <f t="shared" si="42"/>
        <v>0</v>
      </c>
      <c r="K223" s="60">
        <f t="shared" si="43"/>
        <v>0</v>
      </c>
      <c r="L223" s="92"/>
      <c r="M223" s="87"/>
      <c r="N223" s="87"/>
      <c r="O223" s="410"/>
      <c r="P223" s="87"/>
      <c r="Q223" s="87"/>
      <c r="R223" s="87"/>
      <c r="S223" s="87"/>
      <c r="T223" s="87"/>
      <c r="U223" s="87"/>
    </row>
    <row r="224" spans="1:21" s="62" customFormat="1" ht="24" customHeight="1">
      <c r="A224" s="422"/>
      <c r="B224" s="423" t="s">
        <v>163</v>
      </c>
      <c r="C224" s="423"/>
      <c r="D224" s="423"/>
      <c r="E224" s="425"/>
      <c r="F224" s="94" t="s">
        <v>156</v>
      </c>
      <c r="G224" s="113">
        <f t="shared" si="45"/>
        <v>24.27</v>
      </c>
      <c r="H224" s="59">
        <f t="shared" si="41"/>
        <v>0</v>
      </c>
      <c r="I224" s="114">
        <v>2.9</v>
      </c>
      <c r="J224" s="59">
        <f t="shared" si="42"/>
        <v>0</v>
      </c>
      <c r="K224" s="60">
        <f t="shared" si="43"/>
        <v>0</v>
      </c>
      <c r="L224" s="92"/>
      <c r="M224" s="87"/>
      <c r="N224" s="87"/>
      <c r="O224" s="410"/>
      <c r="P224" s="87"/>
      <c r="Q224" s="87"/>
      <c r="R224" s="87"/>
      <c r="S224" s="87"/>
      <c r="T224" s="87"/>
      <c r="U224" s="87"/>
    </row>
    <row r="225" spans="1:21" s="62" customFormat="1" ht="24" customHeight="1">
      <c r="A225" s="116"/>
      <c r="B225" s="423" t="s">
        <v>164</v>
      </c>
      <c r="C225" s="423"/>
      <c r="D225" s="423"/>
      <c r="E225" s="425"/>
      <c r="F225" s="94" t="s">
        <v>156</v>
      </c>
      <c r="G225" s="113">
        <f t="shared" si="45"/>
        <v>24.27</v>
      </c>
      <c r="H225" s="59">
        <f t="shared" si="41"/>
        <v>0</v>
      </c>
      <c r="I225" s="114">
        <v>2.9</v>
      </c>
      <c r="J225" s="59">
        <f t="shared" si="42"/>
        <v>0</v>
      </c>
      <c r="K225" s="60">
        <f t="shared" si="43"/>
        <v>0</v>
      </c>
      <c r="L225" s="92"/>
      <c r="M225" s="87"/>
      <c r="N225" s="87"/>
      <c r="O225" s="410"/>
      <c r="P225" s="87"/>
      <c r="Q225" s="87"/>
      <c r="R225" s="87"/>
      <c r="S225" s="87"/>
      <c r="T225" s="87"/>
      <c r="U225" s="87"/>
    </row>
    <row r="226" spans="1:21" s="62" customFormat="1" ht="24" customHeight="1">
      <c r="A226" s="97"/>
      <c r="B226" s="423" t="s">
        <v>165</v>
      </c>
      <c r="C226" s="423"/>
      <c r="D226" s="423"/>
      <c r="E226" s="425"/>
      <c r="F226" s="94" t="s">
        <v>156</v>
      </c>
      <c r="G226" s="113">
        <f t="shared" si="45"/>
        <v>23.8</v>
      </c>
      <c r="H226" s="59">
        <f t="shared" si="41"/>
        <v>0</v>
      </c>
      <c r="I226" s="114">
        <v>2.9</v>
      </c>
      <c r="J226" s="59">
        <f t="shared" si="42"/>
        <v>0</v>
      </c>
      <c r="K226" s="60">
        <f t="shared" si="43"/>
        <v>0</v>
      </c>
      <c r="L226" s="92"/>
      <c r="M226" s="87"/>
      <c r="N226" s="87"/>
      <c r="O226" s="410"/>
      <c r="P226" s="87"/>
      <c r="Q226" s="87"/>
      <c r="R226" s="87"/>
      <c r="S226" s="87"/>
      <c r="T226" s="87"/>
      <c r="U226" s="87"/>
    </row>
    <row r="227" spans="1:21" s="62" customFormat="1" ht="24" customHeight="1">
      <c r="A227" s="116"/>
      <c r="B227" s="423" t="s">
        <v>166</v>
      </c>
      <c r="C227" s="423"/>
      <c r="D227" s="423"/>
      <c r="E227" s="425">
        <f>(SUM(E218:E226)/1000)*30</f>
        <v>198.39719999999997</v>
      </c>
      <c r="F227" s="94" t="s">
        <v>156</v>
      </c>
      <c r="G227" s="113">
        <f t="shared" si="45"/>
        <v>29.92</v>
      </c>
      <c r="H227" s="59">
        <f t="shared" si="41"/>
        <v>5936.04</v>
      </c>
      <c r="I227" s="114"/>
      <c r="J227" s="59">
        <f t="shared" si="42"/>
        <v>0</v>
      </c>
      <c r="K227" s="60">
        <f t="shared" si="43"/>
        <v>5936.04</v>
      </c>
      <c r="L227" s="92"/>
      <c r="M227" s="87"/>
      <c r="N227" s="87"/>
      <c r="O227" s="410"/>
      <c r="P227" s="87"/>
      <c r="Q227" s="87"/>
      <c r="R227" s="87"/>
      <c r="S227" s="87"/>
      <c r="T227" s="87"/>
      <c r="U227" s="87"/>
    </row>
    <row r="228" spans="1:21" s="62" customFormat="1" ht="24" customHeight="1">
      <c r="A228" s="93"/>
      <c r="B228" s="423" t="s">
        <v>167</v>
      </c>
      <c r="C228" s="423"/>
      <c r="D228" s="423"/>
      <c r="E228" s="425"/>
      <c r="F228" s="94"/>
      <c r="G228" s="113"/>
      <c r="H228" s="59"/>
      <c r="I228" s="114"/>
      <c r="J228" s="59"/>
      <c r="K228" s="60"/>
      <c r="L228" s="92"/>
      <c r="M228" s="87"/>
      <c r="N228" s="87"/>
      <c r="O228" s="410"/>
      <c r="P228" s="87"/>
      <c r="Q228" s="87"/>
      <c r="R228" s="87"/>
      <c r="S228" s="87"/>
      <c r="T228" s="87"/>
      <c r="U228" s="87"/>
    </row>
    <row r="229" spans="1:21" s="62" customFormat="1" ht="24" customHeight="1">
      <c r="A229" s="67"/>
      <c r="B229" s="423"/>
      <c r="C229" s="423"/>
      <c r="D229" s="423"/>
      <c r="E229" s="425"/>
      <c r="F229" s="94"/>
      <c r="G229" s="113"/>
      <c r="H229" s="59"/>
      <c r="I229" s="114"/>
      <c r="J229" s="59"/>
      <c r="K229" s="60">
        <f t="shared" ref="K229" si="46">H229+J229</f>
        <v>0</v>
      </c>
      <c r="L229" s="92"/>
      <c r="M229" s="87"/>
      <c r="N229" s="87"/>
      <c r="O229" s="410"/>
      <c r="P229" s="87"/>
      <c r="Q229" s="87"/>
      <c r="R229" s="87"/>
      <c r="S229" s="87"/>
      <c r="T229" s="87"/>
      <c r="U229" s="87"/>
    </row>
    <row r="230" spans="1:21" s="62" customFormat="1" ht="24" customHeight="1">
      <c r="A230" s="67"/>
      <c r="B230" s="95"/>
      <c r="C230" s="420"/>
      <c r="D230" s="448"/>
      <c r="E230" s="431"/>
      <c r="F230" s="432"/>
      <c r="G230" s="101"/>
      <c r="H230" s="102"/>
      <c r="I230" s="103"/>
      <c r="J230" s="102"/>
      <c r="K230" s="104"/>
      <c r="L230" s="433"/>
      <c r="M230" s="87"/>
      <c r="N230" s="87"/>
      <c r="O230" s="410"/>
      <c r="P230" s="87"/>
      <c r="Q230" s="87"/>
      <c r="R230" s="87"/>
      <c r="S230" s="87"/>
      <c r="T230" s="87"/>
      <c r="U230" s="87"/>
    </row>
    <row r="231" spans="1:21" s="62" customFormat="1" ht="24" customHeight="1">
      <c r="A231" s="116"/>
      <c r="B231" s="423"/>
      <c r="C231" s="423"/>
      <c r="D231" s="449"/>
      <c r="E231" s="431"/>
      <c r="F231" s="432"/>
      <c r="G231" s="101"/>
      <c r="H231" s="102"/>
      <c r="I231" s="103"/>
      <c r="J231" s="102"/>
      <c r="K231" s="104"/>
      <c r="L231" s="433"/>
      <c r="M231" s="87"/>
      <c r="N231" s="87"/>
      <c r="O231" s="410"/>
      <c r="P231" s="87"/>
      <c r="Q231" s="87"/>
      <c r="R231" s="87"/>
      <c r="S231" s="87"/>
      <c r="T231" s="87"/>
      <c r="U231" s="87"/>
    </row>
    <row r="232" spans="1:21" s="62" customFormat="1" ht="24" customHeight="1">
      <c r="A232" s="97"/>
      <c r="B232" s="430"/>
      <c r="C232" s="430"/>
      <c r="D232" s="430"/>
      <c r="E232" s="431"/>
      <c r="F232" s="432"/>
      <c r="G232" s="101"/>
      <c r="H232" s="102"/>
      <c r="I232" s="103"/>
      <c r="J232" s="102"/>
      <c r="K232" s="104"/>
      <c r="L232" s="433"/>
      <c r="M232" s="87"/>
      <c r="N232" s="87"/>
      <c r="O232" s="410"/>
      <c r="P232" s="87"/>
      <c r="Q232" s="87"/>
      <c r="R232" s="87"/>
      <c r="S232" s="87"/>
      <c r="T232" s="87"/>
      <c r="U232" s="87"/>
    </row>
    <row r="233" spans="1:21" s="62" customFormat="1" ht="24" customHeight="1">
      <c r="A233" s="97"/>
      <c r="B233" s="430"/>
      <c r="C233" s="430"/>
      <c r="D233" s="430"/>
      <c r="E233" s="431"/>
      <c r="F233" s="432"/>
      <c r="G233" s="101"/>
      <c r="H233" s="102"/>
      <c r="I233" s="103"/>
      <c r="J233" s="102"/>
      <c r="K233" s="104"/>
      <c r="L233" s="433"/>
      <c r="M233" s="87"/>
      <c r="N233" s="87"/>
      <c r="O233" s="410"/>
      <c r="P233" s="87"/>
      <c r="Q233" s="87"/>
      <c r="R233" s="87"/>
      <c r="S233" s="87"/>
      <c r="T233" s="87"/>
      <c r="U233" s="87"/>
    </row>
    <row r="234" spans="1:21" s="62" customFormat="1" ht="24" customHeight="1">
      <c r="A234" s="97"/>
      <c r="B234" s="430"/>
      <c r="C234" s="430"/>
      <c r="D234" s="430"/>
      <c r="E234" s="431"/>
      <c r="F234" s="432"/>
      <c r="G234" s="101"/>
      <c r="H234" s="102"/>
      <c r="I234" s="103"/>
      <c r="J234" s="102"/>
      <c r="K234" s="104"/>
      <c r="L234" s="433"/>
      <c r="M234" s="87"/>
      <c r="N234" s="87"/>
      <c r="O234" s="410"/>
      <c r="P234" s="87"/>
      <c r="Q234" s="87"/>
      <c r="R234" s="87"/>
      <c r="S234" s="87"/>
      <c r="T234" s="87"/>
      <c r="U234" s="87"/>
    </row>
    <row r="235" spans="1:21" s="62" customFormat="1" ht="24" customHeight="1">
      <c r="A235" s="109"/>
      <c r="B235" s="2444" t="str">
        <f>"รวมราคารายการที่ "&amp;A111</f>
        <v>รวมราคารายการที่ 1.2</v>
      </c>
      <c r="C235" s="2444"/>
      <c r="D235" s="2444"/>
      <c r="E235" s="110"/>
      <c r="F235" s="111"/>
      <c r="G235" s="112"/>
      <c r="H235" s="106">
        <f>ROUND(SUBTOTAL(9,H114:H234),2)</f>
        <v>19737655.920000002</v>
      </c>
      <c r="I235" s="108"/>
      <c r="J235" s="106">
        <f>ROUND(SUBTOTAL(9,J114:J234),2)</f>
        <v>3647329.23</v>
      </c>
      <c r="K235" s="106">
        <f>ROUND(SUBTOTAL(9,K114:K234),2)</f>
        <v>23384985.149999999</v>
      </c>
      <c r="L235" s="106"/>
      <c r="M235" s="87"/>
      <c r="N235" s="87"/>
      <c r="O235" s="410"/>
      <c r="P235" s="87"/>
      <c r="Q235" s="87"/>
      <c r="R235" s="87"/>
      <c r="S235" s="87"/>
      <c r="T235" s="87"/>
      <c r="U235" s="87"/>
    </row>
    <row r="236" spans="1:21" s="62" customFormat="1" ht="24" customHeight="1">
      <c r="A236" s="90">
        <v>1.3</v>
      </c>
      <c r="B236" s="411" t="s">
        <v>175</v>
      </c>
      <c r="C236" s="430"/>
      <c r="D236" s="430"/>
      <c r="E236" s="431"/>
      <c r="F236" s="432"/>
      <c r="G236" s="101"/>
      <c r="H236" s="102"/>
      <c r="I236" s="103"/>
      <c r="J236" s="102"/>
      <c r="K236" s="104"/>
      <c r="L236" s="433"/>
      <c r="M236" s="87"/>
      <c r="N236" s="87"/>
      <c r="O236" s="410"/>
      <c r="P236" s="87"/>
      <c r="Q236" s="87"/>
      <c r="R236" s="87"/>
      <c r="S236" s="87"/>
      <c r="T236" s="87"/>
      <c r="U236" s="87"/>
    </row>
    <row r="237" spans="1:21" s="62" customFormat="1" ht="24" customHeight="1">
      <c r="A237" s="67"/>
      <c r="B237" s="117"/>
      <c r="C237" s="423"/>
      <c r="D237" s="423"/>
      <c r="E237" s="429"/>
      <c r="F237" s="94"/>
      <c r="G237" s="113"/>
      <c r="H237" s="59"/>
      <c r="I237" s="114"/>
      <c r="J237" s="59"/>
      <c r="K237" s="60"/>
      <c r="L237" s="92"/>
      <c r="M237" s="87"/>
      <c r="N237" s="87"/>
      <c r="O237" s="410"/>
      <c r="P237" s="87"/>
      <c r="Q237" s="87"/>
      <c r="R237" s="87"/>
      <c r="S237" s="87"/>
      <c r="T237" s="87"/>
      <c r="U237" s="87"/>
    </row>
    <row r="238" spans="1:21" s="62" customFormat="1" ht="24" customHeight="1">
      <c r="A238" s="450" t="s">
        <v>45</v>
      </c>
      <c r="B238" s="451" t="s">
        <v>176</v>
      </c>
      <c r="C238" s="423"/>
      <c r="D238" s="423"/>
      <c r="E238" s="429"/>
      <c r="F238" s="94"/>
      <c r="G238" s="113"/>
      <c r="H238" s="59"/>
      <c r="I238" s="114"/>
      <c r="J238" s="59"/>
      <c r="K238" s="60"/>
      <c r="L238" s="92"/>
      <c r="M238" s="87"/>
      <c r="N238" s="87"/>
      <c r="O238" s="410"/>
      <c r="P238" s="87"/>
      <c r="Q238" s="87"/>
      <c r="R238" s="87"/>
      <c r="S238" s="87"/>
      <c r="T238" s="87"/>
      <c r="U238" s="87"/>
    </row>
    <row r="239" spans="1:21" s="62" customFormat="1" ht="24" customHeight="1">
      <c r="A239" s="67"/>
      <c r="B239" s="423" t="s">
        <v>150</v>
      </c>
      <c r="C239" s="424"/>
      <c r="D239" s="424"/>
      <c r="E239" s="425">
        <v>1477.22</v>
      </c>
      <c r="F239" s="94" t="s">
        <v>151</v>
      </c>
      <c r="G239" s="113">
        <v>2516</v>
      </c>
      <c r="H239" s="59">
        <f t="shared" ref="H239:H254" si="47">ROUND(E239*G239,2)</f>
        <v>3716685.52</v>
      </c>
      <c r="I239" s="114">
        <v>485</v>
      </c>
      <c r="J239" s="59">
        <f t="shared" ref="J239:J254" si="48">ROUND(E239*I239,2)</f>
        <v>716451.7</v>
      </c>
      <c r="K239" s="60">
        <f t="shared" ref="K239:K254" si="49">H239+J239</f>
        <v>4433137.22</v>
      </c>
      <c r="L239" s="92"/>
      <c r="M239" s="87"/>
      <c r="N239" s="87"/>
      <c r="O239" s="410"/>
      <c r="P239" s="87"/>
      <c r="Q239" s="87"/>
      <c r="R239" s="87"/>
      <c r="S239" s="87"/>
      <c r="T239" s="87"/>
      <c r="U239" s="87"/>
    </row>
    <row r="240" spans="1:21" s="62" customFormat="1" ht="24" customHeight="1">
      <c r="A240" s="67"/>
      <c r="B240" s="426" t="s">
        <v>152</v>
      </c>
      <c r="C240" s="423"/>
      <c r="D240" s="423"/>
      <c r="E240" s="425"/>
      <c r="F240" s="94"/>
      <c r="G240" s="113"/>
      <c r="H240" s="59">
        <f t="shared" si="47"/>
        <v>0</v>
      </c>
      <c r="I240" s="114"/>
      <c r="J240" s="59">
        <f t="shared" si="48"/>
        <v>0</v>
      </c>
      <c r="K240" s="60">
        <f t="shared" si="49"/>
        <v>0</v>
      </c>
      <c r="L240" s="92"/>
      <c r="M240" s="87"/>
      <c r="N240" s="87"/>
      <c r="O240" s="410"/>
      <c r="P240" s="87"/>
      <c r="Q240" s="87"/>
      <c r="R240" s="87"/>
      <c r="S240" s="87"/>
      <c r="T240" s="87"/>
      <c r="U240" s="87"/>
    </row>
    <row r="241" spans="1:21" s="62" customFormat="1" ht="24" customHeight="1">
      <c r="A241" s="67"/>
      <c r="B241" s="426"/>
      <c r="C241" s="423" t="s">
        <v>153</v>
      </c>
      <c r="D241" s="423"/>
      <c r="E241" s="425">
        <f>E242/2</f>
        <v>2925.8249999999998</v>
      </c>
      <c r="F241" s="94" t="s">
        <v>37</v>
      </c>
      <c r="G241" s="113">
        <v>661.62</v>
      </c>
      <c r="H241" s="59">
        <f t="shared" si="47"/>
        <v>1935784.34</v>
      </c>
      <c r="I241" s="114"/>
      <c r="J241" s="59">
        <f t="shared" si="48"/>
        <v>0</v>
      </c>
      <c r="K241" s="60">
        <f t="shared" si="49"/>
        <v>1935784.34</v>
      </c>
      <c r="L241" s="92"/>
      <c r="M241" s="87"/>
      <c r="N241" s="87"/>
      <c r="O241" s="410"/>
      <c r="P241" s="87"/>
      <c r="Q241" s="87"/>
      <c r="R241" s="87"/>
      <c r="S241" s="87"/>
      <c r="T241" s="87"/>
      <c r="U241" s="87"/>
    </row>
    <row r="242" spans="1:21" s="62" customFormat="1" ht="24" customHeight="1">
      <c r="A242" s="67"/>
      <c r="B242" s="426"/>
      <c r="C242" s="423" t="s">
        <v>154</v>
      </c>
      <c r="D242" s="423"/>
      <c r="E242" s="425">
        <v>5851.65</v>
      </c>
      <c r="F242" s="94" t="s">
        <v>37</v>
      </c>
      <c r="G242" s="113"/>
      <c r="H242" s="59">
        <f t="shared" si="47"/>
        <v>0</v>
      </c>
      <c r="I242" s="114">
        <v>154</v>
      </c>
      <c r="J242" s="59">
        <f t="shared" si="48"/>
        <v>901154.1</v>
      </c>
      <c r="K242" s="60">
        <f t="shared" si="49"/>
        <v>901154.1</v>
      </c>
      <c r="L242" s="92"/>
      <c r="M242" s="87"/>
      <c r="N242" s="87"/>
      <c r="O242" s="410"/>
      <c r="P242" s="87"/>
      <c r="Q242" s="87"/>
      <c r="R242" s="87"/>
      <c r="S242" s="87"/>
      <c r="T242" s="87"/>
      <c r="U242" s="87"/>
    </row>
    <row r="243" spans="1:21" s="62" customFormat="1" ht="24" customHeight="1">
      <c r="A243" s="67"/>
      <c r="B243" s="423" t="s">
        <v>155</v>
      </c>
      <c r="C243" s="423"/>
      <c r="D243" s="423"/>
      <c r="E243" s="425">
        <f>(E242*0.25)</f>
        <v>1462.9124999999999</v>
      </c>
      <c r="F243" s="94" t="s">
        <v>156</v>
      </c>
      <c r="G243" s="113">
        <f t="shared" ref="G243" si="50">VLOOKUP(B243,$N$43:$O$53,2,FALSE)</f>
        <v>29.94</v>
      </c>
      <c r="H243" s="59">
        <f t="shared" si="47"/>
        <v>43799.6</v>
      </c>
      <c r="I243" s="114"/>
      <c r="J243" s="59">
        <f t="shared" si="48"/>
        <v>0</v>
      </c>
      <c r="K243" s="60">
        <f t="shared" si="49"/>
        <v>43799.6</v>
      </c>
      <c r="L243" s="92"/>
      <c r="M243" s="87"/>
      <c r="N243" s="87"/>
      <c r="O243" s="410"/>
      <c r="P243" s="87"/>
      <c r="Q243" s="87"/>
      <c r="R243" s="87"/>
      <c r="S243" s="87"/>
      <c r="T243" s="87"/>
      <c r="U243" s="87"/>
    </row>
    <row r="244" spans="1:21" s="62" customFormat="1" ht="24" customHeight="1">
      <c r="A244" s="67"/>
      <c r="B244" s="423" t="s">
        <v>157</v>
      </c>
      <c r="C244" s="423"/>
      <c r="D244" s="423"/>
      <c r="E244" s="425"/>
      <c r="F244" s="115"/>
      <c r="G244" s="101"/>
      <c r="H244" s="59">
        <f t="shared" si="47"/>
        <v>0</v>
      </c>
      <c r="I244" s="114"/>
      <c r="J244" s="59">
        <f t="shared" si="48"/>
        <v>0</v>
      </c>
      <c r="K244" s="60">
        <f t="shared" si="49"/>
        <v>0</v>
      </c>
      <c r="L244" s="92"/>
      <c r="M244" s="87"/>
      <c r="N244" s="87"/>
      <c r="O244" s="410"/>
      <c r="P244" s="87"/>
      <c r="Q244" s="87"/>
      <c r="R244" s="87"/>
      <c r="S244" s="87"/>
      <c r="T244" s="87"/>
      <c r="U244" s="87"/>
    </row>
    <row r="245" spans="1:21" s="62" customFormat="1" ht="24" customHeight="1">
      <c r="A245" s="67"/>
      <c r="B245" s="423" t="s">
        <v>158</v>
      </c>
      <c r="C245" s="423"/>
      <c r="D245" s="423"/>
      <c r="E245" s="425"/>
      <c r="F245" s="94" t="s">
        <v>156</v>
      </c>
      <c r="G245" s="113">
        <f>VLOOKUP(B245,$N$43:$O$54,2,FALSE)</f>
        <v>25.73</v>
      </c>
      <c r="H245" s="59">
        <f t="shared" si="47"/>
        <v>0</v>
      </c>
      <c r="I245" s="103">
        <v>4.0999999999999996</v>
      </c>
      <c r="J245" s="59">
        <f t="shared" si="48"/>
        <v>0</v>
      </c>
      <c r="K245" s="60">
        <f t="shared" si="49"/>
        <v>0</v>
      </c>
      <c r="L245" s="92"/>
      <c r="M245" s="87"/>
      <c r="N245" s="87"/>
      <c r="O245" s="410"/>
      <c r="P245" s="87"/>
      <c r="Q245" s="87"/>
      <c r="R245" s="87"/>
      <c r="S245" s="87"/>
      <c r="T245" s="87"/>
      <c r="U245" s="87"/>
    </row>
    <row r="246" spans="1:21" s="62" customFormat="1" ht="24" customHeight="1">
      <c r="A246" s="67"/>
      <c r="B246" s="423" t="s">
        <v>159</v>
      </c>
      <c r="C246" s="423"/>
      <c r="D246" s="423"/>
      <c r="E246" s="425">
        <v>57.72</v>
      </c>
      <c r="F246" s="94" t="s">
        <v>156</v>
      </c>
      <c r="G246" s="113">
        <f t="shared" ref="G246:G253" si="51">VLOOKUP(B246,$N$43:$O$54,2,FALSE)</f>
        <v>24.97</v>
      </c>
      <c r="H246" s="59">
        <f t="shared" si="47"/>
        <v>1441.27</v>
      </c>
      <c r="I246" s="114">
        <v>4.0999999999999996</v>
      </c>
      <c r="J246" s="59">
        <f t="shared" si="48"/>
        <v>236.65</v>
      </c>
      <c r="K246" s="60">
        <f t="shared" si="49"/>
        <v>1677.92</v>
      </c>
      <c r="L246" s="92"/>
      <c r="M246" s="87"/>
      <c r="N246" s="87"/>
      <c r="O246" s="410"/>
      <c r="P246" s="87"/>
      <c r="Q246" s="87"/>
      <c r="R246" s="87"/>
      <c r="S246" s="87"/>
      <c r="T246" s="87"/>
      <c r="U246" s="87"/>
    </row>
    <row r="247" spans="1:21" s="62" customFormat="1" ht="24" customHeight="1">
      <c r="A247" s="67"/>
      <c r="B247" s="423" t="s">
        <v>160</v>
      </c>
      <c r="C247" s="423"/>
      <c r="D247" s="423"/>
      <c r="E247" s="425">
        <v>35713.15</v>
      </c>
      <c r="F247" s="94" t="s">
        <v>156</v>
      </c>
      <c r="G247" s="113">
        <f t="shared" si="51"/>
        <v>24.47</v>
      </c>
      <c r="H247" s="59">
        <f t="shared" si="47"/>
        <v>873900.78</v>
      </c>
      <c r="I247" s="114">
        <v>3.3</v>
      </c>
      <c r="J247" s="59">
        <f t="shared" si="48"/>
        <v>117853.4</v>
      </c>
      <c r="K247" s="60">
        <f t="shared" si="49"/>
        <v>991754.18</v>
      </c>
      <c r="L247" s="92"/>
      <c r="M247" s="87"/>
      <c r="N247" s="87"/>
      <c r="O247" s="410"/>
      <c r="P247" s="87"/>
      <c r="Q247" s="87"/>
      <c r="R247" s="87"/>
      <c r="S247" s="87"/>
      <c r="T247" s="87"/>
      <c r="U247" s="87"/>
    </row>
    <row r="248" spans="1:21" s="62" customFormat="1" ht="24" customHeight="1">
      <c r="A248" s="67"/>
      <c r="B248" s="423" t="s">
        <v>161</v>
      </c>
      <c r="C248" s="423"/>
      <c r="D248" s="423"/>
      <c r="E248" s="425">
        <v>30845.07</v>
      </c>
      <c r="F248" s="115" t="s">
        <v>156</v>
      </c>
      <c r="G248" s="113">
        <f t="shared" si="51"/>
        <v>24.27</v>
      </c>
      <c r="H248" s="59">
        <f t="shared" si="47"/>
        <v>748609.85</v>
      </c>
      <c r="I248" s="114">
        <v>3.3</v>
      </c>
      <c r="J248" s="59">
        <f t="shared" si="48"/>
        <v>101788.73</v>
      </c>
      <c r="K248" s="60">
        <f t="shared" si="49"/>
        <v>850398.58</v>
      </c>
      <c r="L248" s="92"/>
      <c r="M248" s="87"/>
      <c r="N248" s="87"/>
      <c r="O248" s="410"/>
      <c r="P248" s="87"/>
      <c r="Q248" s="87"/>
      <c r="R248" s="87"/>
      <c r="S248" s="87"/>
      <c r="T248" s="87"/>
      <c r="U248" s="87"/>
    </row>
    <row r="249" spans="1:21" s="62" customFormat="1" ht="24" customHeight="1">
      <c r="A249" s="67"/>
      <c r="B249" s="423" t="s">
        <v>162</v>
      </c>
      <c r="C249" s="423"/>
      <c r="D249" s="423"/>
      <c r="E249" s="425"/>
      <c r="F249" s="94" t="s">
        <v>156</v>
      </c>
      <c r="G249" s="113">
        <f t="shared" si="51"/>
        <v>24.27</v>
      </c>
      <c r="H249" s="59">
        <f t="shared" si="47"/>
        <v>0</v>
      </c>
      <c r="I249" s="114">
        <v>2.9</v>
      </c>
      <c r="J249" s="59">
        <f t="shared" si="48"/>
        <v>0</v>
      </c>
      <c r="K249" s="60">
        <f t="shared" si="49"/>
        <v>0</v>
      </c>
      <c r="L249" s="92"/>
      <c r="M249" s="87"/>
      <c r="N249" s="87"/>
      <c r="O249" s="410"/>
      <c r="P249" s="87"/>
      <c r="Q249" s="87"/>
      <c r="R249" s="87"/>
      <c r="S249" s="87"/>
      <c r="T249" s="87"/>
      <c r="U249" s="87"/>
    </row>
    <row r="250" spans="1:21" s="62" customFormat="1" ht="24" customHeight="1">
      <c r="A250" s="67"/>
      <c r="B250" s="423" t="s">
        <v>163</v>
      </c>
      <c r="C250" s="423"/>
      <c r="D250" s="423"/>
      <c r="E250" s="425"/>
      <c r="F250" s="94" t="s">
        <v>156</v>
      </c>
      <c r="G250" s="113">
        <f t="shared" si="51"/>
        <v>24.27</v>
      </c>
      <c r="H250" s="59">
        <f t="shared" si="47"/>
        <v>0</v>
      </c>
      <c r="I250" s="114">
        <v>2.9</v>
      </c>
      <c r="J250" s="59">
        <f t="shared" si="48"/>
        <v>0</v>
      </c>
      <c r="K250" s="60">
        <f t="shared" si="49"/>
        <v>0</v>
      </c>
      <c r="L250" s="92"/>
      <c r="M250" s="87"/>
      <c r="N250" s="87"/>
      <c r="O250" s="410"/>
      <c r="P250" s="87"/>
      <c r="Q250" s="87"/>
      <c r="R250" s="87"/>
      <c r="S250" s="87"/>
      <c r="T250" s="87"/>
      <c r="U250" s="87"/>
    </row>
    <row r="251" spans="1:21" s="62" customFormat="1" ht="24" customHeight="1">
      <c r="A251" s="67"/>
      <c r="B251" s="423" t="s">
        <v>164</v>
      </c>
      <c r="C251" s="423"/>
      <c r="D251" s="423"/>
      <c r="E251" s="425"/>
      <c r="F251" s="94" t="s">
        <v>156</v>
      </c>
      <c r="G251" s="113">
        <f t="shared" si="51"/>
        <v>24.27</v>
      </c>
      <c r="H251" s="59">
        <f t="shared" si="47"/>
        <v>0</v>
      </c>
      <c r="I251" s="114">
        <v>2.9</v>
      </c>
      <c r="J251" s="59">
        <f t="shared" si="48"/>
        <v>0</v>
      </c>
      <c r="K251" s="60">
        <f t="shared" si="49"/>
        <v>0</v>
      </c>
      <c r="L251" s="92"/>
      <c r="M251" s="87"/>
      <c r="N251" s="87"/>
      <c r="O251" s="410"/>
      <c r="P251" s="87"/>
      <c r="Q251" s="87"/>
      <c r="R251" s="87"/>
      <c r="S251" s="87"/>
      <c r="T251" s="87"/>
      <c r="U251" s="87"/>
    </row>
    <row r="252" spans="1:21" s="62" customFormat="1" ht="24" customHeight="1">
      <c r="A252" s="67"/>
      <c r="B252" s="423" t="s">
        <v>165</v>
      </c>
      <c r="C252" s="423"/>
      <c r="D252" s="423"/>
      <c r="E252" s="425"/>
      <c r="F252" s="94" t="s">
        <v>156</v>
      </c>
      <c r="G252" s="113">
        <f t="shared" si="51"/>
        <v>23.8</v>
      </c>
      <c r="H252" s="59">
        <f t="shared" si="47"/>
        <v>0</v>
      </c>
      <c r="I252" s="114">
        <v>2.9</v>
      </c>
      <c r="J252" s="59">
        <f t="shared" si="48"/>
        <v>0</v>
      </c>
      <c r="K252" s="60">
        <f t="shared" si="49"/>
        <v>0</v>
      </c>
      <c r="L252" s="92"/>
      <c r="M252" s="87"/>
      <c r="N252" s="87"/>
      <c r="O252" s="410"/>
      <c r="P252" s="87"/>
      <c r="Q252" s="87"/>
      <c r="R252" s="87"/>
      <c r="S252" s="87"/>
      <c r="T252" s="87"/>
      <c r="U252" s="87"/>
    </row>
    <row r="253" spans="1:21" s="62" customFormat="1" ht="24" customHeight="1">
      <c r="A253" s="67"/>
      <c r="B253" s="423" t="s">
        <v>166</v>
      </c>
      <c r="C253" s="423"/>
      <c r="D253" s="423"/>
      <c r="E253" s="425">
        <f>(SUM(E245:E252)/1000)*30</f>
        <v>1998.4782000000002</v>
      </c>
      <c r="F253" s="94" t="s">
        <v>156</v>
      </c>
      <c r="G253" s="113">
        <f t="shared" si="51"/>
        <v>29.92</v>
      </c>
      <c r="H253" s="59">
        <f t="shared" si="47"/>
        <v>59794.47</v>
      </c>
      <c r="I253" s="114"/>
      <c r="J253" s="59">
        <f t="shared" si="48"/>
        <v>0</v>
      </c>
      <c r="K253" s="60">
        <f t="shared" si="49"/>
        <v>59794.47</v>
      </c>
      <c r="L253" s="92"/>
      <c r="M253" s="87"/>
      <c r="N253" s="87"/>
      <c r="O253" s="410"/>
      <c r="P253" s="87"/>
      <c r="Q253" s="87"/>
      <c r="R253" s="87"/>
      <c r="S253" s="87"/>
      <c r="T253" s="87"/>
      <c r="U253" s="87"/>
    </row>
    <row r="254" spans="1:21" s="62" customFormat="1" ht="24" customHeight="1">
      <c r="A254" s="67"/>
      <c r="B254" s="423" t="s">
        <v>171</v>
      </c>
      <c r="C254" s="423"/>
      <c r="D254" s="423"/>
      <c r="E254" s="425">
        <v>5592.59</v>
      </c>
      <c r="F254" s="94" t="s">
        <v>37</v>
      </c>
      <c r="G254" s="101">
        <v>340</v>
      </c>
      <c r="H254" s="59">
        <f t="shared" si="47"/>
        <v>1901480.6</v>
      </c>
      <c r="I254" s="114"/>
      <c r="J254" s="59">
        <f t="shared" si="48"/>
        <v>0</v>
      </c>
      <c r="K254" s="60">
        <f t="shared" si="49"/>
        <v>1901480.6</v>
      </c>
      <c r="L254" s="92"/>
      <c r="M254" s="87"/>
      <c r="N254" s="87"/>
      <c r="O254" s="410"/>
      <c r="P254" s="87"/>
      <c r="Q254" s="87"/>
      <c r="R254" s="87"/>
      <c r="S254" s="87"/>
      <c r="T254" s="87"/>
      <c r="U254" s="87"/>
    </row>
    <row r="255" spans="1:21" s="62" customFormat="1" ht="24" customHeight="1">
      <c r="A255" s="67"/>
      <c r="B255" s="423" t="s">
        <v>167</v>
      </c>
      <c r="C255" s="423"/>
      <c r="D255" s="423"/>
      <c r="E255" s="425"/>
      <c r="F255" s="94"/>
      <c r="G255" s="113"/>
      <c r="H255" s="59"/>
      <c r="I255" s="114"/>
      <c r="J255" s="59"/>
      <c r="K255" s="60"/>
      <c r="L255" s="92"/>
      <c r="M255" s="87"/>
      <c r="N255" s="87"/>
      <c r="O255" s="410"/>
      <c r="P255" s="87"/>
      <c r="Q255" s="87"/>
      <c r="R255" s="87"/>
      <c r="S255" s="87"/>
      <c r="T255" s="87"/>
      <c r="U255" s="87"/>
    </row>
    <row r="256" spans="1:21" s="62" customFormat="1" ht="24" customHeight="1">
      <c r="A256" s="67"/>
      <c r="B256" s="423"/>
      <c r="C256" s="423"/>
      <c r="D256" s="423"/>
      <c r="E256" s="425"/>
      <c r="F256" s="94"/>
      <c r="G256" s="113"/>
      <c r="H256" s="59"/>
      <c r="I256" s="114"/>
      <c r="J256" s="59"/>
      <c r="K256" s="60"/>
      <c r="L256" s="92"/>
      <c r="M256" s="87"/>
      <c r="N256" s="87"/>
      <c r="O256" s="410"/>
      <c r="P256" s="87"/>
      <c r="Q256" s="87"/>
      <c r="R256" s="87"/>
      <c r="S256" s="87"/>
      <c r="T256" s="87"/>
      <c r="U256" s="87"/>
    </row>
    <row r="257" spans="1:21" s="62" customFormat="1" ht="24" customHeight="1">
      <c r="A257" s="67"/>
      <c r="B257" s="423"/>
      <c r="C257" s="423"/>
      <c r="D257" s="423"/>
      <c r="E257" s="425"/>
      <c r="F257" s="94"/>
      <c r="G257" s="113"/>
      <c r="H257" s="59"/>
      <c r="I257" s="114"/>
      <c r="J257" s="59"/>
      <c r="K257" s="60"/>
      <c r="L257" s="92"/>
      <c r="M257" s="87"/>
      <c r="N257" s="87"/>
      <c r="O257" s="410"/>
      <c r="P257" s="87"/>
      <c r="Q257" s="87"/>
      <c r="R257" s="87"/>
      <c r="S257" s="87"/>
      <c r="T257" s="87"/>
      <c r="U257" s="87"/>
    </row>
    <row r="258" spans="1:21" s="62" customFormat="1" ht="24" customHeight="1">
      <c r="A258" s="67"/>
      <c r="B258" s="423"/>
      <c r="C258" s="423"/>
      <c r="D258" s="423"/>
      <c r="E258" s="425"/>
      <c r="F258" s="94"/>
      <c r="G258" s="113"/>
      <c r="H258" s="59"/>
      <c r="I258" s="114"/>
      <c r="J258" s="59"/>
      <c r="K258" s="60"/>
      <c r="L258" s="92"/>
      <c r="M258" s="87"/>
      <c r="N258" s="87"/>
      <c r="O258" s="410"/>
      <c r="P258" s="87"/>
      <c r="Q258" s="87"/>
      <c r="R258" s="87"/>
      <c r="S258" s="87"/>
      <c r="T258" s="87"/>
      <c r="U258" s="87"/>
    </row>
    <row r="259" spans="1:21" s="62" customFormat="1" ht="24" customHeight="1">
      <c r="A259" s="67"/>
      <c r="B259" s="423"/>
      <c r="C259" s="423"/>
      <c r="D259" s="423"/>
      <c r="E259" s="425"/>
      <c r="F259" s="94"/>
      <c r="G259" s="113"/>
      <c r="H259" s="59"/>
      <c r="I259" s="114"/>
      <c r="J259" s="59"/>
      <c r="K259" s="60"/>
      <c r="L259" s="92"/>
      <c r="M259" s="87"/>
      <c r="N259" s="87"/>
      <c r="O259" s="410"/>
      <c r="P259" s="87"/>
      <c r="Q259" s="87"/>
      <c r="R259" s="87"/>
      <c r="S259" s="87"/>
      <c r="T259" s="87"/>
      <c r="U259" s="87"/>
    </row>
    <row r="260" spans="1:21" s="62" customFormat="1" ht="24" customHeight="1">
      <c r="A260" s="67"/>
      <c r="B260" s="423"/>
      <c r="C260" s="423"/>
      <c r="D260" s="423"/>
      <c r="E260" s="425"/>
      <c r="F260" s="94"/>
      <c r="G260" s="113"/>
      <c r="H260" s="59"/>
      <c r="I260" s="114"/>
      <c r="J260" s="59"/>
      <c r="K260" s="60"/>
      <c r="L260" s="92"/>
      <c r="M260" s="87"/>
      <c r="N260" s="87"/>
      <c r="O260" s="410"/>
      <c r="P260" s="87"/>
      <c r="Q260" s="87"/>
      <c r="R260" s="87"/>
      <c r="S260" s="87"/>
      <c r="T260" s="87"/>
      <c r="U260" s="87"/>
    </row>
    <row r="261" spans="1:21" s="62" customFormat="1" ht="24" customHeight="1">
      <c r="A261" s="450" t="s">
        <v>46</v>
      </c>
      <c r="B261" s="451" t="s">
        <v>177</v>
      </c>
      <c r="C261" s="423"/>
      <c r="D261" s="423"/>
      <c r="E261" s="429"/>
      <c r="F261" s="94"/>
      <c r="G261" s="113"/>
      <c r="H261" s="59"/>
      <c r="I261" s="114"/>
      <c r="J261" s="59"/>
      <c r="K261" s="60"/>
      <c r="L261" s="92"/>
      <c r="M261" s="87"/>
      <c r="N261" s="87"/>
      <c r="O261" s="410"/>
      <c r="P261" s="87"/>
      <c r="Q261" s="87"/>
      <c r="R261" s="87"/>
      <c r="S261" s="87"/>
      <c r="T261" s="87"/>
      <c r="U261" s="87"/>
    </row>
    <row r="262" spans="1:21" s="62" customFormat="1" ht="24" customHeight="1">
      <c r="A262" s="450"/>
      <c r="B262" s="423" t="s">
        <v>150</v>
      </c>
      <c r="C262" s="424"/>
      <c r="D262" s="424"/>
      <c r="E262" s="425">
        <v>421.17</v>
      </c>
      <c r="F262" s="94" t="s">
        <v>151</v>
      </c>
      <c r="G262" s="113">
        <v>2516</v>
      </c>
      <c r="H262" s="59">
        <f t="shared" ref="H262:H276" si="52">ROUND(E262*G262,2)</f>
        <v>1059663.72</v>
      </c>
      <c r="I262" s="114">
        <v>485</v>
      </c>
      <c r="J262" s="59">
        <f t="shared" ref="J262:J276" si="53">ROUND(E262*I262,2)</f>
        <v>204267.45</v>
      </c>
      <c r="K262" s="60">
        <f t="shared" ref="K262:K276" si="54">H262+J262</f>
        <v>1263931.17</v>
      </c>
      <c r="L262" s="92"/>
      <c r="M262" s="87"/>
      <c r="N262" s="87"/>
      <c r="O262" s="410"/>
      <c r="P262" s="87"/>
      <c r="Q262" s="87"/>
      <c r="R262" s="87"/>
      <c r="S262" s="87"/>
      <c r="T262" s="87"/>
      <c r="U262" s="87"/>
    </row>
    <row r="263" spans="1:21" s="62" customFormat="1" ht="24" customHeight="1">
      <c r="A263" s="450"/>
      <c r="B263" s="426" t="s">
        <v>152</v>
      </c>
      <c r="C263" s="423"/>
      <c r="D263" s="423"/>
      <c r="E263" s="425"/>
      <c r="F263" s="94"/>
      <c r="G263" s="113"/>
      <c r="H263" s="59">
        <f t="shared" si="52"/>
        <v>0</v>
      </c>
      <c r="I263" s="114"/>
      <c r="J263" s="59">
        <f t="shared" si="53"/>
        <v>0</v>
      </c>
      <c r="K263" s="60">
        <f t="shared" si="54"/>
        <v>0</v>
      </c>
      <c r="L263" s="92"/>
      <c r="M263" s="87"/>
      <c r="N263" s="87"/>
      <c r="O263" s="410"/>
      <c r="P263" s="87"/>
      <c r="Q263" s="87"/>
      <c r="R263" s="87"/>
      <c r="S263" s="87"/>
      <c r="T263" s="87"/>
      <c r="U263" s="87"/>
    </row>
    <row r="264" spans="1:21" s="62" customFormat="1" ht="24" customHeight="1">
      <c r="A264" s="450"/>
      <c r="B264" s="426"/>
      <c r="C264" s="423" t="s">
        <v>153</v>
      </c>
      <c r="D264" s="423"/>
      <c r="E264" s="425">
        <f>E265/2</f>
        <v>421.76499999999999</v>
      </c>
      <c r="F264" s="94" t="s">
        <v>37</v>
      </c>
      <c r="G264" s="113">
        <v>661.62</v>
      </c>
      <c r="H264" s="59">
        <f t="shared" si="52"/>
        <v>279048.15999999997</v>
      </c>
      <c r="I264" s="114"/>
      <c r="J264" s="59">
        <f t="shared" si="53"/>
        <v>0</v>
      </c>
      <c r="K264" s="60">
        <f t="shared" si="54"/>
        <v>279048.15999999997</v>
      </c>
      <c r="L264" s="92"/>
      <c r="M264" s="87"/>
      <c r="N264" s="87"/>
      <c r="O264" s="410"/>
      <c r="P264" s="87"/>
      <c r="Q264" s="87"/>
      <c r="R264" s="87"/>
      <c r="S264" s="87"/>
      <c r="T264" s="87"/>
      <c r="U264" s="87"/>
    </row>
    <row r="265" spans="1:21" s="62" customFormat="1" ht="24" customHeight="1">
      <c r="A265" s="450"/>
      <c r="B265" s="426"/>
      <c r="C265" s="423" t="s">
        <v>154</v>
      </c>
      <c r="D265" s="423"/>
      <c r="E265" s="425">
        <v>843.53</v>
      </c>
      <c r="F265" s="94" t="s">
        <v>37</v>
      </c>
      <c r="G265" s="113"/>
      <c r="H265" s="59">
        <f t="shared" si="52"/>
        <v>0</v>
      </c>
      <c r="I265" s="114">
        <v>154</v>
      </c>
      <c r="J265" s="59">
        <f t="shared" si="53"/>
        <v>129903.62</v>
      </c>
      <c r="K265" s="60">
        <f t="shared" si="54"/>
        <v>129903.62</v>
      </c>
      <c r="L265" s="92"/>
      <c r="M265" s="87"/>
      <c r="N265" s="87"/>
      <c r="O265" s="410"/>
      <c r="P265" s="87"/>
      <c r="Q265" s="87"/>
      <c r="R265" s="87"/>
      <c r="S265" s="87"/>
      <c r="T265" s="87"/>
      <c r="U265" s="87"/>
    </row>
    <row r="266" spans="1:21" s="62" customFormat="1" ht="24" customHeight="1">
      <c r="A266" s="450"/>
      <c r="B266" s="423" t="s">
        <v>155</v>
      </c>
      <c r="C266" s="423"/>
      <c r="D266" s="423"/>
      <c r="E266" s="425">
        <f>(E265*0.25)</f>
        <v>210.88249999999999</v>
      </c>
      <c r="F266" s="94" t="s">
        <v>156</v>
      </c>
      <c r="G266" s="113">
        <f t="shared" ref="G266" si="55">VLOOKUP(B266,$N$43:$O$53,2,FALSE)</f>
        <v>29.94</v>
      </c>
      <c r="H266" s="59">
        <f t="shared" si="52"/>
        <v>6313.82</v>
      </c>
      <c r="I266" s="114"/>
      <c r="J266" s="59">
        <f t="shared" si="53"/>
        <v>0</v>
      </c>
      <c r="K266" s="60">
        <f t="shared" si="54"/>
        <v>6313.82</v>
      </c>
      <c r="L266" s="92"/>
      <c r="M266" s="87"/>
      <c r="N266" s="87"/>
      <c r="O266" s="410"/>
      <c r="P266" s="87"/>
      <c r="Q266" s="87"/>
      <c r="R266" s="87"/>
      <c r="S266" s="87"/>
      <c r="T266" s="87"/>
      <c r="U266" s="87"/>
    </row>
    <row r="267" spans="1:21" s="62" customFormat="1" ht="24" customHeight="1">
      <c r="A267" s="450"/>
      <c r="B267" s="423" t="s">
        <v>157</v>
      </c>
      <c r="C267" s="423"/>
      <c r="D267" s="423"/>
      <c r="E267" s="425"/>
      <c r="F267" s="115"/>
      <c r="G267" s="101"/>
      <c r="H267" s="59">
        <f t="shared" si="52"/>
        <v>0</v>
      </c>
      <c r="I267" s="114"/>
      <c r="J267" s="59">
        <f t="shared" si="53"/>
        <v>0</v>
      </c>
      <c r="K267" s="60">
        <f t="shared" si="54"/>
        <v>0</v>
      </c>
      <c r="L267" s="92"/>
      <c r="M267" s="87"/>
      <c r="N267" s="87"/>
      <c r="O267" s="410"/>
      <c r="P267" s="87"/>
      <c r="Q267" s="87"/>
      <c r="R267" s="87"/>
      <c r="S267" s="87"/>
      <c r="T267" s="87"/>
      <c r="U267" s="87"/>
    </row>
    <row r="268" spans="1:21" s="62" customFormat="1" ht="24" customHeight="1">
      <c r="A268" s="450"/>
      <c r="B268" s="423" t="s">
        <v>158</v>
      </c>
      <c r="C268" s="423"/>
      <c r="D268" s="423"/>
      <c r="E268" s="425"/>
      <c r="F268" s="94" t="s">
        <v>156</v>
      </c>
      <c r="G268" s="113">
        <f>VLOOKUP(B268,$N$43:$O$54,2,FALSE)</f>
        <v>25.73</v>
      </c>
      <c r="H268" s="59">
        <f t="shared" si="52"/>
        <v>0</v>
      </c>
      <c r="I268" s="103">
        <v>4.0999999999999996</v>
      </c>
      <c r="J268" s="59">
        <f t="shared" si="53"/>
        <v>0</v>
      </c>
      <c r="K268" s="60">
        <f t="shared" si="54"/>
        <v>0</v>
      </c>
      <c r="L268" s="92"/>
      <c r="M268" s="87"/>
      <c r="N268" s="87"/>
      <c r="O268" s="410"/>
      <c r="P268" s="87"/>
      <c r="Q268" s="87"/>
      <c r="R268" s="87"/>
      <c r="S268" s="87"/>
      <c r="T268" s="87"/>
      <c r="U268" s="87"/>
    </row>
    <row r="269" spans="1:21" s="62" customFormat="1" ht="24" customHeight="1">
      <c r="A269" s="450"/>
      <c r="B269" s="423" t="s">
        <v>159</v>
      </c>
      <c r="C269" s="423"/>
      <c r="D269" s="423"/>
      <c r="E269" s="425">
        <v>553.20000000000005</v>
      </c>
      <c r="F269" s="94" t="s">
        <v>156</v>
      </c>
      <c r="G269" s="113">
        <f t="shared" ref="G269:G276" si="56">VLOOKUP(B269,$N$43:$O$54,2,FALSE)</f>
        <v>24.97</v>
      </c>
      <c r="H269" s="59">
        <f t="shared" si="52"/>
        <v>13813.4</v>
      </c>
      <c r="I269" s="114">
        <v>4.0999999999999996</v>
      </c>
      <c r="J269" s="59">
        <f t="shared" si="53"/>
        <v>2268.12</v>
      </c>
      <c r="K269" s="60">
        <f t="shared" si="54"/>
        <v>16081.52</v>
      </c>
      <c r="L269" s="92"/>
      <c r="M269" s="87"/>
      <c r="N269" s="87"/>
      <c r="O269" s="410"/>
      <c r="P269" s="87"/>
      <c r="Q269" s="87"/>
      <c r="R269" s="87"/>
      <c r="S269" s="87"/>
      <c r="T269" s="87"/>
      <c r="U269" s="87"/>
    </row>
    <row r="270" spans="1:21" s="62" customFormat="1" ht="24" customHeight="1">
      <c r="A270" s="450"/>
      <c r="B270" s="423" t="s">
        <v>160</v>
      </c>
      <c r="C270" s="423"/>
      <c r="D270" s="423"/>
      <c r="E270" s="425">
        <v>33350.949999999997</v>
      </c>
      <c r="F270" s="94" t="s">
        <v>156</v>
      </c>
      <c r="G270" s="113">
        <f t="shared" si="56"/>
        <v>24.47</v>
      </c>
      <c r="H270" s="59">
        <f t="shared" si="52"/>
        <v>816097.75</v>
      </c>
      <c r="I270" s="114">
        <v>3.3</v>
      </c>
      <c r="J270" s="59">
        <f t="shared" si="53"/>
        <v>110058.14</v>
      </c>
      <c r="K270" s="60">
        <f t="shared" si="54"/>
        <v>926155.89</v>
      </c>
      <c r="L270" s="92"/>
      <c r="M270" s="87"/>
      <c r="N270" s="87"/>
      <c r="O270" s="410"/>
      <c r="P270" s="87"/>
      <c r="Q270" s="87"/>
      <c r="R270" s="87"/>
      <c r="S270" s="87"/>
      <c r="T270" s="87"/>
      <c r="U270" s="87"/>
    </row>
    <row r="271" spans="1:21" s="62" customFormat="1" ht="24" customHeight="1">
      <c r="A271" s="450"/>
      <c r="B271" s="423" t="s">
        <v>161</v>
      </c>
      <c r="C271" s="423"/>
      <c r="D271" s="423"/>
      <c r="E271" s="425">
        <v>5091.21</v>
      </c>
      <c r="F271" s="115" t="s">
        <v>156</v>
      </c>
      <c r="G271" s="113">
        <f t="shared" si="56"/>
        <v>24.27</v>
      </c>
      <c r="H271" s="59">
        <f t="shared" si="52"/>
        <v>123563.67</v>
      </c>
      <c r="I271" s="114">
        <v>3.3</v>
      </c>
      <c r="J271" s="59">
        <f t="shared" si="53"/>
        <v>16800.990000000002</v>
      </c>
      <c r="K271" s="60">
        <f t="shared" si="54"/>
        <v>140364.66</v>
      </c>
      <c r="L271" s="92"/>
      <c r="M271" s="87"/>
      <c r="N271" s="87"/>
      <c r="O271" s="410"/>
      <c r="P271" s="87"/>
      <c r="Q271" s="87"/>
      <c r="R271" s="87"/>
      <c r="S271" s="87"/>
      <c r="T271" s="87"/>
      <c r="U271" s="87"/>
    </row>
    <row r="272" spans="1:21" s="62" customFormat="1" ht="24" customHeight="1">
      <c r="A272" s="450"/>
      <c r="B272" s="423" t="s">
        <v>162</v>
      </c>
      <c r="C272" s="423"/>
      <c r="D272" s="423"/>
      <c r="E272" s="425">
        <v>1799.37</v>
      </c>
      <c r="F272" s="94" t="s">
        <v>156</v>
      </c>
      <c r="G272" s="113">
        <f t="shared" si="56"/>
        <v>24.27</v>
      </c>
      <c r="H272" s="59">
        <f t="shared" si="52"/>
        <v>43670.71</v>
      </c>
      <c r="I272" s="114">
        <v>2.9</v>
      </c>
      <c r="J272" s="59">
        <f t="shared" si="53"/>
        <v>5218.17</v>
      </c>
      <c r="K272" s="60">
        <f t="shared" si="54"/>
        <v>48888.88</v>
      </c>
      <c r="L272" s="92"/>
      <c r="M272" s="87"/>
      <c r="N272" s="87"/>
      <c r="O272" s="410"/>
      <c r="P272" s="87"/>
      <c r="Q272" s="87"/>
      <c r="R272" s="87"/>
      <c r="S272" s="87"/>
      <c r="T272" s="87"/>
      <c r="U272" s="87"/>
    </row>
    <row r="273" spans="1:21" s="62" customFormat="1" ht="24" customHeight="1">
      <c r="A273" s="450"/>
      <c r="B273" s="423" t="s">
        <v>163</v>
      </c>
      <c r="C273" s="423"/>
      <c r="D273" s="423"/>
      <c r="E273" s="425">
        <v>15984.96</v>
      </c>
      <c r="F273" s="94" t="s">
        <v>156</v>
      </c>
      <c r="G273" s="113">
        <f t="shared" si="56"/>
        <v>24.27</v>
      </c>
      <c r="H273" s="59">
        <f t="shared" si="52"/>
        <v>387954.98</v>
      </c>
      <c r="I273" s="114">
        <v>2.9</v>
      </c>
      <c r="J273" s="59">
        <f t="shared" si="53"/>
        <v>46356.38</v>
      </c>
      <c r="K273" s="60">
        <f t="shared" si="54"/>
        <v>434311.36</v>
      </c>
      <c r="L273" s="92"/>
      <c r="M273" s="87"/>
      <c r="N273" s="87"/>
      <c r="O273" s="410"/>
      <c r="P273" s="87"/>
      <c r="Q273" s="87"/>
      <c r="R273" s="87"/>
      <c r="S273" s="87"/>
      <c r="T273" s="87"/>
      <c r="U273" s="87"/>
    </row>
    <row r="274" spans="1:21" s="62" customFormat="1" ht="24" customHeight="1">
      <c r="A274" s="450"/>
      <c r="B274" s="423" t="s">
        <v>164</v>
      </c>
      <c r="C274" s="423"/>
      <c r="D274" s="423"/>
      <c r="E274" s="425">
        <v>29344.07</v>
      </c>
      <c r="F274" s="94" t="s">
        <v>156</v>
      </c>
      <c r="G274" s="113">
        <f t="shared" si="56"/>
        <v>24.27</v>
      </c>
      <c r="H274" s="59">
        <f t="shared" si="52"/>
        <v>712180.58</v>
      </c>
      <c r="I274" s="114">
        <v>2.9</v>
      </c>
      <c r="J274" s="59">
        <f t="shared" si="53"/>
        <v>85097.8</v>
      </c>
      <c r="K274" s="60">
        <f t="shared" si="54"/>
        <v>797278.38</v>
      </c>
      <c r="L274" s="92"/>
      <c r="M274" s="87"/>
      <c r="N274" s="87"/>
      <c r="O274" s="410"/>
      <c r="P274" s="87"/>
      <c r="Q274" s="87"/>
      <c r="R274" s="87"/>
      <c r="S274" s="87"/>
      <c r="T274" s="87"/>
      <c r="U274" s="87"/>
    </row>
    <row r="275" spans="1:21" s="62" customFormat="1" ht="24" customHeight="1">
      <c r="A275" s="450"/>
      <c r="B275" s="423" t="s">
        <v>165</v>
      </c>
      <c r="C275" s="423"/>
      <c r="D275" s="423"/>
      <c r="E275" s="425">
        <v>0</v>
      </c>
      <c r="F275" s="94" t="s">
        <v>156</v>
      </c>
      <c r="G275" s="113">
        <f t="shared" si="56"/>
        <v>23.8</v>
      </c>
      <c r="H275" s="59">
        <f t="shared" si="52"/>
        <v>0</v>
      </c>
      <c r="I275" s="114">
        <v>2.9</v>
      </c>
      <c r="J275" s="59">
        <f t="shared" si="53"/>
        <v>0</v>
      </c>
      <c r="K275" s="60">
        <f t="shared" si="54"/>
        <v>0</v>
      </c>
      <c r="L275" s="92"/>
      <c r="M275" s="87"/>
      <c r="N275" s="87"/>
      <c r="O275" s="410"/>
      <c r="P275" s="87"/>
      <c r="Q275" s="87"/>
      <c r="R275" s="87"/>
      <c r="S275" s="87"/>
      <c r="T275" s="87"/>
      <c r="U275" s="87"/>
    </row>
    <row r="276" spans="1:21" s="62" customFormat="1" ht="24" customHeight="1">
      <c r="A276" s="450"/>
      <c r="B276" s="423" t="s">
        <v>166</v>
      </c>
      <c r="C276" s="423"/>
      <c r="D276" s="423"/>
      <c r="E276" s="425">
        <f>(SUM(E268:E275)/1000)*30</f>
        <v>2583.7127999999998</v>
      </c>
      <c r="F276" s="94" t="s">
        <v>156</v>
      </c>
      <c r="G276" s="113">
        <f t="shared" si="56"/>
        <v>29.92</v>
      </c>
      <c r="H276" s="59">
        <f t="shared" si="52"/>
        <v>77304.69</v>
      </c>
      <c r="I276" s="114"/>
      <c r="J276" s="59">
        <f t="shared" si="53"/>
        <v>0</v>
      </c>
      <c r="K276" s="60">
        <f t="shared" si="54"/>
        <v>77304.69</v>
      </c>
      <c r="L276" s="92"/>
      <c r="M276" s="87"/>
      <c r="N276" s="87"/>
      <c r="O276" s="410"/>
      <c r="P276" s="87"/>
      <c r="Q276" s="87"/>
      <c r="R276" s="87"/>
      <c r="S276" s="87"/>
      <c r="T276" s="87"/>
      <c r="U276" s="87"/>
    </row>
    <row r="277" spans="1:21" s="62" customFormat="1" ht="24" customHeight="1">
      <c r="A277" s="450"/>
      <c r="B277" s="423" t="s">
        <v>167</v>
      </c>
      <c r="C277" s="423"/>
      <c r="D277" s="423"/>
      <c r="E277" s="425"/>
      <c r="F277" s="94"/>
      <c r="G277" s="113"/>
      <c r="H277" s="59"/>
      <c r="I277" s="114"/>
      <c r="J277" s="59"/>
      <c r="K277" s="60"/>
      <c r="L277" s="92"/>
      <c r="M277" s="87"/>
      <c r="N277" s="87"/>
      <c r="O277" s="410"/>
      <c r="P277" s="87"/>
      <c r="Q277" s="87"/>
      <c r="R277" s="87"/>
      <c r="S277" s="87"/>
      <c r="T277" s="87"/>
      <c r="U277" s="87"/>
    </row>
    <row r="278" spans="1:21" s="62" customFormat="1" ht="24" customHeight="1">
      <c r="A278" s="450"/>
      <c r="B278" s="451"/>
      <c r="C278" s="423"/>
      <c r="D278" s="423"/>
      <c r="E278" s="429"/>
      <c r="F278" s="94"/>
      <c r="G278" s="113"/>
      <c r="H278" s="59"/>
      <c r="I278" s="114"/>
      <c r="J278" s="59"/>
      <c r="K278" s="60"/>
      <c r="L278" s="92"/>
      <c r="M278" s="87"/>
      <c r="N278" s="87"/>
      <c r="O278" s="410"/>
      <c r="P278" s="87"/>
      <c r="Q278" s="87"/>
      <c r="R278" s="87"/>
      <c r="S278" s="87"/>
      <c r="T278" s="87"/>
      <c r="U278" s="87"/>
    </row>
    <row r="279" spans="1:21" s="62" customFormat="1" ht="24" customHeight="1">
      <c r="A279" s="450"/>
      <c r="B279" s="451"/>
      <c r="C279" s="423"/>
      <c r="D279" s="423"/>
      <c r="E279" s="429"/>
      <c r="F279" s="94"/>
      <c r="G279" s="113"/>
      <c r="H279" s="59"/>
      <c r="I279" s="114"/>
      <c r="J279" s="59"/>
      <c r="K279" s="60"/>
      <c r="L279" s="92"/>
      <c r="M279" s="87"/>
      <c r="N279" s="87"/>
      <c r="O279" s="410"/>
      <c r="P279" s="87"/>
      <c r="Q279" s="87"/>
      <c r="R279" s="87"/>
      <c r="S279" s="87"/>
      <c r="T279" s="87"/>
      <c r="U279" s="87"/>
    </row>
    <row r="280" spans="1:21" s="62" customFormat="1" ht="24" customHeight="1">
      <c r="A280" s="450"/>
      <c r="B280" s="451"/>
      <c r="C280" s="423"/>
      <c r="D280" s="423"/>
      <c r="E280" s="429"/>
      <c r="F280" s="94"/>
      <c r="G280" s="113"/>
      <c r="H280" s="59"/>
      <c r="I280" s="114"/>
      <c r="J280" s="59"/>
      <c r="K280" s="60"/>
      <c r="L280" s="92"/>
      <c r="M280" s="87"/>
      <c r="N280" s="87"/>
      <c r="O280" s="410"/>
      <c r="P280" s="87"/>
      <c r="Q280" s="87"/>
      <c r="R280" s="87"/>
      <c r="S280" s="87"/>
      <c r="T280" s="87"/>
      <c r="U280" s="87"/>
    </row>
    <row r="281" spans="1:21" s="62" customFormat="1" ht="24" customHeight="1">
      <c r="A281" s="450"/>
      <c r="B281" s="451"/>
      <c r="C281" s="423"/>
      <c r="D281" s="423"/>
      <c r="E281" s="429"/>
      <c r="F281" s="94"/>
      <c r="G281" s="113"/>
      <c r="H281" s="59"/>
      <c r="I281" s="114"/>
      <c r="J281" s="59"/>
      <c r="K281" s="60"/>
      <c r="L281" s="92"/>
      <c r="M281" s="87"/>
      <c r="N281" s="87"/>
      <c r="O281" s="410"/>
      <c r="P281" s="87"/>
      <c r="Q281" s="87"/>
      <c r="R281" s="87"/>
      <c r="S281" s="87"/>
      <c r="T281" s="87"/>
      <c r="U281" s="87"/>
    </row>
    <row r="282" spans="1:21" s="62" customFormat="1" ht="24" customHeight="1">
      <c r="A282" s="450"/>
      <c r="B282" s="451"/>
      <c r="C282" s="423"/>
      <c r="D282" s="423"/>
      <c r="E282" s="429"/>
      <c r="F282" s="94"/>
      <c r="G282" s="113"/>
      <c r="H282" s="59"/>
      <c r="I282" s="114"/>
      <c r="J282" s="59"/>
      <c r="K282" s="60"/>
      <c r="L282" s="92"/>
      <c r="M282" s="87"/>
      <c r="N282" s="87"/>
      <c r="O282" s="410"/>
      <c r="P282" s="87"/>
      <c r="Q282" s="87"/>
      <c r="R282" s="87"/>
      <c r="S282" s="87"/>
      <c r="T282" s="87"/>
      <c r="U282" s="87"/>
    </row>
    <row r="283" spans="1:21" s="62" customFormat="1" ht="24" customHeight="1">
      <c r="A283" s="450"/>
      <c r="B283" s="451"/>
      <c r="C283" s="423"/>
      <c r="D283" s="423"/>
      <c r="E283" s="429"/>
      <c r="F283" s="94"/>
      <c r="G283" s="113"/>
      <c r="H283" s="59"/>
      <c r="I283" s="114"/>
      <c r="J283" s="59"/>
      <c r="K283" s="60"/>
      <c r="L283" s="92"/>
      <c r="M283" s="87"/>
      <c r="N283" s="87"/>
      <c r="O283" s="410"/>
      <c r="P283" s="87"/>
      <c r="Q283" s="87"/>
      <c r="R283" s="87"/>
      <c r="S283" s="87"/>
      <c r="T283" s="87"/>
      <c r="U283" s="87"/>
    </row>
    <row r="284" spans="1:21" s="62" customFormat="1" ht="24" customHeight="1">
      <c r="A284" s="450"/>
      <c r="B284" s="451"/>
      <c r="C284" s="423"/>
      <c r="D284" s="423"/>
      <c r="E284" s="429"/>
      <c r="F284" s="94"/>
      <c r="G284" s="113"/>
      <c r="H284" s="59"/>
      <c r="I284" s="114"/>
      <c r="J284" s="59"/>
      <c r="K284" s="60"/>
      <c r="L284" s="92"/>
      <c r="M284" s="87"/>
      <c r="N284" s="87"/>
      <c r="O284" s="410"/>
      <c r="P284" s="87"/>
      <c r="Q284" s="87"/>
      <c r="R284" s="87"/>
      <c r="S284" s="87"/>
      <c r="T284" s="87"/>
      <c r="U284" s="87"/>
    </row>
    <row r="285" spans="1:21" s="62" customFormat="1" ht="24" customHeight="1">
      <c r="A285" s="450"/>
      <c r="B285" s="451"/>
      <c r="C285" s="423"/>
      <c r="D285" s="423"/>
      <c r="E285" s="429"/>
      <c r="F285" s="94"/>
      <c r="G285" s="113"/>
      <c r="H285" s="59"/>
      <c r="I285" s="114"/>
      <c r="J285" s="59"/>
      <c r="K285" s="60"/>
      <c r="L285" s="92"/>
      <c r="M285" s="87"/>
      <c r="N285" s="87"/>
      <c r="O285" s="410"/>
      <c r="P285" s="87"/>
      <c r="Q285" s="87"/>
      <c r="R285" s="87"/>
      <c r="S285" s="87"/>
      <c r="T285" s="87"/>
      <c r="U285" s="87"/>
    </row>
    <row r="286" spans="1:21" s="62" customFormat="1" ht="24" customHeight="1">
      <c r="A286" s="450" t="s">
        <v>47</v>
      </c>
      <c r="B286" s="451" t="s">
        <v>178</v>
      </c>
      <c r="C286" s="423"/>
      <c r="D286" s="423"/>
      <c r="E286" s="429"/>
      <c r="F286" s="94"/>
      <c r="G286" s="113"/>
      <c r="H286" s="59"/>
      <c r="I286" s="114"/>
      <c r="J286" s="59"/>
      <c r="K286" s="60"/>
      <c r="L286" s="92"/>
      <c r="M286" s="87"/>
      <c r="N286" s="87"/>
      <c r="O286" s="410"/>
      <c r="P286" s="87"/>
      <c r="Q286" s="87"/>
      <c r="R286" s="87"/>
      <c r="S286" s="87"/>
      <c r="T286" s="87"/>
      <c r="U286" s="87"/>
    </row>
    <row r="287" spans="1:21" s="62" customFormat="1" ht="24" customHeight="1">
      <c r="A287" s="450"/>
      <c r="B287" s="423" t="s">
        <v>150</v>
      </c>
      <c r="C287" s="424"/>
      <c r="D287" s="424"/>
      <c r="E287" s="425">
        <v>348.06</v>
      </c>
      <c r="F287" s="94" t="s">
        <v>151</v>
      </c>
      <c r="G287" s="113">
        <v>2516</v>
      </c>
      <c r="H287" s="59">
        <f t="shared" ref="H287:H301" si="57">ROUND(E287*G287,2)</f>
        <v>875718.96</v>
      </c>
      <c r="I287" s="114">
        <v>485</v>
      </c>
      <c r="J287" s="59">
        <f t="shared" ref="J287:J301" si="58">ROUND(E287*I287,2)</f>
        <v>168809.1</v>
      </c>
      <c r="K287" s="60">
        <f t="shared" ref="K287:K301" si="59">H287+J287</f>
        <v>1044528.0599999999</v>
      </c>
      <c r="L287" s="92"/>
      <c r="M287" s="87"/>
      <c r="N287" s="87"/>
      <c r="O287" s="410"/>
      <c r="P287" s="87"/>
      <c r="Q287" s="87"/>
      <c r="R287" s="87"/>
      <c r="S287" s="87"/>
      <c r="T287" s="87"/>
      <c r="U287" s="87"/>
    </row>
    <row r="288" spans="1:21" s="62" customFormat="1" ht="24" customHeight="1">
      <c r="A288" s="450"/>
      <c r="B288" s="426" t="s">
        <v>152</v>
      </c>
      <c r="C288" s="423"/>
      <c r="D288" s="423"/>
      <c r="E288" s="425"/>
      <c r="F288" s="94"/>
      <c r="G288" s="113"/>
      <c r="H288" s="59">
        <f t="shared" si="57"/>
        <v>0</v>
      </c>
      <c r="I288" s="114"/>
      <c r="J288" s="59">
        <f t="shared" si="58"/>
        <v>0</v>
      </c>
      <c r="K288" s="60">
        <f t="shared" si="59"/>
        <v>0</v>
      </c>
      <c r="L288" s="92"/>
      <c r="M288" s="87"/>
      <c r="N288" s="87"/>
      <c r="O288" s="410"/>
      <c r="P288" s="87"/>
      <c r="Q288" s="87"/>
      <c r="R288" s="87"/>
      <c r="S288" s="87"/>
      <c r="T288" s="87"/>
      <c r="U288" s="87"/>
    </row>
    <row r="289" spans="1:21" s="62" customFormat="1" ht="24" customHeight="1">
      <c r="A289" s="450"/>
      <c r="B289" s="426"/>
      <c r="C289" s="423" t="s">
        <v>153</v>
      </c>
      <c r="D289" s="423"/>
      <c r="E289" s="425">
        <f>E290/2</f>
        <v>686.06500000000005</v>
      </c>
      <c r="F289" s="94" t="s">
        <v>37</v>
      </c>
      <c r="G289" s="113">
        <v>661.62</v>
      </c>
      <c r="H289" s="59">
        <f t="shared" si="57"/>
        <v>453914.33</v>
      </c>
      <c r="I289" s="114"/>
      <c r="J289" s="59">
        <f t="shared" si="58"/>
        <v>0</v>
      </c>
      <c r="K289" s="60">
        <f t="shared" si="59"/>
        <v>453914.33</v>
      </c>
      <c r="L289" s="92"/>
      <c r="M289" s="87"/>
      <c r="N289" s="87"/>
      <c r="O289" s="410"/>
      <c r="P289" s="87"/>
      <c r="Q289" s="87"/>
      <c r="R289" s="87"/>
      <c r="S289" s="87"/>
      <c r="T289" s="87"/>
      <c r="U289" s="87"/>
    </row>
    <row r="290" spans="1:21" s="62" customFormat="1" ht="24" customHeight="1">
      <c r="A290" s="450"/>
      <c r="B290" s="426"/>
      <c r="C290" s="423" t="s">
        <v>154</v>
      </c>
      <c r="D290" s="423"/>
      <c r="E290" s="425">
        <v>1372.13</v>
      </c>
      <c r="F290" s="94" t="s">
        <v>37</v>
      </c>
      <c r="G290" s="113"/>
      <c r="H290" s="59">
        <f t="shared" si="57"/>
        <v>0</v>
      </c>
      <c r="I290" s="114">
        <v>154</v>
      </c>
      <c r="J290" s="59">
        <f t="shared" si="58"/>
        <v>211308.02</v>
      </c>
      <c r="K290" s="60">
        <f t="shared" si="59"/>
        <v>211308.02</v>
      </c>
      <c r="L290" s="92"/>
      <c r="M290" s="87"/>
      <c r="N290" s="87"/>
      <c r="O290" s="410"/>
      <c r="P290" s="87"/>
      <c r="Q290" s="87"/>
      <c r="R290" s="87"/>
      <c r="S290" s="87"/>
      <c r="T290" s="87"/>
      <c r="U290" s="87"/>
    </row>
    <row r="291" spans="1:21" s="62" customFormat="1" ht="24" customHeight="1">
      <c r="A291" s="450"/>
      <c r="B291" s="423" t="s">
        <v>155</v>
      </c>
      <c r="C291" s="423"/>
      <c r="D291" s="423"/>
      <c r="E291" s="425">
        <f>(E290*0.25)</f>
        <v>343.03250000000003</v>
      </c>
      <c r="F291" s="94" t="s">
        <v>156</v>
      </c>
      <c r="G291" s="113">
        <f t="shared" ref="G291" si="60">VLOOKUP(B291,$N$43:$O$53,2,FALSE)</f>
        <v>29.94</v>
      </c>
      <c r="H291" s="59">
        <f t="shared" si="57"/>
        <v>10270.39</v>
      </c>
      <c r="I291" s="114"/>
      <c r="J291" s="59">
        <f t="shared" si="58"/>
        <v>0</v>
      </c>
      <c r="K291" s="60">
        <f t="shared" si="59"/>
        <v>10270.39</v>
      </c>
      <c r="L291" s="92"/>
      <c r="M291" s="87"/>
      <c r="N291" s="87"/>
      <c r="O291" s="410"/>
      <c r="P291" s="87"/>
      <c r="Q291" s="87"/>
      <c r="R291" s="87"/>
      <c r="S291" s="87"/>
      <c r="T291" s="87"/>
      <c r="U291" s="87"/>
    </row>
    <row r="292" spans="1:21" s="62" customFormat="1" ht="24" customHeight="1">
      <c r="A292" s="450"/>
      <c r="B292" s="423" t="s">
        <v>157</v>
      </c>
      <c r="C292" s="423"/>
      <c r="D292" s="423"/>
      <c r="E292" s="425"/>
      <c r="F292" s="115"/>
      <c r="G292" s="101"/>
      <c r="H292" s="59">
        <f t="shared" si="57"/>
        <v>0</v>
      </c>
      <c r="I292" s="114"/>
      <c r="J292" s="59">
        <f t="shared" si="58"/>
        <v>0</v>
      </c>
      <c r="K292" s="60">
        <f t="shared" si="59"/>
        <v>0</v>
      </c>
      <c r="L292" s="92"/>
      <c r="M292" s="87"/>
      <c r="N292" s="87"/>
      <c r="O292" s="410"/>
      <c r="P292" s="87"/>
      <c r="Q292" s="87"/>
      <c r="R292" s="87"/>
      <c r="S292" s="87"/>
      <c r="T292" s="87"/>
      <c r="U292" s="87"/>
    </row>
    <row r="293" spans="1:21" s="62" customFormat="1" ht="24" customHeight="1">
      <c r="A293" s="450"/>
      <c r="B293" s="423" t="s">
        <v>158</v>
      </c>
      <c r="C293" s="423"/>
      <c r="D293" s="423"/>
      <c r="E293" s="425"/>
      <c r="F293" s="94" t="s">
        <v>156</v>
      </c>
      <c r="G293" s="113">
        <f>VLOOKUP(B293,$N$43:$O$54,2,FALSE)</f>
        <v>25.73</v>
      </c>
      <c r="H293" s="59">
        <f t="shared" si="57"/>
        <v>0</v>
      </c>
      <c r="I293" s="103">
        <v>4.0999999999999996</v>
      </c>
      <c r="J293" s="59">
        <f t="shared" si="58"/>
        <v>0</v>
      </c>
      <c r="K293" s="60">
        <f t="shared" si="59"/>
        <v>0</v>
      </c>
      <c r="L293" s="92"/>
      <c r="M293" s="87"/>
      <c r="N293" s="87"/>
      <c r="O293" s="410"/>
      <c r="P293" s="87"/>
      <c r="Q293" s="87"/>
      <c r="R293" s="87"/>
      <c r="S293" s="87"/>
      <c r="T293" s="87"/>
      <c r="U293" s="87"/>
    </row>
    <row r="294" spans="1:21" s="62" customFormat="1" ht="24" customHeight="1">
      <c r="A294" s="450"/>
      <c r="B294" s="423" t="s">
        <v>159</v>
      </c>
      <c r="C294" s="423"/>
      <c r="D294" s="423"/>
      <c r="E294" s="425">
        <v>9.08</v>
      </c>
      <c r="F294" s="94" t="s">
        <v>156</v>
      </c>
      <c r="G294" s="113">
        <f t="shared" ref="G294:G301" si="61">VLOOKUP(B294,$N$43:$O$54,2,FALSE)</f>
        <v>24.97</v>
      </c>
      <c r="H294" s="59">
        <f t="shared" si="57"/>
        <v>226.73</v>
      </c>
      <c r="I294" s="114">
        <v>4.0999999999999996</v>
      </c>
      <c r="J294" s="59">
        <f t="shared" si="58"/>
        <v>37.229999999999997</v>
      </c>
      <c r="K294" s="60">
        <f t="shared" si="59"/>
        <v>263.95999999999998</v>
      </c>
      <c r="L294" s="92"/>
      <c r="M294" s="87"/>
      <c r="N294" s="87"/>
      <c r="O294" s="410"/>
      <c r="P294" s="87"/>
      <c r="Q294" s="87"/>
      <c r="R294" s="87"/>
      <c r="S294" s="87"/>
      <c r="T294" s="87"/>
      <c r="U294" s="87"/>
    </row>
    <row r="295" spans="1:21" s="62" customFormat="1" ht="24" customHeight="1">
      <c r="A295" s="67"/>
      <c r="B295" s="423" t="s">
        <v>160</v>
      </c>
      <c r="C295" s="423"/>
      <c r="D295" s="423"/>
      <c r="E295" s="425">
        <v>21735.109999999997</v>
      </c>
      <c r="F295" s="94" t="s">
        <v>156</v>
      </c>
      <c r="G295" s="113">
        <f t="shared" si="61"/>
        <v>24.47</v>
      </c>
      <c r="H295" s="59">
        <f t="shared" si="57"/>
        <v>531858.14</v>
      </c>
      <c r="I295" s="114">
        <v>3.3</v>
      </c>
      <c r="J295" s="59">
        <f t="shared" si="58"/>
        <v>71725.86</v>
      </c>
      <c r="K295" s="60">
        <f t="shared" si="59"/>
        <v>603584</v>
      </c>
      <c r="L295" s="92"/>
      <c r="M295" s="87"/>
      <c r="N295" s="87"/>
      <c r="O295" s="410"/>
      <c r="P295" s="87"/>
      <c r="Q295" s="87"/>
      <c r="R295" s="87"/>
      <c r="S295" s="87"/>
      <c r="T295" s="87"/>
      <c r="U295" s="87"/>
    </row>
    <row r="296" spans="1:21" s="62" customFormat="1" ht="24" customHeight="1">
      <c r="A296" s="67"/>
      <c r="B296" s="423" t="s">
        <v>161</v>
      </c>
      <c r="C296" s="423"/>
      <c r="D296" s="423"/>
      <c r="E296" s="425">
        <v>25.790000000000003</v>
      </c>
      <c r="F296" s="115" t="s">
        <v>156</v>
      </c>
      <c r="G296" s="113">
        <f t="shared" si="61"/>
        <v>24.27</v>
      </c>
      <c r="H296" s="59">
        <f t="shared" si="57"/>
        <v>625.91999999999996</v>
      </c>
      <c r="I296" s="114">
        <v>3.3</v>
      </c>
      <c r="J296" s="59">
        <f t="shared" si="58"/>
        <v>85.11</v>
      </c>
      <c r="K296" s="60">
        <f t="shared" si="59"/>
        <v>711.03</v>
      </c>
      <c r="L296" s="92"/>
      <c r="M296" s="87"/>
      <c r="N296" s="87"/>
      <c r="O296" s="410"/>
      <c r="P296" s="87"/>
      <c r="Q296" s="87"/>
      <c r="R296" s="87"/>
      <c r="S296" s="87"/>
      <c r="T296" s="87"/>
      <c r="U296" s="87"/>
    </row>
    <row r="297" spans="1:21" s="62" customFormat="1" ht="24" customHeight="1">
      <c r="A297" s="67"/>
      <c r="B297" s="423" t="s">
        <v>162</v>
      </c>
      <c r="C297" s="423"/>
      <c r="D297" s="423"/>
      <c r="E297" s="425">
        <v>656.47</v>
      </c>
      <c r="F297" s="94" t="s">
        <v>156</v>
      </c>
      <c r="G297" s="113">
        <f t="shared" si="61"/>
        <v>24.27</v>
      </c>
      <c r="H297" s="59">
        <f t="shared" si="57"/>
        <v>15932.53</v>
      </c>
      <c r="I297" s="114">
        <v>2.9</v>
      </c>
      <c r="J297" s="59">
        <f t="shared" si="58"/>
        <v>1903.76</v>
      </c>
      <c r="K297" s="60">
        <f t="shared" si="59"/>
        <v>17836.29</v>
      </c>
      <c r="L297" s="92"/>
      <c r="M297" s="87"/>
      <c r="N297" s="87"/>
      <c r="O297" s="410"/>
      <c r="P297" s="87"/>
      <c r="Q297" s="87"/>
      <c r="R297" s="87"/>
      <c r="S297" s="87"/>
      <c r="T297" s="87"/>
      <c r="U297" s="87"/>
    </row>
    <row r="298" spans="1:21" s="62" customFormat="1" ht="24" customHeight="1">
      <c r="A298" s="67"/>
      <c r="B298" s="423" t="s">
        <v>163</v>
      </c>
      <c r="C298" s="423"/>
      <c r="D298" s="423"/>
      <c r="E298" s="425">
        <v>4165.4000000000005</v>
      </c>
      <c r="F298" s="94" t="s">
        <v>156</v>
      </c>
      <c r="G298" s="113">
        <f t="shared" si="61"/>
        <v>24.27</v>
      </c>
      <c r="H298" s="59">
        <f t="shared" si="57"/>
        <v>101094.26</v>
      </c>
      <c r="I298" s="114">
        <v>2.9</v>
      </c>
      <c r="J298" s="59">
        <f t="shared" si="58"/>
        <v>12079.66</v>
      </c>
      <c r="K298" s="60">
        <f t="shared" si="59"/>
        <v>113173.92</v>
      </c>
      <c r="L298" s="92"/>
      <c r="M298" s="87"/>
      <c r="N298" s="87"/>
      <c r="O298" s="410"/>
      <c r="P298" s="87"/>
      <c r="Q298" s="87"/>
      <c r="R298" s="87"/>
      <c r="S298" s="87"/>
      <c r="T298" s="87"/>
      <c r="U298" s="87"/>
    </row>
    <row r="299" spans="1:21" s="62" customFormat="1" ht="24" customHeight="1">
      <c r="A299" s="67"/>
      <c r="B299" s="423" t="s">
        <v>164</v>
      </c>
      <c r="C299" s="423"/>
      <c r="D299" s="423"/>
      <c r="E299" s="425">
        <v>75010.189999999988</v>
      </c>
      <c r="F299" s="94" t="s">
        <v>156</v>
      </c>
      <c r="G299" s="113">
        <f t="shared" si="61"/>
        <v>24.27</v>
      </c>
      <c r="H299" s="59">
        <f t="shared" si="57"/>
        <v>1820497.31</v>
      </c>
      <c r="I299" s="114">
        <v>2.9</v>
      </c>
      <c r="J299" s="59">
        <f t="shared" si="58"/>
        <v>217529.55</v>
      </c>
      <c r="K299" s="60">
        <f t="shared" si="59"/>
        <v>2038026.86</v>
      </c>
      <c r="L299" s="92"/>
      <c r="M299" s="87"/>
      <c r="N299" s="87"/>
      <c r="O299" s="410"/>
      <c r="P299" s="87"/>
      <c r="Q299" s="87"/>
      <c r="R299" s="87"/>
      <c r="S299" s="87"/>
      <c r="T299" s="87"/>
      <c r="U299" s="87"/>
    </row>
    <row r="300" spans="1:21" s="62" customFormat="1" ht="24" customHeight="1">
      <c r="A300" s="67"/>
      <c r="B300" s="423" t="s">
        <v>165</v>
      </c>
      <c r="C300" s="423"/>
      <c r="D300" s="423"/>
      <c r="E300" s="425"/>
      <c r="F300" s="94" t="s">
        <v>156</v>
      </c>
      <c r="G300" s="113">
        <f t="shared" si="61"/>
        <v>23.8</v>
      </c>
      <c r="H300" s="59">
        <f t="shared" si="57"/>
        <v>0</v>
      </c>
      <c r="I300" s="114">
        <v>2.9</v>
      </c>
      <c r="J300" s="59">
        <f t="shared" si="58"/>
        <v>0</v>
      </c>
      <c r="K300" s="60">
        <f t="shared" si="59"/>
        <v>0</v>
      </c>
      <c r="L300" s="92"/>
      <c r="M300" s="87"/>
      <c r="N300" s="87"/>
      <c r="O300" s="410"/>
      <c r="P300" s="87"/>
      <c r="Q300" s="87"/>
      <c r="R300" s="87"/>
      <c r="S300" s="87"/>
      <c r="T300" s="87"/>
      <c r="U300" s="87"/>
    </row>
    <row r="301" spans="1:21" s="62" customFormat="1" ht="24" customHeight="1">
      <c r="A301" s="67"/>
      <c r="B301" s="423" t="s">
        <v>166</v>
      </c>
      <c r="C301" s="423"/>
      <c r="D301" s="423"/>
      <c r="E301" s="425">
        <f>(SUM(E293:E300)/1000)*30</f>
        <v>3048.0611999999996</v>
      </c>
      <c r="F301" s="94" t="s">
        <v>156</v>
      </c>
      <c r="G301" s="113">
        <f t="shared" si="61"/>
        <v>29.92</v>
      </c>
      <c r="H301" s="59">
        <f t="shared" si="57"/>
        <v>91197.99</v>
      </c>
      <c r="I301" s="114"/>
      <c r="J301" s="59">
        <f t="shared" si="58"/>
        <v>0</v>
      </c>
      <c r="K301" s="60">
        <f t="shared" si="59"/>
        <v>91197.99</v>
      </c>
      <c r="L301" s="92"/>
      <c r="M301" s="87"/>
      <c r="N301" s="87"/>
      <c r="O301" s="410"/>
      <c r="P301" s="87"/>
      <c r="Q301" s="87"/>
      <c r="R301" s="87"/>
      <c r="S301" s="87"/>
      <c r="T301" s="87"/>
      <c r="U301" s="87"/>
    </row>
    <row r="302" spans="1:21" s="62" customFormat="1" ht="24" customHeight="1">
      <c r="A302" s="67"/>
      <c r="B302" s="423" t="s">
        <v>167</v>
      </c>
      <c r="C302" s="423"/>
      <c r="D302" s="423"/>
      <c r="E302" s="425"/>
      <c r="F302" s="94"/>
      <c r="G302" s="113"/>
      <c r="H302" s="59"/>
      <c r="I302" s="114"/>
      <c r="J302" s="59"/>
      <c r="K302" s="60"/>
      <c r="L302" s="92"/>
      <c r="M302" s="87"/>
      <c r="N302" s="87"/>
      <c r="O302" s="410"/>
      <c r="P302" s="87"/>
      <c r="Q302" s="87"/>
      <c r="R302" s="87"/>
      <c r="S302" s="87"/>
      <c r="T302" s="87"/>
      <c r="U302" s="87"/>
    </row>
    <row r="303" spans="1:21" s="62" customFormat="1" ht="24" customHeight="1">
      <c r="A303" s="93"/>
      <c r="B303" s="423"/>
      <c r="C303" s="423"/>
      <c r="D303" s="423"/>
      <c r="E303" s="425"/>
      <c r="F303" s="94"/>
      <c r="G303" s="113"/>
      <c r="H303" s="59"/>
      <c r="I303" s="114"/>
      <c r="J303" s="59"/>
      <c r="K303" s="60"/>
      <c r="L303" s="92"/>
      <c r="M303" s="87"/>
      <c r="N303" s="87"/>
      <c r="O303" s="410"/>
      <c r="P303" s="87"/>
      <c r="Q303" s="87"/>
      <c r="R303" s="87"/>
      <c r="S303" s="87"/>
      <c r="T303" s="87"/>
      <c r="U303" s="87"/>
    </row>
    <row r="304" spans="1:21" s="62" customFormat="1" ht="24" customHeight="1">
      <c r="A304" s="67"/>
      <c r="B304" s="95"/>
      <c r="C304" s="423"/>
      <c r="D304" s="423"/>
      <c r="E304" s="429"/>
      <c r="F304" s="94"/>
      <c r="G304" s="113"/>
      <c r="H304" s="59"/>
      <c r="I304" s="114"/>
      <c r="J304" s="59"/>
      <c r="K304" s="60"/>
      <c r="L304" s="92"/>
      <c r="M304" s="87"/>
      <c r="N304" s="87"/>
      <c r="O304" s="410"/>
      <c r="P304" s="87"/>
      <c r="Q304" s="87"/>
      <c r="R304" s="87"/>
      <c r="S304" s="87"/>
      <c r="T304" s="87"/>
      <c r="U304" s="87"/>
    </row>
    <row r="305" spans="1:21" s="62" customFormat="1" ht="24" customHeight="1">
      <c r="A305" s="67"/>
      <c r="B305" s="95"/>
      <c r="C305" s="423"/>
      <c r="D305" s="423"/>
      <c r="E305" s="429"/>
      <c r="F305" s="94"/>
      <c r="G305" s="113"/>
      <c r="H305" s="59"/>
      <c r="I305" s="114"/>
      <c r="J305" s="59"/>
      <c r="K305" s="60"/>
      <c r="L305" s="92"/>
      <c r="M305" s="87"/>
      <c r="N305" s="87"/>
      <c r="O305" s="410"/>
      <c r="P305" s="87"/>
      <c r="Q305" s="87"/>
      <c r="R305" s="87"/>
      <c r="S305" s="87"/>
      <c r="T305" s="87"/>
      <c r="U305" s="87"/>
    </row>
    <row r="306" spans="1:21" s="62" customFormat="1" ht="24" customHeight="1">
      <c r="A306" s="67"/>
      <c r="B306" s="95"/>
      <c r="C306" s="423"/>
      <c r="D306" s="423"/>
      <c r="E306" s="429"/>
      <c r="F306" s="94"/>
      <c r="G306" s="113"/>
      <c r="H306" s="59"/>
      <c r="I306" s="114"/>
      <c r="J306" s="59"/>
      <c r="K306" s="60"/>
      <c r="L306" s="92"/>
      <c r="M306" s="87"/>
      <c r="N306" s="87"/>
      <c r="O306" s="410"/>
      <c r="P306" s="87"/>
      <c r="Q306" s="87"/>
      <c r="R306" s="87"/>
      <c r="S306" s="87"/>
      <c r="T306" s="87"/>
      <c r="U306" s="87"/>
    </row>
    <row r="307" spans="1:21" s="62" customFormat="1" ht="24" customHeight="1">
      <c r="A307" s="67"/>
      <c r="B307" s="95"/>
      <c r="C307" s="423"/>
      <c r="D307" s="423"/>
      <c r="E307" s="429"/>
      <c r="F307" s="94"/>
      <c r="G307" s="113"/>
      <c r="H307" s="59"/>
      <c r="I307" s="114"/>
      <c r="J307" s="59"/>
      <c r="K307" s="60"/>
      <c r="L307" s="92"/>
      <c r="M307" s="87"/>
      <c r="N307" s="87"/>
      <c r="O307" s="410"/>
      <c r="P307" s="87"/>
      <c r="Q307" s="87"/>
      <c r="R307" s="87"/>
      <c r="S307" s="87"/>
      <c r="T307" s="87"/>
      <c r="U307" s="87"/>
    </row>
    <row r="308" spans="1:21" s="62" customFormat="1" ht="24" customHeight="1">
      <c r="A308" s="67"/>
      <c r="B308" s="95"/>
      <c r="C308" s="423"/>
      <c r="D308" s="423"/>
      <c r="E308" s="429"/>
      <c r="F308" s="94"/>
      <c r="G308" s="113"/>
      <c r="H308" s="59"/>
      <c r="I308" s="114"/>
      <c r="J308" s="59"/>
      <c r="K308" s="60"/>
      <c r="L308" s="92"/>
      <c r="M308" s="87"/>
      <c r="N308" s="87"/>
      <c r="O308" s="410"/>
      <c r="P308" s="87"/>
      <c r="Q308" s="87"/>
      <c r="R308" s="87"/>
      <c r="S308" s="87"/>
      <c r="T308" s="87"/>
      <c r="U308" s="87"/>
    </row>
    <row r="309" spans="1:21" s="62" customFormat="1" ht="24" customHeight="1">
      <c r="A309" s="67"/>
      <c r="B309" s="95"/>
      <c r="C309" s="423"/>
      <c r="D309" s="423"/>
      <c r="E309" s="429"/>
      <c r="F309" s="94"/>
      <c r="G309" s="113"/>
      <c r="H309" s="59"/>
      <c r="I309" s="114"/>
      <c r="J309" s="59"/>
      <c r="K309" s="60"/>
      <c r="L309" s="92"/>
      <c r="M309" s="87"/>
      <c r="N309" s="87"/>
      <c r="O309" s="410"/>
      <c r="P309" s="87"/>
      <c r="Q309" s="87"/>
      <c r="R309" s="87"/>
      <c r="S309" s="87"/>
      <c r="T309" s="87"/>
      <c r="U309" s="87"/>
    </row>
    <row r="310" spans="1:21" s="62" customFormat="1" ht="24" customHeight="1">
      <c r="A310" s="67"/>
      <c r="B310" s="95"/>
      <c r="C310" s="423"/>
      <c r="D310" s="423"/>
      <c r="E310" s="429"/>
      <c r="F310" s="94"/>
      <c r="G310" s="113"/>
      <c r="H310" s="59"/>
      <c r="I310" s="114"/>
      <c r="J310" s="59"/>
      <c r="K310" s="60"/>
      <c r="L310" s="92"/>
      <c r="M310" s="87"/>
      <c r="N310" s="87"/>
      <c r="O310" s="410"/>
      <c r="P310" s="87"/>
      <c r="Q310" s="87"/>
      <c r="R310" s="87"/>
      <c r="S310" s="87"/>
      <c r="T310" s="87"/>
      <c r="U310" s="87"/>
    </row>
    <row r="311" spans="1:21" s="62" customFormat="1" ht="24" customHeight="1">
      <c r="A311" s="450" t="s">
        <v>48</v>
      </c>
      <c r="B311" s="451" t="s">
        <v>227</v>
      </c>
      <c r="C311" s="423"/>
      <c r="D311" s="423"/>
      <c r="E311" s="429"/>
      <c r="F311" s="94"/>
      <c r="G311" s="113"/>
      <c r="H311" s="59"/>
      <c r="I311" s="114"/>
      <c r="J311" s="59"/>
      <c r="K311" s="60"/>
      <c r="L311" s="92"/>
      <c r="M311" s="87"/>
      <c r="N311" s="87"/>
      <c r="O311" s="410"/>
      <c r="P311" s="87"/>
      <c r="Q311" s="87"/>
      <c r="R311" s="87"/>
      <c r="S311" s="87"/>
      <c r="T311" s="87"/>
      <c r="U311" s="87"/>
    </row>
    <row r="312" spans="1:21" s="62" customFormat="1" ht="24" customHeight="1">
      <c r="A312" s="67"/>
      <c r="B312" s="423" t="s">
        <v>150</v>
      </c>
      <c r="C312" s="424"/>
      <c r="D312" s="424"/>
      <c r="E312" s="425">
        <v>293.55</v>
      </c>
      <c r="F312" s="94" t="s">
        <v>151</v>
      </c>
      <c r="G312" s="113">
        <v>2516</v>
      </c>
      <c r="H312" s="59">
        <f t="shared" ref="H312:H326" si="62">ROUND(E312*G312,2)</f>
        <v>738571.8</v>
      </c>
      <c r="I312" s="114">
        <v>485</v>
      </c>
      <c r="J312" s="59">
        <f t="shared" ref="J312:J326" si="63">ROUND(E312*I312,2)</f>
        <v>142371.75</v>
      </c>
      <c r="K312" s="60">
        <f t="shared" ref="K312:K326" si="64">H312+J312</f>
        <v>880943.55</v>
      </c>
      <c r="L312" s="92"/>
      <c r="M312" s="87"/>
      <c r="N312" s="87"/>
      <c r="O312" s="410"/>
      <c r="P312" s="87"/>
      <c r="Q312" s="87"/>
      <c r="R312" s="87"/>
      <c r="S312" s="87"/>
      <c r="T312" s="87"/>
      <c r="U312" s="87"/>
    </row>
    <row r="313" spans="1:21" s="62" customFormat="1" ht="24" customHeight="1">
      <c r="A313" s="67"/>
      <c r="B313" s="426" t="s">
        <v>152</v>
      </c>
      <c r="C313" s="423"/>
      <c r="D313" s="423"/>
      <c r="E313" s="425"/>
      <c r="F313" s="94"/>
      <c r="G313" s="113"/>
      <c r="H313" s="59">
        <f t="shared" si="62"/>
        <v>0</v>
      </c>
      <c r="I313" s="114"/>
      <c r="J313" s="59">
        <f t="shared" si="63"/>
        <v>0</v>
      </c>
      <c r="K313" s="60">
        <f t="shared" si="64"/>
        <v>0</v>
      </c>
      <c r="L313" s="92"/>
      <c r="M313" s="87"/>
      <c r="N313" s="87"/>
      <c r="O313" s="410"/>
      <c r="P313" s="87"/>
      <c r="Q313" s="87"/>
      <c r="R313" s="87"/>
      <c r="S313" s="87"/>
      <c r="T313" s="87"/>
      <c r="U313" s="87"/>
    </row>
    <row r="314" spans="1:21" s="62" customFormat="1" ht="24" customHeight="1">
      <c r="A314" s="67"/>
      <c r="B314" s="426"/>
      <c r="C314" s="423" t="s">
        <v>153</v>
      </c>
      <c r="D314" s="423"/>
      <c r="E314" s="425">
        <f>E315/2</f>
        <v>977.61</v>
      </c>
      <c r="F314" s="94" t="s">
        <v>37</v>
      </c>
      <c r="G314" s="113">
        <v>661.62</v>
      </c>
      <c r="H314" s="59">
        <f t="shared" si="62"/>
        <v>646806.32999999996</v>
      </c>
      <c r="I314" s="114"/>
      <c r="J314" s="59">
        <f t="shared" si="63"/>
        <v>0</v>
      </c>
      <c r="K314" s="60">
        <f t="shared" si="64"/>
        <v>646806.32999999996</v>
      </c>
      <c r="L314" s="92"/>
      <c r="M314" s="87"/>
      <c r="N314" s="87"/>
      <c r="O314" s="410"/>
      <c r="P314" s="87"/>
      <c r="Q314" s="87"/>
      <c r="R314" s="87"/>
      <c r="S314" s="87"/>
      <c r="T314" s="87"/>
      <c r="U314" s="87"/>
    </row>
    <row r="315" spans="1:21" s="62" customFormat="1" ht="24" customHeight="1">
      <c r="A315" s="67"/>
      <c r="B315" s="426"/>
      <c r="C315" s="423" t="s">
        <v>154</v>
      </c>
      <c r="D315" s="423"/>
      <c r="E315" s="425">
        <v>1955.22</v>
      </c>
      <c r="F315" s="94" t="s">
        <v>37</v>
      </c>
      <c r="G315" s="113"/>
      <c r="H315" s="59">
        <f t="shared" si="62"/>
        <v>0</v>
      </c>
      <c r="I315" s="114">
        <v>154</v>
      </c>
      <c r="J315" s="59">
        <f t="shared" si="63"/>
        <v>301103.88</v>
      </c>
      <c r="K315" s="60">
        <f t="shared" si="64"/>
        <v>301103.88</v>
      </c>
      <c r="L315" s="92"/>
      <c r="M315" s="87"/>
      <c r="N315" s="87"/>
      <c r="O315" s="410"/>
      <c r="P315" s="87"/>
      <c r="Q315" s="87"/>
      <c r="R315" s="87"/>
      <c r="S315" s="87"/>
      <c r="T315" s="87"/>
      <c r="U315" s="87"/>
    </row>
    <row r="316" spans="1:21" s="62" customFormat="1" ht="24" customHeight="1">
      <c r="A316" s="67"/>
      <c r="B316" s="423" t="s">
        <v>155</v>
      </c>
      <c r="C316" s="423"/>
      <c r="D316" s="423"/>
      <c r="E316" s="425">
        <f>(E315*0.25)</f>
        <v>488.80500000000001</v>
      </c>
      <c r="F316" s="94" t="s">
        <v>156</v>
      </c>
      <c r="G316" s="113">
        <f t="shared" ref="G316" si="65">VLOOKUP(B316,$N$43:$O$53,2,FALSE)</f>
        <v>29.94</v>
      </c>
      <c r="H316" s="59">
        <f t="shared" si="62"/>
        <v>14634.82</v>
      </c>
      <c r="I316" s="114"/>
      <c r="J316" s="59">
        <f t="shared" si="63"/>
        <v>0</v>
      </c>
      <c r="K316" s="60">
        <f t="shared" si="64"/>
        <v>14634.82</v>
      </c>
      <c r="L316" s="92"/>
      <c r="M316" s="87"/>
      <c r="N316" s="87"/>
      <c r="O316" s="410"/>
      <c r="P316" s="87"/>
      <c r="Q316" s="87"/>
      <c r="R316" s="87"/>
      <c r="S316" s="87"/>
      <c r="T316" s="87"/>
      <c r="U316" s="87"/>
    </row>
    <row r="317" spans="1:21" s="62" customFormat="1" ht="24" customHeight="1">
      <c r="A317" s="67"/>
      <c r="B317" s="423" t="s">
        <v>157</v>
      </c>
      <c r="C317" s="423"/>
      <c r="D317" s="423"/>
      <c r="E317" s="425"/>
      <c r="F317" s="115"/>
      <c r="G317" s="101"/>
      <c r="H317" s="59">
        <f t="shared" si="62"/>
        <v>0</v>
      </c>
      <c r="I317" s="114"/>
      <c r="J317" s="59">
        <f t="shared" si="63"/>
        <v>0</v>
      </c>
      <c r="K317" s="60">
        <f t="shared" si="64"/>
        <v>0</v>
      </c>
      <c r="L317" s="92"/>
      <c r="M317" s="87"/>
      <c r="N317" s="87"/>
      <c r="O317" s="410"/>
      <c r="P317" s="87"/>
      <c r="Q317" s="87"/>
      <c r="R317" s="87"/>
      <c r="S317" s="87"/>
      <c r="T317" s="87"/>
      <c r="U317" s="87"/>
    </row>
    <row r="318" spans="1:21" s="62" customFormat="1" ht="24" customHeight="1">
      <c r="A318" s="67"/>
      <c r="B318" s="423" t="s">
        <v>158</v>
      </c>
      <c r="C318" s="423"/>
      <c r="D318" s="423"/>
      <c r="E318" s="425"/>
      <c r="F318" s="94" t="s">
        <v>156</v>
      </c>
      <c r="G318" s="113">
        <f>VLOOKUP(B318,$N$43:$O$54,2,FALSE)</f>
        <v>25.73</v>
      </c>
      <c r="H318" s="59">
        <f t="shared" si="62"/>
        <v>0</v>
      </c>
      <c r="I318" s="103">
        <v>4.0999999999999996</v>
      </c>
      <c r="J318" s="59">
        <f t="shared" si="63"/>
        <v>0</v>
      </c>
      <c r="K318" s="60">
        <f t="shared" si="64"/>
        <v>0</v>
      </c>
      <c r="L318" s="92"/>
      <c r="M318" s="87"/>
      <c r="N318" s="87"/>
      <c r="O318" s="410"/>
      <c r="P318" s="87"/>
      <c r="Q318" s="87"/>
      <c r="R318" s="87"/>
      <c r="S318" s="87"/>
      <c r="T318" s="87"/>
      <c r="U318" s="87"/>
    </row>
    <row r="319" spans="1:21" s="62" customFormat="1" ht="24" customHeight="1">
      <c r="A319" s="67"/>
      <c r="B319" s="423" t="s">
        <v>159</v>
      </c>
      <c r="C319" s="423"/>
      <c r="D319" s="423"/>
      <c r="E319" s="425"/>
      <c r="F319" s="94" t="s">
        <v>156</v>
      </c>
      <c r="G319" s="113">
        <f t="shared" ref="G319:G326" si="66">VLOOKUP(B319,$N$43:$O$54,2,FALSE)</f>
        <v>24.97</v>
      </c>
      <c r="H319" s="59">
        <f t="shared" si="62"/>
        <v>0</v>
      </c>
      <c r="I319" s="114">
        <v>4.0999999999999996</v>
      </c>
      <c r="J319" s="59">
        <f t="shared" si="63"/>
        <v>0</v>
      </c>
      <c r="K319" s="60">
        <f t="shared" si="64"/>
        <v>0</v>
      </c>
      <c r="L319" s="92"/>
      <c r="M319" s="87"/>
      <c r="N319" s="87"/>
      <c r="O319" s="410"/>
      <c r="P319" s="87"/>
      <c r="Q319" s="87"/>
      <c r="R319" s="87"/>
      <c r="S319" s="87"/>
      <c r="T319" s="87"/>
      <c r="U319" s="87"/>
    </row>
    <row r="320" spans="1:21" s="62" customFormat="1" ht="24" customHeight="1">
      <c r="A320" s="67"/>
      <c r="B320" s="423" t="s">
        <v>160</v>
      </c>
      <c r="C320" s="423"/>
      <c r="D320" s="423"/>
      <c r="E320" s="425">
        <v>778.21</v>
      </c>
      <c r="F320" s="94" t="s">
        <v>156</v>
      </c>
      <c r="G320" s="113">
        <f t="shared" si="66"/>
        <v>24.47</v>
      </c>
      <c r="H320" s="59">
        <f t="shared" si="62"/>
        <v>19042.8</v>
      </c>
      <c r="I320" s="114">
        <v>3.3</v>
      </c>
      <c r="J320" s="59">
        <f t="shared" si="63"/>
        <v>2568.09</v>
      </c>
      <c r="K320" s="60">
        <f t="shared" si="64"/>
        <v>21610.89</v>
      </c>
      <c r="L320" s="92"/>
      <c r="M320" s="87"/>
      <c r="N320" s="87"/>
      <c r="O320" s="410"/>
      <c r="P320" s="87"/>
      <c r="Q320" s="87"/>
      <c r="R320" s="87"/>
      <c r="S320" s="87"/>
      <c r="T320" s="87"/>
      <c r="U320" s="87"/>
    </row>
    <row r="321" spans="1:21" s="62" customFormat="1" ht="24" customHeight="1">
      <c r="A321" s="67"/>
      <c r="B321" s="423" t="s">
        <v>161</v>
      </c>
      <c r="C321" s="423"/>
      <c r="D321" s="423"/>
      <c r="E321" s="425">
        <v>43257.83</v>
      </c>
      <c r="F321" s="115" t="s">
        <v>156</v>
      </c>
      <c r="G321" s="113">
        <f t="shared" si="66"/>
        <v>24.27</v>
      </c>
      <c r="H321" s="59">
        <f t="shared" si="62"/>
        <v>1049867.53</v>
      </c>
      <c r="I321" s="114">
        <v>3.3</v>
      </c>
      <c r="J321" s="59">
        <f t="shared" si="63"/>
        <v>142750.84</v>
      </c>
      <c r="K321" s="60">
        <f t="shared" si="64"/>
        <v>1192618.3700000001</v>
      </c>
      <c r="L321" s="92"/>
      <c r="M321" s="87"/>
      <c r="N321" s="87"/>
      <c r="O321" s="410"/>
      <c r="P321" s="87"/>
      <c r="Q321" s="87"/>
      <c r="R321" s="87"/>
      <c r="S321" s="87"/>
      <c r="T321" s="87"/>
      <c r="U321" s="87"/>
    </row>
    <row r="322" spans="1:21" s="62" customFormat="1" ht="24" customHeight="1">
      <c r="A322" s="67"/>
      <c r="B322" s="423" t="s">
        <v>162</v>
      </c>
      <c r="C322" s="423"/>
      <c r="D322" s="423"/>
      <c r="E322" s="425">
        <v>2386.39</v>
      </c>
      <c r="F322" s="94" t="s">
        <v>156</v>
      </c>
      <c r="G322" s="113">
        <f t="shared" si="66"/>
        <v>24.27</v>
      </c>
      <c r="H322" s="59">
        <f t="shared" si="62"/>
        <v>57917.69</v>
      </c>
      <c r="I322" s="114">
        <v>2.9</v>
      </c>
      <c r="J322" s="59">
        <f t="shared" si="63"/>
        <v>6920.53</v>
      </c>
      <c r="K322" s="60">
        <f t="shared" si="64"/>
        <v>64838.22</v>
      </c>
      <c r="L322" s="92"/>
      <c r="M322" s="87"/>
      <c r="N322" s="87"/>
      <c r="O322" s="410"/>
      <c r="P322" s="87"/>
      <c r="Q322" s="87"/>
      <c r="R322" s="87"/>
      <c r="S322" s="87"/>
      <c r="T322" s="87"/>
      <c r="U322" s="87"/>
    </row>
    <row r="323" spans="1:21" s="62" customFormat="1" ht="24" customHeight="1">
      <c r="A323" s="67"/>
      <c r="B323" s="423" t="s">
        <v>163</v>
      </c>
      <c r="C323" s="423"/>
      <c r="D323" s="423"/>
      <c r="E323" s="425">
        <v>79108.800000000003</v>
      </c>
      <c r="F323" s="94" t="s">
        <v>156</v>
      </c>
      <c r="G323" s="113">
        <f t="shared" si="66"/>
        <v>24.27</v>
      </c>
      <c r="H323" s="59">
        <f t="shared" si="62"/>
        <v>1919970.58</v>
      </c>
      <c r="I323" s="114">
        <v>2.9</v>
      </c>
      <c r="J323" s="59">
        <f t="shared" si="63"/>
        <v>229415.52</v>
      </c>
      <c r="K323" s="60">
        <f t="shared" si="64"/>
        <v>2149386.1</v>
      </c>
      <c r="L323" s="92"/>
      <c r="M323" s="87"/>
      <c r="N323" s="87"/>
      <c r="O323" s="410"/>
      <c r="P323" s="87"/>
      <c r="Q323" s="87"/>
      <c r="R323" s="87"/>
      <c r="S323" s="87"/>
      <c r="T323" s="87"/>
      <c r="U323" s="87"/>
    </row>
    <row r="324" spans="1:21" s="62" customFormat="1" ht="24" customHeight="1">
      <c r="A324" s="67"/>
      <c r="B324" s="423" t="s">
        <v>164</v>
      </c>
      <c r="C324" s="423"/>
      <c r="D324" s="423"/>
      <c r="E324" s="425">
        <v>6687.62</v>
      </c>
      <c r="F324" s="94" t="s">
        <v>156</v>
      </c>
      <c r="G324" s="113">
        <f t="shared" si="66"/>
        <v>24.27</v>
      </c>
      <c r="H324" s="59">
        <f t="shared" si="62"/>
        <v>162308.54</v>
      </c>
      <c r="I324" s="114">
        <v>2.9</v>
      </c>
      <c r="J324" s="59">
        <f t="shared" si="63"/>
        <v>19394.099999999999</v>
      </c>
      <c r="K324" s="60">
        <f t="shared" si="64"/>
        <v>181702.64</v>
      </c>
      <c r="L324" s="92"/>
      <c r="M324" s="87"/>
      <c r="N324" s="87"/>
      <c r="O324" s="410"/>
      <c r="P324" s="87"/>
      <c r="Q324" s="87"/>
      <c r="R324" s="87"/>
      <c r="S324" s="87"/>
      <c r="T324" s="87"/>
      <c r="U324" s="87"/>
    </row>
    <row r="325" spans="1:21" s="62" customFormat="1" ht="24" customHeight="1">
      <c r="A325" s="67"/>
      <c r="B325" s="423" t="s">
        <v>165</v>
      </c>
      <c r="C325" s="423"/>
      <c r="D325" s="423"/>
      <c r="E325" s="425">
        <v>0</v>
      </c>
      <c r="F325" s="94" t="s">
        <v>156</v>
      </c>
      <c r="G325" s="113">
        <f t="shared" si="66"/>
        <v>23.8</v>
      </c>
      <c r="H325" s="59">
        <f t="shared" si="62"/>
        <v>0</v>
      </c>
      <c r="I325" s="114">
        <v>2.9</v>
      </c>
      <c r="J325" s="59">
        <f t="shared" si="63"/>
        <v>0</v>
      </c>
      <c r="K325" s="60">
        <f t="shared" si="64"/>
        <v>0</v>
      </c>
      <c r="L325" s="92"/>
      <c r="M325" s="87"/>
      <c r="N325" s="87"/>
      <c r="O325" s="410"/>
      <c r="P325" s="87"/>
      <c r="Q325" s="87"/>
      <c r="R325" s="87"/>
      <c r="S325" s="87"/>
      <c r="T325" s="87"/>
      <c r="U325" s="87"/>
    </row>
    <row r="326" spans="1:21" s="62" customFormat="1" ht="24" customHeight="1">
      <c r="A326" s="67"/>
      <c r="B326" s="423" t="s">
        <v>166</v>
      </c>
      <c r="C326" s="423"/>
      <c r="D326" s="423"/>
      <c r="E326" s="425">
        <f>(SUM(E318:E325)/1000)*30</f>
        <v>3966.5655000000002</v>
      </c>
      <c r="F326" s="94" t="s">
        <v>156</v>
      </c>
      <c r="G326" s="113">
        <f t="shared" si="66"/>
        <v>29.92</v>
      </c>
      <c r="H326" s="59">
        <f t="shared" si="62"/>
        <v>118679.64</v>
      </c>
      <c r="I326" s="114"/>
      <c r="J326" s="59">
        <f t="shared" si="63"/>
        <v>0</v>
      </c>
      <c r="K326" s="60">
        <f t="shared" si="64"/>
        <v>118679.64</v>
      </c>
      <c r="L326" s="92"/>
      <c r="M326" s="87"/>
      <c r="N326" s="87"/>
      <c r="O326" s="410"/>
      <c r="P326" s="87"/>
      <c r="Q326" s="87"/>
      <c r="R326" s="87"/>
      <c r="S326" s="87"/>
      <c r="T326" s="87"/>
      <c r="U326" s="87"/>
    </row>
    <row r="327" spans="1:21" s="62" customFormat="1" ht="24" customHeight="1">
      <c r="A327" s="67"/>
      <c r="B327" s="423" t="s">
        <v>167</v>
      </c>
      <c r="C327" s="423"/>
      <c r="D327" s="423"/>
      <c r="E327" s="425"/>
      <c r="F327" s="94"/>
      <c r="G327" s="113"/>
      <c r="H327" s="59"/>
      <c r="I327" s="114"/>
      <c r="J327" s="59"/>
      <c r="K327" s="60"/>
      <c r="L327" s="92"/>
      <c r="M327" s="87"/>
      <c r="N327" s="87"/>
      <c r="O327" s="410"/>
      <c r="P327" s="87"/>
      <c r="Q327" s="87"/>
      <c r="R327" s="87"/>
      <c r="S327" s="87"/>
      <c r="T327" s="87"/>
      <c r="U327" s="87"/>
    </row>
    <row r="328" spans="1:21" s="62" customFormat="1" ht="24" customHeight="1">
      <c r="A328" s="93"/>
      <c r="B328" s="423"/>
      <c r="C328" s="423"/>
      <c r="D328" s="423"/>
      <c r="E328" s="425"/>
      <c r="F328" s="94"/>
      <c r="G328" s="113"/>
      <c r="H328" s="59"/>
      <c r="I328" s="114"/>
      <c r="J328" s="59"/>
      <c r="K328" s="60"/>
      <c r="L328" s="92"/>
      <c r="M328" s="87"/>
      <c r="N328" s="87"/>
      <c r="O328" s="410"/>
      <c r="P328" s="87"/>
      <c r="Q328" s="87"/>
      <c r="R328" s="87"/>
      <c r="S328" s="87"/>
      <c r="T328" s="87"/>
      <c r="U328" s="87"/>
    </row>
    <row r="329" spans="1:21" s="62" customFormat="1" ht="24" customHeight="1">
      <c r="A329" s="67"/>
      <c r="B329" s="95"/>
      <c r="C329" s="423"/>
      <c r="D329" s="423"/>
      <c r="E329" s="429"/>
      <c r="F329" s="94"/>
      <c r="G329" s="113"/>
      <c r="H329" s="59"/>
      <c r="I329" s="114"/>
      <c r="J329" s="59"/>
      <c r="K329" s="60"/>
      <c r="L329" s="92"/>
      <c r="M329" s="87"/>
      <c r="N329" s="87"/>
      <c r="O329" s="410"/>
      <c r="P329" s="87"/>
      <c r="Q329" s="87"/>
      <c r="R329" s="87"/>
      <c r="S329" s="87"/>
      <c r="T329" s="87"/>
      <c r="U329" s="87"/>
    </row>
    <row r="330" spans="1:21" s="62" customFormat="1" ht="24" customHeight="1">
      <c r="A330" s="67"/>
      <c r="B330" s="95"/>
      <c r="C330" s="423"/>
      <c r="D330" s="423"/>
      <c r="E330" s="429"/>
      <c r="F330" s="94"/>
      <c r="G330" s="113"/>
      <c r="H330" s="59"/>
      <c r="I330" s="114"/>
      <c r="J330" s="59"/>
      <c r="K330" s="60"/>
      <c r="L330" s="92"/>
      <c r="M330" s="87"/>
      <c r="N330" s="87"/>
      <c r="O330" s="410"/>
      <c r="P330" s="87"/>
      <c r="Q330" s="87"/>
      <c r="R330" s="87"/>
      <c r="S330" s="87"/>
      <c r="T330" s="87"/>
      <c r="U330" s="87"/>
    </row>
    <row r="331" spans="1:21" s="62" customFormat="1" ht="24" customHeight="1">
      <c r="A331" s="67"/>
      <c r="B331" s="95"/>
      <c r="C331" s="423"/>
      <c r="D331" s="423"/>
      <c r="E331" s="429"/>
      <c r="F331" s="94"/>
      <c r="G331" s="113"/>
      <c r="H331" s="59"/>
      <c r="I331" s="114"/>
      <c r="J331" s="59"/>
      <c r="K331" s="60"/>
      <c r="L331" s="92"/>
      <c r="M331" s="87"/>
      <c r="N331" s="87"/>
      <c r="O331" s="410"/>
      <c r="P331" s="87"/>
      <c r="Q331" s="87"/>
      <c r="R331" s="87"/>
      <c r="S331" s="87"/>
      <c r="T331" s="87"/>
      <c r="U331" s="87"/>
    </row>
    <row r="332" spans="1:21" s="62" customFormat="1" ht="24" customHeight="1">
      <c r="A332" s="67"/>
      <c r="B332" s="95"/>
      <c r="C332" s="423"/>
      <c r="D332" s="423"/>
      <c r="E332" s="429"/>
      <c r="F332" s="94"/>
      <c r="G332" s="113"/>
      <c r="H332" s="59"/>
      <c r="I332" s="114"/>
      <c r="J332" s="59"/>
      <c r="K332" s="60"/>
      <c r="L332" s="92"/>
      <c r="M332" s="87"/>
      <c r="N332" s="87"/>
      <c r="O332" s="410"/>
      <c r="P332" s="87"/>
      <c r="Q332" s="87"/>
      <c r="R332" s="87"/>
      <c r="S332" s="87"/>
      <c r="T332" s="87"/>
      <c r="U332" s="87"/>
    </row>
    <row r="333" spans="1:21" s="62" customFormat="1" ht="24" customHeight="1">
      <c r="A333" s="67"/>
      <c r="B333" s="95"/>
      <c r="C333" s="423"/>
      <c r="D333" s="423"/>
      <c r="E333" s="429"/>
      <c r="F333" s="94"/>
      <c r="G333" s="113"/>
      <c r="H333" s="59"/>
      <c r="I333" s="114"/>
      <c r="J333" s="59"/>
      <c r="K333" s="60"/>
      <c r="L333" s="92"/>
      <c r="M333" s="87"/>
      <c r="N333" s="87"/>
      <c r="O333" s="410"/>
      <c r="P333" s="87"/>
      <c r="Q333" s="87"/>
      <c r="R333" s="87"/>
      <c r="S333" s="87"/>
      <c r="T333" s="87"/>
      <c r="U333" s="87"/>
    </row>
    <row r="334" spans="1:21" s="62" customFormat="1" ht="24" customHeight="1">
      <c r="A334" s="67"/>
      <c r="B334" s="95"/>
      <c r="C334" s="423"/>
      <c r="D334" s="423"/>
      <c r="E334" s="429"/>
      <c r="F334" s="94"/>
      <c r="G334" s="113"/>
      <c r="H334" s="59"/>
      <c r="I334" s="114"/>
      <c r="J334" s="59"/>
      <c r="K334" s="60"/>
      <c r="L334" s="92"/>
      <c r="M334" s="87"/>
      <c r="N334" s="87"/>
      <c r="O334" s="410"/>
      <c r="P334" s="87"/>
      <c r="Q334" s="87"/>
      <c r="R334" s="87"/>
      <c r="S334" s="87"/>
      <c r="T334" s="87"/>
      <c r="U334" s="87"/>
    </row>
    <row r="335" spans="1:21" s="62" customFormat="1" ht="24" customHeight="1">
      <c r="A335" s="67"/>
      <c r="B335" s="95"/>
      <c r="C335" s="423"/>
      <c r="D335" s="423"/>
      <c r="E335" s="429"/>
      <c r="F335" s="94"/>
      <c r="G335" s="113"/>
      <c r="H335" s="59"/>
      <c r="I335" s="114"/>
      <c r="J335" s="59"/>
      <c r="K335" s="60"/>
      <c r="L335" s="92"/>
      <c r="M335" s="87"/>
      <c r="N335" s="87"/>
      <c r="O335" s="410"/>
      <c r="P335" s="87"/>
      <c r="Q335" s="87"/>
      <c r="R335" s="87"/>
      <c r="S335" s="87"/>
      <c r="T335" s="87"/>
      <c r="U335" s="87"/>
    </row>
    <row r="336" spans="1:21" s="62" customFormat="1" ht="24" customHeight="1">
      <c r="A336" s="450" t="s">
        <v>49</v>
      </c>
      <c r="B336" s="451" t="s">
        <v>179</v>
      </c>
      <c r="C336" s="423"/>
      <c r="D336" s="423"/>
      <c r="E336" s="429"/>
      <c r="F336" s="94"/>
      <c r="G336" s="113"/>
      <c r="H336" s="59"/>
      <c r="I336" s="114"/>
      <c r="J336" s="59"/>
      <c r="K336" s="60"/>
      <c r="L336" s="92"/>
      <c r="M336" s="87"/>
      <c r="N336" s="87"/>
      <c r="O336" s="410"/>
      <c r="P336" s="87"/>
      <c r="Q336" s="87"/>
      <c r="R336" s="87"/>
      <c r="S336" s="87"/>
      <c r="T336" s="87"/>
      <c r="U336" s="87"/>
    </row>
    <row r="337" spans="1:21" s="62" customFormat="1" ht="24" customHeight="1">
      <c r="A337" s="67"/>
      <c r="B337" s="423" t="s">
        <v>150</v>
      </c>
      <c r="C337" s="424"/>
      <c r="D337" s="424"/>
      <c r="E337" s="425">
        <v>54.35</v>
      </c>
      <c r="F337" s="94" t="s">
        <v>151</v>
      </c>
      <c r="G337" s="113">
        <v>2516</v>
      </c>
      <c r="H337" s="59">
        <f t="shared" ref="H337:H352" si="67">ROUND(E337*G337,2)</f>
        <v>136744.6</v>
      </c>
      <c r="I337" s="114">
        <v>485</v>
      </c>
      <c r="J337" s="59">
        <f t="shared" ref="J337:J352" si="68">ROUND(E337*I337,2)</f>
        <v>26359.75</v>
      </c>
      <c r="K337" s="60">
        <f t="shared" ref="K337:K352" si="69">H337+J337</f>
        <v>163104.35</v>
      </c>
      <c r="L337" s="92"/>
      <c r="M337" s="87"/>
      <c r="N337" s="87"/>
      <c r="O337" s="410"/>
      <c r="P337" s="87"/>
      <c r="Q337" s="87"/>
      <c r="R337" s="87"/>
      <c r="S337" s="87"/>
      <c r="T337" s="87"/>
      <c r="U337" s="87"/>
    </row>
    <row r="338" spans="1:21" s="62" customFormat="1" ht="24" customHeight="1">
      <c r="A338" s="67"/>
      <c r="B338" s="426" t="s">
        <v>152</v>
      </c>
      <c r="C338" s="423"/>
      <c r="D338" s="423"/>
      <c r="E338" s="425"/>
      <c r="F338" s="94"/>
      <c r="G338" s="113"/>
      <c r="H338" s="59">
        <f t="shared" si="67"/>
        <v>0</v>
      </c>
      <c r="I338" s="114"/>
      <c r="J338" s="59">
        <f t="shared" si="68"/>
        <v>0</v>
      </c>
      <c r="K338" s="60">
        <f t="shared" si="69"/>
        <v>0</v>
      </c>
      <c r="L338" s="92"/>
      <c r="M338" s="87"/>
      <c r="N338" s="87"/>
      <c r="O338" s="410"/>
      <c r="P338" s="87"/>
      <c r="Q338" s="87"/>
      <c r="R338" s="87"/>
      <c r="S338" s="87"/>
      <c r="T338" s="87"/>
      <c r="U338" s="87"/>
    </row>
    <row r="339" spans="1:21" s="62" customFormat="1" ht="24" customHeight="1">
      <c r="A339" s="67"/>
      <c r="B339" s="426"/>
      <c r="C339" s="423" t="s">
        <v>153</v>
      </c>
      <c r="D339" s="423"/>
      <c r="E339" s="425">
        <f>E340/2</f>
        <v>139.77000000000001</v>
      </c>
      <c r="F339" s="94" t="s">
        <v>37</v>
      </c>
      <c r="G339" s="113">
        <v>661.62</v>
      </c>
      <c r="H339" s="59">
        <f t="shared" si="67"/>
        <v>92474.63</v>
      </c>
      <c r="I339" s="114"/>
      <c r="J339" s="59">
        <f t="shared" si="68"/>
        <v>0</v>
      </c>
      <c r="K339" s="60">
        <f t="shared" si="69"/>
        <v>92474.63</v>
      </c>
      <c r="L339" s="92"/>
      <c r="M339" s="87"/>
      <c r="N339" s="87"/>
      <c r="O339" s="410"/>
      <c r="P339" s="87"/>
      <c r="Q339" s="87"/>
      <c r="R339" s="87"/>
      <c r="S339" s="87"/>
      <c r="T339" s="87"/>
      <c r="U339" s="87"/>
    </row>
    <row r="340" spans="1:21" s="62" customFormat="1" ht="24" customHeight="1">
      <c r="A340" s="67"/>
      <c r="B340" s="426"/>
      <c r="C340" s="423" t="s">
        <v>154</v>
      </c>
      <c r="D340" s="423"/>
      <c r="E340" s="425">
        <v>279.54000000000002</v>
      </c>
      <c r="F340" s="94" t="s">
        <v>37</v>
      </c>
      <c r="G340" s="113"/>
      <c r="H340" s="59">
        <f t="shared" si="67"/>
        <v>0</v>
      </c>
      <c r="I340" s="114">
        <v>154</v>
      </c>
      <c r="J340" s="59">
        <f t="shared" si="68"/>
        <v>43049.16</v>
      </c>
      <c r="K340" s="60">
        <f t="shared" si="69"/>
        <v>43049.16</v>
      </c>
      <c r="L340" s="92"/>
      <c r="M340" s="87"/>
      <c r="N340" s="87"/>
      <c r="O340" s="410"/>
      <c r="P340" s="87"/>
      <c r="Q340" s="87"/>
      <c r="R340" s="87"/>
      <c r="S340" s="87"/>
      <c r="T340" s="87"/>
      <c r="U340" s="87"/>
    </row>
    <row r="341" spans="1:21" s="62" customFormat="1" ht="24" customHeight="1">
      <c r="A341" s="67"/>
      <c r="B341" s="423" t="s">
        <v>155</v>
      </c>
      <c r="C341" s="423"/>
      <c r="D341" s="423"/>
      <c r="E341" s="425">
        <f>(E340*0.25)</f>
        <v>69.885000000000005</v>
      </c>
      <c r="F341" s="94" t="s">
        <v>156</v>
      </c>
      <c r="G341" s="113">
        <f t="shared" ref="G341" si="70">VLOOKUP(B341,$N$43:$O$53,2,FALSE)</f>
        <v>29.94</v>
      </c>
      <c r="H341" s="59">
        <f t="shared" si="67"/>
        <v>2092.36</v>
      </c>
      <c r="I341" s="114"/>
      <c r="J341" s="59">
        <f t="shared" si="68"/>
        <v>0</v>
      </c>
      <c r="K341" s="60">
        <f t="shared" si="69"/>
        <v>2092.36</v>
      </c>
      <c r="L341" s="92"/>
      <c r="M341" s="87"/>
      <c r="N341" s="87"/>
      <c r="O341" s="410"/>
      <c r="P341" s="87"/>
      <c r="Q341" s="87"/>
      <c r="R341" s="87"/>
      <c r="S341" s="87"/>
      <c r="T341" s="87"/>
      <c r="U341" s="87"/>
    </row>
    <row r="342" spans="1:21" s="62" customFormat="1" ht="24" customHeight="1">
      <c r="A342" s="67"/>
      <c r="B342" s="423" t="s">
        <v>157</v>
      </c>
      <c r="C342" s="423"/>
      <c r="D342" s="423"/>
      <c r="E342" s="425"/>
      <c r="F342" s="115"/>
      <c r="G342" s="101"/>
      <c r="H342" s="59">
        <f t="shared" si="67"/>
        <v>0</v>
      </c>
      <c r="I342" s="114"/>
      <c r="J342" s="59">
        <f t="shared" si="68"/>
        <v>0</v>
      </c>
      <c r="K342" s="60">
        <f t="shared" si="69"/>
        <v>0</v>
      </c>
      <c r="L342" s="92"/>
      <c r="M342" s="87"/>
      <c r="N342" s="87"/>
      <c r="O342" s="410"/>
      <c r="P342" s="87"/>
      <c r="Q342" s="87"/>
      <c r="R342" s="87"/>
      <c r="S342" s="87"/>
      <c r="T342" s="87"/>
      <c r="U342" s="87"/>
    </row>
    <row r="343" spans="1:21" s="62" customFormat="1" ht="24" customHeight="1">
      <c r="A343" s="67"/>
      <c r="B343" s="428" t="s">
        <v>158</v>
      </c>
      <c r="C343" s="428"/>
      <c r="D343" s="428"/>
      <c r="E343" s="425">
        <v>0</v>
      </c>
      <c r="F343" s="94" t="s">
        <v>156</v>
      </c>
      <c r="G343" s="113">
        <f>VLOOKUP(B343,$N$43:$O$54,2,FALSE)</f>
        <v>25.73</v>
      </c>
      <c r="H343" s="59">
        <f t="shared" si="67"/>
        <v>0</v>
      </c>
      <c r="I343" s="103">
        <v>4.0999999999999996</v>
      </c>
      <c r="J343" s="59">
        <f t="shared" si="68"/>
        <v>0</v>
      </c>
      <c r="K343" s="60">
        <f t="shared" si="69"/>
        <v>0</v>
      </c>
      <c r="L343" s="92"/>
      <c r="M343" s="87"/>
      <c r="N343" s="87"/>
      <c r="O343" s="410"/>
      <c r="P343" s="87"/>
      <c r="Q343" s="87"/>
      <c r="R343" s="87"/>
      <c r="S343" s="87"/>
      <c r="T343" s="87"/>
      <c r="U343" s="87"/>
    </row>
    <row r="344" spans="1:21" s="62" customFormat="1" ht="24" customHeight="1">
      <c r="A344" s="67"/>
      <c r="B344" s="423" t="s">
        <v>159</v>
      </c>
      <c r="C344" s="423"/>
      <c r="D344" s="423"/>
      <c r="E344" s="425">
        <v>1231.3</v>
      </c>
      <c r="F344" s="94" t="s">
        <v>156</v>
      </c>
      <c r="G344" s="113">
        <f t="shared" ref="G344:G352" si="71">VLOOKUP(B344,$N$43:$O$54,2,FALSE)</f>
        <v>24.97</v>
      </c>
      <c r="H344" s="59">
        <f t="shared" si="67"/>
        <v>30745.56</v>
      </c>
      <c r="I344" s="114">
        <v>4.0999999999999996</v>
      </c>
      <c r="J344" s="59">
        <f t="shared" si="68"/>
        <v>5048.33</v>
      </c>
      <c r="K344" s="60">
        <f t="shared" si="69"/>
        <v>35793.89</v>
      </c>
      <c r="L344" s="92"/>
      <c r="M344" s="87"/>
      <c r="N344" s="87"/>
      <c r="O344" s="410"/>
      <c r="P344" s="87"/>
      <c r="Q344" s="87"/>
      <c r="R344" s="87"/>
      <c r="S344" s="87"/>
      <c r="T344" s="87"/>
      <c r="U344" s="87"/>
    </row>
    <row r="345" spans="1:21" s="62" customFormat="1" ht="24" customHeight="1">
      <c r="A345" s="67"/>
      <c r="B345" s="423" t="s">
        <v>328</v>
      </c>
      <c r="C345" s="423"/>
      <c r="D345" s="423"/>
      <c r="E345" s="425">
        <v>274.19</v>
      </c>
      <c r="F345" s="94" t="s">
        <v>156</v>
      </c>
      <c r="G345" s="113">
        <f t="shared" si="71"/>
        <v>23.5</v>
      </c>
      <c r="H345" s="59">
        <f t="shared" si="67"/>
        <v>6443.47</v>
      </c>
      <c r="I345" s="114">
        <v>3.3</v>
      </c>
      <c r="J345" s="59">
        <f t="shared" si="68"/>
        <v>904.83</v>
      </c>
      <c r="K345" s="60">
        <f t="shared" si="69"/>
        <v>7348.3</v>
      </c>
      <c r="L345" s="92"/>
      <c r="M345" s="87"/>
      <c r="N345" s="87"/>
      <c r="O345" s="410"/>
      <c r="P345" s="87"/>
      <c r="Q345" s="87"/>
      <c r="R345" s="87"/>
      <c r="S345" s="87"/>
      <c r="T345" s="87"/>
      <c r="U345" s="87"/>
    </row>
    <row r="346" spans="1:21" s="62" customFormat="1" ht="24" customHeight="1">
      <c r="A346" s="67"/>
      <c r="B346" s="423" t="s">
        <v>160</v>
      </c>
      <c r="C346" s="423"/>
      <c r="D346" s="423"/>
      <c r="E346" s="425">
        <v>4296.8500000000004</v>
      </c>
      <c r="F346" s="94" t="s">
        <v>156</v>
      </c>
      <c r="G346" s="113">
        <f t="shared" si="71"/>
        <v>24.47</v>
      </c>
      <c r="H346" s="59">
        <f t="shared" si="67"/>
        <v>105143.92</v>
      </c>
      <c r="I346" s="114">
        <v>3.3</v>
      </c>
      <c r="J346" s="59">
        <f t="shared" si="68"/>
        <v>14179.61</v>
      </c>
      <c r="K346" s="60">
        <f t="shared" si="69"/>
        <v>119323.53</v>
      </c>
      <c r="L346" s="92"/>
      <c r="M346" s="87"/>
      <c r="N346" s="87"/>
      <c r="O346" s="410"/>
      <c r="P346" s="87"/>
      <c r="Q346" s="87"/>
      <c r="R346" s="87"/>
      <c r="S346" s="87"/>
      <c r="T346" s="87"/>
      <c r="U346" s="87"/>
    </row>
    <row r="347" spans="1:21" s="62" customFormat="1" ht="24" customHeight="1">
      <c r="A347" s="67"/>
      <c r="B347" s="423" t="s">
        <v>161</v>
      </c>
      <c r="C347" s="423"/>
      <c r="D347" s="423"/>
      <c r="E347" s="425">
        <v>3158.45</v>
      </c>
      <c r="F347" s="115" t="s">
        <v>156</v>
      </c>
      <c r="G347" s="113">
        <f t="shared" si="71"/>
        <v>24.27</v>
      </c>
      <c r="H347" s="59">
        <f t="shared" si="67"/>
        <v>76655.58</v>
      </c>
      <c r="I347" s="114">
        <v>3.3</v>
      </c>
      <c r="J347" s="59">
        <f t="shared" si="68"/>
        <v>10422.89</v>
      </c>
      <c r="K347" s="60">
        <f t="shared" si="69"/>
        <v>87078.47</v>
      </c>
      <c r="L347" s="92"/>
      <c r="M347" s="87"/>
      <c r="N347" s="87"/>
      <c r="O347" s="410"/>
      <c r="P347" s="87"/>
      <c r="Q347" s="87"/>
      <c r="R347" s="87"/>
      <c r="S347" s="87"/>
      <c r="T347" s="87"/>
      <c r="U347" s="87"/>
    </row>
    <row r="348" spans="1:21" s="62" customFormat="1" ht="24" customHeight="1">
      <c r="A348" s="67"/>
      <c r="B348" s="428" t="s">
        <v>162</v>
      </c>
      <c r="C348" s="428"/>
      <c r="D348" s="428"/>
      <c r="E348" s="425">
        <v>0</v>
      </c>
      <c r="F348" s="94" t="s">
        <v>156</v>
      </c>
      <c r="G348" s="113">
        <f t="shared" si="71"/>
        <v>24.27</v>
      </c>
      <c r="H348" s="59">
        <f t="shared" si="67"/>
        <v>0</v>
      </c>
      <c r="I348" s="114">
        <v>2.9</v>
      </c>
      <c r="J348" s="59">
        <f t="shared" si="68"/>
        <v>0</v>
      </c>
      <c r="K348" s="60">
        <f t="shared" si="69"/>
        <v>0</v>
      </c>
      <c r="L348" s="92"/>
      <c r="M348" s="87"/>
      <c r="N348" s="87"/>
      <c r="O348" s="410"/>
      <c r="P348" s="87"/>
      <c r="Q348" s="87"/>
      <c r="R348" s="87"/>
      <c r="S348" s="87"/>
      <c r="T348" s="87"/>
      <c r="U348" s="87"/>
    </row>
    <row r="349" spans="1:21" s="62" customFormat="1" ht="24" customHeight="1">
      <c r="A349" s="67"/>
      <c r="B349" s="423" t="s">
        <v>163</v>
      </c>
      <c r="C349" s="423"/>
      <c r="D349" s="423"/>
      <c r="E349" s="425"/>
      <c r="F349" s="94" t="s">
        <v>156</v>
      </c>
      <c r="G349" s="113">
        <f t="shared" si="71"/>
        <v>24.27</v>
      </c>
      <c r="H349" s="59">
        <f t="shared" si="67"/>
        <v>0</v>
      </c>
      <c r="I349" s="114">
        <v>2.9</v>
      </c>
      <c r="J349" s="59">
        <f t="shared" si="68"/>
        <v>0</v>
      </c>
      <c r="K349" s="60">
        <f t="shared" si="69"/>
        <v>0</v>
      </c>
      <c r="L349" s="92"/>
      <c r="M349" s="87"/>
      <c r="N349" s="87"/>
      <c r="O349" s="410"/>
      <c r="P349" s="87"/>
      <c r="Q349" s="87"/>
      <c r="R349" s="87"/>
      <c r="S349" s="87"/>
      <c r="T349" s="87"/>
      <c r="U349" s="87"/>
    </row>
    <row r="350" spans="1:21" s="62" customFormat="1" ht="24" customHeight="1">
      <c r="A350" s="67"/>
      <c r="B350" s="423" t="s">
        <v>164</v>
      </c>
      <c r="C350" s="423"/>
      <c r="D350" s="423"/>
      <c r="E350" s="425"/>
      <c r="F350" s="94" t="s">
        <v>156</v>
      </c>
      <c r="G350" s="113">
        <f t="shared" si="71"/>
        <v>24.27</v>
      </c>
      <c r="H350" s="59">
        <f t="shared" si="67"/>
        <v>0</v>
      </c>
      <c r="I350" s="114">
        <v>2.9</v>
      </c>
      <c r="J350" s="59">
        <f t="shared" si="68"/>
        <v>0</v>
      </c>
      <c r="K350" s="60">
        <f t="shared" si="69"/>
        <v>0</v>
      </c>
      <c r="L350" s="92"/>
      <c r="M350" s="87"/>
      <c r="N350" s="87"/>
      <c r="O350" s="410"/>
      <c r="P350" s="87"/>
      <c r="Q350" s="87"/>
      <c r="R350" s="87"/>
      <c r="S350" s="87"/>
      <c r="T350" s="87"/>
      <c r="U350" s="87"/>
    </row>
    <row r="351" spans="1:21" s="62" customFormat="1" ht="24" customHeight="1">
      <c r="A351" s="67"/>
      <c r="B351" s="423" t="s">
        <v>165</v>
      </c>
      <c r="C351" s="423"/>
      <c r="D351" s="423"/>
      <c r="E351" s="425"/>
      <c r="F351" s="94" t="s">
        <v>156</v>
      </c>
      <c r="G351" s="113">
        <f t="shared" si="71"/>
        <v>23.8</v>
      </c>
      <c r="H351" s="59">
        <f t="shared" si="67"/>
        <v>0</v>
      </c>
      <c r="I351" s="114">
        <v>2.9</v>
      </c>
      <c r="J351" s="59">
        <f t="shared" si="68"/>
        <v>0</v>
      </c>
      <c r="K351" s="60">
        <f t="shared" si="69"/>
        <v>0</v>
      </c>
      <c r="L351" s="92"/>
      <c r="M351" s="87"/>
      <c r="N351" s="87"/>
      <c r="O351" s="410"/>
      <c r="P351" s="87"/>
      <c r="Q351" s="87"/>
      <c r="R351" s="87"/>
      <c r="S351" s="87"/>
      <c r="T351" s="87"/>
      <c r="U351" s="87"/>
    </row>
    <row r="352" spans="1:21" s="62" customFormat="1" ht="24" customHeight="1">
      <c r="A352" s="67"/>
      <c r="B352" s="423" t="s">
        <v>166</v>
      </c>
      <c r="C352" s="423"/>
      <c r="D352" s="423"/>
      <c r="E352" s="425">
        <f>(SUM(E343:E351)/1000)*30</f>
        <v>268.82370000000003</v>
      </c>
      <c r="F352" s="94" t="s">
        <v>156</v>
      </c>
      <c r="G352" s="113">
        <f t="shared" si="71"/>
        <v>29.92</v>
      </c>
      <c r="H352" s="59">
        <f t="shared" si="67"/>
        <v>8043.21</v>
      </c>
      <c r="I352" s="114"/>
      <c r="J352" s="59">
        <f t="shared" si="68"/>
        <v>0</v>
      </c>
      <c r="K352" s="60">
        <f t="shared" si="69"/>
        <v>8043.21</v>
      </c>
      <c r="L352" s="92"/>
      <c r="M352" s="87"/>
      <c r="N352" s="87"/>
      <c r="O352" s="410"/>
      <c r="P352" s="87"/>
      <c r="Q352" s="87"/>
      <c r="R352" s="87"/>
      <c r="S352" s="87"/>
      <c r="T352" s="87"/>
      <c r="U352" s="87"/>
    </row>
    <row r="353" spans="1:21" s="62" customFormat="1" ht="24" customHeight="1">
      <c r="A353" s="93"/>
      <c r="B353" s="423" t="s">
        <v>167</v>
      </c>
      <c r="C353" s="423"/>
      <c r="D353" s="423"/>
      <c r="E353" s="425"/>
      <c r="F353" s="94"/>
      <c r="G353" s="113"/>
      <c r="H353" s="59"/>
      <c r="I353" s="114"/>
      <c r="J353" s="59"/>
      <c r="K353" s="60"/>
      <c r="L353" s="92"/>
      <c r="M353" s="87"/>
      <c r="N353" s="87"/>
      <c r="O353" s="410"/>
      <c r="P353" s="87"/>
      <c r="Q353" s="87"/>
      <c r="R353" s="87"/>
      <c r="S353" s="87"/>
      <c r="T353" s="87"/>
      <c r="U353" s="87"/>
    </row>
    <row r="354" spans="1:21" s="62" customFormat="1" ht="24" customHeight="1">
      <c r="A354" s="67"/>
      <c r="B354" s="423"/>
      <c r="C354" s="423"/>
      <c r="D354" s="423"/>
      <c r="E354" s="425"/>
      <c r="F354" s="94"/>
      <c r="G354" s="113"/>
      <c r="H354" s="59"/>
      <c r="I354" s="114"/>
      <c r="J354" s="59"/>
      <c r="K354" s="60">
        <f t="shared" ref="K354" si="72">H354+J354</f>
        <v>0</v>
      </c>
      <c r="L354" s="92"/>
      <c r="M354" s="87"/>
      <c r="N354" s="87"/>
      <c r="O354" s="410"/>
      <c r="P354" s="87"/>
      <c r="Q354" s="87"/>
      <c r="R354" s="87"/>
      <c r="S354" s="87"/>
      <c r="T354" s="87"/>
      <c r="U354" s="87"/>
    </row>
    <row r="355" spans="1:21" s="62" customFormat="1" ht="24" customHeight="1">
      <c r="A355" s="67"/>
      <c r="B355" s="95"/>
      <c r="C355" s="420"/>
      <c r="D355" s="423"/>
      <c r="E355" s="429"/>
      <c r="F355" s="94"/>
      <c r="G355" s="113"/>
      <c r="H355" s="59"/>
      <c r="I355" s="114"/>
      <c r="J355" s="59"/>
      <c r="K355" s="60"/>
      <c r="L355" s="92"/>
      <c r="M355" s="87"/>
      <c r="N355" s="87"/>
      <c r="O355" s="410"/>
      <c r="P355" s="87"/>
      <c r="Q355" s="87"/>
      <c r="R355" s="87"/>
      <c r="S355" s="87"/>
      <c r="T355" s="87"/>
      <c r="U355" s="87"/>
    </row>
    <row r="356" spans="1:21" s="62" customFormat="1" ht="24" customHeight="1">
      <c r="A356" s="67"/>
      <c r="B356" s="95"/>
      <c r="C356" s="420"/>
      <c r="D356" s="423"/>
      <c r="E356" s="429"/>
      <c r="F356" s="94"/>
      <c r="G356" s="113"/>
      <c r="H356" s="59"/>
      <c r="I356" s="114"/>
      <c r="J356" s="59"/>
      <c r="K356" s="60"/>
      <c r="L356" s="92"/>
      <c r="M356" s="87"/>
      <c r="N356" s="87"/>
      <c r="O356" s="410"/>
      <c r="P356" s="87"/>
      <c r="Q356" s="87"/>
      <c r="R356" s="87"/>
      <c r="S356" s="87"/>
      <c r="T356" s="87"/>
      <c r="U356" s="87"/>
    </row>
    <row r="357" spans="1:21" s="62" customFormat="1" ht="24" customHeight="1">
      <c r="A357" s="116"/>
      <c r="B357" s="423"/>
      <c r="C357" s="423"/>
      <c r="D357" s="423"/>
      <c r="E357" s="429"/>
      <c r="F357" s="94"/>
      <c r="G357" s="113"/>
      <c r="H357" s="59"/>
      <c r="I357" s="114"/>
      <c r="J357" s="59"/>
      <c r="K357" s="60"/>
      <c r="L357" s="92"/>
      <c r="M357" s="87"/>
      <c r="N357" s="87"/>
      <c r="O357" s="410"/>
      <c r="P357" s="87"/>
      <c r="Q357" s="87"/>
      <c r="R357" s="87"/>
      <c r="S357" s="87"/>
      <c r="T357" s="87"/>
      <c r="U357" s="87"/>
    </row>
    <row r="358" spans="1:21" s="62" customFormat="1" ht="24" customHeight="1">
      <c r="A358" s="116"/>
      <c r="B358" s="423"/>
      <c r="C358" s="423"/>
      <c r="D358" s="423"/>
      <c r="E358" s="429"/>
      <c r="F358" s="94"/>
      <c r="G358" s="113"/>
      <c r="H358" s="59"/>
      <c r="I358" s="114"/>
      <c r="J358" s="59"/>
      <c r="K358" s="60"/>
      <c r="L358" s="92"/>
      <c r="M358" s="87"/>
      <c r="N358" s="87"/>
      <c r="O358" s="410"/>
      <c r="P358" s="87"/>
      <c r="Q358" s="87"/>
      <c r="R358" s="87"/>
      <c r="S358" s="87"/>
      <c r="T358" s="87"/>
      <c r="U358" s="87"/>
    </row>
    <row r="359" spans="1:21" s="62" customFormat="1" ht="24" customHeight="1">
      <c r="A359" s="97"/>
      <c r="B359" s="430"/>
      <c r="C359" s="430"/>
      <c r="D359" s="430"/>
      <c r="E359" s="431"/>
      <c r="F359" s="432"/>
      <c r="G359" s="101"/>
      <c r="H359" s="102"/>
      <c r="I359" s="103"/>
      <c r="J359" s="102"/>
      <c r="K359" s="104"/>
      <c r="L359" s="433"/>
      <c r="M359" s="87"/>
      <c r="N359" s="87"/>
      <c r="O359" s="410"/>
      <c r="P359" s="87"/>
      <c r="Q359" s="87"/>
      <c r="R359" s="87"/>
      <c r="S359" s="87"/>
      <c r="T359" s="87"/>
      <c r="U359" s="87"/>
    </row>
    <row r="360" spans="1:21" s="62" customFormat="1" ht="24" customHeight="1">
      <c r="A360" s="109"/>
      <c r="B360" s="2444" t="str">
        <f>"รวมราคารายการที่ "&amp;A236</f>
        <v>รวมราคารายการที่ 1.3</v>
      </c>
      <c r="C360" s="2444"/>
      <c r="D360" s="2444"/>
      <c r="E360" s="110"/>
      <c r="F360" s="111"/>
      <c r="G360" s="112"/>
      <c r="H360" s="106">
        <f>ROUND(SUBTOTAL(9,H239:H359),2)</f>
        <v>21888587.530000001</v>
      </c>
      <c r="I360" s="108"/>
      <c r="J360" s="106">
        <f>ROUND(SUBTOTAL(9,J239:J359),2)</f>
        <v>4065422.82</v>
      </c>
      <c r="K360" s="106">
        <f>ROUND(SUBTOTAL(9,K239:K359),2)</f>
        <v>25954010.350000001</v>
      </c>
      <c r="L360" s="106"/>
      <c r="M360" s="87"/>
      <c r="N360" s="87"/>
      <c r="O360" s="410"/>
      <c r="P360" s="87"/>
      <c r="Q360" s="87"/>
      <c r="R360" s="87"/>
      <c r="S360" s="87"/>
      <c r="T360" s="87"/>
      <c r="U360" s="87"/>
    </row>
    <row r="361" spans="1:21" s="62" customFormat="1" ht="24" customHeight="1">
      <c r="A361" s="90">
        <v>1.4</v>
      </c>
      <c r="B361" s="411" t="s">
        <v>180</v>
      </c>
      <c r="C361" s="430"/>
      <c r="D361" s="430"/>
      <c r="E361" s="431"/>
      <c r="F361" s="432"/>
      <c r="G361" s="101"/>
      <c r="H361" s="102"/>
      <c r="I361" s="103"/>
      <c r="J361" s="102"/>
      <c r="K361" s="104"/>
      <c r="L361" s="433"/>
      <c r="M361" s="87"/>
      <c r="N361" s="87"/>
      <c r="O361" s="410"/>
      <c r="P361" s="87"/>
      <c r="Q361" s="87"/>
      <c r="R361" s="87"/>
      <c r="S361" s="87"/>
      <c r="T361" s="87"/>
      <c r="U361" s="87"/>
    </row>
    <row r="362" spans="1:21" s="62" customFormat="1" ht="24" customHeight="1">
      <c r="A362" s="450"/>
      <c r="B362" s="451"/>
      <c r="C362" s="423"/>
      <c r="D362" s="423"/>
      <c r="E362" s="429"/>
      <c r="F362" s="94"/>
      <c r="G362" s="113"/>
      <c r="H362" s="59"/>
      <c r="I362" s="114"/>
      <c r="J362" s="59"/>
      <c r="K362" s="60"/>
      <c r="L362" s="92"/>
      <c r="M362" s="87"/>
      <c r="N362" s="87"/>
      <c r="O362" s="410"/>
      <c r="P362" s="87"/>
      <c r="Q362" s="87"/>
      <c r="R362" s="87"/>
      <c r="S362" s="87"/>
      <c r="T362" s="87"/>
      <c r="U362" s="87"/>
    </row>
    <row r="363" spans="1:21" s="62" customFormat="1" ht="24" customHeight="1">
      <c r="A363" s="450" t="s">
        <v>50</v>
      </c>
      <c r="B363" s="451" t="s">
        <v>181</v>
      </c>
      <c r="C363" s="423"/>
      <c r="D363" s="423"/>
      <c r="E363" s="429"/>
      <c r="F363" s="94"/>
      <c r="G363" s="113"/>
      <c r="H363" s="59"/>
      <c r="I363" s="114"/>
      <c r="J363" s="59"/>
      <c r="K363" s="60"/>
      <c r="L363" s="92"/>
      <c r="M363" s="87"/>
      <c r="N363" s="87"/>
      <c r="O363" s="410"/>
      <c r="P363" s="87"/>
      <c r="Q363" s="87"/>
      <c r="R363" s="87"/>
      <c r="S363" s="87"/>
      <c r="T363" s="87"/>
      <c r="U363" s="87"/>
    </row>
    <row r="364" spans="1:21" s="62" customFormat="1" ht="24" customHeight="1">
      <c r="A364" s="450"/>
      <c r="B364" s="423" t="s">
        <v>150</v>
      </c>
      <c r="C364" s="424"/>
      <c r="D364" s="424"/>
      <c r="E364" s="425">
        <v>1284.5899999999999</v>
      </c>
      <c r="F364" s="94" t="s">
        <v>151</v>
      </c>
      <c r="G364" s="113">
        <v>2516</v>
      </c>
      <c r="H364" s="59">
        <f t="shared" ref="H364:H379" si="73">ROUND(E364*G364,2)</f>
        <v>3232028.44</v>
      </c>
      <c r="I364" s="114">
        <v>485</v>
      </c>
      <c r="J364" s="59">
        <f t="shared" ref="J364:J379" si="74">ROUND(E364*I364,2)</f>
        <v>623026.15</v>
      </c>
      <c r="K364" s="60">
        <f t="shared" ref="K364:K379" si="75">H364+J364</f>
        <v>3855054.59</v>
      </c>
      <c r="L364" s="92"/>
      <c r="M364" s="87"/>
      <c r="N364" s="87"/>
      <c r="O364" s="410"/>
      <c r="P364" s="87"/>
      <c r="Q364" s="87"/>
      <c r="R364" s="87"/>
      <c r="S364" s="87"/>
      <c r="T364" s="87"/>
      <c r="U364" s="87"/>
    </row>
    <row r="365" spans="1:21" s="62" customFormat="1" ht="24" customHeight="1">
      <c r="A365" s="450"/>
      <c r="B365" s="426" t="s">
        <v>152</v>
      </c>
      <c r="C365" s="423"/>
      <c r="D365" s="423"/>
      <c r="E365" s="425"/>
      <c r="F365" s="94"/>
      <c r="G365" s="113"/>
      <c r="H365" s="59">
        <f t="shared" si="73"/>
        <v>0</v>
      </c>
      <c r="I365" s="114"/>
      <c r="J365" s="59">
        <f t="shared" si="74"/>
        <v>0</v>
      </c>
      <c r="K365" s="60">
        <f t="shared" si="75"/>
        <v>0</v>
      </c>
      <c r="L365" s="92"/>
      <c r="M365" s="87"/>
      <c r="N365" s="87"/>
      <c r="O365" s="410"/>
      <c r="P365" s="87"/>
      <c r="Q365" s="87"/>
      <c r="R365" s="87"/>
      <c r="S365" s="87"/>
      <c r="T365" s="87"/>
      <c r="U365" s="87"/>
    </row>
    <row r="366" spans="1:21" s="62" customFormat="1" ht="24" customHeight="1">
      <c r="A366" s="450"/>
      <c r="B366" s="426"/>
      <c r="C366" s="423" t="s">
        <v>153</v>
      </c>
      <c r="D366" s="423"/>
      <c r="E366" s="425">
        <f>E367/2</f>
        <v>2548.33</v>
      </c>
      <c r="F366" s="94" t="s">
        <v>37</v>
      </c>
      <c r="G366" s="113">
        <v>661.62</v>
      </c>
      <c r="H366" s="59">
        <f t="shared" si="73"/>
        <v>1686026.09</v>
      </c>
      <c r="I366" s="114"/>
      <c r="J366" s="59">
        <f t="shared" si="74"/>
        <v>0</v>
      </c>
      <c r="K366" s="60">
        <f t="shared" si="75"/>
        <v>1686026.09</v>
      </c>
      <c r="L366" s="92"/>
      <c r="M366" s="87"/>
      <c r="N366" s="87"/>
      <c r="O366" s="410"/>
      <c r="P366" s="87"/>
      <c r="Q366" s="87"/>
      <c r="R366" s="87"/>
      <c r="S366" s="87"/>
      <c r="T366" s="87"/>
      <c r="U366" s="87"/>
    </row>
    <row r="367" spans="1:21" s="62" customFormat="1" ht="24" customHeight="1">
      <c r="A367" s="450"/>
      <c r="B367" s="426"/>
      <c r="C367" s="423" t="s">
        <v>154</v>
      </c>
      <c r="D367" s="423"/>
      <c r="E367" s="425">
        <v>5096.66</v>
      </c>
      <c r="F367" s="94" t="s">
        <v>37</v>
      </c>
      <c r="G367" s="113"/>
      <c r="H367" s="59">
        <f t="shared" si="73"/>
        <v>0</v>
      </c>
      <c r="I367" s="114">
        <v>154</v>
      </c>
      <c r="J367" s="59">
        <f t="shared" si="74"/>
        <v>784885.64</v>
      </c>
      <c r="K367" s="60">
        <f t="shared" si="75"/>
        <v>784885.64</v>
      </c>
      <c r="L367" s="92"/>
      <c r="M367" s="87"/>
      <c r="N367" s="87"/>
      <c r="O367" s="410"/>
      <c r="P367" s="87"/>
      <c r="Q367" s="87"/>
      <c r="R367" s="87"/>
      <c r="S367" s="87"/>
      <c r="T367" s="87"/>
      <c r="U367" s="87"/>
    </row>
    <row r="368" spans="1:21" s="62" customFormat="1" ht="24" customHeight="1">
      <c r="A368" s="450"/>
      <c r="B368" s="423" t="s">
        <v>155</v>
      </c>
      <c r="C368" s="423"/>
      <c r="D368" s="423"/>
      <c r="E368" s="425">
        <f>(E367*0.25)</f>
        <v>1274.165</v>
      </c>
      <c r="F368" s="94" t="s">
        <v>156</v>
      </c>
      <c r="G368" s="113">
        <f t="shared" ref="G368" si="76">VLOOKUP(B368,$N$43:$O$53,2,FALSE)</f>
        <v>29.94</v>
      </c>
      <c r="H368" s="59">
        <f t="shared" si="73"/>
        <v>38148.5</v>
      </c>
      <c r="I368" s="114"/>
      <c r="J368" s="59">
        <f t="shared" si="74"/>
        <v>0</v>
      </c>
      <c r="K368" s="60">
        <f t="shared" si="75"/>
        <v>38148.5</v>
      </c>
      <c r="L368" s="92"/>
      <c r="M368" s="87"/>
      <c r="N368" s="87"/>
      <c r="O368" s="410"/>
      <c r="P368" s="87"/>
      <c r="Q368" s="87"/>
      <c r="R368" s="87"/>
      <c r="S368" s="87"/>
      <c r="T368" s="87"/>
      <c r="U368" s="87"/>
    </row>
    <row r="369" spans="1:21" s="62" customFormat="1" ht="24" customHeight="1">
      <c r="A369" s="450"/>
      <c r="B369" s="423" t="s">
        <v>157</v>
      </c>
      <c r="C369" s="423"/>
      <c r="D369" s="423"/>
      <c r="E369" s="425"/>
      <c r="F369" s="115"/>
      <c r="G369" s="101"/>
      <c r="H369" s="59">
        <f t="shared" si="73"/>
        <v>0</v>
      </c>
      <c r="I369" s="114"/>
      <c r="J369" s="59">
        <f t="shared" si="74"/>
        <v>0</v>
      </c>
      <c r="K369" s="60">
        <f t="shared" si="75"/>
        <v>0</v>
      </c>
      <c r="L369" s="92"/>
      <c r="M369" s="87"/>
      <c r="N369" s="87"/>
      <c r="O369" s="410"/>
      <c r="P369" s="87"/>
      <c r="Q369" s="87"/>
      <c r="R369" s="87"/>
      <c r="S369" s="87"/>
      <c r="T369" s="87"/>
      <c r="U369" s="87"/>
    </row>
    <row r="370" spans="1:21" s="62" customFormat="1" ht="24" customHeight="1">
      <c r="A370" s="450"/>
      <c r="B370" s="423" t="s">
        <v>158</v>
      </c>
      <c r="C370" s="423"/>
      <c r="D370" s="423"/>
      <c r="E370" s="425"/>
      <c r="F370" s="94" t="s">
        <v>156</v>
      </c>
      <c r="G370" s="113">
        <f>VLOOKUP(B370,$N$43:$O$54,2,FALSE)</f>
        <v>25.73</v>
      </c>
      <c r="H370" s="59">
        <f t="shared" si="73"/>
        <v>0</v>
      </c>
      <c r="I370" s="103">
        <v>4.0999999999999996</v>
      </c>
      <c r="J370" s="59">
        <f t="shared" si="74"/>
        <v>0</v>
      </c>
      <c r="K370" s="60">
        <f t="shared" si="75"/>
        <v>0</v>
      </c>
      <c r="L370" s="92"/>
      <c r="M370" s="87"/>
      <c r="N370" s="87"/>
      <c r="O370" s="410"/>
      <c r="P370" s="87"/>
      <c r="Q370" s="87"/>
      <c r="R370" s="87"/>
      <c r="S370" s="87"/>
      <c r="T370" s="87"/>
      <c r="U370" s="87"/>
    </row>
    <row r="371" spans="1:21" s="62" customFormat="1" ht="24" customHeight="1">
      <c r="A371" s="450"/>
      <c r="B371" s="423" t="s">
        <v>159</v>
      </c>
      <c r="C371" s="423"/>
      <c r="D371" s="423"/>
      <c r="E371" s="425">
        <v>72.83</v>
      </c>
      <c r="F371" s="94" t="s">
        <v>156</v>
      </c>
      <c r="G371" s="113">
        <f t="shared" ref="G371:G378" si="77">VLOOKUP(B371,$N$43:$O$54,2,FALSE)</f>
        <v>24.97</v>
      </c>
      <c r="H371" s="59">
        <f t="shared" si="73"/>
        <v>1818.57</v>
      </c>
      <c r="I371" s="114">
        <v>4.0999999999999996</v>
      </c>
      <c r="J371" s="59">
        <f t="shared" si="74"/>
        <v>298.60000000000002</v>
      </c>
      <c r="K371" s="60">
        <f t="shared" si="75"/>
        <v>2117.17</v>
      </c>
      <c r="L371" s="92"/>
      <c r="M371" s="87"/>
      <c r="N371" s="87"/>
      <c r="O371" s="410"/>
      <c r="P371" s="87"/>
      <c r="Q371" s="87"/>
      <c r="R371" s="87"/>
      <c r="S371" s="87"/>
      <c r="T371" s="87"/>
      <c r="U371" s="87"/>
    </row>
    <row r="372" spans="1:21" s="62" customFormat="1" ht="24" customHeight="1">
      <c r="A372" s="450"/>
      <c r="B372" s="423" t="s">
        <v>160</v>
      </c>
      <c r="C372" s="423"/>
      <c r="D372" s="423"/>
      <c r="E372" s="425">
        <v>33353.08</v>
      </c>
      <c r="F372" s="94" t="s">
        <v>156</v>
      </c>
      <c r="G372" s="113">
        <f t="shared" si="77"/>
        <v>24.47</v>
      </c>
      <c r="H372" s="59">
        <f t="shared" si="73"/>
        <v>816149.87</v>
      </c>
      <c r="I372" s="114">
        <v>3.3</v>
      </c>
      <c r="J372" s="59">
        <f t="shared" si="74"/>
        <v>110065.16</v>
      </c>
      <c r="K372" s="60">
        <f t="shared" si="75"/>
        <v>926215.03</v>
      </c>
      <c r="L372" s="92"/>
      <c r="M372" s="87"/>
      <c r="N372" s="87"/>
      <c r="O372" s="410"/>
      <c r="P372" s="87"/>
      <c r="Q372" s="87"/>
      <c r="R372" s="87"/>
      <c r="S372" s="87"/>
      <c r="T372" s="87"/>
      <c r="U372" s="87"/>
    </row>
    <row r="373" spans="1:21" s="62" customFormat="1" ht="24" customHeight="1">
      <c r="A373" s="450"/>
      <c r="B373" s="423" t="s">
        <v>161</v>
      </c>
      <c r="C373" s="423"/>
      <c r="D373" s="423"/>
      <c r="E373" s="425">
        <v>30845.07</v>
      </c>
      <c r="F373" s="115" t="s">
        <v>156</v>
      </c>
      <c r="G373" s="113">
        <f t="shared" si="77"/>
        <v>24.27</v>
      </c>
      <c r="H373" s="59">
        <f t="shared" si="73"/>
        <v>748609.85</v>
      </c>
      <c r="I373" s="114">
        <v>3.3</v>
      </c>
      <c r="J373" s="59">
        <f t="shared" si="74"/>
        <v>101788.73</v>
      </c>
      <c r="K373" s="60">
        <f t="shared" si="75"/>
        <v>850398.58</v>
      </c>
      <c r="L373" s="92"/>
      <c r="M373" s="87"/>
      <c r="N373" s="87"/>
      <c r="O373" s="410"/>
      <c r="P373" s="87"/>
      <c r="Q373" s="87"/>
      <c r="R373" s="87"/>
      <c r="S373" s="87"/>
      <c r="T373" s="87"/>
      <c r="U373" s="87"/>
    </row>
    <row r="374" spans="1:21" s="62" customFormat="1" ht="24" customHeight="1">
      <c r="A374" s="450"/>
      <c r="B374" s="423" t="s">
        <v>162</v>
      </c>
      <c r="C374" s="423"/>
      <c r="D374" s="423"/>
      <c r="E374" s="425"/>
      <c r="F374" s="94" t="s">
        <v>156</v>
      </c>
      <c r="G374" s="113">
        <f t="shared" si="77"/>
        <v>24.27</v>
      </c>
      <c r="H374" s="59">
        <f t="shared" si="73"/>
        <v>0</v>
      </c>
      <c r="I374" s="114">
        <v>2.9</v>
      </c>
      <c r="J374" s="59">
        <f t="shared" si="74"/>
        <v>0</v>
      </c>
      <c r="K374" s="60">
        <f t="shared" si="75"/>
        <v>0</v>
      </c>
      <c r="L374" s="92"/>
      <c r="M374" s="87"/>
      <c r="N374" s="87"/>
      <c r="O374" s="410"/>
      <c r="P374" s="87"/>
      <c r="Q374" s="87"/>
      <c r="R374" s="87"/>
      <c r="S374" s="87"/>
      <c r="T374" s="87"/>
      <c r="U374" s="87"/>
    </row>
    <row r="375" spans="1:21" s="62" customFormat="1" ht="24" customHeight="1">
      <c r="A375" s="450"/>
      <c r="B375" s="423" t="s">
        <v>163</v>
      </c>
      <c r="C375" s="423"/>
      <c r="D375" s="423"/>
      <c r="E375" s="425"/>
      <c r="F375" s="94" t="s">
        <v>156</v>
      </c>
      <c r="G375" s="113">
        <f t="shared" si="77"/>
        <v>24.27</v>
      </c>
      <c r="H375" s="59">
        <f t="shared" si="73"/>
        <v>0</v>
      </c>
      <c r="I375" s="114">
        <v>2.9</v>
      </c>
      <c r="J375" s="59">
        <f t="shared" si="74"/>
        <v>0</v>
      </c>
      <c r="K375" s="60">
        <f t="shared" si="75"/>
        <v>0</v>
      </c>
      <c r="L375" s="92"/>
      <c r="M375" s="87"/>
      <c r="N375" s="87"/>
      <c r="O375" s="410"/>
      <c r="P375" s="87"/>
      <c r="Q375" s="87"/>
      <c r="R375" s="87"/>
      <c r="S375" s="87"/>
      <c r="T375" s="87"/>
      <c r="U375" s="87"/>
    </row>
    <row r="376" spans="1:21" s="62" customFormat="1" ht="24" customHeight="1">
      <c r="A376" s="450"/>
      <c r="B376" s="423" t="s">
        <v>164</v>
      </c>
      <c r="C376" s="423"/>
      <c r="D376" s="423"/>
      <c r="E376" s="425"/>
      <c r="F376" s="94" t="s">
        <v>156</v>
      </c>
      <c r="G376" s="113">
        <f t="shared" si="77"/>
        <v>24.27</v>
      </c>
      <c r="H376" s="59">
        <f t="shared" si="73"/>
        <v>0</v>
      </c>
      <c r="I376" s="114">
        <v>2.9</v>
      </c>
      <c r="J376" s="59">
        <f t="shared" si="74"/>
        <v>0</v>
      </c>
      <c r="K376" s="60">
        <f t="shared" si="75"/>
        <v>0</v>
      </c>
      <c r="L376" s="92"/>
      <c r="M376" s="87"/>
      <c r="N376" s="87"/>
      <c r="O376" s="410"/>
      <c r="P376" s="87"/>
      <c r="Q376" s="87"/>
      <c r="R376" s="87"/>
      <c r="S376" s="87"/>
      <c r="T376" s="87"/>
      <c r="U376" s="87"/>
    </row>
    <row r="377" spans="1:21" s="62" customFormat="1" ht="24" customHeight="1">
      <c r="A377" s="450"/>
      <c r="B377" s="423" t="s">
        <v>165</v>
      </c>
      <c r="C377" s="423"/>
      <c r="D377" s="423"/>
      <c r="E377" s="425"/>
      <c r="F377" s="94" t="s">
        <v>156</v>
      </c>
      <c r="G377" s="113">
        <f t="shared" si="77"/>
        <v>23.8</v>
      </c>
      <c r="H377" s="59">
        <f t="shared" si="73"/>
        <v>0</v>
      </c>
      <c r="I377" s="114">
        <v>2.9</v>
      </c>
      <c r="J377" s="59">
        <f t="shared" si="74"/>
        <v>0</v>
      </c>
      <c r="K377" s="60">
        <f t="shared" si="75"/>
        <v>0</v>
      </c>
      <c r="L377" s="92"/>
      <c r="M377" s="87"/>
      <c r="N377" s="87"/>
      <c r="O377" s="410"/>
      <c r="P377" s="87"/>
      <c r="Q377" s="87"/>
      <c r="R377" s="87"/>
      <c r="S377" s="87"/>
      <c r="T377" s="87"/>
      <c r="U377" s="87"/>
    </row>
    <row r="378" spans="1:21" s="62" customFormat="1" ht="24" customHeight="1">
      <c r="A378" s="450"/>
      <c r="B378" s="423" t="s">
        <v>166</v>
      </c>
      <c r="C378" s="423"/>
      <c r="D378" s="423"/>
      <c r="E378" s="425">
        <f>(SUM(E370:E377)/1000)*30</f>
        <v>1928.1294000000003</v>
      </c>
      <c r="F378" s="94" t="s">
        <v>156</v>
      </c>
      <c r="G378" s="113">
        <f t="shared" si="77"/>
        <v>29.92</v>
      </c>
      <c r="H378" s="59">
        <f t="shared" si="73"/>
        <v>57689.63</v>
      </c>
      <c r="I378" s="114"/>
      <c r="J378" s="59">
        <f t="shared" si="74"/>
        <v>0</v>
      </c>
      <c r="K378" s="60">
        <f t="shared" si="75"/>
        <v>57689.63</v>
      </c>
      <c r="L378" s="92"/>
      <c r="M378" s="87"/>
      <c r="N378" s="87"/>
      <c r="O378" s="410"/>
      <c r="P378" s="87"/>
      <c r="Q378" s="87"/>
      <c r="R378" s="87"/>
      <c r="S378" s="87"/>
      <c r="T378" s="87"/>
      <c r="U378" s="87"/>
    </row>
    <row r="379" spans="1:21" s="62" customFormat="1" ht="24" customHeight="1">
      <c r="A379" s="450"/>
      <c r="B379" s="423" t="s">
        <v>171</v>
      </c>
      <c r="C379" s="423"/>
      <c r="D379" s="423"/>
      <c r="E379" s="425">
        <v>4793.55</v>
      </c>
      <c r="F379" s="94" t="s">
        <v>37</v>
      </c>
      <c r="G379" s="101">
        <v>340</v>
      </c>
      <c r="H379" s="59">
        <f t="shared" si="73"/>
        <v>1629807</v>
      </c>
      <c r="I379" s="114"/>
      <c r="J379" s="59">
        <f t="shared" si="74"/>
        <v>0</v>
      </c>
      <c r="K379" s="60">
        <f t="shared" si="75"/>
        <v>1629807</v>
      </c>
      <c r="L379" s="92"/>
      <c r="M379" s="87"/>
      <c r="N379" s="87"/>
      <c r="O379" s="410"/>
      <c r="P379" s="87"/>
      <c r="Q379" s="87"/>
      <c r="R379" s="87"/>
      <c r="S379" s="87"/>
      <c r="T379" s="87"/>
      <c r="U379" s="87"/>
    </row>
    <row r="380" spans="1:21" s="62" customFormat="1" ht="24" customHeight="1">
      <c r="A380" s="450"/>
      <c r="B380" s="423" t="s">
        <v>167</v>
      </c>
      <c r="C380" s="423"/>
      <c r="D380" s="423"/>
      <c r="E380" s="425"/>
      <c r="F380" s="94"/>
      <c r="G380" s="113"/>
      <c r="H380" s="59"/>
      <c r="I380" s="114"/>
      <c r="J380" s="59"/>
      <c r="K380" s="60"/>
      <c r="L380" s="92"/>
      <c r="M380" s="87"/>
      <c r="N380" s="87"/>
      <c r="O380" s="410"/>
      <c r="P380" s="87"/>
      <c r="Q380" s="87"/>
      <c r="R380" s="87"/>
      <c r="S380" s="87"/>
      <c r="T380" s="87"/>
      <c r="U380" s="87"/>
    </row>
    <row r="381" spans="1:21" s="62" customFormat="1" ht="24" customHeight="1">
      <c r="A381" s="450"/>
      <c r="B381" s="423"/>
      <c r="C381" s="423"/>
      <c r="D381" s="423"/>
      <c r="E381" s="425"/>
      <c r="F381" s="94"/>
      <c r="G381" s="113"/>
      <c r="H381" s="59"/>
      <c r="I381" s="114"/>
      <c r="J381" s="59"/>
      <c r="K381" s="60"/>
      <c r="L381" s="92"/>
      <c r="M381" s="87"/>
      <c r="N381" s="87"/>
      <c r="O381" s="410"/>
      <c r="P381" s="87"/>
      <c r="Q381" s="87"/>
      <c r="R381" s="87"/>
      <c r="S381" s="87"/>
      <c r="T381" s="87"/>
      <c r="U381" s="87"/>
    </row>
    <row r="382" spans="1:21" s="62" customFormat="1" ht="24" customHeight="1">
      <c r="A382" s="450"/>
      <c r="B382" s="423"/>
      <c r="C382" s="423"/>
      <c r="D382" s="423"/>
      <c r="E382" s="425"/>
      <c r="F382" s="94"/>
      <c r="G382" s="113"/>
      <c r="H382" s="59"/>
      <c r="I382" s="114"/>
      <c r="J382" s="59"/>
      <c r="K382" s="60"/>
      <c r="L382" s="92"/>
      <c r="M382" s="87"/>
      <c r="N382" s="87"/>
      <c r="O382" s="410"/>
      <c r="P382" s="87"/>
      <c r="Q382" s="87"/>
      <c r="R382" s="87"/>
      <c r="S382" s="87"/>
      <c r="T382" s="87"/>
      <c r="U382" s="87"/>
    </row>
    <row r="383" spans="1:21" s="62" customFormat="1" ht="24" customHeight="1">
      <c r="A383" s="450"/>
      <c r="B383" s="423"/>
      <c r="C383" s="423"/>
      <c r="D383" s="423"/>
      <c r="E383" s="425"/>
      <c r="F383" s="94"/>
      <c r="G383" s="113"/>
      <c r="H383" s="59"/>
      <c r="I383" s="114"/>
      <c r="J383" s="59"/>
      <c r="K383" s="60"/>
      <c r="L383" s="92"/>
      <c r="M383" s="87"/>
      <c r="N383" s="87"/>
      <c r="O383" s="410"/>
      <c r="P383" s="87"/>
      <c r="Q383" s="87"/>
      <c r="R383" s="87"/>
      <c r="S383" s="87"/>
      <c r="T383" s="87"/>
      <c r="U383" s="87"/>
    </row>
    <row r="384" spans="1:21" s="62" customFormat="1" ht="24" customHeight="1">
      <c r="A384" s="450"/>
      <c r="B384" s="423"/>
      <c r="C384" s="423"/>
      <c r="D384" s="423"/>
      <c r="E384" s="429"/>
      <c r="F384" s="94"/>
      <c r="G384" s="113"/>
      <c r="H384" s="59"/>
      <c r="I384" s="114"/>
      <c r="J384" s="59"/>
      <c r="K384" s="60"/>
      <c r="L384" s="92"/>
      <c r="M384" s="87"/>
      <c r="N384" s="87"/>
      <c r="O384" s="410"/>
      <c r="P384" s="87"/>
      <c r="Q384" s="87"/>
      <c r="R384" s="87"/>
      <c r="S384" s="87"/>
      <c r="T384" s="87"/>
      <c r="U384" s="87"/>
    </row>
    <row r="385" spans="1:21" s="62" customFormat="1" ht="24" customHeight="1">
      <c r="A385" s="450"/>
      <c r="B385" s="423"/>
      <c r="C385" s="423"/>
      <c r="D385" s="423"/>
      <c r="E385" s="429"/>
      <c r="F385" s="94"/>
      <c r="G385" s="113"/>
      <c r="H385" s="59"/>
      <c r="I385" s="114"/>
      <c r="J385" s="59"/>
      <c r="K385" s="60"/>
      <c r="L385" s="92"/>
      <c r="M385" s="87"/>
      <c r="N385" s="87"/>
      <c r="O385" s="410"/>
      <c r="P385" s="87"/>
      <c r="Q385" s="87"/>
      <c r="R385" s="87"/>
      <c r="S385" s="87"/>
      <c r="T385" s="87"/>
      <c r="U385" s="87"/>
    </row>
    <row r="386" spans="1:21" s="62" customFormat="1" ht="24" customHeight="1">
      <c r="A386" s="450" t="s">
        <v>51</v>
      </c>
      <c r="B386" s="451" t="s">
        <v>182</v>
      </c>
      <c r="C386" s="423"/>
      <c r="D386" s="423"/>
      <c r="E386" s="429"/>
      <c r="F386" s="94"/>
      <c r="G386" s="113"/>
      <c r="H386" s="59"/>
      <c r="I386" s="114"/>
      <c r="J386" s="59"/>
      <c r="K386" s="60"/>
      <c r="L386" s="92"/>
      <c r="M386" s="87"/>
      <c r="N386" s="87"/>
      <c r="O386" s="410"/>
      <c r="P386" s="87"/>
      <c r="Q386" s="87"/>
      <c r="R386" s="87"/>
      <c r="S386" s="87"/>
      <c r="T386" s="87"/>
      <c r="U386" s="87"/>
    </row>
    <row r="387" spans="1:21" s="62" customFormat="1" ht="24" customHeight="1">
      <c r="A387" s="450"/>
      <c r="B387" s="423" t="s">
        <v>150</v>
      </c>
      <c r="C387" s="424"/>
      <c r="D387" s="424"/>
      <c r="E387" s="425">
        <v>301.93</v>
      </c>
      <c r="F387" s="94" t="s">
        <v>151</v>
      </c>
      <c r="G387" s="113">
        <v>2516</v>
      </c>
      <c r="H387" s="59">
        <f t="shared" ref="H387:H401" si="78">ROUND(E387*G387,2)</f>
        <v>759655.88</v>
      </c>
      <c r="I387" s="114">
        <v>485</v>
      </c>
      <c r="J387" s="59">
        <f t="shared" ref="J387:J401" si="79">ROUND(E387*I387,2)</f>
        <v>146436.04999999999</v>
      </c>
      <c r="K387" s="60">
        <f t="shared" ref="K387:K401" si="80">H387+J387</f>
        <v>906091.92999999993</v>
      </c>
      <c r="L387" s="92"/>
      <c r="M387" s="87"/>
      <c r="N387" s="87"/>
      <c r="O387" s="410"/>
      <c r="P387" s="87"/>
      <c r="Q387" s="87"/>
      <c r="R387" s="87"/>
      <c r="S387" s="87"/>
      <c r="T387" s="87"/>
      <c r="U387" s="87"/>
    </row>
    <row r="388" spans="1:21" s="62" customFormat="1" ht="24" customHeight="1">
      <c r="A388" s="450"/>
      <c r="B388" s="426" t="s">
        <v>152</v>
      </c>
      <c r="C388" s="423"/>
      <c r="D388" s="423"/>
      <c r="E388" s="425"/>
      <c r="F388" s="94"/>
      <c r="G388" s="113"/>
      <c r="H388" s="59">
        <f t="shared" si="78"/>
        <v>0</v>
      </c>
      <c r="I388" s="114"/>
      <c r="J388" s="59">
        <f t="shared" si="79"/>
        <v>0</v>
      </c>
      <c r="K388" s="60">
        <f t="shared" si="80"/>
        <v>0</v>
      </c>
      <c r="L388" s="92"/>
      <c r="M388" s="87"/>
      <c r="N388" s="87"/>
      <c r="O388" s="410"/>
      <c r="P388" s="87"/>
      <c r="Q388" s="87"/>
      <c r="R388" s="87"/>
      <c r="S388" s="87"/>
      <c r="T388" s="87"/>
      <c r="U388" s="87"/>
    </row>
    <row r="389" spans="1:21" s="62" customFormat="1" ht="24" customHeight="1">
      <c r="A389" s="450"/>
      <c r="B389" s="426"/>
      <c r="C389" s="423" t="s">
        <v>153</v>
      </c>
      <c r="D389" s="423"/>
      <c r="E389" s="425">
        <f>E390/2</f>
        <v>308.43</v>
      </c>
      <c r="F389" s="94" t="s">
        <v>37</v>
      </c>
      <c r="G389" s="113">
        <v>661.62</v>
      </c>
      <c r="H389" s="59">
        <f t="shared" si="78"/>
        <v>204063.46</v>
      </c>
      <c r="I389" s="114"/>
      <c r="J389" s="59">
        <f t="shared" si="79"/>
        <v>0</v>
      </c>
      <c r="K389" s="60">
        <f t="shared" si="80"/>
        <v>204063.46</v>
      </c>
      <c r="L389" s="92"/>
      <c r="M389" s="87"/>
      <c r="N389" s="87"/>
      <c r="O389" s="410"/>
      <c r="P389" s="87"/>
      <c r="Q389" s="87"/>
      <c r="R389" s="87"/>
      <c r="S389" s="87"/>
      <c r="T389" s="87"/>
      <c r="U389" s="87"/>
    </row>
    <row r="390" spans="1:21" s="62" customFormat="1" ht="24" customHeight="1">
      <c r="A390" s="450"/>
      <c r="B390" s="426"/>
      <c r="C390" s="423" t="s">
        <v>154</v>
      </c>
      <c r="D390" s="423"/>
      <c r="E390" s="425">
        <v>616.86</v>
      </c>
      <c r="F390" s="94" t="s">
        <v>37</v>
      </c>
      <c r="G390" s="113"/>
      <c r="H390" s="59">
        <f t="shared" si="78"/>
        <v>0</v>
      </c>
      <c r="I390" s="114">
        <v>154</v>
      </c>
      <c r="J390" s="59">
        <f t="shared" si="79"/>
        <v>94996.44</v>
      </c>
      <c r="K390" s="60">
        <f t="shared" si="80"/>
        <v>94996.44</v>
      </c>
      <c r="L390" s="92"/>
      <c r="M390" s="87"/>
      <c r="N390" s="87"/>
      <c r="O390" s="410"/>
      <c r="P390" s="87"/>
      <c r="Q390" s="87"/>
      <c r="R390" s="87"/>
      <c r="S390" s="87"/>
      <c r="T390" s="87"/>
      <c r="U390" s="87"/>
    </row>
    <row r="391" spans="1:21" s="62" customFormat="1" ht="24" customHeight="1">
      <c r="A391" s="450"/>
      <c r="B391" s="423" t="s">
        <v>155</v>
      </c>
      <c r="C391" s="423"/>
      <c r="D391" s="423"/>
      <c r="E391" s="425">
        <f>(E390*0.25)</f>
        <v>154.215</v>
      </c>
      <c r="F391" s="94" t="s">
        <v>156</v>
      </c>
      <c r="G391" s="113">
        <f t="shared" ref="G391" si="81">VLOOKUP(B391,$N$43:$O$53,2,FALSE)</f>
        <v>29.94</v>
      </c>
      <c r="H391" s="59">
        <f t="shared" si="78"/>
        <v>4617.2</v>
      </c>
      <c r="I391" s="114"/>
      <c r="J391" s="59">
        <f t="shared" si="79"/>
        <v>0</v>
      </c>
      <c r="K391" s="60">
        <f t="shared" si="80"/>
        <v>4617.2</v>
      </c>
      <c r="L391" s="92"/>
      <c r="M391" s="87"/>
      <c r="N391" s="87"/>
      <c r="O391" s="410"/>
      <c r="P391" s="87"/>
      <c r="Q391" s="87"/>
      <c r="R391" s="87"/>
      <c r="S391" s="87"/>
      <c r="T391" s="87"/>
      <c r="U391" s="87"/>
    </row>
    <row r="392" spans="1:21" s="62" customFormat="1" ht="24" customHeight="1">
      <c r="A392" s="450"/>
      <c r="B392" s="423" t="s">
        <v>157</v>
      </c>
      <c r="C392" s="423"/>
      <c r="D392" s="423"/>
      <c r="E392" s="425"/>
      <c r="F392" s="115"/>
      <c r="G392" s="101"/>
      <c r="H392" s="59">
        <f t="shared" si="78"/>
        <v>0</v>
      </c>
      <c r="I392" s="114"/>
      <c r="J392" s="59">
        <f t="shared" si="79"/>
        <v>0</v>
      </c>
      <c r="K392" s="60">
        <f t="shared" si="80"/>
        <v>0</v>
      </c>
      <c r="L392" s="92"/>
      <c r="M392" s="87"/>
      <c r="N392" s="87"/>
      <c r="O392" s="410"/>
      <c r="P392" s="87"/>
      <c r="Q392" s="87"/>
      <c r="R392" s="87"/>
      <c r="S392" s="87"/>
      <c r="T392" s="87"/>
      <c r="U392" s="87"/>
    </row>
    <row r="393" spans="1:21" s="62" customFormat="1" ht="24" customHeight="1">
      <c r="A393" s="450"/>
      <c r="B393" s="423" t="s">
        <v>158</v>
      </c>
      <c r="C393" s="423"/>
      <c r="D393" s="423"/>
      <c r="E393" s="425"/>
      <c r="F393" s="94" t="s">
        <v>156</v>
      </c>
      <c r="G393" s="113">
        <f>VLOOKUP(B393,$N$43:$O$54,2,FALSE)</f>
        <v>25.73</v>
      </c>
      <c r="H393" s="59">
        <f t="shared" si="78"/>
        <v>0</v>
      </c>
      <c r="I393" s="103">
        <v>4.0999999999999996</v>
      </c>
      <c r="J393" s="59">
        <f t="shared" si="79"/>
        <v>0</v>
      </c>
      <c r="K393" s="60">
        <f t="shared" si="80"/>
        <v>0</v>
      </c>
      <c r="L393" s="92"/>
      <c r="M393" s="87"/>
      <c r="N393" s="87"/>
      <c r="O393" s="410"/>
      <c r="P393" s="87"/>
      <c r="Q393" s="87"/>
      <c r="R393" s="87"/>
      <c r="S393" s="87"/>
      <c r="T393" s="87"/>
      <c r="U393" s="87"/>
    </row>
    <row r="394" spans="1:21" s="62" customFormat="1" ht="24" customHeight="1">
      <c r="A394" s="450"/>
      <c r="B394" s="423" t="s">
        <v>159</v>
      </c>
      <c r="C394" s="423"/>
      <c r="D394" s="423"/>
      <c r="E394" s="425">
        <v>578.62</v>
      </c>
      <c r="F394" s="94" t="s">
        <v>156</v>
      </c>
      <c r="G394" s="113">
        <f t="shared" ref="G394:G401" si="82">VLOOKUP(B394,$N$43:$O$54,2,FALSE)</f>
        <v>24.97</v>
      </c>
      <c r="H394" s="59">
        <f t="shared" si="78"/>
        <v>14448.14</v>
      </c>
      <c r="I394" s="114">
        <v>4.0999999999999996</v>
      </c>
      <c r="J394" s="59">
        <f t="shared" si="79"/>
        <v>2372.34</v>
      </c>
      <c r="K394" s="60">
        <f t="shared" si="80"/>
        <v>16820.48</v>
      </c>
      <c r="L394" s="92"/>
      <c r="M394" s="87"/>
      <c r="N394" s="87"/>
      <c r="O394" s="410"/>
      <c r="P394" s="87"/>
      <c r="Q394" s="87"/>
      <c r="R394" s="87"/>
      <c r="S394" s="87"/>
      <c r="T394" s="87"/>
      <c r="U394" s="87"/>
    </row>
    <row r="395" spans="1:21" s="62" customFormat="1" ht="24" customHeight="1">
      <c r="A395" s="450"/>
      <c r="B395" s="423" t="s">
        <v>160</v>
      </c>
      <c r="C395" s="423"/>
      <c r="D395" s="423"/>
      <c r="E395" s="425">
        <v>32537.05</v>
      </c>
      <c r="F395" s="94" t="s">
        <v>156</v>
      </c>
      <c r="G395" s="113">
        <f t="shared" si="82"/>
        <v>24.47</v>
      </c>
      <c r="H395" s="59">
        <f t="shared" si="78"/>
        <v>796181.61</v>
      </c>
      <c r="I395" s="114">
        <v>3.3</v>
      </c>
      <c r="J395" s="59">
        <f t="shared" si="79"/>
        <v>107372.27</v>
      </c>
      <c r="K395" s="60">
        <f t="shared" si="80"/>
        <v>903553.88</v>
      </c>
      <c r="L395" s="92"/>
      <c r="M395" s="87"/>
      <c r="N395" s="87"/>
      <c r="O395" s="410"/>
      <c r="P395" s="87"/>
      <c r="Q395" s="87"/>
      <c r="R395" s="87"/>
      <c r="S395" s="87"/>
      <c r="T395" s="87"/>
      <c r="U395" s="87"/>
    </row>
    <row r="396" spans="1:21" s="62" customFormat="1" ht="24" customHeight="1">
      <c r="A396" s="450"/>
      <c r="B396" s="423" t="s">
        <v>161</v>
      </c>
      <c r="C396" s="423"/>
      <c r="D396" s="423"/>
      <c r="E396" s="425">
        <v>603.30999999999995</v>
      </c>
      <c r="F396" s="115" t="s">
        <v>156</v>
      </c>
      <c r="G396" s="113">
        <f t="shared" si="82"/>
        <v>24.27</v>
      </c>
      <c r="H396" s="59">
        <f t="shared" si="78"/>
        <v>14642.33</v>
      </c>
      <c r="I396" s="114">
        <v>3.3</v>
      </c>
      <c r="J396" s="59">
        <f t="shared" si="79"/>
        <v>1990.92</v>
      </c>
      <c r="K396" s="60">
        <f t="shared" si="80"/>
        <v>16633.25</v>
      </c>
      <c r="L396" s="92"/>
      <c r="M396" s="87"/>
      <c r="N396" s="87"/>
      <c r="O396" s="410"/>
      <c r="P396" s="87"/>
      <c r="Q396" s="87"/>
      <c r="R396" s="87"/>
      <c r="S396" s="87"/>
      <c r="T396" s="87"/>
      <c r="U396" s="87"/>
    </row>
    <row r="397" spans="1:21" s="62" customFormat="1" ht="24" customHeight="1">
      <c r="A397" s="450"/>
      <c r="B397" s="423" t="s">
        <v>162</v>
      </c>
      <c r="C397" s="423"/>
      <c r="D397" s="423"/>
      <c r="E397" s="425">
        <v>1864.68</v>
      </c>
      <c r="F397" s="94" t="s">
        <v>156</v>
      </c>
      <c r="G397" s="113">
        <f t="shared" si="82"/>
        <v>24.27</v>
      </c>
      <c r="H397" s="59">
        <f t="shared" si="78"/>
        <v>45255.78</v>
      </c>
      <c r="I397" s="114">
        <v>2.9</v>
      </c>
      <c r="J397" s="59">
        <f t="shared" si="79"/>
        <v>5407.57</v>
      </c>
      <c r="K397" s="60">
        <f t="shared" si="80"/>
        <v>50663.35</v>
      </c>
      <c r="L397" s="92"/>
      <c r="M397" s="87"/>
      <c r="N397" s="87"/>
      <c r="O397" s="410"/>
      <c r="P397" s="87"/>
      <c r="Q397" s="87"/>
      <c r="R397" s="87"/>
      <c r="S397" s="87"/>
      <c r="T397" s="87"/>
      <c r="U397" s="87"/>
    </row>
    <row r="398" spans="1:21" s="62" customFormat="1" ht="24" customHeight="1">
      <c r="A398" s="450"/>
      <c r="B398" s="423" t="s">
        <v>163</v>
      </c>
      <c r="C398" s="423"/>
      <c r="D398" s="423"/>
      <c r="E398" s="425">
        <v>15235.09</v>
      </c>
      <c r="F398" s="94" t="s">
        <v>156</v>
      </c>
      <c r="G398" s="113">
        <f t="shared" si="82"/>
        <v>24.27</v>
      </c>
      <c r="H398" s="59">
        <f t="shared" si="78"/>
        <v>369755.63</v>
      </c>
      <c r="I398" s="114">
        <v>2.9</v>
      </c>
      <c r="J398" s="59">
        <f t="shared" si="79"/>
        <v>44181.760000000002</v>
      </c>
      <c r="K398" s="60">
        <f t="shared" si="80"/>
        <v>413937.39</v>
      </c>
      <c r="L398" s="92"/>
      <c r="M398" s="87"/>
      <c r="N398" s="87"/>
      <c r="O398" s="410"/>
      <c r="P398" s="87"/>
      <c r="Q398" s="87"/>
      <c r="R398" s="87"/>
      <c r="S398" s="87"/>
      <c r="T398" s="87"/>
      <c r="U398" s="87"/>
    </row>
    <row r="399" spans="1:21" s="62" customFormat="1" ht="24" customHeight="1">
      <c r="A399" s="450"/>
      <c r="B399" s="423" t="s">
        <v>164</v>
      </c>
      <c r="C399" s="423"/>
      <c r="D399" s="423"/>
      <c r="E399" s="425">
        <v>27251.96</v>
      </c>
      <c r="F399" s="94" t="s">
        <v>156</v>
      </c>
      <c r="G399" s="113">
        <f t="shared" si="82"/>
        <v>24.27</v>
      </c>
      <c r="H399" s="59">
        <f t="shared" si="78"/>
        <v>661405.06999999995</v>
      </c>
      <c r="I399" s="114">
        <v>2.9</v>
      </c>
      <c r="J399" s="59">
        <f t="shared" si="79"/>
        <v>79030.679999999993</v>
      </c>
      <c r="K399" s="60">
        <f t="shared" si="80"/>
        <v>740435.75</v>
      </c>
      <c r="L399" s="92"/>
      <c r="M399" s="87"/>
      <c r="N399" s="87"/>
      <c r="O399" s="410"/>
      <c r="P399" s="87"/>
      <c r="Q399" s="87"/>
      <c r="R399" s="87"/>
      <c r="S399" s="87"/>
      <c r="T399" s="87"/>
      <c r="U399" s="87"/>
    </row>
    <row r="400" spans="1:21" s="62" customFormat="1" ht="24" customHeight="1">
      <c r="A400" s="450"/>
      <c r="B400" s="423" t="s">
        <v>165</v>
      </c>
      <c r="C400" s="423"/>
      <c r="D400" s="423"/>
      <c r="E400" s="425">
        <v>0</v>
      </c>
      <c r="F400" s="94" t="s">
        <v>156</v>
      </c>
      <c r="G400" s="113">
        <f t="shared" si="82"/>
        <v>23.8</v>
      </c>
      <c r="H400" s="59">
        <f t="shared" si="78"/>
        <v>0</v>
      </c>
      <c r="I400" s="114">
        <v>2.9</v>
      </c>
      <c r="J400" s="59">
        <f t="shared" si="79"/>
        <v>0</v>
      </c>
      <c r="K400" s="60">
        <f t="shared" si="80"/>
        <v>0</v>
      </c>
      <c r="L400" s="92"/>
      <c r="M400" s="87"/>
      <c r="N400" s="87"/>
      <c r="O400" s="410"/>
      <c r="P400" s="87"/>
      <c r="Q400" s="87"/>
      <c r="R400" s="87"/>
      <c r="S400" s="87"/>
      <c r="T400" s="87"/>
      <c r="U400" s="87"/>
    </row>
    <row r="401" spans="1:21" s="62" customFormat="1" ht="24" customHeight="1">
      <c r="A401" s="450"/>
      <c r="B401" s="423" t="s">
        <v>166</v>
      </c>
      <c r="C401" s="423"/>
      <c r="D401" s="423"/>
      <c r="E401" s="425">
        <f>(SUM(E393:E400)/1000)*30</f>
        <v>2342.1212999999998</v>
      </c>
      <c r="F401" s="94" t="s">
        <v>156</v>
      </c>
      <c r="G401" s="113">
        <f t="shared" si="82"/>
        <v>29.92</v>
      </c>
      <c r="H401" s="59">
        <f t="shared" si="78"/>
        <v>70076.27</v>
      </c>
      <c r="I401" s="114"/>
      <c r="J401" s="59">
        <f t="shared" si="79"/>
        <v>0</v>
      </c>
      <c r="K401" s="60">
        <f t="shared" si="80"/>
        <v>70076.27</v>
      </c>
      <c r="L401" s="92"/>
      <c r="M401" s="87"/>
      <c r="N401" s="87"/>
      <c r="O401" s="410"/>
      <c r="P401" s="87"/>
      <c r="Q401" s="87"/>
      <c r="R401" s="87"/>
      <c r="S401" s="87"/>
      <c r="T401" s="87"/>
      <c r="U401" s="87"/>
    </row>
    <row r="402" spans="1:21" s="62" customFormat="1" ht="24" customHeight="1">
      <c r="A402" s="450"/>
      <c r="B402" s="423" t="s">
        <v>167</v>
      </c>
      <c r="C402" s="423"/>
      <c r="D402" s="423"/>
      <c r="E402" s="425"/>
      <c r="F402" s="94"/>
      <c r="G402" s="113"/>
      <c r="H402" s="59"/>
      <c r="I402" s="114"/>
      <c r="J402" s="59"/>
      <c r="K402" s="60"/>
      <c r="L402" s="92"/>
      <c r="M402" s="87"/>
      <c r="N402" s="87"/>
      <c r="O402" s="410"/>
      <c r="P402" s="87"/>
      <c r="Q402" s="87"/>
      <c r="R402" s="87"/>
      <c r="S402" s="87"/>
      <c r="T402" s="87"/>
      <c r="U402" s="87"/>
    </row>
    <row r="403" spans="1:21" s="62" customFormat="1" ht="24" customHeight="1">
      <c r="A403" s="450"/>
      <c r="B403" s="423"/>
      <c r="C403" s="420"/>
      <c r="D403" s="423"/>
      <c r="E403" s="429"/>
      <c r="F403" s="94"/>
      <c r="G403" s="113"/>
      <c r="H403" s="59"/>
      <c r="I403" s="114"/>
      <c r="J403" s="59"/>
      <c r="K403" s="60"/>
      <c r="L403" s="92"/>
      <c r="M403" s="87"/>
      <c r="N403" s="87"/>
      <c r="O403" s="410"/>
      <c r="P403" s="87"/>
      <c r="Q403" s="87"/>
      <c r="R403" s="87"/>
      <c r="S403" s="87"/>
      <c r="T403" s="87"/>
      <c r="U403" s="87"/>
    </row>
    <row r="404" spans="1:21" s="62" customFormat="1" ht="24" customHeight="1">
      <c r="A404" s="450"/>
      <c r="B404" s="423"/>
      <c r="C404" s="423"/>
      <c r="D404" s="423"/>
      <c r="E404" s="429"/>
      <c r="F404" s="94"/>
      <c r="G404" s="113"/>
      <c r="H404" s="59"/>
      <c r="I404" s="114"/>
      <c r="J404" s="59"/>
      <c r="K404" s="60"/>
      <c r="L404" s="92"/>
      <c r="M404" s="87"/>
      <c r="N404" s="87"/>
      <c r="O404" s="410"/>
      <c r="P404" s="87"/>
      <c r="Q404" s="87"/>
      <c r="R404" s="87"/>
      <c r="S404" s="87"/>
      <c r="T404" s="87"/>
      <c r="U404" s="87"/>
    </row>
    <row r="405" spans="1:21" s="62" customFormat="1" ht="24" customHeight="1">
      <c r="A405" s="450"/>
      <c r="B405" s="423"/>
      <c r="C405" s="423"/>
      <c r="D405" s="423"/>
      <c r="E405" s="429"/>
      <c r="F405" s="94"/>
      <c r="G405" s="113"/>
      <c r="H405" s="59"/>
      <c r="I405" s="114"/>
      <c r="J405" s="59"/>
      <c r="K405" s="60"/>
      <c r="L405" s="92"/>
      <c r="M405" s="87"/>
      <c r="N405" s="87"/>
      <c r="O405" s="410"/>
      <c r="P405" s="87"/>
      <c r="Q405" s="87"/>
      <c r="R405" s="87"/>
      <c r="S405" s="87"/>
      <c r="T405" s="87"/>
      <c r="U405" s="87"/>
    </row>
    <row r="406" spans="1:21" s="62" customFormat="1" ht="24" customHeight="1">
      <c r="A406" s="450"/>
      <c r="B406" s="423"/>
      <c r="C406" s="423"/>
      <c r="D406" s="423"/>
      <c r="E406" s="429"/>
      <c r="F406" s="94"/>
      <c r="G406" s="113"/>
      <c r="H406" s="59"/>
      <c r="I406" s="114"/>
      <c r="J406" s="59"/>
      <c r="K406" s="60"/>
      <c r="L406" s="92"/>
      <c r="M406" s="87"/>
      <c r="N406" s="87"/>
      <c r="O406" s="410"/>
      <c r="P406" s="87"/>
      <c r="Q406" s="87"/>
      <c r="R406" s="87"/>
      <c r="S406" s="87"/>
      <c r="T406" s="87"/>
      <c r="U406" s="87"/>
    </row>
    <row r="407" spans="1:21" s="62" customFormat="1" ht="24" customHeight="1">
      <c r="A407" s="450"/>
      <c r="B407" s="423"/>
      <c r="C407" s="423"/>
      <c r="D407" s="423"/>
      <c r="E407" s="429"/>
      <c r="F407" s="94"/>
      <c r="G407" s="113"/>
      <c r="H407" s="59"/>
      <c r="I407" s="114"/>
      <c r="J407" s="59"/>
      <c r="K407" s="60"/>
      <c r="L407" s="92"/>
      <c r="M407" s="87"/>
      <c r="N407" s="87"/>
      <c r="O407" s="410"/>
      <c r="P407" s="87"/>
      <c r="Q407" s="87"/>
      <c r="R407" s="87"/>
      <c r="S407" s="87"/>
      <c r="T407" s="87"/>
      <c r="U407" s="87"/>
    </row>
    <row r="408" spans="1:21" s="62" customFormat="1" ht="24" customHeight="1">
      <c r="A408" s="450"/>
      <c r="B408" s="423"/>
      <c r="C408" s="423"/>
      <c r="D408" s="423"/>
      <c r="E408" s="429"/>
      <c r="F408" s="94"/>
      <c r="G408" s="113"/>
      <c r="H408" s="59"/>
      <c r="I408" s="114"/>
      <c r="J408" s="59"/>
      <c r="K408" s="60"/>
      <c r="L408" s="92"/>
      <c r="M408" s="87"/>
      <c r="N408" s="87"/>
      <c r="O408" s="410"/>
      <c r="P408" s="87"/>
      <c r="Q408" s="87"/>
      <c r="R408" s="87"/>
      <c r="S408" s="87"/>
      <c r="T408" s="87"/>
      <c r="U408" s="87"/>
    </row>
    <row r="409" spans="1:21" s="62" customFormat="1" ht="24" customHeight="1">
      <c r="A409" s="450"/>
      <c r="B409" s="451"/>
      <c r="C409" s="423"/>
      <c r="D409" s="423"/>
      <c r="E409" s="429"/>
      <c r="F409" s="94"/>
      <c r="G409" s="113"/>
      <c r="H409" s="59"/>
      <c r="I409" s="114"/>
      <c r="J409" s="59"/>
      <c r="K409" s="60"/>
      <c r="L409" s="92"/>
      <c r="M409" s="87"/>
      <c r="N409" s="87"/>
      <c r="O409" s="410"/>
      <c r="P409" s="87"/>
      <c r="Q409" s="87"/>
      <c r="R409" s="87"/>
      <c r="S409" s="87"/>
      <c r="T409" s="87"/>
      <c r="U409" s="87"/>
    </row>
    <row r="410" spans="1:21" s="62" customFormat="1" ht="24" customHeight="1">
      <c r="A410" s="450"/>
      <c r="B410" s="451"/>
      <c r="C410" s="423"/>
      <c r="D410" s="423"/>
      <c r="E410" s="429"/>
      <c r="F410" s="94"/>
      <c r="G410" s="113"/>
      <c r="H410" s="59"/>
      <c r="I410" s="114"/>
      <c r="J410" s="59"/>
      <c r="K410" s="60"/>
      <c r="L410" s="92"/>
      <c r="M410" s="87"/>
      <c r="N410" s="87"/>
      <c r="O410" s="410"/>
      <c r="P410" s="87"/>
      <c r="Q410" s="87"/>
      <c r="R410" s="87"/>
      <c r="S410" s="87"/>
      <c r="T410" s="87"/>
      <c r="U410" s="87"/>
    </row>
    <row r="411" spans="1:21" s="62" customFormat="1" ht="24" customHeight="1">
      <c r="A411" s="450" t="s">
        <v>52</v>
      </c>
      <c r="B411" s="451" t="s">
        <v>183</v>
      </c>
      <c r="C411" s="423"/>
      <c r="D411" s="423"/>
      <c r="E411" s="429"/>
      <c r="F411" s="94"/>
      <c r="G411" s="113"/>
      <c r="H411" s="59"/>
      <c r="I411" s="114"/>
      <c r="J411" s="59"/>
      <c r="K411" s="60"/>
      <c r="L411" s="92"/>
      <c r="M411" s="87"/>
      <c r="N411" s="87"/>
      <c r="O411" s="410"/>
      <c r="P411" s="87"/>
      <c r="Q411" s="87"/>
      <c r="R411" s="87"/>
      <c r="S411" s="87"/>
      <c r="T411" s="87"/>
      <c r="U411" s="87"/>
    </row>
    <row r="412" spans="1:21" s="62" customFormat="1" ht="24" customHeight="1">
      <c r="A412" s="450"/>
      <c r="B412" s="423" t="s">
        <v>150</v>
      </c>
      <c r="C412" s="424"/>
      <c r="D412" s="424"/>
      <c r="E412" s="425">
        <v>348.41</v>
      </c>
      <c r="F412" s="94" t="s">
        <v>151</v>
      </c>
      <c r="G412" s="113">
        <v>2516</v>
      </c>
      <c r="H412" s="59">
        <f t="shared" ref="H412:H426" si="83">ROUND(E412*G412,2)</f>
        <v>876599.56</v>
      </c>
      <c r="I412" s="114">
        <v>485</v>
      </c>
      <c r="J412" s="59">
        <f t="shared" ref="J412:J426" si="84">ROUND(E412*I412,2)</f>
        <v>168978.85</v>
      </c>
      <c r="K412" s="60">
        <f t="shared" ref="K412:K426" si="85">H412+J412</f>
        <v>1045578.41</v>
      </c>
      <c r="L412" s="92"/>
      <c r="M412" s="87"/>
      <c r="N412" s="87"/>
      <c r="O412" s="410"/>
      <c r="P412" s="87"/>
      <c r="Q412" s="87"/>
      <c r="R412" s="87"/>
      <c r="S412" s="87"/>
      <c r="T412" s="87"/>
      <c r="U412" s="87"/>
    </row>
    <row r="413" spans="1:21" s="62" customFormat="1" ht="24" customHeight="1">
      <c r="A413" s="450"/>
      <c r="B413" s="426" t="s">
        <v>152</v>
      </c>
      <c r="C413" s="423"/>
      <c r="D413" s="423"/>
      <c r="E413" s="425"/>
      <c r="F413" s="94"/>
      <c r="G413" s="113"/>
      <c r="H413" s="59">
        <f t="shared" si="83"/>
        <v>0</v>
      </c>
      <c r="I413" s="114"/>
      <c r="J413" s="59">
        <f t="shared" si="84"/>
        <v>0</v>
      </c>
      <c r="K413" s="60">
        <f t="shared" si="85"/>
        <v>0</v>
      </c>
      <c r="L413" s="92"/>
      <c r="M413" s="87"/>
      <c r="N413" s="87"/>
      <c r="O413" s="410"/>
      <c r="P413" s="87"/>
      <c r="Q413" s="87"/>
      <c r="R413" s="87"/>
      <c r="S413" s="87"/>
      <c r="T413" s="87"/>
      <c r="U413" s="87"/>
    </row>
    <row r="414" spans="1:21" s="62" customFormat="1" ht="24" customHeight="1">
      <c r="A414" s="450"/>
      <c r="B414" s="426"/>
      <c r="C414" s="423" t="s">
        <v>153</v>
      </c>
      <c r="D414" s="423"/>
      <c r="E414" s="425">
        <f>E415/2</f>
        <v>686.76499999999999</v>
      </c>
      <c r="F414" s="94" t="s">
        <v>37</v>
      </c>
      <c r="G414" s="113">
        <v>661.62</v>
      </c>
      <c r="H414" s="59">
        <f t="shared" si="83"/>
        <v>454377.46</v>
      </c>
      <c r="I414" s="114"/>
      <c r="J414" s="59">
        <f t="shared" si="84"/>
        <v>0</v>
      </c>
      <c r="K414" s="60">
        <f t="shared" si="85"/>
        <v>454377.46</v>
      </c>
      <c r="L414" s="92"/>
      <c r="M414" s="87"/>
      <c r="N414" s="87"/>
      <c r="O414" s="410"/>
      <c r="P414" s="87"/>
      <c r="Q414" s="87"/>
      <c r="R414" s="87"/>
      <c r="S414" s="87"/>
      <c r="T414" s="87"/>
      <c r="U414" s="87"/>
    </row>
    <row r="415" spans="1:21" s="62" customFormat="1" ht="24" customHeight="1">
      <c r="A415" s="450"/>
      <c r="B415" s="426"/>
      <c r="C415" s="423" t="s">
        <v>154</v>
      </c>
      <c r="D415" s="423"/>
      <c r="E415" s="425">
        <v>1373.53</v>
      </c>
      <c r="F415" s="94" t="s">
        <v>37</v>
      </c>
      <c r="G415" s="113"/>
      <c r="H415" s="59">
        <f t="shared" si="83"/>
        <v>0</v>
      </c>
      <c r="I415" s="114">
        <v>154</v>
      </c>
      <c r="J415" s="59">
        <f t="shared" si="84"/>
        <v>211523.62</v>
      </c>
      <c r="K415" s="60">
        <f t="shared" si="85"/>
        <v>211523.62</v>
      </c>
      <c r="L415" s="92"/>
      <c r="M415" s="87"/>
      <c r="N415" s="87"/>
      <c r="O415" s="410"/>
      <c r="P415" s="87"/>
      <c r="Q415" s="87"/>
      <c r="R415" s="87"/>
      <c r="S415" s="87"/>
      <c r="T415" s="87"/>
      <c r="U415" s="87"/>
    </row>
    <row r="416" spans="1:21" s="62" customFormat="1" ht="24" customHeight="1">
      <c r="A416" s="450"/>
      <c r="B416" s="423" t="s">
        <v>155</v>
      </c>
      <c r="C416" s="423"/>
      <c r="D416" s="423"/>
      <c r="E416" s="425">
        <f>(E415*0.25)</f>
        <v>343.38249999999999</v>
      </c>
      <c r="F416" s="94" t="s">
        <v>156</v>
      </c>
      <c r="G416" s="113">
        <f t="shared" ref="G416" si="86">VLOOKUP(B416,$N$43:$O$53,2,FALSE)</f>
        <v>29.94</v>
      </c>
      <c r="H416" s="59">
        <f t="shared" si="83"/>
        <v>10280.870000000001</v>
      </c>
      <c r="I416" s="114"/>
      <c r="J416" s="59">
        <f t="shared" si="84"/>
        <v>0</v>
      </c>
      <c r="K416" s="60">
        <f t="shared" si="85"/>
        <v>10280.870000000001</v>
      </c>
      <c r="L416" s="92"/>
      <c r="M416" s="87"/>
      <c r="N416" s="87"/>
      <c r="O416" s="410"/>
      <c r="P416" s="87"/>
      <c r="Q416" s="87"/>
      <c r="R416" s="87"/>
      <c r="S416" s="87"/>
      <c r="T416" s="87"/>
      <c r="U416" s="87"/>
    </row>
    <row r="417" spans="1:21" s="62" customFormat="1" ht="24" customHeight="1">
      <c r="A417" s="450"/>
      <c r="B417" s="423" t="s">
        <v>157</v>
      </c>
      <c r="C417" s="423"/>
      <c r="D417" s="423"/>
      <c r="E417" s="425"/>
      <c r="F417" s="115"/>
      <c r="G417" s="101"/>
      <c r="H417" s="59">
        <f t="shared" si="83"/>
        <v>0</v>
      </c>
      <c r="I417" s="114"/>
      <c r="J417" s="59">
        <f t="shared" si="84"/>
        <v>0</v>
      </c>
      <c r="K417" s="60">
        <f t="shared" si="85"/>
        <v>0</v>
      </c>
      <c r="L417" s="92"/>
      <c r="M417" s="87"/>
      <c r="N417" s="87"/>
      <c r="O417" s="410"/>
      <c r="P417" s="87"/>
      <c r="Q417" s="87"/>
      <c r="R417" s="87"/>
      <c r="S417" s="87"/>
      <c r="T417" s="87"/>
      <c r="U417" s="87"/>
    </row>
    <row r="418" spans="1:21" s="62" customFormat="1" ht="24" customHeight="1">
      <c r="A418" s="450"/>
      <c r="B418" s="423" t="s">
        <v>158</v>
      </c>
      <c r="C418" s="423"/>
      <c r="D418" s="423"/>
      <c r="E418" s="425"/>
      <c r="F418" s="94" t="s">
        <v>156</v>
      </c>
      <c r="G418" s="113">
        <f>VLOOKUP(B418,$N$43:$O$54,2,FALSE)</f>
        <v>25.73</v>
      </c>
      <c r="H418" s="59">
        <f t="shared" si="83"/>
        <v>0</v>
      </c>
      <c r="I418" s="103">
        <v>4.0999999999999996</v>
      </c>
      <c r="J418" s="59">
        <f t="shared" si="84"/>
        <v>0</v>
      </c>
      <c r="K418" s="60">
        <f t="shared" si="85"/>
        <v>0</v>
      </c>
      <c r="L418" s="92"/>
      <c r="M418" s="87"/>
      <c r="N418" s="87"/>
      <c r="O418" s="410"/>
      <c r="P418" s="87"/>
      <c r="Q418" s="87"/>
      <c r="R418" s="87"/>
      <c r="S418" s="87"/>
      <c r="T418" s="87"/>
      <c r="U418" s="87"/>
    </row>
    <row r="419" spans="1:21" s="62" customFormat="1" ht="24" customHeight="1">
      <c r="A419" s="450"/>
      <c r="B419" s="423" t="s">
        <v>159</v>
      </c>
      <c r="C419" s="423"/>
      <c r="D419" s="423"/>
      <c r="E419" s="425">
        <v>9.08</v>
      </c>
      <c r="F419" s="94" t="s">
        <v>156</v>
      </c>
      <c r="G419" s="113">
        <f t="shared" ref="G419:G426" si="87">VLOOKUP(B419,$N$43:$O$54,2,FALSE)</f>
        <v>24.97</v>
      </c>
      <c r="H419" s="59">
        <f t="shared" si="83"/>
        <v>226.73</v>
      </c>
      <c r="I419" s="114">
        <v>4.0999999999999996</v>
      </c>
      <c r="J419" s="59">
        <f t="shared" si="84"/>
        <v>37.229999999999997</v>
      </c>
      <c r="K419" s="60">
        <f t="shared" si="85"/>
        <v>263.95999999999998</v>
      </c>
      <c r="L419" s="92"/>
      <c r="M419" s="87"/>
      <c r="N419" s="87"/>
      <c r="O419" s="410"/>
      <c r="P419" s="87"/>
      <c r="Q419" s="87"/>
      <c r="R419" s="87"/>
      <c r="S419" s="87"/>
      <c r="T419" s="87"/>
      <c r="U419" s="87"/>
    </row>
    <row r="420" spans="1:21" s="62" customFormat="1" ht="24" customHeight="1">
      <c r="A420" s="450"/>
      <c r="B420" s="423" t="s">
        <v>160</v>
      </c>
      <c r="C420" s="423"/>
      <c r="D420" s="423"/>
      <c r="E420" s="425">
        <v>21735.109999999997</v>
      </c>
      <c r="F420" s="94" t="s">
        <v>156</v>
      </c>
      <c r="G420" s="113">
        <f t="shared" si="87"/>
        <v>24.47</v>
      </c>
      <c r="H420" s="59">
        <f t="shared" si="83"/>
        <v>531858.14</v>
      </c>
      <c r="I420" s="114">
        <v>3.3</v>
      </c>
      <c r="J420" s="59">
        <f t="shared" si="84"/>
        <v>71725.86</v>
      </c>
      <c r="K420" s="60">
        <f t="shared" si="85"/>
        <v>603584</v>
      </c>
      <c r="L420" s="92"/>
      <c r="M420" s="87"/>
      <c r="N420" s="87"/>
      <c r="O420" s="410"/>
      <c r="P420" s="87"/>
      <c r="Q420" s="87"/>
      <c r="R420" s="87"/>
      <c r="S420" s="87"/>
      <c r="T420" s="87"/>
      <c r="U420" s="87"/>
    </row>
    <row r="421" spans="1:21" s="62" customFormat="1" ht="24" customHeight="1">
      <c r="A421" s="450"/>
      <c r="B421" s="423" t="s">
        <v>161</v>
      </c>
      <c r="C421" s="423"/>
      <c r="D421" s="423"/>
      <c r="E421" s="425">
        <v>25.790000000000003</v>
      </c>
      <c r="F421" s="115" t="s">
        <v>156</v>
      </c>
      <c r="G421" s="113">
        <f t="shared" si="87"/>
        <v>24.27</v>
      </c>
      <c r="H421" s="59">
        <f t="shared" si="83"/>
        <v>625.91999999999996</v>
      </c>
      <c r="I421" s="114">
        <v>3.3</v>
      </c>
      <c r="J421" s="59">
        <f t="shared" si="84"/>
        <v>85.11</v>
      </c>
      <c r="K421" s="60">
        <f t="shared" si="85"/>
        <v>711.03</v>
      </c>
      <c r="L421" s="92"/>
      <c r="M421" s="87"/>
      <c r="N421" s="87"/>
      <c r="O421" s="410"/>
      <c r="P421" s="87"/>
      <c r="Q421" s="87"/>
      <c r="R421" s="87"/>
      <c r="S421" s="87"/>
      <c r="T421" s="87"/>
      <c r="U421" s="87"/>
    </row>
    <row r="422" spans="1:21" s="62" customFormat="1" ht="24" customHeight="1">
      <c r="A422" s="450"/>
      <c r="B422" s="423" t="s">
        <v>162</v>
      </c>
      <c r="C422" s="423"/>
      <c r="D422" s="423"/>
      <c r="E422" s="425">
        <v>656.47</v>
      </c>
      <c r="F422" s="94" t="s">
        <v>156</v>
      </c>
      <c r="G422" s="113">
        <f t="shared" si="87"/>
        <v>24.27</v>
      </c>
      <c r="H422" s="59">
        <f t="shared" si="83"/>
        <v>15932.53</v>
      </c>
      <c r="I422" s="114">
        <v>2.9</v>
      </c>
      <c r="J422" s="59">
        <f t="shared" si="84"/>
        <v>1903.76</v>
      </c>
      <c r="K422" s="60">
        <f t="shared" si="85"/>
        <v>17836.29</v>
      </c>
      <c r="L422" s="92"/>
      <c r="M422" s="87"/>
      <c r="N422" s="87"/>
      <c r="O422" s="410"/>
      <c r="P422" s="87"/>
      <c r="Q422" s="87"/>
      <c r="R422" s="87"/>
      <c r="S422" s="87"/>
      <c r="T422" s="87"/>
      <c r="U422" s="87"/>
    </row>
    <row r="423" spans="1:21" s="62" customFormat="1" ht="24" customHeight="1">
      <c r="A423" s="450"/>
      <c r="B423" s="423" t="s">
        <v>163</v>
      </c>
      <c r="C423" s="423"/>
      <c r="D423" s="423"/>
      <c r="E423" s="425">
        <v>4165.4000000000005</v>
      </c>
      <c r="F423" s="94" t="s">
        <v>156</v>
      </c>
      <c r="G423" s="113">
        <f t="shared" si="87"/>
        <v>24.27</v>
      </c>
      <c r="H423" s="59">
        <f t="shared" si="83"/>
        <v>101094.26</v>
      </c>
      <c r="I423" s="114">
        <v>2.9</v>
      </c>
      <c r="J423" s="59">
        <f t="shared" si="84"/>
        <v>12079.66</v>
      </c>
      <c r="K423" s="60">
        <f t="shared" si="85"/>
        <v>113173.92</v>
      </c>
      <c r="L423" s="92"/>
      <c r="M423" s="87"/>
      <c r="N423" s="87"/>
      <c r="O423" s="410"/>
      <c r="P423" s="87"/>
      <c r="Q423" s="87"/>
      <c r="R423" s="87"/>
      <c r="S423" s="87"/>
      <c r="T423" s="87"/>
      <c r="U423" s="87"/>
    </row>
    <row r="424" spans="1:21" s="62" customFormat="1" ht="24" customHeight="1">
      <c r="A424" s="450"/>
      <c r="B424" s="423" t="s">
        <v>164</v>
      </c>
      <c r="C424" s="423"/>
      <c r="D424" s="423"/>
      <c r="E424" s="425">
        <v>75010.189999999988</v>
      </c>
      <c r="F424" s="94" t="s">
        <v>156</v>
      </c>
      <c r="G424" s="113">
        <f t="shared" si="87"/>
        <v>24.27</v>
      </c>
      <c r="H424" s="59">
        <f t="shared" si="83"/>
        <v>1820497.31</v>
      </c>
      <c r="I424" s="114">
        <v>2.9</v>
      </c>
      <c r="J424" s="59">
        <f t="shared" si="84"/>
        <v>217529.55</v>
      </c>
      <c r="K424" s="60">
        <f t="shared" si="85"/>
        <v>2038026.86</v>
      </c>
      <c r="L424" s="92"/>
      <c r="M424" s="87"/>
      <c r="N424" s="87"/>
      <c r="O424" s="410"/>
      <c r="P424" s="87"/>
      <c r="Q424" s="87"/>
      <c r="R424" s="87"/>
      <c r="S424" s="87"/>
      <c r="T424" s="87"/>
      <c r="U424" s="87"/>
    </row>
    <row r="425" spans="1:21" s="62" customFormat="1" ht="24" customHeight="1">
      <c r="A425" s="450"/>
      <c r="B425" s="423" t="s">
        <v>165</v>
      </c>
      <c r="C425" s="423"/>
      <c r="D425" s="423"/>
      <c r="E425" s="425"/>
      <c r="F425" s="94" t="s">
        <v>156</v>
      </c>
      <c r="G425" s="113">
        <f t="shared" si="87"/>
        <v>23.8</v>
      </c>
      <c r="H425" s="59">
        <f t="shared" si="83"/>
        <v>0</v>
      </c>
      <c r="I425" s="114">
        <v>2.9</v>
      </c>
      <c r="J425" s="59">
        <f t="shared" si="84"/>
        <v>0</v>
      </c>
      <c r="K425" s="60">
        <f t="shared" si="85"/>
        <v>0</v>
      </c>
      <c r="L425" s="92"/>
      <c r="M425" s="87"/>
      <c r="N425" s="87"/>
      <c r="O425" s="410"/>
      <c r="P425" s="87"/>
      <c r="Q425" s="87"/>
      <c r="R425" s="87"/>
      <c r="S425" s="87"/>
      <c r="T425" s="87"/>
      <c r="U425" s="87"/>
    </row>
    <row r="426" spans="1:21" s="62" customFormat="1" ht="24" customHeight="1">
      <c r="A426" s="450"/>
      <c r="B426" s="423" t="s">
        <v>166</v>
      </c>
      <c r="C426" s="423"/>
      <c r="D426" s="423"/>
      <c r="E426" s="425">
        <f>(SUM(E418:E425)/1000)*30</f>
        <v>3048.0611999999996</v>
      </c>
      <c r="F426" s="94" t="s">
        <v>156</v>
      </c>
      <c r="G426" s="113">
        <f t="shared" si="87"/>
        <v>29.92</v>
      </c>
      <c r="H426" s="59">
        <f t="shared" si="83"/>
        <v>91197.99</v>
      </c>
      <c r="I426" s="114"/>
      <c r="J426" s="59">
        <f t="shared" si="84"/>
        <v>0</v>
      </c>
      <c r="K426" s="60">
        <f t="shared" si="85"/>
        <v>91197.99</v>
      </c>
      <c r="L426" s="92"/>
      <c r="M426" s="87"/>
      <c r="N426" s="87"/>
      <c r="O426" s="410"/>
      <c r="P426" s="87"/>
      <c r="Q426" s="87"/>
      <c r="R426" s="87"/>
      <c r="S426" s="87"/>
      <c r="T426" s="87"/>
      <c r="U426" s="87"/>
    </row>
    <row r="427" spans="1:21" s="62" customFormat="1" ht="24" customHeight="1">
      <c r="A427" s="450"/>
      <c r="B427" s="423" t="s">
        <v>167</v>
      </c>
      <c r="C427" s="423"/>
      <c r="D427" s="423"/>
      <c r="E427" s="425"/>
      <c r="F427" s="94"/>
      <c r="G427" s="113"/>
      <c r="H427" s="59"/>
      <c r="I427" s="114"/>
      <c r="J427" s="59"/>
      <c r="K427" s="60"/>
      <c r="L427" s="92"/>
      <c r="M427" s="87"/>
      <c r="N427" s="87"/>
      <c r="O427" s="410"/>
      <c r="P427" s="87"/>
      <c r="Q427" s="87"/>
      <c r="R427" s="87"/>
      <c r="S427" s="87"/>
      <c r="T427" s="87"/>
      <c r="U427" s="87"/>
    </row>
    <row r="428" spans="1:21" s="62" customFormat="1" ht="24" customHeight="1">
      <c r="A428" s="93"/>
      <c r="B428" s="423"/>
      <c r="C428" s="423"/>
      <c r="D428" s="423"/>
      <c r="E428" s="425"/>
      <c r="F428" s="94"/>
      <c r="G428" s="113"/>
      <c r="H428" s="59"/>
      <c r="I428" s="114"/>
      <c r="J428" s="59"/>
      <c r="K428" s="60"/>
      <c r="L428" s="92"/>
      <c r="M428" s="87"/>
      <c r="N428" s="87"/>
      <c r="O428" s="410"/>
      <c r="P428" s="87"/>
      <c r="Q428" s="87"/>
      <c r="R428" s="87"/>
      <c r="S428" s="87"/>
      <c r="T428" s="87"/>
      <c r="U428" s="87"/>
    </row>
    <row r="429" spans="1:21" s="62" customFormat="1" ht="24" customHeight="1">
      <c r="A429" s="450"/>
      <c r="B429" s="423"/>
      <c r="C429" s="423"/>
      <c r="D429" s="423"/>
      <c r="E429" s="429"/>
      <c r="F429" s="94"/>
      <c r="G429" s="113"/>
      <c r="H429" s="59"/>
      <c r="I429" s="114"/>
      <c r="J429" s="59"/>
      <c r="K429" s="60"/>
      <c r="L429" s="92"/>
      <c r="M429" s="87"/>
      <c r="N429" s="87"/>
      <c r="O429" s="410"/>
      <c r="P429" s="87"/>
      <c r="Q429" s="87"/>
      <c r="R429" s="87"/>
      <c r="S429" s="87"/>
      <c r="T429" s="87"/>
      <c r="U429" s="87"/>
    </row>
    <row r="430" spans="1:21" s="62" customFormat="1" ht="24" customHeight="1">
      <c r="A430" s="450"/>
      <c r="B430" s="423"/>
      <c r="C430" s="423"/>
      <c r="D430" s="423"/>
      <c r="E430" s="429"/>
      <c r="F430" s="94"/>
      <c r="G430" s="113"/>
      <c r="H430" s="59"/>
      <c r="I430" s="114"/>
      <c r="J430" s="59"/>
      <c r="K430" s="60"/>
      <c r="L430" s="92"/>
      <c r="M430" s="87"/>
      <c r="N430" s="87"/>
      <c r="O430" s="410"/>
      <c r="P430" s="87"/>
      <c r="Q430" s="87"/>
      <c r="R430" s="87"/>
      <c r="S430" s="87"/>
      <c r="T430" s="87"/>
      <c r="U430" s="87"/>
    </row>
    <row r="431" spans="1:21" s="62" customFormat="1" ht="24" customHeight="1">
      <c r="A431" s="450"/>
      <c r="B431" s="423"/>
      <c r="C431" s="423"/>
      <c r="D431" s="423"/>
      <c r="E431" s="429"/>
      <c r="F431" s="94"/>
      <c r="G431" s="113"/>
      <c r="H431" s="59"/>
      <c r="I431" s="114"/>
      <c r="J431" s="59"/>
      <c r="K431" s="60"/>
      <c r="L431" s="92"/>
      <c r="M431" s="87"/>
      <c r="N431" s="87"/>
      <c r="O431" s="410"/>
      <c r="P431" s="87"/>
      <c r="Q431" s="87"/>
      <c r="R431" s="87"/>
      <c r="S431" s="87"/>
      <c r="T431" s="87"/>
      <c r="U431" s="87"/>
    </row>
    <row r="432" spans="1:21" s="62" customFormat="1" ht="24" customHeight="1">
      <c r="A432" s="450"/>
      <c r="B432" s="423"/>
      <c r="C432" s="423"/>
      <c r="D432" s="423"/>
      <c r="E432" s="429"/>
      <c r="F432" s="94"/>
      <c r="G432" s="113"/>
      <c r="H432" s="59"/>
      <c r="I432" s="114"/>
      <c r="J432" s="59"/>
      <c r="K432" s="60"/>
      <c r="L432" s="92"/>
      <c r="M432" s="87"/>
      <c r="N432" s="87"/>
      <c r="O432" s="410"/>
      <c r="P432" s="87"/>
      <c r="Q432" s="87"/>
      <c r="R432" s="87"/>
      <c r="S432" s="87"/>
      <c r="T432" s="87"/>
      <c r="U432" s="87"/>
    </row>
    <row r="433" spans="1:21" s="62" customFormat="1" ht="24" customHeight="1">
      <c r="A433" s="450"/>
      <c r="B433" s="451"/>
      <c r="C433" s="423"/>
      <c r="D433" s="423"/>
      <c r="E433" s="429"/>
      <c r="F433" s="94"/>
      <c r="G433" s="113"/>
      <c r="H433" s="59"/>
      <c r="I433" s="114"/>
      <c r="J433" s="59"/>
      <c r="K433" s="60"/>
      <c r="L433" s="92"/>
      <c r="M433" s="87"/>
      <c r="N433" s="87"/>
      <c r="O433" s="410"/>
      <c r="P433" s="87"/>
      <c r="Q433" s="87"/>
      <c r="R433" s="87"/>
      <c r="S433" s="87"/>
      <c r="T433" s="87"/>
      <c r="U433" s="87"/>
    </row>
    <row r="434" spans="1:21" s="62" customFormat="1" ht="24" customHeight="1">
      <c r="A434" s="450"/>
      <c r="B434" s="451"/>
      <c r="C434" s="423"/>
      <c r="D434" s="423"/>
      <c r="E434" s="429"/>
      <c r="F434" s="94"/>
      <c r="G434" s="113"/>
      <c r="H434" s="59"/>
      <c r="I434" s="114"/>
      <c r="J434" s="59"/>
      <c r="K434" s="60"/>
      <c r="L434" s="92"/>
      <c r="M434" s="87"/>
      <c r="N434" s="87"/>
      <c r="O434" s="410"/>
      <c r="P434" s="87"/>
      <c r="Q434" s="87"/>
      <c r="R434" s="87"/>
      <c r="S434" s="87"/>
      <c r="T434" s="87"/>
      <c r="U434" s="87"/>
    </row>
    <row r="435" spans="1:21" s="62" customFormat="1" ht="24" customHeight="1">
      <c r="A435" s="450"/>
      <c r="B435" s="451"/>
      <c r="C435" s="423"/>
      <c r="D435" s="423"/>
      <c r="E435" s="429"/>
      <c r="F435" s="94"/>
      <c r="G435" s="113"/>
      <c r="H435" s="59"/>
      <c r="I435" s="114"/>
      <c r="J435" s="59"/>
      <c r="K435" s="60"/>
      <c r="L435" s="92"/>
      <c r="M435" s="87"/>
      <c r="N435" s="87"/>
      <c r="O435" s="410"/>
      <c r="P435" s="87"/>
      <c r="Q435" s="87"/>
      <c r="R435" s="87"/>
      <c r="S435" s="87"/>
      <c r="T435" s="87"/>
      <c r="U435" s="87"/>
    </row>
    <row r="436" spans="1:21" s="62" customFormat="1" ht="24" customHeight="1">
      <c r="A436" s="450" t="s">
        <v>53</v>
      </c>
      <c r="B436" s="451" t="s">
        <v>228</v>
      </c>
      <c r="C436" s="423"/>
      <c r="D436" s="423"/>
      <c r="E436" s="429"/>
      <c r="F436" s="94"/>
      <c r="G436" s="113"/>
      <c r="H436" s="59"/>
      <c r="I436" s="114"/>
      <c r="J436" s="59"/>
      <c r="K436" s="60"/>
      <c r="L436" s="92"/>
      <c r="M436" s="87"/>
      <c r="N436" s="87"/>
      <c r="O436" s="410"/>
      <c r="P436" s="87"/>
      <c r="Q436" s="87"/>
      <c r="R436" s="87"/>
      <c r="S436" s="87"/>
      <c r="T436" s="87"/>
      <c r="U436" s="87"/>
    </row>
    <row r="437" spans="1:21" s="62" customFormat="1" ht="24" customHeight="1">
      <c r="A437" s="450"/>
      <c r="B437" s="423" t="s">
        <v>150</v>
      </c>
      <c r="C437" s="424"/>
      <c r="D437" s="424"/>
      <c r="E437" s="425">
        <v>289.92</v>
      </c>
      <c r="F437" s="94" t="s">
        <v>151</v>
      </c>
      <c r="G437" s="113">
        <v>2516</v>
      </c>
      <c r="H437" s="59">
        <f t="shared" ref="H437:H451" si="88">ROUND(E437*G437,2)</f>
        <v>729438.71999999997</v>
      </c>
      <c r="I437" s="114">
        <v>485</v>
      </c>
      <c r="J437" s="59">
        <f t="shared" ref="J437:J451" si="89">ROUND(E437*I437,2)</f>
        <v>140611.20000000001</v>
      </c>
      <c r="K437" s="60">
        <f t="shared" ref="K437:K451" si="90">H437+J437</f>
        <v>870049.91999999993</v>
      </c>
      <c r="L437" s="92"/>
      <c r="M437" s="87"/>
      <c r="N437" s="87"/>
      <c r="O437" s="410"/>
      <c r="P437" s="87"/>
      <c r="Q437" s="87"/>
      <c r="R437" s="87"/>
      <c r="S437" s="87"/>
      <c r="T437" s="87"/>
      <c r="U437" s="87"/>
    </row>
    <row r="438" spans="1:21" s="62" customFormat="1" ht="24" customHeight="1">
      <c r="A438" s="450"/>
      <c r="B438" s="426" t="s">
        <v>152</v>
      </c>
      <c r="C438" s="423"/>
      <c r="D438" s="423"/>
      <c r="E438" s="425"/>
      <c r="F438" s="94"/>
      <c r="G438" s="113"/>
      <c r="H438" s="59">
        <f t="shared" si="88"/>
        <v>0</v>
      </c>
      <c r="I438" s="114"/>
      <c r="J438" s="59">
        <f t="shared" si="89"/>
        <v>0</v>
      </c>
      <c r="K438" s="60">
        <f t="shared" si="90"/>
        <v>0</v>
      </c>
      <c r="L438" s="92"/>
      <c r="M438" s="87"/>
      <c r="N438" s="87"/>
      <c r="O438" s="410"/>
      <c r="P438" s="87"/>
      <c r="Q438" s="87"/>
      <c r="R438" s="87"/>
      <c r="S438" s="87"/>
      <c r="T438" s="87"/>
      <c r="U438" s="87"/>
    </row>
    <row r="439" spans="1:21" s="62" customFormat="1" ht="24" customHeight="1">
      <c r="A439" s="450"/>
      <c r="B439" s="426"/>
      <c r="C439" s="423" t="s">
        <v>153</v>
      </c>
      <c r="D439" s="423"/>
      <c r="E439" s="425">
        <f>E440/2</f>
        <v>960.51</v>
      </c>
      <c r="F439" s="94" t="s">
        <v>37</v>
      </c>
      <c r="G439" s="113">
        <v>661.62</v>
      </c>
      <c r="H439" s="59">
        <f t="shared" si="88"/>
        <v>635492.63</v>
      </c>
      <c r="I439" s="114"/>
      <c r="J439" s="59">
        <f t="shared" si="89"/>
        <v>0</v>
      </c>
      <c r="K439" s="60">
        <f t="shared" si="90"/>
        <v>635492.63</v>
      </c>
      <c r="L439" s="92"/>
      <c r="M439" s="87"/>
      <c r="N439" s="87"/>
      <c r="O439" s="410"/>
      <c r="P439" s="87"/>
      <c r="Q439" s="87"/>
      <c r="R439" s="87"/>
      <c r="S439" s="87"/>
      <c r="T439" s="87"/>
      <c r="U439" s="87"/>
    </row>
    <row r="440" spans="1:21" s="62" customFormat="1" ht="24" customHeight="1">
      <c r="A440" s="450"/>
      <c r="B440" s="426"/>
      <c r="C440" s="423" t="s">
        <v>154</v>
      </c>
      <c r="D440" s="423"/>
      <c r="E440" s="425">
        <v>1921.02</v>
      </c>
      <c r="F440" s="94" t="s">
        <v>37</v>
      </c>
      <c r="G440" s="113"/>
      <c r="H440" s="59">
        <f t="shared" si="88"/>
        <v>0</v>
      </c>
      <c r="I440" s="114">
        <v>154</v>
      </c>
      <c r="J440" s="59">
        <f t="shared" si="89"/>
        <v>295837.08</v>
      </c>
      <c r="K440" s="60">
        <f t="shared" si="90"/>
        <v>295837.08</v>
      </c>
      <c r="L440" s="92"/>
      <c r="M440" s="87"/>
      <c r="N440" s="87"/>
      <c r="O440" s="410"/>
      <c r="P440" s="87"/>
      <c r="Q440" s="87"/>
      <c r="R440" s="87"/>
      <c r="S440" s="87"/>
      <c r="T440" s="87"/>
      <c r="U440" s="87"/>
    </row>
    <row r="441" spans="1:21" s="62" customFormat="1" ht="24" customHeight="1">
      <c r="A441" s="450"/>
      <c r="B441" s="423" t="s">
        <v>155</v>
      </c>
      <c r="C441" s="423"/>
      <c r="D441" s="423"/>
      <c r="E441" s="425">
        <f>(E440*0.25)</f>
        <v>480.255</v>
      </c>
      <c r="F441" s="94" t="s">
        <v>156</v>
      </c>
      <c r="G441" s="113">
        <f t="shared" ref="G441" si="91">VLOOKUP(B441,$N$43:$O$53,2,FALSE)</f>
        <v>29.94</v>
      </c>
      <c r="H441" s="59">
        <f t="shared" si="88"/>
        <v>14378.83</v>
      </c>
      <c r="I441" s="114"/>
      <c r="J441" s="59">
        <f t="shared" si="89"/>
        <v>0</v>
      </c>
      <c r="K441" s="60">
        <f t="shared" si="90"/>
        <v>14378.83</v>
      </c>
      <c r="L441" s="92"/>
      <c r="M441" s="87"/>
      <c r="N441" s="87"/>
      <c r="O441" s="410"/>
      <c r="P441" s="87"/>
      <c r="Q441" s="87"/>
      <c r="R441" s="87"/>
      <c r="S441" s="87"/>
      <c r="T441" s="87"/>
      <c r="U441" s="87"/>
    </row>
    <row r="442" spans="1:21" s="62" customFormat="1" ht="24" customHeight="1">
      <c r="A442" s="450"/>
      <c r="B442" s="423" t="s">
        <v>157</v>
      </c>
      <c r="C442" s="423"/>
      <c r="D442" s="423"/>
      <c r="E442" s="425"/>
      <c r="F442" s="115"/>
      <c r="G442" s="101"/>
      <c r="H442" s="59">
        <f t="shared" si="88"/>
        <v>0</v>
      </c>
      <c r="I442" s="114"/>
      <c r="J442" s="59">
        <f t="shared" si="89"/>
        <v>0</v>
      </c>
      <c r="K442" s="60">
        <f t="shared" si="90"/>
        <v>0</v>
      </c>
      <c r="L442" s="92"/>
      <c r="M442" s="87"/>
      <c r="N442" s="87"/>
      <c r="O442" s="410"/>
      <c r="P442" s="87"/>
      <c r="Q442" s="87"/>
      <c r="R442" s="87"/>
      <c r="S442" s="87"/>
      <c r="T442" s="87"/>
      <c r="U442" s="87"/>
    </row>
    <row r="443" spans="1:21" s="62" customFormat="1" ht="24" customHeight="1">
      <c r="A443" s="450"/>
      <c r="B443" s="423" t="s">
        <v>158</v>
      </c>
      <c r="C443" s="423"/>
      <c r="D443" s="423"/>
      <c r="E443" s="425"/>
      <c r="F443" s="94" t="s">
        <v>156</v>
      </c>
      <c r="G443" s="113">
        <f>VLOOKUP(B443,$N$43:$O$54,2,FALSE)</f>
        <v>25.73</v>
      </c>
      <c r="H443" s="59">
        <f t="shared" si="88"/>
        <v>0</v>
      </c>
      <c r="I443" s="103">
        <v>4.0999999999999996</v>
      </c>
      <c r="J443" s="59">
        <f t="shared" si="89"/>
        <v>0</v>
      </c>
      <c r="K443" s="60">
        <f t="shared" si="90"/>
        <v>0</v>
      </c>
      <c r="L443" s="92"/>
      <c r="M443" s="87"/>
      <c r="N443" s="87"/>
      <c r="O443" s="410"/>
      <c r="P443" s="87"/>
      <c r="Q443" s="87"/>
      <c r="R443" s="87"/>
      <c r="S443" s="87"/>
      <c r="T443" s="87"/>
      <c r="U443" s="87"/>
    </row>
    <row r="444" spans="1:21" s="62" customFormat="1" ht="24" customHeight="1">
      <c r="A444" s="450"/>
      <c r="B444" s="423" t="s">
        <v>159</v>
      </c>
      <c r="C444" s="423"/>
      <c r="D444" s="423"/>
      <c r="E444" s="425"/>
      <c r="F444" s="94" t="s">
        <v>156</v>
      </c>
      <c r="G444" s="113">
        <f t="shared" ref="G444:G451" si="92">VLOOKUP(B444,$N$43:$O$54,2,FALSE)</f>
        <v>24.97</v>
      </c>
      <c r="H444" s="59">
        <f t="shared" si="88"/>
        <v>0</v>
      </c>
      <c r="I444" s="114">
        <v>4.0999999999999996</v>
      </c>
      <c r="J444" s="59">
        <f t="shared" si="89"/>
        <v>0</v>
      </c>
      <c r="K444" s="60">
        <f t="shared" si="90"/>
        <v>0</v>
      </c>
      <c r="L444" s="92"/>
      <c r="M444" s="87"/>
      <c r="N444" s="87"/>
      <c r="O444" s="410"/>
      <c r="P444" s="87"/>
      <c r="Q444" s="87"/>
      <c r="R444" s="87"/>
      <c r="S444" s="87"/>
      <c r="T444" s="87"/>
      <c r="U444" s="87"/>
    </row>
    <row r="445" spans="1:21" s="62" customFormat="1" ht="24" customHeight="1">
      <c r="A445" s="450"/>
      <c r="B445" s="423" t="s">
        <v>160</v>
      </c>
      <c r="C445" s="423"/>
      <c r="D445" s="423"/>
      <c r="E445" s="425">
        <v>663.61</v>
      </c>
      <c r="F445" s="94" t="s">
        <v>156</v>
      </c>
      <c r="G445" s="113">
        <f t="shared" si="92"/>
        <v>24.47</v>
      </c>
      <c r="H445" s="59">
        <f t="shared" si="88"/>
        <v>16238.54</v>
      </c>
      <c r="I445" s="114">
        <v>3.3</v>
      </c>
      <c r="J445" s="59">
        <f t="shared" si="89"/>
        <v>2189.91</v>
      </c>
      <c r="K445" s="60">
        <f t="shared" si="90"/>
        <v>18428.45</v>
      </c>
      <c r="L445" s="92"/>
      <c r="M445" s="87"/>
      <c r="N445" s="87"/>
      <c r="O445" s="410"/>
      <c r="P445" s="87"/>
      <c r="Q445" s="87"/>
      <c r="R445" s="87"/>
      <c r="S445" s="87"/>
      <c r="T445" s="87"/>
      <c r="U445" s="87"/>
    </row>
    <row r="446" spans="1:21" s="62" customFormat="1" ht="24" customHeight="1">
      <c r="A446" s="450"/>
      <c r="B446" s="423" t="s">
        <v>161</v>
      </c>
      <c r="C446" s="423"/>
      <c r="D446" s="423"/>
      <c r="E446" s="425">
        <v>43084.2</v>
      </c>
      <c r="F446" s="115" t="s">
        <v>156</v>
      </c>
      <c r="G446" s="113">
        <f t="shared" si="92"/>
        <v>24.27</v>
      </c>
      <c r="H446" s="59">
        <f t="shared" si="88"/>
        <v>1045653.53</v>
      </c>
      <c r="I446" s="114">
        <v>3.3</v>
      </c>
      <c r="J446" s="59">
        <f t="shared" si="89"/>
        <v>142177.85999999999</v>
      </c>
      <c r="K446" s="60">
        <f t="shared" si="90"/>
        <v>1187831.3900000001</v>
      </c>
      <c r="L446" s="92"/>
      <c r="M446" s="87"/>
      <c r="N446" s="87"/>
      <c r="O446" s="410"/>
      <c r="P446" s="87"/>
      <c r="Q446" s="87"/>
      <c r="R446" s="87"/>
      <c r="S446" s="87"/>
      <c r="T446" s="87"/>
      <c r="U446" s="87"/>
    </row>
    <row r="447" spans="1:21" s="62" customFormat="1" ht="24" customHeight="1">
      <c r="A447" s="450"/>
      <c r="B447" s="423" t="s">
        <v>162</v>
      </c>
      <c r="C447" s="423"/>
      <c r="D447" s="423"/>
      <c r="E447" s="425">
        <v>4645.51</v>
      </c>
      <c r="F447" s="94" t="s">
        <v>156</v>
      </c>
      <c r="G447" s="113">
        <f t="shared" si="92"/>
        <v>24.27</v>
      </c>
      <c r="H447" s="59">
        <f t="shared" si="88"/>
        <v>112746.53</v>
      </c>
      <c r="I447" s="114">
        <v>2.9</v>
      </c>
      <c r="J447" s="59">
        <f t="shared" si="89"/>
        <v>13471.98</v>
      </c>
      <c r="K447" s="60">
        <f t="shared" si="90"/>
        <v>126218.51</v>
      </c>
      <c r="L447" s="92"/>
      <c r="M447" s="87"/>
      <c r="N447" s="87"/>
      <c r="O447" s="410"/>
      <c r="P447" s="87"/>
      <c r="Q447" s="87"/>
      <c r="R447" s="87"/>
      <c r="S447" s="87"/>
      <c r="T447" s="87"/>
      <c r="U447" s="87"/>
    </row>
    <row r="448" spans="1:21" s="62" customFormat="1" ht="24" customHeight="1">
      <c r="A448" s="450"/>
      <c r="B448" s="423" t="s">
        <v>163</v>
      </c>
      <c r="C448" s="423"/>
      <c r="D448" s="423"/>
      <c r="E448" s="425">
        <v>59191.25</v>
      </c>
      <c r="F448" s="94" t="s">
        <v>156</v>
      </c>
      <c r="G448" s="113">
        <f t="shared" si="92"/>
        <v>24.27</v>
      </c>
      <c r="H448" s="59">
        <f t="shared" si="88"/>
        <v>1436571.64</v>
      </c>
      <c r="I448" s="114">
        <v>2.9</v>
      </c>
      <c r="J448" s="59">
        <f t="shared" si="89"/>
        <v>171654.63</v>
      </c>
      <c r="K448" s="60">
        <f t="shared" si="90"/>
        <v>1608226.27</v>
      </c>
      <c r="L448" s="92"/>
      <c r="M448" s="87"/>
      <c r="N448" s="87"/>
      <c r="O448" s="410"/>
      <c r="P448" s="87"/>
      <c r="Q448" s="87"/>
      <c r="R448" s="87"/>
      <c r="S448" s="87"/>
      <c r="T448" s="87"/>
      <c r="U448" s="87"/>
    </row>
    <row r="449" spans="1:21" s="62" customFormat="1" ht="24" customHeight="1">
      <c r="A449" s="450"/>
      <c r="B449" s="423" t="s">
        <v>164</v>
      </c>
      <c r="C449" s="423"/>
      <c r="D449" s="423"/>
      <c r="E449" s="425">
        <v>0</v>
      </c>
      <c r="F449" s="94" t="s">
        <v>156</v>
      </c>
      <c r="G449" s="113">
        <f t="shared" si="92"/>
        <v>24.27</v>
      </c>
      <c r="H449" s="59">
        <f t="shared" si="88"/>
        <v>0</v>
      </c>
      <c r="I449" s="114">
        <v>2.9</v>
      </c>
      <c r="J449" s="59">
        <f t="shared" si="89"/>
        <v>0</v>
      </c>
      <c r="K449" s="60">
        <f t="shared" si="90"/>
        <v>0</v>
      </c>
      <c r="L449" s="92"/>
      <c r="M449" s="87"/>
      <c r="N449" s="87"/>
      <c r="O449" s="410"/>
      <c r="P449" s="87"/>
      <c r="Q449" s="87"/>
      <c r="R449" s="87"/>
      <c r="S449" s="87"/>
      <c r="T449" s="87"/>
      <c r="U449" s="87"/>
    </row>
    <row r="450" spans="1:21" s="62" customFormat="1" ht="24" customHeight="1">
      <c r="A450" s="450"/>
      <c r="B450" s="423" t="s">
        <v>165</v>
      </c>
      <c r="C450" s="423"/>
      <c r="D450" s="423"/>
      <c r="E450" s="425">
        <v>0</v>
      </c>
      <c r="F450" s="94" t="s">
        <v>156</v>
      </c>
      <c r="G450" s="113">
        <f t="shared" si="92"/>
        <v>23.8</v>
      </c>
      <c r="H450" s="59">
        <f t="shared" si="88"/>
        <v>0</v>
      </c>
      <c r="I450" s="114">
        <v>2.9</v>
      </c>
      <c r="J450" s="59">
        <f t="shared" si="89"/>
        <v>0</v>
      </c>
      <c r="K450" s="60">
        <f t="shared" si="90"/>
        <v>0</v>
      </c>
      <c r="L450" s="92"/>
      <c r="M450" s="87"/>
      <c r="N450" s="87"/>
      <c r="O450" s="410"/>
      <c r="P450" s="87"/>
      <c r="Q450" s="87"/>
      <c r="R450" s="87"/>
      <c r="S450" s="87"/>
      <c r="T450" s="87"/>
      <c r="U450" s="87"/>
    </row>
    <row r="451" spans="1:21" s="62" customFormat="1" ht="24" customHeight="1">
      <c r="A451" s="450"/>
      <c r="B451" s="423" t="s">
        <v>166</v>
      </c>
      <c r="C451" s="423"/>
      <c r="D451" s="423"/>
      <c r="E451" s="425">
        <f>(SUM(E443:E450)/1000)*30</f>
        <v>3227.5371000000005</v>
      </c>
      <c r="F451" s="94" t="s">
        <v>156</v>
      </c>
      <c r="G451" s="113">
        <f t="shared" si="92"/>
        <v>29.92</v>
      </c>
      <c r="H451" s="59">
        <f t="shared" si="88"/>
        <v>96567.91</v>
      </c>
      <c r="I451" s="114"/>
      <c r="J451" s="59">
        <f t="shared" si="89"/>
        <v>0</v>
      </c>
      <c r="K451" s="60">
        <f t="shared" si="90"/>
        <v>96567.91</v>
      </c>
      <c r="L451" s="92"/>
      <c r="M451" s="87"/>
      <c r="N451" s="87"/>
      <c r="O451" s="410"/>
      <c r="P451" s="87"/>
      <c r="Q451" s="87"/>
      <c r="R451" s="87"/>
      <c r="S451" s="87"/>
      <c r="T451" s="87"/>
      <c r="U451" s="87"/>
    </row>
    <row r="452" spans="1:21" s="62" customFormat="1" ht="24" customHeight="1">
      <c r="A452" s="450"/>
      <c r="B452" s="423" t="s">
        <v>167</v>
      </c>
      <c r="C452" s="423"/>
      <c r="D452" s="423"/>
      <c r="E452" s="425"/>
      <c r="F452" s="94"/>
      <c r="G452" s="113"/>
      <c r="H452" s="59"/>
      <c r="I452" s="114"/>
      <c r="J452" s="59"/>
      <c r="K452" s="60"/>
      <c r="L452" s="92"/>
      <c r="M452" s="87"/>
      <c r="N452" s="87"/>
      <c r="O452" s="410"/>
      <c r="P452" s="87"/>
      <c r="Q452" s="87"/>
      <c r="R452" s="87"/>
      <c r="S452" s="87"/>
      <c r="T452" s="87"/>
      <c r="U452" s="87"/>
    </row>
    <row r="453" spans="1:21" s="62" customFormat="1" ht="24" customHeight="1">
      <c r="A453" s="93"/>
      <c r="B453" s="423"/>
      <c r="C453" s="423"/>
      <c r="D453" s="423"/>
      <c r="E453" s="425"/>
      <c r="F453" s="94"/>
      <c r="G453" s="113"/>
      <c r="H453" s="59"/>
      <c r="I453" s="114"/>
      <c r="J453" s="59"/>
      <c r="K453" s="60"/>
      <c r="L453" s="92"/>
      <c r="M453" s="87"/>
      <c r="N453" s="87"/>
      <c r="O453" s="410"/>
      <c r="P453" s="87"/>
      <c r="Q453" s="87"/>
      <c r="R453" s="87"/>
      <c r="S453" s="87"/>
      <c r="T453" s="87"/>
      <c r="U453" s="87"/>
    </row>
    <row r="454" spans="1:21" s="62" customFormat="1" ht="24" customHeight="1">
      <c r="A454" s="450"/>
      <c r="B454" s="451"/>
      <c r="C454" s="423"/>
      <c r="D454" s="423"/>
      <c r="E454" s="429"/>
      <c r="F454" s="94"/>
      <c r="G454" s="113"/>
      <c r="H454" s="59"/>
      <c r="I454" s="114"/>
      <c r="J454" s="59"/>
      <c r="K454" s="60"/>
      <c r="L454" s="92"/>
      <c r="M454" s="87"/>
      <c r="N454" s="87"/>
      <c r="O454" s="410"/>
      <c r="P454" s="87"/>
      <c r="Q454" s="87"/>
      <c r="R454" s="87"/>
      <c r="S454" s="87"/>
      <c r="T454" s="87"/>
      <c r="U454" s="87"/>
    </row>
    <row r="455" spans="1:21" s="62" customFormat="1" ht="24" customHeight="1">
      <c r="A455" s="450"/>
      <c r="B455" s="451"/>
      <c r="C455" s="423"/>
      <c r="D455" s="423"/>
      <c r="E455" s="429"/>
      <c r="F455" s="94"/>
      <c r="G455" s="113"/>
      <c r="H455" s="59"/>
      <c r="I455" s="114"/>
      <c r="J455" s="59"/>
      <c r="K455" s="60"/>
      <c r="L455" s="92"/>
      <c r="M455" s="87"/>
      <c r="N455" s="87"/>
      <c r="O455" s="410"/>
      <c r="P455" s="87"/>
      <c r="Q455" s="87"/>
      <c r="R455" s="87"/>
      <c r="S455" s="87"/>
      <c r="T455" s="87"/>
      <c r="U455" s="87"/>
    </row>
    <row r="456" spans="1:21" s="62" customFormat="1" ht="24" customHeight="1">
      <c r="A456" s="450"/>
      <c r="B456" s="451"/>
      <c r="C456" s="423"/>
      <c r="D456" s="423"/>
      <c r="E456" s="429"/>
      <c r="F456" s="94"/>
      <c r="G456" s="113"/>
      <c r="H456" s="59"/>
      <c r="I456" s="114"/>
      <c r="J456" s="59"/>
      <c r="K456" s="60"/>
      <c r="L456" s="92"/>
      <c r="M456" s="87"/>
      <c r="N456" s="87"/>
      <c r="O456" s="410"/>
      <c r="P456" s="87"/>
      <c r="Q456" s="87"/>
      <c r="R456" s="87"/>
      <c r="S456" s="87"/>
      <c r="T456" s="87"/>
      <c r="U456" s="87"/>
    </row>
    <row r="457" spans="1:21" s="62" customFormat="1" ht="24" customHeight="1">
      <c r="A457" s="450"/>
      <c r="B457" s="451"/>
      <c r="C457" s="423"/>
      <c r="D457" s="423"/>
      <c r="E457" s="429"/>
      <c r="F457" s="94"/>
      <c r="G457" s="113"/>
      <c r="H457" s="59"/>
      <c r="I457" s="114"/>
      <c r="J457" s="59"/>
      <c r="K457" s="60"/>
      <c r="L457" s="92"/>
      <c r="M457" s="87"/>
      <c r="N457" s="87"/>
      <c r="O457" s="410"/>
      <c r="P457" s="87"/>
      <c r="Q457" s="87"/>
      <c r="R457" s="87"/>
      <c r="S457" s="87"/>
      <c r="T457" s="87"/>
      <c r="U457" s="87"/>
    </row>
    <row r="458" spans="1:21" s="62" customFormat="1" ht="24" customHeight="1">
      <c r="A458" s="450"/>
      <c r="B458" s="451"/>
      <c r="C458" s="423"/>
      <c r="D458" s="423"/>
      <c r="E458" s="429"/>
      <c r="F458" s="94"/>
      <c r="G458" s="113"/>
      <c r="H458" s="59"/>
      <c r="I458" s="114"/>
      <c r="J458" s="59"/>
      <c r="K458" s="60"/>
      <c r="L458" s="92"/>
      <c r="M458" s="87"/>
      <c r="N458" s="87"/>
      <c r="O458" s="410"/>
      <c r="P458" s="87"/>
      <c r="Q458" s="87"/>
      <c r="R458" s="87"/>
      <c r="S458" s="87"/>
      <c r="T458" s="87"/>
      <c r="U458" s="87"/>
    </row>
    <row r="459" spans="1:21" s="62" customFormat="1" ht="24" customHeight="1">
      <c r="A459" s="450"/>
      <c r="B459" s="451"/>
      <c r="C459" s="423"/>
      <c r="D459" s="423"/>
      <c r="E459" s="429"/>
      <c r="F459" s="94"/>
      <c r="G459" s="113"/>
      <c r="H459" s="59"/>
      <c r="I459" s="114"/>
      <c r="J459" s="59"/>
      <c r="K459" s="60"/>
      <c r="L459" s="92"/>
      <c r="M459" s="87"/>
      <c r="N459" s="87"/>
      <c r="O459" s="410"/>
      <c r="P459" s="87"/>
      <c r="Q459" s="87"/>
      <c r="R459" s="87"/>
      <c r="S459" s="87"/>
      <c r="T459" s="87"/>
      <c r="U459" s="87"/>
    </row>
    <row r="460" spans="1:21" s="62" customFormat="1" ht="24" customHeight="1">
      <c r="A460" s="450"/>
      <c r="B460" s="451"/>
      <c r="C460" s="423"/>
      <c r="D460" s="423"/>
      <c r="E460" s="429"/>
      <c r="F460" s="94"/>
      <c r="G460" s="113"/>
      <c r="H460" s="59"/>
      <c r="I460" s="114"/>
      <c r="J460" s="59"/>
      <c r="K460" s="60"/>
      <c r="L460" s="92"/>
      <c r="M460" s="87"/>
      <c r="N460" s="87"/>
      <c r="O460" s="410"/>
      <c r="P460" s="87"/>
      <c r="Q460" s="87"/>
      <c r="R460" s="87"/>
      <c r="S460" s="87"/>
      <c r="T460" s="87"/>
      <c r="U460" s="87"/>
    </row>
    <row r="461" spans="1:21" s="62" customFormat="1" ht="24" customHeight="1">
      <c r="A461" s="450" t="s">
        <v>54</v>
      </c>
      <c r="B461" s="451" t="s">
        <v>184</v>
      </c>
      <c r="C461" s="423"/>
      <c r="D461" s="423"/>
      <c r="E461" s="118"/>
      <c r="F461" s="94"/>
      <c r="G461" s="113"/>
      <c r="H461" s="59"/>
      <c r="I461" s="114"/>
      <c r="J461" s="59"/>
      <c r="K461" s="60"/>
      <c r="L461" s="92"/>
      <c r="M461" s="87"/>
      <c r="N461" s="87"/>
      <c r="O461" s="410"/>
      <c r="P461" s="87"/>
      <c r="Q461" s="87"/>
      <c r="R461" s="87"/>
      <c r="S461" s="87"/>
      <c r="T461" s="87"/>
      <c r="U461" s="87"/>
    </row>
    <row r="462" spans="1:21" s="62" customFormat="1" ht="24" customHeight="1">
      <c r="A462" s="450"/>
      <c r="B462" s="423" t="s">
        <v>150</v>
      </c>
      <c r="C462" s="424"/>
      <c r="D462" s="424"/>
      <c r="E462" s="425">
        <v>54.42</v>
      </c>
      <c r="F462" s="94" t="s">
        <v>151</v>
      </c>
      <c r="G462" s="113">
        <v>2516</v>
      </c>
      <c r="H462" s="59">
        <f t="shared" ref="H462:H477" si="93">ROUND(E462*G462,2)</f>
        <v>136920.72</v>
      </c>
      <c r="I462" s="114">
        <v>485</v>
      </c>
      <c r="J462" s="59">
        <f t="shared" ref="J462:J477" si="94">ROUND(E462*I462,2)</f>
        <v>26393.7</v>
      </c>
      <c r="K462" s="60">
        <f t="shared" ref="K462:K477" si="95">H462+J462</f>
        <v>163314.42000000001</v>
      </c>
      <c r="L462" s="92"/>
      <c r="M462" s="87"/>
      <c r="N462" s="87"/>
      <c r="O462" s="410"/>
      <c r="P462" s="87"/>
      <c r="Q462" s="87"/>
      <c r="R462" s="87"/>
      <c r="S462" s="87"/>
      <c r="T462" s="87"/>
      <c r="U462" s="87"/>
    </row>
    <row r="463" spans="1:21" s="62" customFormat="1" ht="24" customHeight="1">
      <c r="A463" s="450"/>
      <c r="B463" s="426" t="s">
        <v>152</v>
      </c>
      <c r="C463" s="423"/>
      <c r="D463" s="423"/>
      <c r="E463" s="425"/>
      <c r="F463" s="94"/>
      <c r="G463" s="113"/>
      <c r="H463" s="59">
        <f t="shared" si="93"/>
        <v>0</v>
      </c>
      <c r="I463" s="114"/>
      <c r="J463" s="59">
        <f t="shared" si="94"/>
        <v>0</v>
      </c>
      <c r="K463" s="60">
        <f t="shared" si="95"/>
        <v>0</v>
      </c>
      <c r="L463" s="92"/>
      <c r="M463" s="87"/>
      <c r="N463" s="87"/>
      <c r="O463" s="410"/>
      <c r="P463" s="87"/>
      <c r="Q463" s="87"/>
      <c r="R463" s="87"/>
      <c r="S463" s="87"/>
      <c r="T463" s="87"/>
      <c r="U463" s="87"/>
    </row>
    <row r="464" spans="1:21" s="62" customFormat="1" ht="24" customHeight="1">
      <c r="A464" s="450"/>
      <c r="B464" s="426"/>
      <c r="C464" s="423" t="s">
        <v>153</v>
      </c>
      <c r="D464" s="423"/>
      <c r="E464" s="425">
        <f>E465/2</f>
        <v>139.815</v>
      </c>
      <c r="F464" s="94" t="s">
        <v>37</v>
      </c>
      <c r="G464" s="113">
        <v>661.62</v>
      </c>
      <c r="H464" s="59">
        <f t="shared" si="93"/>
        <v>92504.4</v>
      </c>
      <c r="I464" s="114"/>
      <c r="J464" s="59">
        <f t="shared" si="94"/>
        <v>0</v>
      </c>
      <c r="K464" s="60">
        <f t="shared" si="95"/>
        <v>92504.4</v>
      </c>
      <c r="L464" s="92"/>
      <c r="M464" s="87"/>
      <c r="N464" s="87"/>
      <c r="O464" s="410"/>
      <c r="P464" s="87"/>
      <c r="Q464" s="87"/>
      <c r="R464" s="87"/>
      <c r="S464" s="87"/>
      <c r="T464" s="87"/>
      <c r="U464" s="87"/>
    </row>
    <row r="465" spans="1:21" s="62" customFormat="1" ht="24" customHeight="1">
      <c r="A465" s="450"/>
      <c r="B465" s="426"/>
      <c r="C465" s="423" t="s">
        <v>154</v>
      </c>
      <c r="D465" s="423"/>
      <c r="E465" s="425">
        <v>279.63</v>
      </c>
      <c r="F465" s="94" t="s">
        <v>37</v>
      </c>
      <c r="G465" s="113"/>
      <c r="H465" s="59">
        <f t="shared" si="93"/>
        <v>0</v>
      </c>
      <c r="I465" s="114">
        <v>154</v>
      </c>
      <c r="J465" s="59">
        <f t="shared" si="94"/>
        <v>43063.02</v>
      </c>
      <c r="K465" s="60">
        <f t="shared" si="95"/>
        <v>43063.02</v>
      </c>
      <c r="L465" s="92"/>
      <c r="M465" s="87"/>
      <c r="N465" s="87"/>
      <c r="O465" s="410"/>
      <c r="P465" s="87"/>
      <c r="Q465" s="87"/>
      <c r="R465" s="87"/>
      <c r="S465" s="87"/>
      <c r="T465" s="87"/>
      <c r="U465" s="87"/>
    </row>
    <row r="466" spans="1:21" s="62" customFormat="1" ht="24" customHeight="1">
      <c r="A466" s="450"/>
      <c r="B466" s="423" t="s">
        <v>155</v>
      </c>
      <c r="C466" s="423"/>
      <c r="D466" s="423"/>
      <c r="E466" s="425">
        <f>(E465*0.25)</f>
        <v>69.907499999999999</v>
      </c>
      <c r="F466" s="94" t="s">
        <v>156</v>
      </c>
      <c r="G466" s="113">
        <f t="shared" ref="G466" si="96">VLOOKUP(B466,$N$43:$O$53,2,FALSE)</f>
        <v>29.94</v>
      </c>
      <c r="H466" s="59">
        <f t="shared" si="93"/>
        <v>2093.0300000000002</v>
      </c>
      <c r="I466" s="114"/>
      <c r="J466" s="59">
        <f t="shared" si="94"/>
        <v>0</v>
      </c>
      <c r="K466" s="60">
        <f t="shared" si="95"/>
        <v>2093.0300000000002</v>
      </c>
      <c r="L466" s="92"/>
      <c r="M466" s="87"/>
      <c r="N466" s="87"/>
      <c r="O466" s="410"/>
      <c r="P466" s="87"/>
      <c r="Q466" s="87"/>
      <c r="R466" s="87"/>
      <c r="S466" s="87"/>
      <c r="T466" s="87"/>
      <c r="U466" s="87"/>
    </row>
    <row r="467" spans="1:21" s="62" customFormat="1" ht="24" customHeight="1">
      <c r="A467" s="450"/>
      <c r="B467" s="423" t="s">
        <v>157</v>
      </c>
      <c r="C467" s="423"/>
      <c r="D467" s="423"/>
      <c r="E467" s="425"/>
      <c r="F467" s="115"/>
      <c r="G467" s="101"/>
      <c r="H467" s="59">
        <f t="shared" si="93"/>
        <v>0</v>
      </c>
      <c r="I467" s="114"/>
      <c r="J467" s="59">
        <f t="shared" si="94"/>
        <v>0</v>
      </c>
      <c r="K467" s="60">
        <f t="shared" si="95"/>
        <v>0</v>
      </c>
      <c r="L467" s="92"/>
      <c r="M467" s="87"/>
      <c r="N467" s="87"/>
      <c r="O467" s="410"/>
      <c r="P467" s="87"/>
      <c r="Q467" s="87"/>
      <c r="R467" s="87"/>
      <c r="S467" s="87"/>
      <c r="T467" s="87"/>
      <c r="U467" s="87"/>
    </row>
    <row r="468" spans="1:21" s="62" customFormat="1" ht="24" customHeight="1">
      <c r="A468" s="450"/>
      <c r="B468" s="428" t="s">
        <v>158</v>
      </c>
      <c r="C468" s="428"/>
      <c r="D468" s="428"/>
      <c r="E468" s="425">
        <v>0</v>
      </c>
      <c r="F468" s="94" t="s">
        <v>156</v>
      </c>
      <c r="G468" s="113">
        <f>VLOOKUP(B468,$N$43:$O$54,2,FALSE)</f>
        <v>25.73</v>
      </c>
      <c r="H468" s="59">
        <f t="shared" si="93"/>
        <v>0</v>
      </c>
      <c r="I468" s="103">
        <v>4.0999999999999996</v>
      </c>
      <c r="J468" s="59">
        <f t="shared" si="94"/>
        <v>0</v>
      </c>
      <c r="K468" s="60">
        <f t="shared" si="95"/>
        <v>0</v>
      </c>
      <c r="L468" s="92"/>
      <c r="M468" s="87"/>
      <c r="N468" s="87"/>
      <c r="O468" s="410"/>
      <c r="P468" s="87"/>
      <c r="Q468" s="87"/>
      <c r="R468" s="87"/>
      <c r="S468" s="87"/>
      <c r="T468" s="87"/>
      <c r="U468" s="87"/>
    </row>
    <row r="469" spans="1:21" s="62" customFormat="1" ht="24" customHeight="1">
      <c r="A469" s="450"/>
      <c r="B469" s="423" t="s">
        <v>159</v>
      </c>
      <c r="C469" s="423"/>
      <c r="D469" s="423"/>
      <c r="E469" s="425">
        <v>1244.51</v>
      </c>
      <c r="F469" s="94" t="s">
        <v>156</v>
      </c>
      <c r="G469" s="113">
        <f t="shared" ref="G469:G477" si="97">VLOOKUP(B469,$N$43:$O$54,2,FALSE)</f>
        <v>24.97</v>
      </c>
      <c r="H469" s="59">
        <f t="shared" si="93"/>
        <v>31075.41</v>
      </c>
      <c r="I469" s="114">
        <v>4.0999999999999996</v>
      </c>
      <c r="J469" s="59">
        <f t="shared" si="94"/>
        <v>5102.49</v>
      </c>
      <c r="K469" s="60">
        <f t="shared" si="95"/>
        <v>36177.9</v>
      </c>
      <c r="L469" s="92"/>
      <c r="M469" s="87"/>
      <c r="N469" s="87"/>
      <c r="O469" s="410"/>
      <c r="P469" s="87"/>
      <c r="Q469" s="87"/>
      <c r="R469" s="87"/>
      <c r="S469" s="87"/>
      <c r="T469" s="87"/>
      <c r="U469" s="87"/>
    </row>
    <row r="470" spans="1:21" s="62" customFormat="1" ht="24" customHeight="1">
      <c r="A470" s="450"/>
      <c r="B470" s="423" t="s">
        <v>328</v>
      </c>
      <c r="C470" s="423"/>
      <c r="D470" s="423"/>
      <c r="E470" s="425">
        <v>277.16000000000003</v>
      </c>
      <c r="F470" s="94" t="s">
        <v>156</v>
      </c>
      <c r="G470" s="113">
        <f t="shared" si="97"/>
        <v>23.5</v>
      </c>
      <c r="H470" s="59">
        <f t="shared" si="93"/>
        <v>6513.26</v>
      </c>
      <c r="I470" s="114">
        <v>3.3</v>
      </c>
      <c r="J470" s="59">
        <f t="shared" si="94"/>
        <v>914.63</v>
      </c>
      <c r="K470" s="60">
        <f t="shared" si="95"/>
        <v>7427.89</v>
      </c>
      <c r="L470" s="92"/>
      <c r="M470" s="87"/>
      <c r="N470" s="87"/>
      <c r="O470" s="410"/>
      <c r="P470" s="87"/>
      <c r="Q470" s="87"/>
      <c r="R470" s="87"/>
      <c r="S470" s="87"/>
      <c r="T470" s="87"/>
      <c r="U470" s="87"/>
    </row>
    <row r="471" spans="1:21" s="62" customFormat="1" ht="24" customHeight="1">
      <c r="A471" s="450"/>
      <c r="B471" s="423" t="s">
        <v>160</v>
      </c>
      <c r="C471" s="423"/>
      <c r="D471" s="423"/>
      <c r="E471" s="425">
        <v>4296.8500000000004</v>
      </c>
      <c r="F471" s="94" t="s">
        <v>156</v>
      </c>
      <c r="G471" s="113">
        <f t="shared" si="97"/>
        <v>24.47</v>
      </c>
      <c r="H471" s="59">
        <f t="shared" si="93"/>
        <v>105143.92</v>
      </c>
      <c r="I471" s="114">
        <v>3.3</v>
      </c>
      <c r="J471" s="59">
        <f t="shared" si="94"/>
        <v>14179.61</v>
      </c>
      <c r="K471" s="60">
        <f t="shared" si="95"/>
        <v>119323.53</v>
      </c>
      <c r="L471" s="92"/>
      <c r="M471" s="87"/>
      <c r="N471" s="87"/>
      <c r="O471" s="410"/>
      <c r="P471" s="87"/>
      <c r="Q471" s="87"/>
      <c r="R471" s="87"/>
      <c r="S471" s="87"/>
      <c r="T471" s="87"/>
      <c r="U471" s="87"/>
    </row>
    <row r="472" spans="1:21" s="62" customFormat="1" ht="24" customHeight="1">
      <c r="A472" s="450"/>
      <c r="B472" s="423" t="s">
        <v>161</v>
      </c>
      <c r="C472" s="423"/>
      <c r="D472" s="423"/>
      <c r="E472" s="425">
        <v>3158.45</v>
      </c>
      <c r="F472" s="115" t="s">
        <v>156</v>
      </c>
      <c r="G472" s="113">
        <f t="shared" si="97"/>
        <v>24.27</v>
      </c>
      <c r="H472" s="59">
        <f t="shared" si="93"/>
        <v>76655.58</v>
      </c>
      <c r="I472" s="114">
        <v>3.3</v>
      </c>
      <c r="J472" s="59">
        <f t="shared" si="94"/>
        <v>10422.89</v>
      </c>
      <c r="K472" s="60">
        <f t="shared" si="95"/>
        <v>87078.47</v>
      </c>
      <c r="L472" s="92"/>
      <c r="M472" s="87"/>
      <c r="N472" s="87"/>
      <c r="O472" s="410"/>
      <c r="P472" s="87"/>
      <c r="Q472" s="87"/>
      <c r="R472" s="87"/>
      <c r="S472" s="87"/>
      <c r="T472" s="87"/>
      <c r="U472" s="87"/>
    </row>
    <row r="473" spans="1:21" s="62" customFormat="1" ht="24" customHeight="1">
      <c r="A473" s="450"/>
      <c r="B473" s="428" t="s">
        <v>162</v>
      </c>
      <c r="C473" s="428"/>
      <c r="D473" s="428"/>
      <c r="E473" s="425">
        <v>0</v>
      </c>
      <c r="F473" s="94" t="s">
        <v>156</v>
      </c>
      <c r="G473" s="113">
        <f t="shared" si="97"/>
        <v>24.27</v>
      </c>
      <c r="H473" s="59">
        <f t="shared" si="93"/>
        <v>0</v>
      </c>
      <c r="I473" s="114">
        <v>2.9</v>
      </c>
      <c r="J473" s="59">
        <f t="shared" si="94"/>
        <v>0</v>
      </c>
      <c r="K473" s="60">
        <f t="shared" si="95"/>
        <v>0</v>
      </c>
      <c r="L473" s="92"/>
      <c r="M473" s="87"/>
      <c r="N473" s="87"/>
      <c r="O473" s="410"/>
      <c r="P473" s="87"/>
      <c r="Q473" s="87"/>
      <c r="R473" s="87"/>
      <c r="S473" s="87"/>
      <c r="T473" s="87"/>
      <c r="U473" s="87"/>
    </row>
    <row r="474" spans="1:21" s="62" customFormat="1" ht="24" customHeight="1">
      <c r="A474" s="450"/>
      <c r="B474" s="423" t="s">
        <v>163</v>
      </c>
      <c r="C474" s="423"/>
      <c r="D474" s="423"/>
      <c r="E474" s="425"/>
      <c r="F474" s="94" t="s">
        <v>156</v>
      </c>
      <c r="G474" s="113">
        <f t="shared" si="97"/>
        <v>24.27</v>
      </c>
      <c r="H474" s="59">
        <f t="shared" si="93"/>
        <v>0</v>
      </c>
      <c r="I474" s="114">
        <v>2.9</v>
      </c>
      <c r="J474" s="59">
        <f t="shared" si="94"/>
        <v>0</v>
      </c>
      <c r="K474" s="60">
        <f t="shared" si="95"/>
        <v>0</v>
      </c>
      <c r="L474" s="92"/>
      <c r="M474" s="87"/>
      <c r="N474" s="87"/>
      <c r="O474" s="410"/>
      <c r="P474" s="87"/>
      <c r="Q474" s="87"/>
      <c r="R474" s="87"/>
      <c r="S474" s="87"/>
      <c r="T474" s="87"/>
      <c r="U474" s="87"/>
    </row>
    <row r="475" spans="1:21" s="62" customFormat="1" ht="24" customHeight="1">
      <c r="A475" s="450"/>
      <c r="B475" s="423" t="s">
        <v>164</v>
      </c>
      <c r="C475" s="423"/>
      <c r="D475" s="423"/>
      <c r="E475" s="425"/>
      <c r="F475" s="94" t="s">
        <v>156</v>
      </c>
      <c r="G475" s="113">
        <f t="shared" si="97"/>
        <v>24.27</v>
      </c>
      <c r="H475" s="59">
        <f t="shared" si="93"/>
        <v>0</v>
      </c>
      <c r="I475" s="114">
        <v>2.9</v>
      </c>
      <c r="J475" s="59">
        <f t="shared" si="94"/>
        <v>0</v>
      </c>
      <c r="K475" s="60">
        <f t="shared" si="95"/>
        <v>0</v>
      </c>
      <c r="L475" s="92"/>
      <c r="M475" s="87"/>
      <c r="N475" s="87"/>
      <c r="O475" s="410"/>
      <c r="P475" s="87"/>
      <c r="Q475" s="87"/>
      <c r="R475" s="87"/>
      <c r="S475" s="87"/>
      <c r="T475" s="87"/>
      <c r="U475" s="87"/>
    </row>
    <row r="476" spans="1:21" s="62" customFormat="1" ht="24" customHeight="1">
      <c r="A476" s="450"/>
      <c r="B476" s="423" t="s">
        <v>165</v>
      </c>
      <c r="C476" s="423"/>
      <c r="D476" s="423"/>
      <c r="E476" s="425"/>
      <c r="F476" s="94" t="s">
        <v>156</v>
      </c>
      <c r="G476" s="113">
        <f t="shared" si="97"/>
        <v>23.8</v>
      </c>
      <c r="H476" s="59">
        <f t="shared" si="93"/>
        <v>0</v>
      </c>
      <c r="I476" s="114">
        <v>2.9</v>
      </c>
      <c r="J476" s="59">
        <f t="shared" si="94"/>
        <v>0</v>
      </c>
      <c r="K476" s="60">
        <f t="shared" si="95"/>
        <v>0</v>
      </c>
      <c r="L476" s="92"/>
      <c r="M476" s="87"/>
      <c r="N476" s="87"/>
      <c r="O476" s="410"/>
      <c r="P476" s="87"/>
      <c r="Q476" s="87"/>
      <c r="R476" s="87"/>
      <c r="S476" s="87"/>
      <c r="T476" s="87"/>
      <c r="U476" s="87"/>
    </row>
    <row r="477" spans="1:21" s="62" customFormat="1" ht="24" customHeight="1">
      <c r="A477" s="450"/>
      <c r="B477" s="423" t="s">
        <v>166</v>
      </c>
      <c r="C477" s="423"/>
      <c r="D477" s="423"/>
      <c r="E477" s="425">
        <f>(SUM(E468:E476)/1000)*30</f>
        <v>269.30910000000006</v>
      </c>
      <c r="F477" s="94" t="s">
        <v>156</v>
      </c>
      <c r="G477" s="113">
        <f t="shared" si="97"/>
        <v>29.92</v>
      </c>
      <c r="H477" s="59">
        <f t="shared" si="93"/>
        <v>8057.73</v>
      </c>
      <c r="I477" s="114"/>
      <c r="J477" s="59">
        <f t="shared" si="94"/>
        <v>0</v>
      </c>
      <c r="K477" s="60">
        <f t="shared" si="95"/>
        <v>8057.73</v>
      </c>
      <c r="L477" s="92"/>
      <c r="M477" s="87"/>
      <c r="N477" s="87"/>
      <c r="O477" s="410"/>
      <c r="P477" s="87"/>
      <c r="Q477" s="87"/>
      <c r="R477" s="87"/>
      <c r="S477" s="87"/>
      <c r="T477" s="87"/>
      <c r="U477" s="87"/>
    </row>
    <row r="478" spans="1:21" s="62" customFormat="1" ht="24" customHeight="1">
      <c r="A478" s="93"/>
      <c r="B478" s="423" t="s">
        <v>167</v>
      </c>
      <c r="C478" s="423"/>
      <c r="D478" s="423"/>
      <c r="E478" s="425"/>
      <c r="F478" s="94"/>
      <c r="G478" s="113"/>
      <c r="H478" s="59"/>
      <c r="I478" s="114"/>
      <c r="J478" s="59"/>
      <c r="K478" s="60"/>
      <c r="L478" s="92"/>
      <c r="M478" s="87"/>
      <c r="N478" s="87"/>
      <c r="O478" s="410"/>
      <c r="P478" s="87"/>
      <c r="Q478" s="87"/>
      <c r="R478" s="87"/>
      <c r="S478" s="87"/>
      <c r="T478" s="87"/>
      <c r="U478" s="87"/>
    </row>
    <row r="479" spans="1:21" s="62" customFormat="1" ht="24" customHeight="1">
      <c r="A479" s="450"/>
      <c r="B479" s="423"/>
      <c r="C479" s="423"/>
      <c r="D479" s="423"/>
      <c r="E479" s="425"/>
      <c r="F479" s="94"/>
      <c r="G479" s="113"/>
      <c r="H479" s="59"/>
      <c r="I479" s="114"/>
      <c r="J479" s="59"/>
      <c r="K479" s="60">
        <f t="shared" ref="K479" si="98">H479+J479</f>
        <v>0</v>
      </c>
      <c r="L479" s="92"/>
      <c r="M479" s="87"/>
      <c r="N479" s="87"/>
      <c r="O479" s="410"/>
      <c r="P479" s="87"/>
      <c r="Q479" s="87"/>
      <c r="R479" s="87"/>
      <c r="S479" s="87"/>
      <c r="T479" s="87"/>
      <c r="U479" s="87"/>
    </row>
    <row r="480" spans="1:21" s="62" customFormat="1" ht="24" customHeight="1">
      <c r="A480" s="450"/>
      <c r="B480" s="423"/>
      <c r="C480" s="423"/>
      <c r="D480" s="423"/>
      <c r="E480" s="429"/>
      <c r="F480" s="94"/>
      <c r="G480" s="113"/>
      <c r="H480" s="59"/>
      <c r="I480" s="114"/>
      <c r="J480" s="59"/>
      <c r="K480" s="60"/>
      <c r="L480" s="92"/>
      <c r="M480" s="87"/>
      <c r="N480" s="87"/>
      <c r="O480" s="410"/>
      <c r="P480" s="87"/>
      <c r="Q480" s="87"/>
      <c r="R480" s="87"/>
      <c r="S480" s="87"/>
      <c r="T480" s="87"/>
      <c r="U480" s="87"/>
    </row>
    <row r="481" spans="1:21" s="62" customFormat="1" ht="24" customHeight="1">
      <c r="A481" s="450"/>
      <c r="B481" s="423"/>
      <c r="C481" s="423"/>
      <c r="D481" s="423"/>
      <c r="E481" s="429"/>
      <c r="F481" s="94"/>
      <c r="G481" s="113"/>
      <c r="H481" s="59"/>
      <c r="I481" s="114"/>
      <c r="J481" s="59"/>
      <c r="K481" s="60"/>
      <c r="L481" s="92"/>
      <c r="M481" s="87"/>
      <c r="N481" s="87"/>
      <c r="O481" s="410"/>
      <c r="P481" s="87"/>
      <c r="Q481" s="87"/>
      <c r="R481" s="87"/>
      <c r="S481" s="87"/>
      <c r="T481" s="87"/>
      <c r="U481" s="87"/>
    </row>
    <row r="482" spans="1:21" s="62" customFormat="1" ht="24" customHeight="1">
      <c r="A482" s="450"/>
      <c r="B482" s="451"/>
      <c r="C482" s="423"/>
      <c r="D482" s="423"/>
      <c r="E482" s="429"/>
      <c r="F482" s="94"/>
      <c r="G482" s="113"/>
      <c r="H482" s="59"/>
      <c r="I482" s="114"/>
      <c r="J482" s="59"/>
      <c r="K482" s="60"/>
      <c r="L482" s="92"/>
      <c r="M482" s="87"/>
      <c r="N482" s="87"/>
      <c r="O482" s="410"/>
      <c r="P482" s="87"/>
      <c r="Q482" s="87"/>
      <c r="R482" s="87"/>
      <c r="S482" s="87"/>
      <c r="T482" s="87"/>
      <c r="U482" s="87"/>
    </row>
    <row r="483" spans="1:21" s="62" customFormat="1" ht="24" customHeight="1">
      <c r="A483" s="450"/>
      <c r="B483" s="451"/>
      <c r="C483" s="423"/>
      <c r="D483" s="423"/>
      <c r="E483" s="429"/>
      <c r="F483" s="94"/>
      <c r="G483" s="113"/>
      <c r="H483" s="59"/>
      <c r="I483" s="114"/>
      <c r="J483" s="59"/>
      <c r="K483" s="60"/>
      <c r="L483" s="92"/>
      <c r="M483" s="87"/>
      <c r="N483" s="87"/>
      <c r="O483" s="410"/>
      <c r="P483" s="87"/>
      <c r="Q483" s="87"/>
      <c r="R483" s="87"/>
      <c r="S483" s="87"/>
      <c r="T483" s="87"/>
      <c r="U483" s="87"/>
    </row>
    <row r="484" spans="1:21" s="62" customFormat="1" ht="24" customHeight="1">
      <c r="A484" s="90"/>
      <c r="B484" s="411"/>
      <c r="C484" s="430"/>
      <c r="D484" s="430"/>
      <c r="E484" s="431"/>
      <c r="F484" s="432"/>
      <c r="G484" s="101"/>
      <c r="H484" s="102"/>
      <c r="I484" s="103"/>
      <c r="J484" s="102"/>
      <c r="K484" s="104"/>
      <c r="L484" s="433"/>
      <c r="M484" s="87"/>
      <c r="N484" s="87"/>
      <c r="O484" s="410"/>
      <c r="P484" s="87"/>
      <c r="Q484" s="87"/>
      <c r="R484" s="87"/>
      <c r="S484" s="87"/>
      <c r="T484" s="87"/>
      <c r="U484" s="87"/>
    </row>
    <row r="485" spans="1:21" s="62" customFormat="1" ht="24" customHeight="1">
      <c r="A485" s="109"/>
      <c r="B485" s="2444" t="str">
        <f>"รวมราคารายการที่ "&amp;A361</f>
        <v>รวมราคารายการที่ 1.4</v>
      </c>
      <c r="C485" s="2444"/>
      <c r="D485" s="2444"/>
      <c r="E485" s="107"/>
      <c r="F485" s="106"/>
      <c r="G485" s="106"/>
      <c r="H485" s="106">
        <f>ROUND(SUBTOTAL(9,H364:H484),2)</f>
        <v>19599122.469999999</v>
      </c>
      <c r="I485" s="108"/>
      <c r="J485" s="106">
        <f>ROUND(SUBTOTAL(9,J364:J484),2)</f>
        <v>3651734.95</v>
      </c>
      <c r="K485" s="106">
        <f>ROUND(SUBTOTAL(9,K364:K484),2)</f>
        <v>23250857.420000002</v>
      </c>
      <c r="L485" s="106"/>
      <c r="M485" s="87"/>
      <c r="N485" s="87"/>
      <c r="O485" s="410"/>
      <c r="P485" s="87"/>
      <c r="Q485" s="87"/>
      <c r="R485" s="87"/>
      <c r="S485" s="87"/>
      <c r="T485" s="87"/>
      <c r="U485" s="87"/>
    </row>
    <row r="486" spans="1:21" s="62" customFormat="1" ht="24" customHeight="1">
      <c r="A486" s="90">
        <v>1.5</v>
      </c>
      <c r="B486" s="411" t="s">
        <v>185</v>
      </c>
      <c r="C486" s="430"/>
      <c r="D486" s="430"/>
      <c r="E486" s="431"/>
      <c r="F486" s="432"/>
      <c r="G486" s="101"/>
      <c r="H486" s="102"/>
      <c r="I486" s="103"/>
      <c r="J486" s="102"/>
      <c r="K486" s="104"/>
      <c r="L486" s="433"/>
      <c r="M486" s="87"/>
      <c r="N486" s="87"/>
      <c r="O486" s="410"/>
      <c r="P486" s="87"/>
      <c r="Q486" s="87"/>
      <c r="R486" s="87"/>
      <c r="S486" s="87"/>
      <c r="T486" s="87"/>
      <c r="U486" s="87"/>
    </row>
    <row r="487" spans="1:21" s="62" customFormat="1" ht="24" customHeight="1">
      <c r="A487" s="450"/>
      <c r="B487" s="451"/>
      <c r="C487" s="423"/>
      <c r="D487" s="423"/>
      <c r="E487" s="429"/>
      <c r="F487" s="94"/>
      <c r="G487" s="113"/>
      <c r="H487" s="59"/>
      <c r="I487" s="114"/>
      <c r="J487" s="59"/>
      <c r="K487" s="60"/>
      <c r="L487" s="92"/>
      <c r="M487" s="87"/>
      <c r="N487" s="87"/>
      <c r="O487" s="410"/>
      <c r="P487" s="87"/>
      <c r="Q487" s="87"/>
      <c r="R487" s="87"/>
      <c r="S487" s="87"/>
      <c r="T487" s="87"/>
      <c r="U487" s="87"/>
    </row>
    <row r="488" spans="1:21" s="62" customFormat="1" ht="24" customHeight="1">
      <c r="A488" s="450" t="s">
        <v>55</v>
      </c>
      <c r="B488" s="451" t="s">
        <v>186</v>
      </c>
      <c r="C488" s="423"/>
      <c r="D488" s="423"/>
      <c r="E488" s="429"/>
      <c r="F488" s="94"/>
      <c r="G488" s="113"/>
      <c r="H488" s="59"/>
      <c r="I488" s="114"/>
      <c r="J488" s="59"/>
      <c r="K488" s="60"/>
      <c r="L488" s="92"/>
      <c r="M488" s="87"/>
      <c r="N488" s="87"/>
      <c r="O488" s="410"/>
      <c r="P488" s="87"/>
      <c r="Q488" s="87"/>
      <c r="R488" s="87"/>
      <c r="S488" s="87"/>
      <c r="T488" s="87"/>
      <c r="U488" s="87"/>
    </row>
    <row r="489" spans="1:21" s="62" customFormat="1" ht="24" customHeight="1">
      <c r="A489" s="450"/>
      <c r="B489" s="423" t="s">
        <v>150</v>
      </c>
      <c r="C489" s="424"/>
      <c r="D489" s="424"/>
      <c r="E489" s="425">
        <v>1281.3900000000001</v>
      </c>
      <c r="F489" s="94" t="s">
        <v>151</v>
      </c>
      <c r="G489" s="113">
        <v>2516</v>
      </c>
      <c r="H489" s="59">
        <f t="shared" ref="H489:H504" si="99">ROUND(E489*G489,2)</f>
        <v>3223977.24</v>
      </c>
      <c r="I489" s="114">
        <v>485</v>
      </c>
      <c r="J489" s="59">
        <f t="shared" ref="J489:J504" si="100">ROUND(E489*I489,2)</f>
        <v>621474.15</v>
      </c>
      <c r="K489" s="60">
        <f t="shared" ref="K489:K504" si="101">H489+J489</f>
        <v>3845451.39</v>
      </c>
      <c r="L489" s="92"/>
      <c r="M489" s="87"/>
      <c r="N489" s="87"/>
      <c r="O489" s="410"/>
      <c r="P489" s="87"/>
      <c r="Q489" s="87"/>
      <c r="R489" s="87"/>
      <c r="S489" s="87"/>
      <c r="T489" s="87"/>
      <c r="U489" s="87"/>
    </row>
    <row r="490" spans="1:21" s="62" customFormat="1" ht="24" customHeight="1">
      <c r="A490" s="450"/>
      <c r="B490" s="426" t="s">
        <v>152</v>
      </c>
      <c r="C490" s="423"/>
      <c r="D490" s="423"/>
      <c r="E490" s="425"/>
      <c r="F490" s="94"/>
      <c r="G490" s="113"/>
      <c r="H490" s="59">
        <f t="shared" si="99"/>
        <v>0</v>
      </c>
      <c r="I490" s="114"/>
      <c r="J490" s="59">
        <f t="shared" si="100"/>
        <v>0</v>
      </c>
      <c r="K490" s="60">
        <f t="shared" si="101"/>
        <v>0</v>
      </c>
      <c r="L490" s="92"/>
      <c r="M490" s="87"/>
      <c r="N490" s="87"/>
      <c r="O490" s="410"/>
      <c r="P490" s="87"/>
      <c r="Q490" s="87"/>
      <c r="R490" s="87"/>
      <c r="S490" s="87"/>
      <c r="T490" s="87"/>
      <c r="U490" s="87"/>
    </row>
    <row r="491" spans="1:21" s="62" customFormat="1" ht="24" customHeight="1">
      <c r="A491" s="450"/>
      <c r="B491" s="426"/>
      <c r="C491" s="423" t="s">
        <v>153</v>
      </c>
      <c r="D491" s="423"/>
      <c r="E491" s="425">
        <f>E492/2</f>
        <v>2541.665</v>
      </c>
      <c r="F491" s="94" t="s">
        <v>37</v>
      </c>
      <c r="G491" s="113">
        <v>661.62</v>
      </c>
      <c r="H491" s="59">
        <f t="shared" si="99"/>
        <v>1681616.4</v>
      </c>
      <c r="I491" s="114"/>
      <c r="J491" s="59">
        <f t="shared" si="100"/>
        <v>0</v>
      </c>
      <c r="K491" s="60">
        <f t="shared" si="101"/>
        <v>1681616.4</v>
      </c>
      <c r="L491" s="92"/>
      <c r="M491" s="87"/>
      <c r="N491" s="87"/>
      <c r="O491" s="410"/>
      <c r="P491" s="87"/>
      <c r="Q491" s="87"/>
      <c r="R491" s="87"/>
      <c r="S491" s="87"/>
      <c r="T491" s="87"/>
      <c r="U491" s="87"/>
    </row>
    <row r="492" spans="1:21" s="62" customFormat="1" ht="24" customHeight="1">
      <c r="A492" s="450"/>
      <c r="B492" s="426"/>
      <c r="C492" s="423" t="s">
        <v>154</v>
      </c>
      <c r="D492" s="423"/>
      <c r="E492" s="425">
        <v>5083.33</v>
      </c>
      <c r="F492" s="94" t="s">
        <v>37</v>
      </c>
      <c r="G492" s="113"/>
      <c r="H492" s="59">
        <f t="shared" si="99"/>
        <v>0</v>
      </c>
      <c r="I492" s="114">
        <v>154</v>
      </c>
      <c r="J492" s="59">
        <f t="shared" si="100"/>
        <v>782832.82</v>
      </c>
      <c r="K492" s="60">
        <f t="shared" si="101"/>
        <v>782832.82</v>
      </c>
      <c r="L492" s="92"/>
      <c r="M492" s="87"/>
      <c r="N492" s="87"/>
      <c r="O492" s="410"/>
      <c r="P492" s="87"/>
      <c r="Q492" s="87"/>
      <c r="R492" s="87"/>
      <c r="S492" s="87"/>
      <c r="T492" s="87"/>
      <c r="U492" s="87"/>
    </row>
    <row r="493" spans="1:21" s="62" customFormat="1" ht="24" customHeight="1">
      <c r="A493" s="450"/>
      <c r="B493" s="423" t="s">
        <v>155</v>
      </c>
      <c r="C493" s="423"/>
      <c r="D493" s="423"/>
      <c r="E493" s="425">
        <f>(E492*0.25)</f>
        <v>1270.8325</v>
      </c>
      <c r="F493" s="94" t="s">
        <v>156</v>
      </c>
      <c r="G493" s="113">
        <f t="shared" ref="G493" si="102">VLOOKUP(B493,$N$43:$O$53,2,FALSE)</f>
        <v>29.94</v>
      </c>
      <c r="H493" s="59">
        <f t="shared" si="99"/>
        <v>38048.730000000003</v>
      </c>
      <c r="I493" s="114"/>
      <c r="J493" s="59">
        <f t="shared" si="100"/>
        <v>0</v>
      </c>
      <c r="K493" s="60">
        <f t="shared" si="101"/>
        <v>38048.730000000003</v>
      </c>
      <c r="L493" s="92"/>
      <c r="M493" s="87"/>
      <c r="N493" s="87"/>
      <c r="O493" s="410"/>
      <c r="P493" s="87"/>
      <c r="Q493" s="87"/>
      <c r="R493" s="87"/>
      <c r="S493" s="87"/>
      <c r="T493" s="87"/>
      <c r="U493" s="87"/>
    </row>
    <row r="494" spans="1:21" s="62" customFormat="1" ht="24" customHeight="1">
      <c r="A494" s="450"/>
      <c r="B494" s="423" t="s">
        <v>157</v>
      </c>
      <c r="C494" s="423"/>
      <c r="D494" s="423"/>
      <c r="E494" s="425"/>
      <c r="F494" s="115"/>
      <c r="G494" s="101"/>
      <c r="H494" s="59">
        <f t="shared" si="99"/>
        <v>0</v>
      </c>
      <c r="I494" s="114"/>
      <c r="J494" s="59">
        <f t="shared" si="100"/>
        <v>0</v>
      </c>
      <c r="K494" s="60">
        <f t="shared" si="101"/>
        <v>0</v>
      </c>
      <c r="L494" s="92"/>
      <c r="M494" s="87"/>
      <c r="N494" s="87"/>
      <c r="O494" s="410"/>
      <c r="P494" s="87"/>
      <c r="Q494" s="87"/>
      <c r="R494" s="87"/>
      <c r="S494" s="87"/>
      <c r="T494" s="87"/>
      <c r="U494" s="87"/>
    </row>
    <row r="495" spans="1:21" s="62" customFormat="1" ht="24" customHeight="1">
      <c r="A495" s="450"/>
      <c r="B495" s="423" t="s">
        <v>158</v>
      </c>
      <c r="C495" s="423"/>
      <c r="D495" s="423"/>
      <c r="E495" s="425"/>
      <c r="F495" s="94" t="s">
        <v>156</v>
      </c>
      <c r="G495" s="113">
        <f>VLOOKUP(B495,$N$43:$O$54,2,FALSE)</f>
        <v>25.73</v>
      </c>
      <c r="H495" s="59">
        <f t="shared" si="99"/>
        <v>0</v>
      </c>
      <c r="I495" s="103">
        <v>4.0999999999999996</v>
      </c>
      <c r="J495" s="59">
        <f t="shared" si="100"/>
        <v>0</v>
      </c>
      <c r="K495" s="60">
        <f t="shared" si="101"/>
        <v>0</v>
      </c>
      <c r="L495" s="92"/>
      <c r="M495" s="87"/>
      <c r="N495" s="87"/>
      <c r="O495" s="410"/>
      <c r="P495" s="87"/>
      <c r="Q495" s="87"/>
      <c r="R495" s="87"/>
      <c r="S495" s="87"/>
      <c r="T495" s="87"/>
      <c r="U495" s="87"/>
    </row>
    <row r="496" spans="1:21" s="62" customFormat="1" ht="24" customHeight="1">
      <c r="A496" s="450"/>
      <c r="B496" s="423" t="s">
        <v>159</v>
      </c>
      <c r="C496" s="423"/>
      <c r="D496" s="423"/>
      <c r="E496" s="425">
        <v>72.83</v>
      </c>
      <c r="F496" s="94" t="s">
        <v>156</v>
      </c>
      <c r="G496" s="113">
        <f t="shared" ref="G496:G503" si="103">VLOOKUP(B496,$N$43:$O$54,2,FALSE)</f>
        <v>24.97</v>
      </c>
      <c r="H496" s="59">
        <f t="shared" si="99"/>
        <v>1818.57</v>
      </c>
      <c r="I496" s="114">
        <v>4.0999999999999996</v>
      </c>
      <c r="J496" s="59">
        <f t="shared" si="100"/>
        <v>298.60000000000002</v>
      </c>
      <c r="K496" s="60">
        <f t="shared" si="101"/>
        <v>2117.17</v>
      </c>
      <c r="L496" s="92"/>
      <c r="M496" s="87"/>
      <c r="N496" s="87"/>
      <c r="O496" s="410"/>
      <c r="P496" s="87"/>
      <c r="Q496" s="87"/>
      <c r="R496" s="87"/>
      <c r="S496" s="87"/>
      <c r="T496" s="87"/>
      <c r="U496" s="87"/>
    </row>
    <row r="497" spans="1:21" s="62" customFormat="1" ht="24" customHeight="1">
      <c r="A497" s="450"/>
      <c r="B497" s="423" t="s">
        <v>160</v>
      </c>
      <c r="C497" s="423"/>
      <c r="D497" s="423"/>
      <c r="E497" s="425">
        <v>32524.3</v>
      </c>
      <c r="F497" s="94" t="s">
        <v>156</v>
      </c>
      <c r="G497" s="113">
        <f t="shared" si="103"/>
        <v>24.47</v>
      </c>
      <c r="H497" s="59">
        <f t="shared" si="99"/>
        <v>795869.62</v>
      </c>
      <c r="I497" s="114">
        <v>3.3</v>
      </c>
      <c r="J497" s="59">
        <f t="shared" si="100"/>
        <v>107330.19</v>
      </c>
      <c r="K497" s="60">
        <f t="shared" si="101"/>
        <v>903199.81</v>
      </c>
      <c r="L497" s="92"/>
      <c r="M497" s="87"/>
      <c r="N497" s="87"/>
      <c r="O497" s="410"/>
      <c r="P497" s="87"/>
      <c r="Q497" s="87"/>
      <c r="R497" s="87"/>
      <c r="S497" s="87"/>
      <c r="T497" s="87"/>
      <c r="U497" s="87"/>
    </row>
    <row r="498" spans="1:21" s="62" customFormat="1" ht="24" customHeight="1">
      <c r="A498" s="450"/>
      <c r="B498" s="423" t="s">
        <v>161</v>
      </c>
      <c r="C498" s="423"/>
      <c r="D498" s="423"/>
      <c r="E498" s="425">
        <v>29978.07</v>
      </c>
      <c r="F498" s="115" t="s">
        <v>156</v>
      </c>
      <c r="G498" s="113">
        <f t="shared" si="103"/>
        <v>24.27</v>
      </c>
      <c r="H498" s="59">
        <f t="shared" si="99"/>
        <v>727567.76</v>
      </c>
      <c r="I498" s="114">
        <v>3.3</v>
      </c>
      <c r="J498" s="59">
        <f t="shared" si="100"/>
        <v>98927.63</v>
      </c>
      <c r="K498" s="60">
        <f t="shared" si="101"/>
        <v>826495.39</v>
      </c>
      <c r="L498" s="92"/>
      <c r="M498" s="87"/>
      <c r="N498" s="87"/>
      <c r="O498" s="410"/>
      <c r="P498" s="87"/>
      <c r="Q498" s="87"/>
      <c r="R498" s="87"/>
      <c r="S498" s="87"/>
      <c r="T498" s="87"/>
      <c r="U498" s="87"/>
    </row>
    <row r="499" spans="1:21" s="62" customFormat="1" ht="24" customHeight="1">
      <c r="A499" s="450"/>
      <c r="B499" s="423" t="s">
        <v>162</v>
      </c>
      <c r="C499" s="423"/>
      <c r="D499" s="423"/>
      <c r="E499" s="425"/>
      <c r="F499" s="94" t="s">
        <v>156</v>
      </c>
      <c r="G499" s="113">
        <f t="shared" si="103"/>
        <v>24.27</v>
      </c>
      <c r="H499" s="59">
        <f t="shared" si="99"/>
        <v>0</v>
      </c>
      <c r="I499" s="114">
        <v>2.9</v>
      </c>
      <c r="J499" s="59">
        <f t="shared" si="100"/>
        <v>0</v>
      </c>
      <c r="K499" s="60">
        <f t="shared" si="101"/>
        <v>0</v>
      </c>
      <c r="L499" s="92"/>
      <c r="M499" s="87"/>
      <c r="N499" s="87"/>
      <c r="O499" s="410"/>
      <c r="P499" s="87"/>
      <c r="Q499" s="87"/>
      <c r="R499" s="87"/>
      <c r="S499" s="87"/>
      <c r="T499" s="87"/>
      <c r="U499" s="87"/>
    </row>
    <row r="500" spans="1:21" s="62" customFormat="1" ht="24" customHeight="1">
      <c r="A500" s="450"/>
      <c r="B500" s="423" t="s">
        <v>163</v>
      </c>
      <c r="C500" s="423"/>
      <c r="D500" s="423"/>
      <c r="E500" s="425"/>
      <c r="F500" s="94" t="s">
        <v>156</v>
      </c>
      <c r="G500" s="113">
        <f t="shared" si="103"/>
        <v>24.27</v>
      </c>
      <c r="H500" s="59">
        <f t="shared" si="99"/>
        <v>0</v>
      </c>
      <c r="I500" s="114">
        <v>2.9</v>
      </c>
      <c r="J500" s="59">
        <f t="shared" si="100"/>
        <v>0</v>
      </c>
      <c r="K500" s="60">
        <f t="shared" si="101"/>
        <v>0</v>
      </c>
      <c r="L500" s="92"/>
      <c r="M500" s="87"/>
      <c r="N500" s="87"/>
      <c r="O500" s="410"/>
      <c r="P500" s="87"/>
      <c r="Q500" s="87"/>
      <c r="R500" s="87"/>
      <c r="S500" s="87"/>
      <c r="T500" s="87"/>
      <c r="U500" s="87"/>
    </row>
    <row r="501" spans="1:21" s="62" customFormat="1" ht="24" customHeight="1">
      <c r="A501" s="450"/>
      <c r="B501" s="423" t="s">
        <v>164</v>
      </c>
      <c r="C501" s="423"/>
      <c r="D501" s="423"/>
      <c r="E501" s="425"/>
      <c r="F501" s="94" t="s">
        <v>156</v>
      </c>
      <c r="G501" s="113">
        <f t="shared" si="103"/>
        <v>24.27</v>
      </c>
      <c r="H501" s="59">
        <f t="shared" si="99"/>
        <v>0</v>
      </c>
      <c r="I501" s="114">
        <v>2.9</v>
      </c>
      <c r="J501" s="59">
        <f t="shared" si="100"/>
        <v>0</v>
      </c>
      <c r="K501" s="60">
        <f t="shared" si="101"/>
        <v>0</v>
      </c>
      <c r="L501" s="92"/>
      <c r="M501" s="87"/>
      <c r="N501" s="87"/>
      <c r="O501" s="410"/>
      <c r="P501" s="87"/>
      <c r="Q501" s="87"/>
      <c r="R501" s="87"/>
      <c r="S501" s="87"/>
      <c r="T501" s="87"/>
      <c r="U501" s="87"/>
    </row>
    <row r="502" spans="1:21" s="62" customFormat="1" ht="24" customHeight="1">
      <c r="A502" s="450"/>
      <c r="B502" s="423" t="s">
        <v>165</v>
      </c>
      <c r="C502" s="423"/>
      <c r="D502" s="423"/>
      <c r="E502" s="425"/>
      <c r="F502" s="94" t="s">
        <v>156</v>
      </c>
      <c r="G502" s="113">
        <f t="shared" si="103"/>
        <v>23.8</v>
      </c>
      <c r="H502" s="59">
        <f t="shared" si="99"/>
        <v>0</v>
      </c>
      <c r="I502" s="114">
        <v>2.9</v>
      </c>
      <c r="J502" s="59">
        <f t="shared" si="100"/>
        <v>0</v>
      </c>
      <c r="K502" s="60">
        <f t="shared" si="101"/>
        <v>0</v>
      </c>
      <c r="L502" s="92"/>
      <c r="M502" s="87"/>
      <c r="N502" s="87"/>
      <c r="O502" s="410"/>
      <c r="P502" s="87"/>
      <c r="Q502" s="87"/>
      <c r="R502" s="87"/>
      <c r="S502" s="87"/>
      <c r="T502" s="87"/>
      <c r="U502" s="87"/>
    </row>
    <row r="503" spans="1:21" s="62" customFormat="1" ht="24" customHeight="1">
      <c r="A503" s="450"/>
      <c r="B503" s="423" t="s">
        <v>166</v>
      </c>
      <c r="C503" s="423"/>
      <c r="D503" s="423"/>
      <c r="E503" s="425">
        <f>(SUM(E495:E502)/1000)*30</f>
        <v>1877.2559999999999</v>
      </c>
      <c r="F503" s="94" t="s">
        <v>156</v>
      </c>
      <c r="G503" s="113">
        <f t="shared" si="103"/>
        <v>29.92</v>
      </c>
      <c r="H503" s="59">
        <f t="shared" si="99"/>
        <v>56167.5</v>
      </c>
      <c r="I503" s="114"/>
      <c r="J503" s="59">
        <f t="shared" si="100"/>
        <v>0</v>
      </c>
      <c r="K503" s="60">
        <f t="shared" si="101"/>
        <v>56167.5</v>
      </c>
      <c r="L503" s="92"/>
      <c r="M503" s="87"/>
      <c r="N503" s="87"/>
      <c r="O503" s="410"/>
      <c r="P503" s="87"/>
      <c r="Q503" s="87"/>
      <c r="R503" s="87"/>
      <c r="S503" s="87"/>
      <c r="T503" s="87"/>
      <c r="U503" s="87"/>
    </row>
    <row r="504" spans="1:21" s="62" customFormat="1" ht="24" customHeight="1">
      <c r="A504" s="450"/>
      <c r="B504" s="423" t="s">
        <v>171</v>
      </c>
      <c r="C504" s="423"/>
      <c r="D504" s="423"/>
      <c r="E504" s="425">
        <v>4782.7700000000004</v>
      </c>
      <c r="F504" s="94" t="s">
        <v>37</v>
      </c>
      <c r="G504" s="101">
        <v>340</v>
      </c>
      <c r="H504" s="59">
        <f t="shared" si="99"/>
        <v>1626141.8</v>
      </c>
      <c r="I504" s="114"/>
      <c r="J504" s="59">
        <f t="shared" si="100"/>
        <v>0</v>
      </c>
      <c r="K504" s="60">
        <f t="shared" si="101"/>
        <v>1626141.8</v>
      </c>
      <c r="L504" s="92"/>
      <c r="M504" s="87"/>
      <c r="N504" s="87"/>
      <c r="O504" s="410"/>
      <c r="P504" s="87"/>
      <c r="Q504" s="87"/>
      <c r="R504" s="87"/>
      <c r="S504" s="87"/>
      <c r="T504" s="87"/>
      <c r="U504" s="87"/>
    </row>
    <row r="505" spans="1:21" s="62" customFormat="1" ht="24" customHeight="1">
      <c r="A505" s="450"/>
      <c r="B505" s="423" t="s">
        <v>167</v>
      </c>
      <c r="C505" s="423"/>
      <c r="D505" s="423"/>
      <c r="E505" s="425"/>
      <c r="F505" s="94"/>
      <c r="G505" s="113"/>
      <c r="H505" s="59"/>
      <c r="I505" s="114"/>
      <c r="J505" s="59"/>
      <c r="K505" s="60"/>
      <c r="L505" s="92"/>
      <c r="M505" s="87"/>
      <c r="N505" s="87"/>
      <c r="O505" s="410"/>
      <c r="P505" s="87"/>
      <c r="Q505" s="87"/>
      <c r="R505" s="87"/>
      <c r="S505" s="87"/>
      <c r="T505" s="87"/>
      <c r="U505" s="87"/>
    </row>
    <row r="506" spans="1:21" s="62" customFormat="1" ht="24" customHeight="1">
      <c r="A506" s="450"/>
      <c r="B506" s="423"/>
      <c r="C506" s="423"/>
      <c r="D506" s="423"/>
      <c r="E506" s="425"/>
      <c r="F506" s="94"/>
      <c r="G506" s="113"/>
      <c r="H506" s="59"/>
      <c r="I506" s="114"/>
      <c r="J506" s="59"/>
      <c r="K506" s="60"/>
      <c r="L506" s="92"/>
      <c r="M506" s="87"/>
      <c r="N506" s="87"/>
      <c r="O506" s="410"/>
      <c r="P506" s="87"/>
      <c r="Q506" s="87"/>
      <c r="R506" s="87"/>
      <c r="S506" s="87"/>
      <c r="T506" s="87"/>
      <c r="U506" s="87"/>
    </row>
    <row r="507" spans="1:21" s="62" customFormat="1" ht="24" customHeight="1">
      <c r="A507" s="450"/>
      <c r="B507" s="423"/>
      <c r="C507" s="423"/>
      <c r="D507" s="423"/>
      <c r="E507" s="425"/>
      <c r="F507" s="94"/>
      <c r="G507" s="113"/>
      <c r="H507" s="59"/>
      <c r="I507" s="114"/>
      <c r="J507" s="59"/>
      <c r="K507" s="60"/>
      <c r="L507" s="92"/>
      <c r="M507" s="87"/>
      <c r="N507" s="87"/>
      <c r="O507" s="410"/>
      <c r="P507" s="87"/>
      <c r="Q507" s="87"/>
      <c r="R507" s="87"/>
      <c r="S507" s="87"/>
      <c r="T507" s="87"/>
      <c r="U507" s="87"/>
    </row>
    <row r="508" spans="1:21" s="62" customFormat="1" ht="24" customHeight="1">
      <c r="A508" s="450"/>
      <c r="B508" s="423"/>
      <c r="C508" s="423"/>
      <c r="D508" s="423"/>
      <c r="E508" s="429"/>
      <c r="F508" s="94"/>
      <c r="G508" s="113"/>
      <c r="H508" s="59"/>
      <c r="I508" s="114"/>
      <c r="J508" s="59"/>
      <c r="K508" s="60"/>
      <c r="L508" s="92"/>
      <c r="M508" s="87"/>
      <c r="N508" s="87"/>
      <c r="O508" s="410"/>
      <c r="P508" s="87"/>
      <c r="Q508" s="87"/>
      <c r="R508" s="87"/>
      <c r="S508" s="87"/>
      <c r="T508" s="87"/>
      <c r="U508" s="87"/>
    </row>
    <row r="509" spans="1:21" s="62" customFormat="1" ht="24" customHeight="1">
      <c r="A509" s="450"/>
      <c r="B509" s="423"/>
      <c r="C509" s="423"/>
      <c r="D509" s="423"/>
      <c r="E509" s="429"/>
      <c r="F509" s="94"/>
      <c r="G509" s="113"/>
      <c r="H509" s="59"/>
      <c r="I509" s="114"/>
      <c r="J509" s="59"/>
      <c r="K509" s="60"/>
      <c r="L509" s="92"/>
      <c r="M509" s="87"/>
      <c r="N509" s="87"/>
      <c r="O509" s="410"/>
      <c r="P509" s="87"/>
      <c r="Q509" s="87"/>
      <c r="R509" s="87"/>
      <c r="S509" s="87"/>
      <c r="T509" s="87"/>
      <c r="U509" s="87"/>
    </row>
    <row r="510" spans="1:21" s="62" customFormat="1" ht="24" customHeight="1">
      <c r="A510" s="450"/>
      <c r="B510" s="451"/>
      <c r="C510" s="423"/>
      <c r="D510" s="423"/>
      <c r="E510" s="429"/>
      <c r="F510" s="94"/>
      <c r="G510" s="113"/>
      <c r="H510" s="59"/>
      <c r="I510" s="114"/>
      <c r="J510" s="59"/>
      <c r="K510" s="60"/>
      <c r="L510" s="92"/>
      <c r="M510" s="87"/>
      <c r="N510" s="87"/>
      <c r="O510" s="410"/>
      <c r="P510" s="87"/>
      <c r="Q510" s="87"/>
      <c r="R510" s="87"/>
      <c r="S510" s="87"/>
      <c r="T510" s="87"/>
      <c r="U510" s="87"/>
    </row>
    <row r="511" spans="1:21" s="62" customFormat="1" ht="24" customHeight="1">
      <c r="A511" s="450" t="s">
        <v>56</v>
      </c>
      <c r="B511" s="451" t="s">
        <v>187</v>
      </c>
      <c r="C511" s="423"/>
      <c r="D511" s="423"/>
      <c r="E511" s="429"/>
      <c r="F511" s="94"/>
      <c r="G511" s="113"/>
      <c r="H511" s="59"/>
      <c r="I511" s="114"/>
      <c r="J511" s="59"/>
      <c r="K511" s="60"/>
      <c r="L511" s="92"/>
      <c r="M511" s="87"/>
      <c r="N511" s="87"/>
      <c r="O511" s="410"/>
      <c r="P511" s="87"/>
      <c r="Q511" s="87"/>
      <c r="R511" s="87"/>
      <c r="S511" s="87"/>
      <c r="T511" s="87"/>
      <c r="U511" s="87"/>
    </row>
    <row r="512" spans="1:21" s="62" customFormat="1" ht="24" customHeight="1">
      <c r="A512" s="450"/>
      <c r="B512" s="423" t="s">
        <v>150</v>
      </c>
      <c r="C512" s="424"/>
      <c r="D512" s="424"/>
      <c r="E512" s="425">
        <v>314.66000000000003</v>
      </c>
      <c r="F512" s="94" t="s">
        <v>151</v>
      </c>
      <c r="G512" s="113">
        <v>2516</v>
      </c>
      <c r="H512" s="59">
        <f t="shared" ref="H512:H526" si="104">ROUND(E512*G512,2)</f>
        <v>791684.56</v>
      </c>
      <c r="I512" s="114">
        <v>485</v>
      </c>
      <c r="J512" s="59">
        <f>ROUND(E512*I512,2)</f>
        <v>152610.1</v>
      </c>
      <c r="K512" s="60">
        <f t="shared" ref="K512:K526" si="105">H512+J512</f>
        <v>944294.66</v>
      </c>
      <c r="L512" s="92"/>
      <c r="M512" s="87"/>
      <c r="N512" s="87"/>
      <c r="O512" s="410"/>
      <c r="P512" s="87"/>
      <c r="Q512" s="87"/>
      <c r="R512" s="87"/>
      <c r="S512" s="87"/>
      <c r="T512" s="87"/>
      <c r="U512" s="87"/>
    </row>
    <row r="513" spans="1:21" s="62" customFormat="1" ht="24" customHeight="1">
      <c r="A513" s="450"/>
      <c r="B513" s="426" t="s">
        <v>152</v>
      </c>
      <c r="C513" s="423"/>
      <c r="D513" s="423"/>
      <c r="E513" s="425"/>
      <c r="F513" s="94"/>
      <c r="G513" s="113"/>
      <c r="H513" s="59">
        <f t="shared" si="104"/>
        <v>0</v>
      </c>
      <c r="I513" s="114"/>
      <c r="J513" s="59">
        <f t="shared" ref="J513:J526" si="106">ROUND(E513*I513,2)</f>
        <v>0</v>
      </c>
      <c r="K513" s="60">
        <f t="shared" si="105"/>
        <v>0</v>
      </c>
      <c r="L513" s="92"/>
      <c r="M513" s="87"/>
      <c r="N513" s="87"/>
      <c r="O513" s="410"/>
      <c r="P513" s="87"/>
      <c r="Q513" s="87"/>
      <c r="R513" s="87"/>
      <c r="S513" s="87"/>
      <c r="T513" s="87"/>
      <c r="U513" s="87"/>
    </row>
    <row r="514" spans="1:21" s="62" customFormat="1" ht="24" customHeight="1">
      <c r="A514" s="450"/>
      <c r="B514" s="426"/>
      <c r="C514" s="423" t="s">
        <v>153</v>
      </c>
      <c r="D514" s="423"/>
      <c r="E514" s="425">
        <f>E515/2</f>
        <v>305.07</v>
      </c>
      <c r="F514" s="94" t="s">
        <v>37</v>
      </c>
      <c r="G514" s="113">
        <v>661.62</v>
      </c>
      <c r="H514" s="59">
        <f t="shared" si="104"/>
        <v>201840.41</v>
      </c>
      <c r="I514" s="114"/>
      <c r="J514" s="59">
        <f t="shared" si="106"/>
        <v>0</v>
      </c>
      <c r="K514" s="60">
        <f t="shared" si="105"/>
        <v>201840.41</v>
      </c>
      <c r="L514" s="92"/>
      <c r="M514" s="87"/>
      <c r="N514" s="87"/>
      <c r="O514" s="410"/>
      <c r="P514" s="87"/>
      <c r="Q514" s="87"/>
      <c r="R514" s="87"/>
      <c r="S514" s="87"/>
      <c r="T514" s="87"/>
      <c r="U514" s="87"/>
    </row>
    <row r="515" spans="1:21" s="62" customFormat="1" ht="24" customHeight="1">
      <c r="A515" s="450"/>
      <c r="B515" s="426"/>
      <c r="C515" s="423" t="s">
        <v>154</v>
      </c>
      <c r="D515" s="423"/>
      <c r="E515" s="425">
        <v>610.14</v>
      </c>
      <c r="F515" s="94" t="s">
        <v>37</v>
      </c>
      <c r="G515" s="113"/>
      <c r="H515" s="59">
        <f t="shared" si="104"/>
        <v>0</v>
      </c>
      <c r="I515" s="114">
        <v>154</v>
      </c>
      <c r="J515" s="59">
        <f t="shared" si="106"/>
        <v>93961.56</v>
      </c>
      <c r="K515" s="60">
        <f t="shared" si="105"/>
        <v>93961.56</v>
      </c>
      <c r="L515" s="92"/>
      <c r="M515" s="87"/>
      <c r="N515" s="87"/>
      <c r="O515" s="410"/>
      <c r="P515" s="87"/>
      <c r="Q515" s="87"/>
      <c r="R515" s="87"/>
      <c r="S515" s="87"/>
      <c r="T515" s="87"/>
      <c r="U515" s="87"/>
    </row>
    <row r="516" spans="1:21" s="62" customFormat="1" ht="24" customHeight="1">
      <c r="A516" s="450"/>
      <c r="B516" s="423" t="s">
        <v>155</v>
      </c>
      <c r="C516" s="423"/>
      <c r="D516" s="423"/>
      <c r="E516" s="425">
        <f>(E515*0.25)</f>
        <v>152.535</v>
      </c>
      <c r="F516" s="94" t="s">
        <v>156</v>
      </c>
      <c r="G516" s="113">
        <f t="shared" ref="G516" si="107">VLOOKUP(B516,$N$43:$O$53,2,FALSE)</f>
        <v>29.94</v>
      </c>
      <c r="H516" s="59">
        <f t="shared" si="104"/>
        <v>4566.8999999999996</v>
      </c>
      <c r="I516" s="114"/>
      <c r="J516" s="59">
        <f t="shared" si="106"/>
        <v>0</v>
      </c>
      <c r="K516" s="60">
        <f t="shared" si="105"/>
        <v>4566.8999999999996</v>
      </c>
      <c r="L516" s="92"/>
      <c r="M516" s="87"/>
      <c r="N516" s="87"/>
      <c r="O516" s="410"/>
      <c r="P516" s="87"/>
      <c r="Q516" s="87"/>
      <c r="R516" s="87"/>
      <c r="S516" s="87"/>
      <c r="T516" s="87"/>
      <c r="U516" s="87"/>
    </row>
    <row r="517" spans="1:21" s="62" customFormat="1" ht="24" customHeight="1">
      <c r="A517" s="450"/>
      <c r="B517" s="423" t="s">
        <v>157</v>
      </c>
      <c r="C517" s="423"/>
      <c r="D517" s="423"/>
      <c r="E517" s="425"/>
      <c r="F517" s="115"/>
      <c r="G517" s="101"/>
      <c r="H517" s="59">
        <f t="shared" si="104"/>
        <v>0</v>
      </c>
      <c r="I517" s="114"/>
      <c r="J517" s="59">
        <f t="shared" si="106"/>
        <v>0</v>
      </c>
      <c r="K517" s="60">
        <f t="shared" si="105"/>
        <v>0</v>
      </c>
      <c r="L517" s="92"/>
      <c r="M517" s="87"/>
      <c r="N517" s="87"/>
      <c r="O517" s="410"/>
      <c r="P517" s="87"/>
      <c r="Q517" s="87"/>
      <c r="R517" s="87"/>
      <c r="S517" s="87"/>
      <c r="T517" s="87"/>
      <c r="U517" s="87"/>
    </row>
    <row r="518" spans="1:21" s="62" customFormat="1" ht="24" customHeight="1">
      <c r="A518" s="450"/>
      <c r="B518" s="423" t="s">
        <v>158</v>
      </c>
      <c r="C518" s="423"/>
      <c r="D518" s="423"/>
      <c r="E518" s="425"/>
      <c r="F518" s="94" t="s">
        <v>156</v>
      </c>
      <c r="G518" s="113">
        <f>VLOOKUP(B518,$N$43:$O$54,2,FALSE)</f>
        <v>25.73</v>
      </c>
      <c r="H518" s="59">
        <f t="shared" si="104"/>
        <v>0</v>
      </c>
      <c r="I518" s="103">
        <v>4.0999999999999996</v>
      </c>
      <c r="J518" s="59">
        <f t="shared" si="106"/>
        <v>0</v>
      </c>
      <c r="K518" s="60">
        <f t="shared" si="105"/>
        <v>0</v>
      </c>
      <c r="L518" s="92"/>
      <c r="M518" s="87"/>
      <c r="N518" s="87"/>
      <c r="O518" s="410"/>
      <c r="P518" s="87"/>
      <c r="Q518" s="87"/>
      <c r="R518" s="87"/>
      <c r="S518" s="87"/>
      <c r="T518" s="87"/>
      <c r="U518" s="87"/>
    </row>
    <row r="519" spans="1:21" s="62" customFormat="1" ht="24" customHeight="1">
      <c r="A519" s="450"/>
      <c r="B519" s="423" t="s">
        <v>159</v>
      </c>
      <c r="C519" s="423"/>
      <c r="D519" s="423"/>
      <c r="E519" s="425">
        <v>578.62</v>
      </c>
      <c r="F519" s="94" t="s">
        <v>156</v>
      </c>
      <c r="G519" s="113">
        <f t="shared" ref="G519:G526" si="108">VLOOKUP(B519,$N$43:$O$54,2,FALSE)</f>
        <v>24.97</v>
      </c>
      <c r="H519" s="59">
        <f t="shared" si="104"/>
        <v>14448.14</v>
      </c>
      <c r="I519" s="114">
        <v>4.0999999999999996</v>
      </c>
      <c r="J519" s="59">
        <f t="shared" si="106"/>
        <v>2372.34</v>
      </c>
      <c r="K519" s="60">
        <f t="shared" si="105"/>
        <v>16820.48</v>
      </c>
      <c r="L519" s="92"/>
      <c r="M519" s="87"/>
      <c r="N519" s="87"/>
      <c r="O519" s="410"/>
      <c r="P519" s="87"/>
      <c r="Q519" s="87"/>
      <c r="R519" s="87"/>
      <c r="S519" s="87"/>
      <c r="T519" s="87"/>
      <c r="U519" s="87"/>
    </row>
    <row r="520" spans="1:21" s="62" customFormat="1" ht="24" customHeight="1">
      <c r="A520" s="679"/>
      <c r="B520" s="423" t="s">
        <v>160</v>
      </c>
      <c r="C520" s="423"/>
      <c r="D520" s="423"/>
      <c r="E520" s="425">
        <v>33382.78</v>
      </c>
      <c r="F520" s="94" t="s">
        <v>156</v>
      </c>
      <c r="G520" s="113">
        <f t="shared" si="108"/>
        <v>24.47</v>
      </c>
      <c r="H520" s="59">
        <f t="shared" si="104"/>
        <v>816876.63</v>
      </c>
      <c r="I520" s="114">
        <v>3.3</v>
      </c>
      <c r="J520" s="59">
        <f t="shared" si="106"/>
        <v>110163.17</v>
      </c>
      <c r="K520" s="60">
        <f t="shared" si="105"/>
        <v>927039.8</v>
      </c>
      <c r="L520" s="92"/>
      <c r="M520" s="87"/>
      <c r="N520" s="87"/>
      <c r="O520" s="410"/>
      <c r="P520" s="87"/>
      <c r="Q520" s="87"/>
      <c r="R520" s="87"/>
      <c r="S520" s="87"/>
      <c r="T520" s="87"/>
      <c r="U520" s="87"/>
    </row>
    <row r="521" spans="1:21" s="62" customFormat="1" ht="24" customHeight="1">
      <c r="A521" s="450"/>
      <c r="B521" s="423" t="s">
        <v>161</v>
      </c>
      <c r="C521" s="423"/>
      <c r="D521" s="423"/>
      <c r="E521" s="425">
        <v>603.30999999999995</v>
      </c>
      <c r="F521" s="115" t="s">
        <v>156</v>
      </c>
      <c r="G521" s="113">
        <f t="shared" si="108"/>
        <v>24.27</v>
      </c>
      <c r="H521" s="59">
        <f t="shared" si="104"/>
        <v>14642.33</v>
      </c>
      <c r="I521" s="114">
        <v>3.3</v>
      </c>
      <c r="J521" s="59">
        <f t="shared" si="106"/>
        <v>1990.92</v>
      </c>
      <c r="K521" s="60">
        <f t="shared" si="105"/>
        <v>16633.25</v>
      </c>
      <c r="L521" s="92"/>
      <c r="M521" s="87"/>
      <c r="N521" s="87"/>
      <c r="O521" s="410"/>
      <c r="P521" s="87"/>
      <c r="Q521" s="87"/>
      <c r="R521" s="87"/>
      <c r="S521" s="87"/>
      <c r="T521" s="87"/>
      <c r="U521" s="87"/>
    </row>
    <row r="522" spans="1:21" s="62" customFormat="1" ht="24" customHeight="1">
      <c r="A522" s="450"/>
      <c r="B522" s="423" t="s">
        <v>162</v>
      </c>
      <c r="C522" s="423"/>
      <c r="D522" s="423"/>
      <c r="E522" s="425">
        <v>1864.68</v>
      </c>
      <c r="F522" s="94" t="s">
        <v>156</v>
      </c>
      <c r="G522" s="113">
        <f t="shared" si="108"/>
        <v>24.27</v>
      </c>
      <c r="H522" s="59">
        <f t="shared" si="104"/>
        <v>45255.78</v>
      </c>
      <c r="I522" s="114">
        <v>2.9</v>
      </c>
      <c r="J522" s="59">
        <f t="shared" si="106"/>
        <v>5407.57</v>
      </c>
      <c r="K522" s="60">
        <f t="shared" si="105"/>
        <v>50663.35</v>
      </c>
      <c r="L522" s="92"/>
      <c r="M522" s="87"/>
      <c r="N522" s="87"/>
      <c r="O522" s="410"/>
      <c r="P522" s="87"/>
      <c r="Q522" s="87"/>
      <c r="R522" s="87"/>
      <c r="S522" s="87"/>
      <c r="T522" s="87"/>
      <c r="U522" s="87"/>
    </row>
    <row r="523" spans="1:21" s="62" customFormat="1" ht="24" customHeight="1">
      <c r="A523" s="450"/>
      <c r="B523" s="423" t="s">
        <v>163</v>
      </c>
      <c r="C523" s="423"/>
      <c r="D523" s="423"/>
      <c r="E523" s="425">
        <v>15235.09</v>
      </c>
      <c r="F523" s="94" t="s">
        <v>156</v>
      </c>
      <c r="G523" s="113">
        <f t="shared" si="108"/>
        <v>24.27</v>
      </c>
      <c r="H523" s="59">
        <f t="shared" si="104"/>
        <v>369755.63</v>
      </c>
      <c r="I523" s="114">
        <v>2.9</v>
      </c>
      <c r="J523" s="59">
        <f t="shared" si="106"/>
        <v>44181.760000000002</v>
      </c>
      <c r="K523" s="60">
        <f t="shared" si="105"/>
        <v>413937.39</v>
      </c>
      <c r="L523" s="92"/>
      <c r="M523" s="87"/>
      <c r="N523" s="87"/>
      <c r="O523" s="410"/>
      <c r="P523" s="87"/>
      <c r="Q523" s="87"/>
      <c r="R523" s="87"/>
      <c r="S523" s="87"/>
      <c r="T523" s="87"/>
      <c r="U523" s="87"/>
    </row>
    <row r="524" spans="1:21" s="62" customFormat="1" ht="24" customHeight="1">
      <c r="A524" s="450"/>
      <c r="B524" s="423" t="s">
        <v>164</v>
      </c>
      <c r="C524" s="423"/>
      <c r="D524" s="423"/>
      <c r="E524" s="425">
        <v>27251.96</v>
      </c>
      <c r="F524" s="94" t="s">
        <v>156</v>
      </c>
      <c r="G524" s="113">
        <f t="shared" si="108"/>
        <v>24.27</v>
      </c>
      <c r="H524" s="59">
        <f t="shared" si="104"/>
        <v>661405.06999999995</v>
      </c>
      <c r="I524" s="114">
        <v>2.9</v>
      </c>
      <c r="J524" s="59">
        <f t="shared" si="106"/>
        <v>79030.679999999993</v>
      </c>
      <c r="K524" s="60">
        <f t="shared" si="105"/>
        <v>740435.75</v>
      </c>
      <c r="L524" s="92"/>
      <c r="M524" s="87"/>
      <c r="N524" s="87"/>
      <c r="O524" s="410"/>
      <c r="P524" s="87"/>
      <c r="Q524" s="87"/>
      <c r="R524" s="87"/>
      <c r="S524" s="87"/>
      <c r="T524" s="87"/>
      <c r="U524" s="87"/>
    </row>
    <row r="525" spans="1:21" s="62" customFormat="1" ht="24" customHeight="1">
      <c r="A525" s="450"/>
      <c r="B525" s="423" t="s">
        <v>165</v>
      </c>
      <c r="C525" s="423"/>
      <c r="D525" s="423"/>
      <c r="E525" s="425">
        <v>0</v>
      </c>
      <c r="F525" s="94" t="s">
        <v>156</v>
      </c>
      <c r="G525" s="113">
        <f t="shared" si="108"/>
        <v>23.8</v>
      </c>
      <c r="H525" s="59">
        <f t="shared" si="104"/>
        <v>0</v>
      </c>
      <c r="I525" s="114">
        <v>2.9</v>
      </c>
      <c r="J525" s="59">
        <f t="shared" si="106"/>
        <v>0</v>
      </c>
      <c r="K525" s="60">
        <f t="shared" si="105"/>
        <v>0</v>
      </c>
      <c r="L525" s="92"/>
      <c r="M525" s="87"/>
      <c r="N525" s="87"/>
      <c r="O525" s="410"/>
      <c r="P525" s="87"/>
      <c r="Q525" s="87"/>
      <c r="R525" s="87"/>
      <c r="S525" s="87"/>
      <c r="T525" s="87"/>
      <c r="U525" s="87"/>
    </row>
    <row r="526" spans="1:21" s="62" customFormat="1" ht="24" customHeight="1">
      <c r="A526" s="450"/>
      <c r="B526" s="423" t="s">
        <v>166</v>
      </c>
      <c r="C526" s="423"/>
      <c r="D526" s="423"/>
      <c r="E526" s="425">
        <f>(SUM(E518:E525)/1000)*30</f>
        <v>2367.4932000000003</v>
      </c>
      <c r="F526" s="94" t="s">
        <v>156</v>
      </c>
      <c r="G526" s="113">
        <f t="shared" si="108"/>
        <v>29.92</v>
      </c>
      <c r="H526" s="59">
        <f t="shared" si="104"/>
        <v>70835.399999999994</v>
      </c>
      <c r="I526" s="114"/>
      <c r="J526" s="59">
        <f t="shared" si="106"/>
        <v>0</v>
      </c>
      <c r="K526" s="60">
        <f t="shared" si="105"/>
        <v>70835.399999999994</v>
      </c>
      <c r="L526" s="92"/>
      <c r="M526" s="87"/>
      <c r="N526" s="87"/>
      <c r="O526" s="410"/>
      <c r="P526" s="87"/>
      <c r="Q526" s="87"/>
      <c r="R526" s="87"/>
      <c r="S526" s="87"/>
      <c r="T526" s="87"/>
      <c r="U526" s="87"/>
    </row>
    <row r="527" spans="1:21" s="62" customFormat="1" ht="24" customHeight="1">
      <c r="A527" s="450"/>
      <c r="B527" s="423" t="s">
        <v>167</v>
      </c>
      <c r="C527" s="423"/>
      <c r="D527" s="423"/>
      <c r="E527" s="425"/>
      <c r="F527" s="94"/>
      <c r="G527" s="113"/>
      <c r="H527" s="59"/>
      <c r="I527" s="114"/>
      <c r="J527" s="59"/>
      <c r="K527" s="60"/>
      <c r="L527" s="92"/>
      <c r="M527" s="87"/>
      <c r="N527" s="87"/>
      <c r="O527" s="410"/>
      <c r="P527" s="87"/>
      <c r="Q527" s="87"/>
      <c r="R527" s="87"/>
      <c r="S527" s="87"/>
      <c r="T527" s="87"/>
      <c r="U527" s="87"/>
    </row>
    <row r="528" spans="1:21" s="62" customFormat="1" ht="24" customHeight="1">
      <c r="A528" s="450"/>
      <c r="B528" s="423"/>
      <c r="C528" s="420"/>
      <c r="D528" s="423"/>
      <c r="E528" s="429"/>
      <c r="F528" s="94"/>
      <c r="G528" s="113"/>
      <c r="H528" s="59"/>
      <c r="I528" s="114"/>
      <c r="J528" s="59"/>
      <c r="K528" s="60"/>
      <c r="L528" s="92"/>
      <c r="M528" s="87"/>
      <c r="N528" s="87"/>
      <c r="O528" s="410"/>
      <c r="P528" s="87"/>
      <c r="Q528" s="87"/>
      <c r="R528" s="87"/>
      <c r="S528" s="87"/>
      <c r="T528" s="87"/>
      <c r="U528" s="87"/>
    </row>
    <row r="529" spans="1:21" s="62" customFormat="1" ht="24" customHeight="1">
      <c r="A529" s="450"/>
      <c r="B529" s="423"/>
      <c r="C529" s="423"/>
      <c r="D529" s="423"/>
      <c r="E529" s="429"/>
      <c r="F529" s="94"/>
      <c r="G529" s="113"/>
      <c r="H529" s="59"/>
      <c r="I529" s="114"/>
      <c r="J529" s="59"/>
      <c r="K529" s="60"/>
      <c r="L529" s="92"/>
      <c r="M529" s="87"/>
      <c r="N529" s="87"/>
      <c r="O529" s="410"/>
      <c r="P529" s="87"/>
      <c r="Q529" s="87"/>
      <c r="R529" s="87"/>
      <c r="S529" s="87"/>
      <c r="T529" s="87"/>
      <c r="U529" s="87"/>
    </row>
    <row r="530" spans="1:21" s="62" customFormat="1" ht="24" customHeight="1">
      <c r="A530" s="450"/>
      <c r="B530" s="423"/>
      <c r="C530" s="423"/>
      <c r="D530" s="423"/>
      <c r="E530" s="429"/>
      <c r="F530" s="94"/>
      <c r="G530" s="113"/>
      <c r="H530" s="59"/>
      <c r="I530" s="114"/>
      <c r="J530" s="59"/>
      <c r="K530" s="60"/>
      <c r="L530" s="92"/>
      <c r="M530" s="87"/>
      <c r="N530" s="87"/>
      <c r="O530" s="410"/>
      <c r="P530" s="87"/>
      <c r="Q530" s="87"/>
      <c r="R530" s="87"/>
      <c r="S530" s="87"/>
      <c r="T530" s="87"/>
      <c r="U530" s="87"/>
    </row>
    <row r="531" spans="1:21" s="62" customFormat="1" ht="24" customHeight="1">
      <c r="A531" s="450"/>
      <c r="B531" s="451"/>
      <c r="C531" s="423"/>
      <c r="D531" s="423"/>
      <c r="E531" s="429"/>
      <c r="F531" s="94"/>
      <c r="G531" s="113"/>
      <c r="H531" s="59"/>
      <c r="I531" s="114"/>
      <c r="J531" s="59"/>
      <c r="K531" s="60"/>
      <c r="L531" s="92"/>
      <c r="M531" s="87"/>
      <c r="N531" s="87"/>
      <c r="O531" s="410"/>
      <c r="P531" s="87"/>
      <c r="Q531" s="87"/>
      <c r="R531" s="87"/>
      <c r="S531" s="87"/>
      <c r="T531" s="87"/>
      <c r="U531" s="87"/>
    </row>
    <row r="532" spans="1:21" s="62" customFormat="1" ht="24" customHeight="1">
      <c r="A532" s="450"/>
      <c r="B532" s="451"/>
      <c r="C532" s="423"/>
      <c r="D532" s="423"/>
      <c r="E532" s="429"/>
      <c r="F532" s="94"/>
      <c r="G532" s="113"/>
      <c r="H532" s="59"/>
      <c r="I532" s="114"/>
      <c r="J532" s="59"/>
      <c r="K532" s="60"/>
      <c r="L532" s="92"/>
      <c r="M532" s="87"/>
      <c r="N532" s="87"/>
      <c r="O532" s="410"/>
      <c r="P532" s="87"/>
      <c r="Q532" s="87"/>
      <c r="R532" s="87"/>
      <c r="S532" s="87"/>
      <c r="T532" s="87"/>
      <c r="U532" s="87"/>
    </row>
    <row r="533" spans="1:21" s="62" customFormat="1" ht="24" customHeight="1">
      <c r="A533" s="450"/>
      <c r="B533" s="451"/>
      <c r="C533" s="423"/>
      <c r="D533" s="423"/>
      <c r="E533" s="429"/>
      <c r="F533" s="94"/>
      <c r="G533" s="113"/>
      <c r="H533" s="59"/>
      <c r="I533" s="114"/>
      <c r="J533" s="59"/>
      <c r="K533" s="60"/>
      <c r="L533" s="92"/>
      <c r="M533" s="87"/>
      <c r="N533" s="87"/>
      <c r="O533" s="410"/>
      <c r="P533" s="87"/>
      <c r="Q533" s="87"/>
      <c r="R533" s="87"/>
      <c r="S533" s="87"/>
      <c r="T533" s="87"/>
      <c r="U533" s="87"/>
    </row>
    <row r="534" spans="1:21" s="62" customFormat="1" ht="24" customHeight="1">
      <c r="A534" s="450"/>
      <c r="B534" s="451"/>
      <c r="C534" s="423"/>
      <c r="D534" s="423"/>
      <c r="E534" s="429"/>
      <c r="F534" s="94"/>
      <c r="G534" s="113"/>
      <c r="H534" s="59"/>
      <c r="I534" s="114"/>
      <c r="J534" s="59"/>
      <c r="K534" s="60"/>
      <c r="L534" s="92"/>
      <c r="M534" s="87"/>
      <c r="N534" s="87"/>
      <c r="O534" s="410"/>
      <c r="P534" s="87"/>
      <c r="Q534" s="87"/>
      <c r="R534" s="87"/>
      <c r="S534" s="87"/>
      <c r="T534" s="87"/>
      <c r="U534" s="87"/>
    </row>
    <row r="535" spans="1:21" s="62" customFormat="1" ht="24" customHeight="1">
      <c r="A535" s="450"/>
      <c r="B535" s="451"/>
      <c r="C535" s="423"/>
      <c r="D535" s="423"/>
      <c r="E535" s="429"/>
      <c r="F535" s="94"/>
      <c r="G535" s="113"/>
      <c r="H535" s="59"/>
      <c r="I535" s="114"/>
      <c r="J535" s="59"/>
      <c r="K535" s="60"/>
      <c r="L535" s="92"/>
      <c r="M535" s="87"/>
      <c r="N535" s="87"/>
      <c r="O535" s="410"/>
      <c r="P535" s="87"/>
      <c r="Q535" s="87"/>
      <c r="R535" s="87"/>
      <c r="S535" s="87"/>
      <c r="T535" s="87"/>
      <c r="U535" s="87"/>
    </row>
    <row r="536" spans="1:21" s="62" customFormat="1" ht="24" customHeight="1">
      <c r="A536" s="450" t="s">
        <v>57</v>
      </c>
      <c r="B536" s="451" t="s">
        <v>188</v>
      </c>
      <c r="C536" s="423"/>
      <c r="D536" s="423"/>
      <c r="E536" s="429"/>
      <c r="F536" s="94"/>
      <c r="G536" s="113"/>
      <c r="H536" s="59"/>
      <c r="I536" s="114"/>
      <c r="J536" s="59"/>
      <c r="K536" s="60"/>
      <c r="L536" s="92"/>
      <c r="M536" s="87"/>
      <c r="N536" s="87"/>
      <c r="O536" s="410"/>
      <c r="P536" s="87"/>
      <c r="Q536" s="87"/>
      <c r="R536" s="87"/>
      <c r="S536" s="87"/>
      <c r="T536" s="87"/>
      <c r="U536" s="87"/>
    </row>
    <row r="537" spans="1:21" s="62" customFormat="1" ht="24" customHeight="1">
      <c r="A537" s="450"/>
      <c r="B537" s="423" t="s">
        <v>150</v>
      </c>
      <c r="C537" s="424"/>
      <c r="D537" s="424"/>
      <c r="E537" s="425">
        <v>404</v>
      </c>
      <c r="F537" s="94" t="s">
        <v>151</v>
      </c>
      <c r="G537" s="113">
        <v>2516</v>
      </c>
      <c r="H537" s="59">
        <f t="shared" ref="H537:H551" si="109">ROUND(E537*G537,2)</f>
        <v>1016464</v>
      </c>
      <c r="I537" s="114">
        <v>485</v>
      </c>
      <c r="J537" s="59">
        <f t="shared" ref="J537:J551" si="110">ROUND(E537*I537,2)</f>
        <v>195940</v>
      </c>
      <c r="K537" s="60">
        <f t="shared" ref="K537:K551" si="111">H537+J537</f>
        <v>1212404</v>
      </c>
      <c r="L537" s="92"/>
      <c r="M537" s="87"/>
      <c r="N537" s="87"/>
      <c r="O537" s="410"/>
      <c r="P537" s="87"/>
      <c r="Q537" s="87"/>
      <c r="R537" s="87"/>
      <c r="S537" s="87"/>
      <c r="T537" s="87"/>
      <c r="U537" s="87"/>
    </row>
    <row r="538" spans="1:21" s="62" customFormat="1" ht="24" customHeight="1">
      <c r="A538" s="450"/>
      <c r="B538" s="426" t="s">
        <v>152</v>
      </c>
      <c r="C538" s="423"/>
      <c r="D538" s="423"/>
      <c r="E538" s="425"/>
      <c r="F538" s="94"/>
      <c r="G538" s="113"/>
      <c r="H538" s="59">
        <f t="shared" si="109"/>
        <v>0</v>
      </c>
      <c r="I538" s="114"/>
      <c r="J538" s="59">
        <f t="shared" si="110"/>
        <v>0</v>
      </c>
      <c r="K538" s="60">
        <f t="shared" si="111"/>
        <v>0</v>
      </c>
      <c r="L538" s="92"/>
      <c r="M538" s="87"/>
      <c r="N538" s="87"/>
      <c r="O538" s="410"/>
      <c r="P538" s="87"/>
      <c r="Q538" s="87"/>
      <c r="R538" s="87"/>
      <c r="S538" s="87"/>
      <c r="T538" s="87"/>
      <c r="U538" s="87"/>
    </row>
    <row r="539" spans="1:21" s="62" customFormat="1" ht="24" customHeight="1">
      <c r="A539" s="450"/>
      <c r="B539" s="426"/>
      <c r="C539" s="423" t="s">
        <v>153</v>
      </c>
      <c r="D539" s="423"/>
      <c r="E539" s="425">
        <f>E540/2</f>
        <v>794.45500000000004</v>
      </c>
      <c r="F539" s="94" t="s">
        <v>37</v>
      </c>
      <c r="G539" s="113">
        <v>661.62</v>
      </c>
      <c r="H539" s="59">
        <f t="shared" si="109"/>
        <v>525627.31999999995</v>
      </c>
      <c r="I539" s="114"/>
      <c r="J539" s="59">
        <f t="shared" si="110"/>
        <v>0</v>
      </c>
      <c r="K539" s="60">
        <f t="shared" si="111"/>
        <v>525627.31999999995</v>
      </c>
      <c r="L539" s="92"/>
      <c r="M539" s="87"/>
      <c r="N539" s="87"/>
      <c r="O539" s="410"/>
      <c r="P539" s="87"/>
      <c r="Q539" s="87"/>
      <c r="R539" s="87"/>
      <c r="S539" s="87"/>
      <c r="T539" s="87"/>
      <c r="U539" s="87"/>
    </row>
    <row r="540" spans="1:21" s="62" customFormat="1" ht="24" customHeight="1">
      <c r="A540" s="450"/>
      <c r="B540" s="426"/>
      <c r="C540" s="423" t="s">
        <v>154</v>
      </c>
      <c r="D540" s="423"/>
      <c r="E540" s="425">
        <v>1588.91</v>
      </c>
      <c r="F540" s="94" t="s">
        <v>37</v>
      </c>
      <c r="G540" s="113"/>
      <c r="H540" s="59">
        <f t="shared" si="109"/>
        <v>0</v>
      </c>
      <c r="I540" s="114">
        <v>154</v>
      </c>
      <c r="J540" s="59">
        <f t="shared" si="110"/>
        <v>244692.14</v>
      </c>
      <c r="K540" s="60">
        <f t="shared" si="111"/>
        <v>244692.14</v>
      </c>
      <c r="L540" s="92"/>
      <c r="M540" s="87"/>
      <c r="N540" s="87"/>
      <c r="O540" s="410"/>
      <c r="P540" s="87"/>
      <c r="Q540" s="87"/>
      <c r="R540" s="87"/>
      <c r="S540" s="87"/>
      <c r="T540" s="87"/>
      <c r="U540" s="87"/>
    </row>
    <row r="541" spans="1:21" s="62" customFormat="1" ht="24" customHeight="1">
      <c r="A541" s="450"/>
      <c r="B541" s="423" t="s">
        <v>155</v>
      </c>
      <c r="C541" s="423"/>
      <c r="D541" s="423"/>
      <c r="E541" s="425">
        <f>(E540*0.25)</f>
        <v>397.22750000000002</v>
      </c>
      <c r="F541" s="94" t="s">
        <v>156</v>
      </c>
      <c r="G541" s="113">
        <f t="shared" ref="G541" si="112">VLOOKUP(B541,$N$43:$O$53,2,FALSE)</f>
        <v>29.94</v>
      </c>
      <c r="H541" s="59">
        <f t="shared" si="109"/>
        <v>11892.99</v>
      </c>
      <c r="I541" s="114"/>
      <c r="J541" s="59">
        <f t="shared" si="110"/>
        <v>0</v>
      </c>
      <c r="K541" s="60">
        <f t="shared" si="111"/>
        <v>11892.99</v>
      </c>
      <c r="L541" s="92"/>
      <c r="M541" s="87"/>
      <c r="N541" s="87"/>
      <c r="O541" s="410"/>
      <c r="P541" s="87"/>
      <c r="Q541" s="87"/>
      <c r="R541" s="87"/>
      <c r="S541" s="87"/>
      <c r="T541" s="87"/>
      <c r="U541" s="87"/>
    </row>
    <row r="542" spans="1:21" s="62" customFormat="1" ht="24" customHeight="1">
      <c r="A542" s="450"/>
      <c r="B542" s="423" t="s">
        <v>157</v>
      </c>
      <c r="C542" s="423"/>
      <c r="D542" s="423"/>
      <c r="E542" s="425"/>
      <c r="F542" s="115"/>
      <c r="G542" s="101"/>
      <c r="H542" s="59">
        <f t="shared" si="109"/>
        <v>0</v>
      </c>
      <c r="I542" s="114"/>
      <c r="J542" s="59">
        <f t="shared" si="110"/>
        <v>0</v>
      </c>
      <c r="K542" s="60">
        <f t="shared" si="111"/>
        <v>0</v>
      </c>
      <c r="L542" s="92"/>
      <c r="M542" s="87"/>
      <c r="N542" s="87"/>
      <c r="O542" s="410"/>
      <c r="P542" s="87"/>
      <c r="Q542" s="87"/>
      <c r="R542" s="87"/>
      <c r="S542" s="87"/>
      <c r="T542" s="87"/>
      <c r="U542" s="87"/>
    </row>
    <row r="543" spans="1:21" s="62" customFormat="1" ht="24" customHeight="1">
      <c r="A543" s="450"/>
      <c r="B543" s="423" t="s">
        <v>158</v>
      </c>
      <c r="C543" s="423"/>
      <c r="D543" s="423"/>
      <c r="E543" s="425"/>
      <c r="F543" s="94" t="s">
        <v>156</v>
      </c>
      <c r="G543" s="113">
        <f>VLOOKUP(B543,$N$43:$O$54,2,FALSE)</f>
        <v>25.73</v>
      </c>
      <c r="H543" s="59">
        <f t="shared" si="109"/>
        <v>0</v>
      </c>
      <c r="I543" s="103">
        <v>4.0999999999999996</v>
      </c>
      <c r="J543" s="59">
        <f t="shared" si="110"/>
        <v>0</v>
      </c>
      <c r="K543" s="60">
        <f t="shared" si="111"/>
        <v>0</v>
      </c>
      <c r="L543" s="92"/>
      <c r="M543" s="87"/>
      <c r="N543" s="87"/>
      <c r="O543" s="410"/>
      <c r="P543" s="87"/>
      <c r="Q543" s="87"/>
      <c r="R543" s="87"/>
      <c r="S543" s="87"/>
      <c r="T543" s="87"/>
      <c r="U543" s="87"/>
    </row>
    <row r="544" spans="1:21" s="62" customFormat="1" ht="24" customHeight="1">
      <c r="A544" s="450"/>
      <c r="B544" s="423" t="s">
        <v>159</v>
      </c>
      <c r="C544" s="423"/>
      <c r="D544" s="423"/>
      <c r="E544" s="425">
        <v>5.88</v>
      </c>
      <c r="F544" s="94" t="s">
        <v>156</v>
      </c>
      <c r="G544" s="113">
        <f t="shared" ref="G544:G551" si="113">VLOOKUP(B544,$N$43:$O$54,2,FALSE)</f>
        <v>24.97</v>
      </c>
      <c r="H544" s="59">
        <f t="shared" si="109"/>
        <v>146.82</v>
      </c>
      <c r="I544" s="114">
        <v>4.0999999999999996</v>
      </c>
      <c r="J544" s="59">
        <f t="shared" si="110"/>
        <v>24.11</v>
      </c>
      <c r="K544" s="60">
        <f t="shared" si="111"/>
        <v>170.93</v>
      </c>
      <c r="L544" s="92"/>
      <c r="M544" s="87"/>
      <c r="N544" s="87"/>
      <c r="O544" s="410"/>
      <c r="P544" s="87"/>
      <c r="Q544" s="87"/>
      <c r="R544" s="87"/>
      <c r="S544" s="87"/>
      <c r="T544" s="87"/>
      <c r="U544" s="87"/>
    </row>
    <row r="545" spans="1:21" s="62" customFormat="1" ht="24" customHeight="1">
      <c r="A545" s="450"/>
      <c r="B545" s="423" t="s">
        <v>160</v>
      </c>
      <c r="C545" s="423"/>
      <c r="D545" s="423"/>
      <c r="E545" s="425">
        <v>26286.01</v>
      </c>
      <c r="F545" s="94" t="s">
        <v>156</v>
      </c>
      <c r="G545" s="113">
        <f t="shared" si="113"/>
        <v>24.47</v>
      </c>
      <c r="H545" s="59">
        <f t="shared" si="109"/>
        <v>643218.66</v>
      </c>
      <c r="I545" s="114">
        <v>3.3</v>
      </c>
      <c r="J545" s="59">
        <f t="shared" si="110"/>
        <v>86743.83</v>
      </c>
      <c r="K545" s="60">
        <f t="shared" si="111"/>
        <v>729962.49</v>
      </c>
      <c r="L545" s="92"/>
      <c r="M545" s="87"/>
      <c r="N545" s="87"/>
      <c r="O545" s="410"/>
      <c r="P545" s="87"/>
      <c r="Q545" s="87"/>
      <c r="R545" s="87"/>
      <c r="S545" s="87"/>
      <c r="T545" s="87"/>
      <c r="U545" s="87"/>
    </row>
    <row r="546" spans="1:21" s="62" customFormat="1" ht="24" customHeight="1">
      <c r="A546" s="450"/>
      <c r="B546" s="423" t="s">
        <v>161</v>
      </c>
      <c r="C546" s="423"/>
      <c r="D546" s="423"/>
      <c r="E546" s="425">
        <v>16.32</v>
      </c>
      <c r="F546" s="115" t="s">
        <v>156</v>
      </c>
      <c r="G546" s="113">
        <f t="shared" si="113"/>
        <v>24.27</v>
      </c>
      <c r="H546" s="59">
        <f t="shared" si="109"/>
        <v>396.09</v>
      </c>
      <c r="I546" s="114">
        <v>3.3</v>
      </c>
      <c r="J546" s="59">
        <f t="shared" si="110"/>
        <v>53.86</v>
      </c>
      <c r="K546" s="60">
        <f t="shared" si="111"/>
        <v>449.95</v>
      </c>
      <c r="L546" s="92"/>
      <c r="M546" s="87"/>
      <c r="N546" s="87"/>
      <c r="O546" s="410"/>
      <c r="P546" s="87"/>
      <c r="Q546" s="87"/>
      <c r="R546" s="87"/>
      <c r="S546" s="87"/>
      <c r="T546" s="87"/>
      <c r="U546" s="87"/>
    </row>
    <row r="547" spans="1:21" s="62" customFormat="1" ht="24" customHeight="1">
      <c r="A547" s="67"/>
      <c r="B547" s="423" t="s">
        <v>162</v>
      </c>
      <c r="C547" s="423"/>
      <c r="D547" s="423"/>
      <c r="E547" s="425">
        <v>911.02</v>
      </c>
      <c r="F547" s="94" t="s">
        <v>156</v>
      </c>
      <c r="G547" s="113">
        <f t="shared" si="113"/>
        <v>24.27</v>
      </c>
      <c r="H547" s="59">
        <f t="shared" si="109"/>
        <v>22110.46</v>
      </c>
      <c r="I547" s="114">
        <v>2.9</v>
      </c>
      <c r="J547" s="59">
        <f t="shared" si="110"/>
        <v>2641.96</v>
      </c>
      <c r="K547" s="60">
        <f t="shared" si="111"/>
        <v>24752.42</v>
      </c>
      <c r="L547" s="92"/>
      <c r="M547" s="87"/>
      <c r="N547" s="87"/>
      <c r="O547" s="410"/>
      <c r="P547" s="87"/>
      <c r="Q547" s="87"/>
      <c r="R547" s="87"/>
      <c r="S547" s="87"/>
      <c r="T547" s="87"/>
      <c r="U547" s="87"/>
    </row>
    <row r="548" spans="1:21" s="62" customFormat="1" ht="24" customHeight="1">
      <c r="A548" s="67"/>
      <c r="B548" s="423" t="s">
        <v>163</v>
      </c>
      <c r="C548" s="423"/>
      <c r="D548" s="423"/>
      <c r="E548" s="425">
        <v>5780.55</v>
      </c>
      <c r="F548" s="94" t="s">
        <v>156</v>
      </c>
      <c r="G548" s="113">
        <f t="shared" si="113"/>
        <v>24.27</v>
      </c>
      <c r="H548" s="59">
        <f t="shared" si="109"/>
        <v>140293.95000000001</v>
      </c>
      <c r="I548" s="114">
        <v>2.9</v>
      </c>
      <c r="J548" s="59">
        <f t="shared" si="110"/>
        <v>16763.599999999999</v>
      </c>
      <c r="K548" s="60">
        <f t="shared" si="111"/>
        <v>157057.55000000002</v>
      </c>
      <c r="L548" s="92"/>
      <c r="M548" s="87"/>
      <c r="N548" s="87"/>
      <c r="O548" s="410"/>
      <c r="P548" s="87"/>
      <c r="Q548" s="87"/>
      <c r="R548" s="87"/>
      <c r="S548" s="87"/>
      <c r="T548" s="87"/>
      <c r="U548" s="87"/>
    </row>
    <row r="549" spans="1:21" s="62" customFormat="1" ht="24" customHeight="1">
      <c r="A549" s="67"/>
      <c r="B549" s="423" t="s">
        <v>164</v>
      </c>
      <c r="C549" s="423"/>
      <c r="D549" s="423"/>
      <c r="E549" s="425">
        <v>91933.65</v>
      </c>
      <c r="F549" s="94" t="s">
        <v>156</v>
      </c>
      <c r="G549" s="113">
        <f t="shared" si="113"/>
        <v>24.27</v>
      </c>
      <c r="H549" s="59">
        <f t="shared" si="109"/>
        <v>2231229.69</v>
      </c>
      <c r="I549" s="114">
        <v>2.9</v>
      </c>
      <c r="J549" s="59">
        <f t="shared" si="110"/>
        <v>266607.59000000003</v>
      </c>
      <c r="K549" s="60">
        <f t="shared" si="111"/>
        <v>2497837.2799999998</v>
      </c>
      <c r="L549" s="92"/>
      <c r="M549" s="87"/>
      <c r="N549" s="87"/>
      <c r="O549" s="410"/>
      <c r="P549" s="87"/>
      <c r="Q549" s="87"/>
      <c r="R549" s="87"/>
      <c r="S549" s="87"/>
      <c r="T549" s="87"/>
      <c r="U549" s="87"/>
    </row>
    <row r="550" spans="1:21" s="62" customFormat="1" ht="24" customHeight="1">
      <c r="A550" s="67"/>
      <c r="B550" s="423" t="s">
        <v>165</v>
      </c>
      <c r="C550" s="423"/>
      <c r="D550" s="423"/>
      <c r="E550" s="425"/>
      <c r="F550" s="94" t="s">
        <v>156</v>
      </c>
      <c r="G550" s="113">
        <f t="shared" si="113"/>
        <v>23.8</v>
      </c>
      <c r="H550" s="59">
        <f t="shared" si="109"/>
        <v>0</v>
      </c>
      <c r="I550" s="114">
        <v>2.9</v>
      </c>
      <c r="J550" s="59">
        <f t="shared" si="110"/>
        <v>0</v>
      </c>
      <c r="K550" s="60">
        <f t="shared" si="111"/>
        <v>0</v>
      </c>
      <c r="L550" s="92"/>
      <c r="M550" s="87"/>
      <c r="N550" s="87"/>
      <c r="O550" s="410"/>
      <c r="P550" s="87"/>
      <c r="Q550" s="87"/>
      <c r="R550" s="87"/>
      <c r="S550" s="87"/>
      <c r="T550" s="87"/>
      <c r="U550" s="87"/>
    </row>
    <row r="551" spans="1:21" s="62" customFormat="1" ht="24" customHeight="1">
      <c r="A551" s="67"/>
      <c r="B551" s="423" t="s">
        <v>166</v>
      </c>
      <c r="C551" s="423"/>
      <c r="D551" s="423"/>
      <c r="E551" s="425">
        <f>(SUM(E543:E550)/1000)*30</f>
        <v>3748.0028999999995</v>
      </c>
      <c r="F551" s="94" t="s">
        <v>156</v>
      </c>
      <c r="G551" s="113">
        <f t="shared" si="113"/>
        <v>29.92</v>
      </c>
      <c r="H551" s="59">
        <f t="shared" si="109"/>
        <v>112140.25</v>
      </c>
      <c r="I551" s="114"/>
      <c r="J551" s="59">
        <f t="shared" si="110"/>
        <v>0</v>
      </c>
      <c r="K551" s="60">
        <f t="shared" si="111"/>
        <v>112140.25</v>
      </c>
      <c r="L551" s="92"/>
      <c r="M551" s="87"/>
      <c r="N551" s="87"/>
      <c r="O551" s="410"/>
      <c r="P551" s="87"/>
      <c r="Q551" s="87"/>
      <c r="R551" s="87"/>
      <c r="S551" s="87"/>
      <c r="T551" s="87"/>
      <c r="U551" s="87"/>
    </row>
    <row r="552" spans="1:21" s="62" customFormat="1" ht="24" customHeight="1">
      <c r="A552" s="67"/>
      <c r="B552" s="423" t="s">
        <v>167</v>
      </c>
      <c r="C552" s="423"/>
      <c r="D552" s="423"/>
      <c r="E552" s="425"/>
      <c r="F552" s="94"/>
      <c r="G552" s="113"/>
      <c r="H552" s="59"/>
      <c r="I552" s="114"/>
      <c r="J552" s="59"/>
      <c r="K552" s="60"/>
      <c r="L552" s="92"/>
      <c r="M552" s="87"/>
      <c r="N552" s="87"/>
      <c r="O552" s="410"/>
      <c r="P552" s="87"/>
      <c r="Q552" s="87"/>
      <c r="R552" s="87"/>
      <c r="S552" s="87"/>
      <c r="T552" s="87"/>
      <c r="U552" s="87"/>
    </row>
    <row r="553" spans="1:21" s="62" customFormat="1" ht="24" customHeight="1">
      <c r="A553" s="93"/>
      <c r="B553" s="423"/>
      <c r="C553" s="423"/>
      <c r="D553" s="423"/>
      <c r="E553" s="425"/>
      <c r="F553" s="94"/>
      <c r="G553" s="113"/>
      <c r="H553" s="59"/>
      <c r="I553" s="114"/>
      <c r="J553" s="59"/>
      <c r="K553" s="60"/>
      <c r="L553" s="92"/>
      <c r="M553" s="87"/>
      <c r="N553" s="87"/>
      <c r="O553" s="410"/>
      <c r="P553" s="87"/>
      <c r="Q553" s="87"/>
      <c r="R553" s="87"/>
      <c r="S553" s="87"/>
      <c r="T553" s="87"/>
      <c r="U553" s="87"/>
    </row>
    <row r="554" spans="1:21" s="62" customFormat="1" ht="24" customHeight="1">
      <c r="A554" s="67"/>
      <c r="B554" s="95"/>
      <c r="C554" s="423"/>
      <c r="D554" s="423"/>
      <c r="E554" s="429"/>
      <c r="F554" s="94"/>
      <c r="G554" s="113"/>
      <c r="H554" s="59"/>
      <c r="I554" s="114"/>
      <c r="J554" s="59"/>
      <c r="K554" s="60"/>
      <c r="L554" s="92"/>
      <c r="M554" s="87"/>
      <c r="N554" s="87"/>
      <c r="O554" s="410"/>
      <c r="P554" s="87"/>
      <c r="Q554" s="87"/>
      <c r="R554" s="87"/>
      <c r="S554" s="87"/>
      <c r="T554" s="87"/>
      <c r="U554" s="87"/>
    </row>
    <row r="555" spans="1:21" s="62" customFormat="1" ht="24" customHeight="1">
      <c r="A555" s="67"/>
      <c r="B555" s="95"/>
      <c r="C555" s="423"/>
      <c r="D555" s="423"/>
      <c r="E555" s="429"/>
      <c r="F555" s="94"/>
      <c r="G555" s="113"/>
      <c r="H555" s="59"/>
      <c r="I555" s="114"/>
      <c r="J555" s="59"/>
      <c r="K555" s="60"/>
      <c r="L555" s="92"/>
      <c r="M555" s="87"/>
      <c r="N555" s="87"/>
      <c r="O555" s="410"/>
      <c r="P555" s="87"/>
      <c r="Q555" s="87"/>
      <c r="R555" s="87"/>
      <c r="S555" s="87"/>
      <c r="T555" s="87"/>
      <c r="U555" s="87"/>
    </row>
    <row r="556" spans="1:21" s="62" customFormat="1" ht="24" customHeight="1">
      <c r="A556" s="67"/>
      <c r="B556" s="95"/>
      <c r="C556" s="423"/>
      <c r="D556" s="423"/>
      <c r="E556" s="429"/>
      <c r="F556" s="94"/>
      <c r="G556" s="113"/>
      <c r="H556" s="59"/>
      <c r="I556" s="114"/>
      <c r="J556" s="59"/>
      <c r="K556" s="60"/>
      <c r="L556" s="92"/>
      <c r="M556" s="87"/>
      <c r="N556" s="87"/>
      <c r="O556" s="410"/>
      <c r="P556" s="87"/>
      <c r="Q556" s="87"/>
      <c r="R556" s="87"/>
      <c r="S556" s="87"/>
      <c r="T556" s="87"/>
      <c r="U556" s="87"/>
    </row>
    <row r="557" spans="1:21" s="62" customFormat="1" ht="24" customHeight="1">
      <c r="A557" s="67"/>
      <c r="B557" s="95"/>
      <c r="C557" s="423"/>
      <c r="D557" s="423"/>
      <c r="E557" s="429"/>
      <c r="F557" s="94"/>
      <c r="G557" s="113"/>
      <c r="H557" s="59"/>
      <c r="I557" s="114"/>
      <c r="J557" s="59"/>
      <c r="K557" s="60"/>
      <c r="L557" s="92"/>
      <c r="M557" s="87"/>
      <c r="N557" s="87"/>
      <c r="O557" s="410"/>
      <c r="P557" s="87"/>
      <c r="Q557" s="87"/>
      <c r="R557" s="87"/>
      <c r="S557" s="87"/>
      <c r="T557" s="87"/>
      <c r="U557" s="87"/>
    </row>
    <row r="558" spans="1:21" s="62" customFormat="1" ht="24" customHeight="1">
      <c r="A558" s="67"/>
      <c r="B558" s="95"/>
      <c r="C558" s="423"/>
      <c r="D558" s="423"/>
      <c r="E558" s="429"/>
      <c r="F558" s="94"/>
      <c r="G558" s="113"/>
      <c r="H558" s="59"/>
      <c r="I558" s="114"/>
      <c r="J558" s="59"/>
      <c r="K558" s="60"/>
      <c r="L558" s="92"/>
      <c r="M558" s="87"/>
      <c r="N558" s="87"/>
      <c r="O558" s="410"/>
      <c r="P558" s="87"/>
      <c r="Q558" s="87"/>
      <c r="R558" s="87"/>
      <c r="S558" s="87"/>
      <c r="T558" s="87"/>
      <c r="U558" s="87"/>
    </row>
    <row r="559" spans="1:21" s="62" customFormat="1" ht="24" customHeight="1">
      <c r="A559" s="67"/>
      <c r="B559" s="95"/>
      <c r="C559" s="423"/>
      <c r="D559" s="423"/>
      <c r="E559" s="429"/>
      <c r="F559" s="94"/>
      <c r="G559" s="113"/>
      <c r="H559" s="59"/>
      <c r="I559" s="114"/>
      <c r="J559" s="59"/>
      <c r="K559" s="60"/>
      <c r="L559" s="92"/>
      <c r="M559" s="87"/>
      <c r="N559" s="87"/>
      <c r="O559" s="410"/>
      <c r="P559" s="87"/>
      <c r="Q559" s="87"/>
      <c r="R559" s="87"/>
      <c r="S559" s="87"/>
      <c r="T559" s="87"/>
      <c r="U559" s="87"/>
    </row>
    <row r="560" spans="1:21" s="62" customFormat="1" ht="24" customHeight="1">
      <c r="A560" s="67"/>
      <c r="B560" s="95"/>
      <c r="C560" s="423"/>
      <c r="D560" s="423"/>
      <c r="E560" s="429"/>
      <c r="F560" s="94"/>
      <c r="G560" s="113"/>
      <c r="H560" s="59"/>
      <c r="I560" s="114"/>
      <c r="J560" s="59"/>
      <c r="K560" s="60"/>
      <c r="L560" s="92"/>
      <c r="M560" s="87"/>
      <c r="N560" s="87"/>
      <c r="O560" s="410"/>
      <c r="P560" s="87"/>
      <c r="Q560" s="87"/>
      <c r="R560" s="87"/>
      <c r="S560" s="87"/>
      <c r="T560" s="87"/>
      <c r="U560" s="87"/>
    </row>
    <row r="561" spans="1:21" s="62" customFormat="1" ht="24" customHeight="1">
      <c r="A561" s="450" t="s">
        <v>58</v>
      </c>
      <c r="B561" s="451" t="s">
        <v>229</v>
      </c>
      <c r="C561" s="423"/>
      <c r="D561" s="423"/>
      <c r="E561" s="429"/>
      <c r="F561" s="94"/>
      <c r="G561" s="113"/>
      <c r="H561" s="59"/>
      <c r="I561" s="114"/>
      <c r="J561" s="59"/>
      <c r="K561" s="60"/>
      <c r="L561" s="92"/>
      <c r="M561" s="87"/>
      <c r="N561" s="87"/>
      <c r="O561" s="410"/>
      <c r="P561" s="87"/>
      <c r="Q561" s="87"/>
      <c r="R561" s="87"/>
      <c r="S561" s="87"/>
      <c r="T561" s="87"/>
      <c r="U561" s="87"/>
    </row>
    <row r="562" spans="1:21" s="62" customFormat="1" ht="24" customHeight="1">
      <c r="A562" s="67"/>
      <c r="B562" s="423" t="s">
        <v>150</v>
      </c>
      <c r="C562" s="424"/>
      <c r="D562" s="424"/>
      <c r="E562" s="425">
        <v>375.7</v>
      </c>
      <c r="F562" s="94" t="s">
        <v>151</v>
      </c>
      <c r="G562" s="113">
        <v>2516</v>
      </c>
      <c r="H562" s="59">
        <f t="shared" ref="H562:H576" si="114">ROUND(E562*G562,2)</f>
        <v>945261.2</v>
      </c>
      <c r="I562" s="114">
        <v>485</v>
      </c>
      <c r="J562" s="59">
        <f t="shared" ref="J562:J576" si="115">ROUND(E562*I562,2)</f>
        <v>182214.5</v>
      </c>
      <c r="K562" s="60">
        <f t="shared" ref="K562:K576" si="116">H562+J562</f>
        <v>1127475.7</v>
      </c>
      <c r="L562" s="92"/>
      <c r="M562" s="87"/>
      <c r="N562" s="87"/>
      <c r="O562" s="410"/>
      <c r="P562" s="87"/>
      <c r="Q562" s="87"/>
      <c r="R562" s="87"/>
      <c r="S562" s="87"/>
      <c r="T562" s="87"/>
      <c r="U562" s="87"/>
    </row>
    <row r="563" spans="1:21" s="62" customFormat="1" ht="24" customHeight="1">
      <c r="A563" s="67"/>
      <c r="B563" s="426" t="s">
        <v>152</v>
      </c>
      <c r="C563" s="423"/>
      <c r="D563" s="423"/>
      <c r="E563" s="425"/>
      <c r="F563" s="94"/>
      <c r="G563" s="113"/>
      <c r="H563" s="59">
        <f t="shared" si="114"/>
        <v>0</v>
      </c>
      <c r="I563" s="114"/>
      <c r="J563" s="59">
        <f t="shared" si="115"/>
        <v>0</v>
      </c>
      <c r="K563" s="60">
        <f t="shared" si="116"/>
        <v>0</v>
      </c>
      <c r="L563" s="92"/>
      <c r="M563" s="87"/>
      <c r="N563" s="87"/>
      <c r="O563" s="410"/>
      <c r="P563" s="87"/>
      <c r="Q563" s="87"/>
      <c r="R563" s="87"/>
      <c r="S563" s="87"/>
      <c r="T563" s="87"/>
      <c r="U563" s="87"/>
    </row>
    <row r="564" spans="1:21" s="62" customFormat="1" ht="24" customHeight="1">
      <c r="A564" s="67"/>
      <c r="B564" s="426"/>
      <c r="C564" s="423" t="s">
        <v>153</v>
      </c>
      <c r="D564" s="423"/>
      <c r="E564" s="425">
        <f>E565/2</f>
        <v>1243.1199999999999</v>
      </c>
      <c r="F564" s="94" t="s">
        <v>37</v>
      </c>
      <c r="G564" s="113">
        <v>661.62</v>
      </c>
      <c r="H564" s="59">
        <f t="shared" si="114"/>
        <v>822473.05</v>
      </c>
      <c r="I564" s="114"/>
      <c r="J564" s="59">
        <f t="shared" si="115"/>
        <v>0</v>
      </c>
      <c r="K564" s="60">
        <f t="shared" si="116"/>
        <v>822473.05</v>
      </c>
      <c r="L564" s="92"/>
      <c r="M564" s="87"/>
      <c r="N564" s="87"/>
      <c r="O564" s="410"/>
      <c r="P564" s="87"/>
      <c r="Q564" s="87"/>
      <c r="R564" s="87"/>
      <c r="S564" s="87"/>
      <c r="T564" s="87"/>
      <c r="U564" s="87"/>
    </row>
    <row r="565" spans="1:21" s="62" customFormat="1" ht="24" customHeight="1">
      <c r="A565" s="67"/>
      <c r="B565" s="426"/>
      <c r="C565" s="423" t="s">
        <v>154</v>
      </c>
      <c r="D565" s="423"/>
      <c r="E565" s="425">
        <v>2486.2399999999998</v>
      </c>
      <c r="F565" s="94" t="s">
        <v>37</v>
      </c>
      <c r="G565" s="113"/>
      <c r="H565" s="59">
        <f t="shared" si="114"/>
        <v>0</v>
      </c>
      <c r="I565" s="114">
        <v>154</v>
      </c>
      <c r="J565" s="59">
        <f t="shared" si="115"/>
        <v>382880.96</v>
      </c>
      <c r="K565" s="60">
        <f t="shared" si="116"/>
        <v>382880.96</v>
      </c>
      <c r="L565" s="92"/>
      <c r="M565" s="87"/>
      <c r="N565" s="87"/>
      <c r="O565" s="410"/>
      <c r="P565" s="87"/>
      <c r="Q565" s="87"/>
      <c r="R565" s="87"/>
      <c r="S565" s="87"/>
      <c r="T565" s="87"/>
      <c r="U565" s="87"/>
    </row>
    <row r="566" spans="1:21" s="62" customFormat="1" ht="24" customHeight="1">
      <c r="A566" s="67"/>
      <c r="B566" s="423" t="s">
        <v>155</v>
      </c>
      <c r="C566" s="423"/>
      <c r="D566" s="423"/>
      <c r="E566" s="425">
        <f>(E565*0.25)</f>
        <v>621.55999999999995</v>
      </c>
      <c r="F566" s="94" t="s">
        <v>156</v>
      </c>
      <c r="G566" s="113">
        <f t="shared" ref="G566" si="117">VLOOKUP(B566,$N$43:$O$53,2,FALSE)</f>
        <v>29.94</v>
      </c>
      <c r="H566" s="59">
        <f t="shared" si="114"/>
        <v>18609.509999999998</v>
      </c>
      <c r="I566" s="114"/>
      <c r="J566" s="59">
        <f t="shared" si="115"/>
        <v>0</v>
      </c>
      <c r="K566" s="60">
        <f t="shared" si="116"/>
        <v>18609.509999999998</v>
      </c>
      <c r="L566" s="92"/>
      <c r="M566" s="87"/>
      <c r="N566" s="87"/>
      <c r="O566" s="410"/>
      <c r="P566" s="87"/>
      <c r="Q566" s="87"/>
      <c r="R566" s="87"/>
      <c r="S566" s="87"/>
      <c r="T566" s="87"/>
      <c r="U566" s="87"/>
    </row>
    <row r="567" spans="1:21" s="62" customFormat="1" ht="24" customHeight="1">
      <c r="A567" s="67"/>
      <c r="B567" s="423" t="s">
        <v>157</v>
      </c>
      <c r="C567" s="423"/>
      <c r="D567" s="423"/>
      <c r="E567" s="425"/>
      <c r="F567" s="115"/>
      <c r="G567" s="101"/>
      <c r="H567" s="59">
        <f t="shared" si="114"/>
        <v>0</v>
      </c>
      <c r="I567" s="114"/>
      <c r="J567" s="59">
        <f t="shared" si="115"/>
        <v>0</v>
      </c>
      <c r="K567" s="60">
        <f t="shared" si="116"/>
        <v>0</v>
      </c>
      <c r="L567" s="92"/>
      <c r="M567" s="87"/>
      <c r="N567" s="87"/>
      <c r="O567" s="410"/>
      <c r="P567" s="87"/>
      <c r="Q567" s="87"/>
      <c r="R567" s="87"/>
      <c r="S567" s="87"/>
      <c r="T567" s="87"/>
      <c r="U567" s="87"/>
    </row>
    <row r="568" spans="1:21" s="62" customFormat="1" ht="24" customHeight="1">
      <c r="A568" s="67"/>
      <c r="B568" s="423" t="s">
        <v>158</v>
      </c>
      <c r="C568" s="423"/>
      <c r="D568" s="423"/>
      <c r="E568" s="425"/>
      <c r="F568" s="94" t="s">
        <v>156</v>
      </c>
      <c r="G568" s="113">
        <f>VLOOKUP(B568,$N$43:$O$54,2,FALSE)</f>
        <v>25.73</v>
      </c>
      <c r="H568" s="59">
        <f t="shared" si="114"/>
        <v>0</v>
      </c>
      <c r="I568" s="103">
        <v>4.0999999999999996</v>
      </c>
      <c r="J568" s="59">
        <f t="shared" si="115"/>
        <v>0</v>
      </c>
      <c r="K568" s="60">
        <f t="shared" si="116"/>
        <v>0</v>
      </c>
      <c r="L568" s="92"/>
      <c r="M568" s="87"/>
      <c r="N568" s="87"/>
      <c r="O568" s="410"/>
      <c r="P568" s="87"/>
      <c r="Q568" s="87"/>
      <c r="R568" s="87"/>
      <c r="S568" s="87"/>
      <c r="T568" s="87"/>
      <c r="U568" s="87"/>
    </row>
    <row r="569" spans="1:21" s="62" customFormat="1" ht="24" customHeight="1">
      <c r="A569" s="67"/>
      <c r="B569" s="423" t="s">
        <v>159</v>
      </c>
      <c r="C569" s="423"/>
      <c r="D569" s="423"/>
      <c r="E569" s="425"/>
      <c r="F569" s="94" t="s">
        <v>156</v>
      </c>
      <c r="G569" s="113">
        <f t="shared" ref="G569:G576" si="118">VLOOKUP(B569,$N$43:$O$54,2,FALSE)</f>
        <v>24.97</v>
      </c>
      <c r="H569" s="59">
        <f t="shared" si="114"/>
        <v>0</v>
      </c>
      <c r="I569" s="114">
        <v>4.0999999999999996</v>
      </c>
      <c r="J569" s="59">
        <f t="shared" si="115"/>
        <v>0</v>
      </c>
      <c r="K569" s="60">
        <f t="shared" si="116"/>
        <v>0</v>
      </c>
      <c r="L569" s="92"/>
      <c r="M569" s="87"/>
      <c r="N569" s="87"/>
      <c r="O569" s="410"/>
      <c r="P569" s="87"/>
      <c r="Q569" s="87"/>
      <c r="R569" s="87"/>
      <c r="S569" s="87"/>
      <c r="T569" s="87"/>
      <c r="U569" s="87"/>
    </row>
    <row r="570" spans="1:21" s="62" customFormat="1" ht="24" customHeight="1">
      <c r="A570" s="67"/>
      <c r="B570" s="423" t="s">
        <v>160</v>
      </c>
      <c r="C570" s="423"/>
      <c r="D570" s="423"/>
      <c r="E570" s="425">
        <v>912.94</v>
      </c>
      <c r="F570" s="94" t="s">
        <v>156</v>
      </c>
      <c r="G570" s="113">
        <f t="shared" si="118"/>
        <v>24.47</v>
      </c>
      <c r="H570" s="59">
        <f t="shared" si="114"/>
        <v>22339.64</v>
      </c>
      <c r="I570" s="114">
        <v>3.3</v>
      </c>
      <c r="J570" s="59">
        <f t="shared" si="115"/>
        <v>3012.7</v>
      </c>
      <c r="K570" s="60">
        <f t="shared" si="116"/>
        <v>25352.34</v>
      </c>
      <c r="L570" s="92"/>
      <c r="M570" s="87"/>
      <c r="N570" s="87"/>
      <c r="O570" s="410">
        <f>SUM(E568:E575)/E562</f>
        <v>359.581075326058</v>
      </c>
      <c r="P570" s="87"/>
      <c r="Q570" s="87"/>
      <c r="R570" s="87"/>
      <c r="S570" s="87"/>
      <c r="T570" s="87"/>
      <c r="U570" s="87"/>
    </row>
    <row r="571" spans="1:21" s="62" customFormat="1" ht="24" customHeight="1">
      <c r="A571" s="67"/>
      <c r="B571" s="423" t="s">
        <v>161</v>
      </c>
      <c r="C571" s="423"/>
      <c r="D571" s="423"/>
      <c r="E571" s="425">
        <v>55319.27</v>
      </c>
      <c r="F571" s="115" t="s">
        <v>156</v>
      </c>
      <c r="G571" s="113">
        <f t="shared" si="118"/>
        <v>24.27</v>
      </c>
      <c r="H571" s="59">
        <f t="shared" si="114"/>
        <v>1342598.68</v>
      </c>
      <c r="I571" s="114">
        <v>3.3</v>
      </c>
      <c r="J571" s="59">
        <f t="shared" si="115"/>
        <v>182553.59</v>
      </c>
      <c r="K571" s="60">
        <f t="shared" si="116"/>
        <v>1525152.27</v>
      </c>
      <c r="L571" s="92"/>
      <c r="M571" s="87"/>
      <c r="N571" s="87"/>
      <c r="O571" s="410"/>
      <c r="P571" s="87"/>
      <c r="Q571" s="87"/>
      <c r="R571" s="87"/>
      <c r="S571" s="87"/>
      <c r="T571" s="87"/>
      <c r="U571" s="87"/>
    </row>
    <row r="572" spans="1:21" s="62" customFormat="1" ht="24" customHeight="1">
      <c r="A572" s="67"/>
      <c r="B572" s="423" t="s">
        <v>162</v>
      </c>
      <c r="C572" s="423"/>
      <c r="D572" s="423"/>
      <c r="E572" s="425">
        <v>5786.51</v>
      </c>
      <c r="F572" s="94" t="s">
        <v>156</v>
      </c>
      <c r="G572" s="113">
        <f t="shared" si="118"/>
        <v>24.27</v>
      </c>
      <c r="H572" s="59">
        <f t="shared" si="114"/>
        <v>140438.6</v>
      </c>
      <c r="I572" s="114">
        <v>2.9</v>
      </c>
      <c r="J572" s="59">
        <f t="shared" si="115"/>
        <v>16780.88</v>
      </c>
      <c r="K572" s="60">
        <f t="shared" si="116"/>
        <v>157219.48000000001</v>
      </c>
      <c r="L572" s="92"/>
      <c r="M572" s="87"/>
      <c r="N572" s="87"/>
      <c r="O572" s="410"/>
      <c r="P572" s="87"/>
      <c r="Q572" s="87"/>
      <c r="R572" s="87"/>
      <c r="S572" s="87"/>
      <c r="T572" s="87"/>
      <c r="U572" s="87"/>
    </row>
    <row r="573" spans="1:21" s="62" customFormat="1" ht="24" customHeight="1">
      <c r="A573" s="67"/>
      <c r="B573" s="423" t="s">
        <v>163</v>
      </c>
      <c r="C573" s="423"/>
      <c r="D573" s="423"/>
      <c r="E573" s="425">
        <v>73075.89</v>
      </c>
      <c r="F573" s="94" t="s">
        <v>156</v>
      </c>
      <c r="G573" s="113">
        <f t="shared" si="118"/>
        <v>24.27</v>
      </c>
      <c r="H573" s="59">
        <f t="shared" si="114"/>
        <v>1773551.85</v>
      </c>
      <c r="I573" s="114">
        <v>2.9</v>
      </c>
      <c r="J573" s="59">
        <f t="shared" si="115"/>
        <v>211920.08</v>
      </c>
      <c r="K573" s="60">
        <f t="shared" si="116"/>
        <v>1985471.9300000002</v>
      </c>
      <c r="L573" s="92"/>
      <c r="M573" s="87"/>
      <c r="N573" s="87"/>
      <c r="O573" s="410"/>
      <c r="P573" s="87"/>
      <c r="Q573" s="87"/>
      <c r="R573" s="87"/>
      <c r="S573" s="87"/>
      <c r="T573" s="87"/>
      <c r="U573" s="87"/>
    </row>
    <row r="574" spans="1:21" s="62" customFormat="1" ht="24" customHeight="1">
      <c r="A574" s="67"/>
      <c r="B574" s="423" t="s">
        <v>164</v>
      </c>
      <c r="C574" s="423"/>
      <c r="D574" s="423"/>
      <c r="E574" s="425">
        <v>0</v>
      </c>
      <c r="F574" s="94" t="s">
        <v>156</v>
      </c>
      <c r="G574" s="113">
        <f t="shared" si="118"/>
        <v>24.27</v>
      </c>
      <c r="H574" s="59">
        <f t="shared" si="114"/>
        <v>0</v>
      </c>
      <c r="I574" s="114">
        <v>2.9</v>
      </c>
      <c r="J574" s="59">
        <f t="shared" si="115"/>
        <v>0</v>
      </c>
      <c r="K574" s="60">
        <f t="shared" si="116"/>
        <v>0</v>
      </c>
      <c r="L574" s="92"/>
      <c r="M574" s="87"/>
      <c r="N574" s="87"/>
      <c r="O574" s="410"/>
      <c r="P574" s="87"/>
      <c r="Q574" s="87"/>
      <c r="R574" s="87"/>
      <c r="S574" s="87"/>
      <c r="T574" s="87"/>
      <c r="U574" s="87"/>
    </row>
    <row r="575" spans="1:21" s="62" customFormat="1" ht="24" customHeight="1">
      <c r="A575" s="67"/>
      <c r="B575" s="423" t="s">
        <v>165</v>
      </c>
      <c r="C575" s="423"/>
      <c r="D575" s="423"/>
      <c r="E575" s="425">
        <v>0</v>
      </c>
      <c r="F575" s="94" t="s">
        <v>156</v>
      </c>
      <c r="G575" s="113">
        <f t="shared" si="118"/>
        <v>23.8</v>
      </c>
      <c r="H575" s="59">
        <f t="shared" si="114"/>
        <v>0</v>
      </c>
      <c r="I575" s="114">
        <v>2.9</v>
      </c>
      <c r="J575" s="59">
        <f t="shared" si="115"/>
        <v>0</v>
      </c>
      <c r="K575" s="60">
        <f t="shared" si="116"/>
        <v>0</v>
      </c>
      <c r="L575" s="92"/>
      <c r="M575" s="87"/>
      <c r="N575" s="87"/>
      <c r="O575" s="410"/>
      <c r="P575" s="87"/>
      <c r="Q575" s="87"/>
      <c r="R575" s="87"/>
      <c r="S575" s="87"/>
      <c r="T575" s="87"/>
      <c r="U575" s="87"/>
    </row>
    <row r="576" spans="1:21" s="62" customFormat="1" ht="24" customHeight="1">
      <c r="A576" s="67"/>
      <c r="B576" s="423" t="s">
        <v>166</v>
      </c>
      <c r="C576" s="423"/>
      <c r="D576" s="423"/>
      <c r="E576" s="425">
        <f>(SUM(E568:E575)/1000)*30</f>
        <v>4052.8382999999994</v>
      </c>
      <c r="F576" s="94" t="s">
        <v>156</v>
      </c>
      <c r="G576" s="113">
        <f t="shared" si="118"/>
        <v>29.92</v>
      </c>
      <c r="H576" s="59">
        <f t="shared" si="114"/>
        <v>121260.92</v>
      </c>
      <c r="I576" s="114"/>
      <c r="J576" s="59">
        <f t="shared" si="115"/>
        <v>0</v>
      </c>
      <c r="K576" s="60">
        <f t="shared" si="116"/>
        <v>121260.92</v>
      </c>
      <c r="L576" s="92"/>
      <c r="M576" s="87"/>
      <c r="N576" s="87"/>
      <c r="O576" s="410"/>
      <c r="P576" s="87"/>
      <c r="Q576" s="87"/>
      <c r="R576" s="87"/>
      <c r="S576" s="87"/>
      <c r="T576" s="87"/>
      <c r="U576" s="87"/>
    </row>
    <row r="577" spans="1:21" s="62" customFormat="1" ht="24" customHeight="1">
      <c r="A577" s="67"/>
      <c r="B577" s="423" t="s">
        <v>167</v>
      </c>
      <c r="C577" s="423"/>
      <c r="D577" s="423"/>
      <c r="E577" s="425"/>
      <c r="F577" s="94"/>
      <c r="G577" s="113"/>
      <c r="H577" s="59"/>
      <c r="I577" s="114"/>
      <c r="J577" s="59"/>
      <c r="K577" s="60"/>
      <c r="L577" s="92"/>
      <c r="M577" s="87"/>
      <c r="N577" s="87"/>
      <c r="O577" s="410"/>
      <c r="P577" s="87"/>
      <c r="Q577" s="87"/>
      <c r="R577" s="87"/>
      <c r="S577" s="87"/>
      <c r="T577" s="87"/>
      <c r="U577" s="87"/>
    </row>
    <row r="578" spans="1:21" s="62" customFormat="1" ht="24" customHeight="1">
      <c r="A578" s="93"/>
      <c r="B578" s="423"/>
      <c r="C578" s="423"/>
      <c r="D578" s="423"/>
      <c r="E578" s="425"/>
      <c r="F578" s="94"/>
      <c r="G578" s="113"/>
      <c r="H578" s="59"/>
      <c r="I578" s="114"/>
      <c r="J578" s="59"/>
      <c r="K578" s="60"/>
      <c r="L578" s="92"/>
      <c r="M578" s="87"/>
      <c r="N578" s="87"/>
      <c r="O578" s="410"/>
      <c r="P578" s="87"/>
      <c r="Q578" s="87"/>
      <c r="R578" s="87"/>
      <c r="S578" s="87"/>
      <c r="T578" s="87"/>
      <c r="U578" s="87"/>
    </row>
    <row r="579" spans="1:21" s="62" customFormat="1" ht="24" customHeight="1">
      <c r="A579" s="67"/>
      <c r="B579" s="95"/>
      <c r="C579" s="423"/>
      <c r="D579" s="423"/>
      <c r="E579" s="429"/>
      <c r="F579" s="94"/>
      <c r="G579" s="113"/>
      <c r="H579" s="59"/>
      <c r="I579" s="114"/>
      <c r="J579" s="59"/>
      <c r="K579" s="60"/>
      <c r="L579" s="92"/>
      <c r="M579" s="87"/>
      <c r="N579" s="87"/>
      <c r="O579" s="410"/>
      <c r="P579" s="87"/>
      <c r="Q579" s="87"/>
      <c r="R579" s="87"/>
      <c r="S579" s="87"/>
      <c r="T579" s="87"/>
      <c r="U579" s="87"/>
    </row>
    <row r="580" spans="1:21" s="62" customFormat="1" ht="24" customHeight="1">
      <c r="A580" s="67"/>
      <c r="B580" s="95"/>
      <c r="C580" s="423"/>
      <c r="D580" s="423"/>
      <c r="E580" s="429"/>
      <c r="F580" s="94"/>
      <c r="G580" s="113"/>
      <c r="H580" s="59"/>
      <c r="I580" s="114"/>
      <c r="J580" s="59"/>
      <c r="K580" s="60"/>
      <c r="L580" s="92"/>
      <c r="M580" s="87"/>
      <c r="N580" s="87"/>
      <c r="O580" s="410"/>
      <c r="P580" s="87"/>
      <c r="Q580" s="87"/>
      <c r="R580" s="87"/>
      <c r="S580" s="87"/>
      <c r="T580" s="87"/>
      <c r="U580" s="87"/>
    </row>
    <row r="581" spans="1:21" s="62" customFormat="1" ht="24" customHeight="1">
      <c r="A581" s="67"/>
      <c r="B581" s="95"/>
      <c r="C581" s="423"/>
      <c r="D581" s="423"/>
      <c r="E581" s="429"/>
      <c r="F581" s="94"/>
      <c r="G581" s="113"/>
      <c r="H581" s="59"/>
      <c r="I581" s="114"/>
      <c r="J581" s="59"/>
      <c r="K581" s="60"/>
      <c r="L581" s="92"/>
      <c r="M581" s="87"/>
      <c r="N581" s="87"/>
      <c r="O581" s="410"/>
      <c r="P581" s="87"/>
      <c r="Q581" s="87"/>
      <c r="R581" s="87"/>
      <c r="S581" s="87"/>
      <c r="T581" s="87"/>
      <c r="U581" s="87"/>
    </row>
    <row r="582" spans="1:21" s="62" customFormat="1" ht="24" customHeight="1">
      <c r="A582" s="67"/>
      <c r="B582" s="95"/>
      <c r="C582" s="423"/>
      <c r="D582" s="423"/>
      <c r="E582" s="429"/>
      <c r="F582" s="94"/>
      <c r="G582" s="113"/>
      <c r="H582" s="59"/>
      <c r="I582" s="114"/>
      <c r="J582" s="59"/>
      <c r="K582" s="60"/>
      <c r="L582" s="92"/>
      <c r="M582" s="87"/>
      <c r="N582" s="87"/>
      <c r="O582" s="410"/>
      <c r="P582" s="87"/>
      <c r="Q582" s="87"/>
      <c r="R582" s="87"/>
      <c r="S582" s="87"/>
      <c r="T582" s="87"/>
      <c r="U582" s="87"/>
    </row>
    <row r="583" spans="1:21" s="62" customFormat="1" ht="24" customHeight="1">
      <c r="A583" s="67"/>
      <c r="B583" s="95"/>
      <c r="C583" s="423"/>
      <c r="D583" s="423"/>
      <c r="E583" s="429"/>
      <c r="F583" s="94"/>
      <c r="G583" s="113"/>
      <c r="H583" s="59"/>
      <c r="I583" s="114"/>
      <c r="J583" s="59"/>
      <c r="K583" s="60"/>
      <c r="L583" s="92"/>
      <c r="M583" s="87"/>
      <c r="N583" s="87"/>
      <c r="O583" s="410"/>
      <c r="P583" s="87"/>
      <c r="Q583" s="87"/>
      <c r="R583" s="87"/>
      <c r="S583" s="87"/>
      <c r="T583" s="87"/>
      <c r="U583" s="87"/>
    </row>
    <row r="584" spans="1:21" s="62" customFormat="1" ht="24" customHeight="1">
      <c r="A584" s="67"/>
      <c r="B584" s="95"/>
      <c r="C584" s="423"/>
      <c r="D584" s="423"/>
      <c r="E584" s="429"/>
      <c r="F584" s="94"/>
      <c r="G584" s="113"/>
      <c r="H584" s="59"/>
      <c r="I584" s="114"/>
      <c r="J584" s="59"/>
      <c r="K584" s="60"/>
      <c r="L584" s="92"/>
      <c r="M584" s="87"/>
      <c r="N584" s="87"/>
      <c r="O584" s="410"/>
      <c r="P584" s="87"/>
      <c r="Q584" s="87"/>
      <c r="R584" s="87"/>
      <c r="S584" s="87"/>
      <c r="T584" s="87"/>
      <c r="U584" s="87"/>
    </row>
    <row r="585" spans="1:21" s="62" customFormat="1" ht="24" customHeight="1">
      <c r="A585" s="67"/>
      <c r="B585" s="95"/>
      <c r="C585" s="423"/>
      <c r="D585" s="423"/>
      <c r="E585" s="429"/>
      <c r="F585" s="94"/>
      <c r="G585" s="113"/>
      <c r="H585" s="59"/>
      <c r="I585" s="114"/>
      <c r="J585" s="59"/>
      <c r="K585" s="60"/>
      <c r="L585" s="92"/>
      <c r="M585" s="87"/>
      <c r="N585" s="87"/>
      <c r="O585" s="410"/>
      <c r="P585" s="87"/>
      <c r="Q585" s="87"/>
      <c r="R585" s="87"/>
      <c r="S585" s="87"/>
      <c r="T585" s="87"/>
      <c r="U585" s="87"/>
    </row>
    <row r="586" spans="1:21" s="62" customFormat="1" ht="24" customHeight="1">
      <c r="A586" s="450" t="s">
        <v>59</v>
      </c>
      <c r="B586" s="451" t="s">
        <v>189</v>
      </c>
      <c r="C586" s="423"/>
      <c r="D586" s="423"/>
      <c r="E586" s="118"/>
      <c r="F586" s="94"/>
      <c r="G586" s="113"/>
      <c r="H586" s="59"/>
      <c r="I586" s="114"/>
      <c r="J586" s="59"/>
      <c r="K586" s="60"/>
      <c r="L586" s="92"/>
      <c r="M586" s="87"/>
      <c r="N586" s="87"/>
      <c r="O586" s="410"/>
      <c r="P586" s="87"/>
      <c r="Q586" s="87"/>
      <c r="R586" s="87"/>
      <c r="S586" s="87"/>
      <c r="T586" s="87"/>
      <c r="U586" s="87"/>
    </row>
    <row r="587" spans="1:21" s="62" customFormat="1" ht="24" customHeight="1">
      <c r="A587" s="67"/>
      <c r="B587" s="423" t="s">
        <v>150</v>
      </c>
      <c r="C587" s="424"/>
      <c r="D587" s="424"/>
      <c r="E587" s="425">
        <v>90.58</v>
      </c>
      <c r="F587" s="94" t="s">
        <v>151</v>
      </c>
      <c r="G587" s="113">
        <v>2516</v>
      </c>
      <c r="H587" s="59">
        <f t="shared" ref="H587:H602" si="119">ROUND(E587*G587,2)</f>
        <v>227899.28</v>
      </c>
      <c r="I587" s="114">
        <v>485</v>
      </c>
      <c r="J587" s="59">
        <f t="shared" ref="J587:J602" si="120">ROUND(E587*I587,2)</f>
        <v>43931.3</v>
      </c>
      <c r="K587" s="60">
        <f t="shared" ref="K587:K602" si="121">H587+J587</f>
        <v>271830.58</v>
      </c>
      <c r="L587" s="92"/>
      <c r="M587" s="87"/>
      <c r="N587" s="87"/>
      <c r="O587" s="410"/>
      <c r="P587" s="87"/>
      <c r="Q587" s="87"/>
      <c r="R587" s="87"/>
      <c r="S587" s="87"/>
      <c r="T587" s="87"/>
      <c r="U587" s="87"/>
    </row>
    <row r="588" spans="1:21" s="62" customFormat="1" ht="24" customHeight="1">
      <c r="A588" s="67"/>
      <c r="B588" s="426" t="s">
        <v>152</v>
      </c>
      <c r="C588" s="423"/>
      <c r="D588" s="423"/>
      <c r="E588" s="425"/>
      <c r="F588" s="94"/>
      <c r="G588" s="113"/>
      <c r="H588" s="59">
        <f t="shared" si="119"/>
        <v>0</v>
      </c>
      <c r="I588" s="114"/>
      <c r="J588" s="59">
        <f t="shared" si="120"/>
        <v>0</v>
      </c>
      <c r="K588" s="60">
        <f t="shared" si="121"/>
        <v>0</v>
      </c>
      <c r="L588" s="92"/>
      <c r="M588" s="87"/>
      <c r="N588" s="87"/>
      <c r="O588" s="410"/>
      <c r="P588" s="87"/>
      <c r="Q588" s="87"/>
      <c r="R588" s="87"/>
      <c r="S588" s="87"/>
      <c r="T588" s="87"/>
      <c r="U588" s="87"/>
    </row>
    <row r="589" spans="1:21" s="62" customFormat="1" ht="24" customHeight="1">
      <c r="A589" s="67"/>
      <c r="B589" s="426"/>
      <c r="C589" s="423" t="s">
        <v>153</v>
      </c>
      <c r="D589" s="423"/>
      <c r="E589" s="425">
        <f>E590/2</f>
        <v>236.23</v>
      </c>
      <c r="F589" s="94" t="s">
        <v>37</v>
      </c>
      <c r="G589" s="113">
        <v>661.62</v>
      </c>
      <c r="H589" s="59">
        <f t="shared" si="119"/>
        <v>156294.49</v>
      </c>
      <c r="I589" s="114"/>
      <c r="J589" s="59">
        <f t="shared" si="120"/>
        <v>0</v>
      </c>
      <c r="K589" s="60">
        <f t="shared" si="121"/>
        <v>156294.49</v>
      </c>
      <c r="L589" s="92"/>
      <c r="M589" s="87"/>
      <c r="N589" s="87"/>
      <c r="O589" s="410"/>
      <c r="P589" s="87"/>
      <c r="Q589" s="87"/>
      <c r="R589" s="87"/>
      <c r="S589" s="87"/>
      <c r="T589" s="87"/>
      <c r="U589" s="87"/>
    </row>
    <row r="590" spans="1:21" s="62" customFormat="1" ht="24" customHeight="1">
      <c r="A590" s="67"/>
      <c r="B590" s="426"/>
      <c r="C590" s="423" t="s">
        <v>154</v>
      </c>
      <c r="D590" s="423"/>
      <c r="E590" s="425">
        <v>472.46</v>
      </c>
      <c r="F590" s="94" t="s">
        <v>37</v>
      </c>
      <c r="G590" s="113"/>
      <c r="H590" s="59">
        <f t="shared" si="119"/>
        <v>0</v>
      </c>
      <c r="I590" s="114">
        <v>154</v>
      </c>
      <c r="J590" s="59">
        <f t="shared" si="120"/>
        <v>72758.84</v>
      </c>
      <c r="K590" s="60">
        <f t="shared" si="121"/>
        <v>72758.84</v>
      </c>
      <c r="L590" s="92"/>
      <c r="M590" s="87"/>
      <c r="N590" s="87"/>
      <c r="O590" s="410"/>
      <c r="P590" s="87"/>
      <c r="Q590" s="87"/>
      <c r="R590" s="87"/>
      <c r="S590" s="87"/>
      <c r="T590" s="87"/>
      <c r="U590" s="87"/>
    </row>
    <row r="591" spans="1:21" s="62" customFormat="1" ht="24" customHeight="1">
      <c r="A591" s="67"/>
      <c r="B591" s="423" t="s">
        <v>155</v>
      </c>
      <c r="C591" s="423"/>
      <c r="D591" s="423"/>
      <c r="E591" s="425">
        <f>(E590*0.25)</f>
        <v>118.11499999999999</v>
      </c>
      <c r="F591" s="94" t="s">
        <v>156</v>
      </c>
      <c r="G591" s="113">
        <f t="shared" ref="G591" si="122">VLOOKUP(B591,$N$43:$O$53,2,FALSE)</f>
        <v>29.94</v>
      </c>
      <c r="H591" s="59">
        <f t="shared" si="119"/>
        <v>3536.36</v>
      </c>
      <c r="I591" s="114"/>
      <c r="J591" s="59">
        <f t="shared" si="120"/>
        <v>0</v>
      </c>
      <c r="K591" s="60">
        <f t="shared" si="121"/>
        <v>3536.36</v>
      </c>
      <c r="L591" s="92"/>
      <c r="M591" s="87"/>
      <c r="N591" s="87"/>
      <c r="O591" s="410"/>
      <c r="P591" s="87"/>
      <c r="Q591" s="87"/>
      <c r="R591" s="87"/>
      <c r="S591" s="87"/>
      <c r="T591" s="87"/>
      <c r="U591" s="87"/>
    </row>
    <row r="592" spans="1:21" s="62" customFormat="1" ht="24" customHeight="1">
      <c r="A592" s="67"/>
      <c r="B592" s="423" t="s">
        <v>157</v>
      </c>
      <c r="C592" s="423"/>
      <c r="D592" s="423"/>
      <c r="E592" s="425"/>
      <c r="F592" s="115"/>
      <c r="G592" s="101"/>
      <c r="H592" s="59">
        <f t="shared" si="119"/>
        <v>0</v>
      </c>
      <c r="I592" s="114"/>
      <c r="J592" s="59">
        <f t="shared" si="120"/>
        <v>0</v>
      </c>
      <c r="K592" s="60">
        <f t="shared" si="121"/>
        <v>0</v>
      </c>
      <c r="L592" s="92"/>
      <c r="M592" s="87"/>
      <c r="N592" s="87"/>
      <c r="O592" s="410"/>
      <c r="P592" s="87"/>
      <c r="Q592" s="87"/>
      <c r="R592" s="87"/>
      <c r="S592" s="87"/>
      <c r="T592" s="87"/>
      <c r="U592" s="87"/>
    </row>
    <row r="593" spans="1:21" s="62" customFormat="1" ht="24" customHeight="1">
      <c r="A593" s="67"/>
      <c r="B593" s="428" t="s">
        <v>158</v>
      </c>
      <c r="C593" s="428"/>
      <c r="D593" s="428"/>
      <c r="E593" s="425">
        <v>0</v>
      </c>
      <c r="F593" s="94" t="s">
        <v>156</v>
      </c>
      <c r="G593" s="113">
        <f>VLOOKUP(B593,$N$43:$O$54,2,FALSE)</f>
        <v>25.73</v>
      </c>
      <c r="H593" s="59">
        <f t="shared" si="119"/>
        <v>0</v>
      </c>
      <c r="I593" s="103">
        <v>4.0999999999999996</v>
      </c>
      <c r="J593" s="59">
        <f t="shared" si="120"/>
        <v>0</v>
      </c>
      <c r="K593" s="60">
        <f t="shared" si="121"/>
        <v>0</v>
      </c>
      <c r="L593" s="92"/>
      <c r="M593" s="87"/>
      <c r="N593" s="87"/>
      <c r="O593" s="410"/>
      <c r="P593" s="87"/>
      <c r="Q593" s="87"/>
      <c r="R593" s="87"/>
      <c r="S593" s="87"/>
      <c r="T593" s="87"/>
      <c r="U593" s="87"/>
    </row>
    <row r="594" spans="1:21" s="62" customFormat="1" ht="24" customHeight="1">
      <c r="A594" s="67"/>
      <c r="B594" s="423" t="s">
        <v>159</v>
      </c>
      <c r="C594" s="423"/>
      <c r="D594" s="423"/>
      <c r="E594" s="425">
        <v>1629.61</v>
      </c>
      <c r="F594" s="94" t="s">
        <v>156</v>
      </c>
      <c r="G594" s="113">
        <f t="shared" ref="G594:G602" si="123">VLOOKUP(B594,$N$43:$O$54,2,FALSE)</f>
        <v>24.97</v>
      </c>
      <c r="H594" s="59">
        <f t="shared" si="119"/>
        <v>40691.360000000001</v>
      </c>
      <c r="I594" s="114">
        <v>4.0999999999999996</v>
      </c>
      <c r="J594" s="59">
        <f t="shared" si="120"/>
        <v>6681.4</v>
      </c>
      <c r="K594" s="60">
        <f t="shared" si="121"/>
        <v>47372.76</v>
      </c>
      <c r="L594" s="92"/>
      <c r="M594" s="87"/>
      <c r="N594" s="87"/>
      <c r="O594" s="410"/>
      <c r="P594" s="87"/>
      <c r="Q594" s="87"/>
      <c r="R594" s="87"/>
      <c r="S594" s="87"/>
      <c r="T594" s="87"/>
      <c r="U594" s="87"/>
    </row>
    <row r="595" spans="1:21" s="62" customFormat="1" ht="24" customHeight="1">
      <c r="A595" s="67"/>
      <c r="B595" s="423" t="s">
        <v>328</v>
      </c>
      <c r="C595" s="423"/>
      <c r="D595" s="423"/>
      <c r="E595" s="425">
        <v>362.65</v>
      </c>
      <c r="F595" s="94" t="s">
        <v>156</v>
      </c>
      <c r="G595" s="113">
        <f t="shared" si="123"/>
        <v>23.5</v>
      </c>
      <c r="H595" s="59">
        <f t="shared" si="119"/>
        <v>8522.2800000000007</v>
      </c>
      <c r="I595" s="114">
        <v>3.3</v>
      </c>
      <c r="J595" s="59">
        <f t="shared" si="120"/>
        <v>1196.75</v>
      </c>
      <c r="K595" s="60">
        <f t="shared" si="121"/>
        <v>9719.0300000000007</v>
      </c>
      <c r="L595" s="92"/>
      <c r="M595" s="87"/>
      <c r="N595" s="87"/>
      <c r="O595" s="410"/>
      <c r="P595" s="87"/>
      <c r="Q595" s="87"/>
      <c r="R595" s="87"/>
      <c r="S595" s="87"/>
      <c r="T595" s="87"/>
      <c r="U595" s="87"/>
    </row>
    <row r="596" spans="1:21" s="62" customFormat="1" ht="24" customHeight="1">
      <c r="A596" s="67"/>
      <c r="B596" s="423" t="s">
        <v>160</v>
      </c>
      <c r="C596" s="423"/>
      <c r="D596" s="423"/>
      <c r="E596" s="425">
        <v>8280.0499999999993</v>
      </c>
      <c r="F596" s="94" t="s">
        <v>156</v>
      </c>
      <c r="G596" s="113">
        <f t="shared" si="123"/>
        <v>24.47</v>
      </c>
      <c r="H596" s="59">
        <f t="shared" si="119"/>
        <v>202612.82</v>
      </c>
      <c r="I596" s="114">
        <v>3.3</v>
      </c>
      <c r="J596" s="59">
        <f t="shared" si="120"/>
        <v>27324.17</v>
      </c>
      <c r="K596" s="60">
        <f t="shared" si="121"/>
        <v>229936.99</v>
      </c>
      <c r="L596" s="92"/>
      <c r="M596" s="87"/>
      <c r="N596" s="87"/>
      <c r="O596" s="410"/>
      <c r="P596" s="87"/>
      <c r="Q596" s="87"/>
      <c r="R596" s="87"/>
      <c r="S596" s="87"/>
      <c r="T596" s="87"/>
      <c r="U596" s="87"/>
    </row>
    <row r="597" spans="1:21" s="62" customFormat="1" ht="24" customHeight="1">
      <c r="A597" s="67"/>
      <c r="B597" s="423" t="s">
        <v>161</v>
      </c>
      <c r="C597" s="423"/>
      <c r="D597" s="423"/>
      <c r="E597" s="425">
        <v>2325.12</v>
      </c>
      <c r="F597" s="115" t="s">
        <v>156</v>
      </c>
      <c r="G597" s="113">
        <f t="shared" si="123"/>
        <v>24.27</v>
      </c>
      <c r="H597" s="59">
        <f t="shared" si="119"/>
        <v>56430.66</v>
      </c>
      <c r="I597" s="114">
        <v>3.3</v>
      </c>
      <c r="J597" s="59">
        <f t="shared" si="120"/>
        <v>7672.9</v>
      </c>
      <c r="K597" s="60">
        <f t="shared" si="121"/>
        <v>64103.560000000005</v>
      </c>
      <c r="L597" s="92"/>
      <c r="M597" s="87"/>
      <c r="N597" s="87"/>
      <c r="O597" s="410"/>
      <c r="P597" s="87"/>
      <c r="Q597" s="87"/>
      <c r="R597" s="87"/>
      <c r="S597" s="87"/>
      <c r="T597" s="87"/>
      <c r="U597" s="87"/>
    </row>
    <row r="598" spans="1:21" s="62" customFormat="1" ht="24" customHeight="1">
      <c r="A598" s="67"/>
      <c r="B598" s="428" t="s">
        <v>162</v>
      </c>
      <c r="C598" s="428"/>
      <c r="D598" s="428"/>
      <c r="E598" s="425">
        <v>0</v>
      </c>
      <c r="F598" s="94" t="s">
        <v>156</v>
      </c>
      <c r="G598" s="113">
        <f t="shared" si="123"/>
        <v>24.27</v>
      </c>
      <c r="H598" s="59">
        <f t="shared" si="119"/>
        <v>0</v>
      </c>
      <c r="I598" s="114">
        <v>2.9</v>
      </c>
      <c r="J598" s="59">
        <f t="shared" si="120"/>
        <v>0</v>
      </c>
      <c r="K598" s="60">
        <f t="shared" si="121"/>
        <v>0</v>
      </c>
      <c r="L598" s="92"/>
      <c r="M598" s="87"/>
      <c r="N598" s="87"/>
      <c r="O598" s="410"/>
      <c r="P598" s="87"/>
      <c r="Q598" s="87"/>
      <c r="R598" s="87"/>
      <c r="S598" s="87"/>
      <c r="T598" s="87"/>
      <c r="U598" s="87"/>
    </row>
    <row r="599" spans="1:21" s="62" customFormat="1" ht="24" customHeight="1">
      <c r="A599" s="67"/>
      <c r="B599" s="423" t="s">
        <v>163</v>
      </c>
      <c r="C599" s="423"/>
      <c r="D599" s="423"/>
      <c r="E599" s="425"/>
      <c r="F599" s="94" t="s">
        <v>156</v>
      </c>
      <c r="G599" s="113">
        <f t="shared" si="123"/>
        <v>24.27</v>
      </c>
      <c r="H599" s="59">
        <f t="shared" si="119"/>
        <v>0</v>
      </c>
      <c r="I599" s="114">
        <v>2.9</v>
      </c>
      <c r="J599" s="59">
        <f t="shared" si="120"/>
        <v>0</v>
      </c>
      <c r="K599" s="60">
        <f t="shared" si="121"/>
        <v>0</v>
      </c>
      <c r="L599" s="92"/>
      <c r="M599" s="87"/>
      <c r="N599" s="87"/>
      <c r="O599" s="410"/>
      <c r="P599" s="87"/>
      <c r="Q599" s="87"/>
      <c r="R599" s="87"/>
      <c r="S599" s="87"/>
      <c r="T599" s="87"/>
      <c r="U599" s="87"/>
    </row>
    <row r="600" spans="1:21" s="62" customFormat="1" ht="24" customHeight="1">
      <c r="A600" s="67"/>
      <c r="B600" s="423" t="s">
        <v>164</v>
      </c>
      <c r="C600" s="423"/>
      <c r="D600" s="423"/>
      <c r="E600" s="425"/>
      <c r="F600" s="94" t="s">
        <v>156</v>
      </c>
      <c r="G600" s="113">
        <f t="shared" si="123"/>
        <v>24.27</v>
      </c>
      <c r="H600" s="59">
        <f t="shared" si="119"/>
        <v>0</v>
      </c>
      <c r="I600" s="114">
        <v>2.9</v>
      </c>
      <c r="J600" s="59">
        <f t="shared" si="120"/>
        <v>0</v>
      </c>
      <c r="K600" s="60">
        <f t="shared" si="121"/>
        <v>0</v>
      </c>
      <c r="L600" s="92"/>
      <c r="M600" s="87"/>
      <c r="N600" s="87"/>
      <c r="O600" s="410"/>
      <c r="P600" s="87"/>
      <c r="Q600" s="87"/>
      <c r="R600" s="87"/>
      <c r="S600" s="87"/>
      <c r="T600" s="87"/>
      <c r="U600" s="87"/>
    </row>
    <row r="601" spans="1:21" s="62" customFormat="1" ht="24" customHeight="1">
      <c r="A601" s="67"/>
      <c r="B601" s="423" t="s">
        <v>165</v>
      </c>
      <c r="C601" s="423"/>
      <c r="D601" s="423"/>
      <c r="E601" s="425"/>
      <c r="F601" s="94" t="s">
        <v>156</v>
      </c>
      <c r="G601" s="113">
        <f t="shared" si="123"/>
        <v>23.8</v>
      </c>
      <c r="H601" s="59">
        <f t="shared" si="119"/>
        <v>0</v>
      </c>
      <c r="I601" s="114">
        <v>2.9</v>
      </c>
      <c r="J601" s="59">
        <f t="shared" si="120"/>
        <v>0</v>
      </c>
      <c r="K601" s="60">
        <f t="shared" si="121"/>
        <v>0</v>
      </c>
      <c r="L601" s="92"/>
      <c r="M601" s="87"/>
      <c r="N601" s="87"/>
      <c r="O601" s="410"/>
      <c r="P601" s="87"/>
      <c r="Q601" s="87"/>
      <c r="R601" s="87"/>
      <c r="S601" s="87"/>
      <c r="T601" s="87"/>
      <c r="U601" s="87"/>
    </row>
    <row r="602" spans="1:21" s="62" customFormat="1" ht="24" customHeight="1">
      <c r="A602" s="67"/>
      <c r="B602" s="423" t="s">
        <v>166</v>
      </c>
      <c r="C602" s="423"/>
      <c r="D602" s="423"/>
      <c r="E602" s="425">
        <f>(SUM(E593:E601)/1000)*30</f>
        <v>377.92290000000003</v>
      </c>
      <c r="F602" s="94" t="s">
        <v>156</v>
      </c>
      <c r="G602" s="113">
        <f t="shared" si="123"/>
        <v>29.92</v>
      </c>
      <c r="H602" s="59">
        <f t="shared" si="119"/>
        <v>11307.45</v>
      </c>
      <c r="I602" s="114"/>
      <c r="J602" s="59">
        <f t="shared" si="120"/>
        <v>0</v>
      </c>
      <c r="K602" s="60">
        <f t="shared" si="121"/>
        <v>11307.45</v>
      </c>
      <c r="L602" s="92"/>
      <c r="M602" s="87"/>
      <c r="N602" s="87"/>
      <c r="O602" s="410"/>
      <c r="P602" s="87"/>
      <c r="Q602" s="87"/>
      <c r="R602" s="87"/>
      <c r="S602" s="87"/>
      <c r="T602" s="87"/>
      <c r="U602" s="87"/>
    </row>
    <row r="603" spans="1:21" s="62" customFormat="1" ht="24" customHeight="1">
      <c r="A603" s="93"/>
      <c r="B603" s="423" t="s">
        <v>167</v>
      </c>
      <c r="C603" s="423"/>
      <c r="D603" s="423"/>
      <c r="E603" s="425"/>
      <c r="F603" s="94"/>
      <c r="G603" s="113"/>
      <c r="H603" s="59"/>
      <c r="I603" s="114"/>
      <c r="J603" s="59"/>
      <c r="K603" s="60"/>
      <c r="L603" s="92"/>
      <c r="M603" s="87"/>
      <c r="N603" s="87"/>
      <c r="O603" s="410"/>
      <c r="P603" s="87"/>
      <c r="Q603" s="87"/>
      <c r="R603" s="87"/>
      <c r="S603" s="87"/>
      <c r="T603" s="87"/>
      <c r="U603" s="87"/>
    </row>
    <row r="604" spans="1:21" s="62" customFormat="1" ht="24" customHeight="1">
      <c r="A604" s="67"/>
      <c r="B604" s="423"/>
      <c r="C604" s="423"/>
      <c r="D604" s="423"/>
      <c r="E604" s="425"/>
      <c r="F604" s="94"/>
      <c r="G604" s="113"/>
      <c r="H604" s="59"/>
      <c r="I604" s="114"/>
      <c r="J604" s="59"/>
      <c r="K604" s="60">
        <f t="shared" ref="K604" si="124">H604+J604</f>
        <v>0</v>
      </c>
      <c r="L604" s="92"/>
      <c r="M604" s="87"/>
      <c r="N604" s="87"/>
      <c r="O604" s="410"/>
      <c r="P604" s="87"/>
      <c r="Q604" s="87"/>
      <c r="R604" s="87"/>
      <c r="S604" s="87"/>
      <c r="T604" s="87"/>
      <c r="U604" s="87"/>
    </row>
    <row r="605" spans="1:21" s="62" customFormat="1" ht="24" customHeight="1">
      <c r="A605" s="67"/>
      <c r="B605" s="95"/>
      <c r="C605" s="423"/>
      <c r="D605" s="423"/>
      <c r="E605" s="429"/>
      <c r="F605" s="94"/>
      <c r="G605" s="113"/>
      <c r="H605" s="59"/>
      <c r="I605" s="114"/>
      <c r="J605" s="59"/>
      <c r="K605" s="60"/>
      <c r="L605" s="92"/>
      <c r="M605" s="87"/>
      <c r="N605" s="87"/>
      <c r="O605" s="410"/>
      <c r="P605" s="87"/>
      <c r="Q605" s="87"/>
      <c r="R605" s="87"/>
      <c r="S605" s="87"/>
      <c r="T605" s="87"/>
      <c r="U605" s="87"/>
    </row>
    <row r="606" spans="1:21" s="62" customFormat="1" ht="24" customHeight="1">
      <c r="A606" s="67"/>
      <c r="B606" s="95"/>
      <c r="C606" s="423"/>
      <c r="D606" s="423"/>
      <c r="E606" s="429"/>
      <c r="F606" s="94"/>
      <c r="G606" s="113"/>
      <c r="H606" s="59"/>
      <c r="I606" s="114"/>
      <c r="J606" s="59"/>
      <c r="K606" s="60"/>
      <c r="L606" s="92"/>
      <c r="M606" s="87"/>
      <c r="N606" s="87"/>
      <c r="O606" s="410"/>
      <c r="P606" s="87"/>
      <c r="Q606" s="87"/>
      <c r="R606" s="87"/>
      <c r="S606" s="87"/>
      <c r="T606" s="87"/>
      <c r="U606" s="87"/>
    </row>
    <row r="607" spans="1:21" s="62" customFormat="1" ht="24" customHeight="1">
      <c r="A607" s="67"/>
      <c r="B607" s="95"/>
      <c r="C607" s="423"/>
      <c r="D607" s="423"/>
      <c r="E607" s="429"/>
      <c r="F607" s="94"/>
      <c r="G607" s="113"/>
      <c r="H607" s="59"/>
      <c r="I607" s="114"/>
      <c r="J607" s="59"/>
      <c r="K607" s="60"/>
      <c r="L607" s="92"/>
      <c r="M607" s="87"/>
      <c r="N607" s="87"/>
      <c r="O607" s="410"/>
      <c r="P607" s="87"/>
      <c r="Q607" s="87"/>
      <c r="R607" s="87"/>
      <c r="S607" s="87"/>
      <c r="T607" s="87"/>
      <c r="U607" s="87"/>
    </row>
    <row r="608" spans="1:21" s="62" customFormat="1" ht="24" customHeight="1">
      <c r="A608" s="67"/>
      <c r="B608" s="95"/>
      <c r="C608" s="423"/>
      <c r="D608" s="423"/>
      <c r="E608" s="429"/>
      <c r="F608" s="94"/>
      <c r="G608" s="113"/>
      <c r="H608" s="59"/>
      <c r="I608" s="114"/>
      <c r="J608" s="59"/>
      <c r="K608" s="60"/>
      <c r="L608" s="92"/>
      <c r="M608" s="87"/>
      <c r="N608" s="87"/>
      <c r="O608" s="410"/>
      <c r="P608" s="87"/>
      <c r="Q608" s="87"/>
      <c r="R608" s="87"/>
      <c r="S608" s="87"/>
      <c r="T608" s="87"/>
      <c r="U608" s="87"/>
    </row>
    <row r="609" spans="1:21" s="62" customFormat="1" ht="24" customHeight="1">
      <c r="A609" s="97"/>
      <c r="B609" s="430"/>
      <c r="C609" s="430"/>
      <c r="D609" s="430"/>
      <c r="E609" s="431"/>
      <c r="F609" s="432"/>
      <c r="G609" s="101"/>
      <c r="H609" s="102"/>
      <c r="I609" s="103"/>
      <c r="J609" s="102"/>
      <c r="K609" s="104"/>
      <c r="L609" s="433"/>
      <c r="M609" s="87"/>
      <c r="N609" s="87"/>
      <c r="O609" s="410"/>
      <c r="P609" s="87"/>
      <c r="Q609" s="87"/>
      <c r="R609" s="87"/>
      <c r="S609" s="87"/>
      <c r="T609" s="87"/>
      <c r="U609" s="87"/>
    </row>
    <row r="610" spans="1:21" s="62" customFormat="1" ht="24" customHeight="1">
      <c r="A610" s="109"/>
      <c r="B610" s="2444" t="str">
        <f>"รวมราคารายการที่ "&amp;A486</f>
        <v>รวมราคารายการที่ 1.5</v>
      </c>
      <c r="C610" s="2444"/>
      <c r="D610" s="2444"/>
      <c r="E610" s="110"/>
      <c r="F610" s="111"/>
      <c r="G610" s="112"/>
      <c r="H610" s="106">
        <f>ROUND(SUBTOTAL(9,H489:H609),2)</f>
        <v>21739866.850000001</v>
      </c>
      <c r="I610" s="108"/>
      <c r="J610" s="106">
        <f>ROUND(SUBTOTAL(9,J489:J609),2)</f>
        <v>4052976.65</v>
      </c>
      <c r="K610" s="106">
        <f>ROUND(SUBTOTAL(9,K489:K609),2)</f>
        <v>25792843.5</v>
      </c>
      <c r="L610" s="106"/>
      <c r="M610" s="87"/>
      <c r="N610" s="87"/>
      <c r="O610" s="410"/>
      <c r="P610" s="87"/>
      <c r="Q610" s="87"/>
      <c r="R610" s="87"/>
      <c r="S610" s="87"/>
      <c r="T610" s="87"/>
      <c r="U610" s="87"/>
    </row>
    <row r="611" spans="1:21" s="62" customFormat="1" ht="24" customHeight="1">
      <c r="A611" s="90">
        <v>1.6</v>
      </c>
      <c r="B611" s="411" t="s">
        <v>345</v>
      </c>
      <c r="C611" s="430"/>
      <c r="D611" s="430"/>
      <c r="E611" s="431"/>
      <c r="F611" s="432"/>
      <c r="G611" s="101"/>
      <c r="H611" s="102"/>
      <c r="I611" s="103"/>
      <c r="J611" s="102"/>
      <c r="K611" s="104"/>
      <c r="L611" s="433"/>
      <c r="M611" s="87"/>
      <c r="N611" s="87"/>
      <c r="O611" s="410"/>
      <c r="P611" s="87"/>
      <c r="Q611" s="87"/>
      <c r="R611" s="87"/>
      <c r="S611" s="87"/>
      <c r="T611" s="87"/>
      <c r="U611" s="87"/>
    </row>
    <row r="612" spans="1:21" s="62" customFormat="1" ht="24" customHeight="1">
      <c r="A612" s="67"/>
      <c r="B612" s="117"/>
      <c r="C612" s="423"/>
      <c r="D612" s="423"/>
      <c r="E612" s="429"/>
      <c r="F612" s="94"/>
      <c r="G612" s="113"/>
      <c r="H612" s="59"/>
      <c r="I612" s="114"/>
      <c r="J612" s="59"/>
      <c r="K612" s="60"/>
      <c r="L612" s="92"/>
      <c r="M612" s="87"/>
      <c r="N612" s="87"/>
      <c r="O612" s="410"/>
      <c r="P612" s="87"/>
      <c r="Q612" s="87"/>
      <c r="R612" s="87"/>
      <c r="S612" s="87"/>
      <c r="T612" s="87"/>
      <c r="U612" s="87"/>
    </row>
    <row r="613" spans="1:21" s="62" customFormat="1" ht="24" customHeight="1">
      <c r="A613" s="450" t="s">
        <v>190</v>
      </c>
      <c r="B613" s="451" t="s">
        <v>191</v>
      </c>
      <c r="C613" s="423"/>
      <c r="D613" s="423"/>
      <c r="E613" s="425"/>
      <c r="F613" s="94"/>
      <c r="G613" s="113"/>
      <c r="H613" s="59"/>
      <c r="I613" s="114"/>
      <c r="J613" s="59"/>
      <c r="K613" s="60"/>
      <c r="L613" s="92"/>
      <c r="M613" s="87"/>
      <c r="N613" s="87"/>
      <c r="O613" s="410"/>
      <c r="P613" s="87"/>
      <c r="Q613" s="87"/>
      <c r="R613" s="87"/>
      <c r="S613" s="87"/>
      <c r="T613" s="87"/>
      <c r="U613" s="87"/>
    </row>
    <row r="614" spans="1:21" s="62" customFormat="1" ht="24" customHeight="1">
      <c r="A614" s="67"/>
      <c r="B614" s="423" t="s">
        <v>150</v>
      </c>
      <c r="C614" s="424"/>
      <c r="D614" s="424"/>
      <c r="E614" s="425">
        <v>1234.18</v>
      </c>
      <c r="F614" s="94" t="s">
        <v>151</v>
      </c>
      <c r="G614" s="113">
        <v>2516</v>
      </c>
      <c r="H614" s="59">
        <f t="shared" ref="H614:H629" si="125">ROUND(E614*G614,2)</f>
        <v>3105196.88</v>
      </c>
      <c r="I614" s="114">
        <v>485</v>
      </c>
      <c r="J614" s="59">
        <f t="shared" ref="J614:J629" si="126">ROUND(E614*I614,2)</f>
        <v>598577.30000000005</v>
      </c>
      <c r="K614" s="60">
        <f t="shared" ref="K614:K629" si="127">H614+J614</f>
        <v>3703774.1799999997</v>
      </c>
      <c r="L614" s="92"/>
      <c r="M614" s="87"/>
      <c r="N614" s="87"/>
      <c r="O614" s="410"/>
      <c r="P614" s="87"/>
      <c r="Q614" s="87"/>
      <c r="R614" s="87"/>
      <c r="S614" s="87"/>
      <c r="T614" s="87"/>
      <c r="U614" s="87"/>
    </row>
    <row r="615" spans="1:21" s="62" customFormat="1" ht="24" customHeight="1">
      <c r="A615" s="67"/>
      <c r="B615" s="426" t="s">
        <v>152</v>
      </c>
      <c r="C615" s="423"/>
      <c r="D615" s="423"/>
      <c r="E615" s="425"/>
      <c r="F615" s="94"/>
      <c r="G615" s="113"/>
      <c r="H615" s="59">
        <f t="shared" si="125"/>
        <v>0</v>
      </c>
      <c r="I615" s="114"/>
      <c r="J615" s="59">
        <f t="shared" si="126"/>
        <v>0</v>
      </c>
      <c r="K615" s="60">
        <f t="shared" si="127"/>
        <v>0</v>
      </c>
      <c r="L615" s="92"/>
      <c r="M615" s="87"/>
      <c r="N615" s="87"/>
      <c r="O615" s="410"/>
      <c r="P615" s="87"/>
      <c r="Q615" s="87"/>
      <c r="R615" s="87"/>
      <c r="S615" s="87"/>
      <c r="T615" s="87"/>
      <c r="U615" s="87"/>
    </row>
    <row r="616" spans="1:21" s="62" customFormat="1" ht="24" customHeight="1">
      <c r="A616" s="67"/>
      <c r="B616" s="426"/>
      <c r="C616" s="423" t="s">
        <v>153</v>
      </c>
      <c r="D616" s="423"/>
      <c r="E616" s="425">
        <f>E617/2</f>
        <v>2503.94</v>
      </c>
      <c r="F616" s="94" t="s">
        <v>37</v>
      </c>
      <c r="G616" s="113">
        <v>661.62</v>
      </c>
      <c r="H616" s="59">
        <f t="shared" si="125"/>
        <v>1656656.78</v>
      </c>
      <c r="I616" s="114"/>
      <c r="J616" s="59">
        <f t="shared" si="126"/>
        <v>0</v>
      </c>
      <c r="K616" s="60">
        <f t="shared" si="127"/>
        <v>1656656.78</v>
      </c>
      <c r="L616" s="92"/>
      <c r="M616" s="87"/>
      <c r="N616" s="87"/>
      <c r="O616" s="410"/>
      <c r="P616" s="87"/>
      <c r="Q616" s="87"/>
      <c r="R616" s="87"/>
      <c r="S616" s="87"/>
      <c r="T616" s="87"/>
      <c r="U616" s="87"/>
    </row>
    <row r="617" spans="1:21" s="62" customFormat="1" ht="24" customHeight="1">
      <c r="A617" s="67"/>
      <c r="B617" s="426"/>
      <c r="C617" s="423" t="s">
        <v>154</v>
      </c>
      <c r="D617" s="423"/>
      <c r="E617" s="425">
        <v>5007.88</v>
      </c>
      <c r="F617" s="94" t="s">
        <v>37</v>
      </c>
      <c r="G617" s="113"/>
      <c r="H617" s="59">
        <f t="shared" si="125"/>
        <v>0</v>
      </c>
      <c r="I617" s="114">
        <v>154</v>
      </c>
      <c r="J617" s="59">
        <f t="shared" si="126"/>
        <v>771213.52</v>
      </c>
      <c r="K617" s="60">
        <f t="shared" si="127"/>
        <v>771213.52</v>
      </c>
      <c r="L617" s="92"/>
      <c r="M617" s="87"/>
      <c r="N617" s="87"/>
      <c r="O617" s="410"/>
      <c r="P617" s="87"/>
      <c r="Q617" s="87"/>
      <c r="R617" s="87"/>
      <c r="S617" s="87"/>
      <c r="T617" s="87"/>
      <c r="U617" s="87"/>
    </row>
    <row r="618" spans="1:21" s="62" customFormat="1" ht="24" customHeight="1">
      <c r="A618" s="67"/>
      <c r="B618" s="423" t="s">
        <v>155</v>
      </c>
      <c r="C618" s="423"/>
      <c r="D618" s="423"/>
      <c r="E618" s="425">
        <f>(E617*0.25)</f>
        <v>1251.97</v>
      </c>
      <c r="F618" s="94" t="s">
        <v>156</v>
      </c>
      <c r="G618" s="113">
        <f t="shared" ref="G618" si="128">VLOOKUP(B618,$N$43:$O$53,2,FALSE)</f>
        <v>29.94</v>
      </c>
      <c r="H618" s="59">
        <f t="shared" si="125"/>
        <v>37483.980000000003</v>
      </c>
      <c r="I618" s="114"/>
      <c r="J618" s="59">
        <f t="shared" si="126"/>
        <v>0</v>
      </c>
      <c r="K618" s="60">
        <f t="shared" si="127"/>
        <v>37483.980000000003</v>
      </c>
      <c r="L618" s="92"/>
      <c r="M618" s="87"/>
      <c r="N618" s="87"/>
      <c r="O618" s="410"/>
      <c r="P618" s="87"/>
      <c r="Q618" s="87"/>
      <c r="R618" s="87"/>
      <c r="S618" s="87"/>
      <c r="T618" s="87"/>
      <c r="U618" s="87"/>
    </row>
    <row r="619" spans="1:21" s="62" customFormat="1" ht="24" customHeight="1">
      <c r="A619" s="67"/>
      <c r="B619" s="423" t="s">
        <v>157</v>
      </c>
      <c r="C619" s="423"/>
      <c r="D619" s="423"/>
      <c r="E619" s="425"/>
      <c r="F619" s="115"/>
      <c r="G619" s="101"/>
      <c r="H619" s="59">
        <f t="shared" si="125"/>
        <v>0</v>
      </c>
      <c r="I619" s="114"/>
      <c r="J619" s="59">
        <f t="shared" si="126"/>
        <v>0</v>
      </c>
      <c r="K619" s="60">
        <f t="shared" si="127"/>
        <v>0</v>
      </c>
      <c r="L619" s="92"/>
      <c r="M619" s="87"/>
      <c r="N619" s="87"/>
      <c r="O619" s="410"/>
      <c r="P619" s="87"/>
      <c r="Q619" s="87"/>
      <c r="R619" s="87"/>
      <c r="S619" s="87"/>
      <c r="T619" s="87"/>
      <c r="U619" s="87"/>
    </row>
    <row r="620" spans="1:21" s="62" customFormat="1" ht="24" customHeight="1">
      <c r="A620" s="67"/>
      <c r="B620" s="423" t="s">
        <v>158</v>
      </c>
      <c r="C620" s="423"/>
      <c r="D620" s="423"/>
      <c r="E620" s="425"/>
      <c r="F620" s="94" t="s">
        <v>156</v>
      </c>
      <c r="G620" s="113">
        <f>VLOOKUP(B620,$N$43:$O$54,2,FALSE)</f>
        <v>25.73</v>
      </c>
      <c r="H620" s="59">
        <f t="shared" si="125"/>
        <v>0</v>
      </c>
      <c r="I620" s="103">
        <v>4.0999999999999996</v>
      </c>
      <c r="J620" s="59">
        <f t="shared" si="126"/>
        <v>0</v>
      </c>
      <c r="K620" s="60">
        <f t="shared" si="127"/>
        <v>0</v>
      </c>
      <c r="L620" s="92"/>
      <c r="M620" s="87"/>
      <c r="N620" s="87"/>
      <c r="O620" s="410"/>
      <c r="P620" s="87"/>
      <c r="Q620" s="87"/>
      <c r="R620" s="87"/>
      <c r="S620" s="87"/>
      <c r="T620" s="87"/>
      <c r="U620" s="87"/>
    </row>
    <row r="621" spans="1:21" s="62" customFormat="1" ht="24" customHeight="1">
      <c r="A621" s="67"/>
      <c r="B621" s="423" t="s">
        <v>159</v>
      </c>
      <c r="C621" s="423"/>
      <c r="D621" s="423"/>
      <c r="E621" s="425">
        <v>72.83</v>
      </c>
      <c r="F621" s="94" t="s">
        <v>156</v>
      </c>
      <c r="G621" s="113">
        <f t="shared" ref="G621:G628" si="129">VLOOKUP(B621,$N$43:$O$54,2,FALSE)</f>
        <v>24.97</v>
      </c>
      <c r="H621" s="59">
        <f t="shared" si="125"/>
        <v>1818.57</v>
      </c>
      <c r="I621" s="114">
        <v>4.0999999999999996</v>
      </c>
      <c r="J621" s="59">
        <f t="shared" si="126"/>
        <v>298.60000000000002</v>
      </c>
      <c r="K621" s="60">
        <f t="shared" si="127"/>
        <v>2117.17</v>
      </c>
      <c r="L621" s="92"/>
      <c r="M621" s="87"/>
      <c r="N621" s="87"/>
      <c r="O621" s="410"/>
      <c r="P621" s="87"/>
      <c r="Q621" s="87"/>
      <c r="R621" s="87"/>
      <c r="S621" s="87"/>
      <c r="T621" s="87"/>
      <c r="U621" s="87"/>
    </row>
    <row r="622" spans="1:21" s="62" customFormat="1" ht="24" customHeight="1">
      <c r="A622" s="67"/>
      <c r="B622" s="423" t="s">
        <v>160</v>
      </c>
      <c r="C622" s="423"/>
      <c r="D622" s="423"/>
      <c r="E622" s="425">
        <v>29552.69</v>
      </c>
      <c r="F622" s="94" t="s">
        <v>156</v>
      </c>
      <c r="G622" s="113">
        <f t="shared" si="129"/>
        <v>24.47</v>
      </c>
      <c r="H622" s="59">
        <f t="shared" si="125"/>
        <v>723154.32</v>
      </c>
      <c r="I622" s="114">
        <v>3.3</v>
      </c>
      <c r="J622" s="59">
        <f t="shared" si="126"/>
        <v>97523.88</v>
      </c>
      <c r="K622" s="60">
        <f t="shared" si="127"/>
        <v>820678.2</v>
      </c>
      <c r="L622" s="92"/>
      <c r="M622" s="87"/>
      <c r="N622" s="87"/>
      <c r="O622" s="410"/>
      <c r="P622" s="87"/>
      <c r="Q622" s="87"/>
      <c r="R622" s="87"/>
      <c r="S622" s="87"/>
      <c r="T622" s="87"/>
      <c r="U622" s="87"/>
    </row>
    <row r="623" spans="1:21" s="62" customFormat="1" ht="24" customHeight="1">
      <c r="A623" s="67"/>
      <c r="B623" s="423" t="s">
        <v>161</v>
      </c>
      <c r="C623" s="423"/>
      <c r="D623" s="423"/>
      <c r="E623" s="425">
        <v>22607.55</v>
      </c>
      <c r="F623" s="115" t="s">
        <v>156</v>
      </c>
      <c r="G623" s="113">
        <f t="shared" si="129"/>
        <v>24.27</v>
      </c>
      <c r="H623" s="59">
        <f t="shared" si="125"/>
        <v>548685.24</v>
      </c>
      <c r="I623" s="114">
        <v>3.3</v>
      </c>
      <c r="J623" s="59">
        <f t="shared" si="126"/>
        <v>74604.92</v>
      </c>
      <c r="K623" s="60">
        <f t="shared" si="127"/>
        <v>623290.16</v>
      </c>
      <c r="L623" s="92"/>
      <c r="M623" s="87"/>
      <c r="N623" s="87"/>
      <c r="O623" s="410"/>
      <c r="P623" s="87"/>
      <c r="Q623" s="87"/>
      <c r="R623" s="87"/>
      <c r="S623" s="87"/>
      <c r="T623" s="87"/>
      <c r="U623" s="87"/>
    </row>
    <row r="624" spans="1:21" s="62" customFormat="1" ht="24" customHeight="1">
      <c r="A624" s="67"/>
      <c r="B624" s="423" t="s">
        <v>162</v>
      </c>
      <c r="C624" s="423"/>
      <c r="D624" s="423"/>
      <c r="E624" s="425"/>
      <c r="F624" s="94" t="s">
        <v>156</v>
      </c>
      <c r="G624" s="113">
        <f t="shared" si="129"/>
        <v>24.27</v>
      </c>
      <c r="H624" s="59">
        <f t="shared" si="125"/>
        <v>0</v>
      </c>
      <c r="I624" s="114">
        <v>2.9</v>
      </c>
      <c r="J624" s="59">
        <f t="shared" si="126"/>
        <v>0</v>
      </c>
      <c r="K624" s="60">
        <f t="shared" si="127"/>
        <v>0</v>
      </c>
      <c r="L624" s="92"/>
      <c r="M624" s="87"/>
      <c r="N624" s="87"/>
      <c r="O624" s="410"/>
      <c r="P624" s="87"/>
      <c r="Q624" s="87"/>
      <c r="R624" s="87"/>
      <c r="S624" s="87"/>
      <c r="T624" s="87"/>
      <c r="U624" s="87"/>
    </row>
    <row r="625" spans="1:21" s="62" customFormat="1" ht="24" customHeight="1">
      <c r="A625" s="67"/>
      <c r="B625" s="423" t="s">
        <v>163</v>
      </c>
      <c r="C625" s="423"/>
      <c r="D625" s="423"/>
      <c r="E625" s="425"/>
      <c r="F625" s="94" t="s">
        <v>156</v>
      </c>
      <c r="G625" s="113">
        <f t="shared" si="129"/>
        <v>24.27</v>
      </c>
      <c r="H625" s="59">
        <f t="shared" si="125"/>
        <v>0</v>
      </c>
      <c r="I625" s="114">
        <v>2.9</v>
      </c>
      <c r="J625" s="59">
        <f t="shared" si="126"/>
        <v>0</v>
      </c>
      <c r="K625" s="60">
        <f t="shared" si="127"/>
        <v>0</v>
      </c>
      <c r="L625" s="92"/>
      <c r="M625" s="87"/>
      <c r="N625" s="87"/>
      <c r="O625" s="410"/>
      <c r="P625" s="87"/>
      <c r="Q625" s="87"/>
      <c r="R625" s="87"/>
      <c r="S625" s="87"/>
      <c r="T625" s="87"/>
      <c r="U625" s="87"/>
    </row>
    <row r="626" spans="1:21" s="62" customFormat="1" ht="24" customHeight="1">
      <c r="A626" s="67"/>
      <c r="B626" s="423" t="s">
        <v>164</v>
      </c>
      <c r="C626" s="423"/>
      <c r="D626" s="423"/>
      <c r="E626" s="425"/>
      <c r="F626" s="94" t="s">
        <v>156</v>
      </c>
      <c r="G626" s="113">
        <f t="shared" si="129"/>
        <v>24.27</v>
      </c>
      <c r="H626" s="59">
        <f t="shared" si="125"/>
        <v>0</v>
      </c>
      <c r="I626" s="114">
        <v>2.9</v>
      </c>
      <c r="J626" s="59">
        <f t="shared" si="126"/>
        <v>0</v>
      </c>
      <c r="K626" s="60">
        <f t="shared" si="127"/>
        <v>0</v>
      </c>
      <c r="L626" s="92"/>
      <c r="M626" s="87"/>
      <c r="N626" s="87"/>
      <c r="O626" s="410"/>
      <c r="P626" s="87"/>
      <c r="Q626" s="87"/>
      <c r="R626" s="87"/>
      <c r="S626" s="87"/>
      <c r="T626" s="87"/>
      <c r="U626" s="87"/>
    </row>
    <row r="627" spans="1:21" s="62" customFormat="1" ht="24" customHeight="1">
      <c r="A627" s="67"/>
      <c r="B627" s="423" t="s">
        <v>165</v>
      </c>
      <c r="C627" s="423"/>
      <c r="D627" s="423"/>
      <c r="E627" s="425"/>
      <c r="F627" s="94" t="s">
        <v>156</v>
      </c>
      <c r="G627" s="113">
        <f t="shared" si="129"/>
        <v>23.8</v>
      </c>
      <c r="H627" s="59">
        <f t="shared" si="125"/>
        <v>0</v>
      </c>
      <c r="I627" s="114">
        <v>2.9</v>
      </c>
      <c r="J627" s="59">
        <f t="shared" si="126"/>
        <v>0</v>
      </c>
      <c r="K627" s="60">
        <f t="shared" si="127"/>
        <v>0</v>
      </c>
      <c r="L627" s="92"/>
      <c r="M627" s="87"/>
      <c r="N627" s="87"/>
      <c r="O627" s="410"/>
      <c r="P627" s="87"/>
      <c r="Q627" s="87"/>
      <c r="R627" s="87"/>
      <c r="S627" s="87"/>
      <c r="T627" s="87"/>
      <c r="U627" s="87"/>
    </row>
    <row r="628" spans="1:21" s="62" customFormat="1" ht="24" customHeight="1">
      <c r="A628" s="67"/>
      <c r="B628" s="423" t="s">
        <v>166</v>
      </c>
      <c r="C628" s="423"/>
      <c r="D628" s="423"/>
      <c r="E628" s="425">
        <f>(SUM(E620:E627)/1000)*30</f>
        <v>1566.9920999999999</v>
      </c>
      <c r="F628" s="94" t="s">
        <v>156</v>
      </c>
      <c r="G628" s="113">
        <f t="shared" si="129"/>
        <v>29.92</v>
      </c>
      <c r="H628" s="59">
        <f t="shared" si="125"/>
        <v>46884.4</v>
      </c>
      <c r="I628" s="114"/>
      <c r="J628" s="59">
        <f t="shared" si="126"/>
        <v>0</v>
      </c>
      <c r="K628" s="60">
        <f t="shared" si="127"/>
        <v>46884.4</v>
      </c>
      <c r="L628" s="92"/>
      <c r="M628" s="87"/>
      <c r="N628" s="87"/>
      <c r="O628" s="410"/>
      <c r="P628" s="87"/>
      <c r="Q628" s="87"/>
      <c r="R628" s="87"/>
      <c r="S628" s="87"/>
      <c r="T628" s="87"/>
      <c r="U628" s="87"/>
    </row>
    <row r="629" spans="1:21" s="62" customFormat="1" ht="24" customHeight="1">
      <c r="A629" s="67"/>
      <c r="B629" s="423" t="s">
        <v>171</v>
      </c>
      <c r="C629" s="423"/>
      <c r="D629" s="423"/>
      <c r="E629" s="425">
        <v>4475.71</v>
      </c>
      <c r="F629" s="94" t="s">
        <v>37</v>
      </c>
      <c r="G629" s="101">
        <v>340</v>
      </c>
      <c r="H629" s="59">
        <f t="shared" si="125"/>
        <v>1521741.4</v>
      </c>
      <c r="I629" s="114"/>
      <c r="J629" s="59">
        <f t="shared" si="126"/>
        <v>0</v>
      </c>
      <c r="K629" s="60">
        <f t="shared" si="127"/>
        <v>1521741.4</v>
      </c>
      <c r="L629" s="92"/>
      <c r="M629" s="87"/>
      <c r="N629" s="87"/>
      <c r="O629" s="410"/>
      <c r="P629" s="87"/>
      <c r="Q629" s="87"/>
      <c r="R629" s="87"/>
      <c r="S629" s="87"/>
      <c r="T629" s="87"/>
      <c r="U629" s="87"/>
    </row>
    <row r="630" spans="1:21" s="62" customFormat="1" ht="24" customHeight="1">
      <c r="A630" s="67"/>
      <c r="B630" s="423" t="s">
        <v>167</v>
      </c>
      <c r="C630" s="423"/>
      <c r="D630" s="423"/>
      <c r="E630" s="425"/>
      <c r="F630" s="94"/>
      <c r="G630" s="113"/>
      <c r="H630" s="59"/>
      <c r="I630" s="114"/>
      <c r="J630" s="59"/>
      <c r="K630" s="60"/>
      <c r="L630" s="92"/>
      <c r="M630" s="87"/>
      <c r="N630" s="87"/>
      <c r="O630" s="410"/>
      <c r="P630" s="87"/>
      <c r="Q630" s="87"/>
      <c r="R630" s="87"/>
      <c r="S630" s="87"/>
      <c r="T630" s="87"/>
      <c r="U630" s="87"/>
    </row>
    <row r="631" spans="1:21" s="62" customFormat="1" ht="24" customHeight="1">
      <c r="A631" s="67"/>
      <c r="B631" s="423"/>
      <c r="C631" s="423"/>
      <c r="D631" s="423"/>
      <c r="E631" s="425"/>
      <c r="F631" s="94"/>
      <c r="G631" s="113"/>
      <c r="H631" s="59"/>
      <c r="I631" s="114"/>
      <c r="J631" s="59"/>
      <c r="K631" s="60"/>
      <c r="L631" s="92"/>
      <c r="M631" s="87"/>
      <c r="N631" s="87"/>
      <c r="O631" s="410"/>
      <c r="P631" s="87"/>
      <c r="Q631" s="87"/>
      <c r="R631" s="87"/>
      <c r="S631" s="87"/>
      <c r="T631" s="87"/>
      <c r="U631" s="87"/>
    </row>
    <row r="632" spans="1:21" s="62" customFormat="1" ht="24" customHeight="1">
      <c r="A632" s="67"/>
      <c r="B632" s="423"/>
      <c r="C632" s="423"/>
      <c r="D632" s="423"/>
      <c r="E632" s="425"/>
      <c r="F632" s="94"/>
      <c r="G632" s="113"/>
      <c r="H632" s="59"/>
      <c r="I632" s="114"/>
      <c r="J632" s="59"/>
      <c r="K632" s="60"/>
      <c r="L632" s="92"/>
      <c r="M632" s="87"/>
      <c r="N632" s="87"/>
      <c r="O632" s="410"/>
      <c r="P632" s="87"/>
      <c r="Q632" s="87"/>
      <c r="R632" s="87"/>
      <c r="S632" s="87"/>
      <c r="T632" s="87"/>
      <c r="U632" s="87"/>
    </row>
    <row r="633" spans="1:21" s="62" customFormat="1" ht="24" customHeight="1">
      <c r="A633" s="67"/>
      <c r="B633" s="423"/>
      <c r="C633" s="420"/>
      <c r="D633" s="421"/>
      <c r="E633" s="425"/>
      <c r="F633" s="119"/>
      <c r="G633" s="113"/>
      <c r="H633" s="59"/>
      <c r="I633" s="114"/>
      <c r="J633" s="59"/>
      <c r="K633" s="60"/>
      <c r="L633" s="92"/>
      <c r="M633" s="87"/>
      <c r="N633" s="87"/>
      <c r="O633" s="410"/>
      <c r="P633" s="87"/>
      <c r="Q633" s="87"/>
      <c r="R633" s="87"/>
      <c r="S633" s="87"/>
      <c r="T633" s="87"/>
      <c r="U633" s="87"/>
    </row>
    <row r="634" spans="1:21" s="62" customFormat="1" ht="24" customHeight="1">
      <c r="A634" s="67"/>
      <c r="B634" s="95"/>
      <c r="C634" s="423"/>
      <c r="D634" s="423"/>
      <c r="E634" s="429"/>
      <c r="F634" s="94"/>
      <c r="G634" s="113"/>
      <c r="H634" s="59"/>
      <c r="I634" s="114"/>
      <c r="J634" s="59"/>
      <c r="K634" s="60"/>
      <c r="L634" s="92"/>
      <c r="M634" s="87"/>
      <c r="N634" s="87"/>
      <c r="O634" s="410"/>
      <c r="P634" s="87"/>
      <c r="Q634" s="87"/>
      <c r="R634" s="87"/>
      <c r="S634" s="87"/>
      <c r="T634" s="87"/>
      <c r="U634" s="87"/>
    </row>
    <row r="635" spans="1:21" s="62" customFormat="1" ht="24" customHeight="1">
      <c r="A635" s="67"/>
      <c r="B635" s="95"/>
      <c r="C635" s="423"/>
      <c r="D635" s="423"/>
      <c r="E635" s="429"/>
      <c r="F635" s="94"/>
      <c r="G635" s="113"/>
      <c r="H635" s="59"/>
      <c r="I635" s="114"/>
      <c r="J635" s="59"/>
      <c r="K635" s="60"/>
      <c r="L635" s="92"/>
      <c r="M635" s="87"/>
      <c r="N635" s="87"/>
      <c r="O635" s="410"/>
      <c r="P635" s="87"/>
      <c r="Q635" s="87"/>
      <c r="R635" s="87"/>
      <c r="S635" s="87"/>
      <c r="T635" s="87"/>
      <c r="U635" s="87"/>
    </row>
    <row r="636" spans="1:21" s="62" customFormat="1" ht="24" customHeight="1">
      <c r="A636" s="450" t="s">
        <v>192</v>
      </c>
      <c r="B636" s="451" t="s">
        <v>193</v>
      </c>
      <c r="C636" s="423"/>
      <c r="D636" s="423"/>
      <c r="E636" s="429"/>
      <c r="F636" s="94"/>
      <c r="G636" s="113"/>
      <c r="H636" s="59"/>
      <c r="I636" s="114"/>
      <c r="J636" s="59"/>
      <c r="K636" s="60"/>
      <c r="L636" s="92"/>
      <c r="M636" s="87"/>
      <c r="N636" s="87"/>
      <c r="O636" s="410"/>
      <c r="P636" s="87"/>
      <c r="Q636" s="87"/>
      <c r="R636" s="87"/>
      <c r="S636" s="87"/>
      <c r="T636" s="87"/>
      <c r="U636" s="87"/>
    </row>
    <row r="637" spans="1:21" s="62" customFormat="1" ht="24" customHeight="1">
      <c r="A637" s="67"/>
      <c r="B637" s="423" t="s">
        <v>150</v>
      </c>
      <c r="C637" s="424"/>
      <c r="D637" s="424"/>
      <c r="E637" s="425">
        <v>591.13</v>
      </c>
      <c r="F637" s="94" t="s">
        <v>151</v>
      </c>
      <c r="G637" s="113">
        <v>2516</v>
      </c>
      <c r="H637" s="59">
        <f t="shared" ref="H637:H652" si="130">ROUND(E637*G637,2)</f>
        <v>1487283.08</v>
      </c>
      <c r="I637" s="114">
        <v>485</v>
      </c>
      <c r="J637" s="59">
        <f t="shared" ref="J637:J652" si="131">ROUND(E637*I637,2)</f>
        <v>286698.05</v>
      </c>
      <c r="K637" s="60">
        <f t="shared" ref="K637:K652" si="132">H637+J637</f>
        <v>1773981.1300000001</v>
      </c>
      <c r="L637" s="92"/>
      <c r="M637" s="87"/>
      <c r="N637" s="87"/>
      <c r="O637" s="410"/>
      <c r="P637" s="87"/>
      <c r="Q637" s="87"/>
      <c r="R637" s="87"/>
      <c r="S637" s="87"/>
      <c r="T637" s="87"/>
      <c r="U637" s="87"/>
    </row>
    <row r="638" spans="1:21" s="62" customFormat="1" ht="24" customHeight="1">
      <c r="A638" s="67"/>
      <c r="B638" s="426" t="s">
        <v>152</v>
      </c>
      <c r="C638" s="423"/>
      <c r="D638" s="423"/>
      <c r="E638" s="425"/>
      <c r="F638" s="94"/>
      <c r="G638" s="113"/>
      <c r="H638" s="59">
        <f t="shared" si="130"/>
        <v>0</v>
      </c>
      <c r="I638" s="114"/>
      <c r="J638" s="59">
        <f t="shared" si="131"/>
        <v>0</v>
      </c>
      <c r="K638" s="60">
        <f t="shared" si="132"/>
        <v>0</v>
      </c>
      <c r="L638" s="92"/>
      <c r="M638" s="87"/>
      <c r="N638" s="87"/>
      <c r="O638" s="410"/>
      <c r="P638" s="87"/>
      <c r="Q638" s="87"/>
      <c r="R638" s="87"/>
      <c r="S638" s="87"/>
      <c r="T638" s="87"/>
      <c r="U638" s="87"/>
    </row>
    <row r="639" spans="1:21" s="62" customFormat="1" ht="24" customHeight="1">
      <c r="A639" s="67"/>
      <c r="B639" s="426"/>
      <c r="C639" s="423" t="s">
        <v>153</v>
      </c>
      <c r="D639" s="423"/>
      <c r="E639" s="425">
        <f>E640/2</f>
        <v>477.08</v>
      </c>
      <c r="F639" s="94" t="s">
        <v>37</v>
      </c>
      <c r="G639" s="113">
        <v>661.62</v>
      </c>
      <c r="H639" s="59">
        <f t="shared" si="130"/>
        <v>315645.67</v>
      </c>
      <c r="I639" s="114"/>
      <c r="J639" s="59">
        <f t="shared" si="131"/>
        <v>0</v>
      </c>
      <c r="K639" s="60">
        <f t="shared" si="132"/>
        <v>315645.67</v>
      </c>
      <c r="L639" s="92"/>
      <c r="M639" s="87"/>
      <c r="N639" s="87"/>
      <c r="O639" s="410"/>
      <c r="P639" s="87"/>
      <c r="Q639" s="87"/>
      <c r="R639" s="87"/>
      <c r="S639" s="87"/>
      <c r="T639" s="87"/>
      <c r="U639" s="87"/>
    </row>
    <row r="640" spans="1:21" s="62" customFormat="1" ht="24" customHeight="1">
      <c r="A640" s="67"/>
      <c r="B640" s="426"/>
      <c r="C640" s="423" t="s">
        <v>154</v>
      </c>
      <c r="D640" s="423"/>
      <c r="E640" s="425">
        <v>954.16</v>
      </c>
      <c r="F640" s="94" t="s">
        <v>37</v>
      </c>
      <c r="G640" s="113"/>
      <c r="H640" s="59">
        <f t="shared" si="130"/>
        <v>0</v>
      </c>
      <c r="I640" s="114">
        <v>154</v>
      </c>
      <c r="J640" s="59">
        <f t="shared" si="131"/>
        <v>146940.64000000001</v>
      </c>
      <c r="K640" s="60">
        <f t="shared" si="132"/>
        <v>146940.64000000001</v>
      </c>
      <c r="L640" s="92"/>
      <c r="M640" s="87"/>
      <c r="N640" s="87"/>
      <c r="O640" s="410"/>
      <c r="P640" s="87"/>
      <c r="Q640" s="87"/>
      <c r="R640" s="87"/>
      <c r="S640" s="87"/>
      <c r="T640" s="87"/>
      <c r="U640" s="87"/>
    </row>
    <row r="641" spans="1:21" s="62" customFormat="1" ht="24" customHeight="1">
      <c r="A641" s="67"/>
      <c r="B641" s="423" t="s">
        <v>155</v>
      </c>
      <c r="C641" s="423"/>
      <c r="D641" s="423"/>
      <c r="E641" s="425">
        <f>(E640*0.25)</f>
        <v>238.54</v>
      </c>
      <c r="F641" s="94" t="s">
        <v>156</v>
      </c>
      <c r="G641" s="113">
        <f t="shared" ref="G641" si="133">VLOOKUP(B641,$N$43:$O$53,2,FALSE)</f>
        <v>29.94</v>
      </c>
      <c r="H641" s="59">
        <f t="shared" si="130"/>
        <v>7141.89</v>
      </c>
      <c r="I641" s="114"/>
      <c r="J641" s="59">
        <f t="shared" si="131"/>
        <v>0</v>
      </c>
      <c r="K641" s="60">
        <f t="shared" si="132"/>
        <v>7141.89</v>
      </c>
      <c r="L641" s="92"/>
      <c r="M641" s="87"/>
      <c r="N641" s="87"/>
      <c r="O641" s="410"/>
      <c r="P641" s="87"/>
      <c r="Q641" s="87"/>
      <c r="R641" s="87"/>
      <c r="S641" s="87"/>
      <c r="T641" s="87"/>
      <c r="U641" s="87"/>
    </row>
    <row r="642" spans="1:21" s="62" customFormat="1" ht="24" customHeight="1">
      <c r="A642" s="67"/>
      <c r="B642" s="423" t="s">
        <v>157</v>
      </c>
      <c r="C642" s="423"/>
      <c r="D642" s="423"/>
      <c r="E642" s="425"/>
      <c r="F642" s="115"/>
      <c r="G642" s="101"/>
      <c r="H642" s="59">
        <f t="shared" si="130"/>
        <v>0</v>
      </c>
      <c r="I642" s="114"/>
      <c r="J642" s="59">
        <f t="shared" si="131"/>
        <v>0</v>
      </c>
      <c r="K642" s="60">
        <f t="shared" si="132"/>
        <v>0</v>
      </c>
      <c r="L642" s="92"/>
      <c r="M642" s="87"/>
      <c r="N642" s="87"/>
      <c r="O642" s="410"/>
      <c r="P642" s="87"/>
      <c r="Q642" s="87"/>
      <c r="R642" s="87"/>
      <c r="S642" s="87"/>
      <c r="T642" s="87"/>
      <c r="U642" s="87"/>
    </row>
    <row r="643" spans="1:21" s="62" customFormat="1" ht="24" customHeight="1">
      <c r="A643" s="67"/>
      <c r="B643" s="423" t="s">
        <v>158</v>
      </c>
      <c r="C643" s="423"/>
      <c r="D643" s="423"/>
      <c r="E643" s="425"/>
      <c r="F643" s="94" t="s">
        <v>156</v>
      </c>
      <c r="G643" s="113">
        <f>VLOOKUP(B643,$N$43:$O$54,2,FALSE)</f>
        <v>25.73</v>
      </c>
      <c r="H643" s="59">
        <f t="shared" si="130"/>
        <v>0</v>
      </c>
      <c r="I643" s="103">
        <v>4.0999999999999996</v>
      </c>
      <c r="J643" s="59">
        <f t="shared" si="131"/>
        <v>0</v>
      </c>
      <c r="K643" s="60">
        <f t="shared" si="132"/>
        <v>0</v>
      </c>
      <c r="L643" s="92"/>
      <c r="M643" s="87"/>
      <c r="N643" s="87"/>
      <c r="O643" s="410"/>
      <c r="P643" s="87"/>
      <c r="Q643" s="87"/>
      <c r="R643" s="87"/>
      <c r="S643" s="87"/>
      <c r="T643" s="87"/>
      <c r="U643" s="87"/>
    </row>
    <row r="644" spans="1:21" s="62" customFormat="1" ht="24" customHeight="1">
      <c r="A644" s="67"/>
      <c r="B644" s="423" t="s">
        <v>159</v>
      </c>
      <c r="C644" s="423"/>
      <c r="D644" s="423"/>
      <c r="E644" s="425">
        <v>684.23</v>
      </c>
      <c r="F644" s="94" t="s">
        <v>156</v>
      </c>
      <c r="G644" s="113">
        <f t="shared" ref="G644:G652" si="134">VLOOKUP(B644,$N$43:$O$54,2,FALSE)</f>
        <v>24.97</v>
      </c>
      <c r="H644" s="59">
        <f t="shared" si="130"/>
        <v>17085.22</v>
      </c>
      <c r="I644" s="114">
        <v>4.0999999999999996</v>
      </c>
      <c r="J644" s="59">
        <f t="shared" si="131"/>
        <v>2805.34</v>
      </c>
      <c r="K644" s="60">
        <f t="shared" si="132"/>
        <v>19890.560000000001</v>
      </c>
      <c r="L644" s="92"/>
      <c r="M644" s="87"/>
      <c r="N644" s="87"/>
      <c r="O644" s="410"/>
      <c r="P644" s="87"/>
      <c r="Q644" s="87"/>
      <c r="R644" s="87"/>
      <c r="S644" s="87"/>
      <c r="T644" s="87"/>
      <c r="U644" s="87"/>
    </row>
    <row r="645" spans="1:21" s="62" customFormat="1" ht="24" customHeight="1">
      <c r="A645" s="67"/>
      <c r="B645" s="423" t="s">
        <v>362</v>
      </c>
      <c r="C645" s="423"/>
      <c r="D645" s="423"/>
      <c r="E645" s="425">
        <v>285.73</v>
      </c>
      <c r="F645" s="94" t="s">
        <v>156</v>
      </c>
      <c r="G645" s="113">
        <f t="shared" si="134"/>
        <v>24.67</v>
      </c>
      <c r="H645" s="59">
        <f t="shared" si="130"/>
        <v>7048.96</v>
      </c>
      <c r="I645" s="114">
        <v>3.3</v>
      </c>
      <c r="J645" s="59">
        <f t="shared" si="131"/>
        <v>942.91</v>
      </c>
      <c r="K645" s="60">
        <f t="shared" si="132"/>
        <v>7991.87</v>
      </c>
      <c r="L645" s="92"/>
      <c r="M645" s="87"/>
      <c r="N645" s="87"/>
      <c r="O645" s="410"/>
      <c r="P645" s="87"/>
      <c r="Q645" s="87"/>
      <c r="R645" s="87"/>
      <c r="S645" s="87"/>
      <c r="T645" s="87"/>
      <c r="U645" s="87"/>
    </row>
    <row r="646" spans="1:21" s="62" customFormat="1" ht="24" customHeight="1">
      <c r="A646" s="67"/>
      <c r="B646" s="423" t="s">
        <v>160</v>
      </c>
      <c r="C646" s="423"/>
      <c r="D646" s="423"/>
      <c r="E646" s="425">
        <v>38579.699999999997</v>
      </c>
      <c r="F646" s="94" t="s">
        <v>156</v>
      </c>
      <c r="G646" s="113">
        <f t="shared" si="134"/>
        <v>24.47</v>
      </c>
      <c r="H646" s="59">
        <f t="shared" si="130"/>
        <v>944045.26</v>
      </c>
      <c r="I646" s="114">
        <v>3.3</v>
      </c>
      <c r="J646" s="59">
        <f t="shared" si="131"/>
        <v>127313.01</v>
      </c>
      <c r="K646" s="60">
        <f t="shared" si="132"/>
        <v>1071358.27</v>
      </c>
      <c r="L646" s="92"/>
      <c r="M646" s="87"/>
      <c r="N646" s="87"/>
      <c r="O646" s="410"/>
      <c r="P646" s="87"/>
      <c r="Q646" s="87"/>
      <c r="R646" s="87"/>
      <c r="S646" s="87"/>
      <c r="T646" s="87"/>
      <c r="U646" s="87"/>
    </row>
    <row r="647" spans="1:21" s="62" customFormat="1" ht="24" customHeight="1">
      <c r="A647" s="67"/>
      <c r="B647" s="423" t="s">
        <v>161</v>
      </c>
      <c r="C647" s="423"/>
      <c r="D647" s="423"/>
      <c r="E647" s="425">
        <v>23859.05</v>
      </c>
      <c r="F647" s="115" t="s">
        <v>156</v>
      </c>
      <c r="G647" s="113">
        <f t="shared" si="134"/>
        <v>24.27</v>
      </c>
      <c r="H647" s="59">
        <f t="shared" si="130"/>
        <v>579059.14</v>
      </c>
      <c r="I647" s="114">
        <v>3.3</v>
      </c>
      <c r="J647" s="59">
        <f t="shared" si="131"/>
        <v>78734.87</v>
      </c>
      <c r="K647" s="60">
        <f t="shared" si="132"/>
        <v>657794.01</v>
      </c>
      <c r="L647" s="92"/>
      <c r="M647" s="87"/>
      <c r="N647" s="87"/>
      <c r="O647" s="410"/>
      <c r="P647" s="87"/>
      <c r="Q647" s="87"/>
      <c r="R647" s="87"/>
      <c r="S647" s="87"/>
      <c r="T647" s="87"/>
      <c r="U647" s="87"/>
    </row>
    <row r="648" spans="1:21" s="62" customFormat="1" ht="24" customHeight="1">
      <c r="A648" s="67"/>
      <c r="B648" s="423" t="s">
        <v>162</v>
      </c>
      <c r="C648" s="423"/>
      <c r="D648" s="423"/>
      <c r="E648" s="425">
        <v>3503.33</v>
      </c>
      <c r="F648" s="94" t="s">
        <v>156</v>
      </c>
      <c r="G648" s="113">
        <f t="shared" si="134"/>
        <v>24.27</v>
      </c>
      <c r="H648" s="59">
        <f t="shared" si="130"/>
        <v>85025.82</v>
      </c>
      <c r="I648" s="114">
        <v>2.9</v>
      </c>
      <c r="J648" s="59">
        <f t="shared" si="131"/>
        <v>10159.66</v>
      </c>
      <c r="K648" s="60">
        <f t="shared" si="132"/>
        <v>95185.48000000001</v>
      </c>
      <c r="L648" s="92"/>
      <c r="M648" s="87"/>
      <c r="N648" s="87"/>
      <c r="O648" s="410"/>
      <c r="P648" s="87"/>
      <c r="Q648" s="87"/>
      <c r="R648" s="87"/>
      <c r="S648" s="87"/>
      <c r="T648" s="87"/>
      <c r="U648" s="87"/>
    </row>
    <row r="649" spans="1:21" s="62" customFormat="1" ht="24" customHeight="1">
      <c r="A649" s="67"/>
      <c r="B649" s="423" t="s">
        <v>163</v>
      </c>
      <c r="C649" s="423"/>
      <c r="D649" s="423"/>
      <c r="E649" s="425">
        <v>16224</v>
      </c>
      <c r="F649" s="94" t="s">
        <v>156</v>
      </c>
      <c r="G649" s="113">
        <f t="shared" si="134"/>
        <v>24.27</v>
      </c>
      <c r="H649" s="59">
        <f t="shared" si="130"/>
        <v>393756.48</v>
      </c>
      <c r="I649" s="114">
        <v>2.9</v>
      </c>
      <c r="J649" s="59">
        <f t="shared" si="131"/>
        <v>47049.599999999999</v>
      </c>
      <c r="K649" s="60">
        <f t="shared" si="132"/>
        <v>440806.07999999996</v>
      </c>
      <c r="L649" s="92"/>
      <c r="M649" s="87"/>
      <c r="N649" s="87"/>
      <c r="O649" s="410"/>
      <c r="P649" s="87"/>
      <c r="Q649" s="87"/>
      <c r="R649" s="87"/>
      <c r="S649" s="87"/>
      <c r="T649" s="87"/>
      <c r="U649" s="87"/>
    </row>
    <row r="650" spans="1:21" s="62" customFormat="1" ht="24" customHeight="1">
      <c r="A650" s="67"/>
      <c r="B650" s="423" t="s">
        <v>164</v>
      </c>
      <c r="C650" s="423"/>
      <c r="D650" s="423"/>
      <c r="E650" s="425">
        <v>36370.550000000003</v>
      </c>
      <c r="F650" s="94" t="s">
        <v>156</v>
      </c>
      <c r="G650" s="113">
        <f t="shared" si="134"/>
        <v>24.27</v>
      </c>
      <c r="H650" s="59">
        <f t="shared" si="130"/>
        <v>882713.25</v>
      </c>
      <c r="I650" s="114">
        <v>2.9</v>
      </c>
      <c r="J650" s="59">
        <f t="shared" si="131"/>
        <v>105474.6</v>
      </c>
      <c r="K650" s="60">
        <f t="shared" si="132"/>
        <v>988187.85</v>
      </c>
      <c r="L650" s="92"/>
      <c r="M650" s="87"/>
      <c r="N650" s="87"/>
      <c r="O650" s="410"/>
      <c r="P650" s="87"/>
      <c r="Q650" s="87"/>
      <c r="R650" s="87"/>
      <c r="S650" s="87"/>
      <c r="T650" s="87"/>
      <c r="U650" s="87"/>
    </row>
    <row r="651" spans="1:21" s="62" customFormat="1" ht="24" customHeight="1">
      <c r="A651" s="67"/>
      <c r="B651" s="423" t="s">
        <v>165</v>
      </c>
      <c r="C651" s="423"/>
      <c r="D651" s="423"/>
      <c r="E651" s="425">
        <v>0</v>
      </c>
      <c r="F651" s="94" t="s">
        <v>156</v>
      </c>
      <c r="G651" s="113">
        <f t="shared" si="134"/>
        <v>23.8</v>
      </c>
      <c r="H651" s="59">
        <f t="shared" si="130"/>
        <v>0</v>
      </c>
      <c r="I651" s="114">
        <v>2.9</v>
      </c>
      <c r="J651" s="59">
        <f t="shared" si="131"/>
        <v>0</v>
      </c>
      <c r="K651" s="60">
        <f t="shared" si="132"/>
        <v>0</v>
      </c>
      <c r="L651" s="92"/>
      <c r="M651" s="87"/>
      <c r="N651" s="87"/>
      <c r="O651" s="410"/>
      <c r="P651" s="87"/>
      <c r="Q651" s="87"/>
      <c r="R651" s="87"/>
      <c r="S651" s="87"/>
      <c r="T651" s="87"/>
      <c r="U651" s="87"/>
    </row>
    <row r="652" spans="1:21" s="62" customFormat="1" ht="24" customHeight="1">
      <c r="A652" s="67"/>
      <c r="B652" s="423" t="s">
        <v>166</v>
      </c>
      <c r="C652" s="423"/>
      <c r="D652" s="423"/>
      <c r="E652" s="425">
        <f>(SUM(E643:E651)/1000)*30</f>
        <v>3585.1977000000002</v>
      </c>
      <c r="F652" s="94" t="s">
        <v>156</v>
      </c>
      <c r="G652" s="113">
        <f t="shared" si="134"/>
        <v>29.92</v>
      </c>
      <c r="H652" s="59">
        <f t="shared" si="130"/>
        <v>107269.12</v>
      </c>
      <c r="I652" s="114"/>
      <c r="J652" s="59">
        <f t="shared" si="131"/>
        <v>0</v>
      </c>
      <c r="K652" s="60">
        <f t="shared" si="132"/>
        <v>107269.12</v>
      </c>
      <c r="L652" s="92"/>
      <c r="M652" s="87"/>
      <c r="N652" s="87"/>
      <c r="O652" s="410"/>
      <c r="P652" s="87"/>
      <c r="Q652" s="87"/>
      <c r="R652" s="87"/>
      <c r="S652" s="87"/>
      <c r="T652" s="87"/>
      <c r="U652" s="87"/>
    </row>
    <row r="653" spans="1:21" s="62" customFormat="1" ht="24" customHeight="1">
      <c r="A653" s="67"/>
      <c r="B653" s="423" t="s">
        <v>167</v>
      </c>
      <c r="C653" s="423"/>
      <c r="D653" s="423"/>
      <c r="E653" s="425"/>
      <c r="F653" s="94"/>
      <c r="G653" s="113"/>
      <c r="H653" s="59"/>
      <c r="I653" s="114"/>
      <c r="J653" s="59"/>
      <c r="K653" s="60"/>
      <c r="L653" s="92"/>
      <c r="M653" s="87"/>
      <c r="N653" s="87"/>
      <c r="O653" s="410"/>
      <c r="P653" s="87"/>
      <c r="Q653" s="87"/>
      <c r="R653" s="87"/>
      <c r="S653" s="87"/>
      <c r="T653" s="87"/>
      <c r="U653" s="87"/>
    </row>
    <row r="654" spans="1:21" s="62" customFormat="1" ht="24" customHeight="1">
      <c r="A654" s="67"/>
      <c r="B654" s="95"/>
      <c r="C654" s="423"/>
      <c r="D654" s="423"/>
      <c r="E654" s="429"/>
      <c r="F654" s="94"/>
      <c r="G654" s="113"/>
      <c r="H654" s="59"/>
      <c r="I654" s="114"/>
      <c r="J654" s="59"/>
      <c r="K654" s="60"/>
      <c r="L654" s="92"/>
      <c r="M654" s="87"/>
      <c r="N654" s="87"/>
      <c r="O654" s="410"/>
      <c r="P654" s="87"/>
      <c r="Q654" s="87"/>
      <c r="R654" s="87"/>
      <c r="S654" s="87"/>
      <c r="T654" s="87"/>
      <c r="U654" s="87"/>
    </row>
    <row r="655" spans="1:21" s="62" customFormat="1" ht="24" customHeight="1">
      <c r="A655" s="67"/>
      <c r="B655" s="95"/>
      <c r="C655" s="423"/>
      <c r="D655" s="423"/>
      <c r="E655" s="429"/>
      <c r="F655" s="94"/>
      <c r="G655" s="113"/>
      <c r="H655" s="59"/>
      <c r="I655" s="114"/>
      <c r="J655" s="59"/>
      <c r="K655" s="60"/>
      <c r="L655" s="92"/>
      <c r="M655" s="87"/>
      <c r="N655" s="87"/>
      <c r="O655" s="410"/>
      <c r="P655" s="87"/>
      <c r="Q655" s="87"/>
      <c r="R655" s="87"/>
      <c r="S655" s="87"/>
      <c r="T655" s="87"/>
      <c r="U655" s="87"/>
    </row>
    <row r="656" spans="1:21" s="62" customFormat="1" ht="24" customHeight="1">
      <c r="A656" s="67"/>
      <c r="B656" s="95"/>
      <c r="C656" s="423"/>
      <c r="D656" s="423"/>
      <c r="E656" s="429"/>
      <c r="F656" s="94"/>
      <c r="G656" s="113"/>
      <c r="H656" s="59"/>
      <c r="I656" s="114"/>
      <c r="J656" s="59"/>
      <c r="K656" s="60"/>
      <c r="L656" s="92"/>
      <c r="M656" s="87"/>
      <c r="N656" s="87"/>
      <c r="O656" s="410"/>
      <c r="P656" s="87"/>
      <c r="Q656" s="87"/>
      <c r="R656" s="87"/>
      <c r="S656" s="87"/>
      <c r="T656" s="87"/>
      <c r="U656" s="87"/>
    </row>
    <row r="657" spans="1:21" s="62" customFormat="1" ht="24" customHeight="1">
      <c r="A657" s="67"/>
      <c r="B657" s="95"/>
      <c r="C657" s="423"/>
      <c r="D657" s="423"/>
      <c r="E657" s="429"/>
      <c r="F657" s="94"/>
      <c r="G657" s="113"/>
      <c r="H657" s="59"/>
      <c r="I657" s="114"/>
      <c r="J657" s="59"/>
      <c r="K657" s="60"/>
      <c r="L657" s="92"/>
      <c r="M657" s="87"/>
      <c r="N657" s="87"/>
      <c r="O657" s="410"/>
      <c r="P657" s="87"/>
      <c r="Q657" s="87"/>
      <c r="R657" s="87"/>
      <c r="S657" s="87"/>
      <c r="T657" s="87"/>
      <c r="U657" s="87"/>
    </row>
    <row r="658" spans="1:21" s="62" customFormat="1" ht="24" customHeight="1">
      <c r="A658" s="67"/>
      <c r="B658" s="95"/>
      <c r="C658" s="423"/>
      <c r="D658" s="423"/>
      <c r="E658" s="429"/>
      <c r="F658" s="94"/>
      <c r="G658" s="113"/>
      <c r="H658" s="59"/>
      <c r="I658" s="114"/>
      <c r="J658" s="59"/>
      <c r="K658" s="60"/>
      <c r="L658" s="92"/>
      <c r="M658" s="87"/>
      <c r="N658" s="87"/>
      <c r="O658" s="410"/>
      <c r="P658" s="87"/>
      <c r="Q658" s="87"/>
      <c r="R658" s="87"/>
      <c r="S658" s="87"/>
      <c r="T658" s="87"/>
      <c r="U658" s="87"/>
    </row>
    <row r="659" spans="1:21" s="62" customFormat="1" ht="24" customHeight="1">
      <c r="A659" s="67"/>
      <c r="B659" s="95"/>
      <c r="C659" s="423"/>
      <c r="D659" s="423"/>
      <c r="E659" s="429"/>
      <c r="F659" s="94"/>
      <c r="G659" s="113"/>
      <c r="H659" s="59"/>
      <c r="I659" s="114"/>
      <c r="J659" s="59"/>
      <c r="K659" s="60"/>
      <c r="L659" s="92"/>
      <c r="M659" s="87"/>
      <c r="N659" s="87"/>
      <c r="O659" s="410"/>
      <c r="P659" s="87"/>
      <c r="Q659" s="87"/>
      <c r="R659" s="87"/>
      <c r="S659" s="87"/>
      <c r="T659" s="87"/>
      <c r="U659" s="87"/>
    </row>
    <row r="660" spans="1:21" s="62" customFormat="1" ht="24" customHeight="1">
      <c r="A660" s="67"/>
      <c r="B660" s="95"/>
      <c r="C660" s="423"/>
      <c r="D660" s="423"/>
      <c r="E660" s="429"/>
      <c r="F660" s="94"/>
      <c r="G660" s="113"/>
      <c r="H660" s="59"/>
      <c r="I660" s="114"/>
      <c r="J660" s="59"/>
      <c r="K660" s="60"/>
      <c r="L660" s="92"/>
      <c r="M660" s="87"/>
      <c r="N660" s="87"/>
      <c r="O660" s="410"/>
      <c r="P660" s="87"/>
      <c r="Q660" s="87"/>
      <c r="R660" s="87"/>
      <c r="S660" s="87"/>
      <c r="T660" s="87"/>
      <c r="U660" s="87"/>
    </row>
    <row r="661" spans="1:21" s="62" customFormat="1" ht="24" customHeight="1">
      <c r="A661" s="450" t="s">
        <v>194</v>
      </c>
      <c r="B661" s="451" t="s">
        <v>195</v>
      </c>
      <c r="C661" s="423"/>
      <c r="D661" s="423"/>
      <c r="E661" s="429"/>
      <c r="F661" s="94"/>
      <c r="G661" s="113"/>
      <c r="H661" s="59"/>
      <c r="I661" s="114"/>
      <c r="J661" s="59"/>
      <c r="K661" s="60"/>
      <c r="L661" s="92"/>
      <c r="M661" s="87"/>
      <c r="N661" s="87"/>
      <c r="O661" s="410"/>
      <c r="P661" s="87"/>
      <c r="Q661" s="87"/>
      <c r="R661" s="87"/>
      <c r="S661" s="87"/>
      <c r="T661" s="87"/>
      <c r="U661" s="87"/>
    </row>
    <row r="662" spans="1:21" s="62" customFormat="1" ht="24" customHeight="1">
      <c r="A662" s="67"/>
      <c r="B662" s="423" t="s">
        <v>150</v>
      </c>
      <c r="C662" s="424"/>
      <c r="D662" s="424"/>
      <c r="E662" s="425">
        <v>531.46</v>
      </c>
      <c r="F662" s="94" t="s">
        <v>151</v>
      </c>
      <c r="G662" s="113">
        <v>2516</v>
      </c>
      <c r="H662" s="59">
        <f t="shared" ref="H662:H676" si="135">ROUND(E662*G662,2)</f>
        <v>1337153.3600000001</v>
      </c>
      <c r="I662" s="114">
        <v>485</v>
      </c>
      <c r="J662" s="59">
        <f t="shared" ref="J662:J676" si="136">ROUND(E662*I662,2)</f>
        <v>257758.1</v>
      </c>
      <c r="K662" s="60">
        <f t="shared" ref="K662:K676" si="137">H662+J662</f>
        <v>1594911.4600000002</v>
      </c>
      <c r="L662" s="92"/>
      <c r="M662" s="87"/>
      <c r="N662" s="87"/>
      <c r="O662" s="410"/>
      <c r="P662" s="87"/>
      <c r="Q662" s="87"/>
      <c r="R662" s="87"/>
      <c r="S662" s="87"/>
      <c r="T662" s="87"/>
      <c r="U662" s="87"/>
    </row>
    <row r="663" spans="1:21" s="62" customFormat="1" ht="24" customHeight="1">
      <c r="A663" s="67"/>
      <c r="B663" s="426" t="s">
        <v>152</v>
      </c>
      <c r="C663" s="423"/>
      <c r="D663" s="423"/>
      <c r="E663" s="425"/>
      <c r="F663" s="94"/>
      <c r="G663" s="113"/>
      <c r="H663" s="59">
        <f t="shared" si="135"/>
        <v>0</v>
      </c>
      <c r="I663" s="114"/>
      <c r="J663" s="59">
        <f t="shared" si="136"/>
        <v>0</v>
      </c>
      <c r="K663" s="60">
        <f t="shared" si="137"/>
        <v>0</v>
      </c>
      <c r="L663" s="92"/>
      <c r="M663" s="87"/>
      <c r="N663" s="87"/>
      <c r="O663" s="410"/>
      <c r="P663" s="87"/>
      <c r="Q663" s="87"/>
      <c r="R663" s="87"/>
      <c r="S663" s="87"/>
      <c r="T663" s="87"/>
      <c r="U663" s="87"/>
    </row>
    <row r="664" spans="1:21" s="62" customFormat="1" ht="24" customHeight="1">
      <c r="A664" s="67"/>
      <c r="B664" s="426"/>
      <c r="C664" s="423" t="s">
        <v>153</v>
      </c>
      <c r="D664" s="423"/>
      <c r="E664" s="425">
        <f>E665/2</f>
        <v>1045.3399999999999</v>
      </c>
      <c r="F664" s="94" t="s">
        <v>37</v>
      </c>
      <c r="G664" s="113">
        <v>661.62</v>
      </c>
      <c r="H664" s="59">
        <f t="shared" si="135"/>
        <v>691617.85</v>
      </c>
      <c r="I664" s="114"/>
      <c r="J664" s="59">
        <f t="shared" si="136"/>
        <v>0</v>
      </c>
      <c r="K664" s="60">
        <f t="shared" si="137"/>
        <v>691617.85</v>
      </c>
      <c r="L664" s="92"/>
      <c r="M664" s="87"/>
      <c r="N664" s="87"/>
      <c r="O664" s="410"/>
      <c r="P664" s="87"/>
      <c r="Q664" s="87"/>
      <c r="R664" s="87"/>
      <c r="S664" s="87"/>
      <c r="T664" s="87"/>
      <c r="U664" s="87"/>
    </row>
    <row r="665" spans="1:21" s="62" customFormat="1" ht="24" customHeight="1">
      <c r="A665" s="67"/>
      <c r="B665" s="426"/>
      <c r="C665" s="423" t="s">
        <v>154</v>
      </c>
      <c r="D665" s="423"/>
      <c r="E665" s="425">
        <v>2090.6799999999998</v>
      </c>
      <c r="F665" s="94" t="s">
        <v>37</v>
      </c>
      <c r="G665" s="113"/>
      <c r="H665" s="59">
        <f t="shared" si="135"/>
        <v>0</v>
      </c>
      <c r="I665" s="114">
        <v>154</v>
      </c>
      <c r="J665" s="59">
        <f t="shared" si="136"/>
        <v>321964.71999999997</v>
      </c>
      <c r="K665" s="60">
        <f t="shared" si="137"/>
        <v>321964.71999999997</v>
      </c>
      <c r="L665" s="92"/>
      <c r="M665" s="87"/>
      <c r="N665" s="87"/>
      <c r="O665" s="410"/>
      <c r="P665" s="87"/>
      <c r="Q665" s="87"/>
      <c r="R665" s="87"/>
      <c r="S665" s="87"/>
      <c r="T665" s="87"/>
      <c r="U665" s="87"/>
    </row>
    <row r="666" spans="1:21" s="62" customFormat="1" ht="24" customHeight="1">
      <c r="A666" s="67"/>
      <c r="B666" s="423" t="s">
        <v>155</v>
      </c>
      <c r="C666" s="423"/>
      <c r="D666" s="423"/>
      <c r="E666" s="425">
        <f>(E665*0.25)</f>
        <v>522.66999999999996</v>
      </c>
      <c r="F666" s="94" t="s">
        <v>156</v>
      </c>
      <c r="G666" s="113">
        <f t="shared" ref="G666" si="138">VLOOKUP(B666,$N$43:$O$53,2,FALSE)</f>
        <v>29.94</v>
      </c>
      <c r="H666" s="59">
        <f t="shared" si="135"/>
        <v>15648.74</v>
      </c>
      <c r="I666" s="114"/>
      <c r="J666" s="59">
        <f t="shared" si="136"/>
        <v>0</v>
      </c>
      <c r="K666" s="60">
        <f t="shared" si="137"/>
        <v>15648.74</v>
      </c>
      <c r="L666" s="92"/>
      <c r="M666" s="87"/>
      <c r="N666" s="87"/>
      <c r="O666" s="410"/>
      <c r="P666" s="87"/>
      <c r="Q666" s="87"/>
      <c r="R666" s="87"/>
      <c r="S666" s="87"/>
      <c r="T666" s="87"/>
      <c r="U666" s="87"/>
    </row>
    <row r="667" spans="1:21" s="62" customFormat="1" ht="24" customHeight="1">
      <c r="A667" s="67"/>
      <c r="B667" s="423" t="s">
        <v>157</v>
      </c>
      <c r="C667" s="423"/>
      <c r="D667" s="423"/>
      <c r="E667" s="425"/>
      <c r="F667" s="115"/>
      <c r="G667" s="101"/>
      <c r="H667" s="59">
        <f t="shared" si="135"/>
        <v>0</v>
      </c>
      <c r="I667" s="114"/>
      <c r="J667" s="59">
        <f t="shared" si="136"/>
        <v>0</v>
      </c>
      <c r="K667" s="60">
        <f t="shared" si="137"/>
        <v>0</v>
      </c>
      <c r="L667" s="92"/>
      <c r="M667" s="87"/>
      <c r="N667" s="87"/>
      <c r="O667" s="410"/>
      <c r="P667" s="87"/>
      <c r="Q667" s="87"/>
      <c r="R667" s="87"/>
      <c r="S667" s="87"/>
      <c r="T667" s="87"/>
      <c r="U667" s="87"/>
    </row>
    <row r="668" spans="1:21" s="62" customFormat="1" ht="24" customHeight="1">
      <c r="A668" s="67"/>
      <c r="B668" s="423" t="s">
        <v>158</v>
      </c>
      <c r="C668" s="423"/>
      <c r="D668" s="423"/>
      <c r="E668" s="425"/>
      <c r="F668" s="94" t="s">
        <v>156</v>
      </c>
      <c r="G668" s="113">
        <f>VLOOKUP(B668,$N$43:$O$54,2,FALSE)</f>
        <v>25.73</v>
      </c>
      <c r="H668" s="59">
        <f t="shared" si="135"/>
        <v>0</v>
      </c>
      <c r="I668" s="103">
        <v>4.0999999999999996</v>
      </c>
      <c r="J668" s="59">
        <f t="shared" si="136"/>
        <v>0</v>
      </c>
      <c r="K668" s="60">
        <f t="shared" si="137"/>
        <v>0</v>
      </c>
      <c r="L668" s="92"/>
      <c r="M668" s="87"/>
      <c r="N668" s="87"/>
      <c r="O668" s="410"/>
      <c r="P668" s="87"/>
      <c r="Q668" s="87"/>
      <c r="R668" s="87"/>
      <c r="S668" s="87"/>
      <c r="T668" s="87"/>
      <c r="U668" s="87"/>
    </row>
    <row r="669" spans="1:21" s="62" customFormat="1" ht="24" customHeight="1">
      <c r="A669" s="67"/>
      <c r="B669" s="423" t="s">
        <v>159</v>
      </c>
      <c r="C669" s="423"/>
      <c r="D669" s="423"/>
      <c r="E669" s="425">
        <v>13.89</v>
      </c>
      <c r="F669" s="94" t="s">
        <v>156</v>
      </c>
      <c r="G669" s="113">
        <f t="shared" ref="G669:G676" si="139">VLOOKUP(B669,$N$43:$O$54,2,FALSE)</f>
        <v>24.97</v>
      </c>
      <c r="H669" s="59">
        <f t="shared" si="135"/>
        <v>346.83</v>
      </c>
      <c r="I669" s="114">
        <v>4.0999999999999996</v>
      </c>
      <c r="J669" s="59">
        <f t="shared" si="136"/>
        <v>56.95</v>
      </c>
      <c r="K669" s="60">
        <f t="shared" si="137"/>
        <v>403.78</v>
      </c>
      <c r="L669" s="92"/>
      <c r="M669" s="87"/>
      <c r="N669" s="87"/>
      <c r="O669" s="410"/>
      <c r="P669" s="87"/>
      <c r="Q669" s="87"/>
      <c r="R669" s="87"/>
      <c r="S669" s="87"/>
      <c r="T669" s="87"/>
      <c r="U669" s="87"/>
    </row>
    <row r="670" spans="1:21" s="62" customFormat="1" ht="24" customHeight="1">
      <c r="A670" s="67"/>
      <c r="B670" s="423" t="s">
        <v>160</v>
      </c>
      <c r="C670" s="423"/>
      <c r="D670" s="423"/>
      <c r="E670" s="425">
        <v>30554.399999999998</v>
      </c>
      <c r="F670" s="94" t="s">
        <v>156</v>
      </c>
      <c r="G670" s="113">
        <f t="shared" si="139"/>
        <v>24.47</v>
      </c>
      <c r="H670" s="59">
        <f t="shared" si="135"/>
        <v>747666.17</v>
      </c>
      <c r="I670" s="114">
        <v>3.3</v>
      </c>
      <c r="J670" s="59">
        <f t="shared" si="136"/>
        <v>100829.52</v>
      </c>
      <c r="K670" s="60">
        <f t="shared" si="137"/>
        <v>848495.69000000006</v>
      </c>
      <c r="L670" s="92"/>
      <c r="M670" s="87"/>
      <c r="N670" s="87"/>
      <c r="O670" s="410"/>
      <c r="P670" s="87"/>
      <c r="Q670" s="87"/>
      <c r="R670" s="87"/>
      <c r="S670" s="87"/>
      <c r="T670" s="87"/>
      <c r="U670" s="87"/>
    </row>
    <row r="671" spans="1:21" s="62" customFormat="1" ht="24" customHeight="1">
      <c r="A671" s="67"/>
      <c r="B671" s="423" t="s">
        <v>161</v>
      </c>
      <c r="C671" s="423"/>
      <c r="D671" s="423"/>
      <c r="E671" s="425">
        <v>40.83</v>
      </c>
      <c r="F671" s="115" t="s">
        <v>156</v>
      </c>
      <c r="G671" s="113">
        <f t="shared" si="139"/>
        <v>24.27</v>
      </c>
      <c r="H671" s="59">
        <f t="shared" si="135"/>
        <v>990.94</v>
      </c>
      <c r="I671" s="114">
        <v>3.3</v>
      </c>
      <c r="J671" s="59">
        <f t="shared" si="136"/>
        <v>134.74</v>
      </c>
      <c r="K671" s="60">
        <f t="shared" si="137"/>
        <v>1125.68</v>
      </c>
      <c r="L671" s="92"/>
      <c r="M671" s="87"/>
      <c r="N671" s="87"/>
      <c r="O671" s="410"/>
      <c r="P671" s="87"/>
      <c r="Q671" s="87"/>
      <c r="R671" s="87"/>
      <c r="S671" s="87"/>
      <c r="T671" s="87"/>
      <c r="U671" s="87"/>
    </row>
    <row r="672" spans="1:21" s="62" customFormat="1" ht="24" customHeight="1">
      <c r="A672" s="67"/>
      <c r="B672" s="423" t="s">
        <v>162</v>
      </c>
      <c r="C672" s="423"/>
      <c r="D672" s="423"/>
      <c r="E672" s="425">
        <v>1138.77</v>
      </c>
      <c r="F672" s="94" t="s">
        <v>156</v>
      </c>
      <c r="G672" s="113">
        <f t="shared" si="139"/>
        <v>24.27</v>
      </c>
      <c r="H672" s="59">
        <f t="shared" si="135"/>
        <v>27637.95</v>
      </c>
      <c r="I672" s="114">
        <v>2.9</v>
      </c>
      <c r="J672" s="59">
        <f t="shared" si="136"/>
        <v>3302.43</v>
      </c>
      <c r="K672" s="60">
        <f t="shared" si="137"/>
        <v>30940.38</v>
      </c>
      <c r="L672" s="92"/>
      <c r="M672" s="87"/>
      <c r="N672" s="87"/>
      <c r="O672" s="410"/>
      <c r="P672" s="87"/>
      <c r="Q672" s="87"/>
      <c r="R672" s="87"/>
      <c r="S672" s="87"/>
      <c r="T672" s="87"/>
      <c r="U672" s="87"/>
    </row>
    <row r="673" spans="1:21" s="62" customFormat="1" ht="24" customHeight="1">
      <c r="A673" s="67"/>
      <c r="B673" s="423" t="s">
        <v>163</v>
      </c>
      <c r="C673" s="423"/>
      <c r="D673" s="423"/>
      <c r="E673" s="425">
        <v>7225.68</v>
      </c>
      <c r="F673" s="94" t="s">
        <v>156</v>
      </c>
      <c r="G673" s="113">
        <f t="shared" si="139"/>
        <v>24.27</v>
      </c>
      <c r="H673" s="59">
        <f t="shared" si="135"/>
        <v>175367.25</v>
      </c>
      <c r="I673" s="114">
        <v>2.9</v>
      </c>
      <c r="J673" s="59">
        <f t="shared" si="136"/>
        <v>20954.47</v>
      </c>
      <c r="K673" s="60">
        <f t="shared" si="137"/>
        <v>196321.72</v>
      </c>
      <c r="L673" s="92"/>
      <c r="M673" s="87"/>
      <c r="N673" s="87"/>
      <c r="O673" s="410"/>
      <c r="P673" s="87"/>
      <c r="Q673" s="87"/>
      <c r="R673" s="87"/>
      <c r="S673" s="87"/>
      <c r="T673" s="87"/>
      <c r="U673" s="87"/>
    </row>
    <row r="674" spans="1:21" s="62" customFormat="1" ht="24" customHeight="1">
      <c r="A674" s="67"/>
      <c r="B674" s="423" t="s">
        <v>164</v>
      </c>
      <c r="C674" s="423"/>
      <c r="D674" s="423"/>
      <c r="E674" s="425">
        <v>110573.43999999999</v>
      </c>
      <c r="F674" s="94" t="s">
        <v>156</v>
      </c>
      <c r="G674" s="113">
        <f t="shared" si="139"/>
        <v>24.27</v>
      </c>
      <c r="H674" s="59">
        <f t="shared" si="135"/>
        <v>2683617.39</v>
      </c>
      <c r="I674" s="114">
        <v>2.9</v>
      </c>
      <c r="J674" s="59">
        <f t="shared" si="136"/>
        <v>320662.98</v>
      </c>
      <c r="K674" s="60">
        <f t="shared" si="137"/>
        <v>3004280.37</v>
      </c>
      <c r="L674" s="92"/>
      <c r="M674" s="87"/>
      <c r="N674" s="87"/>
      <c r="O674" s="410"/>
      <c r="P674" s="87"/>
      <c r="Q674" s="87"/>
      <c r="R674" s="87"/>
      <c r="S674" s="87"/>
      <c r="T674" s="87"/>
      <c r="U674" s="87"/>
    </row>
    <row r="675" spans="1:21" s="62" customFormat="1" ht="24" customHeight="1">
      <c r="A675" s="67"/>
      <c r="B675" s="423" t="s">
        <v>165</v>
      </c>
      <c r="C675" s="423"/>
      <c r="D675" s="423"/>
      <c r="E675" s="425"/>
      <c r="F675" s="94" t="s">
        <v>156</v>
      </c>
      <c r="G675" s="113">
        <f t="shared" si="139"/>
        <v>23.8</v>
      </c>
      <c r="H675" s="59">
        <f t="shared" si="135"/>
        <v>0</v>
      </c>
      <c r="I675" s="114">
        <v>2.9</v>
      </c>
      <c r="J675" s="59">
        <f t="shared" si="136"/>
        <v>0</v>
      </c>
      <c r="K675" s="60">
        <f t="shared" si="137"/>
        <v>0</v>
      </c>
      <c r="L675" s="92"/>
      <c r="M675" s="87"/>
      <c r="N675" s="87"/>
      <c r="O675" s="410"/>
      <c r="P675" s="87"/>
      <c r="Q675" s="87"/>
      <c r="R675" s="87"/>
      <c r="S675" s="87"/>
      <c r="T675" s="87"/>
      <c r="U675" s="87"/>
    </row>
    <row r="676" spans="1:21" s="62" customFormat="1" ht="24" customHeight="1">
      <c r="A676" s="67"/>
      <c r="B676" s="423" t="s">
        <v>166</v>
      </c>
      <c r="C676" s="423"/>
      <c r="D676" s="423"/>
      <c r="E676" s="425">
        <f>(SUM(E668:E675)/1000)*30</f>
        <v>4486.4102999999996</v>
      </c>
      <c r="F676" s="94" t="s">
        <v>156</v>
      </c>
      <c r="G676" s="113">
        <f t="shared" si="139"/>
        <v>29.92</v>
      </c>
      <c r="H676" s="59">
        <f t="shared" si="135"/>
        <v>134233.4</v>
      </c>
      <c r="I676" s="114"/>
      <c r="J676" s="59">
        <f t="shared" si="136"/>
        <v>0</v>
      </c>
      <c r="K676" s="60">
        <f t="shared" si="137"/>
        <v>134233.4</v>
      </c>
      <c r="L676" s="92"/>
      <c r="M676" s="87"/>
      <c r="N676" s="87"/>
      <c r="O676" s="410"/>
      <c r="P676" s="87"/>
      <c r="Q676" s="87"/>
      <c r="R676" s="87"/>
      <c r="S676" s="87"/>
      <c r="T676" s="87"/>
      <c r="U676" s="87"/>
    </row>
    <row r="677" spans="1:21" s="62" customFormat="1" ht="24" customHeight="1">
      <c r="A677" s="67"/>
      <c r="B677" s="423" t="s">
        <v>167</v>
      </c>
      <c r="C677" s="423"/>
      <c r="D677" s="423"/>
      <c r="E677" s="425"/>
      <c r="F677" s="94"/>
      <c r="G677" s="113"/>
      <c r="H677" s="59"/>
      <c r="I677" s="114"/>
      <c r="J677" s="59"/>
      <c r="K677" s="60"/>
      <c r="L677" s="92"/>
      <c r="M677" s="87"/>
      <c r="N677" s="87"/>
      <c r="O677" s="410"/>
      <c r="P677" s="87"/>
      <c r="Q677" s="87"/>
      <c r="R677" s="87"/>
      <c r="S677" s="87"/>
      <c r="T677" s="87"/>
      <c r="U677" s="87"/>
    </row>
    <row r="678" spans="1:21" s="62" customFormat="1" ht="24" customHeight="1">
      <c r="A678" s="93"/>
      <c r="B678" s="423"/>
      <c r="C678" s="423"/>
      <c r="D678" s="423"/>
      <c r="E678" s="425"/>
      <c r="F678" s="94"/>
      <c r="G678" s="113"/>
      <c r="H678" s="59"/>
      <c r="I678" s="114"/>
      <c r="J678" s="59"/>
      <c r="K678" s="60"/>
      <c r="L678" s="92"/>
      <c r="M678" s="87"/>
      <c r="N678" s="87"/>
      <c r="O678" s="410"/>
      <c r="P678" s="87"/>
      <c r="Q678" s="87"/>
      <c r="R678" s="87"/>
      <c r="S678" s="87"/>
      <c r="T678" s="87"/>
      <c r="U678" s="87"/>
    </row>
    <row r="679" spans="1:21" s="62" customFormat="1" ht="24" customHeight="1">
      <c r="A679" s="67"/>
      <c r="B679" s="95"/>
      <c r="C679" s="423"/>
      <c r="D679" s="423"/>
      <c r="E679" s="425"/>
      <c r="F679" s="94"/>
      <c r="G679" s="113"/>
      <c r="H679" s="59"/>
      <c r="I679" s="114"/>
      <c r="J679" s="59"/>
      <c r="K679" s="60"/>
      <c r="L679" s="92"/>
      <c r="M679" s="87"/>
      <c r="N679" s="87"/>
      <c r="O679" s="410"/>
      <c r="P679" s="87"/>
      <c r="Q679" s="87"/>
      <c r="R679" s="87"/>
      <c r="S679" s="87"/>
      <c r="T679" s="87"/>
      <c r="U679" s="87"/>
    </row>
    <row r="680" spans="1:21" s="62" customFormat="1" ht="24" customHeight="1">
      <c r="A680" s="67"/>
      <c r="B680" s="95"/>
      <c r="C680" s="423"/>
      <c r="D680" s="423"/>
      <c r="E680" s="425"/>
      <c r="F680" s="94"/>
      <c r="G680" s="113"/>
      <c r="H680" s="59"/>
      <c r="I680" s="114"/>
      <c r="J680" s="59"/>
      <c r="K680" s="60"/>
      <c r="L680" s="92"/>
      <c r="M680" s="87"/>
      <c r="N680" s="87"/>
      <c r="O680" s="410"/>
      <c r="P680" s="87"/>
      <c r="Q680" s="87"/>
      <c r="R680" s="87"/>
      <c r="S680" s="87"/>
      <c r="T680" s="87"/>
      <c r="U680" s="87"/>
    </row>
    <row r="681" spans="1:21" s="62" customFormat="1" ht="24" customHeight="1">
      <c r="A681" s="67"/>
      <c r="B681" s="95"/>
      <c r="C681" s="423"/>
      <c r="D681" s="423"/>
      <c r="E681" s="425"/>
      <c r="F681" s="94"/>
      <c r="G681" s="113"/>
      <c r="H681" s="59"/>
      <c r="I681" s="114"/>
      <c r="J681" s="59"/>
      <c r="K681" s="60"/>
      <c r="L681" s="92"/>
      <c r="M681" s="87"/>
      <c r="N681" s="87"/>
      <c r="O681" s="410"/>
      <c r="P681" s="87"/>
      <c r="Q681" s="87"/>
      <c r="R681" s="87"/>
      <c r="S681" s="87"/>
      <c r="T681" s="87"/>
      <c r="U681" s="87"/>
    </row>
    <row r="682" spans="1:21" s="62" customFormat="1" ht="24" customHeight="1">
      <c r="A682" s="67"/>
      <c r="B682" s="95"/>
      <c r="C682" s="423"/>
      <c r="D682" s="423"/>
      <c r="E682" s="425"/>
      <c r="F682" s="94"/>
      <c r="G682" s="113"/>
      <c r="H682" s="59"/>
      <c r="I682" s="114"/>
      <c r="J682" s="59"/>
      <c r="K682" s="60"/>
      <c r="L682" s="92"/>
      <c r="M682" s="87"/>
      <c r="N682" s="87"/>
      <c r="O682" s="410"/>
      <c r="P682" s="87"/>
      <c r="Q682" s="87"/>
      <c r="R682" s="87"/>
      <c r="S682" s="87"/>
      <c r="T682" s="87"/>
      <c r="U682" s="87"/>
    </row>
    <row r="683" spans="1:21" s="62" customFormat="1" ht="24" customHeight="1">
      <c r="A683" s="67"/>
      <c r="B683" s="95"/>
      <c r="C683" s="423"/>
      <c r="D683" s="423"/>
      <c r="E683" s="425"/>
      <c r="F683" s="94"/>
      <c r="G683" s="113"/>
      <c r="H683" s="59"/>
      <c r="I683" s="114"/>
      <c r="J683" s="59"/>
      <c r="K683" s="60"/>
      <c r="L683" s="92"/>
      <c r="M683" s="87"/>
      <c r="N683" s="87"/>
      <c r="O683" s="410"/>
      <c r="P683" s="87"/>
      <c r="Q683" s="87"/>
      <c r="R683" s="87"/>
      <c r="S683" s="87"/>
      <c r="T683" s="87"/>
      <c r="U683" s="87"/>
    </row>
    <row r="684" spans="1:21" s="62" customFormat="1" ht="24" customHeight="1">
      <c r="A684" s="67"/>
      <c r="B684" s="95"/>
      <c r="C684" s="423"/>
      <c r="D684" s="423"/>
      <c r="E684" s="425"/>
      <c r="F684" s="94"/>
      <c r="G684" s="113"/>
      <c r="H684" s="59"/>
      <c r="I684" s="114"/>
      <c r="J684" s="59"/>
      <c r="K684" s="60"/>
      <c r="L684" s="92"/>
      <c r="M684" s="87"/>
      <c r="N684" s="87"/>
      <c r="O684" s="410"/>
      <c r="P684" s="87"/>
      <c r="Q684" s="87"/>
      <c r="R684" s="87"/>
      <c r="S684" s="87"/>
      <c r="T684" s="87"/>
      <c r="U684" s="87"/>
    </row>
    <row r="685" spans="1:21" s="62" customFormat="1" ht="24" customHeight="1">
      <c r="A685" s="67"/>
      <c r="B685" s="95"/>
      <c r="C685" s="423"/>
      <c r="D685" s="423"/>
      <c r="E685" s="425"/>
      <c r="F685" s="94"/>
      <c r="G685" s="113"/>
      <c r="H685" s="59"/>
      <c r="I685" s="114"/>
      <c r="J685" s="59"/>
      <c r="K685" s="60"/>
      <c r="L685" s="92"/>
      <c r="M685" s="87"/>
      <c r="N685" s="87"/>
      <c r="O685" s="410"/>
      <c r="P685" s="87"/>
      <c r="Q685" s="87"/>
      <c r="R685" s="87"/>
      <c r="S685" s="87"/>
      <c r="T685" s="87"/>
      <c r="U685" s="87"/>
    </row>
    <row r="686" spans="1:21" s="62" customFormat="1" ht="24" customHeight="1">
      <c r="A686" s="450" t="s">
        <v>196</v>
      </c>
      <c r="B686" s="452" t="s">
        <v>230</v>
      </c>
      <c r="C686" s="423"/>
      <c r="D686" s="423"/>
      <c r="E686" s="425"/>
      <c r="F686" s="94"/>
      <c r="G686" s="113"/>
      <c r="H686" s="59"/>
      <c r="I686" s="114"/>
      <c r="J686" s="59"/>
      <c r="K686" s="60"/>
      <c r="L686" s="92"/>
      <c r="M686" s="87"/>
      <c r="N686" s="87"/>
      <c r="O686" s="410"/>
      <c r="P686" s="87"/>
      <c r="Q686" s="87"/>
      <c r="R686" s="87"/>
      <c r="S686" s="87"/>
      <c r="T686" s="87"/>
      <c r="U686" s="87"/>
    </row>
    <row r="687" spans="1:21" s="62" customFormat="1" ht="24" customHeight="1">
      <c r="A687" s="450"/>
      <c r="B687" s="423" t="s">
        <v>150</v>
      </c>
      <c r="C687" s="424"/>
      <c r="D687" s="424"/>
      <c r="E687" s="425">
        <v>511.01</v>
      </c>
      <c r="F687" s="94" t="s">
        <v>151</v>
      </c>
      <c r="G687" s="113">
        <v>2516</v>
      </c>
      <c r="H687" s="59">
        <f t="shared" ref="H687:H701" si="140">ROUND(E687*G687,2)</f>
        <v>1285701.1599999999</v>
      </c>
      <c r="I687" s="114">
        <v>485</v>
      </c>
      <c r="J687" s="59">
        <f t="shared" ref="J687:J701" si="141">ROUND(E687*I687,2)</f>
        <v>247839.85</v>
      </c>
      <c r="K687" s="60">
        <f t="shared" ref="K687:K701" si="142">H687+J687</f>
        <v>1533541.01</v>
      </c>
      <c r="L687" s="92"/>
      <c r="M687" s="87"/>
      <c r="N687" s="87"/>
      <c r="O687" s="410"/>
      <c r="P687" s="87"/>
      <c r="Q687" s="87"/>
      <c r="R687" s="87"/>
      <c r="S687" s="87"/>
      <c r="T687" s="87"/>
      <c r="U687" s="87"/>
    </row>
    <row r="688" spans="1:21" s="62" customFormat="1" ht="24" customHeight="1">
      <c r="A688" s="450"/>
      <c r="B688" s="426" t="s">
        <v>152</v>
      </c>
      <c r="C688" s="423"/>
      <c r="D688" s="423"/>
      <c r="E688" s="425"/>
      <c r="F688" s="94"/>
      <c r="G688" s="113"/>
      <c r="H688" s="59">
        <f t="shared" si="140"/>
        <v>0</v>
      </c>
      <c r="I688" s="114"/>
      <c r="J688" s="59">
        <f t="shared" si="141"/>
        <v>0</v>
      </c>
      <c r="K688" s="60">
        <f t="shared" si="142"/>
        <v>0</v>
      </c>
      <c r="L688" s="92"/>
      <c r="M688" s="87"/>
      <c r="N688" s="87"/>
      <c r="O688" s="410"/>
      <c r="P688" s="87"/>
      <c r="Q688" s="87"/>
      <c r="R688" s="87"/>
      <c r="S688" s="87"/>
      <c r="T688" s="87"/>
      <c r="U688" s="87"/>
    </row>
    <row r="689" spans="1:21" s="62" customFormat="1" ht="24" customHeight="1">
      <c r="A689" s="450"/>
      <c r="B689" s="426"/>
      <c r="C689" s="423" t="s">
        <v>153</v>
      </c>
      <c r="D689" s="423"/>
      <c r="E689" s="425">
        <f>E690/2</f>
        <v>1693.095</v>
      </c>
      <c r="F689" s="94" t="s">
        <v>37</v>
      </c>
      <c r="G689" s="113">
        <v>661.62</v>
      </c>
      <c r="H689" s="59">
        <f t="shared" si="140"/>
        <v>1120185.51</v>
      </c>
      <c r="I689" s="114"/>
      <c r="J689" s="59">
        <f t="shared" si="141"/>
        <v>0</v>
      </c>
      <c r="K689" s="60">
        <f t="shared" si="142"/>
        <v>1120185.51</v>
      </c>
      <c r="L689" s="92"/>
      <c r="M689" s="87"/>
      <c r="N689" s="87"/>
      <c r="O689" s="410"/>
      <c r="P689" s="87"/>
      <c r="Q689" s="87"/>
      <c r="R689" s="87"/>
      <c r="S689" s="87"/>
      <c r="T689" s="87"/>
      <c r="U689" s="87"/>
    </row>
    <row r="690" spans="1:21" s="62" customFormat="1" ht="24" customHeight="1">
      <c r="A690" s="450"/>
      <c r="B690" s="426"/>
      <c r="C690" s="423" t="s">
        <v>154</v>
      </c>
      <c r="D690" s="423"/>
      <c r="E690" s="425">
        <v>3386.19</v>
      </c>
      <c r="F690" s="94" t="s">
        <v>37</v>
      </c>
      <c r="G690" s="113"/>
      <c r="H690" s="59">
        <f t="shared" si="140"/>
        <v>0</v>
      </c>
      <c r="I690" s="114">
        <v>154</v>
      </c>
      <c r="J690" s="59">
        <f t="shared" si="141"/>
        <v>521473.26</v>
      </c>
      <c r="K690" s="60">
        <f t="shared" si="142"/>
        <v>521473.26</v>
      </c>
      <c r="L690" s="92"/>
      <c r="M690" s="87"/>
      <c r="N690" s="87"/>
      <c r="O690" s="410"/>
      <c r="P690" s="87"/>
      <c r="Q690" s="87"/>
      <c r="R690" s="87"/>
      <c r="S690" s="87"/>
      <c r="T690" s="87"/>
      <c r="U690" s="87"/>
    </row>
    <row r="691" spans="1:21" s="62" customFormat="1" ht="24" customHeight="1">
      <c r="A691" s="450"/>
      <c r="B691" s="423" t="s">
        <v>155</v>
      </c>
      <c r="C691" s="423"/>
      <c r="D691" s="423"/>
      <c r="E691" s="425">
        <f>(E690*0.25)</f>
        <v>846.54750000000001</v>
      </c>
      <c r="F691" s="94" t="s">
        <v>156</v>
      </c>
      <c r="G691" s="113">
        <f t="shared" ref="G691" si="143">VLOOKUP(B691,$N$43:$O$53,2,FALSE)</f>
        <v>29.94</v>
      </c>
      <c r="H691" s="59">
        <f t="shared" si="140"/>
        <v>25345.63</v>
      </c>
      <c r="I691" s="114"/>
      <c r="J691" s="59">
        <f t="shared" si="141"/>
        <v>0</v>
      </c>
      <c r="K691" s="60">
        <f t="shared" si="142"/>
        <v>25345.63</v>
      </c>
      <c r="L691" s="92"/>
      <c r="M691" s="87"/>
      <c r="N691" s="87"/>
      <c r="O691" s="410"/>
      <c r="P691" s="87"/>
      <c r="Q691" s="87"/>
      <c r="R691" s="87"/>
      <c r="S691" s="87"/>
      <c r="T691" s="87"/>
      <c r="U691" s="87"/>
    </row>
    <row r="692" spans="1:21" s="62" customFormat="1" ht="24" customHeight="1">
      <c r="A692" s="450"/>
      <c r="B692" s="423" t="s">
        <v>157</v>
      </c>
      <c r="C692" s="423"/>
      <c r="D692" s="423"/>
      <c r="E692" s="425"/>
      <c r="F692" s="115"/>
      <c r="G692" s="101"/>
      <c r="H692" s="59">
        <f t="shared" si="140"/>
        <v>0</v>
      </c>
      <c r="I692" s="114"/>
      <c r="J692" s="59">
        <f t="shared" si="141"/>
        <v>0</v>
      </c>
      <c r="K692" s="60">
        <f t="shared" si="142"/>
        <v>0</v>
      </c>
      <c r="L692" s="92"/>
      <c r="M692" s="87"/>
      <c r="N692" s="87"/>
      <c r="O692" s="410"/>
      <c r="P692" s="87"/>
      <c r="Q692" s="87"/>
      <c r="R692" s="87"/>
      <c r="S692" s="87"/>
      <c r="T692" s="87"/>
      <c r="U692" s="87"/>
    </row>
    <row r="693" spans="1:21" s="62" customFormat="1" ht="24" customHeight="1">
      <c r="A693" s="450"/>
      <c r="B693" s="423" t="s">
        <v>158</v>
      </c>
      <c r="C693" s="423"/>
      <c r="D693" s="423"/>
      <c r="E693" s="425"/>
      <c r="F693" s="94" t="s">
        <v>156</v>
      </c>
      <c r="G693" s="113">
        <f>VLOOKUP(B693,$N$43:$O$54,2,FALSE)</f>
        <v>25.73</v>
      </c>
      <c r="H693" s="59">
        <f t="shared" si="140"/>
        <v>0</v>
      </c>
      <c r="I693" s="103">
        <v>4.0999999999999996</v>
      </c>
      <c r="J693" s="59">
        <f t="shared" si="141"/>
        <v>0</v>
      </c>
      <c r="K693" s="60">
        <f t="shared" si="142"/>
        <v>0</v>
      </c>
      <c r="L693" s="92"/>
      <c r="M693" s="87"/>
      <c r="N693" s="87"/>
      <c r="O693" s="410"/>
      <c r="P693" s="87"/>
      <c r="Q693" s="87"/>
      <c r="R693" s="87"/>
      <c r="S693" s="87"/>
      <c r="T693" s="87"/>
      <c r="U693" s="87"/>
    </row>
    <row r="694" spans="1:21" s="62" customFormat="1" ht="24" customHeight="1">
      <c r="A694" s="450"/>
      <c r="B694" s="423" t="s">
        <v>159</v>
      </c>
      <c r="C694" s="423"/>
      <c r="D694" s="423"/>
      <c r="E694" s="425"/>
      <c r="F694" s="94" t="s">
        <v>156</v>
      </c>
      <c r="G694" s="113">
        <f t="shared" ref="G694:G701" si="144">VLOOKUP(B694,$N$43:$O$54,2,FALSE)</f>
        <v>24.97</v>
      </c>
      <c r="H694" s="59">
        <f t="shared" si="140"/>
        <v>0</v>
      </c>
      <c r="I694" s="114">
        <v>4.0999999999999996</v>
      </c>
      <c r="J694" s="59">
        <f t="shared" si="141"/>
        <v>0</v>
      </c>
      <c r="K694" s="60">
        <f t="shared" si="142"/>
        <v>0</v>
      </c>
      <c r="L694" s="92"/>
      <c r="M694" s="87"/>
      <c r="N694" s="87"/>
      <c r="O694" s="410">
        <f>SUM(E693:E700)/E687</f>
        <v>350.21700162423434</v>
      </c>
      <c r="P694" s="87"/>
      <c r="Q694" s="87"/>
      <c r="R694" s="87"/>
      <c r="S694" s="87"/>
      <c r="T694" s="87"/>
      <c r="U694" s="87"/>
    </row>
    <row r="695" spans="1:21" s="62" customFormat="1" ht="24" customHeight="1">
      <c r="A695" s="450"/>
      <c r="B695" s="423" t="s">
        <v>160</v>
      </c>
      <c r="C695" s="423"/>
      <c r="D695" s="423"/>
      <c r="E695" s="425">
        <v>1304.76</v>
      </c>
      <c r="F695" s="94" t="s">
        <v>156</v>
      </c>
      <c r="G695" s="113">
        <f t="shared" si="144"/>
        <v>24.47</v>
      </c>
      <c r="H695" s="59">
        <f t="shared" si="140"/>
        <v>31927.48</v>
      </c>
      <c r="I695" s="114">
        <v>3.3</v>
      </c>
      <c r="J695" s="59">
        <f t="shared" si="141"/>
        <v>4305.71</v>
      </c>
      <c r="K695" s="60">
        <f t="shared" si="142"/>
        <v>36233.19</v>
      </c>
      <c r="L695" s="92"/>
      <c r="M695" s="87"/>
      <c r="N695" s="87"/>
      <c r="O695" s="410"/>
      <c r="P695" s="87"/>
      <c r="Q695" s="87"/>
      <c r="R695" s="87"/>
      <c r="S695" s="87"/>
      <c r="T695" s="87"/>
      <c r="U695" s="87"/>
    </row>
    <row r="696" spans="1:21" s="62" customFormat="1" ht="24" customHeight="1">
      <c r="A696" s="450"/>
      <c r="B696" s="423" t="s">
        <v>161</v>
      </c>
      <c r="C696" s="423"/>
      <c r="D696" s="423"/>
      <c r="E696" s="425">
        <v>75185.509999999995</v>
      </c>
      <c r="F696" s="115" t="s">
        <v>156</v>
      </c>
      <c r="G696" s="113">
        <f t="shared" si="144"/>
        <v>24.27</v>
      </c>
      <c r="H696" s="59">
        <f t="shared" si="140"/>
        <v>1824752.33</v>
      </c>
      <c r="I696" s="114">
        <v>3.3</v>
      </c>
      <c r="J696" s="59">
        <f t="shared" si="141"/>
        <v>248112.18</v>
      </c>
      <c r="K696" s="60">
        <f t="shared" si="142"/>
        <v>2072864.51</v>
      </c>
      <c r="L696" s="92"/>
      <c r="M696" s="87"/>
      <c r="N696" s="87"/>
      <c r="O696" s="410"/>
      <c r="P696" s="87"/>
      <c r="Q696" s="87"/>
      <c r="R696" s="87"/>
      <c r="S696" s="87"/>
      <c r="T696" s="87"/>
      <c r="U696" s="87"/>
    </row>
    <row r="697" spans="1:21" s="62" customFormat="1" ht="24" customHeight="1">
      <c r="A697" s="450"/>
      <c r="B697" s="423" t="s">
        <v>162</v>
      </c>
      <c r="C697" s="423"/>
      <c r="D697" s="423"/>
      <c r="E697" s="425">
        <v>7579.51</v>
      </c>
      <c r="F697" s="94" t="s">
        <v>156</v>
      </c>
      <c r="G697" s="113">
        <f t="shared" si="144"/>
        <v>24.27</v>
      </c>
      <c r="H697" s="59">
        <f t="shared" si="140"/>
        <v>183954.71</v>
      </c>
      <c r="I697" s="114">
        <v>2.9</v>
      </c>
      <c r="J697" s="59">
        <f t="shared" si="141"/>
        <v>21980.58</v>
      </c>
      <c r="K697" s="60">
        <f t="shared" si="142"/>
        <v>205935.28999999998</v>
      </c>
      <c r="L697" s="92"/>
      <c r="M697" s="87"/>
      <c r="N697" s="87"/>
      <c r="O697" s="410"/>
      <c r="P697" s="87"/>
      <c r="Q697" s="87"/>
      <c r="R697" s="87"/>
      <c r="S697" s="87"/>
      <c r="T697" s="87"/>
      <c r="U697" s="87"/>
    </row>
    <row r="698" spans="1:21" s="62" customFormat="1" ht="24" customHeight="1">
      <c r="A698" s="450"/>
      <c r="B698" s="423" t="s">
        <v>163</v>
      </c>
      <c r="C698" s="423"/>
      <c r="D698" s="423"/>
      <c r="E698" s="425">
        <v>94894.61</v>
      </c>
      <c r="F698" s="94" t="s">
        <v>156</v>
      </c>
      <c r="G698" s="113">
        <f t="shared" si="144"/>
        <v>24.27</v>
      </c>
      <c r="H698" s="59">
        <f t="shared" si="140"/>
        <v>2303092.1800000002</v>
      </c>
      <c r="I698" s="114">
        <v>2.9</v>
      </c>
      <c r="J698" s="59">
        <f t="shared" si="141"/>
        <v>275194.37</v>
      </c>
      <c r="K698" s="60">
        <f t="shared" si="142"/>
        <v>2578286.5500000003</v>
      </c>
      <c r="L698" s="92"/>
      <c r="M698" s="87"/>
      <c r="N698" s="87"/>
      <c r="O698" s="410"/>
      <c r="P698" s="87"/>
      <c r="Q698" s="87"/>
      <c r="R698" s="87"/>
      <c r="S698" s="87"/>
      <c r="T698" s="87"/>
      <c r="U698" s="87"/>
    </row>
    <row r="699" spans="1:21" s="62" customFormat="1" ht="24" customHeight="1">
      <c r="A699" s="450"/>
      <c r="B699" s="423" t="s">
        <v>164</v>
      </c>
      <c r="C699" s="423"/>
      <c r="D699" s="423"/>
      <c r="E699" s="425">
        <v>0</v>
      </c>
      <c r="F699" s="94" t="s">
        <v>156</v>
      </c>
      <c r="G699" s="113">
        <f t="shared" si="144"/>
        <v>24.27</v>
      </c>
      <c r="H699" s="59">
        <f t="shared" si="140"/>
        <v>0</v>
      </c>
      <c r="I699" s="114">
        <v>2.9</v>
      </c>
      <c r="J699" s="59">
        <f t="shared" si="141"/>
        <v>0</v>
      </c>
      <c r="K699" s="60">
        <f t="shared" si="142"/>
        <v>0</v>
      </c>
      <c r="L699" s="92"/>
      <c r="M699" s="87"/>
      <c r="N699" s="87"/>
      <c r="O699" s="410"/>
      <c r="P699" s="87"/>
      <c r="Q699" s="87"/>
      <c r="R699" s="87"/>
      <c r="S699" s="87"/>
      <c r="T699" s="87"/>
      <c r="U699" s="87"/>
    </row>
    <row r="700" spans="1:21" s="62" customFormat="1" ht="24" customHeight="1">
      <c r="A700" s="450"/>
      <c r="B700" s="423" t="s">
        <v>165</v>
      </c>
      <c r="C700" s="423"/>
      <c r="D700" s="423"/>
      <c r="E700" s="425">
        <v>0</v>
      </c>
      <c r="F700" s="94" t="s">
        <v>156</v>
      </c>
      <c r="G700" s="113">
        <f t="shared" si="144"/>
        <v>23.8</v>
      </c>
      <c r="H700" s="59">
        <f t="shared" si="140"/>
        <v>0</v>
      </c>
      <c r="I700" s="114">
        <v>2.9</v>
      </c>
      <c r="J700" s="59">
        <f t="shared" si="141"/>
        <v>0</v>
      </c>
      <c r="K700" s="60">
        <f t="shared" si="142"/>
        <v>0</v>
      </c>
      <c r="L700" s="92"/>
      <c r="M700" s="87"/>
      <c r="N700" s="87"/>
      <c r="O700" s="410"/>
      <c r="P700" s="87"/>
      <c r="Q700" s="87"/>
      <c r="R700" s="87"/>
      <c r="S700" s="87"/>
      <c r="T700" s="87"/>
      <c r="U700" s="87"/>
    </row>
    <row r="701" spans="1:21" s="62" customFormat="1" ht="24" customHeight="1">
      <c r="A701" s="450"/>
      <c r="B701" s="423" t="s">
        <v>166</v>
      </c>
      <c r="C701" s="423"/>
      <c r="D701" s="423"/>
      <c r="E701" s="425">
        <f>(SUM(E693:E700)/1000)*30</f>
        <v>5368.9316999999992</v>
      </c>
      <c r="F701" s="94" t="s">
        <v>156</v>
      </c>
      <c r="G701" s="113">
        <f t="shared" si="144"/>
        <v>29.92</v>
      </c>
      <c r="H701" s="59">
        <f t="shared" si="140"/>
        <v>160638.44</v>
      </c>
      <c r="I701" s="114"/>
      <c r="J701" s="59">
        <f t="shared" si="141"/>
        <v>0</v>
      </c>
      <c r="K701" s="60">
        <f t="shared" si="142"/>
        <v>160638.44</v>
      </c>
      <c r="L701" s="92"/>
      <c r="M701" s="87"/>
      <c r="N701" s="87"/>
      <c r="O701" s="410"/>
      <c r="P701" s="87"/>
      <c r="Q701" s="87"/>
      <c r="R701" s="87"/>
      <c r="S701" s="87"/>
      <c r="T701" s="87"/>
      <c r="U701" s="87"/>
    </row>
    <row r="702" spans="1:21" s="62" customFormat="1" ht="24" customHeight="1">
      <c r="A702" s="450"/>
      <c r="B702" s="423" t="s">
        <v>167</v>
      </c>
      <c r="C702" s="423"/>
      <c r="D702" s="423"/>
      <c r="E702" s="425"/>
      <c r="F702" s="94"/>
      <c r="G702" s="113"/>
      <c r="H702" s="59"/>
      <c r="I702" s="114"/>
      <c r="J702" s="59"/>
      <c r="K702" s="60"/>
      <c r="L702" s="92"/>
      <c r="M702" s="87"/>
      <c r="N702" s="87"/>
      <c r="O702" s="410"/>
      <c r="P702" s="87"/>
      <c r="Q702" s="87"/>
      <c r="R702" s="87"/>
      <c r="S702" s="87"/>
      <c r="T702" s="87"/>
      <c r="U702" s="87"/>
    </row>
    <row r="703" spans="1:21" s="62" customFormat="1" ht="24" customHeight="1">
      <c r="A703" s="93"/>
      <c r="B703" s="423"/>
      <c r="C703" s="423"/>
      <c r="D703" s="423"/>
      <c r="E703" s="425"/>
      <c r="F703" s="94"/>
      <c r="G703" s="113"/>
      <c r="H703" s="59"/>
      <c r="I703" s="114"/>
      <c r="J703" s="59"/>
      <c r="K703" s="60"/>
      <c r="L703" s="92"/>
      <c r="M703" s="87"/>
      <c r="N703" s="87"/>
      <c r="O703" s="410"/>
      <c r="P703" s="87"/>
      <c r="Q703" s="87"/>
      <c r="R703" s="87"/>
      <c r="S703" s="87"/>
      <c r="T703" s="87"/>
      <c r="U703" s="87"/>
    </row>
    <row r="704" spans="1:21" s="62" customFormat="1" ht="24" customHeight="1">
      <c r="A704" s="450"/>
      <c r="B704" s="423"/>
      <c r="C704" s="423"/>
      <c r="D704" s="423"/>
      <c r="E704" s="425"/>
      <c r="F704" s="94"/>
      <c r="G704" s="113"/>
      <c r="H704" s="59"/>
      <c r="I704" s="114"/>
      <c r="J704" s="59"/>
      <c r="K704" s="60"/>
      <c r="L704" s="92"/>
      <c r="M704" s="87"/>
      <c r="N704" s="87"/>
      <c r="O704" s="410"/>
      <c r="P704" s="87"/>
      <c r="Q704" s="87"/>
      <c r="R704" s="87"/>
      <c r="S704" s="87"/>
      <c r="T704" s="87"/>
      <c r="U704" s="87"/>
    </row>
    <row r="705" spans="1:21" s="62" customFormat="1" ht="24" customHeight="1">
      <c r="A705" s="450"/>
      <c r="B705" s="423"/>
      <c r="C705" s="423"/>
      <c r="D705" s="423"/>
      <c r="E705" s="425"/>
      <c r="F705" s="94"/>
      <c r="G705" s="113"/>
      <c r="H705" s="59"/>
      <c r="I705" s="114"/>
      <c r="J705" s="59"/>
      <c r="K705" s="60"/>
      <c r="L705" s="92"/>
      <c r="M705" s="87"/>
      <c r="N705" s="87"/>
      <c r="O705" s="410"/>
      <c r="P705" s="87"/>
      <c r="Q705" s="87"/>
      <c r="R705" s="87"/>
      <c r="S705" s="87"/>
      <c r="T705" s="87"/>
      <c r="U705" s="87"/>
    </row>
    <row r="706" spans="1:21" s="62" customFormat="1" ht="24" customHeight="1">
      <c r="A706" s="450"/>
      <c r="B706" s="423"/>
      <c r="C706" s="423"/>
      <c r="D706" s="423"/>
      <c r="E706" s="425"/>
      <c r="F706" s="94"/>
      <c r="G706" s="113"/>
      <c r="H706" s="59"/>
      <c r="I706" s="114"/>
      <c r="J706" s="59"/>
      <c r="K706" s="60"/>
      <c r="L706" s="92"/>
      <c r="M706" s="87"/>
      <c r="N706" s="87"/>
      <c r="O706" s="410"/>
      <c r="P706" s="87"/>
      <c r="Q706" s="87"/>
      <c r="R706" s="87"/>
      <c r="S706" s="87"/>
      <c r="T706" s="87"/>
      <c r="U706" s="87"/>
    </row>
    <row r="707" spans="1:21" s="62" customFormat="1" ht="24" customHeight="1">
      <c r="A707" s="450"/>
      <c r="B707" s="423"/>
      <c r="C707" s="423"/>
      <c r="D707" s="423"/>
      <c r="E707" s="425"/>
      <c r="F707" s="94"/>
      <c r="G707" s="113"/>
      <c r="H707" s="59"/>
      <c r="I707" s="114"/>
      <c r="J707" s="59"/>
      <c r="K707" s="60"/>
      <c r="L707" s="92"/>
      <c r="M707" s="87"/>
      <c r="N707" s="87"/>
      <c r="O707" s="410"/>
      <c r="P707" s="87"/>
      <c r="Q707" s="87"/>
      <c r="R707" s="87"/>
      <c r="S707" s="87"/>
      <c r="T707" s="87"/>
      <c r="U707" s="87"/>
    </row>
    <row r="708" spans="1:21" s="62" customFormat="1" ht="24" customHeight="1">
      <c r="A708" s="450"/>
      <c r="B708" s="423"/>
      <c r="C708" s="423"/>
      <c r="D708" s="423"/>
      <c r="E708" s="425"/>
      <c r="F708" s="94"/>
      <c r="G708" s="113"/>
      <c r="H708" s="59"/>
      <c r="I708" s="114"/>
      <c r="J708" s="59"/>
      <c r="K708" s="60"/>
      <c r="L708" s="92"/>
      <c r="M708" s="87"/>
      <c r="N708" s="87"/>
      <c r="O708" s="410"/>
      <c r="P708" s="87"/>
      <c r="Q708" s="87"/>
      <c r="R708" s="87"/>
      <c r="S708" s="87"/>
      <c r="T708" s="87"/>
      <c r="U708" s="87"/>
    </row>
    <row r="709" spans="1:21" s="62" customFormat="1" ht="24" customHeight="1">
      <c r="A709" s="450"/>
      <c r="B709" s="423"/>
      <c r="C709" s="423"/>
      <c r="D709" s="423"/>
      <c r="E709" s="425"/>
      <c r="F709" s="94"/>
      <c r="G709" s="113"/>
      <c r="H709" s="59"/>
      <c r="I709" s="114"/>
      <c r="J709" s="59"/>
      <c r="K709" s="60"/>
      <c r="L709" s="92"/>
      <c r="M709" s="87"/>
      <c r="N709" s="87"/>
      <c r="O709" s="410"/>
      <c r="P709" s="87"/>
      <c r="Q709" s="87"/>
      <c r="R709" s="87"/>
      <c r="S709" s="87"/>
      <c r="T709" s="87"/>
      <c r="U709" s="87"/>
    </row>
    <row r="710" spans="1:21" s="62" customFormat="1" ht="24" customHeight="1">
      <c r="A710" s="450"/>
      <c r="B710" s="423"/>
      <c r="C710" s="423"/>
      <c r="D710" s="423"/>
      <c r="E710" s="425"/>
      <c r="F710" s="94"/>
      <c r="G710" s="113"/>
      <c r="H710" s="59"/>
      <c r="I710" s="114"/>
      <c r="J710" s="59"/>
      <c r="K710" s="60"/>
      <c r="L710" s="92"/>
      <c r="M710" s="87"/>
      <c r="N710" s="87"/>
      <c r="O710" s="410"/>
      <c r="P710" s="87"/>
      <c r="Q710" s="87"/>
      <c r="R710" s="87"/>
      <c r="S710" s="87"/>
      <c r="T710" s="87"/>
      <c r="U710" s="87"/>
    </row>
    <row r="711" spans="1:21" s="62" customFormat="1" ht="24" customHeight="1">
      <c r="A711" s="450" t="s">
        <v>197</v>
      </c>
      <c r="B711" s="452" t="s">
        <v>198</v>
      </c>
      <c r="C711" s="423"/>
      <c r="D711" s="423"/>
      <c r="E711" s="425"/>
      <c r="F711" s="94"/>
      <c r="G711" s="113"/>
      <c r="H711" s="59"/>
      <c r="I711" s="114"/>
      <c r="J711" s="59"/>
      <c r="K711" s="60"/>
      <c r="L711" s="92"/>
      <c r="M711" s="87"/>
      <c r="N711" s="87"/>
      <c r="O711" s="410"/>
      <c r="P711" s="87"/>
      <c r="Q711" s="87"/>
      <c r="R711" s="87"/>
      <c r="S711" s="87"/>
      <c r="T711" s="87"/>
      <c r="U711" s="87"/>
    </row>
    <row r="712" spans="1:21" s="62" customFormat="1" ht="24" customHeight="1">
      <c r="A712" s="450"/>
      <c r="B712" s="423" t="s">
        <v>150</v>
      </c>
      <c r="C712" s="424"/>
      <c r="D712" s="424"/>
      <c r="E712" s="425">
        <v>101.15</v>
      </c>
      <c r="F712" s="94" t="s">
        <v>151</v>
      </c>
      <c r="G712" s="113">
        <v>2516</v>
      </c>
      <c r="H712" s="59">
        <f t="shared" ref="H712:H727" si="145">ROUND(E712*G712,2)</f>
        <v>254493.4</v>
      </c>
      <c r="I712" s="114">
        <v>485</v>
      </c>
      <c r="J712" s="59">
        <f t="shared" ref="J712:J727" si="146">ROUND(E712*I712,2)</f>
        <v>49057.75</v>
      </c>
      <c r="K712" s="60">
        <f t="shared" ref="K712:K727" si="147">H712+J712</f>
        <v>303551.15000000002</v>
      </c>
      <c r="L712" s="92"/>
      <c r="M712" s="87"/>
      <c r="N712" s="87"/>
      <c r="O712" s="410"/>
      <c r="P712" s="87"/>
      <c r="Q712" s="87"/>
      <c r="R712" s="87"/>
      <c r="S712" s="87"/>
      <c r="T712" s="87"/>
      <c r="U712" s="87"/>
    </row>
    <row r="713" spans="1:21" s="62" customFormat="1" ht="24" customHeight="1">
      <c r="A713" s="450"/>
      <c r="B713" s="426" t="s">
        <v>152</v>
      </c>
      <c r="C713" s="423"/>
      <c r="D713" s="423"/>
      <c r="E713" s="425"/>
      <c r="F713" s="94"/>
      <c r="G713" s="113"/>
      <c r="H713" s="59">
        <f t="shared" si="145"/>
        <v>0</v>
      </c>
      <c r="I713" s="114"/>
      <c r="J713" s="59">
        <f t="shared" si="146"/>
        <v>0</v>
      </c>
      <c r="K713" s="60">
        <f t="shared" si="147"/>
        <v>0</v>
      </c>
      <c r="L713" s="92"/>
      <c r="M713" s="87"/>
      <c r="N713" s="87"/>
      <c r="O713" s="410"/>
      <c r="P713" s="87"/>
      <c r="Q713" s="87"/>
      <c r="R713" s="87"/>
      <c r="S713" s="87"/>
      <c r="T713" s="87"/>
      <c r="U713" s="87"/>
    </row>
    <row r="714" spans="1:21" s="62" customFormat="1" ht="24" customHeight="1">
      <c r="A714" s="450"/>
      <c r="B714" s="426"/>
      <c r="C714" s="423" t="s">
        <v>153</v>
      </c>
      <c r="D714" s="423"/>
      <c r="E714" s="425">
        <f>E715/2</f>
        <v>260.8</v>
      </c>
      <c r="F714" s="94" t="s">
        <v>37</v>
      </c>
      <c r="G714" s="113">
        <v>661.62</v>
      </c>
      <c r="H714" s="59">
        <f t="shared" si="145"/>
        <v>172550.5</v>
      </c>
      <c r="I714" s="114"/>
      <c r="J714" s="59">
        <f t="shared" si="146"/>
        <v>0</v>
      </c>
      <c r="K714" s="60">
        <f t="shared" si="147"/>
        <v>172550.5</v>
      </c>
      <c r="L714" s="92"/>
      <c r="M714" s="87"/>
      <c r="N714" s="87"/>
      <c r="O714" s="410"/>
      <c r="P714" s="87"/>
      <c r="Q714" s="87"/>
      <c r="R714" s="87"/>
      <c r="S714" s="87"/>
      <c r="T714" s="87"/>
      <c r="U714" s="87"/>
    </row>
    <row r="715" spans="1:21" s="62" customFormat="1" ht="24" customHeight="1">
      <c r="A715" s="450"/>
      <c r="B715" s="426"/>
      <c r="C715" s="423" t="s">
        <v>154</v>
      </c>
      <c r="D715" s="423"/>
      <c r="E715" s="425">
        <v>521.6</v>
      </c>
      <c r="F715" s="94" t="s">
        <v>37</v>
      </c>
      <c r="G715" s="113"/>
      <c r="H715" s="59">
        <f t="shared" si="145"/>
        <v>0</v>
      </c>
      <c r="I715" s="114">
        <v>154</v>
      </c>
      <c r="J715" s="59">
        <f t="shared" si="146"/>
        <v>80326.399999999994</v>
      </c>
      <c r="K715" s="60">
        <f t="shared" si="147"/>
        <v>80326.399999999994</v>
      </c>
      <c r="L715" s="92"/>
      <c r="M715" s="87"/>
      <c r="N715" s="87"/>
      <c r="O715" s="410"/>
      <c r="P715" s="87"/>
      <c r="Q715" s="87"/>
      <c r="R715" s="87"/>
      <c r="S715" s="87"/>
      <c r="T715" s="87"/>
      <c r="U715" s="87"/>
    </row>
    <row r="716" spans="1:21" s="62" customFormat="1" ht="24" customHeight="1">
      <c r="A716" s="450"/>
      <c r="B716" s="423" t="s">
        <v>155</v>
      </c>
      <c r="C716" s="423"/>
      <c r="D716" s="423"/>
      <c r="E716" s="425">
        <f>(E715*0.25)</f>
        <v>130.4</v>
      </c>
      <c r="F716" s="94" t="s">
        <v>156</v>
      </c>
      <c r="G716" s="113">
        <f t="shared" ref="G716" si="148">VLOOKUP(B716,$N$43:$O$53,2,FALSE)</f>
        <v>29.94</v>
      </c>
      <c r="H716" s="59">
        <f t="shared" si="145"/>
        <v>3904.18</v>
      </c>
      <c r="I716" s="114"/>
      <c r="J716" s="59">
        <f t="shared" si="146"/>
        <v>0</v>
      </c>
      <c r="K716" s="60">
        <f t="shared" si="147"/>
        <v>3904.18</v>
      </c>
      <c r="L716" s="92"/>
      <c r="M716" s="87"/>
      <c r="N716" s="87"/>
      <c r="O716" s="410"/>
      <c r="P716" s="87"/>
      <c r="Q716" s="87"/>
      <c r="R716" s="87"/>
      <c r="S716" s="87"/>
      <c r="T716" s="87"/>
      <c r="U716" s="87"/>
    </row>
    <row r="717" spans="1:21" s="62" customFormat="1" ht="24" customHeight="1">
      <c r="A717" s="450"/>
      <c r="B717" s="423" t="s">
        <v>157</v>
      </c>
      <c r="C717" s="423"/>
      <c r="D717" s="423"/>
      <c r="E717" s="425"/>
      <c r="F717" s="115"/>
      <c r="G717" s="101"/>
      <c r="H717" s="59">
        <f t="shared" si="145"/>
        <v>0</v>
      </c>
      <c r="I717" s="114"/>
      <c r="J717" s="59">
        <f t="shared" si="146"/>
        <v>0</v>
      </c>
      <c r="K717" s="60">
        <f t="shared" si="147"/>
        <v>0</v>
      </c>
      <c r="L717" s="92"/>
      <c r="M717" s="87"/>
      <c r="N717" s="87"/>
      <c r="O717" s="410"/>
      <c r="P717" s="87"/>
      <c r="Q717" s="87"/>
      <c r="R717" s="87"/>
      <c r="S717" s="87"/>
      <c r="T717" s="87"/>
      <c r="U717" s="87"/>
    </row>
    <row r="718" spans="1:21" s="62" customFormat="1" ht="24" customHeight="1">
      <c r="A718" s="450"/>
      <c r="B718" s="428" t="s">
        <v>158</v>
      </c>
      <c r="C718" s="428"/>
      <c r="D718" s="428"/>
      <c r="E718" s="425">
        <v>0</v>
      </c>
      <c r="F718" s="94" t="s">
        <v>156</v>
      </c>
      <c r="G718" s="113">
        <f>VLOOKUP(B718,$N$43:$O$54,2,FALSE)</f>
        <v>25.73</v>
      </c>
      <c r="H718" s="59">
        <f t="shared" si="145"/>
        <v>0</v>
      </c>
      <c r="I718" s="103">
        <v>4.0999999999999996</v>
      </c>
      <c r="J718" s="59">
        <f t="shared" si="146"/>
        <v>0</v>
      </c>
      <c r="K718" s="60">
        <f t="shared" si="147"/>
        <v>0</v>
      </c>
      <c r="L718" s="92"/>
      <c r="M718" s="87"/>
      <c r="N718" s="87"/>
      <c r="O718" s="410"/>
      <c r="P718" s="87"/>
      <c r="Q718" s="87"/>
      <c r="R718" s="87"/>
      <c r="S718" s="87"/>
      <c r="T718" s="87"/>
      <c r="U718" s="87"/>
    </row>
    <row r="719" spans="1:21" s="62" customFormat="1" ht="24" customHeight="1">
      <c r="A719" s="450"/>
      <c r="B719" s="423" t="s">
        <v>159</v>
      </c>
      <c r="C719" s="423"/>
      <c r="D719" s="423"/>
      <c r="E719" s="425">
        <v>2192.5100000000002</v>
      </c>
      <c r="F719" s="94" t="s">
        <v>156</v>
      </c>
      <c r="G719" s="113">
        <f t="shared" ref="G719:G727" si="149">VLOOKUP(B719,$N$43:$O$54,2,FALSE)</f>
        <v>24.97</v>
      </c>
      <c r="H719" s="59">
        <f t="shared" si="145"/>
        <v>54746.97</v>
      </c>
      <c r="I719" s="114">
        <v>4.0999999999999996</v>
      </c>
      <c r="J719" s="59">
        <f t="shared" si="146"/>
        <v>8989.2900000000009</v>
      </c>
      <c r="K719" s="60">
        <f t="shared" si="147"/>
        <v>63736.26</v>
      </c>
      <c r="L719" s="92"/>
      <c r="M719" s="87"/>
      <c r="N719" s="87"/>
      <c r="O719" s="410"/>
      <c r="P719" s="87"/>
      <c r="Q719" s="87"/>
      <c r="R719" s="87"/>
      <c r="S719" s="87"/>
      <c r="T719" s="87"/>
      <c r="U719" s="87"/>
    </row>
    <row r="720" spans="1:21" s="62" customFormat="1" ht="24" customHeight="1">
      <c r="A720" s="450"/>
      <c r="B720" s="423" t="s">
        <v>328</v>
      </c>
      <c r="C720" s="423"/>
      <c r="D720" s="423"/>
      <c r="E720" s="425">
        <v>487.81</v>
      </c>
      <c r="F720" s="94" t="s">
        <v>156</v>
      </c>
      <c r="G720" s="113">
        <f t="shared" si="149"/>
        <v>23.5</v>
      </c>
      <c r="H720" s="59">
        <f t="shared" si="145"/>
        <v>11463.54</v>
      </c>
      <c r="I720" s="114">
        <v>3.3</v>
      </c>
      <c r="J720" s="59">
        <f t="shared" si="146"/>
        <v>1609.77</v>
      </c>
      <c r="K720" s="60">
        <f t="shared" si="147"/>
        <v>13073.310000000001</v>
      </c>
      <c r="L720" s="92"/>
      <c r="M720" s="87"/>
      <c r="N720" s="87"/>
      <c r="O720" s="410"/>
      <c r="P720" s="87"/>
      <c r="Q720" s="87"/>
      <c r="R720" s="87"/>
      <c r="S720" s="87"/>
      <c r="T720" s="87"/>
      <c r="U720" s="87"/>
    </row>
    <row r="721" spans="1:21" s="62" customFormat="1" ht="24" customHeight="1">
      <c r="A721" s="450"/>
      <c r="B721" s="423" t="s">
        <v>160</v>
      </c>
      <c r="C721" s="423"/>
      <c r="D721" s="423"/>
      <c r="E721" s="425">
        <v>7953.53</v>
      </c>
      <c r="F721" s="94" t="s">
        <v>156</v>
      </c>
      <c r="G721" s="113">
        <f t="shared" si="149"/>
        <v>24.47</v>
      </c>
      <c r="H721" s="59">
        <f t="shared" si="145"/>
        <v>194622.88</v>
      </c>
      <c r="I721" s="114">
        <v>3.3</v>
      </c>
      <c r="J721" s="59">
        <f t="shared" si="146"/>
        <v>26246.65</v>
      </c>
      <c r="K721" s="60">
        <f t="shared" si="147"/>
        <v>220869.53</v>
      </c>
      <c r="L721" s="92"/>
      <c r="M721" s="87"/>
      <c r="N721" s="87"/>
      <c r="O721" s="410"/>
      <c r="P721" s="87"/>
      <c r="Q721" s="87"/>
      <c r="R721" s="87"/>
      <c r="S721" s="87"/>
      <c r="T721" s="87"/>
      <c r="U721" s="87"/>
    </row>
    <row r="722" spans="1:21" s="62" customFormat="1" ht="24" customHeight="1">
      <c r="A722" s="450"/>
      <c r="B722" s="423" t="s">
        <v>161</v>
      </c>
      <c r="C722" s="423"/>
      <c r="D722" s="423"/>
      <c r="E722" s="425">
        <v>5916.55</v>
      </c>
      <c r="F722" s="115" t="s">
        <v>156</v>
      </c>
      <c r="G722" s="113">
        <f t="shared" si="149"/>
        <v>24.27</v>
      </c>
      <c r="H722" s="59">
        <f t="shared" si="145"/>
        <v>143594.67000000001</v>
      </c>
      <c r="I722" s="114">
        <v>3.3</v>
      </c>
      <c r="J722" s="59">
        <f t="shared" si="146"/>
        <v>19524.62</v>
      </c>
      <c r="K722" s="60">
        <f t="shared" si="147"/>
        <v>163119.29</v>
      </c>
      <c r="L722" s="92"/>
      <c r="M722" s="87"/>
      <c r="N722" s="87"/>
      <c r="O722" s="410"/>
      <c r="P722" s="87"/>
      <c r="Q722" s="87"/>
      <c r="R722" s="87"/>
      <c r="S722" s="87"/>
      <c r="T722" s="87"/>
      <c r="U722" s="87"/>
    </row>
    <row r="723" spans="1:21" s="62" customFormat="1" ht="24" customHeight="1">
      <c r="A723" s="450"/>
      <c r="B723" s="428" t="s">
        <v>162</v>
      </c>
      <c r="C723" s="428"/>
      <c r="D723" s="428"/>
      <c r="E723" s="425">
        <v>0</v>
      </c>
      <c r="F723" s="94" t="s">
        <v>156</v>
      </c>
      <c r="G723" s="113">
        <f t="shared" si="149"/>
        <v>24.27</v>
      </c>
      <c r="H723" s="59">
        <f t="shared" si="145"/>
        <v>0</v>
      </c>
      <c r="I723" s="114">
        <v>2.9</v>
      </c>
      <c r="J723" s="59">
        <f t="shared" si="146"/>
        <v>0</v>
      </c>
      <c r="K723" s="60">
        <f t="shared" si="147"/>
        <v>0</v>
      </c>
      <c r="L723" s="92"/>
      <c r="M723" s="87"/>
      <c r="N723" s="87"/>
      <c r="O723" s="410"/>
      <c r="P723" s="87"/>
      <c r="Q723" s="87"/>
      <c r="R723" s="87"/>
      <c r="S723" s="87"/>
      <c r="T723" s="87"/>
      <c r="U723" s="87"/>
    </row>
    <row r="724" spans="1:21" s="62" customFormat="1" ht="24" customHeight="1">
      <c r="A724" s="450"/>
      <c r="B724" s="423" t="s">
        <v>163</v>
      </c>
      <c r="C724" s="423"/>
      <c r="D724" s="423"/>
      <c r="E724" s="425"/>
      <c r="F724" s="94" t="s">
        <v>156</v>
      </c>
      <c r="G724" s="113">
        <f t="shared" si="149"/>
        <v>24.27</v>
      </c>
      <c r="H724" s="59">
        <f t="shared" si="145"/>
        <v>0</v>
      </c>
      <c r="I724" s="114">
        <v>2.9</v>
      </c>
      <c r="J724" s="59">
        <f t="shared" si="146"/>
        <v>0</v>
      </c>
      <c r="K724" s="60">
        <f t="shared" si="147"/>
        <v>0</v>
      </c>
      <c r="L724" s="92"/>
      <c r="M724" s="87"/>
      <c r="N724" s="87"/>
      <c r="O724" s="410"/>
      <c r="P724" s="87"/>
      <c r="Q724" s="87"/>
      <c r="R724" s="87"/>
      <c r="S724" s="87"/>
      <c r="T724" s="87"/>
      <c r="U724" s="87"/>
    </row>
    <row r="725" spans="1:21" s="62" customFormat="1" ht="24" customHeight="1">
      <c r="A725" s="450"/>
      <c r="B725" s="423" t="s">
        <v>164</v>
      </c>
      <c r="C725" s="423"/>
      <c r="D725" s="423"/>
      <c r="E725" s="425"/>
      <c r="F725" s="94" t="s">
        <v>156</v>
      </c>
      <c r="G725" s="113">
        <f t="shared" si="149"/>
        <v>24.27</v>
      </c>
      <c r="H725" s="59">
        <f t="shared" si="145"/>
        <v>0</v>
      </c>
      <c r="I725" s="114">
        <v>2.9</v>
      </c>
      <c r="J725" s="59">
        <f t="shared" si="146"/>
        <v>0</v>
      </c>
      <c r="K725" s="60">
        <f t="shared" si="147"/>
        <v>0</v>
      </c>
      <c r="L725" s="92"/>
      <c r="M725" s="87"/>
      <c r="N725" s="87"/>
      <c r="O725" s="410"/>
      <c r="P725" s="87"/>
      <c r="Q725" s="87"/>
      <c r="R725" s="87"/>
      <c r="S725" s="87"/>
      <c r="T725" s="87"/>
      <c r="U725" s="87"/>
    </row>
    <row r="726" spans="1:21" s="62" customFormat="1" ht="24" customHeight="1">
      <c r="A726" s="450"/>
      <c r="B726" s="423" t="s">
        <v>165</v>
      </c>
      <c r="C726" s="423"/>
      <c r="D726" s="423"/>
      <c r="E726" s="425"/>
      <c r="F726" s="94" t="s">
        <v>156</v>
      </c>
      <c r="G726" s="113">
        <f t="shared" si="149"/>
        <v>23.8</v>
      </c>
      <c r="H726" s="59">
        <f t="shared" si="145"/>
        <v>0</v>
      </c>
      <c r="I726" s="114">
        <v>2.9</v>
      </c>
      <c r="J726" s="59">
        <f t="shared" si="146"/>
        <v>0</v>
      </c>
      <c r="K726" s="60">
        <f t="shared" si="147"/>
        <v>0</v>
      </c>
      <c r="L726" s="92"/>
      <c r="M726" s="87"/>
      <c r="N726" s="87"/>
      <c r="O726" s="410"/>
      <c r="P726" s="87"/>
      <c r="Q726" s="87"/>
      <c r="R726" s="87"/>
      <c r="S726" s="87"/>
      <c r="T726" s="87"/>
      <c r="U726" s="87"/>
    </row>
    <row r="727" spans="1:21" s="62" customFormat="1" ht="24" customHeight="1">
      <c r="A727" s="450"/>
      <c r="B727" s="423" t="s">
        <v>166</v>
      </c>
      <c r="C727" s="423"/>
      <c r="D727" s="423"/>
      <c r="E727" s="425">
        <f>(SUM(E718:E726)/1000)*30</f>
        <v>496.512</v>
      </c>
      <c r="F727" s="94" t="s">
        <v>156</v>
      </c>
      <c r="G727" s="113">
        <f t="shared" si="149"/>
        <v>29.92</v>
      </c>
      <c r="H727" s="59">
        <f t="shared" si="145"/>
        <v>14855.64</v>
      </c>
      <c r="I727" s="114"/>
      <c r="J727" s="59">
        <f t="shared" si="146"/>
        <v>0</v>
      </c>
      <c r="K727" s="60">
        <f t="shared" si="147"/>
        <v>14855.64</v>
      </c>
      <c r="L727" s="92"/>
      <c r="M727" s="87"/>
      <c r="N727" s="87"/>
      <c r="O727" s="410"/>
      <c r="P727" s="87"/>
      <c r="Q727" s="87"/>
      <c r="R727" s="87"/>
      <c r="S727" s="87"/>
      <c r="T727" s="87"/>
      <c r="U727" s="87"/>
    </row>
    <row r="728" spans="1:21" s="62" customFormat="1" ht="24" customHeight="1">
      <c r="A728" s="90"/>
      <c r="B728" s="423" t="s">
        <v>167</v>
      </c>
      <c r="C728" s="423"/>
      <c r="D728" s="423"/>
      <c r="E728" s="425"/>
      <c r="F728" s="94"/>
      <c r="G728" s="113"/>
      <c r="H728" s="59"/>
      <c r="I728" s="114"/>
      <c r="J728" s="59"/>
      <c r="K728" s="60"/>
      <c r="L728" s="92"/>
      <c r="M728" s="87"/>
      <c r="N728" s="87"/>
      <c r="O728" s="410"/>
      <c r="P728" s="87"/>
      <c r="Q728" s="87"/>
      <c r="R728" s="87"/>
      <c r="S728" s="87"/>
      <c r="T728" s="87"/>
      <c r="U728" s="87"/>
    </row>
    <row r="729" spans="1:21" s="62" customFormat="1" ht="24" customHeight="1">
      <c r="A729" s="93"/>
      <c r="B729" s="423"/>
      <c r="C729" s="423"/>
      <c r="D729" s="423"/>
      <c r="E729" s="425"/>
      <c r="F729" s="94"/>
      <c r="G729" s="113"/>
      <c r="H729" s="59"/>
      <c r="I729" s="114"/>
      <c r="J729" s="59"/>
      <c r="K729" s="60">
        <f t="shared" ref="K729" si="150">H729+J729</f>
        <v>0</v>
      </c>
      <c r="L729" s="92"/>
      <c r="M729" s="87"/>
      <c r="N729" s="87"/>
      <c r="O729" s="410"/>
      <c r="P729" s="87"/>
      <c r="Q729" s="87"/>
      <c r="R729" s="87"/>
      <c r="S729" s="87"/>
      <c r="T729" s="87"/>
      <c r="U729" s="87"/>
    </row>
    <row r="730" spans="1:21" s="62" customFormat="1" ht="24" customHeight="1">
      <c r="A730" s="450"/>
      <c r="B730" s="423"/>
      <c r="C730" s="423"/>
      <c r="D730" s="423"/>
      <c r="E730" s="425"/>
      <c r="F730" s="94"/>
      <c r="G730" s="113"/>
      <c r="H730" s="59"/>
      <c r="I730" s="114"/>
      <c r="J730" s="59"/>
      <c r="K730" s="60"/>
      <c r="L730" s="92"/>
      <c r="M730" s="87"/>
      <c r="N730" s="87"/>
      <c r="O730" s="410"/>
      <c r="P730" s="87"/>
      <c r="Q730" s="87"/>
      <c r="R730" s="87"/>
      <c r="S730" s="87"/>
      <c r="T730" s="87"/>
      <c r="U730" s="87"/>
    </row>
    <row r="731" spans="1:21" s="62" customFormat="1" ht="24" customHeight="1">
      <c r="A731" s="450"/>
      <c r="B731" s="423"/>
      <c r="C731" s="423"/>
      <c r="D731" s="423"/>
      <c r="E731" s="425"/>
      <c r="F731" s="94"/>
      <c r="G731" s="113"/>
      <c r="H731" s="59"/>
      <c r="I731" s="114"/>
      <c r="J731" s="59"/>
      <c r="K731" s="60"/>
      <c r="L731" s="92"/>
      <c r="M731" s="87"/>
      <c r="N731" s="87"/>
      <c r="O731" s="410"/>
      <c r="P731" s="87"/>
      <c r="Q731" s="87"/>
      <c r="R731" s="87"/>
      <c r="S731" s="87"/>
      <c r="T731" s="87"/>
      <c r="U731" s="87"/>
    </row>
    <row r="732" spans="1:21" s="62" customFormat="1" ht="24" customHeight="1">
      <c r="A732" s="450"/>
      <c r="B732" s="423"/>
      <c r="C732" s="423"/>
      <c r="D732" s="423"/>
      <c r="E732" s="425"/>
      <c r="F732" s="94"/>
      <c r="G732" s="113"/>
      <c r="H732" s="59"/>
      <c r="I732" s="114"/>
      <c r="J732" s="59"/>
      <c r="K732" s="60"/>
      <c r="L732" s="92"/>
      <c r="M732" s="87"/>
      <c r="N732" s="87"/>
      <c r="O732" s="410"/>
      <c r="P732" s="87"/>
      <c r="Q732" s="87"/>
      <c r="R732" s="87"/>
      <c r="S732" s="87"/>
      <c r="T732" s="87"/>
      <c r="U732" s="87"/>
    </row>
    <row r="733" spans="1:21" s="62" customFormat="1" ht="24" customHeight="1">
      <c r="A733" s="450"/>
      <c r="B733" s="423"/>
      <c r="C733" s="423"/>
      <c r="D733" s="423"/>
      <c r="E733" s="425"/>
      <c r="F733" s="94"/>
      <c r="G733" s="113"/>
      <c r="H733" s="59"/>
      <c r="I733" s="114"/>
      <c r="J733" s="59"/>
      <c r="K733" s="60"/>
      <c r="L733" s="92"/>
      <c r="M733" s="87"/>
      <c r="N733" s="87"/>
      <c r="O733" s="410"/>
      <c r="P733" s="87"/>
      <c r="Q733" s="87"/>
      <c r="R733" s="87"/>
      <c r="S733" s="87"/>
      <c r="T733" s="87"/>
      <c r="U733" s="87"/>
    </row>
    <row r="734" spans="1:21" s="62" customFormat="1" ht="24" customHeight="1">
      <c r="A734" s="450"/>
      <c r="B734" s="423"/>
      <c r="C734" s="423"/>
      <c r="D734" s="423"/>
      <c r="E734" s="425"/>
      <c r="F734" s="94"/>
      <c r="G734" s="113"/>
      <c r="H734" s="59"/>
      <c r="I734" s="114"/>
      <c r="J734" s="59"/>
      <c r="K734" s="60"/>
      <c r="L734" s="92"/>
      <c r="M734" s="87"/>
      <c r="N734" s="87"/>
      <c r="O734" s="410"/>
      <c r="P734" s="87"/>
      <c r="Q734" s="87"/>
      <c r="R734" s="87"/>
      <c r="S734" s="87"/>
      <c r="T734" s="87"/>
      <c r="U734" s="87"/>
    </row>
    <row r="735" spans="1:21" s="62" customFormat="1" ht="24" customHeight="1">
      <c r="A735" s="450"/>
      <c r="B735" s="423"/>
      <c r="C735" s="423"/>
      <c r="D735" s="423"/>
      <c r="E735" s="425"/>
      <c r="F735" s="94"/>
      <c r="G735" s="113"/>
      <c r="H735" s="59"/>
      <c r="I735" s="114"/>
      <c r="J735" s="59"/>
      <c r="K735" s="60"/>
      <c r="L735" s="92"/>
      <c r="M735" s="87"/>
      <c r="N735" s="87"/>
      <c r="O735" s="410"/>
      <c r="P735" s="87"/>
      <c r="Q735" s="87"/>
      <c r="R735" s="87"/>
      <c r="S735" s="87"/>
      <c r="T735" s="87"/>
      <c r="U735" s="87"/>
    </row>
    <row r="736" spans="1:21" s="62" customFormat="1" ht="24" customHeight="1">
      <c r="A736" s="450" t="s">
        <v>346</v>
      </c>
      <c r="B736" s="451" t="s">
        <v>344</v>
      </c>
      <c r="C736" s="423"/>
      <c r="D736" s="423"/>
      <c r="E736" s="425"/>
      <c r="F736" s="94"/>
      <c r="G736" s="113"/>
      <c r="H736" s="59"/>
      <c r="I736" s="114"/>
      <c r="J736" s="59"/>
      <c r="K736" s="60"/>
      <c r="L736" s="92"/>
      <c r="M736" s="87"/>
      <c r="N736" s="87"/>
      <c r="O736" s="410"/>
      <c r="P736" s="87"/>
      <c r="Q736" s="87"/>
      <c r="R736" s="87"/>
      <c r="S736" s="87"/>
      <c r="T736" s="87"/>
      <c r="U736" s="87"/>
    </row>
    <row r="737" spans="1:21" s="62" customFormat="1" ht="24" customHeight="1">
      <c r="A737" s="67"/>
      <c r="B737" s="423" t="s">
        <v>150</v>
      </c>
      <c r="C737" s="424"/>
      <c r="D737" s="424"/>
      <c r="E737" s="425">
        <v>66.209999999999994</v>
      </c>
      <c r="F737" s="94" t="s">
        <v>151</v>
      </c>
      <c r="G737" s="113">
        <v>2516</v>
      </c>
      <c r="H737" s="59">
        <f t="shared" ref="H737:H751" si="151">ROUND(E737*G737,2)</f>
        <v>166584.35999999999</v>
      </c>
      <c r="I737" s="114">
        <v>485</v>
      </c>
      <c r="J737" s="59">
        <f t="shared" ref="J737:J751" si="152">ROUND(E737*I737,2)</f>
        <v>32111.85</v>
      </c>
      <c r="K737" s="60">
        <f t="shared" ref="K737:K751" si="153">H737+J737</f>
        <v>198696.21</v>
      </c>
      <c r="L737" s="92"/>
      <c r="M737" s="87"/>
      <c r="N737" s="87"/>
      <c r="O737" s="410"/>
      <c r="P737" s="87"/>
      <c r="Q737" s="87"/>
      <c r="R737" s="87"/>
      <c r="S737" s="87"/>
      <c r="T737" s="87"/>
      <c r="U737" s="87"/>
    </row>
    <row r="738" spans="1:21" s="62" customFormat="1" ht="24" customHeight="1">
      <c r="A738" s="67"/>
      <c r="B738" s="426" t="s">
        <v>152</v>
      </c>
      <c r="C738" s="423"/>
      <c r="D738" s="423"/>
      <c r="E738" s="425"/>
      <c r="F738" s="94"/>
      <c r="G738" s="113"/>
      <c r="H738" s="59">
        <f t="shared" si="151"/>
        <v>0</v>
      </c>
      <c r="I738" s="114"/>
      <c r="J738" s="59">
        <f t="shared" si="152"/>
        <v>0</v>
      </c>
      <c r="K738" s="60">
        <f t="shared" si="153"/>
        <v>0</v>
      </c>
      <c r="L738" s="92"/>
      <c r="M738" s="87"/>
      <c r="N738" s="87"/>
      <c r="O738" s="410"/>
      <c r="P738" s="87"/>
      <c r="Q738" s="87"/>
      <c r="R738" s="87"/>
      <c r="S738" s="87"/>
      <c r="T738" s="87"/>
      <c r="U738" s="87"/>
    </row>
    <row r="739" spans="1:21" s="62" customFormat="1" ht="24" customHeight="1">
      <c r="A739" s="67"/>
      <c r="B739" s="426"/>
      <c r="C739" s="423" t="s">
        <v>153</v>
      </c>
      <c r="D739" s="423"/>
      <c r="E739" s="425">
        <f>E740/2</f>
        <v>189.185</v>
      </c>
      <c r="F739" s="94" t="s">
        <v>37</v>
      </c>
      <c r="G739" s="113">
        <v>661.62</v>
      </c>
      <c r="H739" s="59">
        <f t="shared" si="151"/>
        <v>125168.58</v>
      </c>
      <c r="I739" s="114"/>
      <c r="J739" s="59">
        <f t="shared" si="152"/>
        <v>0</v>
      </c>
      <c r="K739" s="60">
        <f t="shared" si="153"/>
        <v>125168.58</v>
      </c>
      <c r="L739" s="92"/>
      <c r="M739" s="87"/>
      <c r="N739" s="87"/>
      <c r="O739" s="410"/>
      <c r="P739" s="87"/>
      <c r="Q739" s="87"/>
      <c r="R739" s="87"/>
      <c r="S739" s="87"/>
      <c r="T739" s="87"/>
      <c r="U739" s="87"/>
    </row>
    <row r="740" spans="1:21" s="62" customFormat="1" ht="24" customHeight="1">
      <c r="A740" s="67"/>
      <c r="B740" s="426"/>
      <c r="C740" s="423" t="s">
        <v>154</v>
      </c>
      <c r="D740" s="423"/>
      <c r="E740" s="425">
        <v>378.37</v>
      </c>
      <c r="F740" s="94" t="s">
        <v>37</v>
      </c>
      <c r="G740" s="113"/>
      <c r="H740" s="59">
        <f t="shared" si="151"/>
        <v>0</v>
      </c>
      <c r="I740" s="114">
        <v>154</v>
      </c>
      <c r="J740" s="59">
        <f t="shared" si="152"/>
        <v>58268.98</v>
      </c>
      <c r="K740" s="60">
        <f t="shared" si="153"/>
        <v>58268.98</v>
      </c>
      <c r="L740" s="92"/>
      <c r="M740" s="87"/>
      <c r="N740" s="87"/>
      <c r="O740" s="410"/>
      <c r="P740" s="87"/>
      <c r="Q740" s="87"/>
      <c r="R740" s="87"/>
      <c r="S740" s="87"/>
      <c r="T740" s="87"/>
      <c r="U740" s="87"/>
    </row>
    <row r="741" spans="1:21" s="62" customFormat="1" ht="24" customHeight="1">
      <c r="A741" s="67"/>
      <c r="B741" s="423" t="s">
        <v>155</v>
      </c>
      <c r="C741" s="423"/>
      <c r="D741" s="423"/>
      <c r="E741" s="425">
        <f>(E740*0.25)</f>
        <v>94.592500000000001</v>
      </c>
      <c r="F741" s="94" t="s">
        <v>156</v>
      </c>
      <c r="G741" s="113">
        <f t="shared" ref="G741" si="154">VLOOKUP(B741,$N$43:$O$53,2,FALSE)</f>
        <v>29.94</v>
      </c>
      <c r="H741" s="59">
        <f t="shared" si="151"/>
        <v>2832.1</v>
      </c>
      <c r="I741" s="114"/>
      <c r="J741" s="59">
        <f t="shared" si="152"/>
        <v>0</v>
      </c>
      <c r="K741" s="60">
        <f t="shared" si="153"/>
        <v>2832.1</v>
      </c>
      <c r="L741" s="92"/>
      <c r="M741" s="87"/>
      <c r="N741" s="87"/>
      <c r="O741" s="410"/>
      <c r="P741" s="87"/>
      <c r="Q741" s="87"/>
      <c r="R741" s="87"/>
      <c r="S741" s="87"/>
      <c r="T741" s="87"/>
      <c r="U741" s="87"/>
    </row>
    <row r="742" spans="1:21" s="62" customFormat="1" ht="24" customHeight="1">
      <c r="A742" s="67"/>
      <c r="B742" s="423" t="s">
        <v>157</v>
      </c>
      <c r="C742" s="423"/>
      <c r="D742" s="423"/>
      <c r="E742" s="425"/>
      <c r="F742" s="115"/>
      <c r="G742" s="101"/>
      <c r="H742" s="59">
        <f t="shared" si="151"/>
        <v>0</v>
      </c>
      <c r="I742" s="114"/>
      <c r="J742" s="59">
        <f t="shared" si="152"/>
        <v>0</v>
      </c>
      <c r="K742" s="60">
        <f t="shared" si="153"/>
        <v>0</v>
      </c>
      <c r="L742" s="92"/>
      <c r="M742" s="87"/>
      <c r="N742" s="87"/>
      <c r="O742" s="410"/>
      <c r="P742" s="87"/>
      <c r="Q742" s="87"/>
      <c r="R742" s="87"/>
      <c r="S742" s="87"/>
      <c r="T742" s="87"/>
      <c r="U742" s="87"/>
    </row>
    <row r="743" spans="1:21" s="62" customFormat="1" ht="24" customHeight="1">
      <c r="A743" s="67"/>
      <c r="B743" s="423" t="s">
        <v>158</v>
      </c>
      <c r="C743" s="423"/>
      <c r="D743" s="423"/>
      <c r="E743" s="425"/>
      <c r="F743" s="94" t="s">
        <v>156</v>
      </c>
      <c r="G743" s="113">
        <f>VLOOKUP(B743,$N$43:$O$54,2,FALSE)</f>
        <v>25.73</v>
      </c>
      <c r="H743" s="59">
        <f t="shared" si="151"/>
        <v>0</v>
      </c>
      <c r="I743" s="103">
        <v>4.0999999999999996</v>
      </c>
      <c r="J743" s="59">
        <f t="shared" si="152"/>
        <v>0</v>
      </c>
      <c r="K743" s="60">
        <f t="shared" si="153"/>
        <v>0</v>
      </c>
      <c r="L743" s="92"/>
      <c r="M743" s="87"/>
      <c r="N743" s="87"/>
      <c r="O743" s="410"/>
      <c r="P743" s="87"/>
      <c r="Q743" s="87"/>
      <c r="R743" s="87"/>
      <c r="S743" s="87"/>
      <c r="T743" s="87"/>
      <c r="U743" s="87"/>
    </row>
    <row r="744" spans="1:21" s="62" customFormat="1" ht="24" customHeight="1">
      <c r="A744" s="67"/>
      <c r="B744" s="423" t="s">
        <v>159</v>
      </c>
      <c r="C744" s="423"/>
      <c r="D744" s="423"/>
      <c r="E744" s="425"/>
      <c r="F744" s="94" t="s">
        <v>156</v>
      </c>
      <c r="G744" s="113">
        <f t="shared" ref="G744:G751" si="155">VLOOKUP(B744,$N$43:$O$54,2,FALSE)</f>
        <v>24.97</v>
      </c>
      <c r="H744" s="59">
        <f t="shared" si="151"/>
        <v>0</v>
      </c>
      <c r="I744" s="114">
        <v>4.0999999999999996</v>
      </c>
      <c r="J744" s="59">
        <f t="shared" si="152"/>
        <v>0</v>
      </c>
      <c r="K744" s="60">
        <f t="shared" si="153"/>
        <v>0</v>
      </c>
      <c r="L744" s="92"/>
      <c r="M744" s="87"/>
      <c r="N744" s="87"/>
      <c r="O744" s="410"/>
      <c r="P744" s="87"/>
      <c r="Q744" s="87"/>
      <c r="R744" s="87"/>
      <c r="S744" s="87"/>
      <c r="T744" s="87"/>
      <c r="U744" s="87"/>
    </row>
    <row r="745" spans="1:21" s="62" customFormat="1" ht="24" customHeight="1">
      <c r="A745" s="67"/>
      <c r="B745" s="423" t="s">
        <v>160</v>
      </c>
      <c r="C745" s="423"/>
      <c r="D745" s="423"/>
      <c r="E745" s="425">
        <v>7277.76</v>
      </c>
      <c r="F745" s="94" t="s">
        <v>156</v>
      </c>
      <c r="G745" s="113">
        <f t="shared" si="155"/>
        <v>24.47</v>
      </c>
      <c r="H745" s="59">
        <f t="shared" si="151"/>
        <v>178086.79</v>
      </c>
      <c r="I745" s="114">
        <v>3.3</v>
      </c>
      <c r="J745" s="59">
        <f t="shared" si="152"/>
        <v>24016.61</v>
      </c>
      <c r="K745" s="60">
        <f t="shared" si="153"/>
        <v>202103.40000000002</v>
      </c>
      <c r="L745" s="92"/>
      <c r="M745" s="87"/>
      <c r="N745" s="87"/>
      <c r="O745" s="410"/>
      <c r="P745" s="87"/>
      <c r="Q745" s="87"/>
      <c r="R745" s="87"/>
      <c r="S745" s="87"/>
      <c r="T745" s="87"/>
      <c r="U745" s="87"/>
    </row>
    <row r="746" spans="1:21" s="62" customFormat="1" ht="24" customHeight="1">
      <c r="A746" s="67"/>
      <c r="B746" s="423" t="s">
        <v>161</v>
      </c>
      <c r="C746" s="423"/>
      <c r="D746" s="423"/>
      <c r="E746" s="425"/>
      <c r="F746" s="115" t="s">
        <v>156</v>
      </c>
      <c r="G746" s="113">
        <f t="shared" si="155"/>
        <v>24.27</v>
      </c>
      <c r="H746" s="59">
        <f t="shared" si="151"/>
        <v>0</v>
      </c>
      <c r="I746" s="114">
        <v>3.3</v>
      </c>
      <c r="J746" s="59">
        <f t="shared" si="152"/>
        <v>0</v>
      </c>
      <c r="K746" s="60">
        <f t="shared" si="153"/>
        <v>0</v>
      </c>
      <c r="L746" s="92"/>
      <c r="M746" s="87"/>
      <c r="N746" s="87"/>
      <c r="O746" s="410"/>
      <c r="P746" s="87"/>
      <c r="Q746" s="87"/>
      <c r="R746" s="87"/>
      <c r="S746" s="87"/>
      <c r="T746" s="87"/>
      <c r="U746" s="87"/>
    </row>
    <row r="747" spans="1:21" s="62" customFormat="1" ht="24" customHeight="1">
      <c r="A747" s="67"/>
      <c r="B747" s="423" t="s">
        <v>162</v>
      </c>
      <c r="C747" s="423"/>
      <c r="D747" s="423"/>
      <c r="E747" s="425"/>
      <c r="F747" s="94" t="s">
        <v>156</v>
      </c>
      <c r="G747" s="113">
        <f t="shared" si="155"/>
        <v>24.27</v>
      </c>
      <c r="H747" s="59">
        <f t="shared" si="151"/>
        <v>0</v>
      </c>
      <c r="I747" s="114">
        <v>2.9</v>
      </c>
      <c r="J747" s="59">
        <f t="shared" si="152"/>
        <v>0</v>
      </c>
      <c r="K747" s="60">
        <f t="shared" si="153"/>
        <v>0</v>
      </c>
      <c r="L747" s="92"/>
      <c r="M747" s="87"/>
      <c r="N747" s="87"/>
      <c r="O747" s="410"/>
      <c r="P747" s="87"/>
      <c r="Q747" s="87"/>
      <c r="R747" s="87"/>
      <c r="S747" s="87"/>
      <c r="T747" s="87"/>
      <c r="U747" s="87"/>
    </row>
    <row r="748" spans="1:21" s="62" customFormat="1" ht="24" customHeight="1">
      <c r="A748" s="67"/>
      <c r="B748" s="423" t="s">
        <v>163</v>
      </c>
      <c r="C748" s="423"/>
      <c r="D748" s="423"/>
      <c r="E748" s="425"/>
      <c r="F748" s="94" t="s">
        <v>156</v>
      </c>
      <c r="G748" s="113">
        <f t="shared" si="155"/>
        <v>24.27</v>
      </c>
      <c r="H748" s="59">
        <f t="shared" si="151"/>
        <v>0</v>
      </c>
      <c r="I748" s="114">
        <v>2.9</v>
      </c>
      <c r="J748" s="59">
        <f t="shared" si="152"/>
        <v>0</v>
      </c>
      <c r="K748" s="60">
        <f t="shared" si="153"/>
        <v>0</v>
      </c>
      <c r="L748" s="92"/>
      <c r="M748" s="87"/>
      <c r="N748" s="87"/>
      <c r="O748" s="410"/>
      <c r="P748" s="87"/>
      <c r="Q748" s="87"/>
      <c r="R748" s="87"/>
      <c r="S748" s="87"/>
      <c r="T748" s="87"/>
      <c r="U748" s="87"/>
    </row>
    <row r="749" spans="1:21" s="62" customFormat="1" ht="24" customHeight="1">
      <c r="A749" s="67"/>
      <c r="B749" s="423" t="s">
        <v>164</v>
      </c>
      <c r="C749" s="423"/>
      <c r="D749" s="423"/>
      <c r="E749" s="425"/>
      <c r="F749" s="94" t="s">
        <v>156</v>
      </c>
      <c r="G749" s="113">
        <f t="shared" si="155"/>
        <v>24.27</v>
      </c>
      <c r="H749" s="59">
        <f t="shared" si="151"/>
        <v>0</v>
      </c>
      <c r="I749" s="114">
        <v>2.9</v>
      </c>
      <c r="J749" s="59">
        <f t="shared" si="152"/>
        <v>0</v>
      </c>
      <c r="K749" s="60">
        <f t="shared" si="153"/>
        <v>0</v>
      </c>
      <c r="L749" s="92"/>
      <c r="M749" s="87"/>
      <c r="N749" s="87"/>
      <c r="O749" s="410"/>
      <c r="P749" s="87"/>
      <c r="Q749" s="87"/>
      <c r="R749" s="87"/>
      <c r="S749" s="87"/>
      <c r="T749" s="87"/>
      <c r="U749" s="87"/>
    </row>
    <row r="750" spans="1:21" s="62" customFormat="1" ht="24" customHeight="1">
      <c r="A750" s="67"/>
      <c r="B750" s="423" t="s">
        <v>165</v>
      </c>
      <c r="C750" s="423"/>
      <c r="D750" s="423"/>
      <c r="E750" s="425"/>
      <c r="F750" s="94" t="s">
        <v>156</v>
      </c>
      <c r="G750" s="113">
        <f t="shared" si="155"/>
        <v>23.8</v>
      </c>
      <c r="H750" s="59">
        <f t="shared" si="151"/>
        <v>0</v>
      </c>
      <c r="I750" s="114">
        <v>2.9</v>
      </c>
      <c r="J750" s="59">
        <f t="shared" si="152"/>
        <v>0</v>
      </c>
      <c r="K750" s="60">
        <f t="shared" si="153"/>
        <v>0</v>
      </c>
      <c r="L750" s="92"/>
      <c r="M750" s="87"/>
      <c r="N750" s="87"/>
      <c r="O750" s="410"/>
      <c r="P750" s="87"/>
      <c r="Q750" s="87"/>
      <c r="R750" s="87"/>
      <c r="S750" s="87"/>
      <c r="T750" s="87"/>
      <c r="U750" s="87"/>
    </row>
    <row r="751" spans="1:21" s="62" customFormat="1" ht="24" customHeight="1">
      <c r="A751" s="67"/>
      <c r="B751" s="423" t="s">
        <v>166</v>
      </c>
      <c r="C751" s="423"/>
      <c r="D751" s="423"/>
      <c r="E751" s="425">
        <f>(SUM(E743:E750)/1000)*30</f>
        <v>218.33279999999999</v>
      </c>
      <c r="F751" s="94" t="s">
        <v>156</v>
      </c>
      <c r="G751" s="113">
        <f t="shared" si="155"/>
        <v>29.92</v>
      </c>
      <c r="H751" s="59">
        <f t="shared" si="151"/>
        <v>6532.52</v>
      </c>
      <c r="I751" s="114"/>
      <c r="J751" s="59">
        <f t="shared" si="152"/>
        <v>0</v>
      </c>
      <c r="K751" s="60">
        <f t="shared" si="153"/>
        <v>6532.52</v>
      </c>
      <c r="L751" s="92"/>
      <c r="M751" s="87"/>
      <c r="N751" s="87"/>
      <c r="O751" s="410"/>
      <c r="P751" s="87"/>
      <c r="Q751" s="87"/>
      <c r="R751" s="87"/>
      <c r="S751" s="87"/>
      <c r="T751" s="87"/>
      <c r="U751" s="87"/>
    </row>
    <row r="752" spans="1:21" s="62" customFormat="1" ht="24" customHeight="1">
      <c r="A752" s="67"/>
      <c r="B752" s="423" t="s">
        <v>167</v>
      </c>
      <c r="C752" s="423"/>
      <c r="D752" s="423"/>
      <c r="E752" s="425"/>
      <c r="F752" s="94"/>
      <c r="G752" s="113"/>
      <c r="H752" s="59"/>
      <c r="I752" s="114"/>
      <c r="J752" s="59"/>
      <c r="K752" s="60"/>
      <c r="L752" s="92"/>
      <c r="M752" s="87"/>
      <c r="N752" s="87"/>
      <c r="O752" s="410"/>
      <c r="P752" s="87"/>
      <c r="Q752" s="87"/>
      <c r="R752" s="87"/>
      <c r="S752" s="87"/>
      <c r="T752" s="87"/>
      <c r="U752" s="87"/>
    </row>
    <row r="753" spans="1:21" s="62" customFormat="1" ht="24" customHeight="1">
      <c r="A753" s="450"/>
      <c r="B753" s="423"/>
      <c r="C753" s="423"/>
      <c r="D753" s="423"/>
      <c r="E753" s="425"/>
      <c r="F753" s="94"/>
      <c r="G753" s="113"/>
      <c r="H753" s="59"/>
      <c r="I753" s="114"/>
      <c r="J753" s="59"/>
      <c r="K753" s="60"/>
      <c r="L753" s="92"/>
      <c r="M753" s="87"/>
      <c r="N753" s="87"/>
      <c r="O753" s="410"/>
      <c r="P753" s="87"/>
      <c r="Q753" s="87"/>
      <c r="R753" s="87"/>
      <c r="S753" s="87"/>
      <c r="T753" s="87"/>
      <c r="U753" s="87"/>
    </row>
    <row r="754" spans="1:21" s="62" customFormat="1" ht="24" customHeight="1">
      <c r="A754" s="450"/>
      <c r="B754" s="423"/>
      <c r="C754" s="423"/>
      <c r="D754" s="423"/>
      <c r="E754" s="425"/>
      <c r="F754" s="94"/>
      <c r="G754" s="113"/>
      <c r="H754" s="59"/>
      <c r="I754" s="114"/>
      <c r="J754" s="59"/>
      <c r="K754" s="60"/>
      <c r="L754" s="92"/>
      <c r="M754" s="87"/>
      <c r="N754" s="87"/>
      <c r="O754" s="410"/>
      <c r="P754" s="87"/>
      <c r="Q754" s="87"/>
      <c r="R754" s="87"/>
      <c r="S754" s="87"/>
      <c r="T754" s="87"/>
      <c r="U754" s="87"/>
    </row>
    <row r="755" spans="1:21" s="62" customFormat="1" ht="24" customHeight="1">
      <c r="A755" s="450"/>
      <c r="B755" s="423"/>
      <c r="C755" s="423"/>
      <c r="D755" s="423"/>
      <c r="E755" s="425"/>
      <c r="F755" s="94"/>
      <c r="G755" s="113"/>
      <c r="H755" s="59"/>
      <c r="I755" s="114"/>
      <c r="J755" s="59"/>
      <c r="K755" s="60"/>
      <c r="L755" s="92"/>
      <c r="M755" s="87"/>
      <c r="N755" s="87"/>
      <c r="O755" s="410"/>
      <c r="P755" s="87"/>
      <c r="Q755" s="87"/>
      <c r="R755" s="87"/>
      <c r="S755" s="87"/>
      <c r="T755" s="87"/>
      <c r="U755" s="87"/>
    </row>
    <row r="756" spans="1:21" s="62" customFormat="1" ht="24" customHeight="1">
      <c r="A756" s="450"/>
      <c r="B756" s="423"/>
      <c r="C756" s="423"/>
      <c r="D756" s="423"/>
      <c r="E756" s="425"/>
      <c r="F756" s="94"/>
      <c r="G756" s="113"/>
      <c r="H756" s="59"/>
      <c r="I756" s="114"/>
      <c r="J756" s="59"/>
      <c r="K756" s="60"/>
      <c r="L756" s="92"/>
      <c r="M756" s="87"/>
      <c r="N756" s="87"/>
      <c r="O756" s="410"/>
      <c r="P756" s="87"/>
      <c r="Q756" s="87"/>
      <c r="R756" s="87"/>
      <c r="S756" s="87"/>
      <c r="T756" s="87"/>
      <c r="U756" s="87"/>
    </row>
    <row r="757" spans="1:21" s="62" customFormat="1" ht="24" customHeight="1">
      <c r="A757" s="450"/>
      <c r="B757" s="423"/>
      <c r="C757" s="423"/>
      <c r="D757" s="423"/>
      <c r="E757" s="425"/>
      <c r="F757" s="94"/>
      <c r="G757" s="113"/>
      <c r="H757" s="59"/>
      <c r="I757" s="114"/>
      <c r="J757" s="59"/>
      <c r="K757" s="60"/>
      <c r="L757" s="92"/>
      <c r="M757" s="87"/>
      <c r="N757" s="87"/>
      <c r="O757" s="410"/>
      <c r="P757" s="87"/>
      <c r="Q757" s="87"/>
      <c r="R757" s="87"/>
      <c r="S757" s="87"/>
      <c r="T757" s="87"/>
      <c r="U757" s="87"/>
    </row>
    <row r="758" spans="1:21" s="62" customFormat="1" ht="24" customHeight="1">
      <c r="A758" s="450"/>
      <c r="B758" s="423"/>
      <c r="C758" s="423"/>
      <c r="D758" s="423"/>
      <c r="E758" s="425"/>
      <c r="F758" s="94"/>
      <c r="G758" s="113"/>
      <c r="H758" s="59"/>
      <c r="I758" s="114"/>
      <c r="J758" s="59"/>
      <c r="K758" s="60"/>
      <c r="L758" s="92"/>
      <c r="M758" s="87"/>
      <c r="N758" s="87"/>
      <c r="O758" s="410"/>
      <c r="P758" s="87"/>
      <c r="Q758" s="87"/>
      <c r="R758" s="87"/>
      <c r="S758" s="87"/>
      <c r="T758" s="87"/>
      <c r="U758" s="87"/>
    </row>
    <row r="759" spans="1:21" s="62" customFormat="1" ht="24" customHeight="1">
      <c r="A759" s="450"/>
      <c r="B759" s="423"/>
      <c r="C759" s="423"/>
      <c r="D759" s="423"/>
      <c r="E759" s="425"/>
      <c r="F759" s="94"/>
      <c r="G759" s="113"/>
      <c r="H759" s="59"/>
      <c r="I759" s="114"/>
      <c r="J759" s="59"/>
      <c r="K759" s="60"/>
      <c r="L759" s="92"/>
      <c r="M759" s="87"/>
      <c r="N759" s="87"/>
      <c r="O759" s="410"/>
      <c r="P759" s="87"/>
      <c r="Q759" s="87"/>
      <c r="R759" s="87"/>
      <c r="S759" s="87"/>
      <c r="T759" s="87"/>
      <c r="U759" s="87"/>
    </row>
    <row r="760" spans="1:21" s="62" customFormat="1" ht="24" customHeight="1">
      <c r="A760" s="450"/>
      <c r="B760" s="423"/>
      <c r="C760" s="423"/>
      <c r="D760" s="423"/>
      <c r="E760" s="425"/>
      <c r="F760" s="94"/>
      <c r="G760" s="113"/>
      <c r="H760" s="59"/>
      <c r="I760" s="114"/>
      <c r="J760" s="59"/>
      <c r="K760" s="60"/>
      <c r="L760" s="92"/>
      <c r="M760" s="87"/>
      <c r="N760" s="87"/>
      <c r="O760" s="410"/>
      <c r="P760" s="87"/>
      <c r="Q760" s="87"/>
      <c r="R760" s="87"/>
      <c r="S760" s="87"/>
      <c r="T760" s="87"/>
      <c r="U760" s="87"/>
    </row>
    <row r="761" spans="1:21" s="62" customFormat="1" ht="24" customHeight="1">
      <c r="A761" s="450" t="s">
        <v>347</v>
      </c>
      <c r="B761" s="451" t="s">
        <v>357</v>
      </c>
      <c r="C761" s="423"/>
      <c r="D761" s="423"/>
      <c r="E761" s="429"/>
      <c r="F761" s="94"/>
      <c r="G761" s="113"/>
      <c r="H761" s="59"/>
      <c r="I761" s="114"/>
      <c r="J761" s="59"/>
      <c r="K761" s="60"/>
      <c r="L761" s="92"/>
      <c r="M761" s="87"/>
      <c r="N761" s="87"/>
      <c r="O761" s="410"/>
      <c r="P761" s="87"/>
      <c r="Q761" s="87"/>
      <c r="R761" s="87"/>
      <c r="S761" s="87"/>
      <c r="T761" s="87"/>
      <c r="U761" s="87"/>
    </row>
    <row r="762" spans="1:21" s="62" customFormat="1" ht="24" customHeight="1">
      <c r="A762" s="67"/>
      <c r="B762" s="423" t="s">
        <v>150</v>
      </c>
      <c r="C762" s="424"/>
      <c r="D762" s="424"/>
      <c r="E762" s="425">
        <v>53.24</v>
      </c>
      <c r="F762" s="94" t="s">
        <v>151</v>
      </c>
      <c r="G762" s="113">
        <v>2516</v>
      </c>
      <c r="H762" s="59">
        <f t="shared" ref="H762:H777" si="156">ROUND(E762*G762,2)</f>
        <v>133951.84</v>
      </c>
      <c r="I762" s="114">
        <v>485</v>
      </c>
      <c r="J762" s="59">
        <f t="shared" ref="J762:J777" si="157">ROUND(E762*I762,2)</f>
        <v>25821.4</v>
      </c>
      <c r="K762" s="60">
        <f t="shared" ref="K762:K777" si="158">H762+J762</f>
        <v>159773.24</v>
      </c>
      <c r="L762" s="92"/>
      <c r="M762" s="87"/>
      <c r="N762" s="87"/>
      <c r="O762" s="410"/>
      <c r="P762" s="87"/>
      <c r="Q762" s="87"/>
      <c r="R762" s="87"/>
      <c r="S762" s="87"/>
      <c r="T762" s="87"/>
      <c r="U762" s="87"/>
    </row>
    <row r="763" spans="1:21" s="62" customFormat="1" ht="24" customHeight="1">
      <c r="A763" s="67"/>
      <c r="B763" s="426" t="s">
        <v>152</v>
      </c>
      <c r="C763" s="423"/>
      <c r="D763" s="423"/>
      <c r="E763" s="425"/>
      <c r="F763" s="94"/>
      <c r="G763" s="113"/>
      <c r="H763" s="59">
        <f t="shared" si="156"/>
        <v>0</v>
      </c>
      <c r="I763" s="114"/>
      <c r="J763" s="59">
        <f t="shared" si="157"/>
        <v>0</v>
      </c>
      <c r="K763" s="60">
        <f t="shared" si="158"/>
        <v>0</v>
      </c>
      <c r="L763" s="92"/>
      <c r="M763" s="87"/>
      <c r="N763" s="87"/>
      <c r="O763" s="410"/>
      <c r="P763" s="87"/>
      <c r="Q763" s="87"/>
      <c r="R763" s="87"/>
      <c r="S763" s="87"/>
      <c r="T763" s="87"/>
      <c r="U763" s="87"/>
    </row>
    <row r="764" spans="1:21" s="62" customFormat="1" ht="24" customHeight="1">
      <c r="A764" s="67"/>
      <c r="B764" s="426"/>
      <c r="C764" s="423" t="s">
        <v>153</v>
      </c>
      <c r="D764" s="423"/>
      <c r="E764" s="425">
        <f>E765/2</f>
        <v>191.7</v>
      </c>
      <c r="F764" s="94" t="s">
        <v>37</v>
      </c>
      <c r="G764" s="113">
        <v>661.62</v>
      </c>
      <c r="H764" s="59">
        <f t="shared" si="156"/>
        <v>126832.55</v>
      </c>
      <c r="I764" s="114"/>
      <c r="J764" s="59">
        <f t="shared" si="157"/>
        <v>0</v>
      </c>
      <c r="K764" s="60">
        <f t="shared" si="158"/>
        <v>126832.55</v>
      </c>
      <c r="L764" s="92"/>
      <c r="M764" s="87"/>
      <c r="N764" s="87"/>
      <c r="O764" s="410"/>
      <c r="P764" s="87"/>
      <c r="Q764" s="87"/>
      <c r="R764" s="87"/>
      <c r="S764" s="87"/>
      <c r="T764" s="87"/>
      <c r="U764" s="87"/>
    </row>
    <row r="765" spans="1:21" s="62" customFormat="1" ht="24" customHeight="1">
      <c r="A765" s="67"/>
      <c r="B765" s="426"/>
      <c r="C765" s="423" t="s">
        <v>154</v>
      </c>
      <c r="D765" s="423"/>
      <c r="E765" s="425">
        <v>383.4</v>
      </c>
      <c r="F765" s="94" t="s">
        <v>37</v>
      </c>
      <c r="G765" s="113"/>
      <c r="H765" s="59">
        <f t="shared" si="156"/>
        <v>0</v>
      </c>
      <c r="I765" s="114">
        <v>154</v>
      </c>
      <c r="J765" s="59">
        <f t="shared" si="157"/>
        <v>59043.6</v>
      </c>
      <c r="K765" s="60">
        <f t="shared" si="158"/>
        <v>59043.6</v>
      </c>
      <c r="L765" s="92"/>
      <c r="M765" s="87"/>
      <c r="N765" s="87"/>
      <c r="O765" s="410"/>
      <c r="P765" s="87"/>
      <c r="Q765" s="87"/>
      <c r="R765" s="87"/>
      <c r="S765" s="87"/>
      <c r="T765" s="87"/>
      <c r="U765" s="87"/>
    </row>
    <row r="766" spans="1:21" s="62" customFormat="1" ht="24" customHeight="1">
      <c r="A766" s="67"/>
      <c r="B766" s="423" t="s">
        <v>155</v>
      </c>
      <c r="C766" s="423"/>
      <c r="D766" s="423"/>
      <c r="E766" s="425">
        <f>(E765*0.25)</f>
        <v>95.85</v>
      </c>
      <c r="F766" s="94" t="s">
        <v>156</v>
      </c>
      <c r="G766" s="113">
        <f t="shared" ref="G766" si="159">VLOOKUP(B766,$N$43:$O$53,2,FALSE)</f>
        <v>29.94</v>
      </c>
      <c r="H766" s="59">
        <f t="shared" si="156"/>
        <v>2869.75</v>
      </c>
      <c r="I766" s="114"/>
      <c r="J766" s="59">
        <f t="shared" si="157"/>
        <v>0</v>
      </c>
      <c r="K766" s="60">
        <f t="shared" si="158"/>
        <v>2869.75</v>
      </c>
      <c r="L766" s="92"/>
      <c r="M766" s="87"/>
      <c r="N766" s="87"/>
      <c r="O766" s="410"/>
      <c r="P766" s="87"/>
      <c r="Q766" s="87"/>
      <c r="R766" s="87"/>
      <c r="S766" s="87"/>
      <c r="T766" s="87"/>
      <c r="U766" s="87"/>
    </row>
    <row r="767" spans="1:21" s="62" customFormat="1" ht="24" customHeight="1">
      <c r="A767" s="67"/>
      <c r="B767" s="423" t="s">
        <v>157</v>
      </c>
      <c r="C767" s="423"/>
      <c r="D767" s="423"/>
      <c r="E767" s="425"/>
      <c r="F767" s="115"/>
      <c r="G767" s="101"/>
      <c r="H767" s="59">
        <f t="shared" si="156"/>
        <v>0</v>
      </c>
      <c r="I767" s="114"/>
      <c r="J767" s="59">
        <f t="shared" si="157"/>
        <v>0</v>
      </c>
      <c r="K767" s="60">
        <f t="shared" si="158"/>
        <v>0</v>
      </c>
      <c r="L767" s="92"/>
      <c r="M767" s="87"/>
      <c r="N767" s="87"/>
      <c r="O767" s="410"/>
      <c r="P767" s="87"/>
      <c r="Q767" s="87"/>
      <c r="R767" s="87"/>
      <c r="S767" s="87"/>
      <c r="T767" s="87"/>
      <c r="U767" s="87"/>
    </row>
    <row r="768" spans="1:21" s="62" customFormat="1" ht="24" customHeight="1">
      <c r="A768" s="67"/>
      <c r="B768" s="423" t="s">
        <v>158</v>
      </c>
      <c r="C768" s="423"/>
      <c r="D768" s="423"/>
      <c r="E768" s="425"/>
      <c r="F768" s="94" t="s">
        <v>156</v>
      </c>
      <c r="G768" s="113">
        <f>VLOOKUP(B768,$N$43:$O$54,2,FALSE)</f>
        <v>25.73</v>
      </c>
      <c r="H768" s="59">
        <f t="shared" si="156"/>
        <v>0</v>
      </c>
      <c r="I768" s="103">
        <v>4.0999999999999996</v>
      </c>
      <c r="J768" s="59">
        <f t="shared" si="157"/>
        <v>0</v>
      </c>
      <c r="K768" s="60">
        <f t="shared" si="158"/>
        <v>0</v>
      </c>
      <c r="L768" s="92"/>
      <c r="M768" s="87"/>
      <c r="N768" s="87"/>
      <c r="O768" s="410"/>
      <c r="P768" s="87"/>
      <c r="Q768" s="87"/>
      <c r="R768" s="87"/>
      <c r="S768" s="87"/>
      <c r="T768" s="87"/>
      <c r="U768" s="87"/>
    </row>
    <row r="769" spans="1:21" s="62" customFormat="1" ht="24" customHeight="1">
      <c r="A769" s="67"/>
      <c r="B769" s="423" t="s">
        <v>159</v>
      </c>
      <c r="C769" s="423"/>
      <c r="D769" s="423"/>
      <c r="E769" s="425">
        <v>531.58000000000004</v>
      </c>
      <c r="F769" s="94" t="s">
        <v>156</v>
      </c>
      <c r="G769" s="113">
        <f t="shared" ref="G769:G777" si="160">VLOOKUP(B769,$N$43:$O$54,2,FALSE)</f>
        <v>24.97</v>
      </c>
      <c r="H769" s="59">
        <f t="shared" si="156"/>
        <v>13273.55</v>
      </c>
      <c r="I769" s="114">
        <v>4.0999999999999996</v>
      </c>
      <c r="J769" s="59">
        <f t="shared" si="157"/>
        <v>2179.48</v>
      </c>
      <c r="K769" s="60">
        <f t="shared" si="158"/>
        <v>15453.029999999999</v>
      </c>
      <c r="L769" s="92"/>
      <c r="M769" s="87"/>
      <c r="N769" s="87"/>
      <c r="O769" s="410"/>
      <c r="P769" s="87"/>
      <c r="Q769" s="87"/>
      <c r="R769" s="87"/>
      <c r="S769" s="87"/>
      <c r="T769" s="87"/>
      <c r="U769" s="87"/>
    </row>
    <row r="770" spans="1:21" s="62" customFormat="1" ht="24" customHeight="1">
      <c r="A770" s="67"/>
      <c r="B770" s="423" t="s">
        <v>362</v>
      </c>
      <c r="C770" s="423"/>
      <c r="D770" s="423"/>
      <c r="E770" s="425">
        <v>123.7</v>
      </c>
      <c r="F770" s="94" t="s">
        <v>156</v>
      </c>
      <c r="G770" s="113">
        <f t="shared" si="160"/>
        <v>24.67</v>
      </c>
      <c r="H770" s="59">
        <f t="shared" si="156"/>
        <v>3051.68</v>
      </c>
      <c r="I770" s="114">
        <v>3.3</v>
      </c>
      <c r="J770" s="59">
        <f t="shared" si="157"/>
        <v>408.21</v>
      </c>
      <c r="K770" s="60">
        <f t="shared" si="158"/>
        <v>3459.89</v>
      </c>
      <c r="L770" s="92"/>
      <c r="M770" s="87"/>
      <c r="N770" s="87"/>
      <c r="O770" s="410"/>
      <c r="P770" s="87"/>
      <c r="Q770" s="87"/>
      <c r="R770" s="87"/>
      <c r="S770" s="87"/>
      <c r="T770" s="87"/>
      <c r="U770" s="87"/>
    </row>
    <row r="771" spans="1:21" s="62" customFormat="1" ht="24" customHeight="1">
      <c r="A771" s="67"/>
      <c r="B771" s="423" t="s">
        <v>160</v>
      </c>
      <c r="C771" s="423"/>
      <c r="D771" s="423"/>
      <c r="E771" s="425">
        <v>1364.96</v>
      </c>
      <c r="F771" s="94" t="s">
        <v>156</v>
      </c>
      <c r="G771" s="113">
        <f t="shared" si="160"/>
        <v>24.47</v>
      </c>
      <c r="H771" s="59">
        <f t="shared" si="156"/>
        <v>33400.57</v>
      </c>
      <c r="I771" s="114">
        <v>3.3</v>
      </c>
      <c r="J771" s="59">
        <f t="shared" si="157"/>
        <v>4504.37</v>
      </c>
      <c r="K771" s="60">
        <f t="shared" si="158"/>
        <v>37904.94</v>
      </c>
      <c r="L771" s="92"/>
      <c r="M771" s="87"/>
      <c r="N771" s="87"/>
      <c r="O771" s="410"/>
      <c r="P771" s="87"/>
      <c r="Q771" s="87"/>
      <c r="R771" s="87"/>
      <c r="S771" s="87"/>
      <c r="T771" s="87"/>
      <c r="U771" s="87"/>
    </row>
    <row r="772" spans="1:21" s="62" customFormat="1" ht="24" customHeight="1">
      <c r="A772" s="67"/>
      <c r="B772" s="423" t="s">
        <v>161</v>
      </c>
      <c r="C772" s="423"/>
      <c r="D772" s="423"/>
      <c r="E772" s="425">
        <v>983</v>
      </c>
      <c r="F772" s="115" t="s">
        <v>156</v>
      </c>
      <c r="G772" s="113">
        <f t="shared" si="160"/>
        <v>24.27</v>
      </c>
      <c r="H772" s="59">
        <f t="shared" si="156"/>
        <v>23857.41</v>
      </c>
      <c r="I772" s="114">
        <v>3.3</v>
      </c>
      <c r="J772" s="59">
        <f t="shared" si="157"/>
        <v>3243.9</v>
      </c>
      <c r="K772" s="60">
        <f t="shared" si="158"/>
        <v>27101.31</v>
      </c>
      <c r="L772" s="92"/>
      <c r="M772" s="87"/>
      <c r="N772" s="87"/>
      <c r="O772" s="410"/>
      <c r="P772" s="87"/>
      <c r="Q772" s="87"/>
      <c r="R772" s="87"/>
      <c r="S772" s="87"/>
      <c r="T772" s="87"/>
      <c r="U772" s="87"/>
    </row>
    <row r="773" spans="1:21" s="62" customFormat="1" ht="24" customHeight="1">
      <c r="A773" s="67"/>
      <c r="B773" s="423" t="s">
        <v>162</v>
      </c>
      <c r="C773" s="423"/>
      <c r="D773" s="423"/>
      <c r="E773" s="425">
        <v>2177.62</v>
      </c>
      <c r="F773" s="94" t="s">
        <v>156</v>
      </c>
      <c r="G773" s="113">
        <f t="shared" si="160"/>
        <v>24.27</v>
      </c>
      <c r="H773" s="59">
        <f t="shared" si="156"/>
        <v>52850.84</v>
      </c>
      <c r="I773" s="114">
        <v>2.9</v>
      </c>
      <c r="J773" s="59">
        <f t="shared" si="157"/>
        <v>6315.1</v>
      </c>
      <c r="K773" s="60">
        <f t="shared" si="158"/>
        <v>59165.939999999995</v>
      </c>
      <c r="L773" s="92"/>
      <c r="M773" s="87"/>
      <c r="N773" s="87"/>
      <c r="O773" s="410"/>
      <c r="P773" s="87"/>
      <c r="Q773" s="87"/>
      <c r="R773" s="87"/>
      <c r="S773" s="87"/>
      <c r="T773" s="87"/>
      <c r="U773" s="87"/>
    </row>
    <row r="774" spans="1:21" s="62" customFormat="1" ht="24" customHeight="1">
      <c r="A774" s="67"/>
      <c r="B774" s="423" t="s">
        <v>163</v>
      </c>
      <c r="C774" s="423"/>
      <c r="D774" s="423"/>
      <c r="E774" s="425">
        <v>7298.32</v>
      </c>
      <c r="F774" s="94" t="s">
        <v>156</v>
      </c>
      <c r="G774" s="113">
        <f t="shared" si="160"/>
        <v>24.27</v>
      </c>
      <c r="H774" s="59">
        <f t="shared" si="156"/>
        <v>177130.23</v>
      </c>
      <c r="I774" s="114">
        <v>2.9</v>
      </c>
      <c r="J774" s="59">
        <f t="shared" si="157"/>
        <v>21165.13</v>
      </c>
      <c r="K774" s="60">
        <f t="shared" si="158"/>
        <v>198295.36000000002</v>
      </c>
      <c r="L774" s="92"/>
      <c r="M774" s="87"/>
      <c r="N774" s="87"/>
      <c r="O774" s="410"/>
      <c r="P774" s="87"/>
      <c r="Q774" s="87"/>
      <c r="R774" s="87"/>
      <c r="S774" s="87"/>
      <c r="T774" s="87"/>
      <c r="U774" s="87"/>
    </row>
    <row r="775" spans="1:21" s="62" customFormat="1" ht="24" customHeight="1">
      <c r="A775" s="67"/>
      <c r="B775" s="423" t="s">
        <v>164</v>
      </c>
      <c r="C775" s="423"/>
      <c r="D775" s="423"/>
      <c r="E775" s="425">
        <v>0</v>
      </c>
      <c r="F775" s="94" t="s">
        <v>156</v>
      </c>
      <c r="G775" s="113">
        <f t="shared" si="160"/>
        <v>24.27</v>
      </c>
      <c r="H775" s="59">
        <f t="shared" si="156"/>
        <v>0</v>
      </c>
      <c r="I775" s="114">
        <v>2.9</v>
      </c>
      <c r="J775" s="59">
        <f t="shared" si="157"/>
        <v>0</v>
      </c>
      <c r="K775" s="60">
        <f t="shared" si="158"/>
        <v>0</v>
      </c>
      <c r="L775" s="92"/>
      <c r="M775" s="87"/>
      <c r="N775" s="87"/>
      <c r="O775" s="410"/>
      <c r="P775" s="87"/>
      <c r="Q775" s="87"/>
      <c r="R775" s="87"/>
      <c r="S775" s="87"/>
      <c r="T775" s="87"/>
      <c r="U775" s="87"/>
    </row>
    <row r="776" spans="1:21" s="62" customFormat="1" ht="24" customHeight="1">
      <c r="A776" s="67"/>
      <c r="B776" s="423" t="s">
        <v>165</v>
      </c>
      <c r="C776" s="423"/>
      <c r="D776" s="423"/>
      <c r="E776" s="425">
        <v>0</v>
      </c>
      <c r="F776" s="94" t="s">
        <v>156</v>
      </c>
      <c r="G776" s="113">
        <f t="shared" si="160"/>
        <v>23.8</v>
      </c>
      <c r="H776" s="59">
        <f t="shared" si="156"/>
        <v>0</v>
      </c>
      <c r="I776" s="114">
        <v>2.9</v>
      </c>
      <c r="J776" s="59">
        <f t="shared" si="157"/>
        <v>0</v>
      </c>
      <c r="K776" s="60">
        <f t="shared" si="158"/>
        <v>0</v>
      </c>
      <c r="L776" s="92"/>
      <c r="M776" s="87"/>
      <c r="N776" s="87"/>
      <c r="O776" s="410"/>
      <c r="P776" s="87"/>
      <c r="Q776" s="87"/>
      <c r="R776" s="87"/>
      <c r="S776" s="87"/>
      <c r="T776" s="87"/>
      <c r="U776" s="87"/>
    </row>
    <row r="777" spans="1:21" s="62" customFormat="1" ht="24" customHeight="1">
      <c r="A777" s="67"/>
      <c r="B777" s="423" t="s">
        <v>166</v>
      </c>
      <c r="C777" s="423"/>
      <c r="D777" s="423"/>
      <c r="E777" s="425">
        <f>(SUM(E768:E776)/1000)*30</f>
        <v>374.37540000000001</v>
      </c>
      <c r="F777" s="94" t="s">
        <v>156</v>
      </c>
      <c r="G777" s="113">
        <f t="shared" si="160"/>
        <v>29.92</v>
      </c>
      <c r="H777" s="59">
        <f t="shared" si="156"/>
        <v>11201.31</v>
      </c>
      <c r="I777" s="114"/>
      <c r="J777" s="59">
        <f t="shared" si="157"/>
        <v>0</v>
      </c>
      <c r="K777" s="60">
        <f t="shared" si="158"/>
        <v>11201.31</v>
      </c>
      <c r="L777" s="92"/>
      <c r="M777" s="87"/>
      <c r="N777" s="87"/>
      <c r="O777" s="410"/>
      <c r="P777" s="87"/>
      <c r="Q777" s="87"/>
      <c r="R777" s="87"/>
      <c r="S777" s="87"/>
      <c r="T777" s="87"/>
      <c r="U777" s="87"/>
    </row>
    <row r="778" spans="1:21" s="62" customFormat="1" ht="24" customHeight="1">
      <c r="A778" s="67"/>
      <c r="B778" s="423" t="s">
        <v>167</v>
      </c>
      <c r="C778" s="423"/>
      <c r="D778" s="423"/>
      <c r="E778" s="425"/>
      <c r="F778" s="94"/>
      <c r="G778" s="113"/>
      <c r="H778" s="59"/>
      <c r="I778" s="114"/>
      <c r="J778" s="59"/>
      <c r="K778" s="60"/>
      <c r="L778" s="92"/>
      <c r="M778" s="87"/>
      <c r="N778" s="87"/>
      <c r="O778" s="410"/>
      <c r="P778" s="87"/>
      <c r="Q778" s="87"/>
      <c r="R778" s="87"/>
      <c r="S778" s="87"/>
      <c r="T778" s="87"/>
      <c r="U778" s="87"/>
    </row>
    <row r="779" spans="1:21" s="62" customFormat="1" ht="24" customHeight="1">
      <c r="A779" s="450"/>
      <c r="B779" s="423"/>
      <c r="C779" s="423"/>
      <c r="D779" s="423"/>
      <c r="E779" s="425"/>
      <c r="F779" s="94"/>
      <c r="G779" s="113"/>
      <c r="H779" s="59"/>
      <c r="I779" s="114"/>
      <c r="J779" s="59"/>
      <c r="K779" s="60"/>
      <c r="L779" s="92"/>
      <c r="M779" s="87"/>
      <c r="N779" s="87"/>
      <c r="O779" s="410"/>
      <c r="P779" s="87"/>
      <c r="Q779" s="87"/>
      <c r="R779" s="87"/>
      <c r="S779" s="87"/>
      <c r="T779" s="87"/>
      <c r="U779" s="87"/>
    </row>
    <row r="780" spans="1:21" s="62" customFormat="1" ht="24" customHeight="1">
      <c r="A780" s="450"/>
      <c r="B780" s="423"/>
      <c r="C780" s="423"/>
      <c r="D780" s="423"/>
      <c r="E780" s="425"/>
      <c r="F780" s="94"/>
      <c r="G780" s="113"/>
      <c r="H780" s="59"/>
      <c r="I780" s="114"/>
      <c r="J780" s="59"/>
      <c r="K780" s="60"/>
      <c r="L780" s="92"/>
      <c r="M780" s="87"/>
      <c r="N780" s="87"/>
      <c r="O780" s="410"/>
      <c r="P780" s="87"/>
      <c r="Q780" s="87"/>
      <c r="R780" s="87"/>
      <c r="S780" s="87"/>
      <c r="T780" s="87"/>
      <c r="U780" s="87"/>
    </row>
    <row r="781" spans="1:21" s="62" customFormat="1" ht="24" customHeight="1">
      <c r="A781" s="450"/>
      <c r="B781" s="423"/>
      <c r="C781" s="423"/>
      <c r="D781" s="423"/>
      <c r="E781" s="425"/>
      <c r="F781" s="94"/>
      <c r="G781" s="113"/>
      <c r="H781" s="59"/>
      <c r="I781" s="114"/>
      <c r="J781" s="59"/>
      <c r="K781" s="60"/>
      <c r="L781" s="92"/>
      <c r="M781" s="87"/>
      <c r="N781" s="87"/>
      <c r="O781" s="410"/>
      <c r="P781" s="87"/>
      <c r="Q781" s="87"/>
      <c r="R781" s="87"/>
      <c r="S781" s="87"/>
      <c r="T781" s="87"/>
      <c r="U781" s="87"/>
    </row>
    <row r="782" spans="1:21" s="62" customFormat="1" ht="24" customHeight="1">
      <c r="A782" s="450"/>
      <c r="B782" s="423"/>
      <c r="C782" s="423"/>
      <c r="D782" s="423"/>
      <c r="E782" s="425"/>
      <c r="F782" s="94"/>
      <c r="G782" s="113"/>
      <c r="H782" s="59"/>
      <c r="I782" s="114"/>
      <c r="J782" s="59"/>
      <c r="K782" s="60"/>
      <c r="L782" s="92"/>
      <c r="M782" s="87"/>
      <c r="N782" s="87"/>
      <c r="O782" s="410"/>
      <c r="P782" s="87"/>
      <c r="Q782" s="87"/>
      <c r="R782" s="87"/>
      <c r="S782" s="87"/>
      <c r="T782" s="87"/>
      <c r="U782" s="87"/>
    </row>
    <row r="783" spans="1:21" s="62" customFormat="1" ht="24" customHeight="1">
      <c r="A783" s="450"/>
      <c r="B783" s="423"/>
      <c r="C783" s="423"/>
      <c r="D783" s="423"/>
      <c r="E783" s="425"/>
      <c r="F783" s="94"/>
      <c r="G783" s="113"/>
      <c r="H783" s="59"/>
      <c r="I783" s="114"/>
      <c r="J783" s="59"/>
      <c r="K783" s="60"/>
      <c r="L783" s="92"/>
      <c r="M783" s="87"/>
      <c r="N783" s="87"/>
      <c r="O783" s="410"/>
      <c r="P783" s="87"/>
      <c r="Q783" s="87"/>
      <c r="R783" s="87"/>
      <c r="S783" s="87"/>
      <c r="T783" s="87"/>
      <c r="U783" s="87"/>
    </row>
    <row r="784" spans="1:21" s="62" customFormat="1" ht="24" customHeight="1">
      <c r="A784" s="90"/>
      <c r="B784" s="430"/>
      <c r="C784" s="430"/>
      <c r="D784" s="430"/>
      <c r="E784" s="425"/>
      <c r="F784" s="432"/>
      <c r="G784" s="101"/>
      <c r="H784" s="102"/>
      <c r="I784" s="103"/>
      <c r="J784" s="102"/>
      <c r="K784" s="104"/>
      <c r="L784" s="433"/>
      <c r="M784" s="87"/>
      <c r="N784" s="87"/>
      <c r="O784" s="410"/>
      <c r="P784" s="87"/>
      <c r="Q784" s="87"/>
      <c r="R784" s="87"/>
      <c r="S784" s="87"/>
      <c r="T784" s="87"/>
      <c r="U784" s="87"/>
    </row>
    <row r="785" spans="1:21" s="62" customFormat="1" ht="24" customHeight="1">
      <c r="A785" s="109"/>
      <c r="B785" s="2444" t="str">
        <f>"รวมราคารายการที่ "&amp;A611</f>
        <v>รวมราคารายการที่ 1.6</v>
      </c>
      <c r="C785" s="2444"/>
      <c r="D785" s="2444"/>
      <c r="E785" s="110"/>
      <c r="F785" s="111"/>
      <c r="G785" s="112"/>
      <c r="H785" s="106">
        <f>ROUND(SUBTOTAL(9,H614:H784),2)</f>
        <v>27125428.640000001</v>
      </c>
      <c r="I785" s="108"/>
      <c r="J785" s="106">
        <f>ROUND(SUBTOTAL(9,J614:J784),2)</f>
        <v>5115739.87</v>
      </c>
      <c r="K785" s="106">
        <f>ROUND(SUBTOTAL(9,K614:K784),2)</f>
        <v>32241168.510000002</v>
      </c>
      <c r="L785" s="106"/>
      <c r="M785" s="87"/>
      <c r="N785" s="87"/>
      <c r="O785" s="410"/>
      <c r="P785" s="87"/>
      <c r="Q785" s="87"/>
      <c r="R785" s="87"/>
      <c r="S785" s="87"/>
      <c r="T785" s="87"/>
      <c r="U785" s="87"/>
    </row>
    <row r="786" spans="1:21" s="62" customFormat="1" ht="24" customHeight="1">
      <c r="A786" s="90">
        <v>1.7</v>
      </c>
      <c r="B786" s="411" t="s">
        <v>199</v>
      </c>
      <c r="C786" s="430"/>
      <c r="D786" s="430"/>
      <c r="E786" s="431"/>
      <c r="F786" s="432"/>
      <c r="G786" s="101"/>
      <c r="H786" s="102"/>
      <c r="I786" s="103"/>
      <c r="J786" s="102"/>
      <c r="K786" s="104"/>
      <c r="L786" s="433"/>
      <c r="M786" s="87"/>
      <c r="N786" s="87"/>
      <c r="O786" s="410"/>
      <c r="P786" s="87"/>
      <c r="Q786" s="87"/>
      <c r="R786" s="87"/>
      <c r="S786" s="87"/>
      <c r="T786" s="87"/>
      <c r="U786" s="87"/>
    </row>
    <row r="787" spans="1:21" s="62" customFormat="1" ht="24" customHeight="1">
      <c r="A787" s="450"/>
      <c r="B787" s="423"/>
      <c r="C787" s="423"/>
      <c r="D787" s="423"/>
      <c r="E787" s="425"/>
      <c r="F787" s="94"/>
      <c r="G787" s="113"/>
      <c r="H787" s="59"/>
      <c r="I787" s="114"/>
      <c r="J787" s="59"/>
      <c r="K787" s="60"/>
      <c r="L787" s="92"/>
      <c r="M787" s="87"/>
      <c r="N787" s="87"/>
      <c r="O787" s="410"/>
      <c r="P787" s="87"/>
      <c r="Q787" s="87"/>
      <c r="R787" s="87"/>
      <c r="S787" s="87"/>
      <c r="T787" s="87"/>
      <c r="U787" s="87"/>
    </row>
    <row r="788" spans="1:21" s="62" customFormat="1" ht="24" customHeight="1">
      <c r="A788" s="450" t="s">
        <v>200</v>
      </c>
      <c r="B788" s="452" t="s">
        <v>201</v>
      </c>
      <c r="C788" s="423"/>
      <c r="D788" s="423"/>
      <c r="E788" s="425"/>
      <c r="F788" s="94"/>
      <c r="G788" s="113"/>
      <c r="H788" s="59"/>
      <c r="I788" s="114"/>
      <c r="J788" s="59"/>
      <c r="K788" s="60"/>
      <c r="L788" s="92"/>
      <c r="M788" s="87"/>
      <c r="N788" s="87"/>
      <c r="O788" s="410"/>
      <c r="P788" s="87"/>
      <c r="Q788" s="87"/>
      <c r="R788" s="87"/>
      <c r="S788" s="87"/>
      <c r="T788" s="87"/>
      <c r="U788" s="87"/>
    </row>
    <row r="789" spans="1:21" s="62" customFormat="1" ht="24" customHeight="1">
      <c r="A789" s="450"/>
      <c r="B789" s="423" t="s">
        <v>150</v>
      </c>
      <c r="C789" s="424"/>
      <c r="D789" s="424"/>
      <c r="E789" s="425">
        <v>1172.67</v>
      </c>
      <c r="F789" s="94" t="s">
        <v>151</v>
      </c>
      <c r="G789" s="113">
        <v>2516</v>
      </c>
      <c r="H789" s="59">
        <f t="shared" ref="H789:H804" si="161">ROUND(E789*G789,2)</f>
        <v>2950437.72</v>
      </c>
      <c r="I789" s="114">
        <v>485</v>
      </c>
      <c r="J789" s="59">
        <f t="shared" ref="J789:J804" si="162">ROUND(E789*I789,2)</f>
        <v>568744.94999999995</v>
      </c>
      <c r="K789" s="60">
        <f t="shared" ref="K789:K805" si="163">H789+J789</f>
        <v>3519182.67</v>
      </c>
      <c r="L789" s="92"/>
      <c r="M789" s="87"/>
      <c r="N789" s="87"/>
      <c r="O789" s="410"/>
      <c r="P789" s="87"/>
      <c r="Q789" s="87"/>
      <c r="R789" s="87"/>
      <c r="S789" s="87"/>
      <c r="T789" s="87"/>
      <c r="U789" s="87"/>
    </row>
    <row r="790" spans="1:21" s="62" customFormat="1" ht="24" customHeight="1">
      <c r="A790" s="450"/>
      <c r="B790" s="426" t="s">
        <v>152</v>
      </c>
      <c r="C790" s="423"/>
      <c r="D790" s="423"/>
      <c r="E790" s="425"/>
      <c r="F790" s="94"/>
      <c r="G790" s="113"/>
      <c r="H790" s="59">
        <f t="shared" si="161"/>
        <v>0</v>
      </c>
      <c r="I790" s="114"/>
      <c r="J790" s="59">
        <f t="shared" si="162"/>
        <v>0</v>
      </c>
      <c r="K790" s="60">
        <f t="shared" si="163"/>
        <v>0</v>
      </c>
      <c r="L790" s="92"/>
      <c r="M790" s="87"/>
      <c r="N790" s="87"/>
      <c r="O790" s="410"/>
      <c r="P790" s="87"/>
      <c r="Q790" s="87"/>
      <c r="R790" s="87"/>
      <c r="S790" s="87"/>
      <c r="T790" s="87"/>
      <c r="U790" s="87"/>
    </row>
    <row r="791" spans="1:21" s="62" customFormat="1" ht="24" customHeight="1">
      <c r="A791" s="450"/>
      <c r="B791" s="426"/>
      <c r="C791" s="423" t="s">
        <v>153</v>
      </c>
      <c r="D791" s="423"/>
      <c r="E791" s="425">
        <f>E792/2</f>
        <v>2421.2249999999999</v>
      </c>
      <c r="F791" s="94" t="s">
        <v>37</v>
      </c>
      <c r="G791" s="113">
        <v>661.62</v>
      </c>
      <c r="H791" s="59">
        <f t="shared" si="161"/>
        <v>1601930.88</v>
      </c>
      <c r="I791" s="114"/>
      <c r="J791" s="59">
        <f t="shared" si="162"/>
        <v>0</v>
      </c>
      <c r="K791" s="60">
        <f t="shared" si="163"/>
        <v>1601930.88</v>
      </c>
      <c r="L791" s="92"/>
      <c r="M791" s="87"/>
      <c r="N791" s="87"/>
      <c r="O791" s="410"/>
      <c r="P791" s="87"/>
      <c r="Q791" s="87"/>
      <c r="R791" s="87"/>
      <c r="S791" s="87"/>
      <c r="T791" s="87"/>
      <c r="U791" s="87"/>
    </row>
    <row r="792" spans="1:21" s="62" customFormat="1" ht="24" customHeight="1">
      <c r="A792" s="450"/>
      <c r="B792" s="426"/>
      <c r="C792" s="423" t="s">
        <v>154</v>
      </c>
      <c r="D792" s="423"/>
      <c r="E792" s="425">
        <v>4842.45</v>
      </c>
      <c r="F792" s="94" t="s">
        <v>37</v>
      </c>
      <c r="G792" s="113"/>
      <c r="H792" s="59">
        <f t="shared" si="161"/>
        <v>0</v>
      </c>
      <c r="I792" s="114">
        <v>154</v>
      </c>
      <c r="J792" s="59">
        <f t="shared" si="162"/>
        <v>745737.3</v>
      </c>
      <c r="K792" s="60">
        <f t="shared" si="163"/>
        <v>745737.3</v>
      </c>
      <c r="L792" s="92"/>
      <c r="M792" s="87"/>
      <c r="N792" s="87"/>
      <c r="O792" s="410"/>
      <c r="P792" s="87"/>
      <c r="Q792" s="87"/>
      <c r="R792" s="87"/>
      <c r="S792" s="87"/>
      <c r="T792" s="87"/>
      <c r="U792" s="87"/>
    </row>
    <row r="793" spans="1:21" s="62" customFormat="1" ht="24" customHeight="1">
      <c r="A793" s="450"/>
      <c r="B793" s="423" t="s">
        <v>155</v>
      </c>
      <c r="C793" s="423"/>
      <c r="D793" s="423"/>
      <c r="E793" s="425">
        <f>(E792*0.25)</f>
        <v>1210.6125</v>
      </c>
      <c r="F793" s="94" t="s">
        <v>156</v>
      </c>
      <c r="G793" s="113">
        <f t="shared" ref="G793" si="164">VLOOKUP(B793,$N$43:$O$53,2,FALSE)</f>
        <v>29.94</v>
      </c>
      <c r="H793" s="59">
        <f t="shared" si="161"/>
        <v>36245.74</v>
      </c>
      <c r="I793" s="114"/>
      <c r="J793" s="59">
        <f t="shared" si="162"/>
        <v>0</v>
      </c>
      <c r="K793" s="60">
        <f t="shared" si="163"/>
        <v>36245.74</v>
      </c>
      <c r="L793" s="92"/>
      <c r="M793" s="87"/>
      <c r="N793" s="87"/>
      <c r="O793" s="410"/>
      <c r="P793" s="87"/>
      <c r="Q793" s="87"/>
      <c r="R793" s="87"/>
      <c r="S793" s="87"/>
      <c r="T793" s="87"/>
      <c r="U793" s="87"/>
    </row>
    <row r="794" spans="1:21" s="62" customFormat="1" ht="24" customHeight="1">
      <c r="A794" s="450"/>
      <c r="B794" s="423" t="s">
        <v>157</v>
      </c>
      <c r="C794" s="423"/>
      <c r="D794" s="423"/>
      <c r="E794" s="425"/>
      <c r="F794" s="115"/>
      <c r="G794" s="101"/>
      <c r="H794" s="59">
        <f t="shared" si="161"/>
        <v>0</v>
      </c>
      <c r="I794" s="114"/>
      <c r="J794" s="59">
        <f t="shared" si="162"/>
        <v>0</v>
      </c>
      <c r="K794" s="60">
        <f t="shared" si="163"/>
        <v>0</v>
      </c>
      <c r="L794" s="92"/>
      <c r="M794" s="87"/>
      <c r="N794" s="87"/>
      <c r="O794" s="410"/>
      <c r="P794" s="87"/>
      <c r="Q794" s="87"/>
      <c r="R794" s="87"/>
      <c r="S794" s="87"/>
      <c r="T794" s="87"/>
      <c r="U794" s="87"/>
    </row>
    <row r="795" spans="1:21" s="62" customFormat="1" ht="24" customHeight="1">
      <c r="A795" s="450"/>
      <c r="B795" s="423" t="s">
        <v>158</v>
      </c>
      <c r="C795" s="423"/>
      <c r="D795" s="423"/>
      <c r="E795" s="425"/>
      <c r="F795" s="94" t="s">
        <v>156</v>
      </c>
      <c r="G795" s="113">
        <f>VLOOKUP(B795,$N$43:$O$54,2,FALSE)</f>
        <v>25.73</v>
      </c>
      <c r="H795" s="59">
        <f t="shared" si="161"/>
        <v>0</v>
      </c>
      <c r="I795" s="103">
        <v>4.0999999999999996</v>
      </c>
      <c r="J795" s="59">
        <f t="shared" si="162"/>
        <v>0</v>
      </c>
      <c r="K795" s="60">
        <f t="shared" si="163"/>
        <v>0</v>
      </c>
      <c r="L795" s="92"/>
      <c r="M795" s="87"/>
      <c r="N795" s="87"/>
      <c r="O795" s="410"/>
      <c r="P795" s="87"/>
      <c r="Q795" s="87"/>
      <c r="R795" s="87"/>
      <c r="S795" s="87"/>
      <c r="T795" s="87"/>
      <c r="U795" s="87"/>
    </row>
    <row r="796" spans="1:21" s="62" customFormat="1" ht="24" customHeight="1">
      <c r="A796" s="450"/>
      <c r="B796" s="423" t="s">
        <v>159</v>
      </c>
      <c r="C796" s="423"/>
      <c r="D796" s="423"/>
      <c r="E796" s="425">
        <v>21.04</v>
      </c>
      <c r="F796" s="94" t="s">
        <v>156</v>
      </c>
      <c r="G796" s="113">
        <f t="shared" ref="G796:G803" si="165">VLOOKUP(B796,$N$43:$O$54,2,FALSE)</f>
        <v>24.97</v>
      </c>
      <c r="H796" s="59">
        <f t="shared" si="161"/>
        <v>525.37</v>
      </c>
      <c r="I796" s="114">
        <v>4.0999999999999996</v>
      </c>
      <c r="J796" s="59">
        <f t="shared" si="162"/>
        <v>86.26</v>
      </c>
      <c r="K796" s="60">
        <f t="shared" si="163"/>
        <v>611.63</v>
      </c>
      <c r="L796" s="92"/>
      <c r="M796" s="87"/>
      <c r="N796" s="87"/>
      <c r="O796" s="410"/>
      <c r="P796" s="87"/>
      <c r="Q796" s="87"/>
      <c r="R796" s="87"/>
      <c r="S796" s="87"/>
      <c r="T796" s="87"/>
      <c r="U796" s="87"/>
    </row>
    <row r="797" spans="1:21" s="62" customFormat="1" ht="24" customHeight="1">
      <c r="A797" s="450"/>
      <c r="B797" s="423" t="s">
        <v>160</v>
      </c>
      <c r="C797" s="423"/>
      <c r="D797" s="423"/>
      <c r="E797" s="425">
        <v>33005.57</v>
      </c>
      <c r="F797" s="94" t="s">
        <v>156</v>
      </c>
      <c r="G797" s="113">
        <f t="shared" si="165"/>
        <v>24.47</v>
      </c>
      <c r="H797" s="59">
        <f t="shared" si="161"/>
        <v>807646.3</v>
      </c>
      <c r="I797" s="114">
        <v>3.3</v>
      </c>
      <c r="J797" s="59">
        <f t="shared" si="162"/>
        <v>108918.38</v>
      </c>
      <c r="K797" s="60">
        <f t="shared" si="163"/>
        <v>916564.68</v>
      </c>
      <c r="L797" s="92"/>
      <c r="M797" s="87"/>
      <c r="N797" s="87"/>
      <c r="O797" s="410"/>
      <c r="P797" s="87"/>
      <c r="Q797" s="87"/>
      <c r="R797" s="87"/>
      <c r="S797" s="87"/>
      <c r="T797" s="87"/>
      <c r="U797" s="87"/>
    </row>
    <row r="798" spans="1:21" s="62" customFormat="1" ht="24" customHeight="1">
      <c r="A798" s="450"/>
      <c r="B798" s="423" t="s">
        <v>161</v>
      </c>
      <c r="C798" s="423"/>
      <c r="D798" s="423"/>
      <c r="E798" s="425">
        <v>23540.94</v>
      </c>
      <c r="F798" s="115" t="s">
        <v>156</v>
      </c>
      <c r="G798" s="113">
        <f t="shared" si="165"/>
        <v>24.27</v>
      </c>
      <c r="H798" s="59">
        <f t="shared" si="161"/>
        <v>571338.61</v>
      </c>
      <c r="I798" s="114">
        <v>3.3</v>
      </c>
      <c r="J798" s="59">
        <f t="shared" si="162"/>
        <v>77685.100000000006</v>
      </c>
      <c r="K798" s="60">
        <f t="shared" si="163"/>
        <v>649023.71</v>
      </c>
      <c r="L798" s="92"/>
      <c r="M798" s="87"/>
      <c r="N798" s="87"/>
      <c r="O798" s="410"/>
      <c r="P798" s="87"/>
      <c r="Q798" s="87"/>
      <c r="R798" s="87"/>
      <c r="S798" s="87"/>
      <c r="T798" s="87"/>
      <c r="U798" s="87"/>
    </row>
    <row r="799" spans="1:21" s="62" customFormat="1" ht="24" customHeight="1">
      <c r="A799" s="450"/>
      <c r="B799" s="423" t="s">
        <v>162</v>
      </c>
      <c r="C799" s="423"/>
      <c r="D799" s="423"/>
      <c r="E799" s="425"/>
      <c r="F799" s="94" t="s">
        <v>156</v>
      </c>
      <c r="G799" s="113">
        <f t="shared" si="165"/>
        <v>24.27</v>
      </c>
      <c r="H799" s="59">
        <f t="shared" si="161"/>
        <v>0</v>
      </c>
      <c r="I799" s="114">
        <v>2.9</v>
      </c>
      <c r="J799" s="59">
        <f t="shared" si="162"/>
        <v>0</v>
      </c>
      <c r="K799" s="60">
        <f t="shared" si="163"/>
        <v>0</v>
      </c>
      <c r="L799" s="92"/>
      <c r="M799" s="87"/>
      <c r="N799" s="87"/>
      <c r="O799" s="410"/>
      <c r="P799" s="87"/>
      <c r="Q799" s="87"/>
      <c r="R799" s="87"/>
      <c r="S799" s="87"/>
      <c r="T799" s="87"/>
      <c r="U799" s="87"/>
    </row>
    <row r="800" spans="1:21" s="62" customFormat="1" ht="24" customHeight="1">
      <c r="A800" s="450"/>
      <c r="B800" s="423" t="s">
        <v>163</v>
      </c>
      <c r="C800" s="423"/>
      <c r="D800" s="423"/>
      <c r="E800" s="425"/>
      <c r="F800" s="94" t="s">
        <v>156</v>
      </c>
      <c r="G800" s="113">
        <f t="shared" si="165"/>
        <v>24.27</v>
      </c>
      <c r="H800" s="59">
        <f t="shared" si="161"/>
        <v>0</v>
      </c>
      <c r="I800" s="114">
        <v>2.9</v>
      </c>
      <c r="J800" s="59">
        <f t="shared" si="162"/>
        <v>0</v>
      </c>
      <c r="K800" s="60">
        <f t="shared" si="163"/>
        <v>0</v>
      </c>
      <c r="L800" s="92"/>
      <c r="M800" s="87"/>
      <c r="N800" s="87"/>
      <c r="O800" s="410"/>
      <c r="P800" s="87"/>
      <c r="Q800" s="87"/>
      <c r="R800" s="87"/>
      <c r="S800" s="87"/>
      <c r="T800" s="87"/>
      <c r="U800" s="87"/>
    </row>
    <row r="801" spans="1:21" s="62" customFormat="1" ht="24" customHeight="1">
      <c r="A801" s="450"/>
      <c r="B801" s="423" t="s">
        <v>164</v>
      </c>
      <c r="C801" s="423"/>
      <c r="D801" s="423"/>
      <c r="E801" s="425"/>
      <c r="F801" s="94" t="s">
        <v>156</v>
      </c>
      <c r="G801" s="113">
        <f t="shared" si="165"/>
        <v>24.27</v>
      </c>
      <c r="H801" s="59">
        <f t="shared" si="161"/>
        <v>0</v>
      </c>
      <c r="I801" s="114">
        <v>2.9</v>
      </c>
      <c r="J801" s="59">
        <f t="shared" si="162"/>
        <v>0</v>
      </c>
      <c r="K801" s="60">
        <f t="shared" si="163"/>
        <v>0</v>
      </c>
      <c r="L801" s="92"/>
      <c r="M801" s="87"/>
      <c r="N801" s="87"/>
      <c r="O801" s="410"/>
      <c r="P801" s="87"/>
      <c r="Q801" s="87"/>
      <c r="R801" s="87"/>
      <c r="S801" s="87"/>
      <c r="T801" s="87"/>
      <c r="U801" s="87"/>
    </row>
    <row r="802" spans="1:21" s="62" customFormat="1" ht="24" customHeight="1">
      <c r="A802" s="450"/>
      <c r="B802" s="423" t="s">
        <v>165</v>
      </c>
      <c r="C802" s="423"/>
      <c r="D802" s="423"/>
      <c r="E802" s="425"/>
      <c r="F802" s="94" t="s">
        <v>156</v>
      </c>
      <c r="G802" s="113">
        <f t="shared" si="165"/>
        <v>23.8</v>
      </c>
      <c r="H802" s="59">
        <f t="shared" si="161"/>
        <v>0</v>
      </c>
      <c r="I802" s="114">
        <v>2.9</v>
      </c>
      <c r="J802" s="59">
        <f t="shared" si="162"/>
        <v>0</v>
      </c>
      <c r="K802" s="60">
        <f t="shared" si="163"/>
        <v>0</v>
      </c>
      <c r="L802" s="92"/>
      <c r="M802" s="87"/>
      <c r="N802" s="87"/>
      <c r="O802" s="410"/>
      <c r="P802" s="87"/>
      <c r="Q802" s="87"/>
      <c r="R802" s="87"/>
      <c r="S802" s="87"/>
      <c r="T802" s="87"/>
      <c r="U802" s="87"/>
    </row>
    <row r="803" spans="1:21" s="62" customFormat="1" ht="24" customHeight="1">
      <c r="A803" s="450"/>
      <c r="B803" s="423" t="s">
        <v>166</v>
      </c>
      <c r="C803" s="423"/>
      <c r="D803" s="423"/>
      <c r="E803" s="425">
        <f>(SUM(E795:E802)/1000)*30</f>
        <v>1697.0265000000002</v>
      </c>
      <c r="F803" s="94" t="s">
        <v>156</v>
      </c>
      <c r="G803" s="113">
        <f t="shared" si="165"/>
        <v>29.92</v>
      </c>
      <c r="H803" s="59">
        <f t="shared" si="161"/>
        <v>50775.03</v>
      </c>
      <c r="I803" s="114"/>
      <c r="J803" s="59">
        <f t="shared" si="162"/>
        <v>0</v>
      </c>
      <c r="K803" s="60">
        <f t="shared" si="163"/>
        <v>50775.03</v>
      </c>
      <c r="L803" s="92"/>
      <c r="M803" s="87"/>
      <c r="N803" s="87"/>
      <c r="O803" s="410"/>
      <c r="P803" s="87"/>
      <c r="Q803" s="87"/>
      <c r="R803" s="87"/>
      <c r="S803" s="87"/>
      <c r="T803" s="87"/>
      <c r="U803" s="87"/>
    </row>
    <row r="804" spans="1:21" s="62" customFormat="1" ht="24" customHeight="1">
      <c r="A804" s="450"/>
      <c r="B804" s="423" t="s">
        <v>171</v>
      </c>
      <c r="C804" s="423"/>
      <c r="D804" s="423"/>
      <c r="E804" s="425">
        <v>3840.94</v>
      </c>
      <c r="F804" s="94" t="s">
        <v>37</v>
      </c>
      <c r="G804" s="101">
        <v>340</v>
      </c>
      <c r="H804" s="59">
        <f t="shared" si="161"/>
        <v>1305919.6000000001</v>
      </c>
      <c r="I804" s="114"/>
      <c r="J804" s="59">
        <f t="shared" si="162"/>
        <v>0</v>
      </c>
      <c r="K804" s="60">
        <f t="shared" si="163"/>
        <v>1305919.6000000001</v>
      </c>
      <c r="L804" s="92"/>
      <c r="M804" s="87"/>
      <c r="N804" s="87"/>
      <c r="O804" s="410"/>
      <c r="P804" s="87"/>
      <c r="Q804" s="87"/>
      <c r="R804" s="87"/>
      <c r="S804" s="87"/>
      <c r="T804" s="87"/>
      <c r="U804" s="87"/>
    </row>
    <row r="805" spans="1:21" s="62" customFormat="1" ht="24" customHeight="1">
      <c r="A805" s="450"/>
      <c r="B805" s="426"/>
      <c r="C805" s="423"/>
      <c r="D805" s="423"/>
      <c r="E805" s="425"/>
      <c r="F805" s="94"/>
      <c r="G805" s="113"/>
      <c r="H805" s="59">
        <f t="shared" ref="H805" si="166">E805*G805</f>
        <v>0</v>
      </c>
      <c r="I805" s="114"/>
      <c r="J805" s="59">
        <f t="shared" ref="J805" si="167">E805*I805</f>
        <v>0</v>
      </c>
      <c r="K805" s="60">
        <f t="shared" si="163"/>
        <v>0</v>
      </c>
      <c r="L805" s="92"/>
      <c r="M805" s="87"/>
      <c r="N805" s="87"/>
      <c r="O805" s="410"/>
      <c r="P805" s="87"/>
      <c r="Q805" s="87"/>
      <c r="R805" s="87"/>
      <c r="S805" s="87"/>
      <c r="T805" s="87"/>
      <c r="U805" s="87"/>
    </row>
    <row r="806" spans="1:21" s="62" customFormat="1" ht="24" customHeight="1">
      <c r="A806" s="450"/>
      <c r="B806" s="423"/>
      <c r="C806" s="423"/>
      <c r="D806" s="423"/>
      <c r="E806" s="425"/>
      <c r="F806" s="94"/>
      <c r="G806" s="113"/>
      <c r="H806" s="59"/>
      <c r="I806" s="114"/>
      <c r="J806" s="59"/>
      <c r="K806" s="60"/>
      <c r="L806" s="92"/>
      <c r="M806" s="87"/>
      <c r="N806" s="87"/>
      <c r="O806" s="410"/>
      <c r="P806" s="87"/>
      <c r="Q806" s="87"/>
      <c r="R806" s="87"/>
      <c r="S806" s="87"/>
      <c r="T806" s="87"/>
      <c r="U806" s="87"/>
    </row>
    <row r="807" spans="1:21" s="62" customFormat="1" ht="24" customHeight="1">
      <c r="A807" s="450"/>
      <c r="B807" s="423"/>
      <c r="C807" s="423"/>
      <c r="D807" s="423"/>
      <c r="E807" s="425"/>
      <c r="F807" s="94"/>
      <c r="G807" s="113"/>
      <c r="H807" s="59"/>
      <c r="I807" s="114"/>
      <c r="J807" s="59"/>
      <c r="K807" s="60"/>
      <c r="L807" s="92"/>
      <c r="M807" s="87"/>
      <c r="N807" s="87"/>
      <c r="O807" s="410"/>
      <c r="P807" s="87"/>
      <c r="Q807" s="87"/>
      <c r="R807" s="87"/>
      <c r="S807" s="87"/>
      <c r="T807" s="87"/>
      <c r="U807" s="87"/>
    </row>
    <row r="808" spans="1:21" s="62" customFormat="1" ht="24" customHeight="1">
      <c r="A808" s="450"/>
      <c r="B808" s="423"/>
      <c r="C808" s="420"/>
      <c r="D808" s="421"/>
      <c r="E808" s="425"/>
      <c r="F808" s="119"/>
      <c r="G808" s="113"/>
      <c r="H808" s="59"/>
      <c r="I808" s="114"/>
      <c r="J808" s="59"/>
      <c r="K808" s="60"/>
      <c r="L808" s="92"/>
      <c r="M808" s="87"/>
      <c r="N808" s="87"/>
      <c r="O808" s="410"/>
      <c r="P808" s="87"/>
      <c r="Q808" s="87"/>
      <c r="R808" s="87"/>
      <c r="S808" s="87"/>
      <c r="T808" s="87"/>
      <c r="U808" s="87"/>
    </row>
    <row r="809" spans="1:21" s="62" customFormat="1" ht="24" customHeight="1">
      <c r="A809" s="450"/>
      <c r="B809" s="423"/>
      <c r="C809" s="423"/>
      <c r="D809" s="423"/>
      <c r="E809" s="425"/>
      <c r="F809" s="94"/>
      <c r="G809" s="113"/>
      <c r="H809" s="59"/>
      <c r="I809" s="114"/>
      <c r="J809" s="59"/>
      <c r="K809" s="60"/>
      <c r="L809" s="92"/>
      <c r="M809" s="87"/>
      <c r="N809" s="87"/>
      <c r="O809" s="410"/>
      <c r="P809" s="87"/>
      <c r="Q809" s="87"/>
      <c r="R809" s="87"/>
      <c r="S809" s="87"/>
      <c r="T809" s="87"/>
      <c r="U809" s="87"/>
    </row>
    <row r="810" spans="1:21" s="62" customFormat="1" ht="24" customHeight="1">
      <c r="A810" s="450"/>
      <c r="B810" s="423"/>
      <c r="C810" s="423"/>
      <c r="D810" s="423"/>
      <c r="E810" s="425"/>
      <c r="F810" s="94"/>
      <c r="G810" s="113"/>
      <c r="H810" s="59"/>
      <c r="I810" s="114"/>
      <c r="J810" s="59"/>
      <c r="K810" s="60"/>
      <c r="L810" s="92"/>
      <c r="M810" s="87"/>
      <c r="N810" s="87"/>
      <c r="O810" s="410"/>
      <c r="P810" s="87"/>
      <c r="Q810" s="87"/>
      <c r="R810" s="87"/>
      <c r="S810" s="87"/>
      <c r="T810" s="87"/>
      <c r="U810" s="87"/>
    </row>
    <row r="811" spans="1:21" s="62" customFormat="1" ht="24" customHeight="1">
      <c r="A811" s="450" t="s">
        <v>202</v>
      </c>
      <c r="B811" s="452" t="s">
        <v>203</v>
      </c>
      <c r="C811" s="423"/>
      <c r="D811" s="423"/>
      <c r="E811" s="425"/>
      <c r="F811" s="94"/>
      <c r="G811" s="113"/>
      <c r="H811" s="59"/>
      <c r="I811" s="114"/>
      <c r="J811" s="59"/>
      <c r="K811" s="60"/>
      <c r="L811" s="92"/>
      <c r="M811" s="87"/>
      <c r="N811" s="87"/>
      <c r="O811" s="410"/>
      <c r="P811" s="87"/>
      <c r="Q811" s="87"/>
      <c r="R811" s="87"/>
      <c r="S811" s="87"/>
      <c r="T811" s="87"/>
      <c r="U811" s="87"/>
    </row>
    <row r="812" spans="1:21" s="62" customFormat="1" ht="24" customHeight="1">
      <c r="A812" s="450"/>
      <c r="B812" s="423" t="s">
        <v>150</v>
      </c>
      <c r="C812" s="424"/>
      <c r="D812" s="424"/>
      <c r="E812" s="425">
        <v>636.79</v>
      </c>
      <c r="F812" s="94" t="s">
        <v>151</v>
      </c>
      <c r="G812" s="113">
        <v>2516</v>
      </c>
      <c r="H812" s="59">
        <f t="shared" ref="H812:H827" si="168">ROUND(E812*G812,2)</f>
        <v>1602163.64</v>
      </c>
      <c r="I812" s="114">
        <v>485</v>
      </c>
      <c r="J812" s="59">
        <f t="shared" ref="J812:J827" si="169">ROUND(E812*I812,2)</f>
        <v>308843.15000000002</v>
      </c>
      <c r="K812" s="60">
        <f t="shared" ref="K812:K827" si="170">H812+J812</f>
        <v>1911006.79</v>
      </c>
      <c r="L812" s="92"/>
      <c r="M812" s="87"/>
      <c r="N812" s="87"/>
      <c r="O812" s="410"/>
      <c r="P812" s="87"/>
      <c r="Q812" s="87"/>
      <c r="R812" s="87"/>
      <c r="S812" s="87"/>
      <c r="T812" s="87"/>
      <c r="U812" s="87"/>
    </row>
    <row r="813" spans="1:21" s="62" customFormat="1" ht="24" customHeight="1">
      <c r="A813" s="450"/>
      <c r="B813" s="426" t="s">
        <v>152</v>
      </c>
      <c r="C813" s="423"/>
      <c r="D813" s="423"/>
      <c r="E813" s="425"/>
      <c r="F813" s="94"/>
      <c r="G813" s="113"/>
      <c r="H813" s="59">
        <f t="shared" si="168"/>
        <v>0</v>
      </c>
      <c r="I813" s="114"/>
      <c r="J813" s="59">
        <f t="shared" si="169"/>
        <v>0</v>
      </c>
      <c r="K813" s="60">
        <f t="shared" si="170"/>
        <v>0</v>
      </c>
      <c r="L813" s="92"/>
      <c r="M813" s="87"/>
      <c r="N813" s="87"/>
      <c r="O813" s="410"/>
      <c r="P813" s="87"/>
      <c r="Q813" s="87"/>
      <c r="R813" s="87"/>
      <c r="S813" s="87"/>
      <c r="T813" s="87"/>
      <c r="U813" s="87"/>
    </row>
    <row r="814" spans="1:21" s="62" customFormat="1" ht="24" customHeight="1">
      <c r="A814" s="450"/>
      <c r="B814" s="426"/>
      <c r="C814" s="423" t="s">
        <v>153</v>
      </c>
      <c r="D814" s="423"/>
      <c r="E814" s="425">
        <f>E815/2</f>
        <v>660.01499999999999</v>
      </c>
      <c r="F814" s="94" t="s">
        <v>37</v>
      </c>
      <c r="G814" s="113">
        <v>661.62</v>
      </c>
      <c r="H814" s="59">
        <f t="shared" si="168"/>
        <v>436679.12</v>
      </c>
      <c r="I814" s="114"/>
      <c r="J814" s="59">
        <f t="shared" si="169"/>
        <v>0</v>
      </c>
      <c r="K814" s="60">
        <f t="shared" si="170"/>
        <v>436679.12</v>
      </c>
      <c r="L814" s="92"/>
      <c r="M814" s="87"/>
      <c r="N814" s="87"/>
      <c r="O814" s="410"/>
      <c r="P814" s="87"/>
      <c r="Q814" s="87"/>
      <c r="R814" s="87"/>
      <c r="S814" s="87"/>
      <c r="T814" s="87"/>
      <c r="U814" s="87"/>
    </row>
    <row r="815" spans="1:21" s="62" customFormat="1" ht="24" customHeight="1">
      <c r="A815" s="450"/>
      <c r="B815" s="426"/>
      <c r="C815" s="423" t="s">
        <v>154</v>
      </c>
      <c r="D815" s="423"/>
      <c r="E815" s="425">
        <v>1320.03</v>
      </c>
      <c r="F815" s="94" t="s">
        <v>37</v>
      </c>
      <c r="G815" s="113"/>
      <c r="H815" s="59">
        <f t="shared" si="168"/>
        <v>0</v>
      </c>
      <c r="I815" s="114">
        <v>154</v>
      </c>
      <c r="J815" s="59">
        <f t="shared" si="169"/>
        <v>203284.62</v>
      </c>
      <c r="K815" s="60">
        <f t="shared" si="170"/>
        <v>203284.62</v>
      </c>
      <c r="L815" s="92"/>
      <c r="M815" s="87"/>
      <c r="N815" s="87"/>
      <c r="O815" s="410"/>
      <c r="P815" s="87"/>
      <c r="Q815" s="87"/>
      <c r="R815" s="87"/>
      <c r="S815" s="87"/>
      <c r="T815" s="87"/>
      <c r="U815" s="87"/>
    </row>
    <row r="816" spans="1:21" s="62" customFormat="1" ht="24" customHeight="1">
      <c r="A816" s="450"/>
      <c r="B816" s="423" t="s">
        <v>155</v>
      </c>
      <c r="C816" s="423"/>
      <c r="D816" s="423"/>
      <c r="E816" s="425">
        <f>(E815*0.25)</f>
        <v>330.00749999999999</v>
      </c>
      <c r="F816" s="94" t="s">
        <v>156</v>
      </c>
      <c r="G816" s="113">
        <f t="shared" ref="G816" si="171">VLOOKUP(B816,$N$43:$O$53,2,FALSE)</f>
        <v>29.94</v>
      </c>
      <c r="H816" s="59">
        <f t="shared" si="168"/>
        <v>9880.42</v>
      </c>
      <c r="I816" s="114"/>
      <c r="J816" s="59">
        <f t="shared" si="169"/>
        <v>0</v>
      </c>
      <c r="K816" s="60">
        <f t="shared" si="170"/>
        <v>9880.42</v>
      </c>
      <c r="L816" s="92"/>
      <c r="M816" s="87"/>
      <c r="N816" s="87"/>
      <c r="O816" s="410"/>
      <c r="P816" s="87"/>
      <c r="Q816" s="87"/>
      <c r="R816" s="87"/>
      <c r="S816" s="87"/>
      <c r="T816" s="87"/>
      <c r="U816" s="87"/>
    </row>
    <row r="817" spans="1:21" s="62" customFormat="1" ht="24" customHeight="1">
      <c r="A817" s="450"/>
      <c r="B817" s="423" t="s">
        <v>157</v>
      </c>
      <c r="C817" s="423"/>
      <c r="D817" s="423"/>
      <c r="E817" s="425"/>
      <c r="F817" s="115"/>
      <c r="G817" s="101"/>
      <c r="H817" s="59">
        <f t="shared" si="168"/>
        <v>0</v>
      </c>
      <c r="I817" s="114"/>
      <c r="J817" s="59">
        <f t="shared" si="169"/>
        <v>0</v>
      </c>
      <c r="K817" s="60">
        <f t="shared" si="170"/>
        <v>0</v>
      </c>
      <c r="L817" s="92"/>
      <c r="M817" s="87"/>
      <c r="N817" s="87"/>
      <c r="O817" s="410"/>
      <c r="P817" s="87"/>
      <c r="Q817" s="87"/>
      <c r="R817" s="87"/>
      <c r="S817" s="87"/>
      <c r="T817" s="87"/>
      <c r="U817" s="87"/>
    </row>
    <row r="818" spans="1:21" s="62" customFormat="1" ht="24" customHeight="1">
      <c r="A818" s="450"/>
      <c r="B818" s="423" t="s">
        <v>158</v>
      </c>
      <c r="C818" s="423"/>
      <c r="D818" s="423"/>
      <c r="E818" s="425"/>
      <c r="F818" s="94" t="s">
        <v>156</v>
      </c>
      <c r="G818" s="113">
        <f>VLOOKUP(B818,$N$43:$O$54,2,FALSE)</f>
        <v>25.73</v>
      </c>
      <c r="H818" s="59">
        <f t="shared" si="168"/>
        <v>0</v>
      </c>
      <c r="I818" s="103">
        <v>4.0999999999999996</v>
      </c>
      <c r="J818" s="59">
        <f t="shared" si="169"/>
        <v>0</v>
      </c>
      <c r="K818" s="60">
        <f t="shared" si="170"/>
        <v>0</v>
      </c>
      <c r="L818" s="92"/>
      <c r="M818" s="87"/>
      <c r="N818" s="87"/>
      <c r="O818" s="410"/>
      <c r="P818" s="87"/>
      <c r="Q818" s="87"/>
      <c r="R818" s="87"/>
      <c r="S818" s="87"/>
      <c r="T818" s="87"/>
      <c r="U818" s="87"/>
    </row>
    <row r="819" spans="1:21" s="62" customFormat="1" ht="24" customHeight="1">
      <c r="A819" s="450"/>
      <c r="B819" s="423" t="s">
        <v>159</v>
      </c>
      <c r="C819" s="423"/>
      <c r="D819" s="423"/>
      <c r="E819" s="425">
        <v>564.1</v>
      </c>
      <c r="F819" s="94" t="s">
        <v>156</v>
      </c>
      <c r="G819" s="113">
        <f t="shared" ref="G819:G827" si="172">VLOOKUP(B819,$N$43:$O$54,2,FALSE)</f>
        <v>24.97</v>
      </c>
      <c r="H819" s="59">
        <f t="shared" si="168"/>
        <v>14085.58</v>
      </c>
      <c r="I819" s="114">
        <v>4.0999999999999996</v>
      </c>
      <c r="J819" s="59">
        <f t="shared" si="169"/>
        <v>2312.81</v>
      </c>
      <c r="K819" s="60">
        <f t="shared" si="170"/>
        <v>16398.39</v>
      </c>
      <c r="L819" s="92"/>
      <c r="M819" s="87"/>
      <c r="N819" s="87"/>
      <c r="O819" s="410"/>
      <c r="P819" s="87"/>
      <c r="Q819" s="87"/>
      <c r="R819" s="87"/>
      <c r="S819" s="87"/>
      <c r="T819" s="87"/>
      <c r="U819" s="87"/>
    </row>
    <row r="820" spans="1:21" s="62" customFormat="1" ht="24" customHeight="1">
      <c r="A820" s="450"/>
      <c r="B820" s="423" t="s">
        <v>328</v>
      </c>
      <c r="C820" s="423"/>
      <c r="D820" s="423"/>
      <c r="E820" s="425">
        <v>4252.1099999999997</v>
      </c>
      <c r="F820" s="94" t="s">
        <v>156</v>
      </c>
      <c r="G820" s="113">
        <f t="shared" si="172"/>
        <v>23.5</v>
      </c>
      <c r="H820" s="59">
        <f t="shared" ref="H820" si="173">ROUND(E820*G820,2)</f>
        <v>99924.59</v>
      </c>
      <c r="I820" s="114">
        <v>3.3</v>
      </c>
      <c r="J820" s="59">
        <f t="shared" ref="J820" si="174">ROUND(E820*I820,2)</f>
        <v>14031.96</v>
      </c>
      <c r="K820" s="60">
        <f t="shared" ref="K820" si="175">H820+J820</f>
        <v>113956.54999999999</v>
      </c>
      <c r="L820" s="92"/>
      <c r="M820" s="87"/>
      <c r="N820" s="87"/>
      <c r="O820" s="410"/>
      <c r="P820" s="87"/>
      <c r="Q820" s="87"/>
      <c r="R820" s="87"/>
      <c r="S820" s="87"/>
      <c r="T820" s="87"/>
      <c r="U820" s="87"/>
    </row>
    <row r="821" spans="1:21" s="62" customFormat="1" ht="24" customHeight="1">
      <c r="A821" s="450"/>
      <c r="B821" s="423" t="s">
        <v>160</v>
      </c>
      <c r="C821" s="423"/>
      <c r="D821" s="423"/>
      <c r="E821" s="425">
        <v>44825.1</v>
      </c>
      <c r="F821" s="94" t="s">
        <v>156</v>
      </c>
      <c r="G821" s="113">
        <f t="shared" si="172"/>
        <v>24.47</v>
      </c>
      <c r="H821" s="59">
        <f t="shared" si="168"/>
        <v>1096870.2</v>
      </c>
      <c r="I821" s="114">
        <v>3.3</v>
      </c>
      <c r="J821" s="59">
        <f t="shared" si="169"/>
        <v>147922.82999999999</v>
      </c>
      <c r="K821" s="60">
        <f t="shared" si="170"/>
        <v>1244793.03</v>
      </c>
      <c r="L821" s="92"/>
      <c r="M821" s="87"/>
      <c r="N821" s="87"/>
      <c r="O821" s="410"/>
      <c r="P821" s="87"/>
      <c r="Q821" s="87"/>
      <c r="R821" s="87"/>
      <c r="S821" s="87"/>
      <c r="T821" s="87"/>
      <c r="U821" s="87"/>
    </row>
    <row r="822" spans="1:21" s="62" customFormat="1" ht="24" customHeight="1">
      <c r="A822" s="450"/>
      <c r="B822" s="423" t="s">
        <v>161</v>
      </c>
      <c r="C822" s="423"/>
      <c r="D822" s="423"/>
      <c r="E822" s="425">
        <v>10259.73</v>
      </c>
      <c r="F822" s="115" t="s">
        <v>156</v>
      </c>
      <c r="G822" s="113">
        <f t="shared" si="172"/>
        <v>24.27</v>
      </c>
      <c r="H822" s="59">
        <f t="shared" si="168"/>
        <v>249003.65</v>
      </c>
      <c r="I822" s="114">
        <v>3.3</v>
      </c>
      <c r="J822" s="59">
        <f t="shared" si="169"/>
        <v>33857.11</v>
      </c>
      <c r="K822" s="60">
        <f t="shared" si="170"/>
        <v>282860.76</v>
      </c>
      <c r="L822" s="92"/>
      <c r="M822" s="87"/>
      <c r="N822" s="87"/>
      <c r="O822" s="410"/>
      <c r="P822" s="87"/>
      <c r="Q822" s="87"/>
      <c r="R822" s="87"/>
      <c r="S822" s="87"/>
      <c r="T822" s="87"/>
      <c r="U822" s="87"/>
    </row>
    <row r="823" spans="1:21" s="62" customFormat="1" ht="24" customHeight="1">
      <c r="A823" s="450"/>
      <c r="B823" s="423" t="s">
        <v>162</v>
      </c>
      <c r="C823" s="423"/>
      <c r="D823" s="423"/>
      <c r="E823" s="425">
        <v>1799.37</v>
      </c>
      <c r="F823" s="94" t="s">
        <v>156</v>
      </c>
      <c r="G823" s="113">
        <f t="shared" si="172"/>
        <v>24.27</v>
      </c>
      <c r="H823" s="59">
        <f t="shared" si="168"/>
        <v>43670.71</v>
      </c>
      <c r="I823" s="114">
        <v>2.9</v>
      </c>
      <c r="J823" s="59">
        <f t="shared" si="169"/>
        <v>5218.17</v>
      </c>
      <c r="K823" s="60">
        <f t="shared" si="170"/>
        <v>48888.88</v>
      </c>
      <c r="L823" s="92"/>
      <c r="M823" s="87"/>
      <c r="N823" s="87"/>
      <c r="O823" s="410"/>
      <c r="P823" s="87"/>
      <c r="Q823" s="87"/>
      <c r="R823" s="87"/>
      <c r="S823" s="87"/>
      <c r="T823" s="87"/>
      <c r="U823" s="87"/>
    </row>
    <row r="824" spans="1:21" s="62" customFormat="1" ht="24" customHeight="1">
      <c r="A824" s="450"/>
      <c r="B824" s="423" t="s">
        <v>163</v>
      </c>
      <c r="C824" s="423"/>
      <c r="D824" s="423"/>
      <c r="E824" s="425">
        <v>25911.37</v>
      </c>
      <c r="F824" s="94" t="s">
        <v>156</v>
      </c>
      <c r="G824" s="113">
        <f t="shared" si="172"/>
        <v>24.27</v>
      </c>
      <c r="H824" s="59">
        <f t="shared" si="168"/>
        <v>628868.94999999995</v>
      </c>
      <c r="I824" s="114">
        <v>2.9</v>
      </c>
      <c r="J824" s="59">
        <f t="shared" si="169"/>
        <v>75142.97</v>
      </c>
      <c r="K824" s="60">
        <f t="shared" si="170"/>
        <v>704011.91999999993</v>
      </c>
      <c r="L824" s="92"/>
      <c r="M824" s="87"/>
      <c r="N824" s="87"/>
      <c r="O824" s="410"/>
      <c r="P824" s="87"/>
      <c r="Q824" s="87"/>
      <c r="R824" s="87"/>
      <c r="S824" s="87"/>
      <c r="T824" s="87"/>
      <c r="U824" s="87"/>
    </row>
    <row r="825" spans="1:21" s="62" customFormat="1" ht="24" customHeight="1">
      <c r="A825" s="450"/>
      <c r="B825" s="423" t="s">
        <v>164</v>
      </c>
      <c r="C825" s="423"/>
      <c r="D825" s="423"/>
      <c r="E825" s="425">
        <v>44840.05</v>
      </c>
      <c r="F825" s="94" t="s">
        <v>156</v>
      </c>
      <c r="G825" s="113">
        <f t="shared" si="172"/>
        <v>24.27</v>
      </c>
      <c r="H825" s="59">
        <f t="shared" si="168"/>
        <v>1088268.01</v>
      </c>
      <c r="I825" s="114">
        <v>2.9</v>
      </c>
      <c r="J825" s="59">
        <f t="shared" si="169"/>
        <v>130036.15</v>
      </c>
      <c r="K825" s="60">
        <f t="shared" si="170"/>
        <v>1218304.1599999999</v>
      </c>
      <c r="L825" s="92"/>
      <c r="M825" s="87"/>
      <c r="N825" s="87"/>
      <c r="O825" s="410"/>
      <c r="P825" s="87"/>
      <c r="Q825" s="87"/>
      <c r="R825" s="87"/>
      <c r="S825" s="87"/>
      <c r="T825" s="87"/>
      <c r="U825" s="87"/>
    </row>
    <row r="826" spans="1:21" s="62" customFormat="1" ht="24" customHeight="1">
      <c r="A826" s="450"/>
      <c r="B826" s="423" t="s">
        <v>165</v>
      </c>
      <c r="C826" s="423"/>
      <c r="D826" s="423"/>
      <c r="E826" s="425">
        <v>0</v>
      </c>
      <c r="F826" s="94" t="s">
        <v>156</v>
      </c>
      <c r="G826" s="113">
        <f t="shared" si="172"/>
        <v>23.8</v>
      </c>
      <c r="H826" s="59">
        <f t="shared" si="168"/>
        <v>0</v>
      </c>
      <c r="I826" s="114">
        <v>2.9</v>
      </c>
      <c r="J826" s="59">
        <f t="shared" si="169"/>
        <v>0</v>
      </c>
      <c r="K826" s="60">
        <f t="shared" si="170"/>
        <v>0</v>
      </c>
      <c r="L826" s="92"/>
      <c r="M826" s="87"/>
      <c r="N826" s="87"/>
      <c r="O826" s="410"/>
      <c r="P826" s="87"/>
      <c r="Q826" s="87"/>
      <c r="R826" s="87"/>
      <c r="S826" s="87"/>
      <c r="T826" s="87"/>
      <c r="U826" s="87"/>
    </row>
    <row r="827" spans="1:21" s="62" customFormat="1" ht="24" customHeight="1">
      <c r="A827" s="450"/>
      <c r="B827" s="423" t="s">
        <v>166</v>
      </c>
      <c r="C827" s="423"/>
      <c r="D827" s="423"/>
      <c r="E827" s="425">
        <f>(SUM(E818:E826)/1000)*30</f>
        <v>3973.554900000001</v>
      </c>
      <c r="F827" s="94" t="s">
        <v>156</v>
      </c>
      <c r="G827" s="113">
        <f t="shared" si="172"/>
        <v>29.92</v>
      </c>
      <c r="H827" s="59">
        <f t="shared" si="168"/>
        <v>118888.76</v>
      </c>
      <c r="I827" s="114"/>
      <c r="J827" s="59">
        <f t="shared" si="169"/>
        <v>0</v>
      </c>
      <c r="K827" s="60">
        <f t="shared" si="170"/>
        <v>118888.76</v>
      </c>
      <c r="L827" s="92"/>
      <c r="M827" s="87"/>
      <c r="N827" s="87"/>
      <c r="O827" s="410"/>
      <c r="P827" s="87"/>
      <c r="Q827" s="87"/>
      <c r="R827" s="87"/>
      <c r="S827" s="87"/>
      <c r="T827" s="87"/>
      <c r="U827" s="87"/>
    </row>
    <row r="828" spans="1:21" s="62" customFormat="1" ht="24" customHeight="1">
      <c r="A828" s="450"/>
      <c r="B828" s="423" t="s">
        <v>167</v>
      </c>
      <c r="C828" s="423"/>
      <c r="D828" s="423"/>
      <c r="E828" s="425"/>
      <c r="F828" s="94"/>
      <c r="G828" s="113"/>
      <c r="H828" s="59"/>
      <c r="I828" s="114"/>
      <c r="J828" s="59"/>
      <c r="K828" s="60"/>
      <c r="L828" s="92"/>
      <c r="M828" s="87"/>
      <c r="N828" s="87"/>
      <c r="O828" s="410"/>
      <c r="P828" s="87"/>
      <c r="Q828" s="87"/>
      <c r="R828" s="87"/>
      <c r="S828" s="87"/>
      <c r="T828" s="87"/>
      <c r="U828" s="87"/>
    </row>
    <row r="829" spans="1:21" s="62" customFormat="1" ht="24" customHeight="1">
      <c r="A829" s="450"/>
      <c r="B829" s="423"/>
      <c r="C829" s="423"/>
      <c r="D829" s="423"/>
      <c r="E829" s="425"/>
      <c r="F829" s="94"/>
      <c r="G829" s="113"/>
      <c r="H829" s="59"/>
      <c r="I829" s="114"/>
      <c r="J829" s="59"/>
      <c r="K829" s="60"/>
      <c r="L829" s="92"/>
      <c r="M829" s="87"/>
      <c r="N829" s="87"/>
      <c r="O829" s="410"/>
      <c r="P829" s="87"/>
      <c r="Q829" s="87"/>
      <c r="R829" s="87"/>
      <c r="S829" s="87"/>
      <c r="T829" s="87"/>
      <c r="U829" s="87"/>
    </row>
    <row r="830" spans="1:21" s="62" customFormat="1" ht="24" customHeight="1">
      <c r="A830" s="450"/>
      <c r="B830" s="423"/>
      <c r="C830" s="423"/>
      <c r="D830" s="423"/>
      <c r="E830" s="425"/>
      <c r="F830" s="94"/>
      <c r="G830" s="113"/>
      <c r="H830" s="59"/>
      <c r="I830" s="114"/>
      <c r="J830" s="59"/>
      <c r="K830" s="60"/>
      <c r="L830" s="92"/>
      <c r="M830" s="87"/>
      <c r="N830" s="87"/>
      <c r="O830" s="410"/>
      <c r="P830" s="87"/>
      <c r="Q830" s="87"/>
      <c r="R830" s="87"/>
      <c r="S830" s="87"/>
      <c r="T830" s="87"/>
      <c r="U830" s="87"/>
    </row>
    <row r="831" spans="1:21" s="62" customFormat="1" ht="24" customHeight="1">
      <c r="A831" s="450"/>
      <c r="B831" s="423"/>
      <c r="C831" s="423"/>
      <c r="D831" s="423"/>
      <c r="E831" s="425"/>
      <c r="F831" s="94"/>
      <c r="G831" s="113"/>
      <c r="H831" s="59"/>
      <c r="I831" s="114"/>
      <c r="J831" s="59"/>
      <c r="K831" s="60"/>
      <c r="L831" s="92"/>
      <c r="M831" s="87"/>
      <c r="N831" s="87"/>
      <c r="O831" s="410"/>
      <c r="P831" s="87"/>
      <c r="Q831" s="87"/>
      <c r="R831" s="87"/>
      <c r="S831" s="87"/>
      <c r="T831" s="87"/>
      <c r="U831" s="87"/>
    </row>
    <row r="832" spans="1:21" s="62" customFormat="1" ht="24" customHeight="1">
      <c r="A832" s="450"/>
      <c r="B832" s="423"/>
      <c r="C832" s="423"/>
      <c r="D832" s="423"/>
      <c r="E832" s="425"/>
      <c r="F832" s="94"/>
      <c r="G832" s="113"/>
      <c r="H832" s="59"/>
      <c r="I832" s="114"/>
      <c r="J832" s="59"/>
      <c r="K832" s="60"/>
      <c r="L832" s="92"/>
      <c r="M832" s="87"/>
      <c r="N832" s="87"/>
      <c r="O832" s="410"/>
      <c r="P832" s="87"/>
      <c r="Q832" s="87"/>
      <c r="R832" s="87"/>
      <c r="S832" s="87"/>
      <c r="T832" s="87"/>
      <c r="U832" s="87"/>
    </row>
    <row r="833" spans="1:21" s="62" customFormat="1" ht="24" customHeight="1">
      <c r="A833" s="450"/>
      <c r="B833" s="423"/>
      <c r="C833" s="423"/>
      <c r="D833" s="423"/>
      <c r="E833" s="425"/>
      <c r="F833" s="94"/>
      <c r="G833" s="113"/>
      <c r="H833" s="59"/>
      <c r="I833" s="114"/>
      <c r="J833" s="59"/>
      <c r="K833" s="60"/>
      <c r="L833" s="92"/>
      <c r="M833" s="87"/>
      <c r="N833" s="87"/>
      <c r="O833" s="410"/>
      <c r="P833" s="87"/>
      <c r="Q833" s="87"/>
      <c r="R833" s="87"/>
      <c r="S833" s="87"/>
      <c r="T833" s="87"/>
      <c r="U833" s="87"/>
    </row>
    <row r="834" spans="1:21" s="62" customFormat="1" ht="24" customHeight="1">
      <c r="A834" s="450"/>
      <c r="B834" s="423"/>
      <c r="C834" s="423"/>
      <c r="D834" s="423"/>
      <c r="E834" s="425"/>
      <c r="F834" s="94"/>
      <c r="G834" s="113"/>
      <c r="H834" s="59"/>
      <c r="I834" s="114"/>
      <c r="J834" s="59"/>
      <c r="K834" s="60"/>
      <c r="L834" s="92"/>
      <c r="M834" s="87"/>
      <c r="N834" s="87"/>
      <c r="O834" s="410"/>
      <c r="P834" s="87"/>
      <c r="Q834" s="87"/>
      <c r="R834" s="87"/>
      <c r="S834" s="87"/>
      <c r="T834" s="87"/>
      <c r="U834" s="87"/>
    </row>
    <row r="835" spans="1:21" s="62" customFormat="1" ht="24" customHeight="1">
      <c r="A835" s="450"/>
      <c r="B835" s="423"/>
      <c r="C835" s="423"/>
      <c r="D835" s="423"/>
      <c r="E835" s="425"/>
      <c r="F835" s="94"/>
      <c r="G835" s="113"/>
      <c r="H835" s="59"/>
      <c r="I835" s="114"/>
      <c r="J835" s="59"/>
      <c r="K835" s="60"/>
      <c r="L835" s="92"/>
      <c r="M835" s="87"/>
      <c r="N835" s="87"/>
      <c r="O835" s="410"/>
      <c r="P835" s="87"/>
      <c r="Q835" s="87"/>
      <c r="R835" s="87"/>
      <c r="S835" s="87"/>
      <c r="T835" s="87"/>
      <c r="U835" s="87"/>
    </row>
    <row r="836" spans="1:21" s="62" customFormat="1" ht="24" customHeight="1">
      <c r="A836" s="450" t="s">
        <v>204</v>
      </c>
      <c r="B836" s="452" t="s">
        <v>205</v>
      </c>
      <c r="C836" s="423"/>
      <c r="D836" s="423"/>
      <c r="E836" s="425"/>
      <c r="F836" s="94"/>
      <c r="G836" s="113"/>
      <c r="H836" s="59"/>
      <c r="I836" s="114"/>
      <c r="J836" s="59"/>
      <c r="K836" s="60"/>
      <c r="L836" s="92"/>
      <c r="M836" s="87"/>
      <c r="N836" s="87"/>
      <c r="O836" s="410"/>
      <c r="P836" s="87"/>
      <c r="Q836" s="87"/>
      <c r="R836" s="87"/>
      <c r="S836" s="87"/>
      <c r="T836" s="87"/>
      <c r="U836" s="87"/>
    </row>
    <row r="837" spans="1:21" s="62" customFormat="1" ht="24" customHeight="1">
      <c r="A837" s="450"/>
      <c r="B837" s="423" t="s">
        <v>150</v>
      </c>
      <c r="C837" s="424"/>
      <c r="D837" s="424"/>
      <c r="E837" s="425">
        <v>212.33</v>
      </c>
      <c r="F837" s="94" t="s">
        <v>151</v>
      </c>
      <c r="G837" s="113">
        <v>2516</v>
      </c>
      <c r="H837" s="59">
        <f t="shared" ref="H837:H851" si="176">ROUND(E837*G837,2)</f>
        <v>534222.28</v>
      </c>
      <c r="I837" s="114">
        <v>485</v>
      </c>
      <c r="J837" s="59">
        <f t="shared" ref="J837:J851" si="177">ROUND(E837*I837,2)</f>
        <v>102980.05</v>
      </c>
      <c r="K837" s="60">
        <f t="shared" ref="K837:K851" si="178">H837+J837</f>
        <v>637202.33000000007</v>
      </c>
      <c r="L837" s="92"/>
      <c r="M837" s="87"/>
      <c r="N837" s="87"/>
      <c r="O837" s="410"/>
      <c r="P837" s="87"/>
      <c r="Q837" s="87"/>
      <c r="R837" s="87"/>
      <c r="S837" s="87"/>
      <c r="T837" s="87"/>
      <c r="U837" s="87"/>
    </row>
    <row r="838" spans="1:21" s="62" customFormat="1" ht="24" customHeight="1">
      <c r="A838" s="450"/>
      <c r="B838" s="426" t="s">
        <v>152</v>
      </c>
      <c r="C838" s="423"/>
      <c r="D838" s="423"/>
      <c r="E838" s="425"/>
      <c r="F838" s="94"/>
      <c r="G838" s="113"/>
      <c r="H838" s="59">
        <f t="shared" si="176"/>
        <v>0</v>
      </c>
      <c r="I838" s="114"/>
      <c r="J838" s="59">
        <f t="shared" si="177"/>
        <v>0</v>
      </c>
      <c r="K838" s="60">
        <f t="shared" si="178"/>
        <v>0</v>
      </c>
      <c r="L838" s="92"/>
      <c r="M838" s="87"/>
      <c r="N838" s="87"/>
      <c r="O838" s="410"/>
      <c r="P838" s="87"/>
      <c r="Q838" s="87"/>
      <c r="R838" s="87"/>
      <c r="S838" s="87"/>
      <c r="T838" s="87"/>
      <c r="U838" s="87"/>
    </row>
    <row r="839" spans="1:21" s="62" customFormat="1" ht="24" customHeight="1">
      <c r="A839" s="450"/>
      <c r="B839" s="426"/>
      <c r="C839" s="423" t="s">
        <v>153</v>
      </c>
      <c r="D839" s="423"/>
      <c r="E839" s="425">
        <f>E840/2</f>
        <v>415.7</v>
      </c>
      <c r="F839" s="94" t="s">
        <v>37</v>
      </c>
      <c r="G839" s="113">
        <v>661.62</v>
      </c>
      <c r="H839" s="59">
        <f t="shared" si="176"/>
        <v>275035.43</v>
      </c>
      <c r="I839" s="114"/>
      <c r="J839" s="59">
        <f t="shared" si="177"/>
        <v>0</v>
      </c>
      <c r="K839" s="60">
        <f t="shared" si="178"/>
        <v>275035.43</v>
      </c>
      <c r="L839" s="92"/>
      <c r="M839" s="87"/>
      <c r="N839" s="87"/>
      <c r="O839" s="410"/>
      <c r="P839" s="87"/>
      <c r="Q839" s="87"/>
      <c r="R839" s="87"/>
      <c r="S839" s="87"/>
      <c r="T839" s="87"/>
      <c r="U839" s="87"/>
    </row>
    <row r="840" spans="1:21" s="62" customFormat="1" ht="24" customHeight="1">
      <c r="A840" s="450"/>
      <c r="B840" s="426"/>
      <c r="C840" s="423" t="s">
        <v>154</v>
      </c>
      <c r="D840" s="423"/>
      <c r="E840" s="425">
        <v>831.4</v>
      </c>
      <c r="F840" s="94" t="s">
        <v>37</v>
      </c>
      <c r="G840" s="113"/>
      <c r="H840" s="59">
        <f t="shared" si="176"/>
        <v>0</v>
      </c>
      <c r="I840" s="114">
        <v>154</v>
      </c>
      <c r="J840" s="59">
        <f t="shared" si="177"/>
        <v>128035.6</v>
      </c>
      <c r="K840" s="60">
        <f t="shared" si="178"/>
        <v>128035.6</v>
      </c>
      <c r="L840" s="92"/>
      <c r="M840" s="87"/>
      <c r="N840" s="87"/>
      <c r="O840" s="410"/>
      <c r="P840" s="87"/>
      <c r="Q840" s="87"/>
      <c r="R840" s="87"/>
      <c r="S840" s="87"/>
      <c r="T840" s="87"/>
      <c r="U840" s="87"/>
    </row>
    <row r="841" spans="1:21" s="62" customFormat="1" ht="24" customHeight="1">
      <c r="A841" s="450"/>
      <c r="B841" s="423" t="s">
        <v>155</v>
      </c>
      <c r="C841" s="423"/>
      <c r="D841" s="423"/>
      <c r="E841" s="425">
        <f>(E840*0.25)</f>
        <v>207.85</v>
      </c>
      <c r="F841" s="94" t="s">
        <v>156</v>
      </c>
      <c r="G841" s="113">
        <f t="shared" ref="G841" si="179">VLOOKUP(B841,$N$43:$O$53,2,FALSE)</f>
        <v>29.94</v>
      </c>
      <c r="H841" s="59">
        <f t="shared" si="176"/>
        <v>6223.03</v>
      </c>
      <c r="I841" s="114"/>
      <c r="J841" s="59">
        <f t="shared" si="177"/>
        <v>0</v>
      </c>
      <c r="K841" s="60">
        <f t="shared" si="178"/>
        <v>6223.03</v>
      </c>
      <c r="L841" s="92"/>
      <c r="M841" s="87"/>
      <c r="N841" s="87"/>
      <c r="O841" s="410"/>
      <c r="P841" s="87"/>
      <c r="Q841" s="87"/>
      <c r="R841" s="87"/>
      <c r="S841" s="87"/>
      <c r="T841" s="87"/>
      <c r="U841" s="87"/>
    </row>
    <row r="842" spans="1:21" s="62" customFormat="1" ht="24" customHeight="1">
      <c r="A842" s="450"/>
      <c r="B842" s="423" t="s">
        <v>157</v>
      </c>
      <c r="C842" s="423"/>
      <c r="D842" s="423"/>
      <c r="E842" s="425"/>
      <c r="F842" s="115"/>
      <c r="G842" s="101"/>
      <c r="H842" s="59">
        <f t="shared" si="176"/>
        <v>0</v>
      </c>
      <c r="I842" s="114"/>
      <c r="J842" s="59">
        <f t="shared" si="177"/>
        <v>0</v>
      </c>
      <c r="K842" s="60">
        <f t="shared" si="178"/>
        <v>0</v>
      </c>
      <c r="L842" s="92"/>
      <c r="M842" s="87"/>
      <c r="N842" s="87"/>
      <c r="O842" s="410"/>
      <c r="P842" s="87"/>
      <c r="Q842" s="87"/>
      <c r="R842" s="87"/>
      <c r="S842" s="87"/>
      <c r="T842" s="87"/>
      <c r="U842" s="87"/>
    </row>
    <row r="843" spans="1:21" s="62" customFormat="1" ht="24" customHeight="1">
      <c r="A843" s="450"/>
      <c r="B843" s="423" t="s">
        <v>158</v>
      </c>
      <c r="C843" s="423"/>
      <c r="D843" s="423"/>
      <c r="E843" s="425"/>
      <c r="F843" s="94" t="s">
        <v>156</v>
      </c>
      <c r="G843" s="113">
        <f>VLOOKUP(B843,$N$43:$O$54,2,FALSE)</f>
        <v>25.73</v>
      </c>
      <c r="H843" s="59">
        <f t="shared" si="176"/>
        <v>0</v>
      </c>
      <c r="I843" s="103">
        <v>4.0999999999999996</v>
      </c>
      <c r="J843" s="59">
        <f t="shared" si="177"/>
        <v>0</v>
      </c>
      <c r="K843" s="60">
        <f t="shared" si="178"/>
        <v>0</v>
      </c>
      <c r="L843" s="92"/>
      <c r="M843" s="87"/>
      <c r="N843" s="87"/>
      <c r="O843" s="410"/>
      <c r="P843" s="87"/>
      <c r="Q843" s="87"/>
      <c r="R843" s="87"/>
      <c r="S843" s="87"/>
      <c r="T843" s="87"/>
      <c r="U843" s="87"/>
    </row>
    <row r="844" spans="1:21" s="62" customFormat="1" ht="24" customHeight="1">
      <c r="A844" s="450"/>
      <c r="B844" s="423" t="s">
        <v>159</v>
      </c>
      <c r="C844" s="423"/>
      <c r="D844" s="423"/>
      <c r="E844" s="425"/>
      <c r="F844" s="94" t="s">
        <v>156</v>
      </c>
      <c r="G844" s="113">
        <f t="shared" ref="G844:G851" si="180">VLOOKUP(B844,$N$43:$O$54,2,FALSE)</f>
        <v>24.97</v>
      </c>
      <c r="H844" s="59">
        <f t="shared" si="176"/>
        <v>0</v>
      </c>
      <c r="I844" s="114">
        <v>4.0999999999999996</v>
      </c>
      <c r="J844" s="59">
        <f t="shared" si="177"/>
        <v>0</v>
      </c>
      <c r="K844" s="60">
        <f t="shared" si="178"/>
        <v>0</v>
      </c>
      <c r="L844" s="92"/>
      <c r="M844" s="87"/>
      <c r="N844" s="87"/>
      <c r="O844" s="410"/>
      <c r="P844" s="87"/>
      <c r="Q844" s="87"/>
      <c r="R844" s="87"/>
      <c r="S844" s="87"/>
      <c r="T844" s="87"/>
      <c r="U844" s="87"/>
    </row>
    <row r="845" spans="1:21" s="62" customFormat="1" ht="24" customHeight="1">
      <c r="A845" s="450"/>
      <c r="B845" s="423" t="s">
        <v>160</v>
      </c>
      <c r="C845" s="423"/>
      <c r="D845" s="423"/>
      <c r="E845" s="425">
        <v>13739.83</v>
      </c>
      <c r="F845" s="94" t="s">
        <v>156</v>
      </c>
      <c r="G845" s="113">
        <f t="shared" si="180"/>
        <v>24.47</v>
      </c>
      <c r="H845" s="59">
        <f t="shared" si="176"/>
        <v>336213.64</v>
      </c>
      <c r="I845" s="114">
        <v>3.3</v>
      </c>
      <c r="J845" s="59">
        <f t="shared" si="177"/>
        <v>45341.440000000002</v>
      </c>
      <c r="K845" s="60">
        <f t="shared" si="178"/>
        <v>381555.08</v>
      </c>
      <c r="L845" s="92"/>
      <c r="M845" s="87"/>
      <c r="N845" s="87"/>
      <c r="O845" s="410"/>
      <c r="P845" s="87"/>
      <c r="Q845" s="87"/>
      <c r="R845" s="87"/>
      <c r="S845" s="87"/>
      <c r="T845" s="87"/>
      <c r="U845" s="87"/>
    </row>
    <row r="846" spans="1:21" s="62" customFormat="1" ht="24" customHeight="1">
      <c r="A846" s="450"/>
      <c r="B846" s="423" t="s">
        <v>161</v>
      </c>
      <c r="C846" s="423"/>
      <c r="D846" s="423"/>
      <c r="E846" s="425">
        <v>0</v>
      </c>
      <c r="F846" s="115" t="s">
        <v>156</v>
      </c>
      <c r="G846" s="113">
        <f t="shared" si="180"/>
        <v>24.27</v>
      </c>
      <c r="H846" s="59">
        <f t="shared" si="176"/>
        <v>0</v>
      </c>
      <c r="I846" s="114">
        <v>3.3</v>
      </c>
      <c r="J846" s="59">
        <f t="shared" si="177"/>
        <v>0</v>
      </c>
      <c r="K846" s="60">
        <f t="shared" si="178"/>
        <v>0</v>
      </c>
      <c r="L846" s="92"/>
      <c r="M846" s="87"/>
      <c r="N846" s="87"/>
      <c r="O846" s="410"/>
      <c r="P846" s="87"/>
      <c r="Q846" s="87"/>
      <c r="R846" s="87"/>
      <c r="S846" s="87"/>
      <c r="T846" s="87"/>
      <c r="U846" s="87"/>
    </row>
    <row r="847" spans="1:21" s="62" customFormat="1" ht="24" customHeight="1">
      <c r="A847" s="450"/>
      <c r="B847" s="423" t="s">
        <v>162</v>
      </c>
      <c r="C847" s="423"/>
      <c r="D847" s="423"/>
      <c r="E847" s="425">
        <v>535.9</v>
      </c>
      <c r="F847" s="94" t="s">
        <v>156</v>
      </c>
      <c r="G847" s="113">
        <f t="shared" si="180"/>
        <v>24.27</v>
      </c>
      <c r="H847" s="59">
        <f t="shared" si="176"/>
        <v>13006.29</v>
      </c>
      <c r="I847" s="114">
        <v>2.9</v>
      </c>
      <c r="J847" s="59">
        <f t="shared" si="177"/>
        <v>1554.11</v>
      </c>
      <c r="K847" s="60">
        <f t="shared" si="178"/>
        <v>14560.400000000001</v>
      </c>
      <c r="L847" s="92"/>
      <c r="M847" s="87"/>
      <c r="N847" s="87"/>
      <c r="O847" s="410"/>
      <c r="P847" s="87"/>
      <c r="Q847" s="87"/>
      <c r="R847" s="87"/>
      <c r="S847" s="87"/>
      <c r="T847" s="87"/>
      <c r="U847" s="87"/>
    </row>
    <row r="848" spans="1:21" s="62" customFormat="1" ht="24" customHeight="1">
      <c r="A848" s="450"/>
      <c r="B848" s="423" t="s">
        <v>163</v>
      </c>
      <c r="C848" s="423"/>
      <c r="D848" s="423"/>
      <c r="E848" s="425">
        <v>3400.32</v>
      </c>
      <c r="F848" s="94" t="s">
        <v>156</v>
      </c>
      <c r="G848" s="113">
        <f t="shared" si="180"/>
        <v>24.27</v>
      </c>
      <c r="H848" s="59">
        <f t="shared" si="176"/>
        <v>82525.77</v>
      </c>
      <c r="I848" s="114">
        <v>2.9</v>
      </c>
      <c r="J848" s="59">
        <f t="shared" si="177"/>
        <v>9860.93</v>
      </c>
      <c r="K848" s="60">
        <f t="shared" si="178"/>
        <v>92386.700000000012</v>
      </c>
      <c r="L848" s="92"/>
      <c r="M848" s="87"/>
      <c r="N848" s="87"/>
      <c r="O848" s="410"/>
      <c r="P848" s="87"/>
      <c r="Q848" s="87"/>
      <c r="R848" s="87"/>
      <c r="S848" s="87"/>
      <c r="T848" s="87"/>
      <c r="U848" s="87"/>
    </row>
    <row r="849" spans="1:21" s="62" customFormat="1" ht="24" customHeight="1">
      <c r="A849" s="450"/>
      <c r="B849" s="423" t="s">
        <v>164</v>
      </c>
      <c r="C849" s="423"/>
      <c r="D849" s="423"/>
      <c r="E849" s="425">
        <v>42836.310000000005</v>
      </c>
      <c r="F849" s="94" t="s">
        <v>156</v>
      </c>
      <c r="G849" s="113">
        <f t="shared" si="180"/>
        <v>24.27</v>
      </c>
      <c r="H849" s="59">
        <f t="shared" si="176"/>
        <v>1039637.24</v>
      </c>
      <c r="I849" s="114">
        <v>2.9</v>
      </c>
      <c r="J849" s="59">
        <f t="shared" si="177"/>
        <v>124225.3</v>
      </c>
      <c r="K849" s="60">
        <f t="shared" si="178"/>
        <v>1163862.54</v>
      </c>
      <c r="L849" s="92"/>
      <c r="M849" s="87"/>
      <c r="N849" s="87"/>
      <c r="O849" s="410"/>
      <c r="P849" s="87"/>
      <c r="Q849" s="87"/>
      <c r="R849" s="87"/>
      <c r="S849" s="87"/>
      <c r="T849" s="87"/>
      <c r="U849" s="87"/>
    </row>
    <row r="850" spans="1:21" s="62" customFormat="1" ht="24" customHeight="1">
      <c r="A850" s="450"/>
      <c r="B850" s="423" t="s">
        <v>165</v>
      </c>
      <c r="C850" s="423"/>
      <c r="D850" s="423"/>
      <c r="E850" s="425"/>
      <c r="F850" s="94" t="s">
        <v>156</v>
      </c>
      <c r="G850" s="113">
        <f t="shared" si="180"/>
        <v>23.8</v>
      </c>
      <c r="H850" s="59">
        <f t="shared" si="176"/>
        <v>0</v>
      </c>
      <c r="I850" s="114">
        <v>2.9</v>
      </c>
      <c r="J850" s="59">
        <f t="shared" si="177"/>
        <v>0</v>
      </c>
      <c r="K850" s="60">
        <f t="shared" si="178"/>
        <v>0</v>
      </c>
      <c r="L850" s="92"/>
      <c r="M850" s="87"/>
      <c r="N850" s="87"/>
      <c r="O850" s="410"/>
      <c r="P850" s="87"/>
      <c r="Q850" s="87"/>
      <c r="R850" s="87"/>
      <c r="S850" s="87"/>
      <c r="T850" s="87"/>
      <c r="U850" s="87"/>
    </row>
    <row r="851" spans="1:21" s="62" customFormat="1" ht="24" customHeight="1">
      <c r="A851" s="450"/>
      <c r="B851" s="423" t="s">
        <v>166</v>
      </c>
      <c r="C851" s="423"/>
      <c r="D851" s="423"/>
      <c r="E851" s="425">
        <f>(SUM(E843:E850)/1000)*30</f>
        <v>1815.3708000000001</v>
      </c>
      <c r="F851" s="94" t="s">
        <v>156</v>
      </c>
      <c r="G851" s="113">
        <f t="shared" si="180"/>
        <v>29.92</v>
      </c>
      <c r="H851" s="59">
        <f t="shared" si="176"/>
        <v>54315.89</v>
      </c>
      <c r="I851" s="114"/>
      <c r="J851" s="59">
        <f t="shared" si="177"/>
        <v>0</v>
      </c>
      <c r="K851" s="60">
        <f t="shared" si="178"/>
        <v>54315.89</v>
      </c>
      <c r="L851" s="92"/>
      <c r="M851" s="87"/>
      <c r="N851" s="87"/>
      <c r="O851" s="410"/>
      <c r="P851" s="87"/>
      <c r="Q851" s="87"/>
      <c r="R851" s="87"/>
      <c r="S851" s="87"/>
      <c r="T851" s="87"/>
      <c r="U851" s="87"/>
    </row>
    <row r="852" spans="1:21" s="62" customFormat="1" ht="24" customHeight="1">
      <c r="A852" s="450"/>
      <c r="B852" s="423" t="s">
        <v>167</v>
      </c>
      <c r="C852" s="423"/>
      <c r="D852" s="423"/>
      <c r="E852" s="425"/>
      <c r="F852" s="94"/>
      <c r="G852" s="113"/>
      <c r="H852" s="59"/>
      <c r="I852" s="114"/>
      <c r="J852" s="59"/>
      <c r="K852" s="60"/>
      <c r="L852" s="92"/>
      <c r="M852" s="87"/>
      <c r="N852" s="87"/>
      <c r="O852" s="410"/>
      <c r="P852" s="87"/>
      <c r="Q852" s="87"/>
      <c r="R852" s="87"/>
      <c r="S852" s="87"/>
      <c r="T852" s="87"/>
      <c r="U852" s="87"/>
    </row>
    <row r="853" spans="1:21" s="62" customFormat="1" ht="24" customHeight="1">
      <c r="A853" s="93"/>
      <c r="B853" s="423"/>
      <c r="C853" s="423"/>
      <c r="D853" s="423"/>
      <c r="E853" s="425"/>
      <c r="F853" s="94"/>
      <c r="G853" s="113"/>
      <c r="H853" s="59"/>
      <c r="I853" s="114"/>
      <c r="J853" s="59"/>
      <c r="K853" s="60"/>
      <c r="L853" s="92"/>
      <c r="M853" s="87"/>
      <c r="N853" s="87"/>
      <c r="O853" s="410"/>
      <c r="P853" s="87"/>
      <c r="Q853" s="87"/>
      <c r="R853" s="87"/>
      <c r="S853" s="87"/>
      <c r="T853" s="87"/>
      <c r="U853" s="87"/>
    </row>
    <row r="854" spans="1:21" s="62" customFormat="1" ht="24" customHeight="1">
      <c r="A854" s="450"/>
      <c r="B854" s="423"/>
      <c r="C854" s="423"/>
      <c r="D854" s="423"/>
      <c r="E854" s="425"/>
      <c r="F854" s="94"/>
      <c r="G854" s="113"/>
      <c r="H854" s="59"/>
      <c r="I854" s="114"/>
      <c r="J854" s="59"/>
      <c r="K854" s="60"/>
      <c r="L854" s="92"/>
      <c r="M854" s="87"/>
      <c r="N854" s="87"/>
      <c r="O854" s="410"/>
      <c r="P854" s="87"/>
      <c r="Q854" s="87"/>
      <c r="R854" s="87"/>
      <c r="S854" s="87"/>
      <c r="T854" s="87"/>
      <c r="U854" s="87"/>
    </row>
    <row r="855" spans="1:21" s="62" customFormat="1" ht="24" customHeight="1">
      <c r="A855" s="450"/>
      <c r="B855" s="423"/>
      <c r="C855" s="423"/>
      <c r="D855" s="423"/>
      <c r="E855" s="425"/>
      <c r="F855" s="94"/>
      <c r="G855" s="113"/>
      <c r="H855" s="59"/>
      <c r="I855" s="114"/>
      <c r="J855" s="59"/>
      <c r="K855" s="60"/>
      <c r="L855" s="92"/>
      <c r="M855" s="87"/>
      <c r="N855" s="87"/>
      <c r="O855" s="410"/>
      <c r="P855" s="87"/>
      <c r="Q855" s="87"/>
      <c r="R855" s="87"/>
      <c r="S855" s="87"/>
      <c r="T855" s="87"/>
      <c r="U855" s="87"/>
    </row>
    <row r="856" spans="1:21" s="62" customFormat="1" ht="24" customHeight="1">
      <c r="A856" s="450"/>
      <c r="B856" s="423"/>
      <c r="C856" s="423"/>
      <c r="D856" s="423"/>
      <c r="E856" s="425"/>
      <c r="F856" s="94"/>
      <c r="G856" s="113"/>
      <c r="H856" s="59"/>
      <c r="I856" s="114"/>
      <c r="J856" s="59"/>
      <c r="K856" s="60"/>
      <c r="L856" s="92"/>
      <c r="M856" s="87"/>
      <c r="N856" s="87"/>
      <c r="O856" s="410"/>
      <c r="P856" s="87"/>
      <c r="Q856" s="87"/>
      <c r="R856" s="87"/>
      <c r="S856" s="87"/>
      <c r="T856" s="87"/>
      <c r="U856" s="87"/>
    </row>
    <row r="857" spans="1:21" s="62" customFormat="1" ht="24" customHeight="1">
      <c r="A857" s="450"/>
      <c r="B857" s="423"/>
      <c r="C857" s="423"/>
      <c r="D857" s="423"/>
      <c r="E857" s="425"/>
      <c r="F857" s="94"/>
      <c r="G857" s="113"/>
      <c r="H857" s="59"/>
      <c r="I857" s="114"/>
      <c r="J857" s="59"/>
      <c r="K857" s="60"/>
      <c r="L857" s="92"/>
      <c r="M857" s="87"/>
      <c r="N857" s="87"/>
      <c r="O857" s="410"/>
      <c r="P857" s="87"/>
      <c r="Q857" s="87"/>
      <c r="R857" s="87"/>
      <c r="S857" s="87"/>
      <c r="T857" s="87"/>
      <c r="U857" s="87"/>
    </row>
    <row r="858" spans="1:21" s="62" customFormat="1" ht="24" customHeight="1">
      <c r="A858" s="450"/>
      <c r="B858" s="423"/>
      <c r="C858" s="423"/>
      <c r="D858" s="423"/>
      <c r="E858" s="425"/>
      <c r="F858" s="94"/>
      <c r="G858" s="113"/>
      <c r="H858" s="59"/>
      <c r="I858" s="114"/>
      <c r="J858" s="59"/>
      <c r="K858" s="60"/>
      <c r="L858" s="92"/>
      <c r="M858" s="87"/>
      <c r="N858" s="87"/>
      <c r="O858" s="410"/>
      <c r="P858" s="87"/>
      <c r="Q858" s="87"/>
      <c r="R858" s="87"/>
      <c r="S858" s="87"/>
      <c r="T858" s="87"/>
      <c r="U858" s="87"/>
    </row>
    <row r="859" spans="1:21" s="62" customFormat="1" ht="24" customHeight="1">
      <c r="A859" s="450"/>
      <c r="B859" s="423"/>
      <c r="C859" s="423"/>
      <c r="D859" s="423"/>
      <c r="E859" s="425"/>
      <c r="F859" s="94"/>
      <c r="G859" s="113"/>
      <c r="H859" s="59"/>
      <c r="I859" s="114"/>
      <c r="J859" s="59"/>
      <c r="K859" s="60"/>
      <c r="L859" s="92"/>
      <c r="M859" s="87"/>
      <c r="N859" s="87"/>
      <c r="O859" s="410"/>
      <c r="P859" s="87"/>
      <c r="Q859" s="87"/>
      <c r="R859" s="87"/>
      <c r="S859" s="87"/>
      <c r="T859" s="87"/>
      <c r="U859" s="87"/>
    </row>
    <row r="860" spans="1:21" s="62" customFormat="1" ht="24" customHeight="1">
      <c r="A860" s="450"/>
      <c r="B860" s="423"/>
      <c r="C860" s="423"/>
      <c r="D860" s="423"/>
      <c r="E860" s="425"/>
      <c r="F860" s="94"/>
      <c r="G860" s="113"/>
      <c r="H860" s="59"/>
      <c r="I860" s="114"/>
      <c r="J860" s="59"/>
      <c r="K860" s="60"/>
      <c r="L860" s="92"/>
      <c r="M860" s="87"/>
      <c r="N860" s="87"/>
      <c r="O860" s="410"/>
      <c r="P860" s="87"/>
      <c r="Q860" s="87"/>
      <c r="R860" s="87"/>
      <c r="S860" s="87"/>
      <c r="T860" s="87"/>
      <c r="U860" s="87"/>
    </row>
    <row r="861" spans="1:21" s="62" customFormat="1" ht="24" customHeight="1">
      <c r="A861" s="450" t="s">
        <v>206</v>
      </c>
      <c r="B861" s="452" t="s">
        <v>231</v>
      </c>
      <c r="C861" s="423"/>
      <c r="D861" s="423"/>
      <c r="E861" s="425"/>
      <c r="F861" s="94"/>
      <c r="G861" s="113"/>
      <c r="H861" s="59"/>
      <c r="I861" s="114"/>
      <c r="J861" s="59"/>
      <c r="K861" s="60"/>
      <c r="L861" s="92"/>
      <c r="M861" s="87"/>
      <c r="N861" s="87"/>
      <c r="O861" s="410"/>
      <c r="P861" s="87"/>
      <c r="Q861" s="87"/>
      <c r="R861" s="87"/>
      <c r="S861" s="87"/>
      <c r="T861" s="87"/>
      <c r="U861" s="87"/>
    </row>
    <row r="862" spans="1:21" s="62" customFormat="1" ht="24" customHeight="1">
      <c r="A862" s="450"/>
      <c r="B862" s="423" t="s">
        <v>150</v>
      </c>
      <c r="C862" s="424"/>
      <c r="D862" s="424"/>
      <c r="E862" s="425">
        <v>235.11</v>
      </c>
      <c r="F862" s="94" t="s">
        <v>151</v>
      </c>
      <c r="G862" s="113">
        <v>2516</v>
      </c>
      <c r="H862" s="59">
        <f t="shared" ref="H862:H876" si="181">ROUND(E862*G862,2)</f>
        <v>591536.76</v>
      </c>
      <c r="I862" s="114">
        <v>485</v>
      </c>
      <c r="J862" s="59">
        <f t="shared" ref="J862:J876" si="182">ROUND(E862*I862,2)</f>
        <v>114028.35</v>
      </c>
      <c r="K862" s="60">
        <f t="shared" ref="K862:K876" si="183">H862+J862</f>
        <v>705565.11</v>
      </c>
      <c r="L862" s="92"/>
      <c r="M862" s="87"/>
      <c r="N862" s="87"/>
      <c r="O862" s="410"/>
      <c r="P862" s="87"/>
      <c r="Q862" s="87"/>
      <c r="R862" s="87"/>
      <c r="S862" s="87"/>
      <c r="T862" s="87"/>
      <c r="U862" s="87"/>
    </row>
    <row r="863" spans="1:21" s="62" customFormat="1" ht="24" customHeight="1">
      <c r="A863" s="450"/>
      <c r="B863" s="426" t="s">
        <v>152</v>
      </c>
      <c r="C863" s="423"/>
      <c r="D863" s="423"/>
      <c r="E863" s="425"/>
      <c r="F863" s="94"/>
      <c r="G863" s="113"/>
      <c r="H863" s="59">
        <f t="shared" si="181"/>
        <v>0</v>
      </c>
      <c r="I863" s="114"/>
      <c r="J863" s="59">
        <f t="shared" si="182"/>
        <v>0</v>
      </c>
      <c r="K863" s="60">
        <f t="shared" si="183"/>
        <v>0</v>
      </c>
      <c r="L863" s="92"/>
      <c r="M863" s="87"/>
      <c r="N863" s="87"/>
      <c r="O863" s="410"/>
      <c r="P863" s="87"/>
      <c r="Q863" s="87"/>
      <c r="R863" s="87"/>
      <c r="S863" s="87"/>
      <c r="T863" s="87"/>
      <c r="U863" s="87"/>
    </row>
    <row r="864" spans="1:21" s="62" customFormat="1" ht="24" customHeight="1">
      <c r="A864" s="450"/>
      <c r="B864" s="426"/>
      <c r="C864" s="423" t="s">
        <v>153</v>
      </c>
      <c r="D864" s="423"/>
      <c r="E864" s="425">
        <f>E865/2</f>
        <v>777.25</v>
      </c>
      <c r="F864" s="94" t="s">
        <v>37</v>
      </c>
      <c r="G864" s="113">
        <v>661.62</v>
      </c>
      <c r="H864" s="59">
        <f t="shared" si="181"/>
        <v>514244.15</v>
      </c>
      <c r="I864" s="114"/>
      <c r="J864" s="59">
        <f t="shared" si="182"/>
        <v>0</v>
      </c>
      <c r="K864" s="60">
        <f t="shared" si="183"/>
        <v>514244.15</v>
      </c>
      <c r="L864" s="92"/>
      <c r="M864" s="87"/>
      <c r="N864" s="87"/>
      <c r="O864" s="410"/>
      <c r="P864" s="87"/>
      <c r="Q864" s="87"/>
      <c r="R864" s="87"/>
      <c r="S864" s="87"/>
      <c r="T864" s="87"/>
      <c r="U864" s="87"/>
    </row>
    <row r="865" spans="1:21" s="62" customFormat="1" ht="24" customHeight="1">
      <c r="A865" s="450"/>
      <c r="B865" s="426"/>
      <c r="C865" s="423" t="s">
        <v>154</v>
      </c>
      <c r="D865" s="423"/>
      <c r="E865" s="425">
        <v>1554.5</v>
      </c>
      <c r="F865" s="94" t="s">
        <v>37</v>
      </c>
      <c r="G865" s="113"/>
      <c r="H865" s="59">
        <f t="shared" si="181"/>
        <v>0</v>
      </c>
      <c r="I865" s="114">
        <v>154</v>
      </c>
      <c r="J865" s="59">
        <f t="shared" si="182"/>
        <v>239393</v>
      </c>
      <c r="K865" s="60">
        <f t="shared" si="183"/>
        <v>239393</v>
      </c>
      <c r="L865" s="92"/>
      <c r="M865" s="87"/>
      <c r="N865" s="87"/>
      <c r="O865" s="410"/>
      <c r="P865" s="87"/>
      <c r="Q865" s="87"/>
      <c r="R865" s="87"/>
      <c r="S865" s="87"/>
      <c r="T865" s="87"/>
      <c r="U865" s="87"/>
    </row>
    <row r="866" spans="1:21" s="62" customFormat="1" ht="24" customHeight="1">
      <c r="A866" s="450"/>
      <c r="B866" s="423" t="s">
        <v>155</v>
      </c>
      <c r="C866" s="423"/>
      <c r="D866" s="423"/>
      <c r="E866" s="425">
        <f>(E865*0.25)</f>
        <v>388.625</v>
      </c>
      <c r="F866" s="94" t="s">
        <v>156</v>
      </c>
      <c r="G866" s="113">
        <f t="shared" ref="G866" si="184">VLOOKUP(B866,$N$43:$O$53,2,FALSE)</f>
        <v>29.94</v>
      </c>
      <c r="H866" s="59">
        <f t="shared" si="181"/>
        <v>11635.43</v>
      </c>
      <c r="I866" s="114"/>
      <c r="J866" s="59">
        <f t="shared" si="182"/>
        <v>0</v>
      </c>
      <c r="K866" s="60">
        <f t="shared" si="183"/>
        <v>11635.43</v>
      </c>
      <c r="L866" s="92"/>
      <c r="M866" s="87"/>
      <c r="N866" s="87"/>
      <c r="O866" s="410"/>
      <c r="P866" s="87"/>
      <c r="Q866" s="87"/>
      <c r="R866" s="87"/>
      <c r="S866" s="87"/>
      <c r="T866" s="87"/>
      <c r="U866" s="87"/>
    </row>
    <row r="867" spans="1:21" s="62" customFormat="1" ht="24" customHeight="1">
      <c r="A867" s="450"/>
      <c r="B867" s="423" t="s">
        <v>157</v>
      </c>
      <c r="C867" s="423"/>
      <c r="D867" s="423"/>
      <c r="E867" s="425"/>
      <c r="F867" s="115"/>
      <c r="G867" s="101"/>
      <c r="H867" s="59">
        <f t="shared" si="181"/>
        <v>0</v>
      </c>
      <c r="I867" s="114"/>
      <c r="J867" s="59">
        <f t="shared" si="182"/>
        <v>0</v>
      </c>
      <c r="K867" s="60">
        <f t="shared" si="183"/>
        <v>0</v>
      </c>
      <c r="L867" s="92"/>
      <c r="M867" s="87"/>
      <c r="N867" s="87"/>
      <c r="O867" s="410"/>
      <c r="P867" s="87"/>
      <c r="Q867" s="87"/>
      <c r="R867" s="87"/>
      <c r="S867" s="87"/>
      <c r="T867" s="87"/>
      <c r="U867" s="87"/>
    </row>
    <row r="868" spans="1:21" s="62" customFormat="1" ht="24" customHeight="1">
      <c r="A868" s="450"/>
      <c r="B868" s="423" t="s">
        <v>158</v>
      </c>
      <c r="C868" s="423"/>
      <c r="D868" s="423"/>
      <c r="E868" s="425"/>
      <c r="F868" s="94" t="s">
        <v>156</v>
      </c>
      <c r="G868" s="113">
        <f>VLOOKUP(B868,$N$43:$O$54,2,FALSE)</f>
        <v>25.73</v>
      </c>
      <c r="H868" s="59">
        <f t="shared" si="181"/>
        <v>0</v>
      </c>
      <c r="I868" s="103">
        <v>4.0999999999999996</v>
      </c>
      <c r="J868" s="59">
        <f t="shared" si="182"/>
        <v>0</v>
      </c>
      <c r="K868" s="60">
        <f t="shared" si="183"/>
        <v>0</v>
      </c>
      <c r="L868" s="92"/>
      <c r="M868" s="87"/>
      <c r="N868" s="87"/>
      <c r="O868" s="410"/>
      <c r="P868" s="87"/>
      <c r="Q868" s="87"/>
      <c r="R868" s="87"/>
      <c r="S868" s="87"/>
      <c r="T868" s="87"/>
      <c r="U868" s="87"/>
    </row>
    <row r="869" spans="1:21" s="62" customFormat="1" ht="24" customHeight="1">
      <c r="A869" s="450"/>
      <c r="B869" s="423" t="s">
        <v>159</v>
      </c>
      <c r="C869" s="423"/>
      <c r="D869" s="423"/>
      <c r="E869" s="425"/>
      <c r="F869" s="94" t="s">
        <v>156</v>
      </c>
      <c r="G869" s="113">
        <f t="shared" ref="G869:G876" si="185">VLOOKUP(B869,$N$43:$O$54,2,FALSE)</f>
        <v>24.97</v>
      </c>
      <c r="H869" s="59">
        <f t="shared" si="181"/>
        <v>0</v>
      </c>
      <c r="I869" s="114">
        <v>4.0999999999999996</v>
      </c>
      <c r="J869" s="59">
        <f t="shared" si="182"/>
        <v>0</v>
      </c>
      <c r="K869" s="60">
        <f t="shared" si="183"/>
        <v>0</v>
      </c>
      <c r="L869" s="92"/>
      <c r="M869" s="87"/>
      <c r="N869" s="87"/>
      <c r="O869" s="410"/>
      <c r="P869" s="87"/>
      <c r="Q869" s="87"/>
      <c r="R869" s="87"/>
      <c r="S869" s="87"/>
      <c r="T869" s="87"/>
      <c r="U869" s="87"/>
    </row>
    <row r="870" spans="1:21" s="62" customFormat="1" ht="24" customHeight="1">
      <c r="A870" s="450"/>
      <c r="B870" s="423" t="s">
        <v>160</v>
      </c>
      <c r="C870" s="423"/>
      <c r="D870" s="423"/>
      <c r="E870" s="425">
        <v>503.32</v>
      </c>
      <c r="F870" s="94" t="s">
        <v>156</v>
      </c>
      <c r="G870" s="113">
        <f t="shared" si="185"/>
        <v>24.47</v>
      </c>
      <c r="H870" s="59">
        <f t="shared" si="181"/>
        <v>12316.24</v>
      </c>
      <c r="I870" s="114">
        <v>3.3</v>
      </c>
      <c r="J870" s="59">
        <f t="shared" si="182"/>
        <v>1660.96</v>
      </c>
      <c r="K870" s="60">
        <f t="shared" si="183"/>
        <v>13977.2</v>
      </c>
      <c r="L870" s="92"/>
      <c r="M870" s="87"/>
      <c r="N870" s="87"/>
      <c r="O870" s="410"/>
      <c r="P870" s="87"/>
      <c r="Q870" s="87"/>
      <c r="R870" s="87"/>
      <c r="S870" s="87"/>
      <c r="T870" s="87"/>
      <c r="U870" s="87"/>
    </row>
    <row r="871" spans="1:21" s="62" customFormat="1" ht="24" customHeight="1">
      <c r="A871" s="450"/>
      <c r="B871" s="423" t="s">
        <v>161</v>
      </c>
      <c r="C871" s="423"/>
      <c r="D871" s="423"/>
      <c r="E871" s="425">
        <v>35048.5</v>
      </c>
      <c r="F871" s="115" t="s">
        <v>156</v>
      </c>
      <c r="G871" s="113">
        <f t="shared" si="185"/>
        <v>24.27</v>
      </c>
      <c r="H871" s="59">
        <f t="shared" si="181"/>
        <v>850627.1</v>
      </c>
      <c r="I871" s="114">
        <v>3.3</v>
      </c>
      <c r="J871" s="59">
        <f t="shared" si="182"/>
        <v>115660.05</v>
      </c>
      <c r="K871" s="60">
        <f t="shared" si="183"/>
        <v>966287.15</v>
      </c>
      <c r="L871" s="92"/>
      <c r="M871" s="87"/>
      <c r="N871" s="87"/>
      <c r="O871" s="410"/>
      <c r="P871" s="87"/>
      <c r="Q871" s="87"/>
      <c r="R871" s="87"/>
      <c r="S871" s="87"/>
      <c r="T871" s="87"/>
      <c r="U871" s="87"/>
    </row>
    <row r="872" spans="1:21" s="62" customFormat="1" ht="24" customHeight="1">
      <c r="A872" s="450"/>
      <c r="B872" s="423" t="s">
        <v>162</v>
      </c>
      <c r="C872" s="423"/>
      <c r="D872" s="423"/>
      <c r="E872" s="425">
        <v>3912.01</v>
      </c>
      <c r="F872" s="94" t="s">
        <v>156</v>
      </c>
      <c r="G872" s="113">
        <f t="shared" si="185"/>
        <v>24.27</v>
      </c>
      <c r="H872" s="59">
        <f t="shared" si="181"/>
        <v>94944.48</v>
      </c>
      <c r="I872" s="114">
        <v>2.9</v>
      </c>
      <c r="J872" s="59">
        <f t="shared" si="182"/>
        <v>11344.83</v>
      </c>
      <c r="K872" s="60">
        <f t="shared" si="183"/>
        <v>106289.31</v>
      </c>
      <c r="L872" s="92"/>
      <c r="M872" s="87"/>
      <c r="N872" s="87"/>
      <c r="O872" s="410"/>
      <c r="P872" s="87"/>
      <c r="Q872" s="87"/>
      <c r="R872" s="87"/>
      <c r="S872" s="87"/>
      <c r="T872" s="87"/>
      <c r="U872" s="87"/>
    </row>
    <row r="873" spans="1:21" s="62" customFormat="1" ht="24" customHeight="1">
      <c r="A873" s="450"/>
      <c r="B873" s="423" t="s">
        <v>163</v>
      </c>
      <c r="C873" s="423"/>
      <c r="D873" s="423"/>
      <c r="E873" s="425">
        <v>50265.41</v>
      </c>
      <c r="F873" s="94" t="s">
        <v>156</v>
      </c>
      <c r="G873" s="113">
        <f t="shared" si="185"/>
        <v>24.27</v>
      </c>
      <c r="H873" s="59">
        <f t="shared" si="181"/>
        <v>1219941.5</v>
      </c>
      <c r="I873" s="114">
        <v>2.9</v>
      </c>
      <c r="J873" s="59">
        <f t="shared" si="182"/>
        <v>145769.69</v>
      </c>
      <c r="K873" s="60">
        <f t="shared" si="183"/>
        <v>1365711.19</v>
      </c>
      <c r="L873" s="92"/>
      <c r="M873" s="87"/>
      <c r="N873" s="87"/>
      <c r="O873" s="410"/>
      <c r="P873" s="87"/>
      <c r="Q873" s="87"/>
      <c r="R873" s="87"/>
      <c r="S873" s="87"/>
      <c r="T873" s="87"/>
      <c r="U873" s="87"/>
    </row>
    <row r="874" spans="1:21" s="62" customFormat="1" ht="24" customHeight="1">
      <c r="A874" s="450"/>
      <c r="B874" s="423" t="s">
        <v>164</v>
      </c>
      <c r="C874" s="423"/>
      <c r="D874" s="423"/>
      <c r="E874" s="425">
        <v>0</v>
      </c>
      <c r="F874" s="94" t="s">
        <v>156</v>
      </c>
      <c r="G874" s="113">
        <f t="shared" si="185"/>
        <v>24.27</v>
      </c>
      <c r="H874" s="59">
        <f t="shared" si="181"/>
        <v>0</v>
      </c>
      <c r="I874" s="114">
        <v>2.9</v>
      </c>
      <c r="J874" s="59">
        <f t="shared" si="182"/>
        <v>0</v>
      </c>
      <c r="K874" s="60">
        <f t="shared" si="183"/>
        <v>0</v>
      </c>
      <c r="L874" s="92"/>
      <c r="M874" s="87"/>
      <c r="N874" s="87"/>
      <c r="O874" s="410"/>
      <c r="P874" s="87"/>
      <c r="Q874" s="87"/>
      <c r="R874" s="87"/>
      <c r="S874" s="87"/>
      <c r="T874" s="87"/>
      <c r="U874" s="87"/>
    </row>
    <row r="875" spans="1:21" s="62" customFormat="1" ht="24" customHeight="1">
      <c r="A875" s="450"/>
      <c r="B875" s="423" t="s">
        <v>165</v>
      </c>
      <c r="C875" s="423"/>
      <c r="D875" s="423"/>
      <c r="E875" s="425">
        <v>0</v>
      </c>
      <c r="F875" s="94" t="s">
        <v>156</v>
      </c>
      <c r="G875" s="113">
        <f t="shared" si="185"/>
        <v>23.8</v>
      </c>
      <c r="H875" s="59">
        <f t="shared" si="181"/>
        <v>0</v>
      </c>
      <c r="I875" s="114">
        <v>2.9</v>
      </c>
      <c r="J875" s="59">
        <f t="shared" si="182"/>
        <v>0</v>
      </c>
      <c r="K875" s="60">
        <f t="shared" si="183"/>
        <v>0</v>
      </c>
      <c r="L875" s="92"/>
      <c r="M875" s="87"/>
      <c r="N875" s="87"/>
      <c r="O875" s="410"/>
      <c r="P875" s="87"/>
      <c r="Q875" s="87"/>
      <c r="R875" s="87"/>
      <c r="S875" s="87"/>
      <c r="T875" s="87"/>
      <c r="U875" s="87"/>
    </row>
    <row r="876" spans="1:21" s="62" customFormat="1" ht="24" customHeight="1">
      <c r="A876" s="450"/>
      <c r="B876" s="423" t="s">
        <v>166</v>
      </c>
      <c r="C876" s="423"/>
      <c r="D876" s="423"/>
      <c r="E876" s="425">
        <f>(SUM(E868:E875)/1000)*30</f>
        <v>2691.8771999999999</v>
      </c>
      <c r="F876" s="94" t="s">
        <v>156</v>
      </c>
      <c r="G876" s="113">
        <f t="shared" si="185"/>
        <v>29.92</v>
      </c>
      <c r="H876" s="59">
        <f t="shared" si="181"/>
        <v>80540.97</v>
      </c>
      <c r="I876" s="114"/>
      <c r="J876" s="59">
        <f t="shared" si="182"/>
        <v>0</v>
      </c>
      <c r="K876" s="60">
        <f t="shared" si="183"/>
        <v>80540.97</v>
      </c>
      <c r="L876" s="92"/>
      <c r="M876" s="87"/>
      <c r="N876" s="87"/>
      <c r="O876" s="410"/>
      <c r="P876" s="87"/>
      <c r="Q876" s="87"/>
      <c r="R876" s="87"/>
      <c r="S876" s="87"/>
      <c r="T876" s="87"/>
      <c r="U876" s="87"/>
    </row>
    <row r="877" spans="1:21" s="62" customFormat="1" ht="24" customHeight="1">
      <c r="A877" s="450"/>
      <c r="B877" s="423" t="s">
        <v>167</v>
      </c>
      <c r="C877" s="423"/>
      <c r="D877" s="423"/>
      <c r="E877" s="425"/>
      <c r="F877" s="94"/>
      <c r="G877" s="113"/>
      <c r="H877" s="59"/>
      <c r="I877" s="114"/>
      <c r="J877" s="59"/>
      <c r="K877" s="60"/>
      <c r="L877" s="92"/>
      <c r="M877" s="87"/>
      <c r="N877" s="87"/>
      <c r="O877" s="410"/>
      <c r="P877" s="87"/>
      <c r="Q877" s="87"/>
      <c r="R877" s="87"/>
      <c r="S877" s="87"/>
      <c r="T877" s="87"/>
      <c r="U877" s="87"/>
    </row>
    <row r="878" spans="1:21" s="62" customFormat="1" ht="24" customHeight="1">
      <c r="A878" s="93"/>
      <c r="B878" s="423"/>
      <c r="C878" s="423"/>
      <c r="D878" s="423"/>
      <c r="E878" s="425"/>
      <c r="F878" s="94"/>
      <c r="G878" s="113"/>
      <c r="H878" s="59"/>
      <c r="I878" s="114"/>
      <c r="J878" s="59"/>
      <c r="K878" s="60"/>
      <c r="L878" s="92"/>
      <c r="M878" s="87"/>
      <c r="N878" s="87"/>
      <c r="O878" s="410"/>
      <c r="P878" s="87"/>
      <c r="Q878" s="87"/>
      <c r="R878" s="87"/>
      <c r="S878" s="87"/>
      <c r="T878" s="87"/>
      <c r="U878" s="87"/>
    </row>
    <row r="879" spans="1:21" s="62" customFormat="1" ht="24" customHeight="1">
      <c r="A879" s="93"/>
      <c r="B879" s="423"/>
      <c r="C879" s="423"/>
      <c r="D879" s="423"/>
      <c r="E879" s="425"/>
      <c r="F879" s="94"/>
      <c r="G879" s="113"/>
      <c r="H879" s="59"/>
      <c r="I879" s="114"/>
      <c r="J879" s="59"/>
      <c r="K879" s="60"/>
      <c r="L879" s="92"/>
      <c r="M879" s="87"/>
      <c r="N879" s="87"/>
      <c r="O879" s="410"/>
      <c r="P879" s="87"/>
      <c r="Q879" s="87"/>
      <c r="R879" s="87"/>
      <c r="S879" s="87"/>
      <c r="T879" s="87"/>
      <c r="U879" s="87"/>
    </row>
    <row r="880" spans="1:21" s="62" customFormat="1" ht="24" customHeight="1">
      <c r="A880" s="450"/>
      <c r="B880" s="423"/>
      <c r="C880" s="423"/>
      <c r="D880" s="423"/>
      <c r="E880" s="425"/>
      <c r="F880" s="94"/>
      <c r="G880" s="113"/>
      <c r="H880" s="59"/>
      <c r="I880" s="114"/>
      <c r="J880" s="59"/>
      <c r="K880" s="60"/>
      <c r="L880" s="92"/>
      <c r="M880" s="87"/>
      <c r="N880" s="87"/>
      <c r="O880" s="410"/>
      <c r="P880" s="87"/>
      <c r="Q880" s="87"/>
      <c r="R880" s="87"/>
      <c r="S880" s="87"/>
      <c r="T880" s="87"/>
      <c r="U880" s="87"/>
    </row>
    <row r="881" spans="1:21" s="62" customFormat="1" ht="24" customHeight="1">
      <c r="A881" s="450"/>
      <c r="B881" s="423"/>
      <c r="C881" s="423"/>
      <c r="D881" s="423"/>
      <c r="E881" s="425"/>
      <c r="F881" s="94"/>
      <c r="G881" s="113"/>
      <c r="H881" s="59"/>
      <c r="I881" s="114"/>
      <c r="J881" s="59"/>
      <c r="K881" s="60"/>
      <c r="L881" s="92"/>
      <c r="M881" s="87"/>
      <c r="N881" s="87"/>
      <c r="O881" s="410"/>
      <c r="P881" s="87"/>
      <c r="Q881" s="87"/>
      <c r="R881" s="87"/>
      <c r="S881" s="87"/>
      <c r="T881" s="87"/>
      <c r="U881" s="87"/>
    </row>
    <row r="882" spans="1:21" s="62" customFormat="1" ht="24" customHeight="1">
      <c r="A882" s="450"/>
      <c r="B882" s="423"/>
      <c r="C882" s="423"/>
      <c r="D882" s="423"/>
      <c r="E882" s="425"/>
      <c r="F882" s="94"/>
      <c r="G882" s="113"/>
      <c r="H882" s="59"/>
      <c r="I882" s="114"/>
      <c r="J882" s="59"/>
      <c r="K882" s="60"/>
      <c r="L882" s="92"/>
      <c r="M882" s="87"/>
      <c r="N882" s="87"/>
      <c r="O882" s="410"/>
      <c r="P882" s="87"/>
      <c r="Q882" s="87"/>
      <c r="R882" s="87"/>
      <c r="S882" s="87"/>
      <c r="T882" s="87"/>
      <c r="U882" s="87"/>
    </row>
    <row r="883" spans="1:21" s="62" customFormat="1" ht="24" customHeight="1">
      <c r="A883" s="450"/>
      <c r="B883" s="423"/>
      <c r="C883" s="423"/>
      <c r="D883" s="423"/>
      <c r="E883" s="425"/>
      <c r="F883" s="94"/>
      <c r="G883" s="113"/>
      <c r="H883" s="59"/>
      <c r="I883" s="114"/>
      <c r="J883" s="59"/>
      <c r="K883" s="60"/>
      <c r="L883" s="92"/>
      <c r="M883" s="87"/>
      <c r="N883" s="87"/>
      <c r="O883" s="410"/>
      <c r="P883" s="87"/>
      <c r="Q883" s="87"/>
      <c r="R883" s="87"/>
      <c r="S883" s="87"/>
      <c r="T883" s="87"/>
      <c r="U883" s="87"/>
    </row>
    <row r="884" spans="1:21" s="62" customFormat="1" ht="24" customHeight="1">
      <c r="A884" s="450"/>
      <c r="B884" s="423"/>
      <c r="C884" s="423"/>
      <c r="D884" s="423"/>
      <c r="E884" s="425"/>
      <c r="F884" s="94"/>
      <c r="G884" s="113"/>
      <c r="H884" s="59"/>
      <c r="I884" s="114"/>
      <c r="J884" s="59"/>
      <c r="K884" s="60"/>
      <c r="L884" s="92"/>
      <c r="M884" s="87"/>
      <c r="N884" s="87"/>
      <c r="O884" s="410"/>
      <c r="P884" s="87"/>
      <c r="Q884" s="87"/>
      <c r="R884" s="87"/>
      <c r="S884" s="87"/>
      <c r="T884" s="87"/>
      <c r="U884" s="87"/>
    </row>
    <row r="885" spans="1:21" s="62" customFormat="1" ht="24" customHeight="1">
      <c r="A885" s="450"/>
      <c r="B885" s="423"/>
      <c r="C885" s="423"/>
      <c r="D885" s="423"/>
      <c r="E885" s="425"/>
      <c r="F885" s="94"/>
      <c r="G885" s="113"/>
      <c r="H885" s="59"/>
      <c r="I885" s="114"/>
      <c r="J885" s="59"/>
      <c r="K885" s="60"/>
      <c r="L885" s="92"/>
      <c r="M885" s="87"/>
      <c r="N885" s="87"/>
      <c r="O885" s="410"/>
      <c r="P885" s="87"/>
      <c r="Q885" s="87"/>
      <c r="R885" s="87"/>
      <c r="S885" s="87"/>
      <c r="T885" s="87"/>
      <c r="U885" s="87"/>
    </row>
    <row r="886" spans="1:21" s="62" customFormat="1" ht="24" customHeight="1">
      <c r="A886" s="450" t="s">
        <v>207</v>
      </c>
      <c r="B886" s="452" t="s">
        <v>208</v>
      </c>
      <c r="C886" s="423"/>
      <c r="D886" s="423"/>
      <c r="E886" s="425"/>
      <c r="F886" s="94"/>
      <c r="G886" s="113"/>
      <c r="H886" s="59"/>
      <c r="I886" s="114"/>
      <c r="J886" s="59"/>
      <c r="K886" s="60"/>
      <c r="L886" s="92"/>
      <c r="M886" s="87"/>
      <c r="N886" s="87"/>
      <c r="O886" s="410"/>
      <c r="P886" s="87"/>
      <c r="Q886" s="87"/>
      <c r="R886" s="87"/>
      <c r="S886" s="87"/>
      <c r="T886" s="87"/>
      <c r="U886" s="87"/>
    </row>
    <row r="887" spans="1:21" s="62" customFormat="1" ht="24" customHeight="1">
      <c r="A887" s="450"/>
      <c r="B887" s="423" t="s">
        <v>150</v>
      </c>
      <c r="C887" s="424"/>
      <c r="D887" s="424"/>
      <c r="E887" s="425">
        <v>47.89</v>
      </c>
      <c r="F887" s="94" t="s">
        <v>151</v>
      </c>
      <c r="G887" s="113">
        <v>2516</v>
      </c>
      <c r="H887" s="59">
        <f t="shared" ref="H887:H902" si="186">ROUND(E887*G887,2)</f>
        <v>120491.24</v>
      </c>
      <c r="I887" s="114">
        <v>485</v>
      </c>
      <c r="J887" s="59">
        <f t="shared" ref="J887:J902" si="187">ROUND(E887*I887,2)</f>
        <v>23226.65</v>
      </c>
      <c r="K887" s="60">
        <f t="shared" ref="K887:K902" si="188">H887+J887</f>
        <v>143717.89000000001</v>
      </c>
      <c r="L887" s="92"/>
      <c r="M887" s="87"/>
      <c r="N887" s="87"/>
      <c r="O887" s="410"/>
      <c r="P887" s="87"/>
      <c r="Q887" s="87"/>
      <c r="R887" s="87"/>
      <c r="S887" s="87"/>
      <c r="T887" s="87"/>
      <c r="U887" s="87"/>
    </row>
    <row r="888" spans="1:21" s="62" customFormat="1" ht="24" customHeight="1">
      <c r="A888" s="450"/>
      <c r="B888" s="426" t="s">
        <v>152</v>
      </c>
      <c r="C888" s="423"/>
      <c r="D888" s="423"/>
      <c r="E888" s="425"/>
      <c r="F888" s="94"/>
      <c r="G888" s="113"/>
      <c r="H888" s="59">
        <f t="shared" si="186"/>
        <v>0</v>
      </c>
      <c r="I888" s="114"/>
      <c r="J888" s="59">
        <f t="shared" si="187"/>
        <v>0</v>
      </c>
      <c r="K888" s="60">
        <f t="shared" si="188"/>
        <v>0</v>
      </c>
      <c r="L888" s="92"/>
      <c r="M888" s="87"/>
      <c r="N888" s="87"/>
      <c r="O888" s="410"/>
      <c r="P888" s="87"/>
      <c r="Q888" s="87"/>
      <c r="R888" s="87"/>
      <c r="S888" s="87"/>
      <c r="T888" s="87"/>
      <c r="U888" s="87"/>
    </row>
    <row r="889" spans="1:21" s="62" customFormat="1" ht="24" customHeight="1">
      <c r="A889" s="450"/>
      <c r="B889" s="426"/>
      <c r="C889" s="423" t="s">
        <v>153</v>
      </c>
      <c r="D889" s="423"/>
      <c r="E889" s="425">
        <f>E890/2</f>
        <v>123.39</v>
      </c>
      <c r="F889" s="94" t="s">
        <v>37</v>
      </c>
      <c r="G889" s="113">
        <v>661.62</v>
      </c>
      <c r="H889" s="59">
        <f t="shared" si="186"/>
        <v>81637.289999999994</v>
      </c>
      <c r="I889" s="114"/>
      <c r="J889" s="59">
        <f t="shared" si="187"/>
        <v>0</v>
      </c>
      <c r="K889" s="60">
        <f t="shared" si="188"/>
        <v>81637.289999999994</v>
      </c>
      <c r="L889" s="92"/>
      <c r="M889" s="87"/>
      <c r="N889" s="87"/>
      <c r="O889" s="410"/>
      <c r="P889" s="87"/>
      <c r="Q889" s="87"/>
      <c r="R889" s="87"/>
      <c r="S889" s="87"/>
      <c r="T889" s="87"/>
      <c r="U889" s="87"/>
    </row>
    <row r="890" spans="1:21" s="62" customFormat="1" ht="24" customHeight="1">
      <c r="A890" s="450"/>
      <c r="B890" s="426"/>
      <c r="C890" s="423" t="s">
        <v>154</v>
      </c>
      <c r="D890" s="423"/>
      <c r="E890" s="425">
        <v>246.78</v>
      </c>
      <c r="F890" s="94" t="s">
        <v>37</v>
      </c>
      <c r="G890" s="113"/>
      <c r="H890" s="59">
        <f t="shared" si="186"/>
        <v>0</v>
      </c>
      <c r="I890" s="114">
        <v>154</v>
      </c>
      <c r="J890" s="59">
        <f t="shared" si="187"/>
        <v>38004.120000000003</v>
      </c>
      <c r="K890" s="60">
        <f t="shared" si="188"/>
        <v>38004.120000000003</v>
      </c>
      <c r="L890" s="92"/>
      <c r="M890" s="87"/>
      <c r="N890" s="87"/>
      <c r="O890" s="410"/>
      <c r="P890" s="87"/>
      <c r="Q890" s="87"/>
      <c r="R890" s="87"/>
      <c r="S890" s="87"/>
      <c r="T890" s="87"/>
      <c r="U890" s="87"/>
    </row>
    <row r="891" spans="1:21" s="62" customFormat="1" ht="24" customHeight="1">
      <c r="A891" s="450"/>
      <c r="B891" s="423" t="s">
        <v>155</v>
      </c>
      <c r="C891" s="423"/>
      <c r="D891" s="423"/>
      <c r="E891" s="425">
        <f>(E890*0.25)</f>
        <v>61.695</v>
      </c>
      <c r="F891" s="94" t="s">
        <v>156</v>
      </c>
      <c r="G891" s="113">
        <f t="shared" ref="G891" si="189">VLOOKUP(B891,$N$43:$O$53,2,FALSE)</f>
        <v>29.94</v>
      </c>
      <c r="H891" s="59">
        <f t="shared" si="186"/>
        <v>1847.15</v>
      </c>
      <c r="I891" s="114"/>
      <c r="J891" s="59">
        <f t="shared" si="187"/>
        <v>0</v>
      </c>
      <c r="K891" s="60">
        <f t="shared" si="188"/>
        <v>1847.15</v>
      </c>
      <c r="L891" s="92"/>
      <c r="M891" s="87"/>
      <c r="N891" s="87"/>
      <c r="O891" s="410"/>
      <c r="P891" s="87"/>
      <c r="Q891" s="87"/>
      <c r="R891" s="87"/>
      <c r="S891" s="87"/>
      <c r="T891" s="87"/>
      <c r="U891" s="87"/>
    </row>
    <row r="892" spans="1:21" s="62" customFormat="1" ht="24" customHeight="1">
      <c r="A892" s="450"/>
      <c r="B892" s="423" t="s">
        <v>157</v>
      </c>
      <c r="C892" s="423"/>
      <c r="D892" s="423"/>
      <c r="E892" s="425"/>
      <c r="F892" s="115"/>
      <c r="G892" s="101"/>
      <c r="H892" s="59">
        <f t="shared" si="186"/>
        <v>0</v>
      </c>
      <c r="I892" s="114"/>
      <c r="J892" s="59">
        <f t="shared" si="187"/>
        <v>0</v>
      </c>
      <c r="K892" s="60">
        <f t="shared" si="188"/>
        <v>0</v>
      </c>
      <c r="L892" s="92"/>
      <c r="M892" s="87"/>
      <c r="N892" s="87"/>
      <c r="O892" s="410"/>
      <c r="P892" s="87"/>
      <c r="Q892" s="87"/>
      <c r="R892" s="87"/>
      <c r="S892" s="87"/>
      <c r="T892" s="87"/>
      <c r="U892" s="87"/>
    </row>
    <row r="893" spans="1:21" s="62" customFormat="1" ht="24" customHeight="1">
      <c r="A893" s="450"/>
      <c r="B893" s="428" t="s">
        <v>158</v>
      </c>
      <c r="C893" s="428"/>
      <c r="D893" s="428"/>
      <c r="E893" s="425">
        <v>0</v>
      </c>
      <c r="F893" s="94" t="s">
        <v>156</v>
      </c>
      <c r="G893" s="113">
        <f>VLOOKUP(B893,$N$43:$O$54,2,FALSE)</f>
        <v>25.73</v>
      </c>
      <c r="H893" s="59">
        <f t="shared" si="186"/>
        <v>0</v>
      </c>
      <c r="I893" s="103">
        <v>4.0999999999999996</v>
      </c>
      <c r="J893" s="59">
        <f t="shared" si="187"/>
        <v>0</v>
      </c>
      <c r="K893" s="60">
        <f t="shared" si="188"/>
        <v>0</v>
      </c>
      <c r="L893" s="92"/>
      <c r="M893" s="87"/>
      <c r="N893" s="87"/>
      <c r="O893" s="410"/>
      <c r="P893" s="87"/>
      <c r="Q893" s="87"/>
      <c r="R893" s="87"/>
      <c r="S893" s="87"/>
      <c r="T893" s="87"/>
      <c r="U893" s="87"/>
    </row>
    <row r="894" spans="1:21" s="62" customFormat="1" ht="24" customHeight="1">
      <c r="A894" s="450"/>
      <c r="B894" s="423" t="s">
        <v>159</v>
      </c>
      <c r="C894" s="423"/>
      <c r="D894" s="423"/>
      <c r="E894" s="425">
        <v>1068.46</v>
      </c>
      <c r="F894" s="94" t="s">
        <v>156</v>
      </c>
      <c r="G894" s="113">
        <f t="shared" ref="G894:G902" si="190">VLOOKUP(B894,$N$43:$O$54,2,FALSE)</f>
        <v>24.97</v>
      </c>
      <c r="H894" s="59">
        <f t="shared" si="186"/>
        <v>26679.45</v>
      </c>
      <c r="I894" s="114">
        <v>4.0999999999999996</v>
      </c>
      <c r="J894" s="59">
        <f t="shared" si="187"/>
        <v>4380.6899999999996</v>
      </c>
      <c r="K894" s="60">
        <f t="shared" si="188"/>
        <v>31060.14</v>
      </c>
      <c r="L894" s="92"/>
      <c r="M894" s="87"/>
      <c r="N894" s="87"/>
      <c r="O894" s="410"/>
      <c r="P894" s="87"/>
      <c r="Q894" s="87"/>
      <c r="R894" s="87"/>
      <c r="S894" s="87"/>
      <c r="T894" s="87"/>
      <c r="U894" s="87"/>
    </row>
    <row r="895" spans="1:21" s="62" customFormat="1" ht="24" customHeight="1">
      <c r="A895" s="450"/>
      <c r="B895" s="423" t="s">
        <v>328</v>
      </c>
      <c r="C895" s="423"/>
      <c r="D895" s="423"/>
      <c r="E895" s="425">
        <v>241.77</v>
      </c>
      <c r="F895" s="94" t="s">
        <v>156</v>
      </c>
      <c r="G895" s="113">
        <f t="shared" si="190"/>
        <v>23.5</v>
      </c>
      <c r="H895" s="59">
        <f t="shared" si="186"/>
        <v>5681.6</v>
      </c>
      <c r="I895" s="114">
        <v>3.3</v>
      </c>
      <c r="J895" s="59">
        <f t="shared" si="187"/>
        <v>797.84</v>
      </c>
      <c r="K895" s="60">
        <f t="shared" si="188"/>
        <v>6479.4400000000005</v>
      </c>
      <c r="L895" s="92"/>
      <c r="M895" s="87"/>
      <c r="N895" s="87"/>
      <c r="O895" s="410"/>
      <c r="P895" s="87"/>
      <c r="Q895" s="87"/>
      <c r="R895" s="87"/>
      <c r="S895" s="87"/>
      <c r="T895" s="87"/>
      <c r="U895" s="87"/>
    </row>
    <row r="896" spans="1:21" s="62" customFormat="1" ht="24" customHeight="1">
      <c r="A896" s="450"/>
      <c r="B896" s="423" t="s">
        <v>160</v>
      </c>
      <c r="C896" s="423"/>
      <c r="D896" s="423"/>
      <c r="E896" s="425">
        <v>4358.2299999999996</v>
      </c>
      <c r="F896" s="94" t="s">
        <v>156</v>
      </c>
      <c r="G896" s="113">
        <f t="shared" si="190"/>
        <v>24.47</v>
      </c>
      <c r="H896" s="59">
        <f t="shared" si="186"/>
        <v>106645.89</v>
      </c>
      <c r="I896" s="114">
        <v>3.3</v>
      </c>
      <c r="J896" s="59">
        <f t="shared" si="187"/>
        <v>14382.16</v>
      </c>
      <c r="K896" s="60">
        <f t="shared" si="188"/>
        <v>121028.05</v>
      </c>
      <c r="L896" s="92"/>
      <c r="M896" s="87"/>
      <c r="N896" s="87"/>
      <c r="O896" s="410"/>
      <c r="P896" s="87"/>
      <c r="Q896" s="87"/>
      <c r="R896" s="87"/>
      <c r="S896" s="87"/>
      <c r="T896" s="87"/>
      <c r="U896" s="87"/>
    </row>
    <row r="897" spans="1:21" s="62" customFormat="1" ht="24" customHeight="1">
      <c r="A897" s="450"/>
      <c r="B897" s="423" t="s">
        <v>161</v>
      </c>
      <c r="C897" s="423"/>
      <c r="D897" s="423"/>
      <c r="E897" s="425">
        <v>1136.46</v>
      </c>
      <c r="F897" s="115" t="s">
        <v>156</v>
      </c>
      <c r="G897" s="113">
        <f t="shared" si="190"/>
        <v>24.27</v>
      </c>
      <c r="H897" s="59">
        <f t="shared" si="186"/>
        <v>27581.88</v>
      </c>
      <c r="I897" s="114">
        <v>3.3</v>
      </c>
      <c r="J897" s="59">
        <f t="shared" si="187"/>
        <v>3750.32</v>
      </c>
      <c r="K897" s="60">
        <f t="shared" si="188"/>
        <v>31332.2</v>
      </c>
      <c r="L897" s="92"/>
      <c r="M897" s="87"/>
      <c r="N897" s="87"/>
      <c r="O897" s="410"/>
      <c r="P897" s="87"/>
      <c r="Q897" s="87"/>
      <c r="R897" s="87"/>
      <c r="S897" s="87"/>
      <c r="T897" s="87"/>
      <c r="U897" s="87"/>
    </row>
    <row r="898" spans="1:21" s="62" customFormat="1" ht="24" customHeight="1">
      <c r="A898" s="450"/>
      <c r="B898" s="428" t="s">
        <v>162</v>
      </c>
      <c r="C898" s="428"/>
      <c r="D898" s="428"/>
      <c r="E898" s="425">
        <v>0</v>
      </c>
      <c r="F898" s="94" t="s">
        <v>156</v>
      </c>
      <c r="G898" s="113">
        <f t="shared" si="190"/>
        <v>24.27</v>
      </c>
      <c r="H898" s="59">
        <f t="shared" si="186"/>
        <v>0</v>
      </c>
      <c r="I898" s="114">
        <v>2.9</v>
      </c>
      <c r="J898" s="59">
        <f t="shared" si="187"/>
        <v>0</v>
      </c>
      <c r="K898" s="60">
        <f t="shared" si="188"/>
        <v>0</v>
      </c>
      <c r="L898" s="92"/>
      <c r="M898" s="87"/>
      <c r="N898" s="87"/>
      <c r="O898" s="410"/>
      <c r="P898" s="87"/>
      <c r="Q898" s="87"/>
      <c r="R898" s="87"/>
      <c r="S898" s="87"/>
      <c r="T898" s="87"/>
      <c r="U898" s="87"/>
    </row>
    <row r="899" spans="1:21" s="62" customFormat="1" ht="24" customHeight="1">
      <c r="A899" s="450"/>
      <c r="B899" s="423" t="s">
        <v>163</v>
      </c>
      <c r="C899" s="423"/>
      <c r="D899" s="423"/>
      <c r="E899" s="425"/>
      <c r="F899" s="94" t="s">
        <v>156</v>
      </c>
      <c r="G899" s="113">
        <f t="shared" si="190"/>
        <v>24.27</v>
      </c>
      <c r="H899" s="59">
        <f t="shared" si="186"/>
        <v>0</v>
      </c>
      <c r="I899" s="114">
        <v>2.9</v>
      </c>
      <c r="J899" s="59">
        <f t="shared" si="187"/>
        <v>0</v>
      </c>
      <c r="K899" s="60">
        <f t="shared" si="188"/>
        <v>0</v>
      </c>
      <c r="L899" s="92"/>
      <c r="M899" s="87"/>
      <c r="N899" s="87"/>
      <c r="O899" s="410"/>
      <c r="P899" s="87"/>
      <c r="Q899" s="87"/>
      <c r="R899" s="87"/>
      <c r="S899" s="87"/>
      <c r="T899" s="87"/>
      <c r="U899" s="87"/>
    </row>
    <row r="900" spans="1:21" s="62" customFormat="1" ht="24" customHeight="1">
      <c r="A900" s="450"/>
      <c r="B900" s="423" t="s">
        <v>164</v>
      </c>
      <c r="C900" s="423"/>
      <c r="D900" s="423"/>
      <c r="E900" s="425"/>
      <c r="F900" s="94" t="s">
        <v>156</v>
      </c>
      <c r="G900" s="113">
        <f t="shared" si="190"/>
        <v>24.27</v>
      </c>
      <c r="H900" s="59">
        <f t="shared" si="186"/>
        <v>0</v>
      </c>
      <c r="I900" s="114">
        <v>2.9</v>
      </c>
      <c r="J900" s="59">
        <f t="shared" si="187"/>
        <v>0</v>
      </c>
      <c r="K900" s="60">
        <f t="shared" si="188"/>
        <v>0</v>
      </c>
      <c r="L900" s="92"/>
      <c r="M900" s="87"/>
      <c r="N900" s="87"/>
      <c r="O900" s="410"/>
      <c r="P900" s="87"/>
      <c r="Q900" s="87"/>
      <c r="R900" s="87"/>
      <c r="S900" s="87"/>
      <c r="T900" s="87"/>
      <c r="U900" s="87"/>
    </row>
    <row r="901" spans="1:21" s="62" customFormat="1" ht="24" customHeight="1">
      <c r="A901" s="450"/>
      <c r="B901" s="423" t="s">
        <v>165</v>
      </c>
      <c r="C901" s="423"/>
      <c r="D901" s="423"/>
      <c r="E901" s="425"/>
      <c r="F901" s="94" t="s">
        <v>156</v>
      </c>
      <c r="G901" s="113">
        <f t="shared" si="190"/>
        <v>23.8</v>
      </c>
      <c r="H901" s="59">
        <f t="shared" si="186"/>
        <v>0</v>
      </c>
      <c r="I901" s="114">
        <v>2.9</v>
      </c>
      <c r="J901" s="59">
        <f t="shared" si="187"/>
        <v>0</v>
      </c>
      <c r="K901" s="60">
        <f t="shared" si="188"/>
        <v>0</v>
      </c>
      <c r="L901" s="92"/>
      <c r="M901" s="87"/>
      <c r="N901" s="87"/>
      <c r="O901" s="410"/>
      <c r="P901" s="87"/>
      <c r="Q901" s="87"/>
      <c r="R901" s="87"/>
      <c r="S901" s="87"/>
      <c r="T901" s="87"/>
      <c r="U901" s="87"/>
    </row>
    <row r="902" spans="1:21" s="62" customFormat="1" ht="24" customHeight="1">
      <c r="A902" s="450"/>
      <c r="B902" s="423" t="s">
        <v>166</v>
      </c>
      <c r="C902" s="423"/>
      <c r="D902" s="423"/>
      <c r="E902" s="425">
        <f>(SUM(E893:E901)/1000)*30</f>
        <v>204.14759999999998</v>
      </c>
      <c r="F902" s="94" t="s">
        <v>156</v>
      </c>
      <c r="G902" s="113">
        <f t="shared" si="190"/>
        <v>29.92</v>
      </c>
      <c r="H902" s="59">
        <f t="shared" si="186"/>
        <v>6108.1</v>
      </c>
      <c r="I902" s="114"/>
      <c r="J902" s="59">
        <f t="shared" si="187"/>
        <v>0</v>
      </c>
      <c r="K902" s="60">
        <f t="shared" si="188"/>
        <v>6108.1</v>
      </c>
      <c r="L902" s="92"/>
      <c r="M902" s="87"/>
      <c r="N902" s="87"/>
      <c r="O902" s="410"/>
      <c r="P902" s="87"/>
      <c r="Q902" s="87"/>
      <c r="R902" s="87"/>
      <c r="S902" s="87"/>
      <c r="T902" s="87"/>
      <c r="U902" s="87"/>
    </row>
    <row r="903" spans="1:21" s="62" customFormat="1" ht="24" customHeight="1">
      <c r="A903" s="93"/>
      <c r="B903" s="423" t="s">
        <v>167</v>
      </c>
      <c r="C903" s="423"/>
      <c r="D903" s="423"/>
      <c r="E903" s="425"/>
      <c r="F903" s="94"/>
      <c r="G903" s="113"/>
      <c r="H903" s="59"/>
      <c r="I903" s="114"/>
      <c r="J903" s="59"/>
      <c r="K903" s="60"/>
      <c r="L903" s="92"/>
      <c r="M903" s="87"/>
      <c r="N903" s="87"/>
      <c r="O903" s="410"/>
      <c r="P903" s="87"/>
      <c r="Q903" s="87"/>
      <c r="R903" s="87"/>
      <c r="S903" s="87"/>
      <c r="T903" s="87"/>
      <c r="U903" s="87"/>
    </row>
    <row r="904" spans="1:21" s="62" customFormat="1" ht="24" customHeight="1">
      <c r="A904" s="93"/>
      <c r="B904" s="423"/>
      <c r="C904" s="423"/>
      <c r="D904" s="423"/>
      <c r="E904" s="425"/>
      <c r="F904" s="94"/>
      <c r="G904" s="113"/>
      <c r="H904" s="59"/>
      <c r="I904" s="114"/>
      <c r="J904" s="59"/>
      <c r="K904" s="60">
        <f t="shared" ref="K904" si="191">H904+J904</f>
        <v>0</v>
      </c>
      <c r="L904" s="92"/>
      <c r="M904" s="87"/>
      <c r="N904" s="87"/>
      <c r="O904" s="410"/>
      <c r="P904" s="87"/>
      <c r="Q904" s="87"/>
      <c r="R904" s="87"/>
      <c r="S904" s="87"/>
      <c r="T904" s="87"/>
      <c r="U904" s="87"/>
    </row>
    <row r="905" spans="1:21" s="62" customFormat="1" ht="24" customHeight="1">
      <c r="A905" s="450"/>
      <c r="B905" s="423"/>
      <c r="C905" s="423"/>
      <c r="D905" s="423"/>
      <c r="E905" s="425"/>
      <c r="F905" s="94"/>
      <c r="G905" s="113"/>
      <c r="H905" s="59"/>
      <c r="I905" s="114"/>
      <c r="J905" s="59"/>
      <c r="K905" s="60"/>
      <c r="L905" s="92"/>
      <c r="M905" s="87"/>
      <c r="N905" s="87"/>
      <c r="O905" s="410"/>
      <c r="P905" s="87"/>
      <c r="Q905" s="87"/>
      <c r="R905" s="87"/>
      <c r="S905" s="87"/>
      <c r="T905" s="87"/>
      <c r="U905" s="87"/>
    </row>
    <row r="906" spans="1:21" s="62" customFormat="1" ht="24" customHeight="1">
      <c r="A906" s="450"/>
      <c r="B906" s="423"/>
      <c r="C906" s="423"/>
      <c r="D906" s="423"/>
      <c r="E906" s="425"/>
      <c r="F906" s="94"/>
      <c r="G906" s="113"/>
      <c r="H906" s="59"/>
      <c r="I906" s="114"/>
      <c r="J906" s="59"/>
      <c r="K906" s="60"/>
      <c r="L906" s="92"/>
      <c r="M906" s="87"/>
      <c r="N906" s="87"/>
      <c r="O906" s="410"/>
      <c r="P906" s="87"/>
      <c r="Q906" s="87"/>
      <c r="R906" s="87"/>
      <c r="S906" s="87"/>
      <c r="T906" s="87"/>
      <c r="U906" s="87"/>
    </row>
    <row r="907" spans="1:21" s="62" customFormat="1" ht="24" customHeight="1">
      <c r="A907" s="450"/>
      <c r="B907" s="423"/>
      <c r="C907" s="423"/>
      <c r="D907" s="423"/>
      <c r="E907" s="425"/>
      <c r="F907" s="94"/>
      <c r="G907" s="113"/>
      <c r="H907" s="59"/>
      <c r="I907" s="114"/>
      <c r="J907" s="59"/>
      <c r="K907" s="60"/>
      <c r="L907" s="92"/>
      <c r="M907" s="87"/>
      <c r="N907" s="87"/>
      <c r="O907" s="410"/>
      <c r="P907" s="87"/>
      <c r="Q907" s="87"/>
      <c r="R907" s="87"/>
      <c r="S907" s="87"/>
      <c r="T907" s="87"/>
      <c r="U907" s="87"/>
    </row>
    <row r="908" spans="1:21" s="62" customFormat="1" ht="24" customHeight="1">
      <c r="A908" s="450"/>
      <c r="B908" s="423"/>
      <c r="C908" s="423"/>
      <c r="D908" s="423"/>
      <c r="E908" s="425"/>
      <c r="F908" s="94"/>
      <c r="G908" s="113"/>
      <c r="H908" s="59"/>
      <c r="I908" s="114"/>
      <c r="J908" s="59"/>
      <c r="K908" s="60"/>
      <c r="L908" s="92"/>
      <c r="M908" s="87"/>
      <c r="N908" s="87"/>
      <c r="O908" s="410"/>
      <c r="P908" s="87"/>
      <c r="Q908" s="87"/>
      <c r="R908" s="87"/>
      <c r="S908" s="87"/>
      <c r="T908" s="87"/>
      <c r="U908" s="87"/>
    </row>
    <row r="909" spans="1:21" s="62" customFormat="1" ht="24" customHeight="1">
      <c r="A909" s="90"/>
      <c r="B909" s="430"/>
      <c r="C909" s="430"/>
      <c r="D909" s="430"/>
      <c r="E909" s="425"/>
      <c r="F909" s="432"/>
      <c r="G909" s="101"/>
      <c r="H909" s="102"/>
      <c r="I909" s="103"/>
      <c r="J909" s="102"/>
      <c r="K909" s="104"/>
      <c r="L909" s="433"/>
      <c r="M909" s="87"/>
      <c r="N909" s="87"/>
      <c r="O909" s="410"/>
      <c r="P909" s="87"/>
      <c r="Q909" s="87"/>
      <c r="R909" s="87"/>
      <c r="S909" s="87"/>
      <c r="T909" s="87"/>
      <c r="U909" s="87"/>
    </row>
    <row r="910" spans="1:21" s="62" customFormat="1" ht="24" customHeight="1">
      <c r="A910" s="109"/>
      <c r="B910" s="2444" t="str">
        <f>"รวมราคารายการที่ "&amp;A786</f>
        <v>รวมราคารายการที่ 1.7</v>
      </c>
      <c r="C910" s="2444"/>
      <c r="D910" s="2444"/>
      <c r="E910" s="110"/>
      <c r="F910" s="111"/>
      <c r="G910" s="112"/>
      <c r="H910" s="106">
        <f>ROUND(SUBTOTAL(9,H789:H909),2)</f>
        <v>18806761.68</v>
      </c>
      <c r="I910" s="108"/>
      <c r="J910" s="106">
        <f>ROUND(SUBTOTAL(9,J789:J909),2)</f>
        <v>3546217.85</v>
      </c>
      <c r="K910" s="106">
        <f>ROUND(SUBTOTAL(9,K789:K909),2)</f>
        <v>22352979.530000001</v>
      </c>
      <c r="L910" s="106"/>
      <c r="M910" s="87"/>
      <c r="N910" s="87"/>
      <c r="O910" s="410"/>
      <c r="P910" s="87"/>
      <c r="Q910" s="87"/>
      <c r="R910" s="87"/>
      <c r="S910" s="87"/>
      <c r="T910" s="87"/>
      <c r="U910" s="87"/>
    </row>
    <row r="911" spans="1:21" s="62" customFormat="1" ht="24" customHeight="1">
      <c r="A911" s="90">
        <v>1.8</v>
      </c>
      <c r="B911" s="411" t="s">
        <v>209</v>
      </c>
      <c r="C911" s="430"/>
      <c r="D911" s="430"/>
      <c r="E911" s="431"/>
      <c r="F911" s="432"/>
      <c r="G911" s="101"/>
      <c r="H911" s="102"/>
      <c r="I911" s="103"/>
      <c r="J911" s="102"/>
      <c r="K911" s="104"/>
      <c r="L911" s="433"/>
      <c r="M911" s="87"/>
      <c r="N911" s="87"/>
      <c r="O911" s="410"/>
      <c r="P911" s="87"/>
      <c r="Q911" s="87"/>
      <c r="R911" s="87"/>
      <c r="S911" s="87"/>
      <c r="T911" s="87"/>
      <c r="U911" s="87"/>
    </row>
    <row r="912" spans="1:21" s="62" customFormat="1" ht="24" customHeight="1">
      <c r="A912" s="450"/>
      <c r="B912" s="117"/>
      <c r="C912" s="423"/>
      <c r="D912" s="423"/>
      <c r="E912" s="429"/>
      <c r="F912" s="94"/>
      <c r="G912" s="113"/>
      <c r="H912" s="59"/>
      <c r="I912" s="114"/>
      <c r="J912" s="59"/>
      <c r="K912" s="60"/>
      <c r="L912" s="92"/>
      <c r="M912" s="87"/>
      <c r="N912" s="87"/>
      <c r="O912" s="410"/>
      <c r="P912" s="87"/>
      <c r="Q912" s="87"/>
      <c r="R912" s="87"/>
      <c r="S912" s="87"/>
      <c r="T912" s="87"/>
      <c r="U912" s="87"/>
    </row>
    <row r="913" spans="1:21" s="62" customFormat="1" ht="24" customHeight="1">
      <c r="A913" s="450" t="s">
        <v>210</v>
      </c>
      <c r="B913" s="453" t="s">
        <v>211</v>
      </c>
      <c r="C913" s="423"/>
      <c r="D913" s="423"/>
      <c r="E913" s="429"/>
      <c r="F913" s="94"/>
      <c r="G913" s="113"/>
      <c r="H913" s="59"/>
      <c r="I913" s="114"/>
      <c r="J913" s="59"/>
      <c r="K913" s="60"/>
      <c r="L913" s="92"/>
      <c r="M913" s="87"/>
      <c r="N913" s="87"/>
      <c r="O913" s="410"/>
      <c r="P913" s="87"/>
      <c r="Q913" s="87"/>
      <c r="R913" s="87"/>
      <c r="S913" s="87"/>
      <c r="T913" s="87"/>
      <c r="U913" s="87"/>
    </row>
    <row r="914" spans="1:21" s="62" customFormat="1" ht="24" customHeight="1">
      <c r="A914" s="450"/>
      <c r="B914" s="423" t="s">
        <v>150</v>
      </c>
      <c r="C914" s="424"/>
      <c r="D914" s="424"/>
      <c r="E914" s="425">
        <v>329.74</v>
      </c>
      <c r="F914" s="94" t="s">
        <v>151</v>
      </c>
      <c r="G914" s="113">
        <v>2516</v>
      </c>
      <c r="H914" s="59">
        <f t="shared" ref="H914:H928" si="192">ROUND(E914*G914,2)</f>
        <v>829625.84</v>
      </c>
      <c r="I914" s="114">
        <v>485</v>
      </c>
      <c r="J914" s="59">
        <f t="shared" ref="J914:J928" si="193">ROUND(E914*I914,2)</f>
        <v>159923.9</v>
      </c>
      <c r="K914" s="60">
        <f t="shared" ref="K914:K928" si="194">H914+J914</f>
        <v>989549.74</v>
      </c>
      <c r="L914" s="92"/>
      <c r="M914" s="87"/>
      <c r="N914" s="87"/>
      <c r="O914" s="410"/>
      <c r="P914" s="87"/>
      <c r="Q914" s="87"/>
      <c r="R914" s="87"/>
      <c r="S914" s="87"/>
      <c r="T914" s="87"/>
      <c r="U914" s="87"/>
    </row>
    <row r="915" spans="1:21" s="62" customFormat="1" ht="24" customHeight="1">
      <c r="A915" s="450"/>
      <c r="B915" s="426" t="s">
        <v>152</v>
      </c>
      <c r="C915" s="423"/>
      <c r="D915" s="423"/>
      <c r="E915" s="425"/>
      <c r="F915" s="94"/>
      <c r="G915" s="113"/>
      <c r="H915" s="59">
        <f t="shared" si="192"/>
        <v>0</v>
      </c>
      <c r="I915" s="114"/>
      <c r="J915" s="59">
        <f t="shared" si="193"/>
        <v>0</v>
      </c>
      <c r="K915" s="60">
        <f t="shared" si="194"/>
        <v>0</v>
      </c>
      <c r="L915" s="92"/>
      <c r="M915" s="87"/>
      <c r="N915" s="87"/>
      <c r="O915" s="410"/>
      <c r="P915" s="87"/>
      <c r="Q915" s="87"/>
      <c r="R915" s="87"/>
      <c r="S915" s="87"/>
      <c r="T915" s="87"/>
      <c r="U915" s="87"/>
    </row>
    <row r="916" spans="1:21" s="62" customFormat="1" ht="24" customHeight="1">
      <c r="A916" s="450"/>
      <c r="B916" s="426"/>
      <c r="C916" s="423" t="s">
        <v>153</v>
      </c>
      <c r="D916" s="423"/>
      <c r="E916" s="425">
        <f>E917/2</f>
        <v>1089.58</v>
      </c>
      <c r="F916" s="94" t="s">
        <v>37</v>
      </c>
      <c r="G916" s="113">
        <v>661.62</v>
      </c>
      <c r="H916" s="59">
        <f t="shared" si="192"/>
        <v>720887.92</v>
      </c>
      <c r="I916" s="114"/>
      <c r="J916" s="59">
        <f t="shared" si="193"/>
        <v>0</v>
      </c>
      <c r="K916" s="60">
        <f t="shared" si="194"/>
        <v>720887.92</v>
      </c>
      <c r="L916" s="92"/>
      <c r="M916" s="87"/>
      <c r="N916" s="87"/>
      <c r="O916" s="410"/>
      <c r="P916" s="87"/>
      <c r="Q916" s="87"/>
      <c r="R916" s="87"/>
      <c r="S916" s="87"/>
      <c r="T916" s="87"/>
      <c r="U916" s="87"/>
    </row>
    <row r="917" spans="1:21" s="62" customFormat="1" ht="24" customHeight="1">
      <c r="A917" s="450"/>
      <c r="B917" s="426"/>
      <c r="C917" s="423" t="s">
        <v>154</v>
      </c>
      <c r="D917" s="423"/>
      <c r="E917" s="425">
        <v>2179.16</v>
      </c>
      <c r="F917" s="94" t="s">
        <v>37</v>
      </c>
      <c r="G917" s="113"/>
      <c r="H917" s="59">
        <f t="shared" si="192"/>
        <v>0</v>
      </c>
      <c r="I917" s="114">
        <v>154</v>
      </c>
      <c r="J917" s="59">
        <f t="shared" si="193"/>
        <v>335590.64</v>
      </c>
      <c r="K917" s="60">
        <f t="shared" si="194"/>
        <v>335590.64</v>
      </c>
      <c r="L917" s="92"/>
      <c r="M917" s="87"/>
      <c r="N917" s="87"/>
      <c r="O917" s="410"/>
      <c r="P917" s="87"/>
      <c r="Q917" s="87"/>
      <c r="R917" s="87"/>
      <c r="S917" s="87"/>
      <c r="T917" s="87"/>
      <c r="U917" s="87"/>
    </row>
    <row r="918" spans="1:21" s="62" customFormat="1" ht="24" customHeight="1">
      <c r="A918" s="450"/>
      <c r="B918" s="423" t="s">
        <v>155</v>
      </c>
      <c r="C918" s="423"/>
      <c r="D918" s="423"/>
      <c r="E918" s="425">
        <f>(E917*0.25)</f>
        <v>544.79</v>
      </c>
      <c r="F918" s="94" t="s">
        <v>156</v>
      </c>
      <c r="G918" s="113">
        <f t="shared" ref="G918" si="195">VLOOKUP(B918,$N$43:$O$53,2,FALSE)</f>
        <v>29.94</v>
      </c>
      <c r="H918" s="59">
        <f t="shared" si="192"/>
        <v>16311.01</v>
      </c>
      <c r="I918" s="114"/>
      <c r="J918" s="59">
        <f t="shared" si="193"/>
        <v>0</v>
      </c>
      <c r="K918" s="60">
        <f t="shared" si="194"/>
        <v>16311.01</v>
      </c>
      <c r="L918" s="92"/>
      <c r="M918" s="87"/>
      <c r="N918" s="87"/>
      <c r="O918" s="410"/>
      <c r="P918" s="87"/>
      <c r="Q918" s="87"/>
      <c r="R918" s="87"/>
      <c r="S918" s="87"/>
      <c r="T918" s="87"/>
      <c r="U918" s="87"/>
    </row>
    <row r="919" spans="1:21" s="62" customFormat="1" ht="24" customHeight="1">
      <c r="A919" s="450"/>
      <c r="B919" s="423" t="s">
        <v>157</v>
      </c>
      <c r="C919" s="423"/>
      <c r="D919" s="423"/>
      <c r="E919" s="425"/>
      <c r="F919" s="115"/>
      <c r="G919" s="101"/>
      <c r="H919" s="59">
        <f t="shared" si="192"/>
        <v>0</v>
      </c>
      <c r="I919" s="114"/>
      <c r="J919" s="59">
        <f t="shared" si="193"/>
        <v>0</v>
      </c>
      <c r="K919" s="60">
        <f t="shared" si="194"/>
        <v>0</v>
      </c>
      <c r="L919" s="92"/>
      <c r="M919" s="87"/>
      <c r="N919" s="87"/>
      <c r="O919" s="410"/>
      <c r="P919" s="87"/>
      <c r="Q919" s="87"/>
      <c r="R919" s="87"/>
      <c r="S919" s="87"/>
      <c r="T919" s="87"/>
      <c r="U919" s="87"/>
    </row>
    <row r="920" spans="1:21" s="62" customFormat="1" ht="24" customHeight="1">
      <c r="A920" s="450"/>
      <c r="B920" s="423" t="s">
        <v>158</v>
      </c>
      <c r="C920" s="423"/>
      <c r="D920" s="423"/>
      <c r="E920" s="425"/>
      <c r="F920" s="94" t="s">
        <v>156</v>
      </c>
      <c r="G920" s="113">
        <f>VLOOKUP(B920,$N$43:$O$54,2,FALSE)</f>
        <v>25.73</v>
      </c>
      <c r="H920" s="59">
        <f t="shared" si="192"/>
        <v>0</v>
      </c>
      <c r="I920" s="103">
        <v>4.0999999999999996</v>
      </c>
      <c r="J920" s="59">
        <f t="shared" si="193"/>
        <v>0</v>
      </c>
      <c r="K920" s="60">
        <f t="shared" si="194"/>
        <v>0</v>
      </c>
      <c r="L920" s="92"/>
      <c r="M920" s="87"/>
      <c r="N920" s="87"/>
      <c r="O920" s="410"/>
      <c r="P920" s="87"/>
      <c r="Q920" s="87"/>
      <c r="R920" s="87"/>
      <c r="S920" s="87"/>
      <c r="T920" s="87"/>
      <c r="U920" s="87"/>
    </row>
    <row r="921" spans="1:21" s="62" customFormat="1" ht="24" customHeight="1">
      <c r="A921" s="450"/>
      <c r="B921" s="423" t="s">
        <v>159</v>
      </c>
      <c r="C921" s="423"/>
      <c r="D921" s="423"/>
      <c r="E921" s="425"/>
      <c r="F921" s="94" t="s">
        <v>156</v>
      </c>
      <c r="G921" s="113">
        <f t="shared" ref="G921:G928" si="196">VLOOKUP(B921,$N$43:$O$54,2,FALSE)</f>
        <v>24.97</v>
      </c>
      <c r="H921" s="59">
        <f t="shared" si="192"/>
        <v>0</v>
      </c>
      <c r="I921" s="114">
        <v>4.0999999999999996</v>
      </c>
      <c r="J921" s="59">
        <f t="shared" si="193"/>
        <v>0</v>
      </c>
      <c r="K921" s="60">
        <f t="shared" si="194"/>
        <v>0</v>
      </c>
      <c r="L921" s="92"/>
      <c r="M921" s="87"/>
      <c r="N921" s="87"/>
      <c r="O921" s="410"/>
      <c r="P921" s="87"/>
      <c r="Q921" s="87"/>
      <c r="R921" s="87"/>
      <c r="S921" s="87"/>
      <c r="T921" s="87"/>
      <c r="U921" s="87"/>
    </row>
    <row r="922" spans="1:21" s="62" customFormat="1" ht="24" customHeight="1">
      <c r="A922" s="450"/>
      <c r="B922" s="423" t="s">
        <v>160</v>
      </c>
      <c r="C922" s="423"/>
      <c r="D922" s="423"/>
      <c r="E922" s="425">
        <v>38666.620000000003</v>
      </c>
      <c r="F922" s="94" t="s">
        <v>156</v>
      </c>
      <c r="G922" s="113">
        <f t="shared" si="196"/>
        <v>24.47</v>
      </c>
      <c r="H922" s="59">
        <f t="shared" si="192"/>
        <v>946172.19</v>
      </c>
      <c r="I922" s="114">
        <v>3.3</v>
      </c>
      <c r="J922" s="59">
        <f t="shared" si="193"/>
        <v>127599.85</v>
      </c>
      <c r="K922" s="60">
        <f t="shared" si="194"/>
        <v>1073772.04</v>
      </c>
      <c r="L922" s="92"/>
      <c r="M922" s="87"/>
      <c r="N922" s="87"/>
      <c r="O922" s="410"/>
      <c r="P922" s="87"/>
      <c r="Q922" s="87"/>
      <c r="R922" s="87"/>
      <c r="S922" s="87"/>
      <c r="T922" s="87"/>
      <c r="U922" s="87"/>
    </row>
    <row r="923" spans="1:21" s="62" customFormat="1" ht="24" customHeight="1">
      <c r="A923" s="450"/>
      <c r="B923" s="423" t="s">
        <v>161</v>
      </c>
      <c r="C923" s="423"/>
      <c r="D923" s="423"/>
      <c r="E923" s="425"/>
      <c r="F923" s="115" t="s">
        <v>156</v>
      </c>
      <c r="G923" s="113">
        <f t="shared" si="196"/>
        <v>24.27</v>
      </c>
      <c r="H923" s="59">
        <f t="shared" si="192"/>
        <v>0</v>
      </c>
      <c r="I923" s="114">
        <v>3.3</v>
      </c>
      <c r="J923" s="59">
        <f t="shared" si="193"/>
        <v>0</v>
      </c>
      <c r="K923" s="60">
        <f t="shared" si="194"/>
        <v>0</v>
      </c>
      <c r="L923" s="92"/>
      <c r="M923" s="87"/>
      <c r="N923" s="87"/>
      <c r="O923" s="410"/>
      <c r="P923" s="87"/>
      <c r="Q923" s="87"/>
      <c r="R923" s="87"/>
      <c r="S923" s="87"/>
      <c r="T923" s="87"/>
      <c r="U923" s="87"/>
    </row>
    <row r="924" spans="1:21" s="62" customFormat="1" ht="24" customHeight="1">
      <c r="A924" s="450"/>
      <c r="B924" s="423" t="s">
        <v>162</v>
      </c>
      <c r="C924" s="423"/>
      <c r="D924" s="423"/>
      <c r="E924" s="425"/>
      <c r="F924" s="94" t="s">
        <v>156</v>
      </c>
      <c r="G924" s="113">
        <f t="shared" si="196"/>
        <v>24.27</v>
      </c>
      <c r="H924" s="59">
        <f t="shared" si="192"/>
        <v>0</v>
      </c>
      <c r="I924" s="114">
        <v>2.9</v>
      </c>
      <c r="J924" s="59">
        <f t="shared" si="193"/>
        <v>0</v>
      </c>
      <c r="K924" s="60">
        <f t="shared" si="194"/>
        <v>0</v>
      </c>
      <c r="L924" s="92"/>
      <c r="M924" s="87"/>
      <c r="N924" s="87"/>
      <c r="O924" s="410"/>
      <c r="P924" s="87"/>
      <c r="Q924" s="87"/>
      <c r="R924" s="87"/>
      <c r="S924" s="87"/>
      <c r="T924" s="87"/>
      <c r="U924" s="87"/>
    </row>
    <row r="925" spans="1:21" s="62" customFormat="1" ht="24" customHeight="1">
      <c r="A925" s="450"/>
      <c r="B925" s="423" t="s">
        <v>163</v>
      </c>
      <c r="C925" s="423"/>
      <c r="D925" s="423"/>
      <c r="E925" s="425"/>
      <c r="F925" s="94" t="s">
        <v>156</v>
      </c>
      <c r="G925" s="113">
        <f t="shared" si="196"/>
        <v>24.27</v>
      </c>
      <c r="H925" s="59">
        <f t="shared" si="192"/>
        <v>0</v>
      </c>
      <c r="I925" s="114">
        <v>2.9</v>
      </c>
      <c r="J925" s="59">
        <f t="shared" si="193"/>
        <v>0</v>
      </c>
      <c r="K925" s="60">
        <f t="shared" si="194"/>
        <v>0</v>
      </c>
      <c r="L925" s="92"/>
      <c r="M925" s="87"/>
      <c r="N925" s="87"/>
      <c r="O925" s="410"/>
      <c r="P925" s="87"/>
      <c r="Q925" s="87"/>
      <c r="R925" s="87"/>
      <c r="S925" s="87"/>
      <c r="T925" s="87"/>
      <c r="U925" s="87"/>
    </row>
    <row r="926" spans="1:21" s="62" customFormat="1" ht="24" customHeight="1">
      <c r="A926" s="450"/>
      <c r="B926" s="423" t="s">
        <v>164</v>
      </c>
      <c r="C926" s="423"/>
      <c r="D926" s="423"/>
      <c r="E926" s="425"/>
      <c r="F926" s="94" t="s">
        <v>156</v>
      </c>
      <c r="G926" s="113">
        <f t="shared" si="196"/>
        <v>24.27</v>
      </c>
      <c r="H926" s="59">
        <f t="shared" si="192"/>
        <v>0</v>
      </c>
      <c r="I926" s="114">
        <v>2.9</v>
      </c>
      <c r="J926" s="59">
        <f t="shared" si="193"/>
        <v>0</v>
      </c>
      <c r="K926" s="60">
        <f t="shared" si="194"/>
        <v>0</v>
      </c>
      <c r="L926" s="92"/>
      <c r="M926" s="87"/>
      <c r="N926" s="87"/>
      <c r="O926" s="410"/>
      <c r="P926" s="87"/>
      <c r="Q926" s="87"/>
      <c r="R926" s="87"/>
      <c r="S926" s="87"/>
      <c r="T926" s="87"/>
      <c r="U926" s="87"/>
    </row>
    <row r="927" spans="1:21" s="62" customFormat="1" ht="24" customHeight="1">
      <c r="A927" s="450"/>
      <c r="B927" s="423" t="s">
        <v>165</v>
      </c>
      <c r="C927" s="423"/>
      <c r="D927" s="423"/>
      <c r="E927" s="425"/>
      <c r="F927" s="94" t="s">
        <v>156</v>
      </c>
      <c r="G927" s="113">
        <f t="shared" si="196"/>
        <v>23.8</v>
      </c>
      <c r="H927" s="59">
        <f t="shared" si="192"/>
        <v>0</v>
      </c>
      <c r="I927" s="114">
        <v>2.9</v>
      </c>
      <c r="J927" s="59">
        <f t="shared" si="193"/>
        <v>0</v>
      </c>
      <c r="K927" s="60">
        <f t="shared" si="194"/>
        <v>0</v>
      </c>
      <c r="L927" s="92"/>
      <c r="M927" s="87"/>
      <c r="N927" s="87"/>
      <c r="O927" s="410"/>
      <c r="P927" s="87"/>
      <c r="Q927" s="87"/>
      <c r="R927" s="87"/>
      <c r="S927" s="87"/>
      <c r="T927" s="87"/>
      <c r="U927" s="87"/>
    </row>
    <row r="928" spans="1:21" s="62" customFormat="1" ht="24" customHeight="1">
      <c r="A928" s="450"/>
      <c r="B928" s="423" t="s">
        <v>166</v>
      </c>
      <c r="C928" s="423"/>
      <c r="D928" s="423"/>
      <c r="E928" s="425">
        <f>(SUM(E920:E927)/1000)*30</f>
        <v>1159.9986000000001</v>
      </c>
      <c r="F928" s="94" t="s">
        <v>156</v>
      </c>
      <c r="G928" s="113">
        <f t="shared" si="196"/>
        <v>29.92</v>
      </c>
      <c r="H928" s="59">
        <f t="shared" si="192"/>
        <v>34707.160000000003</v>
      </c>
      <c r="I928" s="114"/>
      <c r="J928" s="59">
        <f t="shared" si="193"/>
        <v>0</v>
      </c>
      <c r="K928" s="60">
        <f t="shared" si="194"/>
        <v>34707.160000000003</v>
      </c>
      <c r="L928" s="92"/>
      <c r="M928" s="87"/>
      <c r="N928" s="87"/>
      <c r="O928" s="410"/>
      <c r="P928" s="87"/>
      <c r="Q928" s="87"/>
      <c r="R928" s="87"/>
      <c r="S928" s="87"/>
      <c r="T928" s="87"/>
      <c r="U928" s="87"/>
    </row>
    <row r="929" spans="1:21" s="62" customFormat="1" ht="24" customHeight="1">
      <c r="A929" s="450"/>
      <c r="B929" s="423" t="s">
        <v>167</v>
      </c>
      <c r="C929" s="423"/>
      <c r="D929" s="423"/>
      <c r="E929" s="425"/>
      <c r="F929" s="94"/>
      <c r="G929" s="113"/>
      <c r="H929" s="59"/>
      <c r="I929" s="114"/>
      <c r="J929" s="59"/>
      <c r="K929" s="60"/>
      <c r="L929" s="92"/>
      <c r="M929" s="87"/>
      <c r="N929" s="87"/>
      <c r="O929" s="410"/>
      <c r="P929" s="87"/>
      <c r="Q929" s="87"/>
      <c r="R929" s="87"/>
      <c r="S929" s="87"/>
      <c r="T929" s="87"/>
      <c r="U929" s="87"/>
    </row>
    <row r="930" spans="1:21" s="62" customFormat="1" ht="24" customHeight="1">
      <c r="A930" s="450"/>
      <c r="B930" s="423"/>
      <c r="C930" s="423"/>
      <c r="D930" s="423"/>
      <c r="E930" s="425"/>
      <c r="F930" s="94"/>
      <c r="G930" s="113"/>
      <c r="H930" s="59"/>
      <c r="I930" s="114"/>
      <c r="J930" s="59"/>
      <c r="K930" s="60"/>
      <c r="L930" s="92"/>
      <c r="M930" s="87"/>
      <c r="N930" s="87"/>
      <c r="O930" s="410"/>
      <c r="P930" s="87"/>
      <c r="Q930" s="87"/>
      <c r="R930" s="87"/>
      <c r="S930" s="87"/>
      <c r="T930" s="87"/>
      <c r="U930" s="87"/>
    </row>
    <row r="931" spans="1:21" s="62" customFormat="1" ht="24" customHeight="1">
      <c r="A931" s="450"/>
      <c r="B931" s="423"/>
      <c r="C931" s="423"/>
      <c r="D931" s="423"/>
      <c r="E931" s="425"/>
      <c r="F931" s="94"/>
      <c r="G931" s="113"/>
      <c r="H931" s="59"/>
      <c r="I931" s="114"/>
      <c r="J931" s="59"/>
      <c r="K931" s="60"/>
      <c r="L931" s="92"/>
      <c r="M931" s="87"/>
      <c r="N931" s="87"/>
      <c r="O931" s="410"/>
      <c r="P931" s="87"/>
      <c r="Q931" s="87"/>
      <c r="R931" s="87"/>
      <c r="S931" s="87"/>
      <c r="T931" s="87"/>
      <c r="U931" s="87"/>
    </row>
    <row r="932" spans="1:21" s="62" customFormat="1" ht="24" customHeight="1">
      <c r="A932" s="450"/>
      <c r="B932" s="423"/>
      <c r="C932" s="423"/>
      <c r="D932" s="423"/>
      <c r="E932" s="425"/>
      <c r="F932" s="94"/>
      <c r="G932" s="113"/>
      <c r="H932" s="59"/>
      <c r="I932" s="114"/>
      <c r="J932" s="59"/>
      <c r="K932" s="60"/>
      <c r="L932" s="92"/>
      <c r="M932" s="87"/>
      <c r="N932" s="87"/>
      <c r="O932" s="410"/>
      <c r="P932" s="87"/>
      <c r="Q932" s="87"/>
      <c r="R932" s="87"/>
      <c r="S932" s="87"/>
      <c r="T932" s="87"/>
      <c r="U932" s="87"/>
    </row>
    <row r="933" spans="1:21" s="62" customFormat="1" ht="24" customHeight="1">
      <c r="A933" s="450"/>
      <c r="B933" s="423"/>
      <c r="C933" s="423"/>
      <c r="D933" s="423"/>
      <c r="E933" s="425"/>
      <c r="F933" s="94"/>
      <c r="G933" s="113"/>
      <c r="H933" s="59"/>
      <c r="I933" s="114"/>
      <c r="J933" s="59"/>
      <c r="K933" s="60"/>
      <c r="L933" s="92"/>
      <c r="M933" s="87"/>
      <c r="N933" s="87"/>
      <c r="O933" s="410"/>
      <c r="P933" s="87"/>
      <c r="Q933" s="87"/>
      <c r="R933" s="87"/>
      <c r="S933" s="87"/>
      <c r="T933" s="87"/>
      <c r="U933" s="87"/>
    </row>
    <row r="934" spans="1:21" s="62" customFormat="1" ht="24" customHeight="1">
      <c r="A934" s="450"/>
      <c r="B934" s="95"/>
      <c r="C934" s="423"/>
      <c r="D934" s="423"/>
      <c r="E934" s="425"/>
      <c r="F934" s="94"/>
      <c r="G934" s="113"/>
      <c r="H934" s="59"/>
      <c r="I934" s="114"/>
      <c r="J934" s="59"/>
      <c r="K934" s="60"/>
      <c r="L934" s="92"/>
      <c r="M934" s="87"/>
      <c r="N934" s="87"/>
      <c r="O934" s="410"/>
      <c r="P934" s="87"/>
      <c r="Q934" s="87"/>
      <c r="R934" s="87"/>
      <c r="S934" s="87"/>
      <c r="T934" s="87"/>
      <c r="U934" s="87"/>
    </row>
    <row r="935" spans="1:21" s="62" customFormat="1" ht="24" customHeight="1">
      <c r="A935" s="450"/>
      <c r="B935" s="95"/>
      <c r="C935" s="423"/>
      <c r="D935" s="423"/>
      <c r="E935" s="425"/>
      <c r="F935" s="94"/>
      <c r="G935" s="113"/>
      <c r="H935" s="59"/>
      <c r="I935" s="114"/>
      <c r="J935" s="59"/>
      <c r="K935" s="60"/>
      <c r="L935" s="92"/>
      <c r="M935" s="87"/>
      <c r="N935" s="87"/>
      <c r="O935" s="410"/>
      <c r="P935" s="87"/>
      <c r="Q935" s="87"/>
      <c r="R935" s="87"/>
      <c r="S935" s="87"/>
      <c r="T935" s="87"/>
      <c r="U935" s="87"/>
    </row>
    <row r="936" spans="1:21" s="62" customFormat="1" ht="24" customHeight="1">
      <c r="A936" s="450" t="s">
        <v>212</v>
      </c>
      <c r="B936" s="453" t="s">
        <v>213</v>
      </c>
      <c r="C936" s="423"/>
      <c r="D936" s="423"/>
      <c r="E936" s="425"/>
      <c r="F936" s="94"/>
      <c r="G936" s="113"/>
      <c r="H936" s="59"/>
      <c r="I936" s="114"/>
      <c r="J936" s="59"/>
      <c r="K936" s="60"/>
      <c r="L936" s="92"/>
      <c r="M936" s="87"/>
      <c r="N936" s="87"/>
      <c r="O936" s="410"/>
      <c r="P936" s="87"/>
      <c r="Q936" s="87"/>
      <c r="R936" s="87"/>
      <c r="S936" s="87"/>
      <c r="T936" s="87"/>
      <c r="U936" s="87"/>
    </row>
    <row r="937" spans="1:21" s="62" customFormat="1" ht="24" customHeight="1">
      <c r="A937" s="450"/>
      <c r="B937" s="423" t="s">
        <v>150</v>
      </c>
      <c r="C937" s="424"/>
      <c r="D937" s="424"/>
      <c r="E937" s="425">
        <v>420.66</v>
      </c>
      <c r="F937" s="94" t="s">
        <v>151</v>
      </c>
      <c r="G937" s="113">
        <v>2516</v>
      </c>
      <c r="H937" s="59">
        <f t="shared" ref="H937:H951" si="197">ROUND(E937*G937,2)</f>
        <v>1058380.56</v>
      </c>
      <c r="I937" s="114">
        <v>485</v>
      </c>
      <c r="J937" s="59">
        <f t="shared" ref="J937:J951" si="198">ROUND(E937*I937,2)</f>
        <v>204020.1</v>
      </c>
      <c r="K937" s="60">
        <f t="shared" ref="K937:K951" si="199">H937+J937</f>
        <v>1262400.6600000001</v>
      </c>
      <c r="L937" s="92"/>
      <c r="M937" s="87"/>
      <c r="N937" s="87"/>
      <c r="O937" s="410"/>
      <c r="P937" s="87"/>
      <c r="Q937" s="87"/>
      <c r="R937" s="87"/>
      <c r="S937" s="87"/>
      <c r="T937" s="87"/>
      <c r="U937" s="87"/>
    </row>
    <row r="938" spans="1:21" s="62" customFormat="1" ht="24" customHeight="1">
      <c r="A938" s="450"/>
      <c r="B938" s="426" t="s">
        <v>152</v>
      </c>
      <c r="C938" s="423"/>
      <c r="D938" s="423"/>
      <c r="E938" s="425"/>
      <c r="F938" s="94"/>
      <c r="G938" s="113"/>
      <c r="H938" s="59">
        <f t="shared" si="197"/>
        <v>0</v>
      </c>
      <c r="I938" s="114"/>
      <c r="J938" s="59">
        <f t="shared" si="198"/>
        <v>0</v>
      </c>
      <c r="K938" s="60">
        <f t="shared" si="199"/>
        <v>0</v>
      </c>
      <c r="L938" s="92"/>
      <c r="M938" s="87"/>
      <c r="N938" s="87"/>
      <c r="O938" s="410"/>
      <c r="P938" s="87"/>
      <c r="Q938" s="87"/>
      <c r="R938" s="87"/>
      <c r="S938" s="87"/>
      <c r="T938" s="87"/>
      <c r="U938" s="87"/>
    </row>
    <row r="939" spans="1:21" s="62" customFormat="1" ht="24" customHeight="1">
      <c r="A939" s="450"/>
      <c r="B939" s="426"/>
      <c r="C939" s="423" t="s">
        <v>153</v>
      </c>
      <c r="D939" s="423"/>
      <c r="E939" s="425">
        <f>E940/2</f>
        <v>938.39</v>
      </c>
      <c r="F939" s="94" t="s">
        <v>37</v>
      </c>
      <c r="G939" s="113">
        <v>661.62</v>
      </c>
      <c r="H939" s="59">
        <f t="shared" si="197"/>
        <v>620857.59</v>
      </c>
      <c r="I939" s="114"/>
      <c r="J939" s="59">
        <f t="shared" si="198"/>
        <v>0</v>
      </c>
      <c r="K939" s="60">
        <f t="shared" si="199"/>
        <v>620857.59</v>
      </c>
      <c r="L939" s="92"/>
      <c r="M939" s="87"/>
      <c r="N939" s="87"/>
      <c r="O939" s="410"/>
      <c r="P939" s="87"/>
      <c r="Q939" s="87"/>
      <c r="R939" s="87"/>
      <c r="S939" s="87"/>
      <c r="T939" s="87"/>
      <c r="U939" s="87"/>
    </row>
    <row r="940" spans="1:21" s="62" customFormat="1" ht="24" customHeight="1">
      <c r="A940" s="450"/>
      <c r="B940" s="426"/>
      <c r="C940" s="423" t="s">
        <v>154</v>
      </c>
      <c r="D940" s="423"/>
      <c r="E940" s="425">
        <v>1876.78</v>
      </c>
      <c r="F940" s="94" t="s">
        <v>37</v>
      </c>
      <c r="G940" s="113"/>
      <c r="H940" s="59">
        <f t="shared" si="197"/>
        <v>0</v>
      </c>
      <c r="I940" s="114">
        <v>154</v>
      </c>
      <c r="J940" s="59">
        <f t="shared" si="198"/>
        <v>289024.12</v>
      </c>
      <c r="K940" s="60">
        <f t="shared" si="199"/>
        <v>289024.12</v>
      </c>
      <c r="L940" s="92"/>
      <c r="M940" s="87"/>
      <c r="N940" s="87"/>
      <c r="O940" s="410"/>
      <c r="P940" s="87"/>
      <c r="Q940" s="87"/>
      <c r="R940" s="87"/>
      <c r="S940" s="87"/>
      <c r="T940" s="87"/>
      <c r="U940" s="87"/>
    </row>
    <row r="941" spans="1:21" s="62" customFormat="1" ht="24" customHeight="1">
      <c r="A941" s="450"/>
      <c r="B941" s="423" t="s">
        <v>155</v>
      </c>
      <c r="C941" s="423"/>
      <c r="D941" s="423"/>
      <c r="E941" s="425">
        <f>(E940*0.25)</f>
        <v>469.19499999999999</v>
      </c>
      <c r="F941" s="94" t="s">
        <v>156</v>
      </c>
      <c r="G941" s="113">
        <f t="shared" ref="G941" si="200">VLOOKUP(B941,$N$43:$O$53,2,FALSE)</f>
        <v>29.94</v>
      </c>
      <c r="H941" s="59">
        <f t="shared" si="197"/>
        <v>14047.7</v>
      </c>
      <c r="I941" s="114"/>
      <c r="J941" s="59">
        <f t="shared" si="198"/>
        <v>0</v>
      </c>
      <c r="K941" s="60">
        <f t="shared" si="199"/>
        <v>14047.7</v>
      </c>
      <c r="L941" s="92"/>
      <c r="M941" s="87"/>
      <c r="N941" s="87"/>
      <c r="O941" s="410"/>
      <c r="P941" s="87"/>
      <c r="Q941" s="87"/>
      <c r="R941" s="87"/>
      <c r="S941" s="87"/>
      <c r="T941" s="87"/>
      <c r="U941" s="87"/>
    </row>
    <row r="942" spans="1:21" s="62" customFormat="1" ht="24" customHeight="1">
      <c r="A942" s="450"/>
      <c r="B942" s="423" t="s">
        <v>157</v>
      </c>
      <c r="C942" s="423"/>
      <c r="D942" s="423"/>
      <c r="E942" s="425"/>
      <c r="F942" s="115"/>
      <c r="G942" s="101"/>
      <c r="H942" s="59">
        <f t="shared" si="197"/>
        <v>0</v>
      </c>
      <c r="I942" s="114"/>
      <c r="J942" s="59">
        <f t="shared" si="198"/>
        <v>0</v>
      </c>
      <c r="K942" s="60">
        <f t="shared" si="199"/>
        <v>0</v>
      </c>
      <c r="L942" s="92"/>
      <c r="M942" s="87"/>
      <c r="N942" s="87"/>
      <c r="O942" s="410"/>
      <c r="P942" s="87"/>
      <c r="Q942" s="87"/>
      <c r="R942" s="87"/>
      <c r="S942" s="87"/>
      <c r="T942" s="87"/>
      <c r="U942" s="87"/>
    </row>
    <row r="943" spans="1:21" s="62" customFormat="1" ht="24" customHeight="1">
      <c r="A943" s="450"/>
      <c r="B943" s="423" t="s">
        <v>158</v>
      </c>
      <c r="C943" s="423"/>
      <c r="D943" s="423"/>
      <c r="E943" s="425"/>
      <c r="F943" s="94" t="s">
        <v>156</v>
      </c>
      <c r="G943" s="113">
        <f>VLOOKUP(B943,$N$43:$O$54,2,FALSE)</f>
        <v>25.73</v>
      </c>
      <c r="H943" s="59">
        <f t="shared" si="197"/>
        <v>0</v>
      </c>
      <c r="I943" s="103">
        <v>4.0999999999999996</v>
      </c>
      <c r="J943" s="59">
        <f t="shared" si="198"/>
        <v>0</v>
      </c>
      <c r="K943" s="60">
        <f t="shared" si="199"/>
        <v>0</v>
      </c>
      <c r="L943" s="92"/>
      <c r="M943" s="87"/>
      <c r="N943" s="87"/>
      <c r="O943" s="410"/>
      <c r="P943" s="87"/>
      <c r="Q943" s="87"/>
      <c r="R943" s="87"/>
      <c r="S943" s="87"/>
      <c r="T943" s="87"/>
      <c r="U943" s="87"/>
    </row>
    <row r="944" spans="1:21" s="62" customFormat="1" ht="24" customHeight="1">
      <c r="A944" s="450"/>
      <c r="B944" s="423" t="s">
        <v>159</v>
      </c>
      <c r="C944" s="423"/>
      <c r="D944" s="423"/>
      <c r="E944" s="425">
        <v>1334.29</v>
      </c>
      <c r="F944" s="94" t="s">
        <v>156</v>
      </c>
      <c r="G944" s="113">
        <f t="shared" ref="G944:G951" si="201">VLOOKUP(B944,$N$43:$O$54,2,FALSE)</f>
        <v>24.97</v>
      </c>
      <c r="H944" s="59">
        <f t="shared" si="197"/>
        <v>33317.22</v>
      </c>
      <c r="I944" s="114">
        <v>4.0999999999999996</v>
      </c>
      <c r="J944" s="59">
        <f t="shared" si="198"/>
        <v>5470.59</v>
      </c>
      <c r="K944" s="60">
        <f t="shared" si="199"/>
        <v>38787.81</v>
      </c>
      <c r="L944" s="92"/>
      <c r="M944" s="87"/>
      <c r="N944" s="87"/>
      <c r="O944" s="410"/>
      <c r="P944" s="87"/>
      <c r="Q944" s="87"/>
      <c r="R944" s="87"/>
      <c r="S944" s="87"/>
      <c r="T944" s="87"/>
      <c r="U944" s="87"/>
    </row>
    <row r="945" spans="1:21" s="62" customFormat="1" ht="24" customHeight="1">
      <c r="A945" s="450"/>
      <c r="B945" s="423" t="s">
        <v>160</v>
      </c>
      <c r="C945" s="423"/>
      <c r="D945" s="423"/>
      <c r="E945" s="425">
        <v>23658.13</v>
      </c>
      <c r="F945" s="94" t="s">
        <v>156</v>
      </c>
      <c r="G945" s="113">
        <f t="shared" si="201"/>
        <v>24.47</v>
      </c>
      <c r="H945" s="59">
        <f t="shared" si="197"/>
        <v>578914.43999999994</v>
      </c>
      <c r="I945" s="114">
        <v>3.3</v>
      </c>
      <c r="J945" s="59">
        <f t="shared" si="198"/>
        <v>78071.83</v>
      </c>
      <c r="K945" s="60">
        <f t="shared" si="199"/>
        <v>656986.2699999999</v>
      </c>
      <c r="L945" s="92"/>
      <c r="M945" s="87"/>
      <c r="N945" s="87"/>
      <c r="O945" s="410"/>
      <c r="P945" s="87"/>
      <c r="Q945" s="87"/>
      <c r="R945" s="87"/>
      <c r="S945" s="87"/>
      <c r="T945" s="87"/>
      <c r="U945" s="87"/>
    </row>
    <row r="946" spans="1:21" s="62" customFormat="1" ht="24" customHeight="1">
      <c r="A946" s="450"/>
      <c r="B946" s="423" t="s">
        <v>161</v>
      </c>
      <c r="C946" s="423"/>
      <c r="D946" s="423"/>
      <c r="E946" s="425">
        <v>5897.5</v>
      </c>
      <c r="F946" s="115" t="s">
        <v>156</v>
      </c>
      <c r="G946" s="113">
        <f t="shared" si="201"/>
        <v>24.27</v>
      </c>
      <c r="H946" s="59">
        <f t="shared" si="197"/>
        <v>143132.32999999999</v>
      </c>
      <c r="I946" s="114">
        <v>3.3</v>
      </c>
      <c r="J946" s="59">
        <f t="shared" si="198"/>
        <v>19461.75</v>
      </c>
      <c r="K946" s="60">
        <f t="shared" si="199"/>
        <v>162594.07999999999</v>
      </c>
      <c r="L946" s="92"/>
      <c r="M946" s="87"/>
      <c r="N946" s="87"/>
      <c r="O946" s="410"/>
      <c r="P946" s="87"/>
      <c r="Q946" s="87"/>
      <c r="R946" s="87"/>
      <c r="S946" s="87"/>
      <c r="T946" s="87"/>
      <c r="U946" s="87"/>
    </row>
    <row r="947" spans="1:21" s="62" customFormat="1" ht="24" customHeight="1">
      <c r="A947" s="450"/>
      <c r="B947" s="423" t="s">
        <v>162</v>
      </c>
      <c r="C947" s="423"/>
      <c r="D947" s="423"/>
      <c r="E947" s="425">
        <v>5489.2</v>
      </c>
      <c r="F947" s="94" t="s">
        <v>156</v>
      </c>
      <c r="G947" s="113">
        <f t="shared" si="201"/>
        <v>24.27</v>
      </c>
      <c r="H947" s="59">
        <f t="shared" si="197"/>
        <v>133222.88</v>
      </c>
      <c r="I947" s="114">
        <v>2.9</v>
      </c>
      <c r="J947" s="59">
        <f t="shared" si="198"/>
        <v>15918.68</v>
      </c>
      <c r="K947" s="60">
        <f t="shared" si="199"/>
        <v>149141.56</v>
      </c>
      <c r="L947" s="92"/>
      <c r="M947" s="87"/>
      <c r="N947" s="87"/>
      <c r="O947" s="410"/>
      <c r="P947" s="87"/>
      <c r="Q947" s="87"/>
      <c r="R947" s="87"/>
      <c r="S947" s="87"/>
      <c r="T947" s="87"/>
      <c r="U947" s="87"/>
    </row>
    <row r="948" spans="1:21" s="62" customFormat="1" ht="24" customHeight="1">
      <c r="A948" s="450"/>
      <c r="B948" s="423" t="s">
        <v>163</v>
      </c>
      <c r="C948" s="423"/>
      <c r="D948" s="423"/>
      <c r="E948" s="425">
        <v>59230.720000000001</v>
      </c>
      <c r="F948" s="94" t="s">
        <v>156</v>
      </c>
      <c r="G948" s="113">
        <f t="shared" si="201"/>
        <v>24.27</v>
      </c>
      <c r="H948" s="59">
        <f t="shared" si="197"/>
        <v>1437529.57</v>
      </c>
      <c r="I948" s="114">
        <v>2.9</v>
      </c>
      <c r="J948" s="59">
        <f t="shared" si="198"/>
        <v>171769.09</v>
      </c>
      <c r="K948" s="60">
        <f t="shared" si="199"/>
        <v>1609298.6600000001</v>
      </c>
      <c r="L948" s="92"/>
      <c r="M948" s="87"/>
      <c r="N948" s="87"/>
      <c r="O948" s="410"/>
      <c r="P948" s="87"/>
      <c r="Q948" s="87"/>
      <c r="R948" s="87"/>
      <c r="S948" s="87"/>
      <c r="T948" s="87"/>
      <c r="U948" s="87"/>
    </row>
    <row r="949" spans="1:21" s="62" customFormat="1" ht="24" customHeight="1">
      <c r="A949" s="450"/>
      <c r="B949" s="423" t="s">
        <v>164</v>
      </c>
      <c r="C949" s="423"/>
      <c r="D949" s="423"/>
      <c r="E949" s="425">
        <v>0</v>
      </c>
      <c r="F949" s="94" t="s">
        <v>156</v>
      </c>
      <c r="G949" s="113">
        <f t="shared" si="201"/>
        <v>24.27</v>
      </c>
      <c r="H949" s="59">
        <f t="shared" si="197"/>
        <v>0</v>
      </c>
      <c r="I949" s="114">
        <v>2.9</v>
      </c>
      <c r="J949" s="59">
        <f t="shared" si="198"/>
        <v>0</v>
      </c>
      <c r="K949" s="60">
        <f t="shared" si="199"/>
        <v>0</v>
      </c>
      <c r="L949" s="92"/>
      <c r="M949" s="87"/>
      <c r="N949" s="87"/>
      <c r="O949" s="410"/>
      <c r="P949" s="87"/>
      <c r="Q949" s="87"/>
      <c r="R949" s="87"/>
      <c r="S949" s="87"/>
      <c r="T949" s="87"/>
      <c r="U949" s="87"/>
    </row>
    <row r="950" spans="1:21" s="62" customFormat="1" ht="24" customHeight="1">
      <c r="A950" s="450"/>
      <c r="B950" s="423" t="s">
        <v>165</v>
      </c>
      <c r="C950" s="423"/>
      <c r="D950" s="423"/>
      <c r="E950" s="425">
        <v>4996.83</v>
      </c>
      <c r="F950" s="94" t="s">
        <v>156</v>
      </c>
      <c r="G950" s="113">
        <f t="shared" si="201"/>
        <v>23.8</v>
      </c>
      <c r="H950" s="59">
        <f t="shared" si="197"/>
        <v>118924.55</v>
      </c>
      <c r="I950" s="114">
        <v>2.9</v>
      </c>
      <c r="J950" s="59">
        <f t="shared" si="198"/>
        <v>14490.81</v>
      </c>
      <c r="K950" s="60">
        <f t="shared" si="199"/>
        <v>133415.36000000002</v>
      </c>
      <c r="L950" s="92"/>
      <c r="M950" s="87"/>
      <c r="N950" s="87"/>
      <c r="O950" s="410"/>
      <c r="P950" s="87"/>
      <c r="Q950" s="87"/>
      <c r="R950" s="87"/>
      <c r="S950" s="87"/>
      <c r="T950" s="87"/>
      <c r="U950" s="87"/>
    </row>
    <row r="951" spans="1:21" s="62" customFormat="1" ht="24" customHeight="1">
      <c r="A951" s="450"/>
      <c r="B951" s="423" t="s">
        <v>166</v>
      </c>
      <c r="C951" s="423"/>
      <c r="D951" s="423"/>
      <c r="E951" s="425">
        <f>(SUM(E943:E950)/1000)*30</f>
        <v>3018.2001</v>
      </c>
      <c r="F951" s="94" t="s">
        <v>156</v>
      </c>
      <c r="G951" s="113">
        <f t="shared" si="201"/>
        <v>29.92</v>
      </c>
      <c r="H951" s="59">
        <f t="shared" si="197"/>
        <v>90304.55</v>
      </c>
      <c r="I951" s="114"/>
      <c r="J951" s="59">
        <f t="shared" si="198"/>
        <v>0</v>
      </c>
      <c r="K951" s="60">
        <f t="shared" si="199"/>
        <v>90304.55</v>
      </c>
      <c r="L951" s="92"/>
      <c r="M951" s="87"/>
      <c r="N951" s="87"/>
      <c r="O951" s="410"/>
      <c r="P951" s="87"/>
      <c r="Q951" s="87"/>
      <c r="R951" s="87"/>
      <c r="S951" s="87"/>
      <c r="T951" s="87"/>
      <c r="U951" s="87"/>
    </row>
    <row r="952" spans="1:21" s="62" customFormat="1" ht="24" customHeight="1">
      <c r="A952" s="450"/>
      <c r="B952" s="423" t="s">
        <v>167</v>
      </c>
      <c r="C952" s="423"/>
      <c r="D952" s="423"/>
      <c r="E952" s="425"/>
      <c r="F952" s="94"/>
      <c r="G952" s="113"/>
      <c r="H952" s="59"/>
      <c r="I952" s="114"/>
      <c r="J952" s="59"/>
      <c r="K952" s="60"/>
      <c r="L952" s="92"/>
      <c r="M952" s="87"/>
      <c r="N952" s="87"/>
      <c r="O952" s="410"/>
      <c r="P952" s="87"/>
      <c r="Q952" s="87"/>
      <c r="R952" s="87"/>
      <c r="S952" s="87"/>
      <c r="T952" s="87"/>
      <c r="U952" s="87"/>
    </row>
    <row r="953" spans="1:21" s="62" customFormat="1" ht="24" customHeight="1">
      <c r="A953" s="450"/>
      <c r="B953" s="423"/>
      <c r="C953" s="423"/>
      <c r="D953" s="423"/>
      <c r="E953" s="425"/>
      <c r="F953" s="94"/>
      <c r="G953" s="113"/>
      <c r="H953" s="59"/>
      <c r="I953" s="114"/>
      <c r="J953" s="59"/>
      <c r="K953" s="60"/>
      <c r="L953" s="92"/>
      <c r="M953" s="87"/>
      <c r="N953" s="87"/>
      <c r="O953" s="410"/>
      <c r="P953" s="87"/>
      <c r="Q953" s="87"/>
      <c r="R953" s="87"/>
      <c r="S953" s="87"/>
      <c r="T953" s="87"/>
      <c r="U953" s="87"/>
    </row>
    <row r="954" spans="1:21" s="62" customFormat="1" ht="24" customHeight="1">
      <c r="A954" s="450"/>
      <c r="B954" s="95"/>
      <c r="C954" s="423"/>
      <c r="D954" s="423"/>
      <c r="E954" s="425"/>
      <c r="F954" s="94"/>
      <c r="G954" s="113"/>
      <c r="H954" s="59"/>
      <c r="I954" s="114"/>
      <c r="J954" s="59"/>
      <c r="K954" s="60"/>
      <c r="L954" s="92"/>
      <c r="M954" s="87"/>
      <c r="N954" s="87"/>
      <c r="O954" s="410"/>
      <c r="P954" s="87"/>
      <c r="Q954" s="87"/>
      <c r="R954" s="87"/>
      <c r="S954" s="87"/>
      <c r="T954" s="87"/>
      <c r="U954" s="87"/>
    </row>
    <row r="955" spans="1:21" s="62" customFormat="1" ht="24" customHeight="1">
      <c r="A955" s="450"/>
      <c r="B955" s="95"/>
      <c r="C955" s="423"/>
      <c r="D955" s="423"/>
      <c r="E955" s="425"/>
      <c r="F955" s="94"/>
      <c r="G955" s="113"/>
      <c r="H955" s="59"/>
      <c r="I955" s="114"/>
      <c r="J955" s="59"/>
      <c r="K955" s="60"/>
      <c r="L955" s="92"/>
      <c r="M955" s="87"/>
      <c r="N955" s="87"/>
      <c r="O955" s="410"/>
      <c r="P955" s="87"/>
      <c r="Q955" s="87"/>
      <c r="R955" s="87"/>
      <c r="S955" s="87"/>
      <c r="T955" s="87"/>
      <c r="U955" s="87"/>
    </row>
    <row r="956" spans="1:21" s="62" customFormat="1" ht="24" customHeight="1">
      <c r="A956" s="450"/>
      <c r="B956" s="95"/>
      <c r="C956" s="423"/>
      <c r="D956" s="423"/>
      <c r="E956" s="425"/>
      <c r="F956" s="94"/>
      <c r="G956" s="113"/>
      <c r="H956" s="59"/>
      <c r="I956" s="114"/>
      <c r="J956" s="59"/>
      <c r="K956" s="60"/>
      <c r="L956" s="92"/>
      <c r="M956" s="87"/>
      <c r="N956" s="87"/>
      <c r="O956" s="410"/>
      <c r="P956" s="87"/>
      <c r="Q956" s="87"/>
      <c r="R956" s="87"/>
      <c r="S956" s="87"/>
      <c r="T956" s="87"/>
      <c r="U956" s="87"/>
    </row>
    <row r="957" spans="1:21" s="62" customFormat="1" ht="24" customHeight="1">
      <c r="A957" s="450"/>
      <c r="B957" s="95"/>
      <c r="C957" s="423"/>
      <c r="D957" s="423"/>
      <c r="E957" s="425"/>
      <c r="F957" s="94"/>
      <c r="G957" s="113"/>
      <c r="H957" s="59"/>
      <c r="I957" s="114"/>
      <c r="J957" s="59"/>
      <c r="K957" s="60"/>
      <c r="L957" s="92"/>
      <c r="M957" s="87"/>
      <c r="N957" s="87"/>
      <c r="O957" s="410"/>
      <c r="P957" s="87"/>
      <c r="Q957" s="87"/>
      <c r="R957" s="87"/>
      <c r="S957" s="87"/>
      <c r="T957" s="87"/>
      <c r="U957" s="87"/>
    </row>
    <row r="958" spans="1:21" s="62" customFormat="1" ht="24" customHeight="1">
      <c r="A958" s="450"/>
      <c r="B958" s="95"/>
      <c r="C958" s="423"/>
      <c r="D958" s="423"/>
      <c r="E958" s="425"/>
      <c r="F958" s="94"/>
      <c r="G958" s="113"/>
      <c r="H958" s="59"/>
      <c r="I958" s="114"/>
      <c r="J958" s="59"/>
      <c r="K958" s="60"/>
      <c r="L958" s="92"/>
      <c r="M958" s="87"/>
      <c r="N958" s="87"/>
      <c r="O958" s="410"/>
      <c r="P958" s="87"/>
      <c r="Q958" s="87"/>
      <c r="R958" s="87"/>
      <c r="S958" s="87"/>
      <c r="T958" s="87"/>
      <c r="U958" s="87"/>
    </row>
    <row r="959" spans="1:21" s="62" customFormat="1" ht="24" customHeight="1">
      <c r="A959" s="450"/>
      <c r="B959" s="95"/>
      <c r="C959" s="423"/>
      <c r="D959" s="423"/>
      <c r="E959" s="425"/>
      <c r="F959" s="94"/>
      <c r="G959" s="113"/>
      <c r="H959" s="59"/>
      <c r="I959" s="114"/>
      <c r="J959" s="59"/>
      <c r="K959" s="60"/>
      <c r="L959" s="92"/>
      <c r="M959" s="87"/>
      <c r="N959" s="87"/>
      <c r="O959" s="410"/>
      <c r="P959" s="87"/>
      <c r="Q959" s="87"/>
      <c r="R959" s="87"/>
      <c r="S959" s="87"/>
      <c r="T959" s="87"/>
      <c r="U959" s="87"/>
    </row>
    <row r="960" spans="1:21" s="62" customFormat="1" ht="24" customHeight="1">
      <c r="A960" s="450"/>
      <c r="B960" s="95"/>
      <c r="C960" s="423"/>
      <c r="D960" s="423"/>
      <c r="E960" s="425"/>
      <c r="F960" s="94"/>
      <c r="G960" s="113"/>
      <c r="H960" s="59"/>
      <c r="I960" s="114"/>
      <c r="J960" s="59"/>
      <c r="K960" s="60"/>
      <c r="L960" s="92"/>
      <c r="M960" s="87"/>
      <c r="N960" s="87"/>
      <c r="O960" s="410"/>
      <c r="P960" s="87"/>
      <c r="Q960" s="87"/>
      <c r="R960" s="87"/>
      <c r="S960" s="87"/>
      <c r="T960" s="87"/>
      <c r="U960" s="87"/>
    </row>
    <row r="961" spans="1:21" s="62" customFormat="1" ht="24" customHeight="1">
      <c r="A961" s="450" t="s">
        <v>214</v>
      </c>
      <c r="B961" s="453" t="s">
        <v>215</v>
      </c>
      <c r="C961" s="423"/>
      <c r="D961" s="423"/>
      <c r="E961" s="425"/>
      <c r="F961" s="94"/>
      <c r="G961" s="113"/>
      <c r="H961" s="59"/>
      <c r="I961" s="114"/>
      <c r="J961" s="59"/>
      <c r="K961" s="60"/>
      <c r="L961" s="92"/>
      <c r="M961" s="87"/>
      <c r="N961" s="87"/>
      <c r="O961" s="410"/>
      <c r="P961" s="87"/>
      <c r="Q961" s="87"/>
      <c r="R961" s="87"/>
      <c r="S961" s="87"/>
      <c r="T961" s="87"/>
      <c r="U961" s="87"/>
    </row>
    <row r="962" spans="1:21" s="62" customFormat="1" ht="24" customHeight="1">
      <c r="A962" s="450"/>
      <c r="B962" s="423" t="s">
        <v>150</v>
      </c>
      <c r="C962" s="424"/>
      <c r="D962" s="424"/>
      <c r="E962" s="425">
        <v>224.54</v>
      </c>
      <c r="F962" s="94" t="s">
        <v>151</v>
      </c>
      <c r="G962" s="113">
        <v>2516</v>
      </c>
      <c r="H962" s="59">
        <f t="shared" ref="H962:H976" si="202">ROUND(E962*G962,2)</f>
        <v>564942.64</v>
      </c>
      <c r="I962" s="114">
        <v>485</v>
      </c>
      <c r="J962" s="59">
        <f t="shared" ref="J962:J976" si="203">ROUND(E962*I962,2)</f>
        <v>108901.9</v>
      </c>
      <c r="K962" s="60">
        <f t="shared" ref="K962:K976" si="204">H962+J962</f>
        <v>673844.54</v>
      </c>
      <c r="L962" s="92"/>
      <c r="M962" s="87"/>
      <c r="N962" s="87"/>
      <c r="O962" s="410"/>
      <c r="P962" s="87"/>
      <c r="Q962" s="87"/>
      <c r="R962" s="87"/>
      <c r="S962" s="87"/>
      <c r="T962" s="87"/>
      <c r="U962" s="87"/>
    </row>
    <row r="963" spans="1:21" s="62" customFormat="1" ht="24" customHeight="1">
      <c r="A963" s="450"/>
      <c r="B963" s="426" t="s">
        <v>152</v>
      </c>
      <c r="C963" s="423"/>
      <c r="D963" s="423"/>
      <c r="E963" s="425"/>
      <c r="F963" s="94"/>
      <c r="G963" s="113"/>
      <c r="H963" s="59">
        <f t="shared" si="202"/>
        <v>0</v>
      </c>
      <c r="I963" s="114"/>
      <c r="J963" s="59">
        <f t="shared" si="203"/>
        <v>0</v>
      </c>
      <c r="K963" s="60">
        <f t="shared" si="204"/>
        <v>0</v>
      </c>
      <c r="L963" s="92"/>
      <c r="M963" s="87"/>
      <c r="N963" s="87"/>
      <c r="O963" s="410"/>
      <c r="P963" s="87"/>
      <c r="Q963" s="87"/>
      <c r="R963" s="87"/>
      <c r="S963" s="87"/>
      <c r="T963" s="87"/>
      <c r="U963" s="87"/>
    </row>
    <row r="964" spans="1:21" s="62" customFormat="1" ht="24" customHeight="1">
      <c r="A964" s="450"/>
      <c r="B964" s="426"/>
      <c r="C964" s="423" t="s">
        <v>153</v>
      </c>
      <c r="D964" s="423"/>
      <c r="E964" s="425">
        <f>E965/2</f>
        <v>445.84</v>
      </c>
      <c r="F964" s="94" t="s">
        <v>37</v>
      </c>
      <c r="G964" s="113">
        <v>661.62</v>
      </c>
      <c r="H964" s="59">
        <f t="shared" si="202"/>
        <v>294976.65999999997</v>
      </c>
      <c r="I964" s="114"/>
      <c r="J964" s="59">
        <f t="shared" si="203"/>
        <v>0</v>
      </c>
      <c r="K964" s="60">
        <f t="shared" si="204"/>
        <v>294976.65999999997</v>
      </c>
      <c r="L964" s="92"/>
      <c r="M964" s="87"/>
      <c r="N964" s="87"/>
      <c r="O964" s="410"/>
      <c r="P964" s="87"/>
      <c r="Q964" s="87"/>
      <c r="R964" s="87"/>
      <c r="S964" s="87"/>
      <c r="T964" s="87"/>
      <c r="U964" s="87"/>
    </row>
    <row r="965" spans="1:21" s="62" customFormat="1" ht="24" customHeight="1">
      <c r="A965" s="450"/>
      <c r="B965" s="426"/>
      <c r="C965" s="423" t="s">
        <v>154</v>
      </c>
      <c r="D965" s="423"/>
      <c r="E965" s="425">
        <v>891.68</v>
      </c>
      <c r="F965" s="94" t="s">
        <v>37</v>
      </c>
      <c r="G965" s="113"/>
      <c r="H965" s="59">
        <f t="shared" si="202"/>
        <v>0</v>
      </c>
      <c r="I965" s="114">
        <v>154</v>
      </c>
      <c r="J965" s="59">
        <f t="shared" si="203"/>
        <v>137318.72</v>
      </c>
      <c r="K965" s="60">
        <f t="shared" si="204"/>
        <v>137318.72</v>
      </c>
      <c r="L965" s="92"/>
      <c r="M965" s="87"/>
      <c r="N965" s="87"/>
      <c r="O965" s="410"/>
      <c r="P965" s="87"/>
      <c r="Q965" s="87"/>
      <c r="R965" s="87"/>
      <c r="S965" s="87"/>
      <c r="T965" s="87"/>
      <c r="U965" s="87"/>
    </row>
    <row r="966" spans="1:21" s="62" customFormat="1" ht="24" customHeight="1">
      <c r="A966" s="450"/>
      <c r="B966" s="423" t="s">
        <v>155</v>
      </c>
      <c r="C966" s="423"/>
      <c r="D966" s="423"/>
      <c r="E966" s="425">
        <f>(E965*0.25)</f>
        <v>222.92</v>
      </c>
      <c r="F966" s="94" t="s">
        <v>156</v>
      </c>
      <c r="G966" s="113">
        <f t="shared" ref="G966" si="205">VLOOKUP(B966,$N$43:$O$53,2,FALSE)</f>
        <v>29.94</v>
      </c>
      <c r="H966" s="59">
        <f t="shared" si="202"/>
        <v>6674.22</v>
      </c>
      <c r="I966" s="114"/>
      <c r="J966" s="59">
        <f t="shared" si="203"/>
        <v>0</v>
      </c>
      <c r="K966" s="60">
        <f t="shared" si="204"/>
        <v>6674.22</v>
      </c>
      <c r="L966" s="92"/>
      <c r="M966" s="87"/>
      <c r="N966" s="87"/>
      <c r="O966" s="410"/>
      <c r="P966" s="87"/>
      <c r="Q966" s="87"/>
      <c r="R966" s="87"/>
      <c r="S966" s="87"/>
      <c r="T966" s="87"/>
      <c r="U966" s="87"/>
    </row>
    <row r="967" spans="1:21" s="62" customFormat="1" ht="24" customHeight="1">
      <c r="A967" s="450"/>
      <c r="B967" s="423" t="s">
        <v>157</v>
      </c>
      <c r="C967" s="423"/>
      <c r="D967" s="423"/>
      <c r="E967" s="425"/>
      <c r="F967" s="115"/>
      <c r="G967" s="101"/>
      <c r="H967" s="59">
        <f t="shared" si="202"/>
        <v>0</v>
      </c>
      <c r="I967" s="114"/>
      <c r="J967" s="59">
        <f t="shared" si="203"/>
        <v>0</v>
      </c>
      <c r="K967" s="60">
        <f t="shared" si="204"/>
        <v>0</v>
      </c>
      <c r="L967" s="92"/>
      <c r="M967" s="87"/>
      <c r="N967" s="87"/>
      <c r="O967" s="410"/>
      <c r="P967" s="87"/>
      <c r="Q967" s="87"/>
      <c r="R967" s="87"/>
      <c r="S967" s="87"/>
      <c r="T967" s="87"/>
      <c r="U967" s="87"/>
    </row>
    <row r="968" spans="1:21" s="62" customFormat="1" ht="24" customHeight="1">
      <c r="A968" s="450"/>
      <c r="B968" s="423" t="s">
        <v>158</v>
      </c>
      <c r="C968" s="423"/>
      <c r="D968" s="423"/>
      <c r="E968" s="425"/>
      <c r="F968" s="94" t="s">
        <v>156</v>
      </c>
      <c r="G968" s="113">
        <f>VLOOKUP(B968,$N$43:$O$54,2,FALSE)</f>
        <v>25.73</v>
      </c>
      <c r="H968" s="59">
        <f t="shared" si="202"/>
        <v>0</v>
      </c>
      <c r="I968" s="103">
        <v>4.0999999999999996</v>
      </c>
      <c r="J968" s="59">
        <f t="shared" si="203"/>
        <v>0</v>
      </c>
      <c r="K968" s="60">
        <f t="shared" si="204"/>
        <v>0</v>
      </c>
      <c r="L968" s="92"/>
      <c r="M968" s="87"/>
      <c r="N968" s="87"/>
      <c r="O968" s="410"/>
      <c r="P968" s="87"/>
      <c r="Q968" s="87"/>
      <c r="R968" s="87"/>
      <c r="S968" s="87"/>
      <c r="T968" s="87"/>
      <c r="U968" s="87"/>
    </row>
    <row r="969" spans="1:21" s="62" customFormat="1" ht="24" customHeight="1">
      <c r="A969" s="450"/>
      <c r="B969" s="423" t="s">
        <v>159</v>
      </c>
      <c r="C969" s="423"/>
      <c r="D969" s="423"/>
      <c r="E969" s="425"/>
      <c r="F969" s="94" t="s">
        <v>156</v>
      </c>
      <c r="G969" s="113">
        <f t="shared" ref="G969:G976" si="206">VLOOKUP(B969,$N$43:$O$54,2,FALSE)</f>
        <v>24.97</v>
      </c>
      <c r="H969" s="59">
        <f t="shared" si="202"/>
        <v>0</v>
      </c>
      <c r="I969" s="114">
        <v>4.0999999999999996</v>
      </c>
      <c r="J969" s="59">
        <f t="shared" si="203"/>
        <v>0</v>
      </c>
      <c r="K969" s="60">
        <f t="shared" si="204"/>
        <v>0</v>
      </c>
      <c r="L969" s="92"/>
      <c r="M969" s="87"/>
      <c r="N969" s="87"/>
      <c r="O969" s="410"/>
      <c r="P969" s="87"/>
      <c r="Q969" s="87"/>
      <c r="R969" s="87"/>
      <c r="S969" s="87"/>
      <c r="T969" s="87"/>
      <c r="U969" s="87"/>
    </row>
    <row r="970" spans="1:21" s="62" customFormat="1" ht="24" customHeight="1">
      <c r="A970" s="450"/>
      <c r="B970" s="423" t="s">
        <v>160</v>
      </c>
      <c r="C970" s="423"/>
      <c r="D970" s="423"/>
      <c r="E970" s="425">
        <v>14516.76</v>
      </c>
      <c r="F970" s="94" t="s">
        <v>156</v>
      </c>
      <c r="G970" s="113">
        <f t="shared" si="206"/>
        <v>24.47</v>
      </c>
      <c r="H970" s="59">
        <f t="shared" si="202"/>
        <v>355225.12</v>
      </c>
      <c r="I970" s="114">
        <v>3.3</v>
      </c>
      <c r="J970" s="59">
        <f t="shared" si="203"/>
        <v>47905.31</v>
      </c>
      <c r="K970" s="60">
        <f t="shared" si="204"/>
        <v>403130.43</v>
      </c>
      <c r="L970" s="92"/>
      <c r="M970" s="87"/>
      <c r="N970" s="87"/>
      <c r="O970" s="410"/>
      <c r="P970" s="87"/>
      <c r="Q970" s="87"/>
      <c r="R970" s="87"/>
      <c r="S970" s="87"/>
      <c r="T970" s="87"/>
      <c r="U970" s="87"/>
    </row>
    <row r="971" spans="1:21" s="62" customFormat="1" ht="24" customHeight="1">
      <c r="A971" s="450"/>
      <c r="B971" s="423" t="s">
        <v>161</v>
      </c>
      <c r="C971" s="423"/>
      <c r="D971" s="423"/>
      <c r="E971" s="425">
        <v>0</v>
      </c>
      <c r="F971" s="115" t="s">
        <v>156</v>
      </c>
      <c r="G971" s="113">
        <f t="shared" si="206"/>
        <v>24.27</v>
      </c>
      <c r="H971" s="59">
        <f t="shared" si="202"/>
        <v>0</v>
      </c>
      <c r="I971" s="114">
        <v>3.3</v>
      </c>
      <c r="J971" s="59">
        <f t="shared" si="203"/>
        <v>0</v>
      </c>
      <c r="K971" s="60">
        <f t="shared" si="204"/>
        <v>0</v>
      </c>
      <c r="L971" s="92"/>
      <c r="M971" s="87"/>
      <c r="N971" s="87"/>
      <c r="O971" s="410"/>
      <c r="P971" s="87"/>
      <c r="Q971" s="87"/>
      <c r="R971" s="87"/>
      <c r="S971" s="87"/>
      <c r="T971" s="87"/>
      <c r="U971" s="87"/>
    </row>
    <row r="972" spans="1:21" s="62" customFormat="1" ht="24" customHeight="1">
      <c r="A972" s="450"/>
      <c r="B972" s="423" t="s">
        <v>162</v>
      </c>
      <c r="C972" s="423"/>
      <c r="D972" s="423"/>
      <c r="E972" s="425">
        <v>515.79999999999995</v>
      </c>
      <c r="F972" s="94" t="s">
        <v>156</v>
      </c>
      <c r="G972" s="113">
        <f t="shared" si="206"/>
        <v>24.27</v>
      </c>
      <c r="H972" s="59">
        <f t="shared" si="202"/>
        <v>12518.47</v>
      </c>
      <c r="I972" s="114">
        <v>2.9</v>
      </c>
      <c r="J972" s="59">
        <f t="shared" si="203"/>
        <v>1495.82</v>
      </c>
      <c r="K972" s="60">
        <f t="shared" si="204"/>
        <v>14014.289999999999</v>
      </c>
      <c r="L972" s="92"/>
      <c r="M972" s="87"/>
      <c r="N972" s="87"/>
      <c r="O972" s="410"/>
      <c r="P972" s="87"/>
      <c r="Q972" s="87"/>
      <c r="R972" s="87"/>
      <c r="S972" s="87"/>
      <c r="T972" s="87"/>
      <c r="U972" s="87"/>
    </row>
    <row r="973" spans="1:21" s="62" customFormat="1" ht="24" customHeight="1">
      <c r="A973" s="450"/>
      <c r="B973" s="423" t="s">
        <v>163</v>
      </c>
      <c r="C973" s="423"/>
      <c r="D973" s="423"/>
      <c r="E973" s="425">
        <v>3272.8100000000004</v>
      </c>
      <c r="F973" s="94" t="s">
        <v>156</v>
      </c>
      <c r="G973" s="113">
        <f t="shared" si="206"/>
        <v>24.27</v>
      </c>
      <c r="H973" s="59">
        <f t="shared" si="202"/>
        <v>79431.100000000006</v>
      </c>
      <c r="I973" s="114">
        <v>2.9</v>
      </c>
      <c r="J973" s="59">
        <f t="shared" si="203"/>
        <v>9491.15</v>
      </c>
      <c r="K973" s="60">
        <f t="shared" si="204"/>
        <v>88922.25</v>
      </c>
      <c r="L973" s="92"/>
      <c r="M973" s="87"/>
      <c r="N973" s="87"/>
      <c r="O973" s="410"/>
      <c r="P973" s="87"/>
      <c r="Q973" s="87"/>
      <c r="R973" s="87"/>
      <c r="S973" s="87"/>
      <c r="T973" s="87"/>
      <c r="U973" s="87"/>
    </row>
    <row r="974" spans="1:21" s="62" customFormat="1" ht="24" customHeight="1">
      <c r="A974" s="450"/>
      <c r="B974" s="423" t="s">
        <v>164</v>
      </c>
      <c r="C974" s="423"/>
      <c r="D974" s="423"/>
      <c r="E974" s="425">
        <v>44181.05</v>
      </c>
      <c r="F974" s="94" t="s">
        <v>156</v>
      </c>
      <c r="G974" s="113">
        <f t="shared" si="206"/>
        <v>24.27</v>
      </c>
      <c r="H974" s="59">
        <f t="shared" si="202"/>
        <v>1072274.08</v>
      </c>
      <c r="I974" s="114">
        <v>2.9</v>
      </c>
      <c r="J974" s="59">
        <f t="shared" si="203"/>
        <v>128125.05</v>
      </c>
      <c r="K974" s="60">
        <f t="shared" si="204"/>
        <v>1200399.1300000001</v>
      </c>
      <c r="L974" s="92"/>
      <c r="M974" s="87"/>
      <c r="N974" s="87"/>
      <c r="O974" s="410"/>
      <c r="P974" s="87"/>
      <c r="Q974" s="87"/>
      <c r="R974" s="87"/>
      <c r="S974" s="87"/>
      <c r="T974" s="87"/>
      <c r="U974" s="87"/>
    </row>
    <row r="975" spans="1:21" s="62" customFormat="1" ht="24" customHeight="1">
      <c r="A975" s="450"/>
      <c r="B975" s="423" t="s">
        <v>165</v>
      </c>
      <c r="C975" s="423"/>
      <c r="D975" s="423"/>
      <c r="E975" s="425"/>
      <c r="F975" s="94" t="s">
        <v>156</v>
      </c>
      <c r="G975" s="113">
        <f t="shared" si="206"/>
        <v>23.8</v>
      </c>
      <c r="H975" s="59">
        <f t="shared" si="202"/>
        <v>0</v>
      </c>
      <c r="I975" s="114">
        <v>2.9</v>
      </c>
      <c r="J975" s="59">
        <f t="shared" si="203"/>
        <v>0</v>
      </c>
      <c r="K975" s="60">
        <f t="shared" si="204"/>
        <v>0</v>
      </c>
      <c r="L975" s="92"/>
      <c r="M975" s="87"/>
      <c r="N975" s="87"/>
      <c r="O975" s="410"/>
      <c r="P975" s="87"/>
      <c r="Q975" s="87"/>
      <c r="R975" s="87"/>
      <c r="S975" s="87"/>
      <c r="T975" s="87"/>
      <c r="U975" s="87"/>
    </row>
    <row r="976" spans="1:21" s="62" customFormat="1" ht="24" customHeight="1">
      <c r="A976" s="450"/>
      <c r="B976" s="423" t="s">
        <v>166</v>
      </c>
      <c r="C976" s="423"/>
      <c r="D976" s="423"/>
      <c r="E976" s="425">
        <f>(SUM(E968:E975)/1000)*30</f>
        <v>1874.5925999999999</v>
      </c>
      <c r="F976" s="94" t="s">
        <v>156</v>
      </c>
      <c r="G976" s="113">
        <f t="shared" si="206"/>
        <v>29.92</v>
      </c>
      <c r="H976" s="59">
        <f t="shared" si="202"/>
        <v>56087.81</v>
      </c>
      <c r="I976" s="114"/>
      <c r="J976" s="59">
        <f t="shared" si="203"/>
        <v>0</v>
      </c>
      <c r="K976" s="60">
        <f t="shared" si="204"/>
        <v>56087.81</v>
      </c>
      <c r="L976" s="92"/>
      <c r="M976" s="87"/>
      <c r="N976" s="87"/>
      <c r="O976" s="410"/>
      <c r="P976" s="87"/>
      <c r="Q976" s="87"/>
      <c r="R976" s="87"/>
      <c r="S976" s="87"/>
      <c r="T976" s="87"/>
      <c r="U976" s="87"/>
    </row>
    <row r="977" spans="1:21" s="62" customFormat="1" ht="24" customHeight="1">
      <c r="A977" s="450"/>
      <c r="B977" s="423" t="s">
        <v>167</v>
      </c>
      <c r="C977" s="423"/>
      <c r="D977" s="423"/>
      <c r="E977" s="425"/>
      <c r="F977" s="94"/>
      <c r="G977" s="113"/>
      <c r="H977" s="59"/>
      <c r="I977" s="114"/>
      <c r="J977" s="59"/>
      <c r="K977" s="60"/>
      <c r="L977" s="92"/>
      <c r="M977" s="87"/>
      <c r="N977" s="87"/>
      <c r="O977" s="410"/>
      <c r="P977" s="87"/>
      <c r="Q977" s="87"/>
      <c r="R977" s="87"/>
      <c r="S977" s="87"/>
      <c r="T977" s="87"/>
      <c r="U977" s="87"/>
    </row>
    <row r="978" spans="1:21" s="62" customFormat="1" ht="24" customHeight="1">
      <c r="A978" s="93"/>
      <c r="B978" s="423"/>
      <c r="C978" s="423"/>
      <c r="D978" s="423"/>
      <c r="E978" s="425"/>
      <c r="F978" s="94"/>
      <c r="G978" s="113"/>
      <c r="H978" s="59"/>
      <c r="I978" s="114"/>
      <c r="J978" s="59"/>
      <c r="K978" s="60"/>
      <c r="L978" s="92"/>
      <c r="M978" s="87"/>
      <c r="N978" s="87"/>
      <c r="O978" s="410"/>
      <c r="P978" s="87"/>
      <c r="Q978" s="87"/>
      <c r="R978" s="87"/>
      <c r="S978" s="87"/>
      <c r="T978" s="87"/>
      <c r="U978" s="87"/>
    </row>
    <row r="979" spans="1:21" s="62" customFormat="1" ht="24" customHeight="1">
      <c r="A979" s="450"/>
      <c r="B979" s="95"/>
      <c r="C979" s="423"/>
      <c r="D979" s="423"/>
      <c r="E979" s="425"/>
      <c r="F979" s="94"/>
      <c r="G979" s="113"/>
      <c r="H979" s="59"/>
      <c r="I979" s="114"/>
      <c r="J979" s="59"/>
      <c r="K979" s="60"/>
      <c r="L979" s="92"/>
      <c r="M979" s="87"/>
      <c r="N979" s="87"/>
      <c r="O979" s="410"/>
      <c r="P979" s="87"/>
      <c r="Q979" s="87"/>
      <c r="R979" s="87"/>
      <c r="S979" s="87"/>
      <c r="T979" s="87"/>
      <c r="U979" s="87"/>
    </row>
    <row r="980" spans="1:21" s="62" customFormat="1" ht="24" customHeight="1">
      <c r="A980" s="450"/>
      <c r="B980" s="95"/>
      <c r="C980" s="423"/>
      <c r="D980" s="423"/>
      <c r="E980" s="425"/>
      <c r="F980" s="94"/>
      <c r="G980" s="113"/>
      <c r="H980" s="59"/>
      <c r="I980" s="114"/>
      <c r="J980" s="59"/>
      <c r="K980" s="60"/>
      <c r="L980" s="92"/>
      <c r="M980" s="87"/>
      <c r="N980" s="87"/>
      <c r="O980" s="410"/>
      <c r="P980" s="87"/>
      <c r="Q980" s="87"/>
      <c r="R980" s="87"/>
      <c r="S980" s="87"/>
      <c r="T980" s="87"/>
      <c r="U980" s="87"/>
    </row>
    <row r="981" spans="1:21" s="62" customFormat="1" ht="24" customHeight="1">
      <c r="A981" s="450"/>
      <c r="B981" s="95"/>
      <c r="C981" s="423"/>
      <c r="D981" s="423"/>
      <c r="E981" s="425"/>
      <c r="F981" s="94"/>
      <c r="G981" s="113"/>
      <c r="H981" s="59"/>
      <c r="I981" s="114"/>
      <c r="J981" s="59"/>
      <c r="K981" s="60"/>
      <c r="L981" s="92"/>
      <c r="M981" s="87"/>
      <c r="N981" s="87"/>
      <c r="O981" s="410"/>
      <c r="P981" s="87"/>
      <c r="Q981" s="87"/>
      <c r="R981" s="87"/>
      <c r="S981" s="87"/>
      <c r="T981" s="87"/>
      <c r="U981" s="87"/>
    </row>
    <row r="982" spans="1:21" s="62" customFormat="1" ht="24" customHeight="1">
      <c r="A982" s="450"/>
      <c r="B982" s="95"/>
      <c r="C982" s="423"/>
      <c r="D982" s="423"/>
      <c r="E982" s="425"/>
      <c r="F982" s="94"/>
      <c r="G982" s="113"/>
      <c r="H982" s="59"/>
      <c r="I982" s="114"/>
      <c r="J982" s="59"/>
      <c r="K982" s="60"/>
      <c r="L982" s="92"/>
      <c r="M982" s="87"/>
      <c r="N982" s="87"/>
      <c r="O982" s="410"/>
      <c r="P982" s="87"/>
      <c r="Q982" s="87"/>
      <c r="R982" s="87"/>
      <c r="S982" s="87"/>
      <c r="T982" s="87"/>
      <c r="U982" s="87"/>
    </row>
    <row r="983" spans="1:21" s="62" customFormat="1" ht="24" customHeight="1">
      <c r="A983" s="450"/>
      <c r="B983" s="95"/>
      <c r="C983" s="423"/>
      <c r="D983" s="423"/>
      <c r="E983" s="425"/>
      <c r="F983" s="94"/>
      <c r="G983" s="113"/>
      <c r="H983" s="59"/>
      <c r="I983" s="114"/>
      <c r="J983" s="59"/>
      <c r="K983" s="60"/>
      <c r="L983" s="92"/>
      <c r="M983" s="87"/>
      <c r="N983" s="87"/>
      <c r="O983" s="410"/>
      <c r="P983" s="87"/>
      <c r="Q983" s="87"/>
      <c r="R983" s="87"/>
      <c r="S983" s="87"/>
      <c r="T983" s="87"/>
      <c r="U983" s="87"/>
    </row>
    <row r="984" spans="1:21" s="62" customFormat="1" ht="24" customHeight="1">
      <c r="A984" s="450"/>
      <c r="B984" s="95"/>
      <c r="C984" s="423"/>
      <c r="D984" s="423"/>
      <c r="E984" s="425"/>
      <c r="F984" s="94"/>
      <c r="G984" s="113"/>
      <c r="H984" s="59"/>
      <c r="I984" s="114"/>
      <c r="J984" s="59"/>
      <c r="K984" s="60"/>
      <c r="L984" s="92"/>
      <c r="M984" s="87"/>
      <c r="N984" s="87"/>
      <c r="O984" s="410"/>
      <c r="P984" s="87"/>
      <c r="Q984" s="87"/>
      <c r="R984" s="87"/>
      <c r="S984" s="87"/>
      <c r="T984" s="87"/>
      <c r="U984" s="87"/>
    </row>
    <row r="985" spans="1:21" s="62" customFormat="1" ht="24" customHeight="1">
      <c r="A985" s="450"/>
      <c r="B985" s="95"/>
      <c r="C985" s="423"/>
      <c r="D985" s="423"/>
      <c r="E985" s="425"/>
      <c r="F985" s="94"/>
      <c r="G985" s="113"/>
      <c r="H985" s="59"/>
      <c r="I985" s="114"/>
      <c r="J985" s="59"/>
      <c r="K985" s="60"/>
      <c r="L985" s="92"/>
      <c r="M985" s="87"/>
      <c r="N985" s="87"/>
      <c r="O985" s="410"/>
      <c r="P985" s="87"/>
      <c r="Q985" s="87"/>
      <c r="R985" s="87"/>
      <c r="S985" s="87"/>
      <c r="T985" s="87"/>
      <c r="U985" s="87"/>
    </row>
    <row r="986" spans="1:21" s="62" customFormat="1" ht="24" customHeight="1">
      <c r="A986" s="450" t="s">
        <v>216</v>
      </c>
      <c r="B986" s="453" t="s">
        <v>232</v>
      </c>
      <c r="C986" s="423"/>
      <c r="D986" s="423"/>
      <c r="E986" s="425"/>
      <c r="F986" s="94"/>
      <c r="G986" s="113"/>
      <c r="H986" s="59"/>
      <c r="I986" s="114"/>
      <c r="J986" s="59"/>
      <c r="K986" s="60"/>
      <c r="L986" s="92"/>
      <c r="M986" s="87"/>
      <c r="N986" s="87"/>
      <c r="O986" s="410"/>
      <c r="P986" s="87"/>
      <c r="Q986" s="87"/>
      <c r="R986" s="87"/>
      <c r="S986" s="87"/>
      <c r="T986" s="87"/>
      <c r="U986" s="87"/>
    </row>
    <row r="987" spans="1:21" s="62" customFormat="1" ht="24" customHeight="1">
      <c r="A987" s="450"/>
      <c r="B987" s="423" t="s">
        <v>150</v>
      </c>
      <c r="C987" s="424"/>
      <c r="D987" s="424"/>
      <c r="E987" s="425">
        <v>215.03</v>
      </c>
      <c r="F987" s="94" t="s">
        <v>151</v>
      </c>
      <c r="G987" s="113">
        <v>2516</v>
      </c>
      <c r="H987" s="59">
        <f t="shared" ref="H987:H1001" si="207">ROUND(E987*G987,2)</f>
        <v>541015.48</v>
      </c>
      <c r="I987" s="114">
        <v>485</v>
      </c>
      <c r="J987" s="59">
        <f t="shared" ref="J987:J1001" si="208">ROUND(E987*I987,2)</f>
        <v>104289.55</v>
      </c>
      <c r="K987" s="60">
        <f t="shared" ref="K987:K1001" si="209">H987+J987</f>
        <v>645305.03</v>
      </c>
      <c r="L987" s="92"/>
      <c r="M987" s="87"/>
      <c r="N987" s="87"/>
      <c r="O987" s="410"/>
      <c r="P987" s="87"/>
      <c r="Q987" s="87"/>
      <c r="R987" s="87"/>
      <c r="S987" s="87"/>
      <c r="T987" s="87"/>
      <c r="U987" s="87"/>
    </row>
    <row r="988" spans="1:21" s="62" customFormat="1" ht="24" customHeight="1">
      <c r="A988" s="450"/>
      <c r="B988" s="426" t="s">
        <v>152</v>
      </c>
      <c r="C988" s="423"/>
      <c r="D988" s="423"/>
      <c r="E988" s="425"/>
      <c r="F988" s="94"/>
      <c r="G988" s="113"/>
      <c r="H988" s="59">
        <f t="shared" si="207"/>
        <v>0</v>
      </c>
      <c r="I988" s="114"/>
      <c r="J988" s="59">
        <f t="shared" si="208"/>
        <v>0</v>
      </c>
      <c r="K988" s="60">
        <f t="shared" si="209"/>
        <v>0</v>
      </c>
      <c r="L988" s="92"/>
      <c r="M988" s="87"/>
      <c r="N988" s="87"/>
      <c r="O988" s="410"/>
      <c r="P988" s="87"/>
      <c r="Q988" s="87"/>
      <c r="R988" s="87"/>
      <c r="S988" s="87"/>
      <c r="T988" s="87"/>
      <c r="U988" s="87"/>
    </row>
    <row r="989" spans="1:21" s="62" customFormat="1" ht="24" customHeight="1">
      <c r="A989" s="450"/>
      <c r="B989" s="426"/>
      <c r="C989" s="423" t="s">
        <v>153</v>
      </c>
      <c r="D989" s="423"/>
      <c r="E989" s="425">
        <f>E990/2</f>
        <v>711.93</v>
      </c>
      <c r="F989" s="94" t="s">
        <v>37</v>
      </c>
      <c r="G989" s="113">
        <v>661.62</v>
      </c>
      <c r="H989" s="59">
        <f t="shared" si="207"/>
        <v>471027.13</v>
      </c>
      <c r="I989" s="114"/>
      <c r="J989" s="59">
        <f t="shared" si="208"/>
        <v>0</v>
      </c>
      <c r="K989" s="60">
        <f t="shared" si="209"/>
        <v>471027.13</v>
      </c>
      <c r="L989" s="92"/>
      <c r="M989" s="87"/>
      <c r="N989" s="87"/>
      <c r="O989" s="410"/>
      <c r="P989" s="87"/>
      <c r="Q989" s="87"/>
      <c r="R989" s="87"/>
      <c r="S989" s="87"/>
      <c r="T989" s="87"/>
      <c r="U989" s="87"/>
    </row>
    <row r="990" spans="1:21" s="62" customFormat="1" ht="24" customHeight="1">
      <c r="A990" s="450"/>
      <c r="B990" s="426"/>
      <c r="C990" s="423" t="s">
        <v>154</v>
      </c>
      <c r="D990" s="423"/>
      <c r="E990" s="425">
        <v>1423.86</v>
      </c>
      <c r="F990" s="94" t="s">
        <v>37</v>
      </c>
      <c r="G990" s="113"/>
      <c r="H990" s="59">
        <f t="shared" si="207"/>
        <v>0</v>
      </c>
      <c r="I990" s="114">
        <v>154</v>
      </c>
      <c r="J990" s="59">
        <f t="shared" si="208"/>
        <v>219274.44</v>
      </c>
      <c r="K990" s="60">
        <f t="shared" si="209"/>
        <v>219274.44</v>
      </c>
      <c r="L990" s="92"/>
      <c r="M990" s="87"/>
      <c r="N990" s="87"/>
      <c r="O990" s="410"/>
      <c r="P990" s="87"/>
      <c r="Q990" s="87"/>
      <c r="R990" s="87"/>
      <c r="S990" s="87"/>
      <c r="T990" s="87"/>
      <c r="U990" s="87"/>
    </row>
    <row r="991" spans="1:21" s="62" customFormat="1" ht="24" customHeight="1">
      <c r="A991" s="450"/>
      <c r="B991" s="423" t="s">
        <v>155</v>
      </c>
      <c r="C991" s="423"/>
      <c r="D991" s="423"/>
      <c r="E991" s="425">
        <f>(E990*0.25)</f>
        <v>355.96499999999997</v>
      </c>
      <c r="F991" s="94" t="s">
        <v>156</v>
      </c>
      <c r="G991" s="113">
        <f t="shared" ref="G991" si="210">VLOOKUP(B991,$N$43:$O$53,2,FALSE)</f>
        <v>29.94</v>
      </c>
      <c r="H991" s="59">
        <f t="shared" si="207"/>
        <v>10657.59</v>
      </c>
      <c r="I991" s="114"/>
      <c r="J991" s="59">
        <f t="shared" si="208"/>
        <v>0</v>
      </c>
      <c r="K991" s="60">
        <f t="shared" si="209"/>
        <v>10657.59</v>
      </c>
      <c r="L991" s="92"/>
      <c r="M991" s="87"/>
      <c r="N991" s="87"/>
      <c r="O991" s="410"/>
      <c r="P991" s="87"/>
      <c r="Q991" s="87"/>
      <c r="R991" s="87"/>
      <c r="S991" s="87"/>
      <c r="T991" s="87"/>
      <c r="U991" s="87"/>
    </row>
    <row r="992" spans="1:21" s="62" customFormat="1" ht="24" customHeight="1">
      <c r="A992" s="450"/>
      <c r="B992" s="423" t="s">
        <v>157</v>
      </c>
      <c r="C992" s="423"/>
      <c r="D992" s="423"/>
      <c r="E992" s="425"/>
      <c r="F992" s="115"/>
      <c r="G992" s="101"/>
      <c r="H992" s="59">
        <f t="shared" si="207"/>
        <v>0</v>
      </c>
      <c r="I992" s="114"/>
      <c r="J992" s="59">
        <f t="shared" si="208"/>
        <v>0</v>
      </c>
      <c r="K992" s="60">
        <f t="shared" si="209"/>
        <v>0</v>
      </c>
      <c r="L992" s="92"/>
      <c r="M992" s="87"/>
      <c r="N992" s="87"/>
      <c r="O992" s="410"/>
      <c r="P992" s="87"/>
      <c r="Q992" s="87"/>
      <c r="R992" s="87"/>
      <c r="S992" s="87"/>
      <c r="T992" s="87"/>
      <c r="U992" s="87"/>
    </row>
    <row r="993" spans="1:21" s="62" customFormat="1" ht="24" customHeight="1">
      <c r="A993" s="450"/>
      <c r="B993" s="423" t="s">
        <v>158</v>
      </c>
      <c r="C993" s="423"/>
      <c r="D993" s="423"/>
      <c r="E993" s="425"/>
      <c r="F993" s="94" t="s">
        <v>156</v>
      </c>
      <c r="G993" s="113">
        <f>VLOOKUP(B993,$N$43:$O$54,2,FALSE)</f>
        <v>25.73</v>
      </c>
      <c r="H993" s="59">
        <f t="shared" si="207"/>
        <v>0</v>
      </c>
      <c r="I993" s="103">
        <v>4.0999999999999996</v>
      </c>
      <c r="J993" s="59">
        <f t="shared" si="208"/>
        <v>0</v>
      </c>
      <c r="K993" s="60">
        <f t="shared" si="209"/>
        <v>0</v>
      </c>
      <c r="L993" s="92"/>
      <c r="M993" s="87"/>
      <c r="N993" s="87"/>
      <c r="O993" s="410"/>
      <c r="P993" s="87"/>
      <c r="Q993" s="87"/>
      <c r="R993" s="87"/>
      <c r="S993" s="87"/>
      <c r="T993" s="87"/>
      <c r="U993" s="87"/>
    </row>
    <row r="994" spans="1:21" s="62" customFormat="1" ht="24" customHeight="1">
      <c r="A994" s="450"/>
      <c r="B994" s="423" t="s">
        <v>159</v>
      </c>
      <c r="C994" s="423"/>
      <c r="D994" s="423"/>
      <c r="E994" s="425"/>
      <c r="F994" s="94" t="s">
        <v>156</v>
      </c>
      <c r="G994" s="113">
        <f t="shared" ref="G994:G1001" si="211">VLOOKUP(B994,$N$43:$O$54,2,FALSE)</f>
        <v>24.97</v>
      </c>
      <c r="H994" s="59">
        <f t="shared" si="207"/>
        <v>0</v>
      </c>
      <c r="I994" s="114">
        <v>4.0999999999999996</v>
      </c>
      <c r="J994" s="59">
        <f t="shared" si="208"/>
        <v>0</v>
      </c>
      <c r="K994" s="60">
        <f t="shared" si="209"/>
        <v>0</v>
      </c>
      <c r="L994" s="92"/>
      <c r="M994" s="87"/>
      <c r="N994" s="87"/>
      <c r="O994" s="410"/>
      <c r="P994" s="87"/>
      <c r="Q994" s="87"/>
      <c r="R994" s="87"/>
      <c r="S994" s="87"/>
      <c r="T994" s="87"/>
      <c r="U994" s="87"/>
    </row>
    <row r="995" spans="1:21" s="62" customFormat="1" ht="24" customHeight="1">
      <c r="A995" s="450"/>
      <c r="B995" s="423" t="s">
        <v>160</v>
      </c>
      <c r="C995" s="423"/>
      <c r="D995" s="423"/>
      <c r="E995" s="425">
        <v>503.32</v>
      </c>
      <c r="F995" s="94" t="s">
        <v>156</v>
      </c>
      <c r="G995" s="113">
        <f t="shared" si="211"/>
        <v>24.47</v>
      </c>
      <c r="H995" s="59">
        <f t="shared" si="207"/>
        <v>12316.24</v>
      </c>
      <c r="I995" s="114">
        <v>3.3</v>
      </c>
      <c r="J995" s="59">
        <f t="shared" si="208"/>
        <v>1660.96</v>
      </c>
      <c r="K995" s="60">
        <f t="shared" si="209"/>
        <v>13977.2</v>
      </c>
      <c r="L995" s="92"/>
      <c r="M995" s="87"/>
      <c r="N995" s="87"/>
      <c r="O995" s="410"/>
      <c r="P995" s="87"/>
      <c r="Q995" s="87"/>
      <c r="R995" s="87"/>
      <c r="S995" s="87"/>
      <c r="T995" s="87"/>
      <c r="U995" s="87"/>
    </row>
    <row r="996" spans="1:21" s="62" customFormat="1" ht="24" customHeight="1">
      <c r="A996" s="450"/>
      <c r="B996" s="423" t="s">
        <v>161</v>
      </c>
      <c r="C996" s="423"/>
      <c r="D996" s="423"/>
      <c r="E996" s="425">
        <v>35279.300000000003</v>
      </c>
      <c r="F996" s="115" t="s">
        <v>156</v>
      </c>
      <c r="G996" s="113">
        <f t="shared" si="211"/>
        <v>24.27</v>
      </c>
      <c r="H996" s="59">
        <f t="shared" si="207"/>
        <v>856228.61</v>
      </c>
      <c r="I996" s="114">
        <v>3.3</v>
      </c>
      <c r="J996" s="59">
        <f t="shared" si="208"/>
        <v>116421.69</v>
      </c>
      <c r="K996" s="60">
        <f t="shared" si="209"/>
        <v>972650.3</v>
      </c>
      <c r="L996" s="92"/>
      <c r="M996" s="87"/>
      <c r="N996" s="87"/>
      <c r="O996" s="410"/>
      <c r="P996" s="87"/>
      <c r="Q996" s="87"/>
      <c r="R996" s="87"/>
      <c r="S996" s="87"/>
      <c r="T996" s="87"/>
      <c r="U996" s="87"/>
    </row>
    <row r="997" spans="1:21" s="62" customFormat="1" ht="24" customHeight="1">
      <c r="A997" s="450"/>
      <c r="B997" s="423" t="s">
        <v>162</v>
      </c>
      <c r="C997" s="423"/>
      <c r="D997" s="423"/>
      <c r="E997" s="425">
        <v>4075.01</v>
      </c>
      <c r="F997" s="94" t="s">
        <v>156</v>
      </c>
      <c r="G997" s="113">
        <f t="shared" si="211"/>
        <v>24.27</v>
      </c>
      <c r="H997" s="59">
        <f t="shared" si="207"/>
        <v>98900.49</v>
      </c>
      <c r="I997" s="114">
        <v>2.9</v>
      </c>
      <c r="J997" s="59">
        <f t="shared" si="208"/>
        <v>11817.53</v>
      </c>
      <c r="K997" s="60">
        <f t="shared" si="209"/>
        <v>110718.02</v>
      </c>
      <c r="L997" s="92"/>
      <c r="M997" s="87"/>
      <c r="N997" s="87"/>
      <c r="O997" s="410"/>
      <c r="P997" s="87"/>
      <c r="Q997" s="87"/>
      <c r="R997" s="87"/>
      <c r="S997" s="87"/>
      <c r="T997" s="87"/>
      <c r="U997" s="87"/>
    </row>
    <row r="998" spans="1:21" s="62" customFormat="1" ht="24" customHeight="1">
      <c r="A998" s="450"/>
      <c r="B998" s="423" t="s">
        <v>163</v>
      </c>
      <c r="C998" s="423"/>
      <c r="D998" s="423"/>
      <c r="E998" s="425">
        <v>50304.37</v>
      </c>
      <c r="F998" s="94" t="s">
        <v>156</v>
      </c>
      <c r="G998" s="113">
        <f t="shared" si="211"/>
        <v>24.27</v>
      </c>
      <c r="H998" s="59">
        <f t="shared" si="207"/>
        <v>1220887.06</v>
      </c>
      <c r="I998" s="114">
        <v>2.9</v>
      </c>
      <c r="J998" s="59">
        <f t="shared" si="208"/>
        <v>145882.67000000001</v>
      </c>
      <c r="K998" s="60">
        <f t="shared" si="209"/>
        <v>1366769.73</v>
      </c>
      <c r="L998" s="92"/>
      <c r="M998" s="87"/>
      <c r="N998" s="87"/>
      <c r="O998" s="410"/>
      <c r="P998" s="87"/>
      <c r="Q998" s="87"/>
      <c r="R998" s="87"/>
      <c r="S998" s="87"/>
      <c r="T998" s="87"/>
      <c r="U998" s="87"/>
    </row>
    <row r="999" spans="1:21" s="62" customFormat="1" ht="24" customHeight="1">
      <c r="A999" s="450"/>
      <c r="B999" s="423" t="s">
        <v>164</v>
      </c>
      <c r="C999" s="423"/>
      <c r="D999" s="423"/>
      <c r="E999" s="425">
        <v>0</v>
      </c>
      <c r="F999" s="94" t="s">
        <v>156</v>
      </c>
      <c r="G999" s="113">
        <f t="shared" si="211"/>
        <v>24.27</v>
      </c>
      <c r="H999" s="59">
        <f t="shared" si="207"/>
        <v>0</v>
      </c>
      <c r="I999" s="114">
        <v>2.9</v>
      </c>
      <c r="J999" s="59">
        <f t="shared" si="208"/>
        <v>0</v>
      </c>
      <c r="K999" s="60">
        <f t="shared" si="209"/>
        <v>0</v>
      </c>
      <c r="L999" s="92"/>
      <c r="M999" s="87"/>
      <c r="N999" s="87"/>
      <c r="O999" s="410"/>
      <c r="P999" s="87"/>
      <c r="Q999" s="87"/>
      <c r="R999" s="87"/>
      <c r="S999" s="87"/>
      <c r="T999" s="87"/>
      <c r="U999" s="87"/>
    </row>
    <row r="1000" spans="1:21" s="62" customFormat="1" ht="24" customHeight="1">
      <c r="A1000" s="450"/>
      <c r="B1000" s="423" t="s">
        <v>165</v>
      </c>
      <c r="C1000" s="423"/>
      <c r="D1000" s="423"/>
      <c r="E1000" s="425">
        <v>0</v>
      </c>
      <c r="F1000" s="94" t="s">
        <v>156</v>
      </c>
      <c r="G1000" s="113">
        <f t="shared" si="211"/>
        <v>23.8</v>
      </c>
      <c r="H1000" s="59">
        <f t="shared" si="207"/>
        <v>0</v>
      </c>
      <c r="I1000" s="114">
        <v>2.9</v>
      </c>
      <c r="J1000" s="59">
        <f t="shared" si="208"/>
        <v>0</v>
      </c>
      <c r="K1000" s="60">
        <f t="shared" si="209"/>
        <v>0</v>
      </c>
      <c r="L1000" s="92"/>
      <c r="M1000" s="87"/>
      <c r="N1000" s="87"/>
      <c r="O1000" s="410"/>
      <c r="P1000" s="87"/>
      <c r="Q1000" s="87"/>
      <c r="R1000" s="87"/>
      <c r="S1000" s="87"/>
      <c r="T1000" s="87"/>
      <c r="U1000" s="87"/>
    </row>
    <row r="1001" spans="1:21" s="62" customFormat="1" ht="24" customHeight="1">
      <c r="A1001" s="450"/>
      <c r="B1001" s="423" t="s">
        <v>166</v>
      </c>
      <c r="C1001" s="423"/>
      <c r="D1001" s="423"/>
      <c r="E1001" s="425">
        <f>(SUM(E993:E1000)/1000)*30</f>
        <v>2704.86</v>
      </c>
      <c r="F1001" s="94" t="s">
        <v>156</v>
      </c>
      <c r="G1001" s="113">
        <f t="shared" si="211"/>
        <v>29.92</v>
      </c>
      <c r="H1001" s="59">
        <f t="shared" si="207"/>
        <v>80929.41</v>
      </c>
      <c r="I1001" s="114"/>
      <c r="J1001" s="59">
        <f t="shared" si="208"/>
        <v>0</v>
      </c>
      <c r="K1001" s="60">
        <f t="shared" si="209"/>
        <v>80929.41</v>
      </c>
      <c r="L1001" s="92"/>
      <c r="M1001" s="87"/>
      <c r="N1001" s="87"/>
      <c r="O1001" s="410"/>
      <c r="P1001" s="87"/>
      <c r="Q1001" s="87"/>
      <c r="R1001" s="87"/>
      <c r="S1001" s="87"/>
      <c r="T1001" s="87"/>
      <c r="U1001" s="87"/>
    </row>
    <row r="1002" spans="1:21" s="62" customFormat="1" ht="24" customHeight="1">
      <c r="A1002" s="450"/>
      <c r="B1002" s="423" t="s">
        <v>167</v>
      </c>
      <c r="C1002" s="423"/>
      <c r="D1002" s="423"/>
      <c r="E1002" s="425"/>
      <c r="F1002" s="94"/>
      <c r="G1002" s="113"/>
      <c r="H1002" s="59"/>
      <c r="I1002" s="114"/>
      <c r="J1002" s="59"/>
      <c r="K1002" s="60"/>
      <c r="L1002" s="92"/>
      <c r="M1002" s="87"/>
      <c r="N1002" s="87"/>
      <c r="O1002" s="410"/>
      <c r="P1002" s="87"/>
      <c r="Q1002" s="87"/>
      <c r="R1002" s="87"/>
      <c r="S1002" s="87"/>
      <c r="T1002" s="87"/>
      <c r="U1002" s="87"/>
    </row>
    <row r="1003" spans="1:21" s="62" customFormat="1" ht="24" customHeight="1">
      <c r="A1003" s="93"/>
      <c r="B1003" s="423"/>
      <c r="C1003" s="423"/>
      <c r="D1003" s="423"/>
      <c r="E1003" s="425"/>
      <c r="F1003" s="94"/>
      <c r="G1003" s="113"/>
      <c r="H1003" s="59"/>
      <c r="I1003" s="114"/>
      <c r="J1003" s="59"/>
      <c r="K1003" s="60"/>
      <c r="L1003" s="92"/>
      <c r="M1003" s="87"/>
      <c r="N1003" s="87"/>
      <c r="O1003" s="410"/>
      <c r="P1003" s="87"/>
      <c r="Q1003" s="87"/>
      <c r="R1003" s="87"/>
      <c r="S1003" s="87"/>
      <c r="T1003" s="87"/>
      <c r="U1003" s="87"/>
    </row>
    <row r="1004" spans="1:21" s="62" customFormat="1" ht="24" customHeight="1">
      <c r="A1004" s="93"/>
      <c r="B1004" s="423"/>
      <c r="C1004" s="423"/>
      <c r="D1004" s="423"/>
      <c r="E1004" s="425"/>
      <c r="F1004" s="94"/>
      <c r="G1004" s="113"/>
      <c r="H1004" s="59"/>
      <c r="I1004" s="114"/>
      <c r="J1004" s="59"/>
      <c r="K1004" s="60"/>
      <c r="L1004" s="92"/>
      <c r="M1004" s="87"/>
      <c r="N1004" s="87"/>
      <c r="O1004" s="410"/>
      <c r="P1004" s="87"/>
      <c r="Q1004" s="87"/>
      <c r="R1004" s="87"/>
      <c r="S1004" s="87"/>
      <c r="T1004" s="87"/>
      <c r="U1004" s="87"/>
    </row>
    <row r="1005" spans="1:21" s="62" customFormat="1" ht="24" customHeight="1">
      <c r="A1005" s="450"/>
      <c r="B1005" s="95"/>
      <c r="C1005" s="423"/>
      <c r="D1005" s="423"/>
      <c r="E1005" s="425"/>
      <c r="F1005" s="94"/>
      <c r="G1005" s="113"/>
      <c r="H1005" s="59"/>
      <c r="I1005" s="114"/>
      <c r="J1005" s="59"/>
      <c r="K1005" s="60"/>
      <c r="L1005" s="92"/>
      <c r="M1005" s="87"/>
      <c r="N1005" s="87"/>
      <c r="O1005" s="410"/>
      <c r="P1005" s="87"/>
      <c r="Q1005" s="87"/>
      <c r="R1005" s="87"/>
      <c r="S1005" s="87"/>
      <c r="T1005" s="87"/>
      <c r="U1005" s="87"/>
    </row>
    <row r="1006" spans="1:21" s="62" customFormat="1" ht="24" customHeight="1">
      <c r="A1006" s="450"/>
      <c r="B1006" s="95"/>
      <c r="C1006" s="423"/>
      <c r="D1006" s="423"/>
      <c r="E1006" s="425"/>
      <c r="F1006" s="94"/>
      <c r="G1006" s="113"/>
      <c r="H1006" s="59"/>
      <c r="I1006" s="114"/>
      <c r="J1006" s="59"/>
      <c r="K1006" s="60"/>
      <c r="L1006" s="92"/>
      <c r="M1006" s="87"/>
      <c r="N1006" s="87"/>
      <c r="O1006" s="410"/>
      <c r="P1006" s="87"/>
      <c r="Q1006" s="87"/>
      <c r="R1006" s="87"/>
      <c r="S1006" s="87"/>
      <c r="T1006" s="87"/>
      <c r="U1006" s="87"/>
    </row>
    <row r="1007" spans="1:21" s="62" customFormat="1" ht="24" customHeight="1">
      <c r="A1007" s="450"/>
      <c r="B1007" s="95"/>
      <c r="C1007" s="423"/>
      <c r="D1007" s="423"/>
      <c r="E1007" s="425"/>
      <c r="F1007" s="94"/>
      <c r="G1007" s="113"/>
      <c r="H1007" s="59"/>
      <c r="I1007" s="114"/>
      <c r="J1007" s="59"/>
      <c r="K1007" s="60"/>
      <c r="L1007" s="92"/>
      <c r="M1007" s="87"/>
      <c r="N1007" s="87"/>
      <c r="O1007" s="410"/>
      <c r="P1007" s="87"/>
      <c r="Q1007" s="87"/>
      <c r="R1007" s="87"/>
      <c r="S1007" s="87"/>
      <c r="T1007" s="87"/>
      <c r="U1007" s="87"/>
    </row>
    <row r="1008" spans="1:21" s="62" customFormat="1" ht="24" customHeight="1">
      <c r="A1008" s="450"/>
      <c r="B1008" s="95"/>
      <c r="C1008" s="423"/>
      <c r="D1008" s="423"/>
      <c r="E1008" s="425"/>
      <c r="F1008" s="94"/>
      <c r="G1008" s="113"/>
      <c r="H1008" s="59"/>
      <c r="I1008" s="114"/>
      <c r="J1008" s="59"/>
      <c r="K1008" s="60"/>
      <c r="L1008" s="92"/>
      <c r="M1008" s="87"/>
      <c r="N1008" s="87"/>
      <c r="O1008" s="410"/>
      <c r="P1008" s="87"/>
      <c r="Q1008" s="87"/>
      <c r="R1008" s="87"/>
      <c r="S1008" s="87"/>
      <c r="T1008" s="87"/>
      <c r="U1008" s="87"/>
    </row>
    <row r="1009" spans="1:21" s="62" customFormat="1" ht="24" customHeight="1">
      <c r="A1009" s="450"/>
      <c r="B1009" s="95"/>
      <c r="C1009" s="423"/>
      <c r="D1009" s="423"/>
      <c r="E1009" s="425"/>
      <c r="F1009" s="94"/>
      <c r="G1009" s="113"/>
      <c r="H1009" s="59"/>
      <c r="I1009" s="114"/>
      <c r="J1009" s="59"/>
      <c r="K1009" s="60"/>
      <c r="L1009" s="92"/>
      <c r="M1009" s="87"/>
      <c r="N1009" s="87"/>
      <c r="O1009" s="410"/>
      <c r="P1009" s="87"/>
      <c r="Q1009" s="87"/>
      <c r="R1009" s="87"/>
      <c r="S1009" s="87"/>
      <c r="T1009" s="87"/>
      <c r="U1009" s="87"/>
    </row>
    <row r="1010" spans="1:21" s="62" customFormat="1" ht="24" customHeight="1">
      <c r="A1010" s="450"/>
      <c r="B1010" s="95"/>
      <c r="C1010" s="423"/>
      <c r="D1010" s="423"/>
      <c r="E1010" s="425"/>
      <c r="F1010" s="94"/>
      <c r="G1010" s="113"/>
      <c r="H1010" s="59"/>
      <c r="I1010" s="114"/>
      <c r="J1010" s="59"/>
      <c r="K1010" s="60"/>
      <c r="L1010" s="92"/>
      <c r="M1010" s="87"/>
      <c r="N1010" s="87"/>
      <c r="O1010" s="410"/>
      <c r="P1010" s="87"/>
      <c r="Q1010" s="87"/>
      <c r="R1010" s="87"/>
      <c r="S1010" s="87"/>
      <c r="T1010" s="87"/>
      <c r="U1010" s="87"/>
    </row>
    <row r="1011" spans="1:21" s="62" customFormat="1" ht="24" customHeight="1">
      <c r="A1011" s="450" t="s">
        <v>217</v>
      </c>
      <c r="B1011" s="453" t="s">
        <v>218</v>
      </c>
      <c r="C1011" s="423"/>
      <c r="D1011" s="423"/>
      <c r="E1011" s="425"/>
      <c r="F1011" s="94"/>
      <c r="G1011" s="113"/>
      <c r="H1011" s="59"/>
      <c r="I1011" s="114"/>
      <c r="J1011" s="59"/>
      <c r="K1011" s="60"/>
      <c r="L1011" s="92"/>
      <c r="M1011" s="87"/>
      <c r="N1011" s="87"/>
      <c r="O1011" s="410"/>
      <c r="P1011" s="87"/>
      <c r="Q1011" s="87"/>
      <c r="R1011" s="87"/>
      <c r="S1011" s="87"/>
      <c r="T1011" s="87"/>
      <c r="U1011" s="87"/>
    </row>
    <row r="1012" spans="1:21" s="62" customFormat="1" ht="24" customHeight="1">
      <c r="A1012" s="450"/>
      <c r="B1012" s="423" t="s">
        <v>150</v>
      </c>
      <c r="C1012" s="424"/>
      <c r="D1012" s="424"/>
      <c r="E1012" s="425">
        <v>21.55</v>
      </c>
      <c r="F1012" s="94" t="s">
        <v>151</v>
      </c>
      <c r="G1012" s="113">
        <v>2516</v>
      </c>
      <c r="H1012" s="59">
        <f t="shared" ref="H1012:H1027" si="212">ROUND(E1012*G1012,2)</f>
        <v>54219.8</v>
      </c>
      <c r="I1012" s="114">
        <v>485</v>
      </c>
      <c r="J1012" s="59">
        <f t="shared" ref="J1012:J1027" si="213">ROUND(E1012*I1012,2)</f>
        <v>10451.75</v>
      </c>
      <c r="K1012" s="60">
        <f t="shared" ref="K1012:K1027" si="214">H1012+J1012</f>
        <v>64671.55</v>
      </c>
      <c r="L1012" s="92"/>
      <c r="M1012" s="87"/>
      <c r="N1012" s="87"/>
      <c r="O1012" s="410"/>
      <c r="P1012" s="87"/>
      <c r="Q1012" s="87"/>
      <c r="R1012" s="87"/>
      <c r="S1012" s="87"/>
      <c r="T1012" s="87"/>
      <c r="U1012" s="87"/>
    </row>
    <row r="1013" spans="1:21" s="62" customFormat="1" ht="24" customHeight="1">
      <c r="A1013" s="450"/>
      <c r="B1013" s="426" t="s">
        <v>152</v>
      </c>
      <c r="C1013" s="423"/>
      <c r="D1013" s="423"/>
      <c r="E1013" s="425"/>
      <c r="F1013" s="94"/>
      <c r="G1013" s="113"/>
      <c r="H1013" s="59">
        <f t="shared" si="212"/>
        <v>0</v>
      </c>
      <c r="I1013" s="114"/>
      <c r="J1013" s="59">
        <f t="shared" si="213"/>
        <v>0</v>
      </c>
      <c r="K1013" s="60">
        <f t="shared" si="214"/>
        <v>0</v>
      </c>
      <c r="L1013" s="92"/>
      <c r="M1013" s="87"/>
      <c r="N1013" s="87"/>
      <c r="O1013" s="410"/>
      <c r="P1013" s="87"/>
      <c r="Q1013" s="87"/>
      <c r="R1013" s="87"/>
      <c r="S1013" s="87"/>
      <c r="T1013" s="87"/>
      <c r="U1013" s="87"/>
    </row>
    <row r="1014" spans="1:21" s="62" customFormat="1" ht="24" customHeight="1">
      <c r="A1014" s="450"/>
      <c r="B1014" s="426"/>
      <c r="C1014" s="423" t="s">
        <v>153</v>
      </c>
      <c r="D1014" s="423"/>
      <c r="E1014" s="425">
        <f>E1015/2</f>
        <v>54.445</v>
      </c>
      <c r="F1014" s="94" t="s">
        <v>37</v>
      </c>
      <c r="G1014" s="113">
        <v>661.62</v>
      </c>
      <c r="H1014" s="59">
        <f t="shared" si="212"/>
        <v>36021.9</v>
      </c>
      <c r="I1014" s="114"/>
      <c r="J1014" s="59">
        <f t="shared" si="213"/>
        <v>0</v>
      </c>
      <c r="K1014" s="60">
        <f t="shared" si="214"/>
        <v>36021.9</v>
      </c>
      <c r="L1014" s="92"/>
      <c r="M1014" s="87"/>
      <c r="N1014" s="87"/>
      <c r="O1014" s="410"/>
      <c r="P1014" s="87"/>
      <c r="Q1014" s="87"/>
      <c r="R1014" s="87"/>
      <c r="S1014" s="87"/>
      <c r="T1014" s="87"/>
      <c r="U1014" s="87"/>
    </row>
    <row r="1015" spans="1:21" s="62" customFormat="1" ht="24" customHeight="1">
      <c r="A1015" s="450"/>
      <c r="B1015" s="426"/>
      <c r="C1015" s="423" t="s">
        <v>154</v>
      </c>
      <c r="D1015" s="423"/>
      <c r="E1015" s="425">
        <v>108.89</v>
      </c>
      <c r="F1015" s="94" t="s">
        <v>37</v>
      </c>
      <c r="G1015" s="113"/>
      <c r="H1015" s="59">
        <f t="shared" si="212"/>
        <v>0</v>
      </c>
      <c r="I1015" s="114">
        <v>154</v>
      </c>
      <c r="J1015" s="59">
        <f t="shared" si="213"/>
        <v>16769.060000000001</v>
      </c>
      <c r="K1015" s="60">
        <f t="shared" si="214"/>
        <v>16769.060000000001</v>
      </c>
      <c r="L1015" s="92"/>
      <c r="M1015" s="87"/>
      <c r="N1015" s="87"/>
      <c r="O1015" s="410"/>
      <c r="P1015" s="87"/>
      <c r="Q1015" s="87"/>
      <c r="R1015" s="87"/>
      <c r="S1015" s="87"/>
      <c r="T1015" s="87"/>
      <c r="U1015" s="87"/>
    </row>
    <row r="1016" spans="1:21" s="62" customFormat="1" ht="24" customHeight="1">
      <c r="A1016" s="450"/>
      <c r="B1016" s="423" t="s">
        <v>155</v>
      </c>
      <c r="C1016" s="423"/>
      <c r="D1016" s="423"/>
      <c r="E1016" s="425">
        <f>(E1015*0.25)</f>
        <v>27.2225</v>
      </c>
      <c r="F1016" s="94" t="s">
        <v>156</v>
      </c>
      <c r="G1016" s="113">
        <f t="shared" ref="G1016" si="215">VLOOKUP(B1016,$N$43:$O$53,2,FALSE)</f>
        <v>29.94</v>
      </c>
      <c r="H1016" s="59">
        <f t="shared" si="212"/>
        <v>815.04</v>
      </c>
      <c r="I1016" s="114"/>
      <c r="J1016" s="59">
        <f t="shared" si="213"/>
        <v>0</v>
      </c>
      <c r="K1016" s="60">
        <f t="shared" si="214"/>
        <v>815.04</v>
      </c>
      <c r="L1016" s="92"/>
      <c r="M1016" s="87"/>
      <c r="N1016" s="87"/>
      <c r="O1016" s="410"/>
      <c r="P1016" s="87"/>
      <c r="Q1016" s="87"/>
      <c r="R1016" s="87"/>
      <c r="S1016" s="87"/>
      <c r="T1016" s="87"/>
      <c r="U1016" s="87"/>
    </row>
    <row r="1017" spans="1:21" s="62" customFormat="1" ht="24" customHeight="1">
      <c r="A1017" s="450"/>
      <c r="B1017" s="423" t="s">
        <v>157</v>
      </c>
      <c r="C1017" s="423"/>
      <c r="D1017" s="423"/>
      <c r="E1017" s="425"/>
      <c r="F1017" s="115"/>
      <c r="G1017" s="101"/>
      <c r="H1017" s="59">
        <f t="shared" si="212"/>
        <v>0</v>
      </c>
      <c r="I1017" s="114"/>
      <c r="J1017" s="59">
        <f t="shared" si="213"/>
        <v>0</v>
      </c>
      <c r="K1017" s="60">
        <f t="shared" si="214"/>
        <v>0</v>
      </c>
      <c r="L1017" s="92"/>
      <c r="M1017" s="87"/>
      <c r="N1017" s="87"/>
      <c r="O1017" s="410"/>
      <c r="P1017" s="87"/>
      <c r="Q1017" s="87"/>
      <c r="R1017" s="87"/>
      <c r="S1017" s="87"/>
      <c r="T1017" s="87"/>
      <c r="U1017" s="87"/>
    </row>
    <row r="1018" spans="1:21" s="62" customFormat="1" ht="24" customHeight="1">
      <c r="A1018" s="450"/>
      <c r="B1018" s="428" t="s">
        <v>158</v>
      </c>
      <c r="C1018" s="428"/>
      <c r="D1018" s="428"/>
      <c r="E1018" s="425">
        <v>0</v>
      </c>
      <c r="F1018" s="94" t="s">
        <v>156</v>
      </c>
      <c r="G1018" s="113">
        <f>VLOOKUP(B1018,$N$43:$O$54,2,FALSE)</f>
        <v>25.73</v>
      </c>
      <c r="H1018" s="59">
        <f t="shared" si="212"/>
        <v>0</v>
      </c>
      <c r="I1018" s="103">
        <v>4.0999999999999996</v>
      </c>
      <c r="J1018" s="59">
        <f t="shared" si="213"/>
        <v>0</v>
      </c>
      <c r="K1018" s="60">
        <f t="shared" si="214"/>
        <v>0</v>
      </c>
      <c r="L1018" s="92"/>
      <c r="M1018" s="87"/>
      <c r="N1018" s="87"/>
      <c r="O1018" s="410"/>
      <c r="P1018" s="87"/>
      <c r="Q1018" s="87"/>
      <c r="R1018" s="87"/>
      <c r="S1018" s="87"/>
      <c r="T1018" s="87"/>
      <c r="U1018" s="87"/>
    </row>
    <row r="1019" spans="1:21" s="62" customFormat="1" ht="24" customHeight="1">
      <c r="A1019" s="450"/>
      <c r="B1019" s="423" t="s">
        <v>159</v>
      </c>
      <c r="C1019" s="423"/>
      <c r="D1019" s="423"/>
      <c r="E1019" s="425">
        <v>223.28</v>
      </c>
      <c r="F1019" s="94" t="s">
        <v>156</v>
      </c>
      <c r="G1019" s="113">
        <f t="shared" ref="G1019:G1027" si="216">VLOOKUP(B1019,$N$43:$O$54,2,FALSE)</f>
        <v>24.97</v>
      </c>
      <c r="H1019" s="59">
        <f t="shared" si="212"/>
        <v>5575.3</v>
      </c>
      <c r="I1019" s="114">
        <v>4.0999999999999996</v>
      </c>
      <c r="J1019" s="59">
        <f t="shared" si="213"/>
        <v>915.45</v>
      </c>
      <c r="K1019" s="60">
        <f t="shared" si="214"/>
        <v>6490.75</v>
      </c>
      <c r="L1019" s="92"/>
      <c r="M1019" s="87"/>
      <c r="N1019" s="87"/>
      <c r="O1019" s="410"/>
      <c r="P1019" s="87"/>
      <c r="Q1019" s="87"/>
      <c r="R1019" s="87"/>
      <c r="S1019" s="87"/>
      <c r="T1019" s="87"/>
      <c r="U1019" s="87"/>
    </row>
    <row r="1020" spans="1:21" s="62" customFormat="1" ht="24" customHeight="1">
      <c r="A1020" s="450"/>
      <c r="B1020" s="423" t="s">
        <v>328</v>
      </c>
      <c r="C1020" s="423"/>
      <c r="D1020" s="423"/>
      <c r="E1020" s="425">
        <v>50.62</v>
      </c>
      <c r="F1020" s="94" t="s">
        <v>156</v>
      </c>
      <c r="G1020" s="113">
        <f t="shared" si="216"/>
        <v>23.5</v>
      </c>
      <c r="H1020" s="59">
        <f t="shared" si="212"/>
        <v>1189.57</v>
      </c>
      <c r="I1020" s="114">
        <v>3.3</v>
      </c>
      <c r="J1020" s="59">
        <f t="shared" si="213"/>
        <v>167.05</v>
      </c>
      <c r="K1020" s="60">
        <f t="shared" si="214"/>
        <v>1356.62</v>
      </c>
      <c r="L1020" s="92"/>
      <c r="M1020" s="87"/>
      <c r="N1020" s="87"/>
      <c r="O1020" s="410"/>
      <c r="P1020" s="87"/>
      <c r="Q1020" s="87"/>
      <c r="R1020" s="87"/>
      <c r="S1020" s="87"/>
      <c r="T1020" s="87"/>
      <c r="U1020" s="87"/>
    </row>
    <row r="1021" spans="1:21" s="62" customFormat="1" ht="24" customHeight="1">
      <c r="A1021" s="450"/>
      <c r="B1021" s="423" t="s">
        <v>160</v>
      </c>
      <c r="C1021" s="423"/>
      <c r="D1021" s="423"/>
      <c r="E1021" s="425">
        <v>1943.78</v>
      </c>
      <c r="F1021" s="94" t="s">
        <v>156</v>
      </c>
      <c r="G1021" s="113">
        <f t="shared" si="216"/>
        <v>24.47</v>
      </c>
      <c r="H1021" s="59">
        <f t="shared" si="212"/>
        <v>47564.3</v>
      </c>
      <c r="I1021" s="114">
        <v>3.3</v>
      </c>
      <c r="J1021" s="59">
        <f t="shared" si="213"/>
        <v>6414.47</v>
      </c>
      <c r="K1021" s="60">
        <f t="shared" si="214"/>
        <v>53978.770000000004</v>
      </c>
      <c r="L1021" s="92"/>
      <c r="M1021" s="87"/>
      <c r="N1021" s="87"/>
      <c r="O1021" s="410"/>
      <c r="P1021" s="87"/>
      <c r="Q1021" s="87"/>
      <c r="R1021" s="87"/>
      <c r="S1021" s="87"/>
      <c r="T1021" s="87"/>
      <c r="U1021" s="87"/>
    </row>
    <row r="1022" spans="1:21" s="62" customFormat="1" ht="24" customHeight="1">
      <c r="A1022" s="450"/>
      <c r="B1022" s="423" t="s">
        <v>161</v>
      </c>
      <c r="C1022" s="423"/>
      <c r="D1022" s="423"/>
      <c r="E1022" s="425">
        <v>1155.82</v>
      </c>
      <c r="F1022" s="115" t="s">
        <v>156</v>
      </c>
      <c r="G1022" s="113">
        <f t="shared" si="216"/>
        <v>24.27</v>
      </c>
      <c r="H1022" s="59">
        <f t="shared" si="212"/>
        <v>28051.75</v>
      </c>
      <c r="I1022" s="114">
        <v>3.3</v>
      </c>
      <c r="J1022" s="59">
        <f t="shared" si="213"/>
        <v>3814.21</v>
      </c>
      <c r="K1022" s="60">
        <f t="shared" si="214"/>
        <v>31865.96</v>
      </c>
      <c r="L1022" s="92"/>
      <c r="M1022" s="87"/>
      <c r="N1022" s="87"/>
      <c r="O1022" s="410"/>
      <c r="P1022" s="87"/>
      <c r="Q1022" s="87"/>
      <c r="R1022" s="87"/>
      <c r="S1022" s="87"/>
      <c r="T1022" s="87"/>
      <c r="U1022" s="87"/>
    </row>
    <row r="1023" spans="1:21" s="62" customFormat="1" ht="24" customHeight="1">
      <c r="A1023" s="450"/>
      <c r="B1023" s="428" t="s">
        <v>162</v>
      </c>
      <c r="C1023" s="428"/>
      <c r="D1023" s="428"/>
      <c r="E1023" s="425">
        <v>0</v>
      </c>
      <c r="F1023" s="94" t="s">
        <v>156</v>
      </c>
      <c r="G1023" s="113">
        <f t="shared" si="216"/>
        <v>24.27</v>
      </c>
      <c r="H1023" s="59">
        <f t="shared" si="212"/>
        <v>0</v>
      </c>
      <c r="I1023" s="114">
        <v>2.9</v>
      </c>
      <c r="J1023" s="59">
        <f t="shared" si="213"/>
        <v>0</v>
      </c>
      <c r="K1023" s="60">
        <f t="shared" si="214"/>
        <v>0</v>
      </c>
      <c r="L1023" s="92"/>
      <c r="M1023" s="87"/>
      <c r="N1023" s="87"/>
      <c r="O1023" s="410"/>
      <c r="P1023" s="87"/>
      <c r="Q1023" s="87"/>
      <c r="R1023" s="87"/>
      <c r="S1023" s="87"/>
      <c r="T1023" s="87"/>
      <c r="U1023" s="87"/>
    </row>
    <row r="1024" spans="1:21" s="62" customFormat="1" ht="24" customHeight="1">
      <c r="A1024" s="450"/>
      <c r="B1024" s="423" t="s">
        <v>163</v>
      </c>
      <c r="C1024" s="423"/>
      <c r="D1024" s="423"/>
      <c r="E1024" s="425"/>
      <c r="F1024" s="94" t="s">
        <v>156</v>
      </c>
      <c r="G1024" s="113">
        <f t="shared" si="216"/>
        <v>24.27</v>
      </c>
      <c r="H1024" s="59">
        <f t="shared" si="212"/>
        <v>0</v>
      </c>
      <c r="I1024" s="114">
        <v>2.9</v>
      </c>
      <c r="J1024" s="59">
        <f t="shared" si="213"/>
        <v>0</v>
      </c>
      <c r="K1024" s="60">
        <f t="shared" si="214"/>
        <v>0</v>
      </c>
      <c r="L1024" s="92"/>
      <c r="M1024" s="87"/>
      <c r="N1024" s="87"/>
      <c r="O1024" s="410"/>
      <c r="P1024" s="87"/>
      <c r="Q1024" s="87"/>
      <c r="R1024" s="87"/>
      <c r="S1024" s="87"/>
      <c r="T1024" s="87"/>
      <c r="U1024" s="87"/>
    </row>
    <row r="1025" spans="1:21" s="62" customFormat="1" ht="24" customHeight="1">
      <c r="A1025" s="450"/>
      <c r="B1025" s="423" t="s">
        <v>164</v>
      </c>
      <c r="C1025" s="423"/>
      <c r="D1025" s="423"/>
      <c r="E1025" s="425"/>
      <c r="F1025" s="94" t="s">
        <v>156</v>
      </c>
      <c r="G1025" s="113">
        <f t="shared" si="216"/>
        <v>24.27</v>
      </c>
      <c r="H1025" s="59">
        <f t="shared" si="212"/>
        <v>0</v>
      </c>
      <c r="I1025" s="114">
        <v>2.9</v>
      </c>
      <c r="J1025" s="59">
        <f t="shared" si="213"/>
        <v>0</v>
      </c>
      <c r="K1025" s="60">
        <f t="shared" si="214"/>
        <v>0</v>
      </c>
      <c r="L1025" s="92"/>
      <c r="M1025" s="87"/>
      <c r="N1025" s="87"/>
      <c r="O1025" s="410"/>
      <c r="P1025" s="87"/>
      <c r="Q1025" s="87"/>
      <c r="R1025" s="87"/>
      <c r="S1025" s="87"/>
      <c r="T1025" s="87"/>
      <c r="U1025" s="87"/>
    </row>
    <row r="1026" spans="1:21" s="62" customFormat="1" ht="24" customHeight="1">
      <c r="A1026" s="450"/>
      <c r="B1026" s="423" t="s">
        <v>165</v>
      </c>
      <c r="C1026" s="423"/>
      <c r="D1026" s="423"/>
      <c r="E1026" s="425"/>
      <c r="F1026" s="94" t="s">
        <v>156</v>
      </c>
      <c r="G1026" s="113">
        <f t="shared" si="216"/>
        <v>23.8</v>
      </c>
      <c r="H1026" s="59">
        <f t="shared" si="212"/>
        <v>0</v>
      </c>
      <c r="I1026" s="114">
        <v>2.9</v>
      </c>
      <c r="J1026" s="59">
        <f t="shared" si="213"/>
        <v>0</v>
      </c>
      <c r="K1026" s="60">
        <f t="shared" si="214"/>
        <v>0</v>
      </c>
      <c r="L1026" s="92"/>
      <c r="M1026" s="87"/>
      <c r="N1026" s="87"/>
      <c r="O1026" s="410"/>
      <c r="P1026" s="87"/>
      <c r="Q1026" s="87"/>
      <c r="R1026" s="87"/>
      <c r="S1026" s="87"/>
      <c r="T1026" s="87"/>
      <c r="U1026" s="87"/>
    </row>
    <row r="1027" spans="1:21" s="62" customFormat="1" ht="24" customHeight="1">
      <c r="A1027" s="450"/>
      <c r="B1027" s="423" t="s">
        <v>166</v>
      </c>
      <c r="C1027" s="423"/>
      <c r="D1027" s="423"/>
      <c r="E1027" s="425">
        <f>(SUM(E1018:E1026)/1000)*30</f>
        <v>101.205</v>
      </c>
      <c r="F1027" s="94" t="s">
        <v>156</v>
      </c>
      <c r="G1027" s="113">
        <f t="shared" si="216"/>
        <v>29.92</v>
      </c>
      <c r="H1027" s="59">
        <f t="shared" si="212"/>
        <v>3028.05</v>
      </c>
      <c r="I1027" s="114"/>
      <c r="J1027" s="59">
        <f t="shared" si="213"/>
        <v>0</v>
      </c>
      <c r="K1027" s="60">
        <f t="shared" si="214"/>
        <v>3028.05</v>
      </c>
      <c r="L1027" s="92"/>
      <c r="M1027" s="87"/>
      <c r="N1027" s="87"/>
      <c r="O1027" s="410"/>
      <c r="P1027" s="87"/>
      <c r="Q1027" s="87"/>
      <c r="R1027" s="87"/>
      <c r="S1027" s="87"/>
      <c r="T1027" s="87"/>
      <c r="U1027" s="87"/>
    </row>
    <row r="1028" spans="1:21" s="62" customFormat="1" ht="24" customHeight="1">
      <c r="A1028" s="93"/>
      <c r="B1028" s="423" t="s">
        <v>167</v>
      </c>
      <c r="C1028" s="423"/>
      <c r="D1028" s="423"/>
      <c r="E1028" s="425"/>
      <c r="F1028" s="94"/>
      <c r="G1028" s="113"/>
      <c r="H1028" s="59"/>
      <c r="I1028" s="114"/>
      <c r="J1028" s="59"/>
      <c r="K1028" s="60"/>
      <c r="L1028" s="92"/>
      <c r="M1028" s="87"/>
      <c r="N1028" s="87"/>
      <c r="O1028" s="410"/>
      <c r="P1028" s="87"/>
      <c r="Q1028" s="87"/>
      <c r="R1028" s="87"/>
      <c r="S1028" s="87"/>
      <c r="T1028" s="87"/>
      <c r="U1028" s="87"/>
    </row>
    <row r="1029" spans="1:21" s="62" customFormat="1" ht="24" customHeight="1">
      <c r="A1029" s="450"/>
      <c r="B1029" s="423"/>
      <c r="C1029" s="423"/>
      <c r="D1029" s="423"/>
      <c r="E1029" s="425"/>
      <c r="F1029" s="94"/>
      <c r="G1029" s="113"/>
      <c r="H1029" s="59"/>
      <c r="I1029" s="114"/>
      <c r="J1029" s="59"/>
      <c r="K1029" s="60">
        <f t="shared" ref="K1029" si="217">H1029+J1029</f>
        <v>0</v>
      </c>
      <c r="L1029" s="92"/>
      <c r="M1029" s="87"/>
      <c r="N1029" s="87"/>
      <c r="O1029" s="410"/>
      <c r="P1029" s="87"/>
      <c r="Q1029" s="87"/>
      <c r="R1029" s="87"/>
      <c r="S1029" s="87"/>
      <c r="T1029" s="87"/>
      <c r="U1029" s="87"/>
    </row>
    <row r="1030" spans="1:21" s="62" customFormat="1" ht="24" customHeight="1">
      <c r="A1030" s="450"/>
      <c r="B1030" s="95"/>
      <c r="C1030" s="423"/>
      <c r="D1030" s="423"/>
      <c r="E1030" s="425"/>
      <c r="F1030" s="94"/>
      <c r="G1030" s="113"/>
      <c r="H1030" s="59"/>
      <c r="I1030" s="114"/>
      <c r="J1030" s="59"/>
      <c r="K1030" s="60"/>
      <c r="L1030" s="92"/>
      <c r="M1030" s="87"/>
      <c r="N1030" s="87"/>
      <c r="O1030" s="410"/>
      <c r="P1030" s="87"/>
      <c r="Q1030" s="87"/>
      <c r="R1030" s="87"/>
      <c r="S1030" s="87"/>
      <c r="T1030" s="87"/>
      <c r="U1030" s="87"/>
    </row>
    <row r="1031" spans="1:21" s="62" customFormat="1" ht="24" customHeight="1">
      <c r="A1031" s="450"/>
      <c r="B1031" s="95"/>
      <c r="C1031" s="423"/>
      <c r="D1031" s="423"/>
      <c r="E1031" s="425"/>
      <c r="F1031" s="94"/>
      <c r="G1031" s="113"/>
      <c r="H1031" s="59"/>
      <c r="I1031" s="114"/>
      <c r="J1031" s="59"/>
      <c r="K1031" s="60"/>
      <c r="L1031" s="92"/>
      <c r="M1031" s="87"/>
      <c r="N1031" s="87"/>
      <c r="O1031" s="410"/>
      <c r="P1031" s="87"/>
      <c r="Q1031" s="87"/>
      <c r="R1031" s="87"/>
      <c r="S1031" s="87"/>
      <c r="T1031" s="87"/>
      <c r="U1031" s="87"/>
    </row>
    <row r="1032" spans="1:21" s="62" customFormat="1" ht="24" customHeight="1">
      <c r="A1032" s="450"/>
      <c r="B1032" s="95"/>
      <c r="C1032" s="423"/>
      <c r="D1032" s="423"/>
      <c r="E1032" s="425"/>
      <c r="F1032" s="94"/>
      <c r="G1032" s="113"/>
      <c r="H1032" s="59"/>
      <c r="I1032" s="114"/>
      <c r="J1032" s="59"/>
      <c r="K1032" s="60"/>
      <c r="L1032" s="92"/>
      <c r="M1032" s="87"/>
      <c r="N1032" s="87"/>
      <c r="O1032" s="410"/>
      <c r="P1032" s="87"/>
      <c r="Q1032" s="87"/>
      <c r="R1032" s="87"/>
      <c r="S1032" s="87"/>
      <c r="T1032" s="87"/>
      <c r="U1032" s="87"/>
    </row>
    <row r="1033" spans="1:21" s="62" customFormat="1" ht="24" customHeight="1">
      <c r="A1033" s="450"/>
      <c r="B1033" s="95"/>
      <c r="C1033" s="423"/>
      <c r="D1033" s="423"/>
      <c r="E1033" s="425"/>
      <c r="F1033" s="94"/>
      <c r="G1033" s="113"/>
      <c r="H1033" s="59"/>
      <c r="I1033" s="114"/>
      <c r="J1033" s="59"/>
      <c r="K1033" s="60"/>
      <c r="L1033" s="92"/>
      <c r="M1033" s="87"/>
      <c r="N1033" s="87"/>
      <c r="O1033" s="410"/>
      <c r="P1033" s="87"/>
      <c r="Q1033" s="87"/>
      <c r="R1033" s="87"/>
      <c r="S1033" s="87"/>
      <c r="T1033" s="87"/>
      <c r="U1033" s="87"/>
    </row>
    <row r="1034" spans="1:21" s="62" customFormat="1" ht="24" customHeight="1">
      <c r="A1034" s="90"/>
      <c r="B1034" s="454"/>
      <c r="C1034" s="430"/>
      <c r="D1034" s="430"/>
      <c r="E1034" s="425"/>
      <c r="F1034" s="432"/>
      <c r="G1034" s="101"/>
      <c r="H1034" s="102"/>
      <c r="I1034" s="103"/>
      <c r="J1034" s="102"/>
      <c r="K1034" s="104"/>
      <c r="L1034" s="433"/>
      <c r="M1034" s="87"/>
      <c r="N1034" s="87"/>
      <c r="O1034" s="410"/>
      <c r="P1034" s="87"/>
      <c r="Q1034" s="87"/>
      <c r="R1034" s="87"/>
      <c r="S1034" s="87"/>
      <c r="T1034" s="87"/>
      <c r="U1034" s="87"/>
    </row>
    <row r="1035" spans="1:21" s="62" customFormat="1" ht="24" customHeight="1">
      <c r="A1035" s="109"/>
      <c r="B1035" s="2444" t="str">
        <f>"รวมราคารายการที่ "&amp;A911</f>
        <v>รวมราคารายการที่ 1.8</v>
      </c>
      <c r="C1035" s="2444"/>
      <c r="D1035" s="2444"/>
      <c r="E1035" s="110"/>
      <c r="F1035" s="111"/>
      <c r="G1035" s="112"/>
      <c r="H1035" s="106">
        <f>ROUND(SUBTOTAL(9,H914:H1034),2)</f>
        <v>12686893.33</v>
      </c>
      <c r="I1035" s="108"/>
      <c r="J1035" s="106">
        <f>ROUND(SUBTOTAL(9,J914:J1034),2)</f>
        <v>2492458.14</v>
      </c>
      <c r="K1035" s="106">
        <f>ROUND(SUBTOTAL(9,K914:K1034),2)</f>
        <v>15179351.470000001</v>
      </c>
      <c r="L1035" s="106"/>
      <c r="M1035" s="87"/>
      <c r="N1035" s="87"/>
      <c r="O1035" s="410"/>
      <c r="P1035" s="87"/>
      <c r="Q1035" s="87"/>
      <c r="R1035" s="87"/>
      <c r="S1035" s="87"/>
      <c r="T1035" s="87"/>
      <c r="U1035" s="87"/>
    </row>
    <row r="1036" spans="1:21" s="62" customFormat="1" ht="24" customHeight="1">
      <c r="A1036" s="455" t="s">
        <v>333</v>
      </c>
      <c r="B1036" s="411" t="s">
        <v>219</v>
      </c>
      <c r="C1036" s="430"/>
      <c r="D1036" s="430"/>
      <c r="E1036" s="431"/>
      <c r="F1036" s="432"/>
      <c r="G1036" s="101"/>
      <c r="H1036" s="102"/>
      <c r="I1036" s="103"/>
      <c r="J1036" s="102"/>
      <c r="K1036" s="104"/>
      <c r="L1036" s="433"/>
      <c r="M1036" s="87"/>
      <c r="N1036" s="87"/>
      <c r="O1036" s="410"/>
      <c r="P1036" s="87"/>
      <c r="Q1036" s="87"/>
      <c r="R1036" s="87"/>
      <c r="S1036" s="87"/>
      <c r="T1036" s="87"/>
      <c r="U1036" s="87"/>
    </row>
    <row r="1037" spans="1:21" s="62" customFormat="1" ht="24" customHeight="1">
      <c r="A1037" s="67"/>
      <c r="B1037" s="117"/>
      <c r="C1037" s="423"/>
      <c r="D1037" s="423"/>
      <c r="E1037" s="429"/>
      <c r="F1037" s="94"/>
      <c r="G1037" s="113"/>
      <c r="H1037" s="59"/>
      <c r="I1037" s="114"/>
      <c r="J1037" s="59"/>
      <c r="K1037" s="60"/>
      <c r="L1037" s="92"/>
      <c r="M1037" s="87"/>
      <c r="N1037" s="87"/>
      <c r="O1037" s="410"/>
      <c r="P1037" s="87"/>
      <c r="Q1037" s="87"/>
      <c r="R1037" s="87"/>
      <c r="S1037" s="87"/>
      <c r="T1037" s="87"/>
      <c r="U1037" s="87"/>
    </row>
    <row r="1038" spans="1:21" s="62" customFormat="1" ht="24" customHeight="1">
      <c r="A1038" s="450" t="s">
        <v>334</v>
      </c>
      <c r="B1038" s="453" t="s">
        <v>220</v>
      </c>
      <c r="C1038" s="423"/>
      <c r="D1038" s="423"/>
      <c r="E1038" s="429"/>
      <c r="F1038" s="94"/>
      <c r="G1038" s="113"/>
      <c r="H1038" s="59"/>
      <c r="I1038" s="114"/>
      <c r="J1038" s="59"/>
      <c r="K1038" s="60"/>
      <c r="L1038" s="92"/>
      <c r="M1038" s="87"/>
      <c r="N1038" s="87"/>
      <c r="O1038" s="410"/>
      <c r="P1038" s="87"/>
      <c r="Q1038" s="87"/>
      <c r="R1038" s="87"/>
      <c r="S1038" s="87"/>
      <c r="T1038" s="87"/>
      <c r="U1038" s="87"/>
    </row>
    <row r="1039" spans="1:21" s="62" customFormat="1" ht="24" customHeight="1">
      <c r="A1039" s="67"/>
      <c r="B1039" s="426" t="s">
        <v>221</v>
      </c>
      <c r="C1039" s="424"/>
      <c r="D1039" s="424"/>
      <c r="E1039" s="425">
        <v>211.86</v>
      </c>
      <c r="F1039" s="94" t="s">
        <v>151</v>
      </c>
      <c r="G1039" s="113">
        <v>3190</v>
      </c>
      <c r="H1039" s="59">
        <f t="shared" ref="H1039:H1053" si="218">ROUND(E1039*G1039,2)</f>
        <v>675833.4</v>
      </c>
      <c r="I1039" s="114">
        <v>485</v>
      </c>
      <c r="J1039" s="59">
        <f t="shared" ref="J1039:J1053" si="219">ROUND(E1039*I1039,2)</f>
        <v>102752.1</v>
      </c>
      <c r="K1039" s="60">
        <f t="shared" ref="K1039:K1053" si="220">H1039+J1039</f>
        <v>778585.5</v>
      </c>
      <c r="L1039" s="92"/>
      <c r="M1039" s="87"/>
      <c r="N1039" s="87"/>
      <c r="O1039" s="410"/>
      <c r="P1039" s="87"/>
      <c r="Q1039" s="87"/>
      <c r="R1039" s="87"/>
      <c r="S1039" s="87"/>
      <c r="T1039" s="87"/>
      <c r="U1039" s="87"/>
    </row>
    <row r="1040" spans="1:21" s="62" customFormat="1" ht="24" customHeight="1">
      <c r="A1040" s="67"/>
      <c r="B1040" s="426" t="s">
        <v>152</v>
      </c>
      <c r="C1040" s="423"/>
      <c r="D1040" s="423"/>
      <c r="E1040" s="425"/>
      <c r="F1040" s="94"/>
      <c r="G1040" s="113"/>
      <c r="H1040" s="59">
        <f t="shared" si="218"/>
        <v>0</v>
      </c>
      <c r="I1040" s="114"/>
      <c r="J1040" s="59">
        <f t="shared" si="219"/>
        <v>0</v>
      </c>
      <c r="K1040" s="60">
        <f t="shared" si="220"/>
        <v>0</v>
      </c>
      <c r="L1040" s="92"/>
      <c r="M1040" s="87"/>
      <c r="N1040" s="87"/>
      <c r="O1040" s="410"/>
      <c r="P1040" s="87"/>
      <c r="Q1040" s="87"/>
      <c r="R1040" s="87"/>
      <c r="S1040" s="87"/>
      <c r="T1040" s="87"/>
      <c r="U1040" s="87"/>
    </row>
    <row r="1041" spans="1:21" s="62" customFormat="1" ht="24" customHeight="1">
      <c r="A1041" s="67"/>
      <c r="B1041" s="426"/>
      <c r="C1041" s="423" t="s">
        <v>153</v>
      </c>
      <c r="D1041" s="423"/>
      <c r="E1041" s="425">
        <f>E1042/2</f>
        <v>706.21500000000003</v>
      </c>
      <c r="F1041" s="94" t="s">
        <v>37</v>
      </c>
      <c r="G1041" s="113">
        <v>661.62</v>
      </c>
      <c r="H1041" s="59">
        <f t="shared" si="218"/>
        <v>467245.97</v>
      </c>
      <c r="I1041" s="114"/>
      <c r="J1041" s="59">
        <f t="shared" si="219"/>
        <v>0</v>
      </c>
      <c r="K1041" s="60">
        <f t="shared" si="220"/>
        <v>467245.97</v>
      </c>
      <c r="L1041" s="92"/>
      <c r="M1041" s="87"/>
      <c r="N1041" s="87"/>
      <c r="O1041" s="410"/>
      <c r="P1041" s="87"/>
      <c r="Q1041" s="87"/>
      <c r="R1041" s="87"/>
      <c r="S1041" s="87"/>
      <c r="T1041" s="87"/>
      <c r="U1041" s="87"/>
    </row>
    <row r="1042" spans="1:21" s="62" customFormat="1" ht="24" customHeight="1">
      <c r="A1042" s="67"/>
      <c r="B1042" s="426"/>
      <c r="C1042" s="423" t="s">
        <v>154</v>
      </c>
      <c r="D1042" s="423"/>
      <c r="E1042" s="425">
        <v>1412.43</v>
      </c>
      <c r="F1042" s="94" t="s">
        <v>37</v>
      </c>
      <c r="G1042" s="113"/>
      <c r="H1042" s="59">
        <f t="shared" si="218"/>
        <v>0</v>
      </c>
      <c r="I1042" s="114">
        <v>154</v>
      </c>
      <c r="J1042" s="59">
        <f t="shared" si="219"/>
        <v>217514.22</v>
      </c>
      <c r="K1042" s="60">
        <f t="shared" si="220"/>
        <v>217514.22</v>
      </c>
      <c r="L1042" s="92"/>
      <c r="M1042" s="87"/>
      <c r="N1042" s="87"/>
      <c r="O1042" s="410"/>
      <c r="P1042" s="87"/>
      <c r="Q1042" s="87"/>
      <c r="R1042" s="87"/>
      <c r="S1042" s="87"/>
      <c r="T1042" s="87"/>
      <c r="U1042" s="87"/>
    </row>
    <row r="1043" spans="1:21" s="62" customFormat="1" ht="24" customHeight="1">
      <c r="A1043" s="67"/>
      <c r="B1043" s="423" t="s">
        <v>155</v>
      </c>
      <c r="C1043" s="423"/>
      <c r="D1043" s="423"/>
      <c r="E1043" s="425">
        <f>(E1042*0.25)</f>
        <v>353.10750000000002</v>
      </c>
      <c r="F1043" s="94" t="s">
        <v>156</v>
      </c>
      <c r="G1043" s="113">
        <f t="shared" ref="G1043" si="221">VLOOKUP(B1043,$N$43:$O$53,2,FALSE)</f>
        <v>29.94</v>
      </c>
      <c r="H1043" s="59">
        <f t="shared" si="218"/>
        <v>10572.04</v>
      </c>
      <c r="I1043" s="114"/>
      <c r="J1043" s="59">
        <f t="shared" si="219"/>
        <v>0</v>
      </c>
      <c r="K1043" s="60">
        <f t="shared" si="220"/>
        <v>10572.04</v>
      </c>
      <c r="L1043" s="92"/>
      <c r="M1043" s="87"/>
      <c r="N1043" s="87"/>
      <c r="O1043" s="410"/>
      <c r="P1043" s="87"/>
      <c r="Q1043" s="87"/>
      <c r="R1043" s="87"/>
      <c r="S1043" s="87"/>
      <c r="T1043" s="87"/>
      <c r="U1043" s="87"/>
    </row>
    <row r="1044" spans="1:21" s="62" customFormat="1" ht="24" customHeight="1">
      <c r="A1044" s="67"/>
      <c r="B1044" s="423" t="s">
        <v>157</v>
      </c>
      <c r="C1044" s="423"/>
      <c r="D1044" s="423"/>
      <c r="E1044" s="425"/>
      <c r="F1044" s="115"/>
      <c r="G1044" s="101"/>
      <c r="H1044" s="59">
        <f t="shared" si="218"/>
        <v>0</v>
      </c>
      <c r="I1044" s="114"/>
      <c r="J1044" s="59">
        <f t="shared" si="219"/>
        <v>0</v>
      </c>
      <c r="K1044" s="60">
        <f t="shared" si="220"/>
        <v>0</v>
      </c>
      <c r="L1044" s="92"/>
      <c r="M1044" s="87"/>
      <c r="N1044" s="87"/>
      <c r="O1044" s="410"/>
      <c r="P1044" s="87"/>
      <c r="Q1044" s="87"/>
      <c r="R1044" s="87"/>
      <c r="S1044" s="87"/>
      <c r="T1044" s="87"/>
      <c r="U1044" s="87"/>
    </row>
    <row r="1045" spans="1:21" s="62" customFormat="1" ht="24" customHeight="1">
      <c r="A1045" s="67"/>
      <c r="B1045" s="423" t="s">
        <v>158</v>
      </c>
      <c r="C1045" s="423"/>
      <c r="D1045" s="423"/>
      <c r="E1045" s="425"/>
      <c r="F1045" s="94" t="s">
        <v>156</v>
      </c>
      <c r="G1045" s="113">
        <f>VLOOKUP(B1045,$N$43:$O$54,2,FALSE)</f>
        <v>25.73</v>
      </c>
      <c r="H1045" s="59">
        <f t="shared" si="218"/>
        <v>0</v>
      </c>
      <c r="I1045" s="103">
        <v>4.0999999999999996</v>
      </c>
      <c r="J1045" s="59">
        <f t="shared" si="219"/>
        <v>0</v>
      </c>
      <c r="K1045" s="60">
        <f t="shared" si="220"/>
        <v>0</v>
      </c>
      <c r="L1045" s="92"/>
      <c r="M1045" s="87"/>
      <c r="N1045" s="87"/>
      <c r="O1045" s="410"/>
      <c r="P1045" s="87"/>
      <c r="Q1045" s="87"/>
      <c r="R1045" s="87"/>
      <c r="S1045" s="87"/>
      <c r="T1045" s="87"/>
      <c r="U1045" s="87"/>
    </row>
    <row r="1046" spans="1:21" s="62" customFormat="1" ht="24" customHeight="1">
      <c r="A1046" s="67"/>
      <c r="B1046" s="423" t="s">
        <v>159</v>
      </c>
      <c r="C1046" s="423"/>
      <c r="D1046" s="423"/>
      <c r="E1046" s="425"/>
      <c r="F1046" s="94" t="s">
        <v>156</v>
      </c>
      <c r="G1046" s="113">
        <f t="shared" ref="G1046:G1053" si="222">VLOOKUP(B1046,$N$43:$O$54,2,FALSE)</f>
        <v>24.97</v>
      </c>
      <c r="H1046" s="59">
        <f t="shared" si="218"/>
        <v>0</v>
      </c>
      <c r="I1046" s="114">
        <v>4.0999999999999996</v>
      </c>
      <c r="J1046" s="59">
        <f t="shared" si="219"/>
        <v>0</v>
      </c>
      <c r="K1046" s="60">
        <f t="shared" si="220"/>
        <v>0</v>
      </c>
      <c r="L1046" s="92"/>
      <c r="M1046" s="87"/>
      <c r="N1046" s="87"/>
      <c r="O1046" s="410"/>
      <c r="P1046" s="87"/>
      <c r="Q1046" s="87"/>
      <c r="R1046" s="87"/>
      <c r="S1046" s="87"/>
      <c r="T1046" s="87"/>
      <c r="U1046" s="87"/>
    </row>
    <row r="1047" spans="1:21" s="62" customFormat="1" ht="24" customHeight="1">
      <c r="A1047" s="67"/>
      <c r="B1047" s="423" t="s">
        <v>160</v>
      </c>
      <c r="C1047" s="423"/>
      <c r="D1047" s="423"/>
      <c r="E1047" s="425">
        <v>26690.240000000002</v>
      </c>
      <c r="F1047" s="94" t="s">
        <v>156</v>
      </c>
      <c r="G1047" s="113">
        <f t="shared" si="222"/>
        <v>24.47</v>
      </c>
      <c r="H1047" s="59">
        <f t="shared" si="218"/>
        <v>653110.17000000004</v>
      </c>
      <c r="I1047" s="114">
        <v>3.3</v>
      </c>
      <c r="J1047" s="59">
        <f t="shared" si="219"/>
        <v>88077.79</v>
      </c>
      <c r="K1047" s="60">
        <f t="shared" si="220"/>
        <v>741187.96000000008</v>
      </c>
      <c r="L1047" s="92"/>
      <c r="M1047" s="87"/>
      <c r="N1047" s="87"/>
      <c r="O1047" s="410"/>
      <c r="P1047" s="87"/>
      <c r="Q1047" s="87"/>
      <c r="R1047" s="87"/>
      <c r="S1047" s="87"/>
      <c r="T1047" s="87"/>
      <c r="U1047" s="87"/>
    </row>
    <row r="1048" spans="1:21" s="62" customFormat="1" ht="24" customHeight="1">
      <c r="A1048" s="67"/>
      <c r="B1048" s="423" t="s">
        <v>161</v>
      </c>
      <c r="C1048" s="423"/>
      <c r="D1048" s="423"/>
      <c r="E1048" s="425"/>
      <c r="F1048" s="115" t="s">
        <v>156</v>
      </c>
      <c r="G1048" s="113">
        <f t="shared" si="222"/>
        <v>24.27</v>
      </c>
      <c r="H1048" s="59">
        <f t="shared" si="218"/>
        <v>0</v>
      </c>
      <c r="I1048" s="114">
        <v>3.3</v>
      </c>
      <c r="J1048" s="59">
        <f t="shared" si="219"/>
        <v>0</v>
      </c>
      <c r="K1048" s="60">
        <f t="shared" si="220"/>
        <v>0</v>
      </c>
      <c r="L1048" s="92"/>
      <c r="M1048" s="87"/>
      <c r="N1048" s="87"/>
      <c r="O1048" s="410"/>
      <c r="P1048" s="87"/>
      <c r="Q1048" s="87"/>
      <c r="R1048" s="87"/>
      <c r="S1048" s="87"/>
      <c r="T1048" s="87"/>
      <c r="U1048" s="87"/>
    </row>
    <row r="1049" spans="1:21" s="62" customFormat="1" ht="24" customHeight="1">
      <c r="A1049" s="67"/>
      <c r="B1049" s="423" t="s">
        <v>162</v>
      </c>
      <c r="C1049" s="423"/>
      <c r="D1049" s="423"/>
      <c r="E1049" s="425"/>
      <c r="F1049" s="94" t="s">
        <v>156</v>
      </c>
      <c r="G1049" s="113">
        <f t="shared" si="222"/>
        <v>24.27</v>
      </c>
      <c r="H1049" s="59">
        <f t="shared" si="218"/>
        <v>0</v>
      </c>
      <c r="I1049" s="114">
        <v>2.9</v>
      </c>
      <c r="J1049" s="59">
        <f t="shared" si="219"/>
        <v>0</v>
      </c>
      <c r="K1049" s="60">
        <f t="shared" si="220"/>
        <v>0</v>
      </c>
      <c r="L1049" s="92"/>
      <c r="M1049" s="87"/>
      <c r="N1049" s="87"/>
      <c r="O1049" s="410"/>
      <c r="P1049" s="87"/>
      <c r="Q1049" s="87"/>
      <c r="R1049" s="87"/>
      <c r="S1049" s="87"/>
      <c r="T1049" s="87"/>
      <c r="U1049" s="87"/>
    </row>
    <row r="1050" spans="1:21" s="62" customFormat="1" ht="24" customHeight="1">
      <c r="A1050" s="67"/>
      <c r="B1050" s="423" t="s">
        <v>163</v>
      </c>
      <c r="C1050" s="423"/>
      <c r="D1050" s="423"/>
      <c r="E1050" s="425"/>
      <c r="F1050" s="94" t="s">
        <v>156</v>
      </c>
      <c r="G1050" s="113">
        <f t="shared" si="222"/>
        <v>24.27</v>
      </c>
      <c r="H1050" s="59">
        <f t="shared" si="218"/>
        <v>0</v>
      </c>
      <c r="I1050" s="114">
        <v>2.9</v>
      </c>
      <c r="J1050" s="59">
        <f t="shared" si="219"/>
        <v>0</v>
      </c>
      <c r="K1050" s="60">
        <f t="shared" si="220"/>
        <v>0</v>
      </c>
      <c r="L1050" s="92"/>
      <c r="M1050" s="87"/>
      <c r="N1050" s="87"/>
      <c r="O1050" s="410"/>
      <c r="P1050" s="87"/>
      <c r="Q1050" s="87"/>
      <c r="R1050" s="87"/>
      <c r="S1050" s="87"/>
      <c r="T1050" s="87"/>
      <c r="U1050" s="87"/>
    </row>
    <row r="1051" spans="1:21" s="62" customFormat="1" ht="24" customHeight="1">
      <c r="A1051" s="67"/>
      <c r="B1051" s="423" t="s">
        <v>164</v>
      </c>
      <c r="C1051" s="423"/>
      <c r="D1051" s="423"/>
      <c r="E1051" s="425"/>
      <c r="F1051" s="94" t="s">
        <v>156</v>
      </c>
      <c r="G1051" s="113">
        <f t="shared" si="222"/>
        <v>24.27</v>
      </c>
      <c r="H1051" s="59">
        <f t="shared" si="218"/>
        <v>0</v>
      </c>
      <c r="I1051" s="114">
        <v>2.9</v>
      </c>
      <c r="J1051" s="59">
        <f t="shared" si="219"/>
        <v>0</v>
      </c>
      <c r="K1051" s="60">
        <f t="shared" si="220"/>
        <v>0</v>
      </c>
      <c r="L1051" s="92"/>
      <c r="M1051" s="87"/>
      <c r="N1051" s="87"/>
      <c r="O1051" s="410"/>
      <c r="P1051" s="87"/>
      <c r="Q1051" s="87"/>
      <c r="R1051" s="87"/>
      <c r="S1051" s="87"/>
      <c r="T1051" s="87"/>
      <c r="U1051" s="87"/>
    </row>
    <row r="1052" spans="1:21" s="62" customFormat="1" ht="24" customHeight="1">
      <c r="A1052" s="67"/>
      <c r="B1052" s="423" t="s">
        <v>165</v>
      </c>
      <c r="C1052" s="423"/>
      <c r="D1052" s="423"/>
      <c r="E1052" s="425"/>
      <c r="F1052" s="94" t="s">
        <v>156</v>
      </c>
      <c r="G1052" s="113">
        <f t="shared" si="222"/>
        <v>23.8</v>
      </c>
      <c r="H1052" s="59">
        <f t="shared" si="218"/>
        <v>0</v>
      </c>
      <c r="I1052" s="114">
        <v>2.9</v>
      </c>
      <c r="J1052" s="59">
        <f t="shared" si="219"/>
        <v>0</v>
      </c>
      <c r="K1052" s="60">
        <f t="shared" si="220"/>
        <v>0</v>
      </c>
      <c r="L1052" s="92"/>
      <c r="M1052" s="87"/>
      <c r="N1052" s="87"/>
      <c r="O1052" s="410"/>
      <c r="P1052" s="87"/>
      <c r="Q1052" s="87"/>
      <c r="R1052" s="87"/>
      <c r="S1052" s="87"/>
      <c r="T1052" s="87"/>
      <c r="U1052" s="87"/>
    </row>
    <row r="1053" spans="1:21" s="62" customFormat="1" ht="24" customHeight="1">
      <c r="A1053" s="67"/>
      <c r="B1053" s="423" t="s">
        <v>166</v>
      </c>
      <c r="C1053" s="423"/>
      <c r="D1053" s="423"/>
      <c r="E1053" s="425">
        <f>(SUM(E1045:E1052)/1000)*30</f>
        <v>800.70720000000006</v>
      </c>
      <c r="F1053" s="94" t="s">
        <v>156</v>
      </c>
      <c r="G1053" s="113">
        <f t="shared" si="222"/>
        <v>29.92</v>
      </c>
      <c r="H1053" s="59">
        <f t="shared" si="218"/>
        <v>23957.16</v>
      </c>
      <c r="I1053" s="114"/>
      <c r="J1053" s="59">
        <f t="shared" si="219"/>
        <v>0</v>
      </c>
      <c r="K1053" s="60">
        <f t="shared" si="220"/>
        <v>23957.16</v>
      </c>
      <c r="L1053" s="92"/>
      <c r="M1053" s="87"/>
      <c r="N1053" s="87"/>
      <c r="O1053" s="410"/>
      <c r="P1053" s="87"/>
      <c r="Q1053" s="87"/>
      <c r="R1053" s="87"/>
      <c r="S1053" s="87"/>
      <c r="T1053" s="87"/>
      <c r="U1053" s="87"/>
    </row>
    <row r="1054" spans="1:21" s="62" customFormat="1" ht="24" customHeight="1">
      <c r="A1054" s="67"/>
      <c r="B1054" s="423" t="s">
        <v>167</v>
      </c>
      <c r="C1054" s="423"/>
      <c r="D1054" s="423"/>
      <c r="E1054" s="425"/>
      <c r="F1054" s="94"/>
      <c r="G1054" s="113"/>
      <c r="H1054" s="59"/>
      <c r="I1054" s="114"/>
      <c r="J1054" s="59"/>
      <c r="K1054" s="60"/>
      <c r="L1054" s="92"/>
      <c r="M1054" s="87"/>
      <c r="N1054" s="87"/>
      <c r="O1054" s="410"/>
      <c r="P1054" s="87"/>
      <c r="Q1054" s="87"/>
      <c r="R1054" s="87"/>
      <c r="S1054" s="87"/>
      <c r="T1054" s="87"/>
      <c r="U1054" s="87"/>
    </row>
    <row r="1055" spans="1:21" s="62" customFormat="1" ht="24" customHeight="1">
      <c r="A1055" s="67"/>
      <c r="B1055" s="423"/>
      <c r="C1055" s="423"/>
      <c r="D1055" s="423"/>
      <c r="E1055" s="425"/>
      <c r="F1055" s="94"/>
      <c r="G1055" s="113"/>
      <c r="H1055" s="59"/>
      <c r="I1055" s="114"/>
      <c r="J1055" s="59"/>
      <c r="K1055" s="60"/>
      <c r="L1055" s="92"/>
      <c r="M1055" s="87"/>
      <c r="N1055" s="87"/>
      <c r="O1055" s="410"/>
      <c r="P1055" s="87"/>
      <c r="Q1055" s="87"/>
      <c r="R1055" s="87"/>
      <c r="S1055" s="87"/>
      <c r="T1055" s="87"/>
      <c r="U1055" s="87"/>
    </row>
    <row r="1056" spans="1:21" s="62" customFormat="1" ht="24" customHeight="1">
      <c r="A1056" s="67"/>
      <c r="B1056" s="423"/>
      <c r="C1056" s="423"/>
      <c r="D1056" s="423"/>
      <c r="E1056" s="425"/>
      <c r="F1056" s="94"/>
      <c r="G1056" s="113"/>
      <c r="H1056" s="59"/>
      <c r="I1056" s="114"/>
      <c r="J1056" s="59"/>
      <c r="K1056" s="60"/>
      <c r="L1056" s="92"/>
      <c r="M1056" s="87"/>
      <c r="N1056" s="87"/>
      <c r="O1056" s="410"/>
      <c r="P1056" s="87"/>
      <c r="Q1056" s="87"/>
      <c r="R1056" s="87"/>
      <c r="S1056" s="87"/>
      <c r="T1056" s="87"/>
      <c r="U1056" s="87"/>
    </row>
    <row r="1057" spans="1:21" s="62" customFormat="1" ht="24" customHeight="1">
      <c r="A1057" s="67"/>
      <c r="B1057" s="423"/>
      <c r="C1057" s="423"/>
      <c r="D1057" s="423"/>
      <c r="E1057" s="425"/>
      <c r="F1057" s="94"/>
      <c r="G1057" s="113"/>
      <c r="H1057" s="59"/>
      <c r="I1057" s="114"/>
      <c r="J1057" s="59"/>
      <c r="K1057" s="60"/>
      <c r="L1057" s="92"/>
      <c r="M1057" s="87"/>
      <c r="N1057" s="87"/>
      <c r="O1057" s="410"/>
      <c r="P1057" s="87"/>
      <c r="Q1057" s="87"/>
      <c r="R1057" s="87"/>
      <c r="S1057" s="87"/>
      <c r="T1057" s="87"/>
      <c r="U1057" s="87"/>
    </row>
    <row r="1058" spans="1:21" s="62" customFormat="1" ht="24" customHeight="1">
      <c r="A1058" s="67"/>
      <c r="B1058" s="423"/>
      <c r="C1058" s="423"/>
      <c r="D1058" s="423"/>
      <c r="E1058" s="425"/>
      <c r="F1058" s="94"/>
      <c r="G1058" s="113"/>
      <c r="H1058" s="59"/>
      <c r="I1058" s="114"/>
      <c r="J1058" s="59"/>
      <c r="K1058" s="60"/>
      <c r="L1058" s="92"/>
      <c r="M1058" s="87"/>
      <c r="N1058" s="87"/>
      <c r="O1058" s="410"/>
      <c r="P1058" s="87"/>
      <c r="Q1058" s="87"/>
      <c r="R1058" s="87"/>
      <c r="S1058" s="87"/>
      <c r="T1058" s="87"/>
      <c r="U1058" s="87"/>
    </row>
    <row r="1059" spans="1:21" s="62" customFormat="1" ht="24" customHeight="1">
      <c r="A1059" s="67"/>
      <c r="B1059" s="95"/>
      <c r="C1059" s="423"/>
      <c r="D1059" s="423"/>
      <c r="E1059" s="425"/>
      <c r="F1059" s="94"/>
      <c r="G1059" s="113"/>
      <c r="H1059" s="59"/>
      <c r="I1059" s="114"/>
      <c r="J1059" s="59"/>
      <c r="K1059" s="60"/>
      <c r="L1059" s="92"/>
      <c r="M1059" s="87"/>
      <c r="N1059" s="87"/>
      <c r="O1059" s="410"/>
      <c r="P1059" s="87"/>
      <c r="Q1059" s="87"/>
      <c r="R1059" s="87"/>
      <c r="S1059" s="87"/>
      <c r="T1059" s="87"/>
      <c r="U1059" s="87"/>
    </row>
    <row r="1060" spans="1:21" s="62" customFormat="1" ht="24" customHeight="1">
      <c r="A1060" s="67"/>
      <c r="B1060" s="95"/>
      <c r="C1060" s="423"/>
      <c r="D1060" s="423"/>
      <c r="E1060" s="425"/>
      <c r="F1060" s="94"/>
      <c r="G1060" s="113"/>
      <c r="H1060" s="59"/>
      <c r="I1060" s="114"/>
      <c r="J1060" s="59"/>
      <c r="K1060" s="60"/>
      <c r="L1060" s="92"/>
      <c r="M1060" s="87"/>
      <c r="N1060" s="87"/>
      <c r="O1060" s="410"/>
      <c r="P1060" s="87"/>
      <c r="Q1060" s="87"/>
      <c r="R1060" s="87"/>
      <c r="S1060" s="87"/>
      <c r="T1060" s="87"/>
      <c r="U1060" s="87"/>
    </row>
    <row r="1061" spans="1:21" s="62" customFormat="1" ht="24" customHeight="1">
      <c r="A1061" s="450" t="s">
        <v>335</v>
      </c>
      <c r="B1061" s="453" t="s">
        <v>222</v>
      </c>
      <c r="C1061" s="423"/>
      <c r="D1061" s="423"/>
      <c r="E1061" s="425"/>
      <c r="F1061" s="94"/>
      <c r="G1061" s="113"/>
      <c r="H1061" s="59"/>
      <c r="I1061" s="114"/>
      <c r="J1061" s="59"/>
      <c r="K1061" s="60"/>
      <c r="L1061" s="92"/>
      <c r="M1061" s="87"/>
      <c r="N1061" s="87"/>
      <c r="O1061" s="410"/>
      <c r="P1061" s="87"/>
      <c r="Q1061" s="87"/>
      <c r="R1061" s="87"/>
      <c r="S1061" s="87"/>
      <c r="T1061" s="87"/>
      <c r="U1061" s="87"/>
    </row>
    <row r="1062" spans="1:21" s="62" customFormat="1" ht="24" customHeight="1">
      <c r="A1062" s="67"/>
      <c r="B1062" s="423" t="s">
        <v>150</v>
      </c>
      <c r="C1062" s="424"/>
      <c r="D1062" s="424"/>
      <c r="E1062" s="425">
        <v>241.47</v>
      </c>
      <c r="F1062" s="94" t="s">
        <v>151</v>
      </c>
      <c r="G1062" s="113">
        <v>2516</v>
      </c>
      <c r="H1062" s="59">
        <f t="shared" ref="H1062:H1077" si="223">ROUND(E1062*G1062,2)</f>
        <v>607538.52</v>
      </c>
      <c r="I1062" s="114">
        <v>485</v>
      </c>
      <c r="J1062" s="59">
        <f t="shared" ref="J1062:J1077" si="224">ROUND(E1062*I1062,2)</f>
        <v>117112.95</v>
      </c>
      <c r="K1062" s="60">
        <f t="shared" ref="K1062:K1077" si="225">H1062+J1062</f>
        <v>724651.47</v>
      </c>
      <c r="L1062" s="92"/>
      <c r="M1062" s="87"/>
      <c r="N1062" s="87"/>
      <c r="O1062" s="410"/>
      <c r="P1062" s="87"/>
      <c r="Q1062" s="87"/>
      <c r="R1062" s="87"/>
      <c r="S1062" s="87"/>
      <c r="T1062" s="87"/>
      <c r="U1062" s="87"/>
    </row>
    <row r="1063" spans="1:21" s="62" customFormat="1" ht="24" customHeight="1">
      <c r="A1063" s="67"/>
      <c r="B1063" s="426" t="s">
        <v>152</v>
      </c>
      <c r="C1063" s="423"/>
      <c r="D1063" s="423"/>
      <c r="E1063" s="425"/>
      <c r="F1063" s="94"/>
      <c r="G1063" s="113"/>
      <c r="H1063" s="59">
        <f t="shared" si="223"/>
        <v>0</v>
      </c>
      <c r="I1063" s="114"/>
      <c r="J1063" s="59">
        <f t="shared" si="224"/>
        <v>0</v>
      </c>
      <c r="K1063" s="60">
        <f t="shared" si="225"/>
        <v>0</v>
      </c>
      <c r="L1063" s="92"/>
      <c r="M1063" s="87"/>
      <c r="N1063" s="87"/>
      <c r="O1063" s="410"/>
      <c r="P1063" s="87"/>
      <c r="Q1063" s="87"/>
      <c r="R1063" s="87"/>
      <c r="S1063" s="87"/>
      <c r="T1063" s="87"/>
      <c r="U1063" s="87"/>
    </row>
    <row r="1064" spans="1:21" s="62" customFormat="1" ht="24" customHeight="1">
      <c r="A1064" s="67"/>
      <c r="B1064" s="426"/>
      <c r="C1064" s="423" t="s">
        <v>153</v>
      </c>
      <c r="D1064" s="423"/>
      <c r="E1064" s="425">
        <f>E1065/2</f>
        <v>724.67</v>
      </c>
      <c r="F1064" s="94" t="s">
        <v>37</v>
      </c>
      <c r="G1064" s="113">
        <v>661.62</v>
      </c>
      <c r="H1064" s="59">
        <f t="shared" si="223"/>
        <v>479456.17</v>
      </c>
      <c r="I1064" s="114"/>
      <c r="J1064" s="59">
        <f t="shared" si="224"/>
        <v>0</v>
      </c>
      <c r="K1064" s="60">
        <f t="shared" si="225"/>
        <v>479456.17</v>
      </c>
      <c r="L1064" s="92"/>
      <c r="M1064" s="87"/>
      <c r="N1064" s="87"/>
      <c r="O1064" s="410"/>
      <c r="P1064" s="87"/>
      <c r="Q1064" s="87"/>
      <c r="R1064" s="87"/>
      <c r="S1064" s="87"/>
      <c r="T1064" s="87"/>
      <c r="U1064" s="87"/>
    </row>
    <row r="1065" spans="1:21" s="62" customFormat="1" ht="24" customHeight="1">
      <c r="A1065" s="67"/>
      <c r="B1065" s="426"/>
      <c r="C1065" s="423" t="s">
        <v>154</v>
      </c>
      <c r="D1065" s="423"/>
      <c r="E1065" s="425">
        <v>1449.34</v>
      </c>
      <c r="F1065" s="94" t="s">
        <v>37</v>
      </c>
      <c r="G1065" s="113"/>
      <c r="H1065" s="59">
        <f t="shared" si="223"/>
        <v>0</v>
      </c>
      <c r="I1065" s="114">
        <v>154</v>
      </c>
      <c r="J1065" s="59">
        <f t="shared" si="224"/>
        <v>223198.36</v>
      </c>
      <c r="K1065" s="60">
        <f t="shared" si="225"/>
        <v>223198.36</v>
      </c>
      <c r="L1065" s="92"/>
      <c r="M1065" s="87"/>
      <c r="N1065" s="87"/>
      <c r="O1065" s="410"/>
      <c r="P1065" s="87"/>
      <c r="Q1065" s="87"/>
      <c r="R1065" s="87"/>
      <c r="S1065" s="87"/>
      <c r="T1065" s="87"/>
      <c r="U1065" s="87"/>
    </row>
    <row r="1066" spans="1:21" s="62" customFormat="1" ht="24" customHeight="1">
      <c r="A1066" s="67"/>
      <c r="B1066" s="423" t="s">
        <v>155</v>
      </c>
      <c r="C1066" s="423"/>
      <c r="D1066" s="423"/>
      <c r="E1066" s="425">
        <f>(E1065*0.25)</f>
        <v>362.33499999999998</v>
      </c>
      <c r="F1066" s="94" t="s">
        <v>156</v>
      </c>
      <c r="G1066" s="113">
        <f t="shared" ref="G1066" si="226">VLOOKUP(B1066,$N$43:$O$53,2,FALSE)</f>
        <v>29.94</v>
      </c>
      <c r="H1066" s="59">
        <f t="shared" si="223"/>
        <v>10848.31</v>
      </c>
      <c r="I1066" s="114"/>
      <c r="J1066" s="59">
        <f t="shared" si="224"/>
        <v>0</v>
      </c>
      <c r="K1066" s="60">
        <f t="shared" si="225"/>
        <v>10848.31</v>
      </c>
      <c r="L1066" s="92"/>
      <c r="M1066" s="87"/>
      <c r="N1066" s="87"/>
      <c r="O1066" s="410"/>
      <c r="P1066" s="87"/>
      <c r="Q1066" s="87"/>
      <c r="R1066" s="87"/>
      <c r="S1066" s="87"/>
      <c r="T1066" s="87"/>
      <c r="U1066" s="87"/>
    </row>
    <row r="1067" spans="1:21" s="62" customFormat="1" ht="24" customHeight="1">
      <c r="A1067" s="67"/>
      <c r="B1067" s="423" t="s">
        <v>157</v>
      </c>
      <c r="C1067" s="423"/>
      <c r="D1067" s="423"/>
      <c r="E1067" s="425"/>
      <c r="F1067" s="115"/>
      <c r="G1067" s="101"/>
      <c r="H1067" s="59">
        <f t="shared" si="223"/>
        <v>0</v>
      </c>
      <c r="I1067" s="114"/>
      <c r="J1067" s="59">
        <f t="shared" si="224"/>
        <v>0</v>
      </c>
      <c r="K1067" s="60">
        <f t="shared" si="225"/>
        <v>0</v>
      </c>
      <c r="L1067" s="92"/>
      <c r="M1067" s="87"/>
      <c r="N1067" s="87"/>
      <c r="O1067" s="410"/>
      <c r="P1067" s="87"/>
      <c r="Q1067" s="87"/>
      <c r="R1067" s="87"/>
      <c r="S1067" s="87"/>
      <c r="T1067" s="87"/>
      <c r="U1067" s="87"/>
    </row>
    <row r="1068" spans="1:21" s="62" customFormat="1" ht="24" customHeight="1">
      <c r="A1068" s="67"/>
      <c r="B1068" s="423" t="s">
        <v>158</v>
      </c>
      <c r="C1068" s="423"/>
      <c r="D1068" s="423"/>
      <c r="E1068" s="425"/>
      <c r="F1068" s="94" t="s">
        <v>156</v>
      </c>
      <c r="G1068" s="113">
        <f>VLOOKUP(B1068,$N$43:$O$54,2,FALSE)</f>
        <v>25.73</v>
      </c>
      <c r="H1068" s="59">
        <f t="shared" si="223"/>
        <v>0</v>
      </c>
      <c r="I1068" s="103">
        <v>4.0999999999999996</v>
      </c>
      <c r="J1068" s="59">
        <f t="shared" si="224"/>
        <v>0</v>
      </c>
      <c r="K1068" s="60">
        <f t="shared" si="225"/>
        <v>0</v>
      </c>
      <c r="L1068" s="92"/>
      <c r="M1068" s="87"/>
      <c r="N1068" s="87"/>
      <c r="O1068" s="410"/>
      <c r="P1068" s="87"/>
      <c r="Q1068" s="87"/>
      <c r="R1068" s="87"/>
      <c r="S1068" s="87"/>
      <c r="T1068" s="87"/>
      <c r="U1068" s="87"/>
    </row>
    <row r="1069" spans="1:21" s="62" customFormat="1" ht="24" customHeight="1">
      <c r="A1069" s="67"/>
      <c r="B1069" s="423" t="s">
        <v>159</v>
      </c>
      <c r="C1069" s="423"/>
      <c r="D1069" s="423"/>
      <c r="E1069" s="425">
        <v>3089</v>
      </c>
      <c r="F1069" s="94" t="s">
        <v>156</v>
      </c>
      <c r="G1069" s="113">
        <f>VLOOKUP(B1069,$N$43:$O$54,2,FALSE)</f>
        <v>24.97</v>
      </c>
      <c r="H1069" s="59">
        <f t="shared" si="223"/>
        <v>77132.33</v>
      </c>
      <c r="I1069" s="114">
        <v>4.0999999999999996</v>
      </c>
      <c r="J1069" s="59">
        <f t="shared" si="224"/>
        <v>12664.9</v>
      </c>
      <c r="K1069" s="60">
        <f t="shared" si="225"/>
        <v>89797.23</v>
      </c>
      <c r="L1069" s="92"/>
      <c r="M1069" s="87"/>
      <c r="N1069" s="87"/>
      <c r="O1069" s="410"/>
      <c r="P1069" s="87"/>
      <c r="Q1069" s="87"/>
      <c r="R1069" s="87"/>
      <c r="S1069" s="87"/>
      <c r="T1069" s="87"/>
      <c r="U1069" s="87"/>
    </row>
    <row r="1070" spans="1:21" s="62" customFormat="1" ht="24" customHeight="1">
      <c r="A1070" s="67"/>
      <c r="B1070" s="423" t="s">
        <v>362</v>
      </c>
      <c r="C1070" s="423"/>
      <c r="D1070" s="423"/>
      <c r="E1070" s="425">
        <v>125.44</v>
      </c>
      <c r="F1070" s="94" t="s">
        <v>156</v>
      </c>
      <c r="G1070" s="113">
        <f>VLOOKUP(B1070,$N$43:$O$54,2,FALSE)</f>
        <v>24.67</v>
      </c>
      <c r="H1070" s="59">
        <f t="shared" si="223"/>
        <v>3094.6</v>
      </c>
      <c r="I1070" s="114">
        <v>3.3</v>
      </c>
      <c r="J1070" s="59">
        <f t="shared" si="224"/>
        <v>413.95</v>
      </c>
      <c r="K1070" s="60">
        <f t="shared" si="225"/>
        <v>3508.5499999999997</v>
      </c>
      <c r="L1070" s="92"/>
      <c r="M1070" s="87"/>
      <c r="N1070" s="87"/>
      <c r="O1070" s="410"/>
      <c r="P1070" s="87"/>
      <c r="Q1070" s="87"/>
      <c r="R1070" s="87"/>
      <c r="S1070" s="87"/>
      <c r="T1070" s="87"/>
      <c r="U1070" s="87"/>
    </row>
    <row r="1071" spans="1:21" s="62" customFormat="1" ht="24" customHeight="1">
      <c r="A1071" s="67"/>
      <c r="B1071" s="423" t="s">
        <v>160</v>
      </c>
      <c r="C1071" s="423"/>
      <c r="D1071" s="423"/>
      <c r="E1071" s="425">
        <v>10070.370000000001</v>
      </c>
      <c r="F1071" s="94" t="s">
        <v>156</v>
      </c>
      <c r="G1071" s="113">
        <f>VLOOKUP(B1071,$N$43:$O$54,2,FALSE)</f>
        <v>24.47</v>
      </c>
      <c r="H1071" s="59">
        <f t="shared" si="223"/>
        <v>246421.95</v>
      </c>
      <c r="I1071" s="114">
        <v>3.3</v>
      </c>
      <c r="J1071" s="59">
        <f t="shared" si="224"/>
        <v>33232.22</v>
      </c>
      <c r="K1071" s="60">
        <f t="shared" si="225"/>
        <v>279654.17000000004</v>
      </c>
      <c r="L1071" s="92"/>
      <c r="M1071" s="87"/>
      <c r="N1071" s="410"/>
      <c r="O1071" s="410"/>
      <c r="P1071" s="87"/>
      <c r="Q1071" s="87"/>
      <c r="R1071" s="87"/>
      <c r="S1071" s="87"/>
      <c r="T1071" s="87"/>
      <c r="U1071" s="87"/>
    </row>
    <row r="1072" spans="1:21" s="62" customFormat="1" ht="24" customHeight="1">
      <c r="A1072" s="67"/>
      <c r="B1072" s="423" t="s">
        <v>161</v>
      </c>
      <c r="C1072" s="423"/>
      <c r="D1072" s="423"/>
      <c r="E1072" s="425">
        <v>568.92999999999995</v>
      </c>
      <c r="F1072" s="115" t="s">
        <v>156</v>
      </c>
      <c r="G1072" s="113">
        <f t="shared" ref="G1072:G1077" si="227">VLOOKUP(B1072,$N$43:$O$54,2,FALSE)</f>
        <v>24.27</v>
      </c>
      <c r="H1072" s="59">
        <f t="shared" si="223"/>
        <v>13807.93</v>
      </c>
      <c r="I1072" s="114">
        <v>3.3</v>
      </c>
      <c r="J1072" s="59">
        <f t="shared" si="224"/>
        <v>1877.47</v>
      </c>
      <c r="K1072" s="60">
        <f t="shared" si="225"/>
        <v>15685.4</v>
      </c>
      <c r="L1072" s="92"/>
      <c r="M1072" s="87"/>
      <c r="N1072" s="87"/>
      <c r="O1072" s="410"/>
      <c r="P1072" s="87"/>
      <c r="Q1072" s="87"/>
      <c r="R1072" s="87"/>
      <c r="S1072" s="87"/>
      <c r="T1072" s="87"/>
      <c r="U1072" s="87"/>
    </row>
    <row r="1073" spans="1:21" s="62" customFormat="1" ht="24" customHeight="1">
      <c r="A1073" s="67"/>
      <c r="B1073" s="423" t="s">
        <v>162</v>
      </c>
      <c r="C1073" s="423"/>
      <c r="D1073" s="423"/>
      <c r="E1073" s="425">
        <v>11259.91</v>
      </c>
      <c r="F1073" s="94" t="s">
        <v>156</v>
      </c>
      <c r="G1073" s="113">
        <f t="shared" si="227"/>
        <v>24.27</v>
      </c>
      <c r="H1073" s="59">
        <f t="shared" si="223"/>
        <v>273278.02</v>
      </c>
      <c r="I1073" s="114">
        <v>2.9</v>
      </c>
      <c r="J1073" s="59">
        <f t="shared" si="224"/>
        <v>32653.74</v>
      </c>
      <c r="K1073" s="60">
        <f t="shared" si="225"/>
        <v>305931.76</v>
      </c>
      <c r="L1073" s="92"/>
      <c r="M1073" s="87"/>
      <c r="N1073" s="87"/>
      <c r="O1073" s="410"/>
      <c r="P1073" s="87"/>
      <c r="Q1073" s="87"/>
      <c r="R1073" s="87"/>
      <c r="S1073" s="87"/>
      <c r="T1073" s="87"/>
      <c r="U1073" s="87"/>
    </row>
    <row r="1074" spans="1:21" s="62" customFormat="1" ht="24" customHeight="1">
      <c r="A1074" s="67"/>
      <c r="B1074" s="423" t="s">
        <v>163</v>
      </c>
      <c r="C1074" s="423"/>
      <c r="D1074" s="423"/>
      <c r="E1074" s="425">
        <v>33477.17</v>
      </c>
      <c r="F1074" s="94" t="s">
        <v>156</v>
      </c>
      <c r="G1074" s="113">
        <f t="shared" si="227"/>
        <v>24.27</v>
      </c>
      <c r="H1074" s="59">
        <f t="shared" si="223"/>
        <v>812490.92</v>
      </c>
      <c r="I1074" s="114">
        <v>2.9</v>
      </c>
      <c r="J1074" s="59">
        <f t="shared" si="224"/>
        <v>97083.79</v>
      </c>
      <c r="K1074" s="60">
        <f t="shared" si="225"/>
        <v>909574.71000000008</v>
      </c>
      <c r="L1074" s="92"/>
      <c r="M1074" s="87"/>
      <c r="N1074" s="87"/>
      <c r="O1074" s="410"/>
      <c r="P1074" s="87"/>
      <c r="Q1074" s="87"/>
      <c r="R1074" s="87"/>
      <c r="S1074" s="87"/>
      <c r="T1074" s="87"/>
      <c r="U1074" s="87"/>
    </row>
    <row r="1075" spans="1:21" s="62" customFormat="1" ht="24" customHeight="1">
      <c r="A1075" s="67"/>
      <c r="B1075" s="423" t="s">
        <v>164</v>
      </c>
      <c r="C1075" s="423"/>
      <c r="D1075" s="423"/>
      <c r="E1075" s="425">
        <v>4774.6499999999996</v>
      </c>
      <c r="F1075" s="94" t="s">
        <v>156</v>
      </c>
      <c r="G1075" s="113">
        <f t="shared" si="227"/>
        <v>24.27</v>
      </c>
      <c r="H1075" s="59">
        <f t="shared" si="223"/>
        <v>115880.76</v>
      </c>
      <c r="I1075" s="114">
        <v>2.9</v>
      </c>
      <c r="J1075" s="59">
        <f t="shared" si="224"/>
        <v>13846.49</v>
      </c>
      <c r="K1075" s="60">
        <f t="shared" si="225"/>
        <v>129727.25</v>
      </c>
      <c r="L1075" s="92"/>
      <c r="M1075" s="87"/>
      <c r="N1075" s="87"/>
      <c r="O1075" s="410"/>
      <c r="P1075" s="87"/>
      <c r="Q1075" s="87"/>
      <c r="R1075" s="87"/>
      <c r="S1075" s="87"/>
      <c r="T1075" s="87"/>
      <c r="U1075" s="87"/>
    </row>
    <row r="1076" spans="1:21" s="62" customFormat="1" ht="24" customHeight="1">
      <c r="A1076" s="67"/>
      <c r="B1076" s="423" t="s">
        <v>165</v>
      </c>
      <c r="C1076" s="423"/>
      <c r="D1076" s="423"/>
      <c r="E1076" s="425">
        <v>0</v>
      </c>
      <c r="F1076" s="94" t="s">
        <v>156</v>
      </c>
      <c r="G1076" s="113">
        <f t="shared" si="227"/>
        <v>23.8</v>
      </c>
      <c r="H1076" s="59">
        <f t="shared" si="223"/>
        <v>0</v>
      </c>
      <c r="I1076" s="114">
        <v>2.9</v>
      </c>
      <c r="J1076" s="59">
        <f t="shared" si="224"/>
        <v>0</v>
      </c>
      <c r="K1076" s="60">
        <f t="shared" si="225"/>
        <v>0</v>
      </c>
      <c r="L1076" s="92"/>
      <c r="M1076" s="87"/>
      <c r="N1076" s="87"/>
      <c r="O1076" s="410"/>
      <c r="P1076" s="87"/>
      <c r="Q1076" s="87"/>
      <c r="R1076" s="87"/>
      <c r="S1076" s="87"/>
      <c r="T1076" s="87"/>
      <c r="U1076" s="87"/>
    </row>
    <row r="1077" spans="1:21" s="62" customFormat="1" ht="24" customHeight="1">
      <c r="A1077" s="67"/>
      <c r="B1077" s="423" t="s">
        <v>166</v>
      </c>
      <c r="C1077" s="423"/>
      <c r="D1077" s="423"/>
      <c r="E1077" s="425">
        <f>(SUM(E1068:E1076)/1000)*30</f>
        <v>1900.9641000000001</v>
      </c>
      <c r="F1077" s="94" t="s">
        <v>156</v>
      </c>
      <c r="G1077" s="113">
        <f t="shared" si="227"/>
        <v>29.92</v>
      </c>
      <c r="H1077" s="59">
        <f t="shared" si="223"/>
        <v>56876.85</v>
      </c>
      <c r="I1077" s="114"/>
      <c r="J1077" s="59">
        <f t="shared" si="224"/>
        <v>0</v>
      </c>
      <c r="K1077" s="60">
        <f t="shared" si="225"/>
        <v>56876.85</v>
      </c>
      <c r="L1077" s="92"/>
      <c r="M1077" s="87"/>
      <c r="N1077" s="87"/>
      <c r="O1077" s="410"/>
      <c r="P1077" s="87"/>
      <c r="Q1077" s="87"/>
      <c r="R1077" s="87"/>
      <c r="S1077" s="87"/>
      <c r="T1077" s="87"/>
      <c r="U1077" s="87"/>
    </row>
    <row r="1078" spans="1:21" s="62" customFormat="1" ht="24" customHeight="1">
      <c r="A1078" s="67"/>
      <c r="B1078" s="423" t="s">
        <v>167</v>
      </c>
      <c r="C1078" s="423"/>
      <c r="D1078" s="423"/>
      <c r="E1078" s="425"/>
      <c r="F1078" s="94"/>
      <c r="G1078" s="113"/>
      <c r="H1078" s="59"/>
      <c r="I1078" s="114"/>
      <c r="J1078" s="59"/>
      <c r="K1078" s="60"/>
      <c r="L1078" s="92"/>
      <c r="M1078" s="87"/>
      <c r="N1078" s="87"/>
      <c r="O1078" s="410"/>
      <c r="P1078" s="87"/>
      <c r="Q1078" s="87"/>
      <c r="R1078" s="87"/>
      <c r="S1078" s="87"/>
      <c r="T1078" s="87"/>
      <c r="U1078" s="87"/>
    </row>
    <row r="1079" spans="1:21" s="62" customFormat="1" ht="24" customHeight="1">
      <c r="A1079" s="67"/>
      <c r="B1079" s="95"/>
      <c r="C1079" s="423"/>
      <c r="D1079" s="423"/>
      <c r="E1079" s="425"/>
      <c r="F1079" s="94"/>
      <c r="G1079" s="113"/>
      <c r="H1079" s="59"/>
      <c r="I1079" s="114"/>
      <c r="J1079" s="59"/>
      <c r="K1079" s="60"/>
      <c r="L1079" s="92"/>
      <c r="M1079" s="87"/>
      <c r="N1079" s="87"/>
      <c r="O1079" s="410"/>
      <c r="P1079" s="87"/>
      <c r="Q1079" s="87"/>
      <c r="R1079" s="87"/>
      <c r="S1079" s="87"/>
      <c r="T1079" s="87"/>
      <c r="U1079" s="87"/>
    </row>
    <row r="1080" spans="1:21" s="62" customFormat="1" ht="24" customHeight="1">
      <c r="A1080" s="67"/>
      <c r="B1080" s="95"/>
      <c r="C1080" s="423"/>
      <c r="D1080" s="423"/>
      <c r="E1080" s="425"/>
      <c r="F1080" s="94"/>
      <c r="G1080" s="113"/>
      <c r="H1080" s="59"/>
      <c r="I1080" s="114"/>
      <c r="J1080" s="59"/>
      <c r="K1080" s="60"/>
      <c r="L1080" s="92"/>
      <c r="M1080" s="87"/>
      <c r="N1080" s="87"/>
      <c r="O1080" s="410"/>
      <c r="P1080" s="87"/>
      <c r="Q1080" s="87"/>
      <c r="R1080" s="87"/>
      <c r="S1080" s="87"/>
      <c r="T1080" s="87"/>
      <c r="U1080" s="87"/>
    </row>
    <row r="1081" spans="1:21" s="62" customFormat="1" ht="24" customHeight="1">
      <c r="A1081" s="67"/>
      <c r="B1081" s="95"/>
      <c r="C1081" s="423"/>
      <c r="D1081" s="423"/>
      <c r="E1081" s="425"/>
      <c r="F1081" s="94"/>
      <c r="G1081" s="113"/>
      <c r="H1081" s="59"/>
      <c r="I1081" s="114"/>
      <c r="J1081" s="59"/>
      <c r="K1081" s="60"/>
      <c r="L1081" s="92"/>
      <c r="M1081" s="87"/>
      <c r="N1081" s="87"/>
      <c r="O1081" s="410"/>
      <c r="P1081" s="87"/>
      <c r="Q1081" s="87"/>
      <c r="R1081" s="87"/>
      <c r="S1081" s="87"/>
      <c r="T1081" s="87"/>
      <c r="U1081" s="87"/>
    </row>
    <row r="1082" spans="1:21" s="62" customFormat="1" ht="24" customHeight="1">
      <c r="A1082" s="67"/>
      <c r="B1082" s="95"/>
      <c r="C1082" s="423"/>
      <c r="D1082" s="423"/>
      <c r="E1082" s="425"/>
      <c r="F1082" s="94"/>
      <c r="G1082" s="113"/>
      <c r="H1082" s="59"/>
      <c r="I1082" s="114"/>
      <c r="J1082" s="59"/>
      <c r="K1082" s="60"/>
      <c r="L1082" s="92"/>
      <c r="M1082" s="87"/>
      <c r="N1082" s="87"/>
      <c r="O1082" s="410"/>
      <c r="P1082" s="87"/>
      <c r="Q1082" s="87"/>
      <c r="R1082" s="87"/>
      <c r="S1082" s="87"/>
      <c r="T1082" s="87"/>
      <c r="U1082" s="87"/>
    </row>
    <row r="1083" spans="1:21" s="62" customFormat="1" ht="24" customHeight="1">
      <c r="A1083" s="67"/>
      <c r="B1083" s="95"/>
      <c r="C1083" s="423"/>
      <c r="D1083" s="423"/>
      <c r="E1083" s="425"/>
      <c r="F1083" s="94"/>
      <c r="G1083" s="113"/>
      <c r="H1083" s="59"/>
      <c r="I1083" s="114"/>
      <c r="J1083" s="59"/>
      <c r="K1083" s="60"/>
      <c r="L1083" s="92"/>
      <c r="M1083" s="87"/>
      <c r="N1083" s="87"/>
      <c r="O1083" s="410"/>
      <c r="P1083" s="87"/>
      <c r="Q1083" s="87"/>
      <c r="R1083" s="87"/>
      <c r="S1083" s="87"/>
      <c r="T1083" s="87"/>
      <c r="U1083" s="87"/>
    </row>
    <row r="1084" spans="1:21" s="62" customFormat="1" ht="24" customHeight="1">
      <c r="A1084" s="67"/>
      <c r="B1084" s="95"/>
      <c r="C1084" s="423"/>
      <c r="D1084" s="423"/>
      <c r="E1084" s="425"/>
      <c r="F1084" s="94"/>
      <c r="G1084" s="113"/>
      <c r="H1084" s="59"/>
      <c r="I1084" s="114"/>
      <c r="J1084" s="59"/>
      <c r="K1084" s="60"/>
      <c r="L1084" s="92"/>
      <c r="M1084" s="87"/>
      <c r="N1084" s="87"/>
      <c r="O1084" s="410"/>
      <c r="P1084" s="87"/>
      <c r="Q1084" s="87"/>
      <c r="R1084" s="87"/>
      <c r="S1084" s="87"/>
      <c r="T1084" s="87"/>
      <c r="U1084" s="87"/>
    </row>
    <row r="1085" spans="1:21" s="62" customFormat="1" ht="24" customHeight="1">
      <c r="A1085" s="67"/>
      <c r="B1085" s="95"/>
      <c r="C1085" s="423"/>
      <c r="D1085" s="423"/>
      <c r="E1085" s="425"/>
      <c r="F1085" s="94"/>
      <c r="G1085" s="113"/>
      <c r="H1085" s="59"/>
      <c r="I1085" s="114"/>
      <c r="J1085" s="59"/>
      <c r="K1085" s="60"/>
      <c r="L1085" s="92"/>
      <c r="M1085" s="87"/>
      <c r="N1085" s="87"/>
      <c r="O1085" s="410"/>
      <c r="P1085" s="87"/>
      <c r="Q1085" s="87"/>
      <c r="R1085" s="87"/>
      <c r="S1085" s="87"/>
      <c r="T1085" s="87"/>
      <c r="U1085" s="87"/>
    </row>
    <row r="1086" spans="1:21" s="62" customFormat="1" ht="24" customHeight="1">
      <c r="A1086" s="450" t="s">
        <v>336</v>
      </c>
      <c r="B1086" s="453" t="s">
        <v>223</v>
      </c>
      <c r="C1086" s="423"/>
      <c r="D1086" s="423"/>
      <c r="E1086" s="425"/>
      <c r="F1086" s="94"/>
      <c r="G1086" s="113"/>
      <c r="H1086" s="59"/>
      <c r="I1086" s="114"/>
      <c r="J1086" s="59"/>
      <c r="K1086" s="60"/>
      <c r="L1086" s="92"/>
      <c r="M1086" s="87"/>
      <c r="N1086" s="87"/>
      <c r="O1086" s="410"/>
      <c r="P1086" s="87"/>
      <c r="Q1086" s="87"/>
      <c r="R1086" s="87"/>
      <c r="S1086" s="87"/>
      <c r="T1086" s="87"/>
      <c r="U1086" s="87"/>
    </row>
    <row r="1087" spans="1:21" s="62" customFormat="1" ht="24" customHeight="1">
      <c r="A1087" s="67"/>
      <c r="B1087" s="423" t="s">
        <v>150</v>
      </c>
      <c r="C1087" s="424"/>
      <c r="D1087" s="424"/>
      <c r="E1087" s="425">
        <v>33.15</v>
      </c>
      <c r="F1087" s="94" t="s">
        <v>151</v>
      </c>
      <c r="G1087" s="113">
        <v>2516</v>
      </c>
      <c r="H1087" s="59">
        <f t="shared" ref="H1087:H1101" si="228">ROUND(E1087*G1087,2)</f>
        <v>83405.399999999994</v>
      </c>
      <c r="I1087" s="114">
        <v>485</v>
      </c>
      <c r="J1087" s="59">
        <f t="shared" ref="J1087:J1101" si="229">ROUND(E1087*I1087,2)</f>
        <v>16077.75</v>
      </c>
      <c r="K1087" s="60">
        <f t="shared" ref="K1087:K1101" si="230">H1087+J1087</f>
        <v>99483.15</v>
      </c>
      <c r="L1087" s="92"/>
      <c r="M1087" s="87"/>
      <c r="N1087" s="87"/>
      <c r="O1087" s="410"/>
      <c r="P1087" s="87"/>
      <c r="Q1087" s="87"/>
      <c r="R1087" s="87"/>
      <c r="S1087" s="87"/>
      <c r="T1087" s="87"/>
      <c r="U1087" s="87"/>
    </row>
    <row r="1088" spans="1:21" s="62" customFormat="1" ht="24" customHeight="1">
      <c r="A1088" s="67"/>
      <c r="B1088" s="426" t="s">
        <v>152</v>
      </c>
      <c r="C1088" s="423"/>
      <c r="D1088" s="423"/>
      <c r="E1088" s="425"/>
      <c r="F1088" s="94"/>
      <c r="G1088" s="113"/>
      <c r="H1088" s="59">
        <f t="shared" si="228"/>
        <v>0</v>
      </c>
      <c r="I1088" s="114"/>
      <c r="J1088" s="59">
        <f t="shared" si="229"/>
        <v>0</v>
      </c>
      <c r="K1088" s="60">
        <f t="shared" si="230"/>
        <v>0</v>
      </c>
      <c r="L1088" s="92"/>
      <c r="M1088" s="87"/>
      <c r="N1088" s="87"/>
      <c r="O1088" s="410"/>
      <c r="P1088" s="87"/>
      <c r="Q1088" s="87"/>
      <c r="R1088" s="87"/>
      <c r="S1088" s="87"/>
      <c r="T1088" s="87"/>
      <c r="U1088" s="87"/>
    </row>
    <row r="1089" spans="1:21" s="62" customFormat="1" ht="24" customHeight="1">
      <c r="A1089" s="67"/>
      <c r="B1089" s="426"/>
      <c r="C1089" s="423" t="s">
        <v>153</v>
      </c>
      <c r="D1089" s="423"/>
      <c r="E1089" s="425">
        <f>E1090/2</f>
        <v>86.88</v>
      </c>
      <c r="F1089" s="94" t="s">
        <v>37</v>
      </c>
      <c r="G1089" s="113">
        <v>661.62</v>
      </c>
      <c r="H1089" s="59">
        <f t="shared" si="228"/>
        <v>57481.55</v>
      </c>
      <c r="I1089" s="114"/>
      <c r="J1089" s="59">
        <f t="shared" si="229"/>
        <v>0</v>
      </c>
      <c r="K1089" s="60">
        <f t="shared" si="230"/>
        <v>57481.55</v>
      </c>
      <c r="L1089" s="92"/>
      <c r="M1089" s="87"/>
      <c r="N1089" s="87"/>
      <c r="O1089" s="410"/>
      <c r="P1089" s="87"/>
      <c r="Q1089" s="87"/>
      <c r="R1089" s="87"/>
      <c r="S1089" s="87"/>
      <c r="T1089" s="87"/>
      <c r="U1089" s="87"/>
    </row>
    <row r="1090" spans="1:21" s="62" customFormat="1" ht="24" customHeight="1">
      <c r="A1090" s="67"/>
      <c r="B1090" s="426"/>
      <c r="C1090" s="423" t="s">
        <v>154</v>
      </c>
      <c r="D1090" s="423"/>
      <c r="E1090" s="425">
        <v>173.76</v>
      </c>
      <c r="F1090" s="94" t="s">
        <v>37</v>
      </c>
      <c r="G1090" s="113"/>
      <c r="H1090" s="59">
        <f t="shared" si="228"/>
        <v>0</v>
      </c>
      <c r="I1090" s="114">
        <v>154</v>
      </c>
      <c r="J1090" s="59">
        <f t="shared" si="229"/>
        <v>26759.040000000001</v>
      </c>
      <c r="K1090" s="60">
        <f t="shared" si="230"/>
        <v>26759.040000000001</v>
      </c>
      <c r="L1090" s="92"/>
      <c r="M1090" s="87"/>
      <c r="N1090" s="87"/>
      <c r="O1090" s="410"/>
      <c r="P1090" s="87"/>
      <c r="Q1090" s="87"/>
      <c r="R1090" s="87"/>
      <c r="S1090" s="87"/>
      <c r="T1090" s="87"/>
      <c r="U1090" s="87"/>
    </row>
    <row r="1091" spans="1:21" s="62" customFormat="1" ht="24" customHeight="1">
      <c r="A1091" s="67"/>
      <c r="B1091" s="423" t="s">
        <v>155</v>
      </c>
      <c r="C1091" s="423"/>
      <c r="D1091" s="423"/>
      <c r="E1091" s="425">
        <f>(E1090*0.25)</f>
        <v>43.44</v>
      </c>
      <c r="F1091" s="94" t="s">
        <v>156</v>
      </c>
      <c r="G1091" s="113">
        <f t="shared" ref="G1091" si="231">VLOOKUP(B1091,$N$43:$O$53,2,FALSE)</f>
        <v>29.94</v>
      </c>
      <c r="H1091" s="59">
        <f t="shared" si="228"/>
        <v>1300.5899999999999</v>
      </c>
      <c r="I1091" s="114"/>
      <c r="J1091" s="59">
        <f t="shared" si="229"/>
        <v>0</v>
      </c>
      <c r="K1091" s="60">
        <f t="shared" si="230"/>
        <v>1300.5899999999999</v>
      </c>
      <c r="L1091" s="92"/>
      <c r="M1091" s="87"/>
      <c r="N1091" s="87"/>
      <c r="O1091" s="410"/>
      <c r="P1091" s="87"/>
      <c r="Q1091" s="87"/>
      <c r="R1091" s="87"/>
      <c r="S1091" s="87"/>
      <c r="T1091" s="87"/>
      <c r="U1091" s="87"/>
    </row>
    <row r="1092" spans="1:21" s="62" customFormat="1" ht="24" customHeight="1">
      <c r="A1092" s="67"/>
      <c r="B1092" s="423" t="s">
        <v>157</v>
      </c>
      <c r="C1092" s="423"/>
      <c r="D1092" s="423"/>
      <c r="E1092" s="425"/>
      <c r="F1092" s="115"/>
      <c r="G1092" s="101"/>
      <c r="H1092" s="59">
        <f t="shared" si="228"/>
        <v>0</v>
      </c>
      <c r="I1092" s="114"/>
      <c r="J1092" s="59">
        <f t="shared" si="229"/>
        <v>0</v>
      </c>
      <c r="K1092" s="60">
        <f t="shared" si="230"/>
        <v>0</v>
      </c>
      <c r="L1092" s="92"/>
      <c r="M1092" s="87"/>
      <c r="N1092" s="87"/>
      <c r="O1092" s="410"/>
      <c r="P1092" s="87"/>
      <c r="Q1092" s="87"/>
      <c r="R1092" s="87"/>
      <c r="S1092" s="87"/>
      <c r="T1092" s="87"/>
      <c r="U1092" s="87"/>
    </row>
    <row r="1093" spans="1:21" s="62" customFormat="1" ht="24" customHeight="1">
      <c r="A1093" s="67"/>
      <c r="B1093" s="423" t="s">
        <v>158</v>
      </c>
      <c r="C1093" s="423"/>
      <c r="D1093" s="423"/>
      <c r="E1093" s="425"/>
      <c r="F1093" s="94" t="s">
        <v>156</v>
      </c>
      <c r="G1093" s="113">
        <f>VLOOKUP(B1093,$N$43:$O$54,2,FALSE)</f>
        <v>25.73</v>
      </c>
      <c r="H1093" s="59">
        <f t="shared" si="228"/>
        <v>0</v>
      </c>
      <c r="I1093" s="103">
        <v>4.0999999999999996</v>
      </c>
      <c r="J1093" s="59">
        <f t="shared" si="229"/>
        <v>0</v>
      </c>
      <c r="K1093" s="60">
        <f t="shared" si="230"/>
        <v>0</v>
      </c>
      <c r="L1093" s="92"/>
      <c r="M1093" s="87"/>
      <c r="N1093" s="87"/>
      <c r="O1093" s="410"/>
      <c r="P1093" s="87"/>
      <c r="Q1093" s="87"/>
      <c r="R1093" s="87"/>
      <c r="S1093" s="87"/>
      <c r="T1093" s="87"/>
      <c r="U1093" s="87"/>
    </row>
    <row r="1094" spans="1:21" s="62" customFormat="1" ht="24" customHeight="1">
      <c r="A1094" s="67"/>
      <c r="B1094" s="423" t="s">
        <v>159</v>
      </c>
      <c r="C1094" s="423"/>
      <c r="D1094" s="423"/>
      <c r="E1094" s="425">
        <v>101.67</v>
      </c>
      <c r="F1094" s="94" t="s">
        <v>156</v>
      </c>
      <c r="G1094" s="113">
        <f t="shared" ref="G1094:G1101" si="232">VLOOKUP(B1094,$N$43:$O$54,2,FALSE)</f>
        <v>24.97</v>
      </c>
      <c r="H1094" s="59">
        <f t="shared" si="228"/>
        <v>2538.6999999999998</v>
      </c>
      <c r="I1094" s="114">
        <v>4.0999999999999996</v>
      </c>
      <c r="J1094" s="59">
        <f t="shared" si="229"/>
        <v>416.85</v>
      </c>
      <c r="K1094" s="60">
        <f t="shared" si="230"/>
        <v>2955.5499999999997</v>
      </c>
      <c r="L1094" s="92"/>
      <c r="M1094" s="87"/>
      <c r="N1094" s="87"/>
      <c r="O1094" s="410"/>
      <c r="P1094" s="87"/>
      <c r="Q1094" s="87"/>
      <c r="R1094" s="87"/>
      <c r="S1094" s="87"/>
      <c r="T1094" s="87"/>
      <c r="U1094" s="87"/>
    </row>
    <row r="1095" spans="1:21" s="62" customFormat="1" ht="24" customHeight="1">
      <c r="A1095" s="67"/>
      <c r="B1095" s="423" t="s">
        <v>160</v>
      </c>
      <c r="C1095" s="423"/>
      <c r="D1095" s="423"/>
      <c r="E1095" s="425">
        <v>2165.98</v>
      </c>
      <c r="F1095" s="94" t="s">
        <v>156</v>
      </c>
      <c r="G1095" s="113">
        <f t="shared" si="232"/>
        <v>24.47</v>
      </c>
      <c r="H1095" s="59">
        <f t="shared" si="228"/>
        <v>53001.53</v>
      </c>
      <c r="I1095" s="114">
        <v>3.3</v>
      </c>
      <c r="J1095" s="59">
        <f t="shared" si="229"/>
        <v>7147.73</v>
      </c>
      <c r="K1095" s="60">
        <f t="shared" si="230"/>
        <v>60149.259999999995</v>
      </c>
      <c r="L1095" s="92"/>
      <c r="M1095" s="87"/>
      <c r="N1095" s="87"/>
      <c r="O1095" s="410"/>
      <c r="P1095" s="87"/>
      <c r="Q1095" s="87"/>
      <c r="R1095" s="87"/>
      <c r="S1095" s="87"/>
      <c r="T1095" s="87"/>
      <c r="U1095" s="87"/>
    </row>
    <row r="1096" spans="1:21" s="62" customFormat="1" ht="24" customHeight="1">
      <c r="A1096" s="67"/>
      <c r="B1096" s="423" t="s">
        <v>161</v>
      </c>
      <c r="C1096" s="423"/>
      <c r="D1096" s="423"/>
      <c r="E1096" s="425">
        <v>324.11</v>
      </c>
      <c r="F1096" s="115" t="s">
        <v>156</v>
      </c>
      <c r="G1096" s="113">
        <f t="shared" si="232"/>
        <v>24.27</v>
      </c>
      <c r="H1096" s="59">
        <f t="shared" si="228"/>
        <v>7866.15</v>
      </c>
      <c r="I1096" s="114">
        <v>3.3</v>
      </c>
      <c r="J1096" s="59">
        <f t="shared" si="229"/>
        <v>1069.56</v>
      </c>
      <c r="K1096" s="60">
        <f t="shared" si="230"/>
        <v>8935.7099999999991</v>
      </c>
      <c r="L1096" s="92"/>
      <c r="M1096" s="87"/>
      <c r="N1096" s="87"/>
      <c r="O1096" s="410"/>
      <c r="P1096" s="87"/>
      <c r="Q1096" s="87"/>
      <c r="R1096" s="87"/>
      <c r="S1096" s="87"/>
      <c r="T1096" s="87"/>
      <c r="U1096" s="87"/>
    </row>
    <row r="1097" spans="1:21" s="62" customFormat="1" ht="24" customHeight="1">
      <c r="A1097" s="67"/>
      <c r="B1097" s="423" t="s">
        <v>162</v>
      </c>
      <c r="C1097" s="423"/>
      <c r="D1097" s="423"/>
      <c r="E1097" s="425">
        <v>0</v>
      </c>
      <c r="F1097" s="94" t="s">
        <v>156</v>
      </c>
      <c r="G1097" s="113">
        <f t="shared" si="232"/>
        <v>24.27</v>
      </c>
      <c r="H1097" s="59">
        <f t="shared" si="228"/>
        <v>0</v>
      </c>
      <c r="I1097" s="114">
        <v>2.9</v>
      </c>
      <c r="J1097" s="59">
        <f t="shared" si="229"/>
        <v>0</v>
      </c>
      <c r="K1097" s="60">
        <f t="shared" si="230"/>
        <v>0</v>
      </c>
      <c r="L1097" s="92"/>
      <c r="M1097" s="87"/>
      <c r="N1097" s="87"/>
      <c r="O1097" s="410"/>
      <c r="P1097" s="87"/>
      <c r="Q1097" s="87"/>
      <c r="R1097" s="87"/>
      <c r="S1097" s="87"/>
      <c r="T1097" s="87"/>
      <c r="U1097" s="87"/>
    </row>
    <row r="1098" spans="1:21" s="62" customFormat="1" ht="24" customHeight="1">
      <c r="A1098" s="67"/>
      <c r="B1098" s="423" t="s">
        <v>163</v>
      </c>
      <c r="C1098" s="423"/>
      <c r="D1098" s="423"/>
      <c r="E1098" s="425">
        <v>136.01999999999998</v>
      </c>
      <c r="F1098" s="94" t="s">
        <v>156</v>
      </c>
      <c r="G1098" s="113">
        <f t="shared" si="232"/>
        <v>24.27</v>
      </c>
      <c r="H1098" s="59">
        <f t="shared" si="228"/>
        <v>3301.21</v>
      </c>
      <c r="I1098" s="114">
        <v>2.9</v>
      </c>
      <c r="J1098" s="59">
        <f t="shared" si="229"/>
        <v>394.46</v>
      </c>
      <c r="K1098" s="60">
        <f t="shared" si="230"/>
        <v>3695.67</v>
      </c>
      <c r="L1098" s="92"/>
      <c r="M1098" s="87"/>
      <c r="N1098" s="87"/>
      <c r="O1098" s="410"/>
      <c r="P1098" s="87"/>
      <c r="Q1098" s="87"/>
      <c r="R1098" s="87"/>
      <c r="S1098" s="87"/>
      <c r="T1098" s="87"/>
      <c r="U1098" s="87"/>
    </row>
    <row r="1099" spans="1:21" s="62" customFormat="1" ht="24" customHeight="1">
      <c r="A1099" s="67"/>
      <c r="B1099" s="423" t="s">
        <v>164</v>
      </c>
      <c r="C1099" s="423"/>
      <c r="D1099" s="423"/>
      <c r="E1099" s="425">
        <v>6096.4000000000005</v>
      </c>
      <c r="F1099" s="94" t="s">
        <v>156</v>
      </c>
      <c r="G1099" s="113">
        <f t="shared" si="232"/>
        <v>24.27</v>
      </c>
      <c r="H1099" s="59">
        <f t="shared" si="228"/>
        <v>147959.63</v>
      </c>
      <c r="I1099" s="114">
        <v>2.9</v>
      </c>
      <c r="J1099" s="59">
        <f t="shared" si="229"/>
        <v>17679.560000000001</v>
      </c>
      <c r="K1099" s="60">
        <f t="shared" si="230"/>
        <v>165639.19</v>
      </c>
      <c r="L1099" s="92"/>
      <c r="M1099" s="87"/>
      <c r="N1099" s="87"/>
      <c r="O1099" s="410"/>
      <c r="P1099" s="87"/>
      <c r="Q1099" s="87"/>
      <c r="R1099" s="87"/>
      <c r="S1099" s="87"/>
      <c r="T1099" s="87"/>
      <c r="U1099" s="87"/>
    </row>
    <row r="1100" spans="1:21" s="62" customFormat="1" ht="24" customHeight="1">
      <c r="A1100" s="67"/>
      <c r="B1100" s="423" t="s">
        <v>165</v>
      </c>
      <c r="C1100" s="423"/>
      <c r="D1100" s="423"/>
      <c r="E1100" s="425"/>
      <c r="F1100" s="94" t="s">
        <v>156</v>
      </c>
      <c r="G1100" s="113">
        <f t="shared" si="232"/>
        <v>23.8</v>
      </c>
      <c r="H1100" s="59">
        <f t="shared" si="228"/>
        <v>0</v>
      </c>
      <c r="I1100" s="114">
        <v>2.9</v>
      </c>
      <c r="J1100" s="59">
        <f t="shared" si="229"/>
        <v>0</v>
      </c>
      <c r="K1100" s="60">
        <f t="shared" si="230"/>
        <v>0</v>
      </c>
      <c r="L1100" s="92"/>
      <c r="M1100" s="87"/>
      <c r="N1100" s="87"/>
      <c r="O1100" s="410"/>
      <c r="P1100" s="87"/>
      <c r="Q1100" s="87"/>
      <c r="R1100" s="87"/>
      <c r="S1100" s="87"/>
      <c r="T1100" s="87"/>
      <c r="U1100" s="87"/>
    </row>
    <row r="1101" spans="1:21" s="62" customFormat="1" ht="24" customHeight="1">
      <c r="A1101" s="67"/>
      <c r="B1101" s="423" t="s">
        <v>166</v>
      </c>
      <c r="C1101" s="423"/>
      <c r="D1101" s="423"/>
      <c r="E1101" s="425">
        <f>(SUM(E1093:E1100)/1000)*30</f>
        <v>264.72539999999998</v>
      </c>
      <c r="F1101" s="94" t="s">
        <v>156</v>
      </c>
      <c r="G1101" s="113">
        <f t="shared" si="232"/>
        <v>29.92</v>
      </c>
      <c r="H1101" s="59">
        <f t="shared" si="228"/>
        <v>7920.58</v>
      </c>
      <c r="I1101" s="114"/>
      <c r="J1101" s="59">
        <f t="shared" si="229"/>
        <v>0</v>
      </c>
      <c r="K1101" s="60">
        <f t="shared" si="230"/>
        <v>7920.58</v>
      </c>
      <c r="L1101" s="92"/>
      <c r="M1101" s="87"/>
      <c r="N1101" s="87"/>
      <c r="O1101" s="410"/>
      <c r="P1101" s="87"/>
      <c r="Q1101" s="87"/>
      <c r="R1101" s="87"/>
      <c r="S1101" s="87"/>
      <c r="T1101" s="87"/>
      <c r="U1101" s="87"/>
    </row>
    <row r="1102" spans="1:21" s="62" customFormat="1" ht="24" customHeight="1">
      <c r="A1102" s="67"/>
      <c r="B1102" s="423" t="s">
        <v>167</v>
      </c>
      <c r="C1102" s="423"/>
      <c r="D1102" s="423"/>
      <c r="E1102" s="425"/>
      <c r="F1102" s="94"/>
      <c r="G1102" s="113"/>
      <c r="H1102" s="59"/>
      <c r="I1102" s="114"/>
      <c r="J1102" s="59"/>
      <c r="K1102" s="60"/>
      <c r="L1102" s="92"/>
      <c r="M1102" s="87"/>
      <c r="N1102" s="87"/>
      <c r="O1102" s="410"/>
      <c r="P1102" s="87"/>
      <c r="Q1102" s="87"/>
      <c r="R1102" s="87"/>
      <c r="S1102" s="87"/>
      <c r="T1102" s="87"/>
      <c r="U1102" s="87"/>
    </row>
    <row r="1103" spans="1:21" s="62" customFormat="1" ht="24" customHeight="1">
      <c r="A1103" s="93"/>
      <c r="B1103" s="423"/>
      <c r="C1103" s="423"/>
      <c r="D1103" s="423"/>
      <c r="E1103" s="425"/>
      <c r="F1103" s="94"/>
      <c r="G1103" s="113"/>
      <c r="H1103" s="59"/>
      <c r="I1103" s="114"/>
      <c r="J1103" s="59"/>
      <c r="K1103" s="60"/>
      <c r="L1103" s="92"/>
      <c r="M1103" s="87"/>
      <c r="N1103" s="87"/>
      <c r="O1103" s="410"/>
      <c r="P1103" s="87"/>
      <c r="Q1103" s="87"/>
      <c r="R1103" s="87"/>
      <c r="S1103" s="87"/>
      <c r="T1103" s="87"/>
      <c r="U1103" s="87"/>
    </row>
    <row r="1104" spans="1:21" s="62" customFormat="1" ht="24" customHeight="1">
      <c r="A1104" s="93"/>
      <c r="B1104" s="423"/>
      <c r="C1104" s="423"/>
      <c r="D1104" s="423"/>
      <c r="E1104" s="425"/>
      <c r="F1104" s="94"/>
      <c r="G1104" s="113"/>
      <c r="H1104" s="59"/>
      <c r="I1104" s="114"/>
      <c r="J1104" s="59"/>
      <c r="K1104" s="60"/>
      <c r="L1104" s="92"/>
      <c r="M1104" s="87"/>
      <c r="N1104" s="87"/>
      <c r="O1104" s="410"/>
      <c r="P1104" s="87"/>
      <c r="Q1104" s="87"/>
      <c r="R1104" s="87"/>
      <c r="S1104" s="87"/>
      <c r="T1104" s="87"/>
      <c r="U1104" s="87"/>
    </row>
    <row r="1105" spans="1:21" s="62" customFormat="1" ht="24" customHeight="1">
      <c r="A1105" s="67"/>
      <c r="B1105" s="95"/>
      <c r="C1105" s="423"/>
      <c r="D1105" s="423"/>
      <c r="E1105" s="425"/>
      <c r="F1105" s="94"/>
      <c r="G1105" s="113"/>
      <c r="H1105" s="59"/>
      <c r="I1105" s="114"/>
      <c r="J1105" s="59"/>
      <c r="K1105" s="60"/>
      <c r="L1105" s="92"/>
      <c r="M1105" s="87"/>
      <c r="N1105" s="87"/>
      <c r="O1105" s="410"/>
      <c r="P1105" s="87"/>
      <c r="Q1105" s="87"/>
      <c r="R1105" s="87"/>
      <c r="S1105" s="87"/>
      <c r="T1105" s="87"/>
      <c r="U1105" s="87"/>
    </row>
    <row r="1106" spans="1:21" s="62" customFormat="1" ht="24" customHeight="1">
      <c r="A1106" s="67"/>
      <c r="B1106" s="95"/>
      <c r="C1106" s="423"/>
      <c r="D1106" s="423"/>
      <c r="E1106" s="425"/>
      <c r="F1106" s="94"/>
      <c r="G1106" s="113"/>
      <c r="H1106" s="59"/>
      <c r="I1106" s="114"/>
      <c r="J1106" s="59"/>
      <c r="K1106" s="60"/>
      <c r="L1106" s="92"/>
      <c r="M1106" s="87"/>
      <c r="N1106" s="87"/>
      <c r="O1106" s="87"/>
      <c r="P1106" s="87"/>
      <c r="Q1106" s="87"/>
      <c r="R1106" s="87"/>
      <c r="S1106" s="87"/>
      <c r="T1106" s="87"/>
      <c r="U1106" s="87"/>
    </row>
    <row r="1107" spans="1:21" s="62" customFormat="1" ht="24" customHeight="1">
      <c r="A1107" s="67"/>
      <c r="B1107" s="95"/>
      <c r="C1107" s="423"/>
      <c r="D1107" s="423"/>
      <c r="E1107" s="425"/>
      <c r="F1107" s="94"/>
      <c r="G1107" s="113"/>
      <c r="H1107" s="59"/>
      <c r="I1107" s="114"/>
      <c r="J1107" s="59"/>
      <c r="K1107" s="60"/>
      <c r="L1107" s="92"/>
      <c r="M1107" s="87"/>
      <c r="N1107" s="87"/>
      <c r="O1107" s="87"/>
      <c r="P1107" s="87"/>
      <c r="Q1107" s="87"/>
      <c r="R1107" s="87"/>
      <c r="S1107" s="87"/>
      <c r="T1107" s="87"/>
      <c r="U1107" s="87"/>
    </row>
    <row r="1108" spans="1:21" s="62" customFormat="1" ht="24" customHeight="1">
      <c r="A1108" s="67"/>
      <c r="B1108" s="95"/>
      <c r="C1108" s="423"/>
      <c r="D1108" s="423"/>
      <c r="E1108" s="425"/>
      <c r="F1108" s="94"/>
      <c r="G1108" s="113"/>
      <c r="H1108" s="59"/>
      <c r="I1108" s="114"/>
      <c r="J1108" s="59"/>
      <c r="K1108" s="60"/>
      <c r="L1108" s="92"/>
      <c r="M1108" s="87"/>
      <c r="N1108" s="87"/>
      <c r="O1108" s="87"/>
      <c r="P1108" s="87"/>
      <c r="Q1108" s="87"/>
      <c r="R1108" s="87"/>
      <c r="S1108" s="87"/>
      <c r="T1108" s="87"/>
      <c r="U1108" s="87"/>
    </row>
    <row r="1109" spans="1:21" s="62" customFormat="1" ht="24" customHeight="1">
      <c r="A1109" s="67"/>
      <c r="B1109" s="95"/>
      <c r="C1109" s="423"/>
      <c r="D1109" s="423"/>
      <c r="E1109" s="425"/>
      <c r="F1109" s="94"/>
      <c r="G1109" s="113"/>
      <c r="H1109" s="59"/>
      <c r="I1109" s="114"/>
      <c r="J1109" s="59"/>
      <c r="K1109" s="60"/>
      <c r="L1109" s="92"/>
      <c r="M1109" s="87"/>
      <c r="N1109" s="87"/>
      <c r="O1109" s="87"/>
      <c r="P1109" s="87"/>
      <c r="Q1109" s="87"/>
      <c r="R1109" s="87"/>
      <c r="S1109" s="87"/>
      <c r="T1109" s="87"/>
      <c r="U1109" s="87"/>
    </row>
    <row r="1110" spans="1:21" s="62" customFormat="1" ht="24" customHeight="1">
      <c r="A1110" s="109"/>
      <c r="B1110" s="2444" t="str">
        <f>"รวมราคารายการที่ "&amp;A1036</f>
        <v>รวมราคารายการที่ 1.9</v>
      </c>
      <c r="C1110" s="2444"/>
      <c r="D1110" s="2444"/>
      <c r="E1110" s="110"/>
      <c r="F1110" s="111"/>
      <c r="G1110" s="112"/>
      <c r="H1110" s="106">
        <f>ROUND(SUBTOTAL(9,H1039:H1109),2)</f>
        <v>4892320.4400000004</v>
      </c>
      <c r="I1110" s="108"/>
      <c r="J1110" s="106">
        <f>ROUND(SUBTOTAL(9,J1039:J1109),2)</f>
        <v>1009972.93</v>
      </c>
      <c r="K1110" s="106">
        <f>ROUND(SUBTOTAL(9,K1039:K1109),2)</f>
        <v>5902293.3700000001</v>
      </c>
      <c r="L1110" s="106"/>
      <c r="M1110" s="87"/>
      <c r="N1110" s="87"/>
      <c r="O1110" s="87"/>
      <c r="P1110" s="87"/>
      <c r="Q1110" s="87"/>
      <c r="R1110" s="87"/>
      <c r="S1110" s="87"/>
      <c r="T1110" s="87"/>
      <c r="U1110" s="87"/>
    </row>
    <row r="1111" spans="1:21" s="62" customFormat="1" ht="24" customHeight="1">
      <c r="A1111" s="672" t="s">
        <v>337</v>
      </c>
      <c r="B1111" s="411" t="s">
        <v>361</v>
      </c>
      <c r="C1111" s="423"/>
      <c r="D1111" s="423"/>
      <c r="E1111" s="429"/>
      <c r="F1111" s="94"/>
      <c r="G1111" s="113"/>
      <c r="H1111" s="59"/>
      <c r="I1111" s="114"/>
      <c r="J1111" s="59"/>
      <c r="K1111" s="60"/>
      <c r="L1111" s="92"/>
      <c r="M1111" s="87"/>
      <c r="N1111" s="87"/>
      <c r="O1111" s="87"/>
      <c r="P1111" s="87"/>
      <c r="Q1111" s="87"/>
      <c r="R1111" s="87"/>
      <c r="S1111" s="87"/>
      <c r="T1111" s="87"/>
      <c r="U1111" s="87"/>
    </row>
    <row r="1112" spans="1:21" s="62" customFormat="1" ht="24" customHeight="1">
      <c r="A1112" s="450" t="s">
        <v>359</v>
      </c>
      <c r="B1112" s="453" t="s">
        <v>350</v>
      </c>
      <c r="C1112" s="423"/>
      <c r="D1112" s="423"/>
      <c r="E1112" s="429"/>
      <c r="F1112" s="94"/>
      <c r="G1112" s="113"/>
      <c r="H1112" s="59"/>
      <c r="I1112" s="114"/>
      <c r="J1112" s="59"/>
      <c r="K1112" s="60"/>
      <c r="L1112" s="92"/>
      <c r="M1112" s="87"/>
      <c r="N1112" s="87"/>
      <c r="O1112" s="87"/>
      <c r="P1112" s="87"/>
      <c r="Q1112" s="87"/>
      <c r="R1112" s="87"/>
      <c r="S1112" s="87"/>
      <c r="T1112" s="87"/>
      <c r="U1112" s="87"/>
    </row>
    <row r="1113" spans="1:21" s="62" customFormat="1" ht="24" customHeight="1">
      <c r="A1113" s="67"/>
      <c r="B1113" s="426" t="s">
        <v>221</v>
      </c>
      <c r="C1113" s="424"/>
      <c r="D1113" s="424"/>
      <c r="E1113" s="425">
        <v>40.22</v>
      </c>
      <c r="F1113" s="94" t="s">
        <v>151</v>
      </c>
      <c r="G1113" s="113">
        <v>3190</v>
      </c>
      <c r="H1113" s="59">
        <f t="shared" ref="H1113:H1127" si="233">ROUND(E1113*G1113,2)</f>
        <v>128301.8</v>
      </c>
      <c r="I1113" s="114">
        <v>485</v>
      </c>
      <c r="J1113" s="59">
        <f t="shared" ref="J1113:J1127" si="234">ROUND(E1113*I1113,2)</f>
        <v>19506.7</v>
      </c>
      <c r="K1113" s="60">
        <f t="shared" ref="K1113:K1127" si="235">H1113+J1113</f>
        <v>147808.5</v>
      </c>
      <c r="L1113" s="92"/>
      <c r="M1113" s="87"/>
      <c r="N1113" s="87"/>
      <c r="O1113" s="87"/>
      <c r="P1113" s="87"/>
      <c r="Q1113" s="87"/>
      <c r="R1113" s="87"/>
      <c r="S1113" s="87"/>
      <c r="T1113" s="87"/>
      <c r="U1113" s="87"/>
    </row>
    <row r="1114" spans="1:21" s="62" customFormat="1" ht="24" customHeight="1">
      <c r="A1114" s="67"/>
      <c r="B1114" s="426" t="s">
        <v>152</v>
      </c>
      <c r="C1114" s="423"/>
      <c r="D1114" s="423"/>
      <c r="E1114" s="425"/>
      <c r="F1114" s="94"/>
      <c r="G1114" s="113"/>
      <c r="H1114" s="59">
        <f t="shared" si="233"/>
        <v>0</v>
      </c>
      <c r="I1114" s="114"/>
      <c r="J1114" s="59">
        <f t="shared" si="234"/>
        <v>0</v>
      </c>
      <c r="K1114" s="60">
        <f t="shared" si="235"/>
        <v>0</v>
      </c>
      <c r="L1114" s="92"/>
      <c r="M1114" s="87"/>
      <c r="N1114" s="87"/>
      <c r="O1114" s="87"/>
      <c r="P1114" s="87"/>
      <c r="Q1114" s="87"/>
      <c r="R1114" s="87"/>
      <c r="S1114" s="87"/>
      <c r="T1114" s="87"/>
      <c r="U1114" s="87"/>
    </row>
    <row r="1115" spans="1:21" s="62" customFormat="1" ht="24" customHeight="1">
      <c r="A1115" s="67"/>
      <c r="B1115" s="426"/>
      <c r="C1115" s="423" t="s">
        <v>153</v>
      </c>
      <c r="D1115" s="423"/>
      <c r="E1115" s="425">
        <f>E1116/2</f>
        <v>134.05000000000001</v>
      </c>
      <c r="F1115" s="94" t="s">
        <v>37</v>
      </c>
      <c r="G1115" s="113">
        <v>661.62</v>
      </c>
      <c r="H1115" s="59">
        <f t="shared" si="233"/>
        <v>88690.16</v>
      </c>
      <c r="I1115" s="114"/>
      <c r="J1115" s="59">
        <f t="shared" si="234"/>
        <v>0</v>
      </c>
      <c r="K1115" s="60">
        <f t="shared" si="235"/>
        <v>88690.16</v>
      </c>
      <c r="L1115" s="92"/>
      <c r="M1115" s="87"/>
      <c r="N1115" s="87"/>
      <c r="O1115" s="87"/>
      <c r="P1115" s="87"/>
      <c r="Q1115" s="87"/>
      <c r="R1115" s="87"/>
      <c r="S1115" s="87"/>
      <c r="T1115" s="87"/>
      <c r="U1115" s="87"/>
    </row>
    <row r="1116" spans="1:21" s="62" customFormat="1" ht="24" customHeight="1">
      <c r="A1116" s="67"/>
      <c r="B1116" s="426"/>
      <c r="C1116" s="423" t="s">
        <v>154</v>
      </c>
      <c r="D1116" s="423"/>
      <c r="E1116" s="425">
        <v>268.10000000000002</v>
      </c>
      <c r="F1116" s="94" t="s">
        <v>37</v>
      </c>
      <c r="G1116" s="113"/>
      <c r="H1116" s="59">
        <f t="shared" si="233"/>
        <v>0</v>
      </c>
      <c r="I1116" s="114">
        <v>154</v>
      </c>
      <c r="J1116" s="59">
        <f t="shared" si="234"/>
        <v>41287.4</v>
      </c>
      <c r="K1116" s="60">
        <f t="shared" si="235"/>
        <v>41287.4</v>
      </c>
      <c r="L1116" s="92"/>
      <c r="M1116" s="87"/>
      <c r="N1116" s="87"/>
      <c r="O1116" s="87"/>
      <c r="P1116" s="87"/>
      <c r="Q1116" s="87"/>
      <c r="R1116" s="87"/>
      <c r="S1116" s="87"/>
      <c r="T1116" s="87"/>
      <c r="U1116" s="87"/>
    </row>
    <row r="1117" spans="1:21" s="62" customFormat="1" ht="24" customHeight="1">
      <c r="A1117" s="67"/>
      <c r="B1117" s="423" t="s">
        <v>155</v>
      </c>
      <c r="C1117" s="423"/>
      <c r="D1117" s="423"/>
      <c r="E1117" s="425">
        <f>(E1116*0.25)</f>
        <v>67.025000000000006</v>
      </c>
      <c r="F1117" s="94" t="s">
        <v>156</v>
      </c>
      <c r="G1117" s="113">
        <f t="shared" ref="G1117" si="236">VLOOKUP(B1117,$N$43:$O$53,2,FALSE)</f>
        <v>29.94</v>
      </c>
      <c r="H1117" s="59">
        <f t="shared" si="233"/>
        <v>2006.73</v>
      </c>
      <c r="I1117" s="114"/>
      <c r="J1117" s="59">
        <f t="shared" si="234"/>
        <v>0</v>
      </c>
      <c r="K1117" s="60">
        <f t="shared" si="235"/>
        <v>2006.73</v>
      </c>
      <c r="L1117" s="92"/>
      <c r="M1117" s="87"/>
      <c r="N1117" s="87"/>
      <c r="O1117" s="87"/>
      <c r="P1117" s="87"/>
      <c r="Q1117" s="87"/>
      <c r="R1117" s="87"/>
      <c r="S1117" s="87"/>
      <c r="T1117" s="87"/>
      <c r="U1117" s="87"/>
    </row>
    <row r="1118" spans="1:21" s="62" customFormat="1" ht="24" customHeight="1">
      <c r="A1118" s="67"/>
      <c r="B1118" s="423" t="s">
        <v>157</v>
      </c>
      <c r="C1118" s="423"/>
      <c r="D1118" s="423"/>
      <c r="E1118" s="425"/>
      <c r="F1118" s="115"/>
      <c r="G1118" s="101"/>
      <c r="H1118" s="59">
        <f t="shared" si="233"/>
        <v>0</v>
      </c>
      <c r="I1118" s="114"/>
      <c r="J1118" s="59">
        <f t="shared" si="234"/>
        <v>0</v>
      </c>
      <c r="K1118" s="60">
        <f t="shared" si="235"/>
        <v>0</v>
      </c>
      <c r="L1118" s="92"/>
      <c r="M1118" s="87"/>
      <c r="N1118" s="87"/>
      <c r="O1118" s="87"/>
      <c r="P1118" s="87"/>
      <c r="Q1118" s="87"/>
      <c r="R1118" s="87"/>
      <c r="S1118" s="87"/>
      <c r="T1118" s="87"/>
      <c r="U1118" s="87"/>
    </row>
    <row r="1119" spans="1:21" s="62" customFormat="1" ht="24" customHeight="1">
      <c r="A1119" s="67"/>
      <c r="B1119" s="423" t="s">
        <v>158</v>
      </c>
      <c r="C1119" s="423"/>
      <c r="D1119" s="423"/>
      <c r="E1119" s="425"/>
      <c r="F1119" s="94" t="s">
        <v>156</v>
      </c>
      <c r="G1119" s="113">
        <f>VLOOKUP(B1119,$N$43:$O$54,2,FALSE)</f>
        <v>25.73</v>
      </c>
      <c r="H1119" s="59">
        <f t="shared" si="233"/>
        <v>0</v>
      </c>
      <c r="I1119" s="103">
        <v>4.0999999999999996</v>
      </c>
      <c r="J1119" s="59">
        <f t="shared" si="234"/>
        <v>0</v>
      </c>
      <c r="K1119" s="60">
        <f t="shared" si="235"/>
        <v>0</v>
      </c>
      <c r="L1119" s="92"/>
      <c r="M1119" s="87"/>
      <c r="N1119" s="87"/>
      <c r="O1119" s="87"/>
      <c r="P1119" s="87"/>
      <c r="Q1119" s="87"/>
      <c r="R1119" s="87"/>
      <c r="S1119" s="87"/>
      <c r="T1119" s="87"/>
      <c r="U1119" s="87"/>
    </row>
    <row r="1120" spans="1:21" s="62" customFormat="1" ht="24" customHeight="1">
      <c r="A1120" s="67"/>
      <c r="B1120" s="423" t="s">
        <v>159</v>
      </c>
      <c r="C1120" s="423"/>
      <c r="D1120" s="423"/>
      <c r="E1120" s="425"/>
      <c r="F1120" s="94" t="s">
        <v>156</v>
      </c>
      <c r="G1120" s="113">
        <f t="shared" ref="G1120:G1127" si="237">VLOOKUP(B1120,$N$43:$O$54,2,FALSE)</f>
        <v>24.97</v>
      </c>
      <c r="H1120" s="59">
        <f t="shared" si="233"/>
        <v>0</v>
      </c>
      <c r="I1120" s="114">
        <v>4.0999999999999996</v>
      </c>
      <c r="J1120" s="59">
        <f t="shared" si="234"/>
        <v>0</v>
      </c>
      <c r="K1120" s="60">
        <f t="shared" si="235"/>
        <v>0</v>
      </c>
      <c r="L1120" s="92"/>
      <c r="M1120" s="87"/>
      <c r="N1120" s="87"/>
      <c r="O1120" s="87"/>
      <c r="P1120" s="87"/>
      <c r="Q1120" s="87"/>
      <c r="R1120" s="87"/>
      <c r="S1120" s="87"/>
      <c r="T1120" s="87"/>
      <c r="U1120" s="87"/>
    </row>
    <row r="1121" spans="1:21" s="62" customFormat="1" ht="24" customHeight="1">
      <c r="A1121" s="67"/>
      <c r="B1121" s="423" t="s">
        <v>160</v>
      </c>
      <c r="C1121" s="423"/>
      <c r="D1121" s="423"/>
      <c r="E1121" s="425">
        <v>6054.98</v>
      </c>
      <c r="F1121" s="94" t="s">
        <v>156</v>
      </c>
      <c r="G1121" s="113">
        <f t="shared" si="237"/>
        <v>24.47</v>
      </c>
      <c r="H1121" s="59">
        <f t="shared" si="233"/>
        <v>148165.35999999999</v>
      </c>
      <c r="I1121" s="114">
        <v>3.3</v>
      </c>
      <c r="J1121" s="59">
        <f t="shared" si="234"/>
        <v>19981.43</v>
      </c>
      <c r="K1121" s="60">
        <f t="shared" si="235"/>
        <v>168146.78999999998</v>
      </c>
      <c r="L1121" s="92"/>
      <c r="M1121" s="87"/>
      <c r="N1121" s="87"/>
      <c r="O1121" s="87"/>
      <c r="P1121" s="87"/>
      <c r="Q1121" s="87"/>
      <c r="R1121" s="87"/>
      <c r="S1121" s="87"/>
      <c r="T1121" s="87"/>
      <c r="U1121" s="87"/>
    </row>
    <row r="1122" spans="1:21" s="62" customFormat="1" ht="24" customHeight="1">
      <c r="A1122" s="67"/>
      <c r="B1122" s="423" t="s">
        <v>161</v>
      </c>
      <c r="C1122" s="423"/>
      <c r="D1122" s="423"/>
      <c r="E1122" s="425"/>
      <c r="F1122" s="115" t="s">
        <v>156</v>
      </c>
      <c r="G1122" s="113">
        <f t="shared" si="237"/>
        <v>24.27</v>
      </c>
      <c r="H1122" s="59">
        <f t="shared" si="233"/>
        <v>0</v>
      </c>
      <c r="I1122" s="114">
        <v>3.3</v>
      </c>
      <c r="J1122" s="59">
        <f t="shared" si="234"/>
        <v>0</v>
      </c>
      <c r="K1122" s="60">
        <f t="shared" si="235"/>
        <v>0</v>
      </c>
      <c r="L1122" s="92"/>
      <c r="M1122" s="87"/>
      <c r="N1122" s="87"/>
      <c r="O1122" s="87"/>
      <c r="P1122" s="87"/>
      <c r="Q1122" s="87"/>
      <c r="R1122" s="87"/>
      <c r="S1122" s="87"/>
      <c r="T1122" s="87"/>
      <c r="U1122" s="87"/>
    </row>
    <row r="1123" spans="1:21" s="62" customFormat="1" ht="24" customHeight="1">
      <c r="A1123" s="67"/>
      <c r="B1123" s="423" t="s">
        <v>162</v>
      </c>
      <c r="C1123" s="423"/>
      <c r="D1123" s="423"/>
      <c r="E1123" s="425"/>
      <c r="F1123" s="94" t="s">
        <v>156</v>
      </c>
      <c r="G1123" s="113">
        <f t="shared" si="237"/>
        <v>24.27</v>
      </c>
      <c r="H1123" s="59">
        <f t="shared" si="233"/>
        <v>0</v>
      </c>
      <c r="I1123" s="114">
        <v>2.9</v>
      </c>
      <c r="J1123" s="59">
        <f t="shared" si="234"/>
        <v>0</v>
      </c>
      <c r="K1123" s="60">
        <f t="shared" si="235"/>
        <v>0</v>
      </c>
      <c r="L1123" s="92"/>
      <c r="M1123" s="87"/>
      <c r="N1123" s="87"/>
      <c r="O1123" s="87"/>
      <c r="P1123" s="87"/>
      <c r="Q1123" s="87"/>
      <c r="R1123" s="87"/>
      <c r="S1123" s="87"/>
      <c r="T1123" s="87"/>
      <c r="U1123" s="87"/>
    </row>
    <row r="1124" spans="1:21" s="62" customFormat="1" ht="24" customHeight="1">
      <c r="A1124" s="67"/>
      <c r="B1124" s="423" t="s">
        <v>163</v>
      </c>
      <c r="C1124" s="423"/>
      <c r="D1124" s="423"/>
      <c r="E1124" s="425"/>
      <c r="F1124" s="94" t="s">
        <v>156</v>
      </c>
      <c r="G1124" s="113">
        <f t="shared" si="237"/>
        <v>24.27</v>
      </c>
      <c r="H1124" s="59">
        <f t="shared" si="233"/>
        <v>0</v>
      </c>
      <c r="I1124" s="114">
        <v>2.9</v>
      </c>
      <c r="J1124" s="59">
        <f t="shared" si="234"/>
        <v>0</v>
      </c>
      <c r="K1124" s="60">
        <f t="shared" si="235"/>
        <v>0</v>
      </c>
      <c r="L1124" s="92"/>
      <c r="M1124" s="87"/>
      <c r="N1124" s="87"/>
      <c r="O1124" s="87"/>
      <c r="P1124" s="87"/>
      <c r="Q1124" s="87"/>
      <c r="R1124" s="87"/>
      <c r="S1124" s="87"/>
      <c r="T1124" s="87"/>
      <c r="U1124" s="87"/>
    </row>
    <row r="1125" spans="1:21" s="62" customFormat="1" ht="24" customHeight="1">
      <c r="A1125" s="67"/>
      <c r="B1125" s="423" t="s">
        <v>164</v>
      </c>
      <c r="C1125" s="423"/>
      <c r="D1125" s="423"/>
      <c r="E1125" s="425"/>
      <c r="F1125" s="94" t="s">
        <v>156</v>
      </c>
      <c r="G1125" s="113">
        <f t="shared" si="237"/>
        <v>24.27</v>
      </c>
      <c r="H1125" s="59">
        <f t="shared" si="233"/>
        <v>0</v>
      </c>
      <c r="I1125" s="114">
        <v>2.9</v>
      </c>
      <c r="J1125" s="59">
        <f t="shared" si="234"/>
        <v>0</v>
      </c>
      <c r="K1125" s="60">
        <f t="shared" si="235"/>
        <v>0</v>
      </c>
      <c r="L1125" s="92"/>
      <c r="M1125" s="87"/>
      <c r="N1125" s="87"/>
      <c r="O1125" s="87"/>
      <c r="P1125" s="87"/>
      <c r="Q1125" s="87"/>
      <c r="R1125" s="87"/>
      <c r="S1125" s="87"/>
      <c r="T1125" s="87"/>
      <c r="U1125" s="87"/>
    </row>
    <row r="1126" spans="1:21" s="62" customFormat="1" ht="24" customHeight="1">
      <c r="A1126" s="67"/>
      <c r="B1126" s="423" t="s">
        <v>165</v>
      </c>
      <c r="C1126" s="423"/>
      <c r="D1126" s="423"/>
      <c r="E1126" s="425"/>
      <c r="F1126" s="94" t="s">
        <v>156</v>
      </c>
      <c r="G1126" s="113">
        <f t="shared" si="237"/>
        <v>23.8</v>
      </c>
      <c r="H1126" s="59">
        <f t="shared" si="233"/>
        <v>0</v>
      </c>
      <c r="I1126" s="114">
        <v>2.9</v>
      </c>
      <c r="J1126" s="59">
        <f t="shared" si="234"/>
        <v>0</v>
      </c>
      <c r="K1126" s="60">
        <f t="shared" si="235"/>
        <v>0</v>
      </c>
      <c r="L1126" s="92"/>
      <c r="M1126" s="87"/>
      <c r="N1126" s="87"/>
      <c r="O1126" s="87"/>
      <c r="P1126" s="87"/>
      <c r="Q1126" s="87"/>
      <c r="R1126" s="87"/>
      <c r="S1126" s="87"/>
      <c r="T1126" s="87"/>
      <c r="U1126" s="87"/>
    </row>
    <row r="1127" spans="1:21" s="62" customFormat="1" ht="24" customHeight="1">
      <c r="A1127" s="67"/>
      <c r="B1127" s="423" t="s">
        <v>166</v>
      </c>
      <c r="C1127" s="423"/>
      <c r="D1127" s="423"/>
      <c r="E1127" s="425">
        <f>(SUM(E1119:E1126)/1000)*30</f>
        <v>181.64939999999999</v>
      </c>
      <c r="F1127" s="94" t="s">
        <v>156</v>
      </c>
      <c r="G1127" s="113">
        <f t="shared" si="237"/>
        <v>29.92</v>
      </c>
      <c r="H1127" s="59">
        <f t="shared" si="233"/>
        <v>5434.95</v>
      </c>
      <c r="I1127" s="114"/>
      <c r="J1127" s="59">
        <f t="shared" si="234"/>
        <v>0</v>
      </c>
      <c r="K1127" s="60">
        <f t="shared" si="235"/>
        <v>5434.95</v>
      </c>
      <c r="L1127" s="92"/>
      <c r="M1127" s="87"/>
      <c r="N1127" s="87"/>
      <c r="O1127" s="87"/>
      <c r="P1127" s="87"/>
      <c r="Q1127" s="87"/>
      <c r="R1127" s="87"/>
      <c r="S1127" s="87"/>
      <c r="T1127" s="87"/>
      <c r="U1127" s="87"/>
    </row>
    <row r="1128" spans="1:21" s="62" customFormat="1" ht="24" customHeight="1">
      <c r="A1128" s="67"/>
      <c r="B1128" s="423" t="s">
        <v>167</v>
      </c>
      <c r="C1128" s="423"/>
      <c r="D1128" s="423"/>
      <c r="E1128" s="425"/>
      <c r="F1128" s="94"/>
      <c r="G1128" s="113"/>
      <c r="H1128" s="59"/>
      <c r="I1128" s="114"/>
      <c r="J1128" s="59"/>
      <c r="K1128" s="60"/>
      <c r="L1128" s="92"/>
      <c r="M1128" s="87"/>
      <c r="N1128" s="87"/>
      <c r="O1128" s="87"/>
      <c r="P1128" s="87"/>
      <c r="Q1128" s="87"/>
      <c r="R1128" s="87"/>
      <c r="S1128" s="87"/>
      <c r="T1128" s="87"/>
      <c r="U1128" s="87"/>
    </row>
    <row r="1129" spans="1:21" s="62" customFormat="1" ht="24" customHeight="1">
      <c r="A1129" s="67"/>
      <c r="B1129" s="423"/>
      <c r="C1129" s="423"/>
      <c r="D1129" s="423"/>
      <c r="E1129" s="425"/>
      <c r="F1129" s="94"/>
      <c r="G1129" s="113"/>
      <c r="H1129" s="59"/>
      <c r="I1129" s="114"/>
      <c r="J1129" s="59"/>
      <c r="K1129" s="60"/>
      <c r="L1129" s="92"/>
      <c r="M1129" s="87"/>
      <c r="N1129" s="87"/>
      <c r="O1129" s="87"/>
      <c r="P1129" s="87"/>
      <c r="Q1129" s="87"/>
      <c r="R1129" s="87"/>
      <c r="S1129" s="87"/>
      <c r="T1129" s="87"/>
      <c r="U1129" s="87"/>
    </row>
    <row r="1130" spans="1:21" s="62" customFormat="1" ht="24" customHeight="1">
      <c r="A1130" s="67"/>
      <c r="B1130" s="423"/>
      <c r="C1130" s="423"/>
      <c r="D1130" s="423"/>
      <c r="E1130" s="425"/>
      <c r="F1130" s="94"/>
      <c r="G1130" s="113"/>
      <c r="H1130" s="59"/>
      <c r="I1130" s="114"/>
      <c r="J1130" s="59"/>
      <c r="K1130" s="60"/>
      <c r="L1130" s="92"/>
      <c r="M1130" s="87"/>
      <c r="N1130" s="87"/>
      <c r="O1130" s="87"/>
      <c r="P1130" s="87"/>
      <c r="Q1130" s="87"/>
      <c r="R1130" s="87"/>
      <c r="S1130" s="87"/>
      <c r="T1130" s="87"/>
      <c r="U1130" s="87"/>
    </row>
    <row r="1131" spans="1:21" s="62" customFormat="1" ht="24" customHeight="1">
      <c r="A1131" s="67"/>
      <c r="B1131" s="423"/>
      <c r="C1131" s="423"/>
      <c r="D1131" s="423"/>
      <c r="E1131" s="425"/>
      <c r="F1131" s="94"/>
      <c r="G1131" s="113"/>
      <c r="H1131" s="59"/>
      <c r="I1131" s="114"/>
      <c r="J1131" s="59"/>
      <c r="K1131" s="60"/>
      <c r="L1131" s="92"/>
      <c r="M1131" s="87"/>
      <c r="N1131" s="87"/>
      <c r="O1131" s="87"/>
      <c r="P1131" s="87"/>
      <c r="Q1131" s="87"/>
      <c r="R1131" s="87"/>
      <c r="S1131" s="87"/>
      <c r="T1131" s="87"/>
      <c r="U1131" s="87"/>
    </row>
    <row r="1132" spans="1:21" s="62" customFormat="1" ht="24" customHeight="1">
      <c r="A1132" s="67"/>
      <c r="B1132" s="423"/>
      <c r="C1132" s="423"/>
      <c r="D1132" s="423"/>
      <c r="E1132" s="425"/>
      <c r="F1132" s="94"/>
      <c r="G1132" s="113"/>
      <c r="H1132" s="59"/>
      <c r="I1132" s="114"/>
      <c r="J1132" s="59"/>
      <c r="K1132" s="60"/>
      <c r="L1132" s="92"/>
      <c r="M1132" s="87"/>
      <c r="N1132" s="87"/>
      <c r="O1132" s="87"/>
      <c r="P1132" s="87"/>
      <c r="Q1132" s="87"/>
      <c r="R1132" s="87"/>
      <c r="S1132" s="87"/>
      <c r="T1132" s="87"/>
      <c r="U1132" s="87"/>
    </row>
    <row r="1133" spans="1:21" s="62" customFormat="1" ht="24" customHeight="1">
      <c r="A1133" s="67"/>
      <c r="B1133" s="423"/>
      <c r="C1133" s="423"/>
      <c r="D1133" s="423"/>
      <c r="E1133" s="425"/>
      <c r="F1133" s="94"/>
      <c r="G1133" s="113"/>
      <c r="H1133" s="59"/>
      <c r="I1133" s="114"/>
      <c r="J1133" s="59"/>
      <c r="K1133" s="60"/>
      <c r="L1133" s="92"/>
      <c r="M1133" s="87"/>
      <c r="N1133" s="87"/>
      <c r="O1133" s="87"/>
      <c r="P1133" s="87"/>
      <c r="Q1133" s="87"/>
      <c r="R1133" s="87"/>
      <c r="S1133" s="87"/>
      <c r="T1133" s="87"/>
      <c r="U1133" s="87"/>
    </row>
    <row r="1134" spans="1:21" s="62" customFormat="1" ht="24" customHeight="1">
      <c r="A1134" s="67"/>
      <c r="B1134" s="95"/>
      <c r="C1134" s="423"/>
      <c r="D1134" s="423"/>
      <c r="E1134" s="425"/>
      <c r="F1134" s="94"/>
      <c r="G1134" s="113"/>
      <c r="H1134" s="59"/>
      <c r="I1134" s="114"/>
      <c r="J1134" s="59"/>
      <c r="K1134" s="60"/>
      <c r="L1134" s="92"/>
      <c r="M1134" s="87"/>
      <c r="N1134" s="87"/>
      <c r="O1134" s="87"/>
      <c r="P1134" s="87"/>
      <c r="Q1134" s="87"/>
      <c r="R1134" s="87"/>
      <c r="S1134" s="87"/>
      <c r="T1134" s="87"/>
      <c r="U1134" s="87"/>
    </row>
    <row r="1135" spans="1:21" s="62" customFormat="1" ht="24" customHeight="1">
      <c r="A1135" s="67"/>
      <c r="B1135" s="95"/>
      <c r="C1135" s="423"/>
      <c r="D1135" s="423"/>
      <c r="E1135" s="425"/>
      <c r="F1135" s="94"/>
      <c r="G1135" s="113"/>
      <c r="H1135" s="59"/>
      <c r="I1135" s="114"/>
      <c r="J1135" s="59"/>
      <c r="K1135" s="60"/>
      <c r="L1135" s="92"/>
      <c r="M1135" s="87"/>
      <c r="N1135" s="87"/>
      <c r="O1135" s="87"/>
      <c r="P1135" s="87"/>
      <c r="Q1135" s="87"/>
      <c r="R1135" s="87"/>
      <c r="S1135" s="87"/>
      <c r="T1135" s="87"/>
      <c r="U1135" s="87"/>
    </row>
    <row r="1136" spans="1:21" s="62" customFormat="1" ht="24" customHeight="1">
      <c r="A1136" s="450" t="s">
        <v>360</v>
      </c>
      <c r="B1136" s="453" t="s">
        <v>351</v>
      </c>
      <c r="C1136" s="423"/>
      <c r="D1136" s="423"/>
      <c r="E1136" s="425"/>
      <c r="F1136" s="94"/>
      <c r="G1136" s="113"/>
      <c r="H1136" s="59"/>
      <c r="I1136" s="114"/>
      <c r="J1136" s="59"/>
      <c r="K1136" s="60"/>
      <c r="L1136" s="92"/>
      <c r="M1136" s="87"/>
      <c r="N1136" s="87"/>
      <c r="O1136" s="87"/>
      <c r="P1136" s="87"/>
      <c r="Q1136" s="87"/>
      <c r="R1136" s="87"/>
      <c r="S1136" s="87"/>
      <c r="T1136" s="87"/>
      <c r="U1136" s="87"/>
    </row>
    <row r="1137" spans="1:21" s="62" customFormat="1" ht="24" customHeight="1">
      <c r="A1137" s="67"/>
      <c r="B1137" s="423" t="s">
        <v>150</v>
      </c>
      <c r="C1137" s="424"/>
      <c r="D1137" s="424"/>
      <c r="E1137" s="425">
        <v>13.8</v>
      </c>
      <c r="F1137" s="94" t="s">
        <v>151</v>
      </c>
      <c r="G1137" s="113">
        <v>2516</v>
      </c>
      <c r="H1137" s="59">
        <f t="shared" ref="H1137:H1151" si="238">ROUND(E1137*G1137,2)</f>
        <v>34720.800000000003</v>
      </c>
      <c r="I1137" s="114">
        <v>485</v>
      </c>
      <c r="J1137" s="59">
        <f t="shared" ref="J1137:J1151" si="239">ROUND(E1137*I1137,2)</f>
        <v>6693</v>
      </c>
      <c r="K1137" s="60">
        <f t="shared" ref="K1137:K1151" si="240">H1137+J1137</f>
        <v>41413.800000000003</v>
      </c>
      <c r="L1137" s="92"/>
      <c r="M1137" s="87"/>
      <c r="N1137" s="87"/>
      <c r="O1137" s="87"/>
      <c r="P1137" s="87"/>
      <c r="Q1137" s="87"/>
      <c r="R1137" s="87"/>
      <c r="S1137" s="87"/>
      <c r="T1137" s="87"/>
      <c r="U1137" s="87"/>
    </row>
    <row r="1138" spans="1:21" s="62" customFormat="1" ht="24" customHeight="1">
      <c r="A1138" s="67"/>
      <c r="B1138" s="426" t="s">
        <v>152</v>
      </c>
      <c r="C1138" s="423"/>
      <c r="D1138" s="423"/>
      <c r="E1138" s="425"/>
      <c r="F1138" s="94"/>
      <c r="G1138" s="113"/>
      <c r="H1138" s="59">
        <f t="shared" si="238"/>
        <v>0</v>
      </c>
      <c r="I1138" s="114"/>
      <c r="J1138" s="59">
        <f t="shared" si="239"/>
        <v>0</v>
      </c>
      <c r="K1138" s="60">
        <f t="shared" si="240"/>
        <v>0</v>
      </c>
      <c r="L1138" s="92"/>
      <c r="M1138" s="87"/>
      <c r="N1138" s="87"/>
      <c r="O1138" s="87"/>
      <c r="P1138" s="87"/>
      <c r="Q1138" s="87"/>
      <c r="R1138" s="87"/>
      <c r="S1138" s="87"/>
      <c r="T1138" s="87"/>
      <c r="U1138" s="87"/>
    </row>
    <row r="1139" spans="1:21" s="62" customFormat="1" ht="24" customHeight="1">
      <c r="A1139" s="67"/>
      <c r="B1139" s="426"/>
      <c r="C1139" s="423" t="s">
        <v>153</v>
      </c>
      <c r="D1139" s="423"/>
      <c r="E1139" s="425">
        <f>E1140/2</f>
        <v>79.924999999999997</v>
      </c>
      <c r="F1139" s="94" t="s">
        <v>37</v>
      </c>
      <c r="G1139" s="113">
        <v>661.62</v>
      </c>
      <c r="H1139" s="59">
        <f t="shared" si="238"/>
        <v>52879.98</v>
      </c>
      <c r="I1139" s="114"/>
      <c r="J1139" s="59">
        <f t="shared" si="239"/>
        <v>0</v>
      </c>
      <c r="K1139" s="60">
        <f t="shared" si="240"/>
        <v>52879.98</v>
      </c>
      <c r="L1139" s="92"/>
      <c r="M1139" s="87"/>
      <c r="N1139" s="87"/>
      <c r="O1139" s="87"/>
      <c r="P1139" s="87"/>
      <c r="Q1139" s="87"/>
      <c r="R1139" s="87"/>
      <c r="S1139" s="87"/>
      <c r="T1139" s="87"/>
      <c r="U1139" s="87"/>
    </row>
    <row r="1140" spans="1:21" s="62" customFormat="1" ht="24" customHeight="1">
      <c r="A1140" s="67"/>
      <c r="B1140" s="426"/>
      <c r="C1140" s="423" t="s">
        <v>154</v>
      </c>
      <c r="D1140" s="423"/>
      <c r="E1140" s="425">
        <v>159.85</v>
      </c>
      <c r="F1140" s="94" t="s">
        <v>37</v>
      </c>
      <c r="G1140" s="113"/>
      <c r="H1140" s="59">
        <f t="shared" si="238"/>
        <v>0</v>
      </c>
      <c r="I1140" s="114">
        <v>154</v>
      </c>
      <c r="J1140" s="59">
        <f t="shared" si="239"/>
        <v>24616.9</v>
      </c>
      <c r="K1140" s="60">
        <f t="shared" si="240"/>
        <v>24616.9</v>
      </c>
      <c r="L1140" s="92"/>
      <c r="M1140" s="87"/>
      <c r="N1140" s="87"/>
      <c r="O1140" s="87"/>
      <c r="P1140" s="87"/>
      <c r="Q1140" s="87"/>
      <c r="R1140" s="87"/>
      <c r="S1140" s="87"/>
      <c r="T1140" s="87"/>
      <c r="U1140" s="87"/>
    </row>
    <row r="1141" spans="1:21" s="62" customFormat="1" ht="24" customHeight="1">
      <c r="A1141" s="67"/>
      <c r="B1141" s="423" t="s">
        <v>155</v>
      </c>
      <c r="C1141" s="423"/>
      <c r="D1141" s="423"/>
      <c r="E1141" s="425">
        <f>(E1140*0.25)</f>
        <v>39.962499999999999</v>
      </c>
      <c r="F1141" s="94" t="s">
        <v>156</v>
      </c>
      <c r="G1141" s="113">
        <f t="shared" ref="G1141" si="241">VLOOKUP(B1141,$N$43:$O$53,2,FALSE)</f>
        <v>29.94</v>
      </c>
      <c r="H1141" s="59">
        <f t="shared" si="238"/>
        <v>1196.48</v>
      </c>
      <c r="I1141" s="114"/>
      <c r="J1141" s="59">
        <f t="shared" si="239"/>
        <v>0</v>
      </c>
      <c r="K1141" s="60">
        <f t="shared" si="240"/>
        <v>1196.48</v>
      </c>
      <c r="L1141" s="92"/>
      <c r="M1141" s="87"/>
      <c r="N1141" s="87"/>
      <c r="O1141" s="87"/>
      <c r="P1141" s="87"/>
      <c r="Q1141" s="87"/>
      <c r="R1141" s="87"/>
      <c r="S1141" s="87"/>
      <c r="T1141" s="87"/>
      <c r="U1141" s="87"/>
    </row>
    <row r="1142" spans="1:21" s="62" customFormat="1" ht="24" customHeight="1">
      <c r="A1142" s="67"/>
      <c r="B1142" s="423" t="s">
        <v>157</v>
      </c>
      <c r="C1142" s="423"/>
      <c r="D1142" s="423"/>
      <c r="E1142" s="425"/>
      <c r="F1142" s="115"/>
      <c r="G1142" s="101"/>
      <c r="H1142" s="59">
        <f t="shared" si="238"/>
        <v>0</v>
      </c>
      <c r="I1142" s="114"/>
      <c r="J1142" s="59">
        <f t="shared" si="239"/>
        <v>0</v>
      </c>
      <c r="K1142" s="60">
        <f t="shared" si="240"/>
        <v>0</v>
      </c>
      <c r="L1142" s="92"/>
      <c r="M1142" s="87"/>
      <c r="N1142" s="87"/>
      <c r="O1142" s="87"/>
      <c r="P1142" s="87"/>
      <c r="Q1142" s="87"/>
      <c r="R1142" s="87"/>
      <c r="S1142" s="87"/>
      <c r="T1142" s="87"/>
      <c r="U1142" s="87"/>
    </row>
    <row r="1143" spans="1:21" s="62" customFormat="1" ht="24" customHeight="1">
      <c r="A1143" s="67"/>
      <c r="B1143" s="423" t="s">
        <v>158</v>
      </c>
      <c r="C1143" s="423"/>
      <c r="D1143" s="423"/>
      <c r="E1143" s="425"/>
      <c r="F1143" s="94" t="s">
        <v>156</v>
      </c>
      <c r="G1143" s="113">
        <f>VLOOKUP(B1143,$N$43:$O$54,2,FALSE)</f>
        <v>25.73</v>
      </c>
      <c r="H1143" s="59">
        <f t="shared" si="238"/>
        <v>0</v>
      </c>
      <c r="I1143" s="103">
        <v>4.0999999999999996</v>
      </c>
      <c r="J1143" s="59">
        <f t="shared" si="239"/>
        <v>0</v>
      </c>
      <c r="K1143" s="60">
        <f t="shared" si="240"/>
        <v>0</v>
      </c>
      <c r="L1143" s="92"/>
      <c r="M1143" s="87"/>
      <c r="N1143" s="87"/>
      <c r="O1143" s="87"/>
      <c r="P1143" s="87"/>
      <c r="Q1143" s="87"/>
      <c r="R1143" s="87"/>
      <c r="S1143" s="87"/>
      <c r="T1143" s="87"/>
      <c r="U1143" s="87"/>
    </row>
    <row r="1144" spans="1:21" s="62" customFormat="1" ht="24" customHeight="1">
      <c r="A1144" s="67"/>
      <c r="B1144" s="423" t="s">
        <v>159</v>
      </c>
      <c r="C1144" s="423"/>
      <c r="D1144" s="423"/>
      <c r="E1144" s="425">
        <v>524.59</v>
      </c>
      <c r="F1144" s="94" t="s">
        <v>156</v>
      </c>
      <c r="G1144" s="113">
        <f t="shared" ref="G1144:G1151" si="242">VLOOKUP(B1144,$N$43:$O$54,2,FALSE)</f>
        <v>24.97</v>
      </c>
      <c r="H1144" s="59">
        <f t="shared" si="238"/>
        <v>13099.01</v>
      </c>
      <c r="I1144" s="114">
        <v>4.0999999999999996</v>
      </c>
      <c r="J1144" s="59">
        <f t="shared" si="239"/>
        <v>2150.8200000000002</v>
      </c>
      <c r="K1144" s="60">
        <f t="shared" si="240"/>
        <v>15249.83</v>
      </c>
      <c r="L1144" s="92"/>
      <c r="M1144" s="87"/>
      <c r="N1144" s="87"/>
      <c r="O1144" s="87"/>
      <c r="P1144" s="87"/>
      <c r="Q1144" s="87"/>
      <c r="R1144" s="87"/>
      <c r="S1144" s="87"/>
      <c r="T1144" s="87"/>
      <c r="U1144" s="87"/>
    </row>
    <row r="1145" spans="1:21" s="62" customFormat="1" ht="24" customHeight="1">
      <c r="A1145" s="67"/>
      <c r="B1145" s="423" t="s">
        <v>160</v>
      </c>
      <c r="C1145" s="423"/>
      <c r="D1145" s="423"/>
      <c r="E1145" s="425">
        <v>142.80000000000001</v>
      </c>
      <c r="F1145" s="94" t="s">
        <v>156</v>
      </c>
      <c r="G1145" s="113">
        <f t="shared" si="242"/>
        <v>24.47</v>
      </c>
      <c r="H1145" s="59">
        <f t="shared" si="238"/>
        <v>3494.32</v>
      </c>
      <c r="I1145" s="114">
        <v>3.3</v>
      </c>
      <c r="J1145" s="59">
        <f t="shared" si="239"/>
        <v>471.24</v>
      </c>
      <c r="K1145" s="60">
        <f t="shared" si="240"/>
        <v>3965.5600000000004</v>
      </c>
      <c r="L1145" s="92"/>
      <c r="M1145" s="87"/>
      <c r="N1145" s="87"/>
      <c r="O1145" s="87"/>
      <c r="P1145" s="87"/>
      <c r="Q1145" s="87"/>
      <c r="R1145" s="87"/>
      <c r="S1145" s="87"/>
      <c r="T1145" s="87"/>
      <c r="U1145" s="87"/>
    </row>
    <row r="1146" spans="1:21" s="62" customFormat="1" ht="24" customHeight="1">
      <c r="A1146" s="67"/>
      <c r="B1146" s="423" t="s">
        <v>161</v>
      </c>
      <c r="C1146" s="423"/>
      <c r="D1146" s="423"/>
      <c r="E1146" s="425">
        <v>95.41</v>
      </c>
      <c r="F1146" s="115" t="s">
        <v>156</v>
      </c>
      <c r="G1146" s="113">
        <f t="shared" si="242"/>
        <v>24.27</v>
      </c>
      <c r="H1146" s="59">
        <f t="shared" si="238"/>
        <v>2315.6</v>
      </c>
      <c r="I1146" s="114">
        <v>3.3</v>
      </c>
      <c r="J1146" s="59">
        <f t="shared" si="239"/>
        <v>314.85000000000002</v>
      </c>
      <c r="K1146" s="60">
        <f t="shared" si="240"/>
        <v>2630.45</v>
      </c>
      <c r="L1146" s="92"/>
      <c r="M1146" s="87"/>
      <c r="N1146" s="87"/>
      <c r="O1146" s="87"/>
      <c r="P1146" s="87"/>
      <c r="Q1146" s="87"/>
      <c r="R1146" s="87"/>
      <c r="S1146" s="87"/>
      <c r="T1146" s="87"/>
      <c r="U1146" s="87"/>
    </row>
    <row r="1147" spans="1:21" s="62" customFormat="1" ht="24" customHeight="1">
      <c r="A1147" s="67"/>
      <c r="B1147" s="423" t="s">
        <v>162</v>
      </c>
      <c r="C1147" s="423"/>
      <c r="D1147" s="423"/>
      <c r="E1147" s="425">
        <v>2944.28</v>
      </c>
      <c r="F1147" s="94" t="s">
        <v>156</v>
      </c>
      <c r="G1147" s="113">
        <f t="shared" si="242"/>
        <v>24.27</v>
      </c>
      <c r="H1147" s="59">
        <f t="shared" si="238"/>
        <v>71457.679999999993</v>
      </c>
      <c r="I1147" s="114">
        <v>2.9</v>
      </c>
      <c r="J1147" s="59">
        <f t="shared" si="239"/>
        <v>8538.41</v>
      </c>
      <c r="K1147" s="60">
        <f t="shared" si="240"/>
        <v>79996.09</v>
      </c>
      <c r="L1147" s="92"/>
      <c r="M1147" s="87"/>
      <c r="N1147" s="87"/>
      <c r="O1147" s="87"/>
      <c r="P1147" s="87"/>
      <c r="Q1147" s="87"/>
      <c r="R1147" s="87"/>
      <c r="S1147" s="87"/>
      <c r="T1147" s="87"/>
      <c r="U1147" s="87"/>
    </row>
    <row r="1148" spans="1:21" s="62" customFormat="1" ht="24" customHeight="1">
      <c r="A1148" s="67"/>
      <c r="B1148" s="423" t="s">
        <v>163</v>
      </c>
      <c r="C1148" s="423"/>
      <c r="D1148" s="423"/>
      <c r="E1148" s="425">
        <v>543.70000000000005</v>
      </c>
      <c r="F1148" s="94" t="s">
        <v>156</v>
      </c>
      <c r="G1148" s="113">
        <f t="shared" si="242"/>
        <v>24.27</v>
      </c>
      <c r="H1148" s="59">
        <f t="shared" si="238"/>
        <v>13195.6</v>
      </c>
      <c r="I1148" s="114">
        <v>2.9</v>
      </c>
      <c r="J1148" s="59">
        <f t="shared" si="239"/>
        <v>1576.73</v>
      </c>
      <c r="K1148" s="60">
        <f t="shared" si="240"/>
        <v>14772.33</v>
      </c>
      <c r="L1148" s="92"/>
      <c r="M1148" s="87"/>
      <c r="N1148" s="87"/>
      <c r="O1148" s="87"/>
      <c r="P1148" s="87"/>
      <c r="Q1148" s="87"/>
      <c r="R1148" s="87"/>
      <c r="S1148" s="87"/>
      <c r="T1148" s="87"/>
      <c r="U1148" s="87"/>
    </row>
    <row r="1149" spans="1:21" s="62" customFormat="1" ht="24" customHeight="1">
      <c r="A1149" s="67"/>
      <c r="B1149" s="423" t="s">
        <v>164</v>
      </c>
      <c r="C1149" s="423"/>
      <c r="D1149" s="423"/>
      <c r="E1149" s="425">
        <v>77.760000000000005</v>
      </c>
      <c r="F1149" s="94" t="s">
        <v>156</v>
      </c>
      <c r="G1149" s="113">
        <f t="shared" si="242"/>
        <v>24.27</v>
      </c>
      <c r="H1149" s="59">
        <f t="shared" si="238"/>
        <v>1887.24</v>
      </c>
      <c r="I1149" s="114">
        <v>2.9</v>
      </c>
      <c r="J1149" s="59">
        <f t="shared" si="239"/>
        <v>225.5</v>
      </c>
      <c r="K1149" s="60">
        <f t="shared" si="240"/>
        <v>2112.7399999999998</v>
      </c>
      <c r="L1149" s="92"/>
      <c r="M1149" s="87"/>
      <c r="N1149" s="87"/>
      <c r="O1149" s="87"/>
      <c r="P1149" s="87"/>
      <c r="Q1149" s="87"/>
      <c r="R1149" s="87"/>
      <c r="S1149" s="87"/>
      <c r="T1149" s="87"/>
      <c r="U1149" s="87"/>
    </row>
    <row r="1150" spans="1:21" s="62" customFormat="1" ht="24" customHeight="1">
      <c r="A1150" s="67"/>
      <c r="B1150" s="423" t="s">
        <v>165</v>
      </c>
      <c r="C1150" s="423"/>
      <c r="D1150" s="423"/>
      <c r="E1150" s="425">
        <v>0</v>
      </c>
      <c r="F1150" s="94" t="s">
        <v>156</v>
      </c>
      <c r="G1150" s="113">
        <f t="shared" si="242"/>
        <v>23.8</v>
      </c>
      <c r="H1150" s="59">
        <f t="shared" si="238"/>
        <v>0</v>
      </c>
      <c r="I1150" s="114">
        <v>2.9</v>
      </c>
      <c r="J1150" s="59">
        <f t="shared" si="239"/>
        <v>0</v>
      </c>
      <c r="K1150" s="60">
        <f t="shared" si="240"/>
        <v>0</v>
      </c>
      <c r="L1150" s="92"/>
      <c r="M1150" s="87"/>
      <c r="N1150" s="87"/>
      <c r="O1150" s="87"/>
      <c r="P1150" s="87"/>
      <c r="Q1150" s="87"/>
      <c r="R1150" s="87"/>
      <c r="S1150" s="87"/>
      <c r="T1150" s="87"/>
      <c r="U1150" s="87"/>
    </row>
    <row r="1151" spans="1:21" s="62" customFormat="1" ht="24" customHeight="1">
      <c r="A1151" s="67"/>
      <c r="B1151" s="423" t="s">
        <v>166</v>
      </c>
      <c r="C1151" s="423"/>
      <c r="D1151" s="423"/>
      <c r="E1151" s="425">
        <f>(SUM(E1143:E1150)/1000)*30</f>
        <v>129.85620000000003</v>
      </c>
      <c r="F1151" s="94" t="s">
        <v>156</v>
      </c>
      <c r="G1151" s="113">
        <f t="shared" si="242"/>
        <v>29.92</v>
      </c>
      <c r="H1151" s="59">
        <f t="shared" si="238"/>
        <v>3885.3</v>
      </c>
      <c r="I1151" s="114"/>
      <c r="J1151" s="59">
        <f t="shared" si="239"/>
        <v>0</v>
      </c>
      <c r="K1151" s="60">
        <f t="shared" si="240"/>
        <v>3885.3</v>
      </c>
      <c r="L1151" s="92"/>
      <c r="M1151" s="87"/>
      <c r="N1151" s="87"/>
      <c r="O1151" s="87"/>
      <c r="P1151" s="87"/>
      <c r="Q1151" s="87"/>
      <c r="R1151" s="87"/>
      <c r="S1151" s="87"/>
      <c r="T1151" s="87"/>
      <c r="U1151" s="87"/>
    </row>
    <row r="1152" spans="1:21" s="62" customFormat="1" ht="24" customHeight="1">
      <c r="A1152" s="67"/>
      <c r="B1152" s="423" t="s">
        <v>167</v>
      </c>
      <c r="C1152" s="423"/>
      <c r="D1152" s="423"/>
      <c r="E1152" s="425"/>
      <c r="F1152" s="94"/>
      <c r="G1152" s="113"/>
      <c r="H1152" s="59"/>
      <c r="I1152" s="114"/>
      <c r="J1152" s="59"/>
      <c r="K1152" s="60"/>
      <c r="L1152" s="92"/>
      <c r="M1152" s="87"/>
      <c r="N1152" s="87"/>
      <c r="O1152" s="87"/>
      <c r="P1152" s="87"/>
      <c r="Q1152" s="87"/>
      <c r="R1152" s="87"/>
      <c r="S1152" s="87"/>
      <c r="T1152" s="87"/>
      <c r="U1152" s="87"/>
    </row>
    <row r="1153" spans="1:21" s="62" customFormat="1" ht="24" customHeight="1">
      <c r="A1153" s="67"/>
      <c r="B1153" s="95"/>
      <c r="C1153" s="423"/>
      <c r="D1153" s="423"/>
      <c r="E1153" s="425"/>
      <c r="F1153" s="94"/>
      <c r="G1153" s="113"/>
      <c r="H1153" s="59"/>
      <c r="I1153" s="114"/>
      <c r="J1153" s="59"/>
      <c r="K1153" s="60"/>
      <c r="L1153" s="92"/>
      <c r="M1153" s="87"/>
      <c r="N1153" s="87"/>
      <c r="O1153" s="87"/>
      <c r="P1153" s="87"/>
      <c r="Q1153" s="87"/>
      <c r="R1153" s="87"/>
      <c r="S1153" s="87"/>
      <c r="T1153" s="87"/>
      <c r="U1153" s="87"/>
    </row>
    <row r="1154" spans="1:21" s="62" customFormat="1" ht="24" customHeight="1">
      <c r="A1154" s="67"/>
      <c r="B1154" s="95"/>
      <c r="C1154" s="423"/>
      <c r="D1154" s="423"/>
      <c r="E1154" s="425"/>
      <c r="F1154" s="94"/>
      <c r="G1154" s="113"/>
      <c r="H1154" s="59"/>
      <c r="I1154" s="114"/>
      <c r="J1154" s="59"/>
      <c r="K1154" s="60"/>
      <c r="L1154" s="92"/>
      <c r="M1154" s="87"/>
      <c r="N1154" s="87"/>
      <c r="O1154" s="87"/>
      <c r="P1154" s="87"/>
      <c r="Q1154" s="87"/>
      <c r="R1154" s="87"/>
      <c r="S1154" s="87"/>
      <c r="T1154" s="87"/>
      <c r="U1154" s="87"/>
    </row>
    <row r="1155" spans="1:21" s="62" customFormat="1" ht="24" customHeight="1">
      <c r="A1155" s="67"/>
      <c r="B1155" s="95"/>
      <c r="C1155" s="423"/>
      <c r="D1155" s="423"/>
      <c r="E1155" s="425"/>
      <c r="F1155" s="94"/>
      <c r="G1155" s="113"/>
      <c r="H1155" s="59"/>
      <c r="I1155" s="114"/>
      <c r="J1155" s="59"/>
      <c r="K1155" s="60"/>
      <c r="L1155" s="92"/>
      <c r="M1155" s="87"/>
      <c r="N1155" s="87"/>
      <c r="O1155" s="87"/>
      <c r="P1155" s="87"/>
      <c r="Q1155" s="87"/>
      <c r="R1155" s="87"/>
      <c r="S1155" s="87"/>
      <c r="T1155" s="87"/>
      <c r="U1155" s="87"/>
    </row>
    <row r="1156" spans="1:21" s="62" customFormat="1" ht="24" customHeight="1">
      <c r="A1156" s="67"/>
      <c r="B1156" s="95"/>
      <c r="C1156" s="423"/>
      <c r="D1156" s="423"/>
      <c r="E1156" s="425"/>
      <c r="F1156" s="94"/>
      <c r="G1156" s="113"/>
      <c r="H1156" s="59"/>
      <c r="I1156" s="114"/>
      <c r="J1156" s="59"/>
      <c r="K1156" s="60"/>
      <c r="L1156" s="92"/>
      <c r="M1156" s="87"/>
      <c r="N1156" s="87"/>
      <c r="O1156" s="87"/>
      <c r="P1156" s="87"/>
      <c r="Q1156" s="87"/>
      <c r="R1156" s="87"/>
      <c r="S1156" s="87"/>
      <c r="T1156" s="87"/>
      <c r="U1156" s="87"/>
    </row>
    <row r="1157" spans="1:21" s="62" customFormat="1" ht="24" customHeight="1">
      <c r="A1157" s="67"/>
      <c r="B1157" s="95"/>
      <c r="C1157" s="423"/>
      <c r="D1157" s="423"/>
      <c r="E1157" s="425"/>
      <c r="F1157" s="94"/>
      <c r="G1157" s="113"/>
      <c r="H1157" s="59"/>
      <c r="I1157" s="114"/>
      <c r="J1157" s="59"/>
      <c r="K1157" s="60"/>
      <c r="L1157" s="92"/>
      <c r="M1157" s="87"/>
      <c r="N1157" s="87"/>
      <c r="O1157" s="87"/>
      <c r="P1157" s="87"/>
      <c r="Q1157" s="87"/>
      <c r="R1157" s="87"/>
      <c r="S1157" s="87"/>
      <c r="T1157" s="87"/>
      <c r="U1157" s="87"/>
    </row>
    <row r="1158" spans="1:21" s="62" customFormat="1" ht="24" customHeight="1">
      <c r="A1158" s="67"/>
      <c r="B1158" s="95"/>
      <c r="C1158" s="423"/>
      <c r="D1158" s="423"/>
      <c r="E1158" s="425"/>
      <c r="F1158" s="94"/>
      <c r="G1158" s="113"/>
      <c r="H1158" s="59"/>
      <c r="I1158" s="114"/>
      <c r="J1158" s="59"/>
      <c r="K1158" s="60"/>
      <c r="L1158" s="92"/>
      <c r="M1158" s="87"/>
      <c r="N1158" s="87"/>
      <c r="O1158" s="87"/>
      <c r="P1158" s="87"/>
      <c r="Q1158" s="87"/>
      <c r="R1158" s="87"/>
      <c r="S1158" s="87"/>
      <c r="T1158" s="87"/>
      <c r="U1158" s="87"/>
    </row>
    <row r="1159" spans="1:21" s="62" customFormat="1" ht="24" customHeight="1">
      <c r="A1159" s="670"/>
      <c r="B1159" s="454"/>
      <c r="C1159" s="430"/>
      <c r="D1159" s="430"/>
      <c r="E1159" s="671"/>
      <c r="F1159" s="432"/>
      <c r="G1159" s="101"/>
      <c r="H1159" s="102"/>
      <c r="I1159" s="103"/>
      <c r="J1159" s="102"/>
      <c r="K1159" s="104"/>
      <c r="L1159" s="433"/>
      <c r="M1159" s="87"/>
      <c r="N1159" s="87"/>
      <c r="O1159" s="87"/>
      <c r="P1159" s="87"/>
      <c r="Q1159" s="87"/>
      <c r="R1159" s="87"/>
      <c r="S1159" s="87"/>
      <c r="T1159" s="87"/>
      <c r="U1159" s="87"/>
    </row>
    <row r="1160" spans="1:21" s="62" customFormat="1" ht="24" customHeight="1">
      <c r="A1160" s="109"/>
      <c r="B1160" s="2444" t="str">
        <f>"รวมราคารายการที่ "&amp;A1111</f>
        <v>รวมราคารายการที่ 1.10</v>
      </c>
      <c r="C1160" s="2444"/>
      <c r="D1160" s="2444"/>
      <c r="E1160" s="110"/>
      <c r="F1160" s="111"/>
      <c r="G1160" s="112"/>
      <c r="H1160" s="106">
        <f>ROUND(SUBTOTAL(9,H1113:H1159),2)</f>
        <v>570731.01</v>
      </c>
      <c r="I1160" s="2206"/>
      <c r="J1160" s="106">
        <f>ROUND(SUBTOTAL(9,J1113:J1159),2)</f>
        <v>125362.98</v>
      </c>
      <c r="K1160" s="106">
        <f>ROUND(SUBTOTAL(9,K1113:K1159),2)</f>
        <v>696093.99</v>
      </c>
      <c r="L1160" s="106"/>
      <c r="M1160" s="87"/>
      <c r="N1160" s="87"/>
      <c r="O1160" s="87"/>
      <c r="P1160" s="87"/>
      <c r="Q1160" s="87"/>
      <c r="R1160" s="87"/>
      <c r="S1160" s="87"/>
      <c r="T1160" s="87"/>
      <c r="U1160" s="87"/>
    </row>
    <row r="1161" spans="1:21" s="62" customFormat="1" ht="24" customHeight="1">
      <c r="A1161" s="456" t="s">
        <v>338</v>
      </c>
      <c r="B1161" s="457" t="s">
        <v>224</v>
      </c>
      <c r="C1161" s="458"/>
      <c r="D1161" s="458"/>
      <c r="E1161" s="459"/>
      <c r="F1161" s="115"/>
      <c r="G1161" s="415"/>
      <c r="H1161" s="416"/>
      <c r="I1161" s="416"/>
      <c r="J1161" s="416"/>
      <c r="K1161" s="418"/>
      <c r="L1161" s="89"/>
      <c r="M1161" s="87"/>
      <c r="N1161" s="87"/>
      <c r="O1161" s="87"/>
      <c r="P1161" s="87"/>
      <c r="Q1161" s="87"/>
      <c r="R1161" s="87"/>
      <c r="S1161" s="87"/>
      <c r="T1161" s="87"/>
      <c r="U1161" s="87"/>
    </row>
    <row r="1162" spans="1:21" s="62" customFormat="1" ht="24" customHeight="1">
      <c r="A1162" s="460"/>
      <c r="B1162" s="423" t="s">
        <v>233</v>
      </c>
      <c r="C1162" s="461"/>
      <c r="D1162" s="461"/>
      <c r="E1162" s="462"/>
      <c r="F1162" s="463"/>
      <c r="G1162" s="113"/>
      <c r="H1162" s="59"/>
      <c r="I1162" s="59"/>
      <c r="J1162" s="59"/>
      <c r="K1162" s="60"/>
      <c r="L1162" s="92"/>
      <c r="M1162" s="87"/>
      <c r="N1162" s="87"/>
      <c r="O1162" s="87"/>
      <c r="P1162" s="87"/>
      <c r="Q1162" s="87"/>
      <c r="R1162" s="87"/>
      <c r="S1162" s="87"/>
      <c r="T1162" s="87"/>
      <c r="U1162" s="87"/>
    </row>
    <row r="1163" spans="1:21" s="466" customFormat="1" ht="24" customHeight="1">
      <c r="A1163" s="460"/>
      <c r="B1163" s="423"/>
      <c r="C1163" s="461"/>
      <c r="D1163" s="461"/>
      <c r="E1163" s="462"/>
      <c r="F1163" s="463"/>
      <c r="G1163" s="113"/>
      <c r="H1163" s="59"/>
      <c r="I1163" s="59"/>
      <c r="J1163" s="59"/>
      <c r="K1163" s="60"/>
      <c r="L1163" s="427"/>
      <c r="M1163" s="465"/>
      <c r="N1163" s="465"/>
      <c r="O1163" s="465"/>
      <c r="P1163" s="465"/>
      <c r="Q1163" s="465"/>
      <c r="R1163" s="465"/>
      <c r="S1163" s="465"/>
      <c r="T1163" s="465"/>
      <c r="U1163" s="465"/>
    </row>
    <row r="1164" spans="1:21" s="466" customFormat="1" ht="24" customHeight="1">
      <c r="A1164" s="460"/>
      <c r="B1164" s="467" t="s">
        <v>234</v>
      </c>
      <c r="C1164" s="461"/>
      <c r="D1164" s="461"/>
      <c r="E1164" s="462"/>
      <c r="F1164" s="463"/>
      <c r="G1164" s="113"/>
      <c r="H1164" s="59"/>
      <c r="I1164" s="59"/>
      <c r="J1164" s="59"/>
      <c r="K1164" s="60"/>
      <c r="L1164" s="427"/>
      <c r="M1164" s="465"/>
      <c r="N1164" s="465"/>
      <c r="O1164" s="465"/>
      <c r="P1164" s="465"/>
      <c r="Q1164" s="465"/>
      <c r="R1164" s="465"/>
      <c r="S1164" s="465"/>
      <c r="T1164" s="465"/>
      <c r="U1164" s="465"/>
    </row>
    <row r="1165" spans="1:21" s="466" customFormat="1" ht="24" customHeight="1">
      <c r="A1165" s="460"/>
      <c r="B1165" s="423" t="s">
        <v>235</v>
      </c>
      <c r="C1165" s="423"/>
      <c r="D1165" s="468"/>
      <c r="E1165" s="425">
        <v>7120.8</v>
      </c>
      <c r="F1165" s="94" t="s">
        <v>156</v>
      </c>
      <c r="G1165" s="113">
        <v>33</v>
      </c>
      <c r="H1165" s="59">
        <f t="shared" ref="H1165:H1178" si="243">ROUND(E1165*G1165,2)</f>
        <v>234986.4</v>
      </c>
      <c r="I1165" s="59">
        <v>14</v>
      </c>
      <c r="J1165" s="59">
        <f t="shared" ref="J1165:J1178" si="244">ROUND(E1165*I1165,2)</f>
        <v>99691.199999999997</v>
      </c>
      <c r="K1165" s="59">
        <f t="shared" ref="K1165:K1178" si="245">H1165+J1165</f>
        <v>334677.59999999998</v>
      </c>
      <c r="L1165" s="427"/>
      <c r="M1165" s="465"/>
      <c r="N1165" s="465"/>
      <c r="O1165" s="465"/>
      <c r="P1165" s="465"/>
      <c r="Q1165" s="465"/>
      <c r="R1165" s="465"/>
      <c r="S1165" s="465"/>
      <c r="T1165" s="465"/>
      <c r="U1165" s="465"/>
    </row>
    <row r="1166" spans="1:21" s="466" customFormat="1" ht="24" customHeight="1">
      <c r="A1166" s="460"/>
      <c r="B1166" s="423" t="s">
        <v>330</v>
      </c>
      <c r="C1166" s="423"/>
      <c r="D1166" s="469"/>
      <c r="E1166" s="425">
        <v>40399.199999999997</v>
      </c>
      <c r="F1166" s="94" t="s">
        <v>156</v>
      </c>
      <c r="G1166" s="113">
        <v>33.1</v>
      </c>
      <c r="H1166" s="59">
        <f t="shared" si="243"/>
        <v>1337213.52</v>
      </c>
      <c r="I1166" s="59">
        <v>14</v>
      </c>
      <c r="J1166" s="59">
        <f t="shared" si="244"/>
        <v>565588.80000000005</v>
      </c>
      <c r="K1166" s="59">
        <f t="shared" si="245"/>
        <v>1902802.32</v>
      </c>
      <c r="L1166" s="427"/>
      <c r="M1166" s="465"/>
      <c r="N1166" s="465"/>
      <c r="O1166" s="465"/>
      <c r="P1166" s="465"/>
      <c r="Q1166" s="465"/>
      <c r="R1166" s="465"/>
      <c r="S1166" s="465"/>
      <c r="T1166" s="465"/>
      <c r="U1166" s="465"/>
    </row>
    <row r="1167" spans="1:21" s="466" customFormat="1" ht="24" customHeight="1">
      <c r="A1167" s="460"/>
      <c r="B1167" s="423" t="s">
        <v>239</v>
      </c>
      <c r="C1167" s="423"/>
      <c r="D1167" s="469"/>
      <c r="E1167" s="425">
        <v>145512</v>
      </c>
      <c r="F1167" s="94" t="s">
        <v>156</v>
      </c>
      <c r="G1167" s="113">
        <v>34.799999999999997</v>
      </c>
      <c r="H1167" s="59">
        <f t="shared" si="243"/>
        <v>5063817.5999999996</v>
      </c>
      <c r="I1167" s="59">
        <v>14</v>
      </c>
      <c r="J1167" s="59">
        <f t="shared" si="244"/>
        <v>2037168</v>
      </c>
      <c r="K1167" s="59">
        <f t="shared" si="245"/>
        <v>7100985.5999999996</v>
      </c>
      <c r="L1167" s="427"/>
      <c r="M1167" s="465"/>
      <c r="N1167" s="465"/>
      <c r="O1167" s="465"/>
      <c r="P1167" s="465"/>
      <c r="Q1167" s="465"/>
      <c r="R1167" s="465"/>
      <c r="S1167" s="465"/>
      <c r="T1167" s="465"/>
      <c r="U1167" s="465"/>
    </row>
    <row r="1168" spans="1:21" s="466" customFormat="1" ht="24" customHeight="1">
      <c r="A1168" s="460"/>
      <c r="B1168" s="423" t="s">
        <v>236</v>
      </c>
      <c r="C1168" s="423"/>
      <c r="D1168" s="423"/>
      <c r="E1168" s="425">
        <v>910</v>
      </c>
      <c r="F1168" s="94" t="s">
        <v>37</v>
      </c>
      <c r="G1168" s="113">
        <v>717</v>
      </c>
      <c r="H1168" s="59">
        <f t="shared" si="243"/>
        <v>652470</v>
      </c>
      <c r="I1168" s="59">
        <v>215.1</v>
      </c>
      <c r="J1168" s="59">
        <f t="shared" si="244"/>
        <v>195741</v>
      </c>
      <c r="K1168" s="59">
        <f t="shared" si="245"/>
        <v>848211</v>
      </c>
      <c r="L1168" s="427"/>
      <c r="M1168" s="465"/>
      <c r="N1168" s="465"/>
      <c r="O1168" s="465"/>
      <c r="P1168" s="465"/>
      <c r="Q1168" s="465"/>
      <c r="R1168" s="465"/>
      <c r="S1168" s="465"/>
      <c r="T1168" s="465"/>
      <c r="U1168" s="465"/>
    </row>
    <row r="1169" spans="1:21" s="466" customFormat="1" ht="24" customHeight="1">
      <c r="A1169" s="460"/>
      <c r="B1169" s="423" t="s">
        <v>237</v>
      </c>
      <c r="C1169" s="423"/>
      <c r="D1169" s="423"/>
      <c r="E1169" s="425"/>
      <c r="F1169" s="94"/>
      <c r="G1169" s="113"/>
      <c r="H1169" s="59">
        <f t="shared" si="243"/>
        <v>0</v>
      </c>
      <c r="I1169" s="59"/>
      <c r="J1169" s="59">
        <f t="shared" si="244"/>
        <v>0</v>
      </c>
      <c r="K1169" s="59"/>
      <c r="L1169" s="427"/>
      <c r="M1169" s="465"/>
      <c r="N1169" s="465"/>
      <c r="O1169" s="465"/>
      <c r="P1169" s="465"/>
      <c r="Q1169" s="465"/>
      <c r="R1169" s="465"/>
      <c r="S1169" s="465"/>
      <c r="T1169" s="465"/>
      <c r="U1169" s="465"/>
    </row>
    <row r="1170" spans="1:21" s="466" customFormat="1" ht="24" customHeight="1">
      <c r="A1170" s="460"/>
      <c r="B1170" s="423"/>
      <c r="C1170" s="423"/>
      <c r="D1170" s="430"/>
      <c r="E1170" s="425"/>
      <c r="F1170" s="94"/>
      <c r="G1170" s="113"/>
      <c r="H1170" s="59">
        <f t="shared" si="243"/>
        <v>0</v>
      </c>
      <c r="I1170" s="59"/>
      <c r="J1170" s="59">
        <f t="shared" si="244"/>
        <v>0</v>
      </c>
      <c r="K1170" s="59"/>
      <c r="L1170" s="427"/>
      <c r="M1170" s="465"/>
      <c r="N1170" s="465"/>
      <c r="O1170" s="465"/>
      <c r="P1170" s="465"/>
      <c r="Q1170" s="465"/>
      <c r="R1170" s="465"/>
      <c r="S1170" s="465"/>
      <c r="T1170" s="465"/>
      <c r="U1170" s="465"/>
    </row>
    <row r="1171" spans="1:21" s="466" customFormat="1" ht="24" customHeight="1">
      <c r="A1171" s="460"/>
      <c r="B1171" s="423" t="s">
        <v>322</v>
      </c>
      <c r="C1171" s="423"/>
      <c r="D1171" s="430"/>
      <c r="E1171" s="425">
        <v>434.19</v>
      </c>
      <c r="F1171" s="94" t="s">
        <v>156</v>
      </c>
      <c r="G1171" s="113">
        <v>32.630565068493155</v>
      </c>
      <c r="H1171" s="59">
        <f t="shared" si="243"/>
        <v>14167.87</v>
      </c>
      <c r="I1171" s="59">
        <v>14</v>
      </c>
      <c r="J1171" s="59">
        <f t="shared" si="244"/>
        <v>6078.66</v>
      </c>
      <c r="K1171" s="59">
        <f t="shared" si="245"/>
        <v>20246.53</v>
      </c>
      <c r="L1171" s="427"/>
      <c r="M1171" s="465"/>
      <c r="N1171" s="465"/>
      <c r="O1171" s="465"/>
      <c r="P1171" s="465"/>
      <c r="Q1171" s="465"/>
      <c r="R1171" s="465"/>
      <c r="S1171" s="465"/>
      <c r="T1171" s="465"/>
      <c r="U1171" s="465"/>
    </row>
    <row r="1172" spans="1:21" s="466" customFormat="1" ht="24" customHeight="1">
      <c r="A1172" s="460"/>
      <c r="B1172" s="423" t="s">
        <v>326</v>
      </c>
      <c r="C1172" s="423"/>
      <c r="D1172" s="430"/>
      <c r="E1172" s="425">
        <v>14451.14</v>
      </c>
      <c r="F1172" s="94" t="s">
        <v>156</v>
      </c>
      <c r="G1172" s="113">
        <v>33.621575342465754</v>
      </c>
      <c r="H1172" s="59">
        <f t="shared" si="243"/>
        <v>485870.09</v>
      </c>
      <c r="I1172" s="59">
        <v>14</v>
      </c>
      <c r="J1172" s="59">
        <f t="shared" si="244"/>
        <v>202315.96</v>
      </c>
      <c r="K1172" s="59">
        <f t="shared" si="245"/>
        <v>688186.05</v>
      </c>
      <c r="L1172" s="427"/>
      <c r="M1172" s="465"/>
      <c r="N1172" s="465"/>
      <c r="O1172" s="465"/>
      <c r="P1172" s="465"/>
      <c r="Q1172" s="465"/>
      <c r="R1172" s="465"/>
      <c r="S1172" s="465"/>
      <c r="T1172" s="465"/>
      <c r="U1172" s="465"/>
    </row>
    <row r="1173" spans="1:21" s="466" customFormat="1" ht="24" customHeight="1">
      <c r="A1173" s="460"/>
      <c r="B1173" s="423" t="s">
        <v>323</v>
      </c>
      <c r="C1173" s="423"/>
      <c r="D1173" s="430"/>
      <c r="E1173" s="425">
        <v>1628.42</v>
      </c>
      <c r="F1173" s="94" t="s">
        <v>156</v>
      </c>
      <c r="G1173" s="113">
        <v>33.608343711083442</v>
      </c>
      <c r="H1173" s="59">
        <f t="shared" si="243"/>
        <v>54728.5</v>
      </c>
      <c r="I1173" s="59">
        <v>14</v>
      </c>
      <c r="J1173" s="59">
        <f t="shared" si="244"/>
        <v>22797.88</v>
      </c>
      <c r="K1173" s="59">
        <f t="shared" si="245"/>
        <v>77526.38</v>
      </c>
      <c r="L1173" s="427"/>
      <c r="M1173" s="465"/>
      <c r="N1173" s="465"/>
      <c r="O1173" s="465"/>
      <c r="P1173" s="465"/>
      <c r="Q1173" s="465"/>
      <c r="R1173" s="465"/>
      <c r="S1173" s="465"/>
      <c r="T1173" s="465"/>
      <c r="U1173" s="465"/>
    </row>
    <row r="1174" spans="1:21" s="466" customFormat="1" ht="24" customHeight="1">
      <c r="A1174" s="460"/>
      <c r="B1174" s="423" t="s">
        <v>327</v>
      </c>
      <c r="C1174" s="423"/>
      <c r="D1174" s="430"/>
      <c r="E1174" s="425">
        <v>936</v>
      </c>
      <c r="F1174" s="94" t="s">
        <v>156</v>
      </c>
      <c r="G1174" s="113">
        <v>33.614726027397261</v>
      </c>
      <c r="H1174" s="59">
        <f t="shared" si="243"/>
        <v>31463.38</v>
      </c>
      <c r="I1174" s="59">
        <v>14</v>
      </c>
      <c r="J1174" s="59">
        <f t="shared" si="244"/>
        <v>13104</v>
      </c>
      <c r="K1174" s="59">
        <f t="shared" si="245"/>
        <v>44567.380000000005</v>
      </c>
      <c r="L1174" s="427"/>
      <c r="M1174" s="465"/>
      <c r="N1174" s="465"/>
      <c r="O1174" s="465"/>
      <c r="P1174" s="465"/>
      <c r="Q1174" s="465"/>
      <c r="R1174" s="465"/>
      <c r="S1174" s="465"/>
      <c r="T1174" s="465"/>
      <c r="U1174" s="465"/>
    </row>
    <row r="1175" spans="1:21" s="466" customFormat="1" ht="24" customHeight="1">
      <c r="A1175" s="460"/>
      <c r="B1175" s="423" t="s">
        <v>324</v>
      </c>
      <c r="C1175" s="423"/>
      <c r="D1175" s="430"/>
      <c r="E1175" s="425">
        <v>182</v>
      </c>
      <c r="F1175" s="94" t="s">
        <v>240</v>
      </c>
      <c r="G1175" s="113">
        <v>120</v>
      </c>
      <c r="H1175" s="59">
        <f t="shared" si="243"/>
        <v>21840</v>
      </c>
      <c r="I1175" s="59"/>
      <c r="J1175" s="59">
        <f t="shared" si="244"/>
        <v>0</v>
      </c>
      <c r="K1175" s="59">
        <f t="shared" ref="K1175:K1176" si="246">H1175+J1175</f>
        <v>21840</v>
      </c>
      <c r="L1175" s="427"/>
      <c r="M1175" s="465"/>
      <c r="N1175" s="465"/>
      <c r="O1175" s="465"/>
      <c r="P1175" s="465"/>
      <c r="Q1175" s="465"/>
      <c r="R1175" s="465"/>
      <c r="S1175" s="465"/>
      <c r="T1175" s="465"/>
      <c r="U1175" s="465"/>
    </row>
    <row r="1176" spans="1:21" s="466" customFormat="1" ht="24" customHeight="1">
      <c r="A1176" s="460"/>
      <c r="B1176" s="423" t="s">
        <v>374</v>
      </c>
      <c r="C1176" s="423"/>
      <c r="D1176" s="430"/>
      <c r="E1176" s="425">
        <v>384</v>
      </c>
      <c r="F1176" s="94" t="s">
        <v>240</v>
      </c>
      <c r="G1176" s="113">
        <v>128</v>
      </c>
      <c r="H1176" s="59">
        <f t="shared" si="243"/>
        <v>49152</v>
      </c>
      <c r="I1176" s="59"/>
      <c r="J1176" s="59">
        <f t="shared" si="244"/>
        <v>0</v>
      </c>
      <c r="K1176" s="59">
        <f t="shared" si="246"/>
        <v>49152</v>
      </c>
      <c r="L1176" s="427"/>
      <c r="M1176" s="465"/>
      <c r="N1176" s="465"/>
      <c r="O1176" s="465"/>
      <c r="P1176" s="465"/>
      <c r="Q1176" s="465"/>
      <c r="R1176" s="465"/>
      <c r="S1176" s="465"/>
      <c r="T1176" s="465"/>
      <c r="U1176" s="465"/>
    </row>
    <row r="1177" spans="1:21" s="466" customFormat="1" ht="24" customHeight="1">
      <c r="A1177" s="460"/>
      <c r="B1177" s="423"/>
      <c r="C1177" s="423"/>
      <c r="D1177" s="430"/>
      <c r="E1177" s="425"/>
      <c r="F1177" s="94"/>
      <c r="G1177" s="113"/>
      <c r="H1177" s="59">
        <f t="shared" si="243"/>
        <v>0</v>
      </c>
      <c r="I1177" s="59"/>
      <c r="J1177" s="59">
        <f t="shared" si="244"/>
        <v>0</v>
      </c>
      <c r="K1177" s="59"/>
      <c r="L1177" s="427"/>
      <c r="M1177" s="465"/>
      <c r="N1177" s="465"/>
      <c r="O1177" s="465"/>
      <c r="P1177" s="465"/>
      <c r="Q1177" s="465"/>
      <c r="R1177" s="465"/>
      <c r="S1177" s="465"/>
      <c r="T1177" s="465"/>
      <c r="U1177" s="465"/>
    </row>
    <row r="1178" spans="1:21" s="466" customFormat="1" ht="24" customHeight="1">
      <c r="A1178" s="460"/>
      <c r="B1178" s="423" t="s">
        <v>329</v>
      </c>
      <c r="C1178" s="423"/>
      <c r="D1178" s="430"/>
      <c r="E1178" s="425">
        <v>156</v>
      </c>
      <c r="F1178" s="94" t="s">
        <v>240</v>
      </c>
      <c r="G1178" s="113">
        <v>15</v>
      </c>
      <c r="H1178" s="59">
        <f t="shared" si="243"/>
        <v>2340</v>
      </c>
      <c r="I1178" s="59">
        <v>19</v>
      </c>
      <c r="J1178" s="59">
        <f t="shared" si="244"/>
        <v>2964</v>
      </c>
      <c r="K1178" s="59">
        <f t="shared" si="245"/>
        <v>5304</v>
      </c>
      <c r="L1178" s="427"/>
      <c r="M1178" s="465"/>
      <c r="N1178" s="465"/>
      <c r="O1178" s="465"/>
      <c r="P1178" s="465"/>
      <c r="Q1178" s="465"/>
      <c r="R1178" s="465"/>
      <c r="S1178" s="465"/>
      <c r="T1178" s="465"/>
      <c r="U1178" s="465"/>
    </row>
    <row r="1179" spans="1:21" s="466" customFormat="1" ht="24" customHeight="1">
      <c r="A1179" s="460"/>
      <c r="B1179" s="423"/>
      <c r="C1179" s="423"/>
      <c r="D1179" s="469"/>
      <c r="E1179" s="425"/>
      <c r="F1179" s="94"/>
      <c r="G1179" s="113"/>
      <c r="H1179" s="59"/>
      <c r="I1179" s="59"/>
      <c r="J1179" s="59"/>
      <c r="K1179" s="59"/>
      <c r="L1179" s="427"/>
      <c r="M1179" s="465"/>
      <c r="N1179" s="465"/>
      <c r="O1179" s="465"/>
      <c r="P1179" s="465"/>
      <c r="Q1179" s="465"/>
      <c r="R1179" s="465"/>
      <c r="S1179" s="465"/>
      <c r="T1179" s="465"/>
      <c r="U1179" s="465"/>
    </row>
    <row r="1180" spans="1:21" s="466" customFormat="1" ht="24" customHeight="1">
      <c r="A1180" s="460"/>
      <c r="B1180" s="423"/>
      <c r="C1180" s="423"/>
      <c r="D1180" s="469"/>
      <c r="E1180" s="425"/>
      <c r="F1180" s="94"/>
      <c r="G1180" s="113"/>
      <c r="H1180" s="59"/>
      <c r="I1180" s="59"/>
      <c r="J1180" s="59"/>
      <c r="K1180" s="59"/>
      <c r="L1180" s="427"/>
      <c r="M1180" s="465"/>
      <c r="N1180" s="465"/>
      <c r="O1180" s="465"/>
      <c r="P1180" s="465"/>
      <c r="Q1180" s="465"/>
      <c r="R1180" s="465"/>
      <c r="S1180" s="465"/>
      <c r="T1180" s="465"/>
      <c r="U1180" s="465"/>
    </row>
    <row r="1181" spans="1:21" s="466" customFormat="1" ht="24" customHeight="1">
      <c r="A1181" s="460"/>
      <c r="B1181" s="423"/>
      <c r="C1181" s="423"/>
      <c r="D1181" s="469"/>
      <c r="E1181" s="425"/>
      <c r="F1181" s="94"/>
      <c r="G1181" s="113"/>
      <c r="H1181" s="59"/>
      <c r="I1181" s="59"/>
      <c r="J1181" s="59"/>
      <c r="K1181" s="59"/>
      <c r="L1181" s="427"/>
      <c r="M1181" s="465"/>
      <c r="N1181" s="465"/>
      <c r="O1181" s="465"/>
      <c r="P1181" s="465"/>
      <c r="Q1181" s="465"/>
      <c r="R1181" s="465"/>
      <c r="S1181" s="465"/>
      <c r="T1181" s="465"/>
      <c r="U1181" s="465"/>
    </row>
    <row r="1182" spans="1:21" s="466" customFormat="1" ht="24" customHeight="1">
      <c r="A1182" s="460"/>
      <c r="B1182" s="423"/>
      <c r="C1182" s="423"/>
      <c r="D1182" s="469"/>
      <c r="E1182" s="425"/>
      <c r="F1182" s="94"/>
      <c r="G1182" s="113"/>
      <c r="H1182" s="59"/>
      <c r="I1182" s="59"/>
      <c r="J1182" s="59"/>
      <c r="K1182" s="59"/>
      <c r="L1182" s="427"/>
      <c r="M1182" s="465"/>
      <c r="N1182" s="465"/>
      <c r="O1182" s="465"/>
      <c r="P1182" s="465"/>
      <c r="Q1182" s="465"/>
      <c r="R1182" s="465"/>
      <c r="S1182" s="465"/>
      <c r="T1182" s="465"/>
      <c r="U1182" s="465"/>
    </row>
    <row r="1183" spans="1:21" s="466" customFormat="1" ht="24" customHeight="1">
      <c r="A1183" s="460"/>
      <c r="B1183" s="423"/>
      <c r="C1183" s="423"/>
      <c r="D1183" s="469"/>
      <c r="E1183" s="425"/>
      <c r="F1183" s="94"/>
      <c r="G1183" s="113"/>
      <c r="H1183" s="59"/>
      <c r="I1183" s="59"/>
      <c r="J1183" s="59"/>
      <c r="K1183" s="59"/>
      <c r="L1183" s="427"/>
      <c r="M1183" s="465"/>
      <c r="N1183" s="465"/>
      <c r="O1183" s="465"/>
      <c r="P1183" s="465"/>
      <c r="Q1183" s="465"/>
      <c r="R1183" s="465"/>
      <c r="S1183" s="465"/>
      <c r="T1183" s="465"/>
      <c r="U1183" s="465"/>
    </row>
    <row r="1184" spans="1:21" s="466" customFormat="1" ht="24" customHeight="1">
      <c r="A1184" s="460"/>
      <c r="B1184" s="423"/>
      <c r="C1184" s="423"/>
      <c r="D1184" s="469"/>
      <c r="E1184" s="425"/>
      <c r="F1184" s="94"/>
      <c r="G1184" s="113"/>
      <c r="H1184" s="59"/>
      <c r="I1184" s="59"/>
      <c r="J1184" s="59"/>
      <c r="K1184" s="59"/>
      <c r="L1184" s="427"/>
      <c r="M1184" s="465"/>
      <c r="N1184" s="465"/>
      <c r="O1184" s="465"/>
      <c r="P1184" s="465"/>
      <c r="Q1184" s="465"/>
      <c r="R1184" s="465"/>
      <c r="S1184" s="465"/>
      <c r="T1184" s="465"/>
      <c r="U1184" s="465"/>
    </row>
    <row r="1185" spans="1:21" s="466" customFormat="1" ht="24" customHeight="1">
      <c r="A1185" s="460"/>
      <c r="B1185" s="470"/>
      <c r="C1185" s="423"/>
      <c r="D1185" s="468"/>
      <c r="E1185" s="425"/>
      <c r="F1185" s="94"/>
      <c r="G1185" s="113"/>
      <c r="H1185" s="59"/>
      <c r="I1185" s="59"/>
      <c r="J1185" s="59"/>
      <c r="K1185" s="59"/>
      <c r="L1185" s="427"/>
      <c r="M1185" s="465"/>
      <c r="N1185" s="465"/>
      <c r="O1185" s="465"/>
      <c r="P1185" s="465"/>
      <c r="Q1185" s="465"/>
      <c r="R1185" s="465"/>
      <c r="S1185" s="465"/>
      <c r="T1185" s="465"/>
      <c r="U1185" s="465"/>
    </row>
    <row r="1186" spans="1:21" s="466" customFormat="1" ht="24" customHeight="1">
      <c r="A1186" s="460"/>
      <c r="B1186" s="467" t="s">
        <v>320</v>
      </c>
      <c r="C1186" s="461"/>
      <c r="D1186" s="461"/>
      <c r="E1186" s="425"/>
      <c r="F1186" s="94"/>
      <c r="G1186" s="113"/>
      <c r="H1186" s="59"/>
      <c r="I1186" s="59"/>
      <c r="J1186" s="59"/>
      <c r="K1186" s="59"/>
      <c r="L1186" s="427"/>
      <c r="M1186" s="465"/>
      <c r="N1186" s="465"/>
      <c r="O1186" s="465"/>
      <c r="P1186" s="465"/>
      <c r="Q1186" s="465"/>
      <c r="R1186" s="465"/>
      <c r="S1186" s="465"/>
      <c r="T1186" s="465"/>
      <c r="U1186" s="465"/>
    </row>
    <row r="1187" spans="1:21" s="466" customFormat="1" ht="24" customHeight="1">
      <c r="A1187" s="460"/>
      <c r="B1187" s="423" t="s">
        <v>235</v>
      </c>
      <c r="C1187" s="423"/>
      <c r="D1187" s="468"/>
      <c r="E1187" s="425">
        <v>45924</v>
      </c>
      <c r="F1187" s="94" t="s">
        <v>156</v>
      </c>
      <c r="G1187" s="113">
        <v>33</v>
      </c>
      <c r="H1187" s="59">
        <f t="shared" ref="H1187:H1205" si="247">ROUND(E1187*G1187,2)</f>
        <v>1515492</v>
      </c>
      <c r="I1187" s="59">
        <v>14</v>
      </c>
      <c r="J1187" s="59">
        <f t="shared" ref="J1187:J1205" si="248">ROUND(E1187*I1187,2)</f>
        <v>642936</v>
      </c>
      <c r="K1187" s="59">
        <f>H1187+J1187</f>
        <v>2158428</v>
      </c>
      <c r="L1187" s="427"/>
      <c r="M1187" s="465"/>
      <c r="N1187" s="465"/>
      <c r="O1187" s="465"/>
      <c r="P1187" s="465"/>
      <c r="Q1187" s="465"/>
      <c r="R1187" s="465"/>
      <c r="S1187" s="465"/>
      <c r="T1187" s="465"/>
      <c r="U1187" s="465"/>
    </row>
    <row r="1188" spans="1:21" s="466" customFormat="1" ht="24" customHeight="1">
      <c r="A1188" s="460"/>
      <c r="B1188" s="423" t="s">
        <v>241</v>
      </c>
      <c r="C1188" s="423"/>
      <c r="D1188" s="468"/>
      <c r="E1188" s="425">
        <v>31701.600000000002</v>
      </c>
      <c r="F1188" s="94" t="s">
        <v>156</v>
      </c>
      <c r="G1188" s="113">
        <v>32.999999999999993</v>
      </c>
      <c r="H1188" s="59">
        <f t="shared" si="247"/>
        <v>1046152.8</v>
      </c>
      <c r="I1188" s="59">
        <v>14</v>
      </c>
      <c r="J1188" s="59">
        <f t="shared" si="248"/>
        <v>443822.4</v>
      </c>
      <c r="K1188" s="59">
        <f>H1188+J1188</f>
        <v>1489975.2000000002</v>
      </c>
      <c r="L1188" s="427"/>
      <c r="M1188" s="465"/>
      <c r="N1188" s="465"/>
      <c r="O1188" s="465"/>
      <c r="P1188" s="465"/>
      <c r="Q1188" s="465"/>
      <c r="R1188" s="465"/>
      <c r="S1188" s="465"/>
      <c r="T1188" s="465"/>
      <c r="U1188" s="465"/>
    </row>
    <row r="1189" spans="1:21" s="466" customFormat="1" ht="24" customHeight="1">
      <c r="A1189" s="460"/>
      <c r="B1189" s="423" t="s">
        <v>238</v>
      </c>
      <c r="C1189" s="423"/>
      <c r="D1189" s="468"/>
      <c r="E1189" s="425">
        <v>55089.599999999999</v>
      </c>
      <c r="F1189" s="94" t="s">
        <v>156</v>
      </c>
      <c r="G1189" s="113">
        <v>33.1</v>
      </c>
      <c r="H1189" s="59">
        <f t="shared" si="247"/>
        <v>1823465.76</v>
      </c>
      <c r="I1189" s="59">
        <v>14</v>
      </c>
      <c r="J1189" s="59">
        <f t="shared" si="248"/>
        <v>771254.4</v>
      </c>
      <c r="K1189" s="59">
        <f t="shared" ref="K1189:K1192" si="249">H1189+J1189</f>
        <v>2594720.16</v>
      </c>
      <c r="L1189" s="427"/>
      <c r="M1189" s="465"/>
      <c r="N1189" s="465"/>
      <c r="O1189" s="465"/>
      <c r="P1189" s="465"/>
      <c r="Q1189" s="465"/>
      <c r="R1189" s="465"/>
      <c r="S1189" s="465"/>
      <c r="T1189" s="465"/>
      <c r="U1189" s="465"/>
    </row>
    <row r="1190" spans="1:21" s="466" customFormat="1" ht="24" customHeight="1">
      <c r="A1190" s="460"/>
      <c r="B1190" s="423" t="s">
        <v>343</v>
      </c>
      <c r="C1190" s="423"/>
      <c r="D1190" s="469"/>
      <c r="E1190" s="425">
        <v>152885.88</v>
      </c>
      <c r="F1190" s="94" t="s">
        <v>156</v>
      </c>
      <c r="G1190" s="113">
        <v>33.166263394400275</v>
      </c>
      <c r="H1190" s="59">
        <f t="shared" si="247"/>
        <v>5070653.37</v>
      </c>
      <c r="I1190" s="59">
        <v>14</v>
      </c>
      <c r="J1190" s="59">
        <f t="shared" si="248"/>
        <v>2140402.3199999998</v>
      </c>
      <c r="K1190" s="59">
        <f t="shared" si="249"/>
        <v>7211055.6899999995</v>
      </c>
      <c r="L1190" s="427"/>
      <c r="M1190" s="465"/>
      <c r="N1190" s="465"/>
      <c r="O1190" s="465"/>
      <c r="P1190" s="465"/>
      <c r="Q1190" s="465"/>
      <c r="R1190" s="465"/>
      <c r="S1190" s="465"/>
      <c r="T1190" s="465"/>
      <c r="U1190" s="465"/>
    </row>
    <row r="1191" spans="1:21" s="466" customFormat="1" ht="24" customHeight="1">
      <c r="A1191" s="460"/>
      <c r="B1191" s="423" t="s">
        <v>927</v>
      </c>
      <c r="C1191" s="423"/>
      <c r="D1191" s="469"/>
      <c r="E1191" s="425">
        <v>5407.2</v>
      </c>
      <c r="F1191" s="94" t="s">
        <v>156</v>
      </c>
      <c r="G1191" s="113">
        <v>33.899245450510428</v>
      </c>
      <c r="H1191" s="59">
        <f t="shared" ref="H1191" si="250">ROUND(E1191*G1191,2)</f>
        <v>183300</v>
      </c>
      <c r="I1191" s="59">
        <v>14</v>
      </c>
      <c r="J1191" s="59">
        <f t="shared" ref="J1191" si="251">ROUND(E1191*I1191,2)</f>
        <v>75700.800000000003</v>
      </c>
      <c r="K1191" s="59">
        <f t="shared" ref="K1191" si="252">H1191+J1191</f>
        <v>259000.8</v>
      </c>
      <c r="L1191" s="427"/>
      <c r="M1191" s="465"/>
      <c r="N1191" s="465"/>
      <c r="O1191" s="465"/>
      <c r="P1191" s="465"/>
      <c r="Q1191" s="465"/>
      <c r="R1191" s="465"/>
      <c r="S1191" s="465"/>
      <c r="T1191" s="465"/>
      <c r="U1191" s="465"/>
    </row>
    <row r="1192" spans="1:21" s="466" customFormat="1" ht="24" customHeight="1">
      <c r="A1192" s="460"/>
      <c r="B1192" s="423" t="s">
        <v>363</v>
      </c>
      <c r="C1192" s="423"/>
      <c r="D1192" s="468"/>
      <c r="E1192" s="425">
        <v>37240.800000000003</v>
      </c>
      <c r="F1192" s="94" t="s">
        <v>156</v>
      </c>
      <c r="G1192" s="113">
        <v>34.325620767494357</v>
      </c>
      <c r="H1192" s="59">
        <f t="shared" si="247"/>
        <v>1278313.58</v>
      </c>
      <c r="I1192" s="59">
        <v>14</v>
      </c>
      <c r="J1192" s="59">
        <f t="shared" si="248"/>
        <v>521371.2</v>
      </c>
      <c r="K1192" s="59">
        <f t="shared" si="249"/>
        <v>1799684.78</v>
      </c>
      <c r="L1192" s="427"/>
      <c r="M1192" s="465"/>
      <c r="N1192" s="465"/>
      <c r="O1192" s="465"/>
      <c r="P1192" s="465"/>
      <c r="Q1192" s="465"/>
      <c r="R1192" s="465"/>
      <c r="S1192" s="465"/>
      <c r="T1192" s="465"/>
      <c r="U1192" s="465"/>
    </row>
    <row r="1193" spans="1:21" s="466" customFormat="1" ht="24" customHeight="1">
      <c r="A1193" s="460"/>
      <c r="B1193" s="423" t="s">
        <v>364</v>
      </c>
      <c r="C1193" s="471"/>
      <c r="D1193" s="472"/>
      <c r="E1193" s="425">
        <v>373377.60000000003</v>
      </c>
      <c r="F1193" s="94" t="s">
        <v>156</v>
      </c>
      <c r="G1193" s="113">
        <v>35.736110513405343</v>
      </c>
      <c r="H1193" s="59">
        <f t="shared" si="247"/>
        <v>13343063.18</v>
      </c>
      <c r="I1193" s="59">
        <v>14</v>
      </c>
      <c r="J1193" s="59">
        <f t="shared" si="248"/>
        <v>5227286.4000000004</v>
      </c>
      <c r="K1193" s="59">
        <f t="shared" ref="K1193:K1201" si="253">H1193+J1193</f>
        <v>18570349.579999998</v>
      </c>
      <c r="L1193" s="427"/>
      <c r="M1193" s="465"/>
      <c r="N1193" s="465"/>
      <c r="O1193" s="465"/>
      <c r="P1193" s="465"/>
      <c r="Q1193" s="465"/>
      <c r="R1193" s="465"/>
      <c r="S1193" s="465"/>
      <c r="T1193" s="465"/>
      <c r="U1193" s="465"/>
    </row>
    <row r="1194" spans="1:21" s="466" customFormat="1" ht="24" customHeight="1">
      <c r="A1194" s="460"/>
      <c r="B1194" s="423" t="s">
        <v>365</v>
      </c>
      <c r="C1194" s="471"/>
      <c r="D1194" s="472"/>
      <c r="E1194" s="425">
        <v>50380.800000000003</v>
      </c>
      <c r="F1194" s="94" t="s">
        <v>156</v>
      </c>
      <c r="G1194" s="113">
        <v>35.60788395238405</v>
      </c>
      <c r="H1194" s="59">
        <f t="shared" si="247"/>
        <v>1793953.68</v>
      </c>
      <c r="I1194" s="59">
        <v>14</v>
      </c>
      <c r="J1194" s="59">
        <f t="shared" si="248"/>
        <v>705331.19999999995</v>
      </c>
      <c r="K1194" s="59">
        <f t="shared" si="253"/>
        <v>2499284.88</v>
      </c>
      <c r="L1194" s="427"/>
      <c r="M1194" s="465"/>
      <c r="N1194" s="465"/>
      <c r="O1194" s="465"/>
      <c r="P1194" s="465"/>
      <c r="Q1194" s="465"/>
      <c r="R1194" s="465"/>
      <c r="S1194" s="465"/>
      <c r="T1194" s="465"/>
      <c r="U1194" s="465"/>
    </row>
    <row r="1195" spans="1:21" s="466" customFormat="1" ht="24" customHeight="1">
      <c r="A1195" s="460"/>
      <c r="B1195" s="423" t="s">
        <v>318</v>
      </c>
      <c r="C1195" s="471"/>
      <c r="D1195" s="472"/>
      <c r="E1195" s="425">
        <v>602.71946300000002</v>
      </c>
      <c r="F1195" s="94" t="s">
        <v>156</v>
      </c>
      <c r="G1195" s="113">
        <v>24.47</v>
      </c>
      <c r="H1195" s="59">
        <f t="shared" si="247"/>
        <v>14748.55</v>
      </c>
      <c r="I1195" s="59">
        <v>14</v>
      </c>
      <c r="J1195" s="59">
        <f t="shared" si="248"/>
        <v>8438.07</v>
      </c>
      <c r="K1195" s="59">
        <f t="shared" si="253"/>
        <v>23186.62</v>
      </c>
      <c r="L1195" s="427"/>
      <c r="M1195" s="465"/>
      <c r="N1195" s="465"/>
      <c r="O1195" s="465"/>
      <c r="P1195" s="465"/>
      <c r="Q1195" s="465"/>
      <c r="R1195" s="465"/>
      <c r="S1195" s="465"/>
      <c r="T1195" s="465"/>
      <c r="U1195" s="465"/>
    </row>
    <row r="1196" spans="1:21" s="466" customFormat="1" ht="24" customHeight="1">
      <c r="A1196" s="460"/>
      <c r="B1196" s="423" t="s">
        <v>319</v>
      </c>
      <c r="C1196" s="423"/>
      <c r="D1196" s="423"/>
      <c r="E1196" s="425">
        <v>33625.799999999996</v>
      </c>
      <c r="F1196" s="94" t="s">
        <v>156</v>
      </c>
      <c r="G1196" s="113">
        <v>32.150678931230836</v>
      </c>
      <c r="H1196" s="59">
        <f t="shared" si="247"/>
        <v>1081092.3</v>
      </c>
      <c r="I1196" s="59">
        <v>14</v>
      </c>
      <c r="J1196" s="59">
        <f t="shared" si="248"/>
        <v>470761.2</v>
      </c>
      <c r="K1196" s="59">
        <f t="shared" si="253"/>
        <v>1551853.5</v>
      </c>
      <c r="L1196" s="427"/>
      <c r="M1196" s="465"/>
      <c r="N1196" s="465"/>
      <c r="O1196" s="465"/>
      <c r="P1196" s="465"/>
      <c r="Q1196" s="465"/>
      <c r="R1196" s="465"/>
      <c r="S1196" s="465"/>
      <c r="T1196" s="465"/>
      <c r="U1196" s="465"/>
    </row>
    <row r="1197" spans="1:21" s="466" customFormat="1" ht="24" customHeight="1">
      <c r="A1197" s="460"/>
      <c r="B1197" s="423" t="s">
        <v>366</v>
      </c>
      <c r="C1197" s="423"/>
      <c r="D1197" s="423"/>
      <c r="E1197" s="425">
        <v>16739.88</v>
      </c>
      <c r="F1197" s="94" t="s">
        <v>156</v>
      </c>
      <c r="G1197" s="113">
        <v>32.834757834757838</v>
      </c>
      <c r="H1197" s="59">
        <f t="shared" si="247"/>
        <v>549649.91</v>
      </c>
      <c r="I1197" s="59">
        <v>14</v>
      </c>
      <c r="J1197" s="59">
        <f t="shared" si="248"/>
        <v>234358.32</v>
      </c>
      <c r="K1197" s="59">
        <f t="shared" si="253"/>
        <v>784008.23</v>
      </c>
      <c r="L1197" s="427"/>
      <c r="M1197" s="465"/>
      <c r="N1197" s="465"/>
      <c r="O1197" s="465"/>
      <c r="P1197" s="465"/>
      <c r="Q1197" s="465"/>
      <c r="R1197" s="465"/>
      <c r="S1197" s="465"/>
      <c r="T1197" s="465"/>
      <c r="U1197" s="465"/>
    </row>
    <row r="1198" spans="1:21" s="466" customFormat="1" ht="24" customHeight="1">
      <c r="A1198" s="460"/>
      <c r="B1198" s="423" t="s">
        <v>354</v>
      </c>
      <c r="C1198" s="423"/>
      <c r="D1198" s="430"/>
      <c r="E1198" s="425">
        <v>12069</v>
      </c>
      <c r="F1198" s="94" t="s">
        <v>156</v>
      </c>
      <c r="G1198" s="113">
        <v>32.581360946745562</v>
      </c>
      <c r="H1198" s="59">
        <f t="shared" ref="H1198:H1199" si="254">ROUND(E1198*G1198,2)</f>
        <v>393224.45</v>
      </c>
      <c r="I1198" s="59">
        <v>14</v>
      </c>
      <c r="J1198" s="59">
        <f t="shared" ref="J1198:J1199" si="255">ROUND(E1198*I1198,2)</f>
        <v>168966</v>
      </c>
      <c r="K1198" s="59">
        <f t="shared" ref="K1198:K1199" si="256">H1198+J1198</f>
        <v>562190.44999999995</v>
      </c>
      <c r="L1198" s="427"/>
      <c r="M1198" s="465"/>
      <c r="N1198" s="465"/>
      <c r="O1198" s="465"/>
      <c r="P1198" s="465"/>
      <c r="Q1198" s="465"/>
      <c r="R1198" s="465"/>
      <c r="S1198" s="465"/>
      <c r="T1198" s="465"/>
      <c r="U1198" s="465"/>
    </row>
    <row r="1199" spans="1:21" s="466" customFormat="1" ht="24" customHeight="1">
      <c r="A1199" s="460"/>
      <c r="B1199" s="423" t="s">
        <v>353</v>
      </c>
      <c r="C1199" s="423"/>
      <c r="D1199" s="430"/>
      <c r="E1199" s="425">
        <v>34.379999999999995</v>
      </c>
      <c r="F1199" s="94" t="s">
        <v>156</v>
      </c>
      <c r="G1199" s="113">
        <v>32.590051457975989</v>
      </c>
      <c r="H1199" s="59">
        <f t="shared" si="254"/>
        <v>1120.45</v>
      </c>
      <c r="I1199" s="59">
        <v>14</v>
      </c>
      <c r="J1199" s="59">
        <f t="shared" si="255"/>
        <v>481.32</v>
      </c>
      <c r="K1199" s="59">
        <f t="shared" si="256"/>
        <v>1601.77</v>
      </c>
      <c r="L1199" s="427"/>
      <c r="M1199" s="465"/>
      <c r="N1199" s="465"/>
      <c r="O1199" s="465"/>
      <c r="P1199" s="465"/>
      <c r="Q1199" s="465"/>
      <c r="R1199" s="465"/>
      <c r="S1199" s="465"/>
      <c r="T1199" s="465"/>
      <c r="U1199" s="465"/>
    </row>
    <row r="1200" spans="1:21" s="466" customFormat="1" ht="24" customHeight="1">
      <c r="A1200" s="460"/>
      <c r="B1200" s="423" t="s">
        <v>321</v>
      </c>
      <c r="C1200" s="423"/>
      <c r="D1200" s="430"/>
      <c r="E1200" s="425">
        <v>4732.5200000000004</v>
      </c>
      <c r="F1200" s="94" t="s">
        <v>156</v>
      </c>
      <c r="G1200" s="113">
        <v>35.5</v>
      </c>
      <c r="H1200" s="59">
        <f t="shared" si="247"/>
        <v>168004.46</v>
      </c>
      <c r="I1200" s="59">
        <v>14</v>
      </c>
      <c r="J1200" s="59">
        <f t="shared" si="248"/>
        <v>66255.28</v>
      </c>
      <c r="K1200" s="59">
        <f t="shared" si="253"/>
        <v>234259.74</v>
      </c>
      <c r="L1200" s="427"/>
      <c r="M1200" s="465"/>
      <c r="N1200" s="465"/>
      <c r="O1200" s="465"/>
      <c r="P1200" s="465"/>
      <c r="Q1200" s="465"/>
      <c r="R1200" s="465"/>
      <c r="S1200" s="465"/>
      <c r="T1200" s="465"/>
      <c r="U1200" s="465"/>
    </row>
    <row r="1201" spans="1:21" s="466" customFormat="1" ht="24" customHeight="1">
      <c r="A1201" s="460"/>
      <c r="B1201" s="423" t="s">
        <v>322</v>
      </c>
      <c r="C1201" s="423"/>
      <c r="D1201" s="430"/>
      <c r="E1201" s="425">
        <v>1171.6500000000001</v>
      </c>
      <c r="F1201" s="94" t="s">
        <v>156</v>
      </c>
      <c r="G1201" s="113">
        <v>32.630565068493155</v>
      </c>
      <c r="H1201" s="59">
        <f t="shared" si="247"/>
        <v>38231.599999999999</v>
      </c>
      <c r="I1201" s="59">
        <v>14</v>
      </c>
      <c r="J1201" s="59">
        <f t="shared" si="248"/>
        <v>16403.099999999999</v>
      </c>
      <c r="K1201" s="59">
        <f t="shared" si="253"/>
        <v>54634.7</v>
      </c>
      <c r="L1201" s="427"/>
      <c r="M1201" s="465"/>
      <c r="N1201" s="465"/>
      <c r="O1201" s="465"/>
      <c r="P1201" s="465"/>
      <c r="Q1201" s="465"/>
      <c r="R1201" s="465"/>
      <c r="S1201" s="465"/>
      <c r="T1201" s="465"/>
      <c r="U1201" s="465"/>
    </row>
    <row r="1202" spans="1:21" s="466" customFormat="1" ht="24" customHeight="1">
      <c r="A1202" s="460"/>
      <c r="B1202" s="423" t="s">
        <v>323</v>
      </c>
      <c r="C1202" s="423"/>
      <c r="D1202" s="430"/>
      <c r="E1202" s="425">
        <v>4231.8100000000004</v>
      </c>
      <c r="F1202" s="94" t="s">
        <v>156</v>
      </c>
      <c r="G1202" s="113">
        <v>33.608343711083442</v>
      </c>
      <c r="H1202" s="59">
        <f t="shared" si="247"/>
        <v>142224.13</v>
      </c>
      <c r="I1202" s="59">
        <v>14</v>
      </c>
      <c r="J1202" s="59">
        <f t="shared" si="248"/>
        <v>59245.34</v>
      </c>
      <c r="K1202" s="59">
        <f t="shared" ref="K1202:K1205" si="257">H1202+J1202</f>
        <v>201469.47</v>
      </c>
      <c r="L1202" s="427"/>
      <c r="M1202" s="465"/>
      <c r="N1202" s="465"/>
      <c r="O1202" s="465"/>
      <c r="P1202" s="465"/>
      <c r="Q1202" s="465"/>
      <c r="R1202" s="465"/>
      <c r="S1202" s="465"/>
      <c r="T1202" s="465"/>
      <c r="U1202" s="465"/>
    </row>
    <row r="1203" spans="1:21" s="466" customFormat="1" ht="24" customHeight="1">
      <c r="A1203" s="460"/>
      <c r="B1203" s="423" t="s">
        <v>327</v>
      </c>
      <c r="C1203" s="423"/>
      <c r="D1203" s="430"/>
      <c r="E1203" s="425">
        <v>5226.75</v>
      </c>
      <c r="F1203" s="94" t="s">
        <v>156</v>
      </c>
      <c r="G1203" s="113">
        <v>33.614726027397261</v>
      </c>
      <c r="H1203" s="59">
        <f t="shared" si="247"/>
        <v>175695.77</v>
      </c>
      <c r="I1203" s="59">
        <v>14</v>
      </c>
      <c r="J1203" s="59">
        <f t="shared" si="248"/>
        <v>73174.5</v>
      </c>
      <c r="K1203" s="59">
        <f t="shared" si="257"/>
        <v>248870.27</v>
      </c>
      <c r="L1203" s="427"/>
      <c r="M1203" s="465"/>
      <c r="N1203" s="465"/>
      <c r="O1203" s="465"/>
      <c r="P1203" s="465"/>
      <c r="Q1203" s="465"/>
      <c r="R1203" s="465"/>
      <c r="S1203" s="465"/>
      <c r="T1203" s="465"/>
      <c r="U1203" s="465"/>
    </row>
    <row r="1204" spans="1:21" s="466" customFormat="1" ht="24" customHeight="1">
      <c r="A1204" s="460"/>
      <c r="B1204" s="423" t="s">
        <v>324</v>
      </c>
      <c r="C1204" s="423"/>
      <c r="D1204" s="423"/>
      <c r="E1204" s="425">
        <v>136</v>
      </c>
      <c r="F1204" s="94" t="s">
        <v>240</v>
      </c>
      <c r="G1204" s="113">
        <v>120</v>
      </c>
      <c r="H1204" s="59">
        <f t="shared" si="247"/>
        <v>16320</v>
      </c>
      <c r="I1204" s="59"/>
      <c r="J1204" s="59">
        <f t="shared" si="248"/>
        <v>0</v>
      </c>
      <c r="K1204" s="59">
        <f t="shared" si="257"/>
        <v>16320</v>
      </c>
      <c r="L1204" s="427"/>
      <c r="M1204" s="465"/>
      <c r="N1204" s="465"/>
      <c r="O1204" s="465"/>
      <c r="P1204" s="465"/>
      <c r="Q1204" s="465"/>
      <c r="R1204" s="465"/>
      <c r="S1204" s="465"/>
      <c r="T1204" s="465"/>
      <c r="U1204" s="465"/>
    </row>
    <row r="1205" spans="1:21" s="466" customFormat="1" ht="24" customHeight="1">
      <c r="A1205" s="460"/>
      <c r="B1205" s="423" t="s">
        <v>936</v>
      </c>
      <c r="C1205" s="423"/>
      <c r="D1205" s="423"/>
      <c r="E1205" s="425">
        <v>585</v>
      </c>
      <c r="F1205" s="94" t="s">
        <v>240</v>
      </c>
      <c r="G1205" s="113">
        <v>567.45000000000005</v>
      </c>
      <c r="H1205" s="59">
        <f t="shared" si="247"/>
        <v>331958.25</v>
      </c>
      <c r="I1205" s="59"/>
      <c r="J1205" s="59">
        <f t="shared" si="248"/>
        <v>0</v>
      </c>
      <c r="K1205" s="59">
        <f t="shared" si="257"/>
        <v>331958.25</v>
      </c>
      <c r="L1205" s="427"/>
      <c r="M1205" s="465"/>
      <c r="N1205" s="465"/>
      <c r="O1205" s="465"/>
      <c r="P1205" s="465"/>
      <c r="Q1205" s="465"/>
      <c r="R1205" s="465"/>
      <c r="S1205" s="465"/>
      <c r="T1205" s="465"/>
      <c r="U1205" s="465"/>
    </row>
    <row r="1206" spans="1:21" s="466" customFormat="1" ht="24" customHeight="1">
      <c r="A1206" s="460"/>
      <c r="B1206" s="423"/>
      <c r="C1206" s="423"/>
      <c r="D1206" s="430"/>
      <c r="E1206" s="425"/>
      <c r="F1206" s="94"/>
      <c r="G1206" s="113"/>
      <c r="H1206" s="59"/>
      <c r="I1206" s="59"/>
      <c r="J1206" s="59"/>
      <c r="K1206" s="59"/>
      <c r="L1206" s="427"/>
      <c r="M1206" s="465"/>
      <c r="N1206" s="465"/>
      <c r="O1206" s="465"/>
      <c r="P1206" s="465"/>
      <c r="Q1206" s="465"/>
      <c r="R1206" s="465"/>
      <c r="S1206" s="465"/>
      <c r="T1206" s="465"/>
      <c r="U1206" s="465"/>
    </row>
    <row r="1207" spans="1:21" s="466" customFormat="1" ht="24" customHeight="1">
      <c r="A1207" s="460"/>
      <c r="B1207" s="423"/>
      <c r="C1207" s="423"/>
      <c r="D1207" s="430"/>
      <c r="E1207" s="425"/>
      <c r="F1207" s="94"/>
      <c r="G1207" s="113"/>
      <c r="H1207" s="59"/>
      <c r="I1207" s="59"/>
      <c r="J1207" s="59"/>
      <c r="K1207" s="59"/>
      <c r="L1207" s="427"/>
      <c r="M1207" s="465"/>
      <c r="N1207" s="465"/>
      <c r="O1207" s="465"/>
      <c r="P1207" s="465"/>
      <c r="Q1207" s="465"/>
      <c r="R1207" s="465"/>
      <c r="S1207" s="465"/>
      <c r="T1207" s="465"/>
      <c r="U1207" s="465"/>
    </row>
    <row r="1208" spans="1:21" s="62" customFormat="1" ht="24" customHeight="1">
      <c r="A1208" s="460"/>
      <c r="B1208" s="423"/>
      <c r="C1208" s="423"/>
      <c r="D1208" s="430"/>
      <c r="E1208" s="425"/>
      <c r="F1208" s="94"/>
      <c r="G1208" s="113"/>
      <c r="H1208" s="59"/>
      <c r="I1208" s="59"/>
      <c r="J1208" s="59"/>
      <c r="K1208" s="59"/>
      <c r="L1208" s="427"/>
      <c r="M1208" s="87"/>
      <c r="N1208" s="87"/>
      <c r="O1208" s="87"/>
      <c r="P1208" s="87"/>
      <c r="Q1208" s="87"/>
      <c r="R1208" s="87"/>
      <c r="S1208" s="87"/>
      <c r="T1208" s="87"/>
      <c r="U1208" s="87"/>
    </row>
    <row r="1209" spans="1:21" s="62" customFormat="1" ht="24" customHeight="1">
      <c r="A1209" s="460"/>
      <c r="B1209" s="423"/>
      <c r="C1209" s="423"/>
      <c r="D1209" s="430"/>
      <c r="E1209" s="425"/>
      <c r="F1209" s="94"/>
      <c r="G1209" s="113"/>
      <c r="H1209" s="59"/>
      <c r="I1209" s="59"/>
      <c r="J1209" s="59"/>
      <c r="K1209" s="59"/>
      <c r="L1209" s="427"/>
      <c r="M1209" s="87"/>
      <c r="N1209" s="87"/>
      <c r="O1209" s="87"/>
      <c r="P1209" s="87"/>
      <c r="Q1209" s="87"/>
      <c r="R1209" s="87"/>
      <c r="S1209" s="87"/>
      <c r="T1209" s="87"/>
      <c r="U1209" s="87"/>
    </row>
    <row r="1210" spans="1:21" s="62" customFormat="1" ht="24" customHeight="1">
      <c r="A1210" s="460"/>
      <c r="B1210" s="423"/>
      <c r="C1210" s="452" t="s">
        <v>242</v>
      </c>
      <c r="D1210" s="423"/>
      <c r="E1210" s="425"/>
      <c r="F1210" s="94"/>
      <c r="G1210" s="113"/>
      <c r="H1210" s="59"/>
      <c r="I1210" s="59"/>
      <c r="J1210" s="59"/>
      <c r="K1210" s="59"/>
      <c r="L1210" s="427"/>
      <c r="M1210" s="87"/>
      <c r="N1210" s="87"/>
      <c r="O1210" s="87"/>
      <c r="P1210" s="87"/>
      <c r="Q1210" s="87"/>
      <c r="R1210" s="87"/>
      <c r="S1210" s="87"/>
      <c r="T1210" s="87"/>
      <c r="U1210" s="87"/>
    </row>
    <row r="1211" spans="1:21" s="62" customFormat="1" ht="24" customHeight="1">
      <c r="A1211" s="460"/>
      <c r="B1211" s="423"/>
      <c r="C1211" s="423"/>
      <c r="D1211" s="430"/>
      <c r="E1211" s="425"/>
      <c r="F1211" s="94"/>
      <c r="G1211" s="113"/>
      <c r="H1211" s="59"/>
      <c r="I1211" s="59"/>
      <c r="J1211" s="59"/>
      <c r="K1211" s="59"/>
      <c r="L1211" s="427"/>
      <c r="M1211" s="87"/>
      <c r="N1211" s="87"/>
      <c r="O1211" s="87"/>
      <c r="P1211" s="87"/>
      <c r="Q1211" s="87"/>
      <c r="R1211" s="87"/>
      <c r="S1211" s="87"/>
      <c r="T1211" s="87"/>
      <c r="U1211" s="87"/>
    </row>
    <row r="1212" spans="1:21" s="62" customFormat="1" ht="24" customHeight="1">
      <c r="A1212" s="460"/>
      <c r="B1212" s="423"/>
      <c r="C1212" s="423"/>
      <c r="D1212" s="423"/>
      <c r="E1212" s="425"/>
      <c r="F1212" s="94"/>
      <c r="G1212" s="113"/>
      <c r="H1212" s="59"/>
      <c r="I1212" s="59"/>
      <c r="J1212" s="59"/>
      <c r="K1212" s="59"/>
      <c r="L1212" s="427"/>
      <c r="M1212" s="87"/>
      <c r="N1212" s="87"/>
      <c r="O1212" s="87"/>
      <c r="P1212" s="87"/>
      <c r="Q1212" s="87"/>
      <c r="R1212" s="87"/>
      <c r="S1212" s="87"/>
      <c r="T1212" s="87"/>
      <c r="U1212" s="87"/>
    </row>
    <row r="1213" spans="1:21" s="62" customFormat="1" ht="24" customHeight="1">
      <c r="A1213" s="460"/>
      <c r="B1213" s="423" t="s">
        <v>367</v>
      </c>
      <c r="C1213" s="423"/>
      <c r="D1213" s="423"/>
      <c r="E1213" s="425"/>
      <c r="F1213" s="94"/>
      <c r="G1213" s="113"/>
      <c r="H1213" s="59"/>
      <c r="I1213" s="59"/>
      <c r="J1213" s="59"/>
      <c r="K1213" s="59"/>
      <c r="L1213" s="427"/>
      <c r="M1213" s="87"/>
      <c r="N1213" s="87"/>
      <c r="O1213" s="87"/>
      <c r="P1213" s="87"/>
      <c r="Q1213" s="87"/>
      <c r="R1213" s="87"/>
      <c r="S1213" s="87"/>
      <c r="T1213" s="87"/>
      <c r="U1213" s="87"/>
    </row>
    <row r="1214" spans="1:21" s="62" customFormat="1" ht="24" customHeight="1">
      <c r="A1214" s="460"/>
      <c r="B1214" s="423" t="s">
        <v>368</v>
      </c>
      <c r="C1214" s="423"/>
      <c r="D1214" s="430"/>
      <c r="E1214" s="425">
        <v>434.4</v>
      </c>
      <c r="F1214" s="94" t="s">
        <v>156</v>
      </c>
      <c r="G1214" s="113">
        <v>33.1</v>
      </c>
      <c r="H1214" s="59">
        <f t="shared" ref="H1214:H1222" si="258">ROUND(E1214*G1214,2)</f>
        <v>14378.64</v>
      </c>
      <c r="I1214" s="59">
        <v>14</v>
      </c>
      <c r="J1214" s="59">
        <f t="shared" ref="J1214" si="259">ROUND(E1214*I1214,2)</f>
        <v>6081.6</v>
      </c>
      <c r="K1214" s="59">
        <f t="shared" ref="K1214" si="260">H1214+J1214</f>
        <v>20460.239999999998</v>
      </c>
      <c r="L1214" s="427"/>
      <c r="M1214" s="87"/>
      <c r="N1214" s="87"/>
      <c r="O1214" s="87"/>
      <c r="P1214" s="87"/>
      <c r="Q1214" s="87"/>
      <c r="R1214" s="87"/>
      <c r="S1214" s="87"/>
      <c r="T1214" s="87"/>
      <c r="U1214" s="87"/>
    </row>
    <row r="1215" spans="1:21" s="62" customFormat="1" ht="24" customHeight="1">
      <c r="A1215" s="460"/>
      <c r="B1215" s="423" t="s">
        <v>369</v>
      </c>
      <c r="C1215" s="423"/>
      <c r="D1215" s="430"/>
      <c r="E1215" s="425">
        <v>207.60000000000002</v>
      </c>
      <c r="F1215" s="94" t="s">
        <v>156</v>
      </c>
      <c r="G1215" s="113">
        <v>38.1</v>
      </c>
      <c r="H1215" s="59">
        <f t="shared" si="258"/>
        <v>7909.56</v>
      </c>
      <c r="I1215" s="59">
        <v>14</v>
      </c>
      <c r="J1215" s="59">
        <f t="shared" ref="J1215:J1220" si="261">ROUND(E1215*I1215,2)</f>
        <v>2906.4</v>
      </c>
      <c r="K1215" s="59">
        <f t="shared" ref="K1215:K1220" si="262">H1215+J1215</f>
        <v>10815.960000000001</v>
      </c>
      <c r="L1215" s="427"/>
      <c r="M1215" s="87"/>
      <c r="N1215" s="87"/>
      <c r="O1215" s="87"/>
      <c r="P1215" s="87"/>
      <c r="Q1215" s="87"/>
      <c r="R1215" s="87"/>
      <c r="S1215" s="87"/>
      <c r="T1215" s="87"/>
      <c r="U1215" s="87"/>
    </row>
    <row r="1216" spans="1:21" s="62" customFormat="1" ht="24" customHeight="1">
      <c r="A1216" s="460"/>
      <c r="B1216" s="423" t="s">
        <v>370</v>
      </c>
      <c r="C1216" s="423"/>
      <c r="D1216" s="430"/>
      <c r="E1216" s="425">
        <v>56.16</v>
      </c>
      <c r="F1216" s="94" t="s">
        <v>156</v>
      </c>
      <c r="G1216" s="113">
        <v>25.035256410256412</v>
      </c>
      <c r="H1216" s="59">
        <f t="shared" si="258"/>
        <v>1405.98</v>
      </c>
      <c r="I1216" s="59">
        <v>14</v>
      </c>
      <c r="J1216" s="59">
        <f t="shared" si="261"/>
        <v>786.24</v>
      </c>
      <c r="K1216" s="59">
        <f t="shared" si="262"/>
        <v>2192.2200000000003</v>
      </c>
      <c r="L1216" s="427"/>
      <c r="M1216" s="87"/>
      <c r="N1216" s="87"/>
      <c r="O1216" s="87"/>
      <c r="P1216" s="87"/>
      <c r="Q1216" s="87"/>
      <c r="R1216" s="87"/>
      <c r="S1216" s="87"/>
      <c r="T1216" s="87"/>
      <c r="U1216" s="87"/>
    </row>
    <row r="1217" spans="1:21" s="62" customFormat="1" ht="24" customHeight="1">
      <c r="A1217" s="460"/>
      <c r="B1217" s="423" t="s">
        <v>371</v>
      </c>
      <c r="C1217" s="423"/>
      <c r="D1217" s="430"/>
      <c r="E1217" s="425">
        <v>111.60000000000001</v>
      </c>
      <c r="F1217" s="94" t="s">
        <v>156</v>
      </c>
      <c r="G1217" s="113">
        <v>27.401971326164876</v>
      </c>
      <c r="H1217" s="59">
        <f t="shared" si="258"/>
        <v>3058.06</v>
      </c>
      <c r="I1217" s="59">
        <v>14</v>
      </c>
      <c r="J1217" s="59">
        <f t="shared" si="261"/>
        <v>1562.4</v>
      </c>
      <c r="K1217" s="59">
        <f t="shared" si="262"/>
        <v>4620.46</v>
      </c>
      <c r="L1217" s="427"/>
      <c r="M1217" s="87"/>
      <c r="N1217" s="87"/>
      <c r="O1217" s="87"/>
      <c r="P1217" s="87"/>
      <c r="Q1217" s="87"/>
      <c r="R1217" s="87"/>
      <c r="S1217" s="87"/>
      <c r="T1217" s="87"/>
      <c r="U1217" s="87"/>
    </row>
    <row r="1218" spans="1:21" s="62" customFormat="1" ht="24" customHeight="1">
      <c r="A1218" s="670"/>
      <c r="B1218" s="423" t="s">
        <v>372</v>
      </c>
      <c r="C1218" s="675"/>
      <c r="D1218" s="676"/>
      <c r="E1218" s="671">
        <v>22.62</v>
      </c>
      <c r="F1218" s="94" t="s">
        <v>156</v>
      </c>
      <c r="G1218" s="101">
        <v>22.811671087533156</v>
      </c>
      <c r="H1218" s="59">
        <f t="shared" si="258"/>
        <v>516</v>
      </c>
      <c r="I1218" s="59">
        <v>14</v>
      </c>
      <c r="J1218" s="59">
        <f t="shared" si="261"/>
        <v>316.68</v>
      </c>
      <c r="K1218" s="59">
        <f t="shared" si="262"/>
        <v>832.68000000000006</v>
      </c>
      <c r="L1218" s="473"/>
      <c r="M1218" s="87"/>
      <c r="N1218" s="87"/>
      <c r="O1218" s="87"/>
      <c r="P1218" s="87"/>
      <c r="Q1218" s="87"/>
      <c r="R1218" s="87"/>
      <c r="S1218" s="87"/>
      <c r="T1218" s="87"/>
      <c r="U1218" s="87"/>
    </row>
    <row r="1219" spans="1:21" s="62" customFormat="1" ht="24" customHeight="1">
      <c r="A1219" s="670"/>
      <c r="B1219" s="423" t="s">
        <v>373</v>
      </c>
      <c r="C1219" s="675"/>
      <c r="D1219" s="676"/>
      <c r="E1219" s="671">
        <v>20.160000000000004</v>
      </c>
      <c r="F1219" s="94" t="s">
        <v>156</v>
      </c>
      <c r="G1219" s="101">
        <v>27.723214285714288</v>
      </c>
      <c r="H1219" s="59">
        <f t="shared" si="258"/>
        <v>558.9</v>
      </c>
      <c r="I1219" s="59">
        <v>14</v>
      </c>
      <c r="J1219" s="59">
        <f t="shared" si="261"/>
        <v>282.24</v>
      </c>
      <c r="K1219" s="59">
        <f t="shared" si="262"/>
        <v>841.14</v>
      </c>
      <c r="L1219" s="473"/>
      <c r="M1219" s="87"/>
      <c r="N1219" s="87"/>
      <c r="O1219" s="87"/>
      <c r="P1219" s="87"/>
      <c r="Q1219" s="87"/>
      <c r="R1219" s="87"/>
      <c r="S1219" s="87"/>
      <c r="T1219" s="87"/>
      <c r="U1219" s="87"/>
    </row>
    <row r="1220" spans="1:21" s="62" customFormat="1" ht="24" customHeight="1">
      <c r="A1220" s="670"/>
      <c r="B1220" s="423" t="s">
        <v>375</v>
      </c>
      <c r="C1220" s="675"/>
      <c r="D1220" s="676"/>
      <c r="E1220" s="671">
        <v>66.83</v>
      </c>
      <c r="F1220" s="94" t="s">
        <v>156</v>
      </c>
      <c r="G1220" s="101">
        <v>31.1</v>
      </c>
      <c r="H1220" s="59">
        <f t="shared" si="258"/>
        <v>2078.41</v>
      </c>
      <c r="I1220" s="59">
        <v>14</v>
      </c>
      <c r="J1220" s="59">
        <f t="shared" si="261"/>
        <v>935.62</v>
      </c>
      <c r="K1220" s="59">
        <f t="shared" si="262"/>
        <v>3014.0299999999997</v>
      </c>
      <c r="L1220" s="473"/>
      <c r="M1220" s="87"/>
      <c r="N1220" s="87"/>
      <c r="O1220" s="87"/>
      <c r="P1220" s="87"/>
      <c r="Q1220" s="87"/>
      <c r="R1220" s="87"/>
      <c r="S1220" s="87"/>
      <c r="T1220" s="87"/>
      <c r="U1220" s="87"/>
    </row>
    <row r="1221" spans="1:21" s="62" customFormat="1" ht="24" customHeight="1">
      <c r="A1221" s="460"/>
      <c r="B1221" s="423" t="s">
        <v>376</v>
      </c>
      <c r="C1221" s="423"/>
      <c r="D1221" s="423"/>
      <c r="E1221" s="425">
        <v>11.75</v>
      </c>
      <c r="F1221" s="94" t="s">
        <v>37</v>
      </c>
      <c r="G1221" s="113">
        <v>1215.6889128094726</v>
      </c>
      <c r="H1221" s="59">
        <f t="shared" si="258"/>
        <v>14284.34</v>
      </c>
      <c r="I1221" s="59">
        <v>364.70667384284178</v>
      </c>
      <c r="J1221" s="59">
        <f t="shared" ref="J1221:J1222" si="263">ROUND(E1221*I1221,2)</f>
        <v>4285.3</v>
      </c>
      <c r="K1221" s="59">
        <f t="shared" ref="K1221:K1222" si="264">H1221+J1221</f>
        <v>18569.64</v>
      </c>
      <c r="L1221" s="427"/>
      <c r="M1221" s="87"/>
      <c r="N1221" s="87"/>
      <c r="O1221" s="87"/>
      <c r="P1221" s="87"/>
      <c r="Q1221" s="87"/>
      <c r="R1221" s="87"/>
      <c r="S1221" s="87"/>
      <c r="T1221" s="87"/>
      <c r="U1221" s="87"/>
    </row>
    <row r="1222" spans="1:21" s="62" customFormat="1" ht="24" customHeight="1">
      <c r="A1222" s="460"/>
      <c r="B1222" s="423" t="s">
        <v>325</v>
      </c>
      <c r="C1222" s="423"/>
      <c r="D1222" s="430"/>
      <c r="E1222" s="425">
        <v>16</v>
      </c>
      <c r="F1222" s="94" t="s">
        <v>240</v>
      </c>
      <c r="G1222" s="113">
        <v>128</v>
      </c>
      <c r="H1222" s="59">
        <f t="shared" si="258"/>
        <v>2048</v>
      </c>
      <c r="I1222" s="59"/>
      <c r="J1222" s="59">
        <f t="shared" si="263"/>
        <v>0</v>
      </c>
      <c r="K1222" s="59">
        <f t="shared" si="264"/>
        <v>2048</v>
      </c>
      <c r="L1222" s="427"/>
      <c r="M1222" s="87"/>
      <c r="N1222" s="87"/>
      <c r="O1222" s="87"/>
      <c r="P1222" s="87"/>
      <c r="Q1222" s="87"/>
      <c r="R1222" s="87"/>
      <c r="S1222" s="87"/>
      <c r="T1222" s="87"/>
      <c r="U1222" s="87"/>
    </row>
    <row r="1223" spans="1:21" s="62" customFormat="1" ht="24" customHeight="1">
      <c r="A1223" s="460"/>
      <c r="B1223" s="423"/>
      <c r="C1223" s="423"/>
      <c r="D1223" s="430"/>
      <c r="E1223" s="425"/>
      <c r="F1223" s="94"/>
      <c r="G1223" s="113"/>
      <c r="H1223" s="59"/>
      <c r="I1223" s="59"/>
      <c r="J1223" s="59"/>
      <c r="K1223" s="59"/>
      <c r="L1223" s="427"/>
      <c r="M1223" s="87"/>
      <c r="N1223" s="87"/>
      <c r="O1223" s="87"/>
      <c r="P1223" s="87"/>
      <c r="Q1223" s="87"/>
      <c r="R1223" s="87"/>
      <c r="S1223" s="87"/>
      <c r="T1223" s="87"/>
      <c r="U1223" s="87"/>
    </row>
    <row r="1224" spans="1:21" s="62" customFormat="1" ht="24" customHeight="1">
      <c r="A1224" s="460"/>
      <c r="B1224" s="423"/>
      <c r="C1224" s="423"/>
      <c r="D1224" s="430"/>
      <c r="E1224" s="425"/>
      <c r="F1224" s="94"/>
      <c r="G1224" s="113"/>
      <c r="H1224" s="59"/>
      <c r="I1224" s="59"/>
      <c r="J1224" s="59"/>
      <c r="K1224" s="59"/>
      <c r="L1224" s="427"/>
      <c r="M1224" s="87"/>
      <c r="N1224" s="87"/>
      <c r="O1224" s="87"/>
      <c r="P1224" s="87"/>
      <c r="Q1224" s="87"/>
      <c r="R1224" s="87"/>
      <c r="S1224" s="87"/>
      <c r="T1224" s="87"/>
      <c r="U1224" s="87"/>
    </row>
    <row r="1225" spans="1:21" s="62" customFormat="1" ht="24" customHeight="1">
      <c r="A1225" s="460"/>
      <c r="B1225" s="423"/>
      <c r="C1225" s="423"/>
      <c r="D1225" s="430"/>
      <c r="E1225" s="425"/>
      <c r="F1225" s="94"/>
      <c r="G1225" s="113"/>
      <c r="H1225" s="59"/>
      <c r="I1225" s="59"/>
      <c r="J1225" s="59"/>
      <c r="K1225" s="59"/>
      <c r="L1225" s="427"/>
      <c r="M1225" s="87"/>
      <c r="N1225" s="87"/>
      <c r="O1225" s="87"/>
      <c r="P1225" s="87"/>
      <c r="Q1225" s="87"/>
      <c r="R1225" s="87"/>
      <c r="S1225" s="87"/>
      <c r="T1225" s="87"/>
      <c r="U1225" s="87"/>
    </row>
    <row r="1226" spans="1:21" s="62" customFormat="1" ht="24" customHeight="1">
      <c r="A1226" s="670"/>
      <c r="B1226" s="423"/>
      <c r="C1226" s="675"/>
      <c r="D1226" s="676"/>
      <c r="E1226" s="671"/>
      <c r="F1226" s="94"/>
      <c r="G1226" s="101"/>
      <c r="H1226" s="59"/>
      <c r="I1226" s="59"/>
      <c r="J1226" s="59"/>
      <c r="K1226" s="59"/>
      <c r="L1226" s="473"/>
      <c r="M1226" s="87"/>
      <c r="N1226" s="87"/>
      <c r="O1226" s="87"/>
      <c r="P1226" s="87"/>
      <c r="Q1226" s="87"/>
      <c r="R1226" s="87"/>
      <c r="S1226" s="87"/>
      <c r="T1226" s="87"/>
      <c r="U1226" s="87"/>
    </row>
    <row r="1227" spans="1:21" s="62" customFormat="1" ht="24" customHeight="1">
      <c r="A1227" s="670"/>
      <c r="B1227" s="423"/>
      <c r="C1227" s="675"/>
      <c r="D1227" s="676"/>
      <c r="E1227" s="671"/>
      <c r="F1227" s="94"/>
      <c r="G1227" s="101"/>
      <c r="H1227" s="59"/>
      <c r="I1227" s="59"/>
      <c r="J1227" s="59"/>
      <c r="K1227" s="59"/>
      <c r="L1227" s="473"/>
      <c r="M1227" s="87"/>
      <c r="N1227" s="87"/>
      <c r="O1227" s="87"/>
      <c r="P1227" s="87"/>
      <c r="Q1227" s="87"/>
      <c r="R1227" s="87"/>
      <c r="S1227" s="87"/>
      <c r="T1227" s="87"/>
      <c r="U1227" s="87"/>
    </row>
    <row r="1228" spans="1:21" s="62" customFormat="1" ht="24" customHeight="1">
      <c r="A1228" s="670"/>
      <c r="B1228" s="423"/>
      <c r="C1228" s="675"/>
      <c r="D1228" s="676"/>
      <c r="E1228" s="671"/>
      <c r="F1228" s="94"/>
      <c r="G1228" s="101"/>
      <c r="H1228" s="59"/>
      <c r="I1228" s="59"/>
      <c r="J1228" s="59"/>
      <c r="K1228" s="59"/>
      <c r="L1228" s="473"/>
      <c r="M1228" s="87"/>
      <c r="N1228" s="87"/>
      <c r="O1228" s="87"/>
      <c r="P1228" s="87"/>
      <c r="Q1228" s="87"/>
      <c r="R1228" s="87"/>
      <c r="S1228" s="87"/>
      <c r="T1228" s="87"/>
      <c r="U1228" s="87"/>
    </row>
    <row r="1229" spans="1:21" s="62" customFormat="1" ht="24" customHeight="1">
      <c r="A1229" s="460"/>
      <c r="B1229" s="423"/>
      <c r="C1229" s="423"/>
      <c r="D1229" s="423"/>
      <c r="E1229" s="425"/>
      <c r="F1229" s="94"/>
      <c r="G1229" s="113"/>
      <c r="H1229" s="59"/>
      <c r="I1229" s="59"/>
      <c r="J1229" s="59"/>
      <c r="K1229" s="59"/>
      <c r="L1229" s="427"/>
      <c r="M1229" s="87"/>
      <c r="N1229" s="87"/>
      <c r="O1229" s="87"/>
      <c r="P1229" s="87"/>
      <c r="Q1229" s="87"/>
      <c r="R1229" s="87"/>
      <c r="S1229" s="87"/>
      <c r="T1229" s="87"/>
      <c r="U1229" s="87"/>
    </row>
    <row r="1230" spans="1:21" s="62" customFormat="1" ht="24" customHeight="1">
      <c r="A1230" s="460"/>
      <c r="B1230" s="423"/>
      <c r="C1230" s="423"/>
      <c r="D1230" s="430"/>
      <c r="E1230" s="425"/>
      <c r="F1230" s="94"/>
      <c r="G1230" s="113"/>
      <c r="H1230" s="59"/>
      <c r="I1230" s="59"/>
      <c r="J1230" s="59"/>
      <c r="K1230" s="59"/>
      <c r="L1230" s="427"/>
      <c r="M1230" s="87"/>
      <c r="N1230" s="87"/>
      <c r="O1230" s="87"/>
      <c r="P1230" s="87"/>
      <c r="Q1230" s="87"/>
      <c r="R1230" s="87"/>
      <c r="S1230" s="87"/>
      <c r="T1230" s="87"/>
      <c r="U1230" s="87"/>
    </row>
    <row r="1231" spans="1:21" s="62" customFormat="1" ht="24" customHeight="1">
      <c r="A1231" s="460"/>
      <c r="B1231" s="423"/>
      <c r="C1231" s="423"/>
      <c r="D1231" s="430"/>
      <c r="E1231" s="425"/>
      <c r="F1231" s="94"/>
      <c r="G1231" s="113"/>
      <c r="H1231" s="59"/>
      <c r="I1231" s="59"/>
      <c r="J1231" s="59"/>
      <c r="K1231" s="59"/>
      <c r="L1231" s="427"/>
      <c r="M1231" s="87"/>
      <c r="N1231" s="87"/>
      <c r="O1231" s="87"/>
      <c r="P1231" s="87"/>
      <c r="Q1231" s="87"/>
      <c r="R1231" s="87"/>
      <c r="S1231" s="87"/>
      <c r="T1231" s="87"/>
      <c r="U1231" s="87"/>
    </row>
    <row r="1232" spans="1:21" s="62" customFormat="1" ht="24" customHeight="1">
      <c r="A1232" s="460"/>
      <c r="B1232" s="423"/>
      <c r="C1232" s="423"/>
      <c r="D1232" s="430"/>
      <c r="E1232" s="425"/>
      <c r="F1232" s="94"/>
      <c r="G1232" s="113"/>
      <c r="H1232" s="59"/>
      <c r="I1232" s="59"/>
      <c r="J1232" s="59"/>
      <c r="K1232" s="59"/>
      <c r="L1232" s="427"/>
      <c r="M1232" s="87"/>
      <c r="N1232" s="87"/>
      <c r="O1232" s="87"/>
      <c r="P1232" s="87"/>
      <c r="Q1232" s="87"/>
      <c r="R1232" s="87"/>
      <c r="S1232" s="87"/>
      <c r="T1232" s="87"/>
      <c r="U1232" s="87"/>
    </row>
    <row r="1233" spans="1:21" s="62" customFormat="1" ht="24" customHeight="1">
      <c r="A1233" s="460"/>
      <c r="B1233" s="423"/>
      <c r="C1233" s="423"/>
      <c r="D1233" s="430"/>
      <c r="E1233" s="425"/>
      <c r="F1233" s="94"/>
      <c r="G1233" s="113"/>
      <c r="H1233" s="59"/>
      <c r="I1233" s="59"/>
      <c r="J1233" s="59"/>
      <c r="K1233" s="59"/>
      <c r="L1233" s="427"/>
      <c r="M1233" s="87"/>
      <c r="N1233" s="87"/>
      <c r="O1233" s="87"/>
      <c r="P1233" s="87"/>
      <c r="Q1233" s="87"/>
      <c r="R1233" s="87"/>
      <c r="S1233" s="87"/>
      <c r="T1233" s="87"/>
      <c r="U1233" s="87"/>
    </row>
    <row r="1234" spans="1:21" s="62" customFormat="1" ht="24" customHeight="1">
      <c r="A1234" s="670"/>
      <c r="B1234" s="423"/>
      <c r="C1234" s="675"/>
      <c r="D1234" s="676"/>
      <c r="E1234" s="671"/>
      <c r="F1234" s="94"/>
      <c r="G1234" s="101"/>
      <c r="H1234" s="59"/>
      <c r="I1234" s="59"/>
      <c r="J1234" s="59"/>
      <c r="K1234" s="59"/>
      <c r="L1234" s="473"/>
      <c r="M1234" s="87"/>
      <c r="N1234" s="87"/>
      <c r="O1234" s="87"/>
      <c r="P1234" s="87"/>
      <c r="Q1234" s="87"/>
      <c r="R1234" s="87"/>
      <c r="S1234" s="87"/>
      <c r="T1234" s="87"/>
      <c r="U1234" s="87"/>
    </row>
    <row r="1235" spans="1:21" s="62" customFormat="1" ht="24" customHeight="1">
      <c r="A1235" s="109"/>
      <c r="B1235" s="2444" t="str">
        <f>"รวมราคารายการที่ "&amp;A1161</f>
        <v>รวมราคารายการที่ 1.11</v>
      </c>
      <c r="C1235" s="2444"/>
      <c r="D1235" s="2444"/>
      <c r="E1235" s="110"/>
      <c r="F1235" s="111"/>
      <c r="G1235" s="112"/>
      <c r="H1235" s="106">
        <f>ROUND(SUBTOTAL(9,H1162:H1234),2)</f>
        <v>36960951.490000002</v>
      </c>
      <c r="I1235" s="108"/>
      <c r="J1235" s="106">
        <f>ROUND(SUBTOTAL(9,J1162:J1234),2)</f>
        <v>14788793.83</v>
      </c>
      <c r="K1235" s="106">
        <f>ROUND(SUBTOTAL(9,K1162:K1234),2)</f>
        <v>51749745.32</v>
      </c>
      <c r="L1235" s="106"/>
      <c r="M1235" s="87"/>
      <c r="N1235" s="87"/>
      <c r="O1235" s="87"/>
      <c r="P1235" s="87"/>
      <c r="Q1235" s="87"/>
      <c r="R1235" s="87"/>
      <c r="S1235" s="87"/>
      <c r="T1235" s="87"/>
      <c r="U1235" s="87"/>
    </row>
    <row r="1236" spans="1:21" s="62" customFormat="1" ht="24" customHeight="1">
      <c r="A1236" s="456" t="s">
        <v>349</v>
      </c>
      <c r="B1236" s="457" t="s">
        <v>348</v>
      </c>
      <c r="C1236" s="458"/>
      <c r="D1236" s="458"/>
      <c r="E1236" s="431"/>
      <c r="F1236" s="432"/>
      <c r="G1236" s="101"/>
      <c r="H1236" s="102"/>
      <c r="I1236" s="103"/>
      <c r="J1236" s="102"/>
      <c r="K1236" s="104"/>
      <c r="L1236" s="473"/>
      <c r="M1236" s="87"/>
      <c r="N1236" s="87"/>
      <c r="O1236" s="87"/>
      <c r="P1236" s="87"/>
      <c r="Q1236" s="87"/>
      <c r="R1236" s="87"/>
      <c r="S1236" s="87"/>
      <c r="T1236" s="87"/>
      <c r="U1236" s="87"/>
    </row>
    <row r="1237" spans="1:21" s="62" customFormat="1" ht="24" customHeight="1">
      <c r="A1237" s="67"/>
      <c r="B1237" s="423" t="s">
        <v>150</v>
      </c>
      <c r="C1237" s="424"/>
      <c r="D1237" s="424"/>
      <c r="E1237" s="425">
        <f>4.43+1.13+5.625</f>
        <v>11.184999999999999</v>
      </c>
      <c r="F1237" s="94" t="s">
        <v>151</v>
      </c>
      <c r="G1237" s="113">
        <v>2516</v>
      </c>
      <c r="H1237" s="59">
        <f t="shared" ref="H1237:H1259" si="265">ROUND(E1237*G1237,2)</f>
        <v>28141.46</v>
      </c>
      <c r="I1237" s="114">
        <v>485</v>
      </c>
      <c r="J1237" s="59">
        <f t="shared" ref="J1237:J1259" si="266">ROUND(E1237*I1237,2)</f>
        <v>5424.73</v>
      </c>
      <c r="K1237" s="60">
        <f t="shared" ref="K1237:K1252" si="267">H1237+J1237</f>
        <v>33566.19</v>
      </c>
      <c r="L1237" s="427"/>
      <c r="M1237" s="87"/>
      <c r="N1237" s="87"/>
      <c r="O1237" s="87"/>
      <c r="P1237" s="87"/>
      <c r="Q1237" s="87"/>
      <c r="R1237" s="87"/>
      <c r="S1237" s="87"/>
      <c r="T1237" s="87"/>
      <c r="U1237" s="87"/>
    </row>
    <row r="1238" spans="1:21" s="62" customFormat="1" ht="24" customHeight="1">
      <c r="A1238" s="67"/>
      <c r="B1238" s="426" t="s">
        <v>352</v>
      </c>
      <c r="C1238" s="424"/>
      <c r="D1238" s="424"/>
      <c r="E1238" s="425">
        <f>5.625*2</f>
        <v>11.25</v>
      </c>
      <c r="F1238" s="94" t="s">
        <v>151</v>
      </c>
      <c r="G1238" s="113">
        <v>335</v>
      </c>
      <c r="H1238" s="59">
        <f t="shared" si="265"/>
        <v>3768.75</v>
      </c>
      <c r="I1238" s="114">
        <v>99</v>
      </c>
      <c r="J1238" s="59">
        <f t="shared" si="266"/>
        <v>1113.75</v>
      </c>
      <c r="K1238" s="60">
        <f t="shared" ref="K1238" si="268">H1238+J1238</f>
        <v>4882.5</v>
      </c>
      <c r="L1238" s="427"/>
      <c r="M1238" s="87"/>
      <c r="N1238" s="87"/>
      <c r="O1238" s="87"/>
      <c r="P1238" s="87"/>
      <c r="Q1238" s="87"/>
      <c r="R1238" s="87"/>
      <c r="S1238" s="87"/>
      <c r="T1238" s="87"/>
      <c r="U1238" s="87"/>
    </row>
    <row r="1239" spans="1:21" s="62" customFormat="1" ht="24" customHeight="1">
      <c r="A1239" s="67"/>
      <c r="B1239" s="426" t="s">
        <v>152</v>
      </c>
      <c r="C1239" s="423"/>
      <c r="D1239" s="423"/>
      <c r="E1239" s="425"/>
      <c r="F1239" s="94"/>
      <c r="G1239" s="113"/>
      <c r="H1239" s="59">
        <f t="shared" si="265"/>
        <v>0</v>
      </c>
      <c r="I1239" s="114"/>
      <c r="J1239" s="59">
        <f t="shared" si="266"/>
        <v>0</v>
      </c>
      <c r="K1239" s="60">
        <f t="shared" si="267"/>
        <v>0</v>
      </c>
      <c r="L1239" s="427"/>
      <c r="M1239" s="87"/>
      <c r="N1239" s="87"/>
      <c r="O1239" s="87"/>
      <c r="P1239" s="87"/>
      <c r="Q1239" s="87"/>
      <c r="R1239" s="87"/>
      <c r="S1239" s="87"/>
      <c r="T1239" s="87"/>
      <c r="U1239" s="87"/>
    </row>
    <row r="1240" spans="1:21" s="62" customFormat="1" ht="24" customHeight="1">
      <c r="A1240" s="67"/>
      <c r="B1240" s="426"/>
      <c r="C1240" s="423" t="s">
        <v>153</v>
      </c>
      <c r="D1240" s="423"/>
      <c r="E1240" s="425">
        <f>E1241/2</f>
        <v>20.725000000000001</v>
      </c>
      <c r="F1240" s="94" t="s">
        <v>37</v>
      </c>
      <c r="G1240" s="113">
        <v>661.62</v>
      </c>
      <c r="H1240" s="59">
        <f t="shared" si="265"/>
        <v>13712.07</v>
      </c>
      <c r="I1240" s="114"/>
      <c r="J1240" s="59">
        <f t="shared" si="266"/>
        <v>0</v>
      </c>
      <c r="K1240" s="60">
        <f t="shared" si="267"/>
        <v>13712.07</v>
      </c>
      <c r="L1240" s="427"/>
      <c r="M1240" s="87"/>
      <c r="N1240" s="87"/>
      <c r="O1240" s="87"/>
      <c r="P1240" s="87"/>
      <c r="Q1240" s="87"/>
      <c r="R1240" s="87"/>
      <c r="S1240" s="87"/>
      <c r="T1240" s="87"/>
      <c r="U1240" s="87"/>
    </row>
    <row r="1241" spans="1:21" s="62" customFormat="1" ht="24" customHeight="1">
      <c r="A1241" s="67"/>
      <c r="B1241" s="426"/>
      <c r="C1241" s="423" t="s">
        <v>154</v>
      </c>
      <c r="D1241" s="423"/>
      <c r="E1241" s="425">
        <f>32.45+9</f>
        <v>41.45</v>
      </c>
      <c r="F1241" s="94" t="s">
        <v>37</v>
      </c>
      <c r="G1241" s="113"/>
      <c r="H1241" s="59">
        <f t="shared" si="265"/>
        <v>0</v>
      </c>
      <c r="I1241" s="114">
        <v>154</v>
      </c>
      <c r="J1241" s="59">
        <f t="shared" si="266"/>
        <v>6383.3</v>
      </c>
      <c r="K1241" s="60">
        <f t="shared" si="267"/>
        <v>6383.3</v>
      </c>
      <c r="L1241" s="427"/>
      <c r="M1241" s="87"/>
      <c r="N1241" s="87"/>
      <c r="O1241" s="87"/>
      <c r="P1241" s="87"/>
      <c r="Q1241" s="87"/>
      <c r="R1241" s="87"/>
      <c r="S1241" s="87"/>
      <c r="T1241" s="87"/>
      <c r="U1241" s="87"/>
    </row>
    <row r="1242" spans="1:21" s="62" customFormat="1" ht="24" customHeight="1">
      <c r="A1242" s="67"/>
      <c r="B1242" s="423" t="s">
        <v>155</v>
      </c>
      <c r="C1242" s="423"/>
      <c r="D1242" s="423"/>
      <c r="E1242" s="425">
        <f>(E1241*0.25)</f>
        <v>10.362500000000001</v>
      </c>
      <c r="F1242" s="94" t="s">
        <v>156</v>
      </c>
      <c r="G1242" s="113">
        <f t="shared" ref="G1242" si="269">VLOOKUP(B1242,$N$43:$O$53,2,FALSE)</f>
        <v>29.94</v>
      </c>
      <c r="H1242" s="59">
        <f t="shared" si="265"/>
        <v>310.25</v>
      </c>
      <c r="I1242" s="114"/>
      <c r="J1242" s="59">
        <f t="shared" si="266"/>
        <v>0</v>
      </c>
      <c r="K1242" s="60">
        <f t="shared" si="267"/>
        <v>310.25</v>
      </c>
      <c r="L1242" s="427"/>
      <c r="M1242" s="87"/>
      <c r="N1242" s="87"/>
      <c r="O1242" s="87"/>
      <c r="P1242" s="87"/>
      <c r="Q1242" s="87"/>
      <c r="R1242" s="87"/>
      <c r="S1242" s="87"/>
      <c r="T1242" s="87"/>
      <c r="U1242" s="87"/>
    </row>
    <row r="1243" spans="1:21" s="62" customFormat="1" ht="24" customHeight="1">
      <c r="A1243" s="67"/>
      <c r="B1243" s="423" t="s">
        <v>157</v>
      </c>
      <c r="C1243" s="423"/>
      <c r="D1243" s="423"/>
      <c r="E1243" s="425"/>
      <c r="F1243" s="115"/>
      <c r="G1243" s="101"/>
      <c r="H1243" s="59">
        <f t="shared" si="265"/>
        <v>0</v>
      </c>
      <c r="I1243" s="114"/>
      <c r="J1243" s="59">
        <f t="shared" si="266"/>
        <v>0</v>
      </c>
      <c r="K1243" s="60">
        <f t="shared" si="267"/>
        <v>0</v>
      </c>
      <c r="L1243" s="427"/>
      <c r="M1243" s="87"/>
      <c r="N1243" s="87"/>
      <c r="O1243" s="87"/>
      <c r="P1243" s="87"/>
      <c r="Q1243" s="87"/>
      <c r="R1243" s="87"/>
      <c r="S1243" s="87"/>
      <c r="T1243" s="87"/>
      <c r="U1243" s="87"/>
    </row>
    <row r="1244" spans="1:21" s="62" customFormat="1" ht="24" customHeight="1">
      <c r="A1244" s="67"/>
      <c r="B1244" s="423" t="s">
        <v>158</v>
      </c>
      <c r="C1244" s="423"/>
      <c r="D1244" s="423"/>
      <c r="E1244" s="425">
        <v>131.11875000000001</v>
      </c>
      <c r="F1244" s="94" t="s">
        <v>156</v>
      </c>
      <c r="G1244" s="113">
        <f>VLOOKUP(B1244,$N$43:$O$54,2,FALSE)</f>
        <v>25.73</v>
      </c>
      <c r="H1244" s="59">
        <f t="shared" si="265"/>
        <v>3373.69</v>
      </c>
      <c r="I1244" s="103">
        <v>4.0999999999999996</v>
      </c>
      <c r="J1244" s="59">
        <f t="shared" si="266"/>
        <v>537.59</v>
      </c>
      <c r="K1244" s="60">
        <f t="shared" si="267"/>
        <v>3911.28</v>
      </c>
      <c r="L1244" s="427"/>
      <c r="M1244" s="87"/>
      <c r="N1244" s="87"/>
      <c r="O1244" s="87"/>
      <c r="P1244" s="87"/>
      <c r="Q1244" s="87"/>
      <c r="R1244" s="87"/>
      <c r="S1244" s="87"/>
      <c r="T1244" s="87"/>
      <c r="U1244" s="87"/>
    </row>
    <row r="1245" spans="1:21" s="62" customFormat="1" ht="24" customHeight="1">
      <c r="A1245" s="67"/>
      <c r="B1245" s="423" t="s">
        <v>159</v>
      </c>
      <c r="C1245" s="423"/>
      <c r="D1245" s="423"/>
      <c r="E1245" s="425">
        <v>169</v>
      </c>
      <c r="F1245" s="94" t="s">
        <v>156</v>
      </c>
      <c r="G1245" s="113">
        <f t="shared" ref="G1245:G1252" si="270">VLOOKUP(B1245,$N$43:$O$54,2,FALSE)</f>
        <v>24.97</v>
      </c>
      <c r="H1245" s="59">
        <f t="shared" si="265"/>
        <v>4219.93</v>
      </c>
      <c r="I1245" s="114">
        <v>4.0999999999999996</v>
      </c>
      <c r="J1245" s="59">
        <f t="shared" si="266"/>
        <v>692.9</v>
      </c>
      <c r="K1245" s="60">
        <f t="shared" si="267"/>
        <v>4912.83</v>
      </c>
      <c r="L1245" s="427"/>
      <c r="M1245" s="87"/>
      <c r="N1245" s="87"/>
      <c r="O1245" s="87"/>
      <c r="P1245" s="87"/>
      <c r="Q1245" s="87"/>
      <c r="R1245" s="87"/>
      <c r="S1245" s="87"/>
      <c r="T1245" s="87"/>
      <c r="U1245" s="87"/>
    </row>
    <row r="1246" spans="1:21" s="62" customFormat="1" ht="24" customHeight="1">
      <c r="A1246" s="67"/>
      <c r="B1246" s="423" t="s">
        <v>160</v>
      </c>
      <c r="C1246" s="423"/>
      <c r="D1246" s="423"/>
      <c r="E1246" s="425">
        <v>419.47334400000005</v>
      </c>
      <c r="F1246" s="94" t="s">
        <v>156</v>
      </c>
      <c r="G1246" s="113">
        <f t="shared" si="270"/>
        <v>24.47</v>
      </c>
      <c r="H1246" s="59">
        <f t="shared" si="265"/>
        <v>10264.51</v>
      </c>
      <c r="I1246" s="114">
        <v>3.3</v>
      </c>
      <c r="J1246" s="59">
        <f t="shared" si="266"/>
        <v>1384.26</v>
      </c>
      <c r="K1246" s="60">
        <f t="shared" si="267"/>
        <v>11648.77</v>
      </c>
      <c r="L1246" s="427"/>
      <c r="M1246" s="87"/>
      <c r="N1246" s="87"/>
      <c r="O1246" s="87"/>
      <c r="P1246" s="87"/>
      <c r="Q1246" s="87"/>
      <c r="R1246" s="87"/>
      <c r="S1246" s="87"/>
      <c r="T1246" s="87"/>
      <c r="U1246" s="87"/>
    </row>
    <row r="1247" spans="1:21" s="62" customFormat="1" ht="24" customHeight="1">
      <c r="A1247" s="67"/>
      <c r="B1247" s="423" t="s">
        <v>161</v>
      </c>
      <c r="C1247" s="423"/>
      <c r="D1247" s="423"/>
      <c r="E1247" s="425"/>
      <c r="F1247" s="115" t="s">
        <v>156</v>
      </c>
      <c r="G1247" s="113">
        <f t="shared" si="270"/>
        <v>24.27</v>
      </c>
      <c r="H1247" s="59">
        <f t="shared" si="265"/>
        <v>0</v>
      </c>
      <c r="I1247" s="114">
        <v>3.3</v>
      </c>
      <c r="J1247" s="59">
        <f t="shared" si="266"/>
        <v>0</v>
      </c>
      <c r="K1247" s="60">
        <f t="shared" si="267"/>
        <v>0</v>
      </c>
      <c r="L1247" s="427"/>
      <c r="M1247" s="87"/>
      <c r="N1247" s="87"/>
      <c r="O1247" s="87"/>
      <c r="P1247" s="87"/>
      <c r="Q1247" s="87"/>
      <c r="R1247" s="87"/>
      <c r="S1247" s="87"/>
      <c r="T1247" s="87"/>
      <c r="U1247" s="87"/>
    </row>
    <row r="1248" spans="1:21" s="62" customFormat="1" ht="24" customHeight="1">
      <c r="A1248" s="67"/>
      <c r="B1248" s="423" t="s">
        <v>162</v>
      </c>
      <c r="C1248" s="423"/>
      <c r="D1248" s="423"/>
      <c r="E1248" s="425"/>
      <c r="F1248" s="94" t="s">
        <v>156</v>
      </c>
      <c r="G1248" s="113">
        <f t="shared" si="270"/>
        <v>24.27</v>
      </c>
      <c r="H1248" s="59">
        <f t="shared" si="265"/>
        <v>0</v>
      </c>
      <c r="I1248" s="114">
        <v>2.9</v>
      </c>
      <c r="J1248" s="59">
        <f t="shared" si="266"/>
        <v>0</v>
      </c>
      <c r="K1248" s="60">
        <f t="shared" si="267"/>
        <v>0</v>
      </c>
      <c r="L1248" s="427"/>
      <c r="M1248" s="87"/>
      <c r="N1248" s="87"/>
      <c r="O1248" s="87"/>
      <c r="P1248" s="87"/>
      <c r="Q1248" s="87"/>
      <c r="R1248" s="87"/>
      <c r="S1248" s="87"/>
      <c r="T1248" s="87"/>
      <c r="U1248" s="87"/>
    </row>
    <row r="1249" spans="1:21" s="62" customFormat="1" ht="24" customHeight="1">
      <c r="A1249" s="67"/>
      <c r="B1249" s="423" t="s">
        <v>163</v>
      </c>
      <c r="C1249" s="423"/>
      <c r="D1249" s="423"/>
      <c r="E1249" s="425"/>
      <c r="F1249" s="94" t="s">
        <v>156</v>
      </c>
      <c r="G1249" s="113">
        <f t="shared" si="270"/>
        <v>24.27</v>
      </c>
      <c r="H1249" s="59">
        <f t="shared" si="265"/>
        <v>0</v>
      </c>
      <c r="I1249" s="114">
        <v>2.9</v>
      </c>
      <c r="J1249" s="59">
        <f t="shared" si="266"/>
        <v>0</v>
      </c>
      <c r="K1249" s="60">
        <f t="shared" si="267"/>
        <v>0</v>
      </c>
      <c r="L1249" s="427"/>
      <c r="M1249" s="87"/>
      <c r="N1249" s="87"/>
      <c r="O1249" s="87"/>
      <c r="P1249" s="87"/>
      <c r="Q1249" s="87"/>
      <c r="R1249" s="87"/>
      <c r="S1249" s="87"/>
      <c r="T1249" s="87"/>
      <c r="U1249" s="87"/>
    </row>
    <row r="1250" spans="1:21" s="62" customFormat="1" ht="24" customHeight="1">
      <c r="A1250" s="67"/>
      <c r="B1250" s="423" t="s">
        <v>164</v>
      </c>
      <c r="C1250" s="423"/>
      <c r="D1250" s="423"/>
      <c r="E1250" s="425"/>
      <c r="F1250" s="94" t="s">
        <v>156</v>
      </c>
      <c r="G1250" s="113">
        <f t="shared" si="270"/>
        <v>24.27</v>
      </c>
      <c r="H1250" s="59">
        <f t="shared" si="265"/>
        <v>0</v>
      </c>
      <c r="I1250" s="114">
        <v>2.9</v>
      </c>
      <c r="J1250" s="59">
        <f t="shared" si="266"/>
        <v>0</v>
      </c>
      <c r="K1250" s="60">
        <f t="shared" si="267"/>
        <v>0</v>
      </c>
      <c r="L1250" s="427"/>
      <c r="M1250" s="87"/>
      <c r="N1250" s="87"/>
      <c r="O1250" s="87"/>
      <c r="P1250" s="87"/>
      <c r="Q1250" s="87"/>
      <c r="R1250" s="87"/>
      <c r="S1250" s="87"/>
      <c r="T1250" s="87"/>
      <c r="U1250" s="87"/>
    </row>
    <row r="1251" spans="1:21" s="62" customFormat="1" ht="24" customHeight="1">
      <c r="A1251" s="67"/>
      <c r="B1251" s="423" t="s">
        <v>165</v>
      </c>
      <c r="C1251" s="423"/>
      <c r="D1251" s="423"/>
      <c r="E1251" s="425"/>
      <c r="F1251" s="94" t="s">
        <v>156</v>
      </c>
      <c r="G1251" s="113">
        <f t="shared" si="270"/>
        <v>23.8</v>
      </c>
      <c r="H1251" s="59">
        <f t="shared" si="265"/>
        <v>0</v>
      </c>
      <c r="I1251" s="114">
        <v>2.9</v>
      </c>
      <c r="J1251" s="59">
        <f t="shared" si="266"/>
        <v>0</v>
      </c>
      <c r="K1251" s="60">
        <f t="shared" si="267"/>
        <v>0</v>
      </c>
      <c r="L1251" s="427"/>
      <c r="M1251" s="87"/>
      <c r="N1251" s="87"/>
      <c r="O1251" s="87"/>
      <c r="P1251" s="87"/>
      <c r="Q1251" s="87"/>
      <c r="R1251" s="87"/>
      <c r="S1251" s="87"/>
      <c r="T1251" s="87"/>
      <c r="U1251" s="87"/>
    </row>
    <row r="1252" spans="1:21" s="62" customFormat="1" ht="24" customHeight="1">
      <c r="A1252" s="67"/>
      <c r="B1252" s="423" t="s">
        <v>166</v>
      </c>
      <c r="C1252" s="423"/>
      <c r="D1252" s="423"/>
      <c r="E1252" s="425">
        <f>(SUM(E1244:E1251)/1000)*30</f>
        <v>21.587762820000005</v>
      </c>
      <c r="F1252" s="94" t="s">
        <v>156</v>
      </c>
      <c r="G1252" s="113">
        <f t="shared" si="270"/>
        <v>29.92</v>
      </c>
      <c r="H1252" s="59">
        <f t="shared" si="265"/>
        <v>645.91</v>
      </c>
      <c r="I1252" s="114"/>
      <c r="J1252" s="59">
        <f t="shared" si="266"/>
        <v>0</v>
      </c>
      <c r="K1252" s="60">
        <f t="shared" si="267"/>
        <v>645.91</v>
      </c>
      <c r="L1252" s="427"/>
      <c r="M1252" s="87"/>
      <c r="N1252" s="87"/>
      <c r="O1252" s="87"/>
      <c r="P1252" s="87"/>
      <c r="Q1252" s="87"/>
      <c r="R1252" s="87"/>
      <c r="S1252" s="87"/>
      <c r="T1252" s="87"/>
      <c r="U1252" s="87"/>
    </row>
    <row r="1253" spans="1:21" s="62" customFormat="1" ht="24" customHeight="1">
      <c r="A1253" s="67"/>
      <c r="B1253" s="423" t="s">
        <v>241</v>
      </c>
      <c r="C1253" s="423"/>
      <c r="D1253" s="468"/>
      <c r="E1253" s="425">
        <v>714</v>
      </c>
      <c r="F1253" s="94" t="s">
        <v>156</v>
      </c>
      <c r="G1253" s="113">
        <v>32.999999999999993</v>
      </c>
      <c r="H1253" s="59">
        <f t="shared" si="265"/>
        <v>23562</v>
      </c>
      <c r="I1253" s="673">
        <v>14</v>
      </c>
      <c r="J1253" s="59">
        <f t="shared" si="266"/>
        <v>9996</v>
      </c>
      <c r="K1253" s="59">
        <f>H1253+J1253</f>
        <v>33558</v>
      </c>
      <c r="L1253" s="427"/>
      <c r="M1253" s="87"/>
      <c r="N1253" s="87"/>
      <c r="O1253" s="87"/>
      <c r="P1253" s="87"/>
      <c r="Q1253" s="87"/>
      <c r="R1253" s="87"/>
      <c r="S1253" s="87"/>
      <c r="T1253" s="87"/>
      <c r="U1253" s="87"/>
    </row>
    <row r="1254" spans="1:21" s="62" customFormat="1" ht="24" customHeight="1">
      <c r="A1254" s="67"/>
      <c r="B1254" s="423" t="s">
        <v>238</v>
      </c>
      <c r="C1254" s="423"/>
      <c r="D1254" s="468"/>
      <c r="E1254" s="425">
        <v>2694.6</v>
      </c>
      <c r="F1254" s="94" t="s">
        <v>156</v>
      </c>
      <c r="G1254" s="113">
        <v>33.1</v>
      </c>
      <c r="H1254" s="59">
        <f t="shared" si="265"/>
        <v>89191.26</v>
      </c>
      <c r="I1254" s="673">
        <v>14</v>
      </c>
      <c r="J1254" s="59">
        <f t="shared" si="266"/>
        <v>37724.400000000001</v>
      </c>
      <c r="K1254" s="59">
        <f>H1254+J1254</f>
        <v>126915.66</v>
      </c>
      <c r="L1254" s="427"/>
      <c r="M1254" s="87"/>
      <c r="N1254" s="87"/>
      <c r="O1254" s="87"/>
      <c r="P1254" s="87"/>
      <c r="Q1254" s="87"/>
      <c r="R1254" s="87"/>
      <c r="S1254" s="87"/>
      <c r="T1254" s="87"/>
      <c r="U1254" s="87"/>
    </row>
    <row r="1255" spans="1:21" s="62" customFormat="1" ht="24" customHeight="1">
      <c r="A1255" s="460"/>
      <c r="B1255" s="423" t="s">
        <v>353</v>
      </c>
      <c r="C1255" s="423"/>
      <c r="D1255" s="468"/>
      <c r="E1255" s="425">
        <v>34.380000000000003</v>
      </c>
      <c r="F1255" s="94" t="s">
        <v>156</v>
      </c>
      <c r="G1255" s="113">
        <v>32.590051457975989</v>
      </c>
      <c r="H1255" s="59">
        <f t="shared" si="265"/>
        <v>1120.45</v>
      </c>
      <c r="I1255" s="673">
        <v>14</v>
      </c>
      <c r="J1255" s="59">
        <f t="shared" si="266"/>
        <v>481.32</v>
      </c>
      <c r="K1255" s="59">
        <f t="shared" ref="K1255:K1259" si="271">H1255+J1255</f>
        <v>1601.77</v>
      </c>
      <c r="L1255" s="427"/>
      <c r="M1255" s="87"/>
      <c r="N1255" s="87"/>
      <c r="O1255" s="87"/>
      <c r="P1255" s="87"/>
      <c r="Q1255" s="87"/>
      <c r="R1255" s="87"/>
      <c r="S1255" s="87"/>
      <c r="T1255" s="87"/>
      <c r="U1255" s="87"/>
    </row>
    <row r="1256" spans="1:21" s="62" customFormat="1" ht="24" customHeight="1">
      <c r="A1256" s="460"/>
      <c r="B1256" s="423" t="s">
        <v>354</v>
      </c>
      <c r="C1256" s="428"/>
      <c r="D1256" s="472"/>
      <c r="E1256" s="425">
        <v>216</v>
      </c>
      <c r="F1256" s="94" t="s">
        <v>156</v>
      </c>
      <c r="G1256" s="113">
        <v>32.581360946745562</v>
      </c>
      <c r="H1256" s="59">
        <f t="shared" si="265"/>
        <v>7037.57</v>
      </c>
      <c r="I1256" s="673">
        <v>14</v>
      </c>
      <c r="J1256" s="59">
        <f t="shared" si="266"/>
        <v>3024</v>
      </c>
      <c r="K1256" s="59">
        <f t="shared" si="271"/>
        <v>10061.57</v>
      </c>
      <c r="L1256" s="427"/>
      <c r="M1256" s="87"/>
      <c r="N1256" s="87"/>
      <c r="O1256" s="87"/>
      <c r="P1256" s="87"/>
      <c r="Q1256" s="87"/>
      <c r="R1256" s="87"/>
      <c r="S1256" s="87"/>
      <c r="T1256" s="87"/>
      <c r="U1256" s="87"/>
    </row>
    <row r="1257" spans="1:21" s="62" customFormat="1" ht="24" customHeight="1">
      <c r="A1257" s="464"/>
      <c r="B1257" s="423" t="s">
        <v>355</v>
      </c>
      <c r="C1257" s="471"/>
      <c r="D1257" s="472"/>
      <c r="E1257" s="425">
        <v>478.14</v>
      </c>
      <c r="F1257" s="94" t="s">
        <v>156</v>
      </c>
      <c r="G1257" s="113">
        <v>33.15</v>
      </c>
      <c r="H1257" s="59">
        <f t="shared" si="265"/>
        <v>15850.34</v>
      </c>
      <c r="I1257" s="673">
        <v>14</v>
      </c>
      <c r="J1257" s="59">
        <f t="shared" si="266"/>
        <v>6693.96</v>
      </c>
      <c r="K1257" s="59">
        <f t="shared" si="271"/>
        <v>22544.3</v>
      </c>
      <c r="L1257" s="427"/>
      <c r="M1257" s="87"/>
      <c r="N1257" s="87"/>
      <c r="O1257" s="87"/>
      <c r="P1257" s="87"/>
      <c r="Q1257" s="87"/>
      <c r="R1257" s="87"/>
      <c r="S1257" s="87"/>
      <c r="T1257" s="87"/>
      <c r="U1257" s="87"/>
    </row>
    <row r="1258" spans="1:21" s="62" customFormat="1" ht="24" customHeight="1">
      <c r="A1258" s="67"/>
      <c r="B1258" s="423" t="s">
        <v>356</v>
      </c>
      <c r="C1258" s="471"/>
      <c r="D1258" s="472"/>
      <c r="E1258" s="425">
        <v>172.11</v>
      </c>
      <c r="F1258" s="94" t="s">
        <v>156</v>
      </c>
      <c r="G1258" s="113">
        <v>33.657962328767127</v>
      </c>
      <c r="H1258" s="59">
        <f t="shared" si="265"/>
        <v>5792.87</v>
      </c>
      <c r="I1258" s="673">
        <v>14</v>
      </c>
      <c r="J1258" s="59">
        <f t="shared" si="266"/>
        <v>2409.54</v>
      </c>
      <c r="K1258" s="59">
        <f t="shared" si="271"/>
        <v>8202.41</v>
      </c>
      <c r="L1258" s="427"/>
      <c r="M1258" s="87"/>
      <c r="N1258" s="87"/>
      <c r="O1258" s="87"/>
      <c r="P1258" s="87"/>
      <c r="Q1258" s="87"/>
      <c r="R1258" s="87"/>
      <c r="S1258" s="87"/>
      <c r="T1258" s="87"/>
      <c r="U1258" s="87"/>
    </row>
    <row r="1259" spans="1:21" s="62" customFormat="1" ht="24" customHeight="1">
      <c r="A1259" s="67"/>
      <c r="B1259" s="423" t="s">
        <v>325</v>
      </c>
      <c r="C1259" s="423"/>
      <c r="D1259" s="430"/>
      <c r="E1259" s="425">
        <v>36</v>
      </c>
      <c r="F1259" s="94" t="s">
        <v>240</v>
      </c>
      <c r="G1259" s="113">
        <v>128</v>
      </c>
      <c r="H1259" s="59">
        <f t="shared" si="265"/>
        <v>4608</v>
      </c>
      <c r="I1259" s="674"/>
      <c r="J1259" s="59">
        <f t="shared" si="266"/>
        <v>0</v>
      </c>
      <c r="K1259" s="59">
        <f t="shared" si="271"/>
        <v>4608</v>
      </c>
      <c r="L1259" s="427"/>
      <c r="M1259" s="87"/>
      <c r="N1259" s="87"/>
      <c r="O1259" s="87"/>
      <c r="P1259" s="87"/>
      <c r="Q1259" s="87"/>
      <c r="R1259" s="87"/>
      <c r="S1259" s="87"/>
      <c r="T1259" s="87"/>
      <c r="U1259" s="87"/>
    </row>
    <row r="1260" spans="1:21" s="62" customFormat="1" ht="24" customHeight="1">
      <c r="A1260" s="109"/>
      <c r="B1260" s="2444" t="str">
        <f>"รวมราคารายการที่ "&amp;A1236</f>
        <v>รวมราคารายการที่ 1.12</v>
      </c>
      <c r="C1260" s="2444"/>
      <c r="D1260" s="2444"/>
      <c r="E1260" s="110"/>
      <c r="F1260" s="111"/>
      <c r="G1260" s="112"/>
      <c r="H1260" s="106">
        <f>ROUND(SUBTOTAL(9,H1237:H1259),2)</f>
        <v>211599.06</v>
      </c>
      <c r="I1260" s="108"/>
      <c r="J1260" s="106">
        <f>ROUND(SUBTOTAL(9,J1237:J1259),2)</f>
        <v>75865.75</v>
      </c>
      <c r="K1260" s="106">
        <f>ROUND(SUBTOTAL(9,K1237:K1259),2)</f>
        <v>287464.81</v>
      </c>
      <c r="L1260" s="106"/>
      <c r="M1260" s="87"/>
      <c r="N1260" s="87"/>
      <c r="O1260" s="87"/>
      <c r="P1260" s="87"/>
      <c r="Q1260" s="87"/>
      <c r="R1260" s="87"/>
      <c r="S1260" s="87"/>
      <c r="T1260" s="87"/>
      <c r="U1260" s="87"/>
    </row>
  </sheetData>
  <mergeCells count="21">
    <mergeCell ref="B1110:D1110"/>
    <mergeCell ref="B1235:D1235"/>
    <mergeCell ref="B1260:D1260"/>
    <mergeCell ref="B785:D785"/>
    <mergeCell ref="B910:D910"/>
    <mergeCell ref="B1035:D1035"/>
    <mergeCell ref="B1160:D1160"/>
    <mergeCell ref="B610:D610"/>
    <mergeCell ref="L7:L8"/>
    <mergeCell ref="A9:A10"/>
    <mergeCell ref="B9:D10"/>
    <mergeCell ref="E9:E10"/>
    <mergeCell ref="F9:F10"/>
    <mergeCell ref="G9:H9"/>
    <mergeCell ref="I9:J9"/>
    <mergeCell ref="L9:L10"/>
    <mergeCell ref="B35:D35"/>
    <mergeCell ref="B110:D110"/>
    <mergeCell ref="B235:D235"/>
    <mergeCell ref="B360:D360"/>
    <mergeCell ref="B485:D485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&amp;Rงานโครงสร้าง-อาคารสนับสนุน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23325-08E6-4917-9283-F7A3B95AAAB6}">
  <sheetPr>
    <tabColor rgb="FF92D050"/>
  </sheetPr>
  <dimension ref="A1:O138"/>
  <sheetViews>
    <sheetView showGridLines="0" tabSelected="1" view="pageBreakPreview" topLeftCell="A124" zoomScale="70" zoomScaleNormal="6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87890625" style="1" customWidth="1"/>
    <col min="13" max="92" width="7.703125" style="1" customWidth="1"/>
    <col min="93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1635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 t="s">
        <v>29</v>
      </c>
      <c r="B11" s="1144" t="s">
        <v>1776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 t="str">
        <f>A36</f>
        <v>5.1</v>
      </c>
      <c r="B12" s="1148" t="str">
        <f>B36</f>
        <v>ระบบน้ำประปา (Cold Water Supply System)</v>
      </c>
      <c r="C12" s="1123"/>
      <c r="D12" s="1124"/>
      <c r="E12" s="1149">
        <v>1</v>
      </c>
      <c r="F12" s="1150" t="s">
        <v>19</v>
      </c>
      <c r="G12" s="710"/>
      <c r="H12" s="711">
        <f>H65</f>
        <v>147063</v>
      </c>
      <c r="I12" s="712"/>
      <c r="J12" s="711">
        <f>J65</f>
        <v>51357</v>
      </c>
      <c r="K12" s="1129">
        <f t="shared" ref="K12:K15" si="0">SUM(H12:J12)</f>
        <v>198420</v>
      </c>
      <c r="L12" s="1024"/>
    </row>
    <row r="13" spans="1:12" s="714" customFormat="1" ht="24" customHeight="1">
      <c r="A13" s="1159" t="str">
        <f>A66</f>
        <v>5.2</v>
      </c>
      <c r="B13" s="1160" t="str">
        <f>B66</f>
        <v xml:space="preserve">ระบบระบายน้ำโสโครก น้ำทิ้ง ระบายอากาศ และ ท่อน้ำทิ้งจากห้องครัว </v>
      </c>
      <c r="C13" s="1161"/>
      <c r="D13" s="1162"/>
      <c r="E13" s="1183">
        <v>1</v>
      </c>
      <c r="F13" s="1163" t="s">
        <v>19</v>
      </c>
      <c r="G13" s="1164"/>
      <c r="H13" s="957">
        <f>H96</f>
        <v>327060</v>
      </c>
      <c r="I13" s="1165"/>
      <c r="J13" s="957">
        <f>J96</f>
        <v>115938</v>
      </c>
      <c r="K13" s="1129">
        <f t="shared" si="0"/>
        <v>442998</v>
      </c>
      <c r="L13" s="954"/>
    </row>
    <row r="14" spans="1:12" s="714" customFormat="1" ht="24" customHeight="1">
      <c r="A14" s="1159">
        <f>A97</f>
        <v>5.3</v>
      </c>
      <c r="B14" s="1160" t="str">
        <f>B97</f>
        <v>ระบบระบายน้ำฝนและระบายน้ำในอาคาร (Storm Drain &amp; Building Drain System)</v>
      </c>
      <c r="C14" s="1161"/>
      <c r="D14" s="1162"/>
      <c r="E14" s="1183">
        <v>1</v>
      </c>
      <c r="F14" s="1163" t="s">
        <v>19</v>
      </c>
      <c r="G14" s="1164"/>
      <c r="H14" s="957">
        <f>H109</f>
        <v>16934</v>
      </c>
      <c r="I14" s="1165"/>
      <c r="J14" s="957">
        <f>J109</f>
        <v>5335</v>
      </c>
      <c r="K14" s="1129">
        <f t="shared" si="0"/>
        <v>22269</v>
      </c>
      <c r="L14" s="1024"/>
    </row>
    <row r="15" spans="1:12" s="714" customFormat="1" ht="24" customHeight="1">
      <c r="A15" s="1159" t="str">
        <f>A110</f>
        <v>5.4</v>
      </c>
      <c r="B15" s="1160" t="str">
        <f>B110</f>
        <v>ระบบน้ำชำระสุขภัณฑ์ (Flush Water System)</v>
      </c>
      <c r="C15" s="1161"/>
      <c r="D15" s="1162"/>
      <c r="E15" s="1183">
        <v>1</v>
      </c>
      <c r="F15" s="1163" t="s">
        <v>19</v>
      </c>
      <c r="G15" s="1164"/>
      <c r="H15" s="957">
        <f>H136</f>
        <v>107975</v>
      </c>
      <c r="I15" s="1165"/>
      <c r="J15" s="957">
        <f>J136</f>
        <v>31386</v>
      </c>
      <c r="K15" s="1129">
        <f t="shared" si="0"/>
        <v>139361</v>
      </c>
      <c r="L15" s="1024"/>
    </row>
    <row r="16" spans="1:12" s="714" customFormat="1" ht="24" customHeight="1">
      <c r="A16" s="1147"/>
      <c r="B16" s="1148"/>
      <c r="C16" s="1123"/>
      <c r="D16" s="1124"/>
      <c r="E16" s="1149"/>
      <c r="F16" s="1150"/>
      <c r="G16" s="710"/>
      <c r="H16" s="711"/>
      <c r="I16" s="712"/>
      <c r="J16" s="711"/>
      <c r="K16" s="1129"/>
      <c r="L16" s="1024"/>
    </row>
    <row r="17" spans="1:12" s="714" customFormat="1" ht="24" customHeight="1">
      <c r="A17" s="1147"/>
      <c r="B17" s="1148"/>
      <c r="C17" s="1123"/>
      <c r="D17" s="1124"/>
      <c r="E17" s="1149"/>
      <c r="F17" s="1150"/>
      <c r="G17" s="710"/>
      <c r="H17" s="711"/>
      <c r="I17" s="712"/>
      <c r="J17" s="711"/>
      <c r="K17" s="1129"/>
      <c r="L17" s="1024"/>
    </row>
    <row r="18" spans="1:12" s="714" customFormat="1" ht="24" customHeight="1">
      <c r="A18" s="1147"/>
      <c r="B18" s="1148"/>
      <c r="C18" s="1123"/>
      <c r="D18" s="1124"/>
      <c r="E18" s="1149"/>
      <c r="F18" s="1150"/>
      <c r="G18" s="710"/>
      <c r="H18" s="711"/>
      <c r="I18" s="712"/>
      <c r="J18" s="711"/>
      <c r="K18" s="1129"/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4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4" s="714" customFormat="1" ht="30" customHeight="1">
      <c r="A34" s="1166"/>
      <c r="B34" s="2475" t="str">
        <f>"รวมราคา"&amp;B11</f>
        <v>รวมราคางานระบบสุขาภิบาล ชั้น 6</v>
      </c>
      <c r="C34" s="2476"/>
      <c r="D34" s="2477"/>
      <c r="E34" s="1167"/>
      <c r="F34" s="1167"/>
      <c r="G34" s="1168"/>
      <c r="H34" s="1169">
        <f>SUM(H12:H33)</f>
        <v>599032</v>
      </c>
      <c r="I34" s="1170"/>
      <c r="J34" s="1169">
        <f>SUM(J12:J33)</f>
        <v>204016</v>
      </c>
      <c r="K34" s="1171">
        <f>SUM(K12:K33)</f>
        <v>803048</v>
      </c>
      <c r="L34" s="1171"/>
      <c r="M34" s="729"/>
      <c r="N34" s="729"/>
    </row>
    <row r="35" spans="1:14" s="714" customFormat="1" ht="24" customHeight="1">
      <c r="A35" s="1011"/>
      <c r="B35" s="1173" t="s">
        <v>30</v>
      </c>
      <c r="C35" s="859"/>
      <c r="D35" s="859"/>
      <c r="E35" s="1216"/>
      <c r="F35" s="935"/>
      <c r="G35" s="1174"/>
      <c r="H35" s="1175"/>
      <c r="I35" s="1176"/>
      <c r="J35" s="1175"/>
      <c r="K35" s="1176"/>
      <c r="L35" s="825"/>
      <c r="M35" s="729"/>
      <c r="N35" s="729"/>
    </row>
    <row r="36" spans="1:14" s="714" customFormat="1" ht="24" customHeight="1">
      <c r="A36" s="1177" t="s">
        <v>1637</v>
      </c>
      <c r="B36" s="1151" t="s">
        <v>1638</v>
      </c>
      <c r="C36" s="1178"/>
      <c r="D36" s="1124"/>
      <c r="E36" s="1149"/>
      <c r="F36" s="1150"/>
      <c r="G36" s="1179"/>
      <c r="H36" s="1180"/>
      <c r="I36" s="1181"/>
      <c r="J36" s="1180"/>
      <c r="K36" s="1181"/>
      <c r="L36" s="1182"/>
      <c r="M36" s="729"/>
      <c r="N36" s="729"/>
    </row>
    <row r="37" spans="1:14" s="714" customFormat="1" ht="24" customHeight="1">
      <c r="A37" s="1147" t="s">
        <v>1639</v>
      </c>
      <c r="B37" s="1148" t="s">
        <v>1746</v>
      </c>
      <c r="C37" s="1123"/>
      <c r="D37" s="1124"/>
      <c r="E37" s="1149"/>
      <c r="F37" s="1150"/>
      <c r="G37" s="1179"/>
      <c r="H37" s="796"/>
      <c r="I37" s="1181"/>
      <c r="J37" s="796"/>
      <c r="K37" s="797"/>
      <c r="L37" s="1182"/>
      <c r="M37" s="729"/>
      <c r="N37" s="729"/>
    </row>
    <row r="38" spans="1:14" s="714" customFormat="1" ht="24" customHeight="1">
      <c r="A38" s="1147"/>
      <c r="B38" s="1148" t="s">
        <v>1715</v>
      </c>
      <c r="C38" s="1123"/>
      <c r="D38" s="1124"/>
      <c r="E38" s="1149">
        <v>759</v>
      </c>
      <c r="F38" s="1150" t="s">
        <v>438</v>
      </c>
      <c r="G38" s="1179">
        <v>35</v>
      </c>
      <c r="H38" s="796">
        <f t="shared" ref="H38:H54" si="1">ROUND(E38*G38,)</f>
        <v>26565</v>
      </c>
      <c r="I38" s="1181">
        <v>30</v>
      </c>
      <c r="J38" s="796">
        <f t="shared" ref="J38:J46" si="2">ROUND(E38*I38,)</f>
        <v>22770</v>
      </c>
      <c r="K38" s="797">
        <f t="shared" ref="K38:K46" si="3">H38+J38</f>
        <v>49335</v>
      </c>
      <c r="L38" s="1182"/>
      <c r="M38" s="729"/>
      <c r="N38" s="729"/>
    </row>
    <row r="39" spans="1:14" s="714" customFormat="1" ht="24" customHeight="1">
      <c r="A39" s="1147"/>
      <c r="B39" s="1148" t="s">
        <v>1650</v>
      </c>
      <c r="C39" s="1123"/>
      <c r="D39" s="1124"/>
      <c r="E39" s="1149">
        <v>24</v>
      </c>
      <c r="F39" s="1150" t="s">
        <v>438</v>
      </c>
      <c r="G39" s="1179">
        <v>46</v>
      </c>
      <c r="H39" s="796">
        <f t="shared" si="1"/>
        <v>1104</v>
      </c>
      <c r="I39" s="1181">
        <v>30</v>
      </c>
      <c r="J39" s="796">
        <f t="shared" si="2"/>
        <v>720</v>
      </c>
      <c r="K39" s="797">
        <f t="shared" si="3"/>
        <v>1824</v>
      </c>
      <c r="L39" s="1182"/>
      <c r="M39" s="729"/>
      <c r="N39" s="729"/>
    </row>
    <row r="40" spans="1:14" s="714" customFormat="1" ht="24" customHeight="1">
      <c r="A40" s="1147"/>
      <c r="B40" s="1148" t="s">
        <v>1760</v>
      </c>
      <c r="C40" s="1123"/>
      <c r="D40" s="1124"/>
      <c r="E40" s="1149">
        <v>73</v>
      </c>
      <c r="F40" s="1150" t="s">
        <v>438</v>
      </c>
      <c r="G40" s="1179">
        <v>113</v>
      </c>
      <c r="H40" s="796">
        <f t="shared" si="1"/>
        <v>8249</v>
      </c>
      <c r="I40" s="1181">
        <v>50</v>
      </c>
      <c r="J40" s="796">
        <f t="shared" si="2"/>
        <v>3650</v>
      </c>
      <c r="K40" s="797">
        <f t="shared" si="3"/>
        <v>11899</v>
      </c>
      <c r="L40" s="1182"/>
      <c r="M40" s="729"/>
      <c r="N40" s="729"/>
    </row>
    <row r="41" spans="1:14" s="714" customFormat="1" ht="24" customHeight="1">
      <c r="A41" s="1147"/>
      <c r="B41" s="1148" t="s">
        <v>1761</v>
      </c>
      <c r="C41" s="1123"/>
      <c r="D41" s="1124"/>
      <c r="E41" s="1149">
        <v>18</v>
      </c>
      <c r="F41" s="1150" t="s">
        <v>438</v>
      </c>
      <c r="G41" s="1179">
        <v>193</v>
      </c>
      <c r="H41" s="796">
        <f t="shared" si="1"/>
        <v>3474</v>
      </c>
      <c r="I41" s="1181">
        <v>75</v>
      </c>
      <c r="J41" s="796">
        <f t="shared" si="2"/>
        <v>1350</v>
      </c>
      <c r="K41" s="797">
        <f t="shared" si="3"/>
        <v>4824</v>
      </c>
      <c r="L41" s="1182"/>
      <c r="M41" s="729"/>
      <c r="N41" s="729"/>
    </row>
    <row r="42" spans="1:14" s="714" customFormat="1" ht="24" customHeight="1">
      <c r="A42" s="1147"/>
      <c r="B42" s="1148" t="s">
        <v>1661</v>
      </c>
      <c r="C42" s="1123"/>
      <c r="D42" s="1124"/>
      <c r="E42" s="1149">
        <v>25</v>
      </c>
      <c r="F42" s="1150" t="s">
        <v>438</v>
      </c>
      <c r="G42" s="1179">
        <v>287</v>
      </c>
      <c r="H42" s="796">
        <f t="shared" si="1"/>
        <v>7175</v>
      </c>
      <c r="I42" s="1181">
        <v>100</v>
      </c>
      <c r="J42" s="796">
        <f t="shared" si="2"/>
        <v>2500</v>
      </c>
      <c r="K42" s="797">
        <f t="shared" si="3"/>
        <v>9675</v>
      </c>
      <c r="L42" s="1182"/>
      <c r="M42" s="729"/>
      <c r="N42" s="729"/>
    </row>
    <row r="43" spans="1:14" s="714" customFormat="1" ht="24" customHeight="1">
      <c r="A43" s="1147"/>
      <c r="B43" s="1148" t="s">
        <v>1642</v>
      </c>
      <c r="C43" s="1123"/>
      <c r="D43" s="1124"/>
      <c r="E43" s="1149">
        <v>10</v>
      </c>
      <c r="F43" s="1150" t="s">
        <v>438</v>
      </c>
      <c r="G43" s="1179">
        <v>562</v>
      </c>
      <c r="H43" s="796">
        <f t="shared" si="1"/>
        <v>5620</v>
      </c>
      <c r="I43" s="1181">
        <v>120</v>
      </c>
      <c r="J43" s="796">
        <f t="shared" si="2"/>
        <v>1200</v>
      </c>
      <c r="K43" s="797">
        <f t="shared" si="3"/>
        <v>6820</v>
      </c>
      <c r="L43" s="1182"/>
      <c r="M43" s="729"/>
      <c r="N43" s="729"/>
    </row>
    <row r="44" spans="1:14" s="714" customFormat="1" ht="24" customHeight="1">
      <c r="A44" s="1147"/>
      <c r="B44" s="1148" t="s">
        <v>1645</v>
      </c>
      <c r="C44" s="1123"/>
      <c r="D44" s="1124"/>
      <c r="E44" s="1149">
        <v>1</v>
      </c>
      <c r="F44" s="1150" t="s">
        <v>948</v>
      </c>
      <c r="G44" s="1179">
        <f>ROUND(SUM(H38:H43)*50%,)</f>
        <v>26094</v>
      </c>
      <c r="H44" s="796">
        <f t="shared" si="1"/>
        <v>26094</v>
      </c>
      <c r="I44" s="1181">
        <f t="shared" ref="I44:I46" si="4">ROUNDUP(G44*30%,0)</f>
        <v>7829</v>
      </c>
      <c r="J44" s="796">
        <f t="shared" si="2"/>
        <v>7829</v>
      </c>
      <c r="K44" s="797">
        <f t="shared" si="3"/>
        <v>33923</v>
      </c>
      <c r="L44" s="1182"/>
      <c r="M44" s="729"/>
      <c r="N44" s="729"/>
    </row>
    <row r="45" spans="1:14" s="714" customFormat="1" ht="24" customHeight="1">
      <c r="A45" s="1147"/>
      <c r="B45" s="1148" t="s">
        <v>1646</v>
      </c>
      <c r="C45" s="1123"/>
      <c r="D45" s="1124"/>
      <c r="E45" s="1149">
        <v>1</v>
      </c>
      <c r="F45" s="1150" t="s">
        <v>948</v>
      </c>
      <c r="G45" s="1179">
        <f>ROUND(SUM(H38:H43)*20%,)</f>
        <v>10437</v>
      </c>
      <c r="H45" s="796">
        <f t="shared" si="1"/>
        <v>10437</v>
      </c>
      <c r="I45" s="1181">
        <f t="shared" si="4"/>
        <v>3132</v>
      </c>
      <c r="J45" s="796">
        <f t="shared" si="2"/>
        <v>3132</v>
      </c>
      <c r="K45" s="797">
        <f t="shared" si="3"/>
        <v>13569</v>
      </c>
      <c r="L45" s="1182"/>
      <c r="M45" s="729"/>
      <c r="N45" s="729"/>
    </row>
    <row r="46" spans="1:14" s="714" customFormat="1" ht="24" customHeight="1">
      <c r="A46" s="1147"/>
      <c r="B46" s="1148" t="s">
        <v>1647</v>
      </c>
      <c r="C46" s="1123"/>
      <c r="D46" s="1124"/>
      <c r="E46" s="1149">
        <v>1</v>
      </c>
      <c r="F46" s="1150" t="s">
        <v>948</v>
      </c>
      <c r="G46" s="1179">
        <f>ROUND(SUM(H38:H43)*10%,)</f>
        <v>5219</v>
      </c>
      <c r="H46" s="796">
        <f t="shared" si="1"/>
        <v>5219</v>
      </c>
      <c r="I46" s="1181">
        <f t="shared" si="4"/>
        <v>1566</v>
      </c>
      <c r="J46" s="796">
        <f t="shared" si="2"/>
        <v>1566</v>
      </c>
      <c r="K46" s="797">
        <f t="shared" si="3"/>
        <v>6785</v>
      </c>
      <c r="L46" s="1182"/>
      <c r="M46" s="729"/>
      <c r="N46" s="729"/>
    </row>
    <row r="47" spans="1:14" s="714" customFormat="1" ht="24" customHeight="1">
      <c r="A47" s="1147" t="s">
        <v>1648</v>
      </c>
      <c r="B47" s="1148" t="s">
        <v>1649</v>
      </c>
      <c r="C47" s="1123"/>
      <c r="D47" s="1124"/>
      <c r="E47" s="1149"/>
      <c r="F47" s="1150"/>
      <c r="G47" s="1179"/>
      <c r="H47" s="796"/>
      <c r="I47" s="1181"/>
      <c r="J47" s="796"/>
      <c r="K47" s="797"/>
      <c r="L47" s="1182"/>
      <c r="M47" s="729"/>
      <c r="N47" s="729"/>
    </row>
    <row r="48" spans="1:14" s="714" customFormat="1" ht="24" customHeight="1">
      <c r="A48" s="1147"/>
      <c r="B48" s="1148" t="s">
        <v>1715</v>
      </c>
      <c r="C48" s="1123"/>
      <c r="D48" s="1124"/>
      <c r="E48" s="1149">
        <v>7</v>
      </c>
      <c r="F48" s="1150" t="s">
        <v>240</v>
      </c>
      <c r="G48" s="1179">
        <v>880</v>
      </c>
      <c r="H48" s="796">
        <f t="shared" ref="H48:H50" si="5">ROUND(E48*G48,)</f>
        <v>6160</v>
      </c>
      <c r="I48" s="1181">
        <v>150</v>
      </c>
      <c r="J48" s="796">
        <f t="shared" ref="J48:J50" si="6">ROUND(E48*I48,)</f>
        <v>1050</v>
      </c>
      <c r="K48" s="797">
        <f t="shared" ref="K48:K50" si="7">H48+J48</f>
        <v>7210</v>
      </c>
      <c r="L48" s="2273" t="s">
        <v>2974</v>
      </c>
      <c r="M48" s="729"/>
      <c r="N48" s="729"/>
    </row>
    <row r="49" spans="1:14" s="714" customFormat="1" ht="24" customHeight="1">
      <c r="A49" s="1147"/>
      <c r="B49" s="1148" t="s">
        <v>1760</v>
      </c>
      <c r="C49" s="1123"/>
      <c r="D49" s="1124"/>
      <c r="E49" s="1149">
        <v>3</v>
      </c>
      <c r="F49" s="1150" t="s">
        <v>240</v>
      </c>
      <c r="G49" s="1179">
        <v>2610</v>
      </c>
      <c r="H49" s="796">
        <f t="shared" si="5"/>
        <v>7830</v>
      </c>
      <c r="I49" s="1181">
        <v>300</v>
      </c>
      <c r="J49" s="796">
        <f t="shared" si="6"/>
        <v>900</v>
      </c>
      <c r="K49" s="797">
        <f t="shared" si="7"/>
        <v>8730</v>
      </c>
      <c r="L49" s="2273" t="s">
        <v>2974</v>
      </c>
      <c r="M49" s="729"/>
      <c r="N49" s="729"/>
    </row>
    <row r="50" spans="1:14" s="714" customFormat="1" ht="24" customHeight="1">
      <c r="A50" s="1147"/>
      <c r="B50" s="1148" t="s">
        <v>1761</v>
      </c>
      <c r="C50" s="1123"/>
      <c r="D50" s="1124"/>
      <c r="E50" s="1149">
        <v>2</v>
      </c>
      <c r="F50" s="1150" t="s">
        <v>240</v>
      </c>
      <c r="G50" s="1174">
        <v>4040</v>
      </c>
      <c r="H50" s="796">
        <f t="shared" si="5"/>
        <v>8080</v>
      </c>
      <c r="I50" s="1176">
        <v>400</v>
      </c>
      <c r="J50" s="796">
        <f t="shared" si="6"/>
        <v>800</v>
      </c>
      <c r="K50" s="797">
        <f t="shared" si="7"/>
        <v>8880</v>
      </c>
      <c r="L50" s="2273" t="s">
        <v>2974</v>
      </c>
      <c r="M50" s="729"/>
      <c r="N50" s="729"/>
    </row>
    <row r="51" spans="1:14" s="714" customFormat="1" ht="24" customHeight="1">
      <c r="A51" s="1147" t="s">
        <v>1648</v>
      </c>
      <c r="B51" s="1148" t="s">
        <v>1748</v>
      </c>
      <c r="C51" s="1123"/>
      <c r="D51" s="1124"/>
      <c r="E51" s="1149"/>
      <c r="F51" s="1150"/>
      <c r="G51" s="1179"/>
      <c r="H51" s="796"/>
      <c r="I51" s="1181"/>
      <c r="J51" s="796"/>
      <c r="K51" s="797"/>
      <c r="L51" s="1182"/>
      <c r="M51" s="729"/>
      <c r="N51" s="729"/>
    </row>
    <row r="52" spans="1:14" s="714" customFormat="1" ht="24" customHeight="1">
      <c r="A52" s="1147"/>
      <c r="B52" s="1148" t="s">
        <v>1749</v>
      </c>
      <c r="C52" s="1123"/>
      <c r="D52" s="1124"/>
      <c r="E52" s="1149">
        <v>9</v>
      </c>
      <c r="F52" s="1150" t="s">
        <v>240</v>
      </c>
      <c r="G52" s="1188">
        <v>210</v>
      </c>
      <c r="H52" s="796">
        <f t="shared" ref="H52" si="8">ROUND(E52*G52,)</f>
        <v>1890</v>
      </c>
      <c r="I52" s="1181">
        <v>100</v>
      </c>
      <c r="J52" s="796">
        <f t="shared" ref="J52" si="9">ROUND(E52*I52,)</f>
        <v>900</v>
      </c>
      <c r="K52" s="797">
        <f t="shared" ref="K52" si="10">H52+J52</f>
        <v>2790</v>
      </c>
      <c r="L52" s="1182"/>
      <c r="M52" s="729"/>
      <c r="N52" s="729"/>
    </row>
    <row r="53" spans="1:14" s="714" customFormat="1" ht="24" customHeight="1">
      <c r="A53" s="1147" t="s">
        <v>1651</v>
      </c>
      <c r="B53" s="1148" t="s">
        <v>1652</v>
      </c>
      <c r="C53" s="1123"/>
      <c r="D53" s="1124"/>
      <c r="E53" s="1149"/>
      <c r="F53" s="1150"/>
      <c r="G53" s="1179"/>
      <c r="H53" s="796"/>
      <c r="I53" s="1181"/>
      <c r="J53" s="796"/>
      <c r="K53" s="797"/>
      <c r="L53" s="1182"/>
      <c r="M53" s="729"/>
      <c r="N53" s="729"/>
    </row>
    <row r="54" spans="1:14" s="714" customFormat="1" ht="24" customHeight="1">
      <c r="A54" s="1147"/>
      <c r="B54" s="1148" t="s">
        <v>1661</v>
      </c>
      <c r="C54" s="1123"/>
      <c r="D54" s="1124"/>
      <c r="E54" s="1149">
        <v>2</v>
      </c>
      <c r="F54" s="1150" t="s">
        <v>240</v>
      </c>
      <c r="G54" s="1179">
        <v>1742</v>
      </c>
      <c r="H54" s="796">
        <f t="shared" si="1"/>
        <v>3484</v>
      </c>
      <c r="I54" s="1181">
        <v>500</v>
      </c>
      <c r="J54" s="796">
        <f t="shared" ref="J54" si="11">ROUND(E54*I54,)</f>
        <v>1000</v>
      </c>
      <c r="K54" s="797">
        <f t="shared" ref="K54" si="12">H54+J54</f>
        <v>4484</v>
      </c>
      <c r="L54" s="1182"/>
      <c r="M54" s="729"/>
      <c r="N54" s="729"/>
    </row>
    <row r="55" spans="1:14" s="714" customFormat="1" ht="24" customHeight="1">
      <c r="A55" s="1147" t="s">
        <v>1653</v>
      </c>
      <c r="B55" s="1148" t="s">
        <v>1762</v>
      </c>
      <c r="C55" s="1123"/>
      <c r="D55" s="1124"/>
      <c r="E55" s="1149"/>
      <c r="F55" s="1150"/>
      <c r="G55" s="1179"/>
      <c r="H55" s="796"/>
      <c r="I55" s="1181"/>
      <c r="J55" s="796"/>
      <c r="K55" s="797"/>
      <c r="L55" s="1182"/>
      <c r="M55" s="729"/>
      <c r="N55" s="729"/>
    </row>
    <row r="56" spans="1:14" s="714" customFormat="1" ht="24" customHeight="1">
      <c r="A56" s="1147"/>
      <c r="B56" s="1148" t="s">
        <v>1763</v>
      </c>
      <c r="C56" s="1123"/>
      <c r="D56" s="1124"/>
      <c r="E56" s="1149">
        <v>2</v>
      </c>
      <c r="F56" s="1150" t="s">
        <v>240</v>
      </c>
      <c r="G56" s="1179">
        <v>1095</v>
      </c>
      <c r="H56" s="796">
        <f t="shared" ref="H56:H57" si="13">ROUND(E56*G56,)</f>
        <v>2190</v>
      </c>
      <c r="I56" s="1181">
        <v>110</v>
      </c>
      <c r="J56" s="796">
        <f t="shared" ref="J56:J57" si="14">ROUND(I56*E56,)</f>
        <v>220</v>
      </c>
      <c r="K56" s="797">
        <f t="shared" ref="K56:K57" si="15">H56+J56</f>
        <v>2410</v>
      </c>
      <c r="L56" s="1182"/>
      <c r="M56" s="729"/>
      <c r="N56" s="729"/>
    </row>
    <row r="57" spans="1:14" s="714" customFormat="1" ht="24" customHeight="1">
      <c r="A57" s="1147"/>
      <c r="B57" s="1148" t="s">
        <v>1764</v>
      </c>
      <c r="C57" s="1123"/>
      <c r="D57" s="1124"/>
      <c r="E57" s="1149">
        <v>4</v>
      </c>
      <c r="F57" s="1150" t="s">
        <v>240</v>
      </c>
      <c r="G57" s="1179">
        <v>5603</v>
      </c>
      <c r="H57" s="796">
        <f t="shared" si="13"/>
        <v>22412</v>
      </c>
      <c r="I57" s="1181">
        <v>330</v>
      </c>
      <c r="J57" s="796">
        <f t="shared" si="14"/>
        <v>1320</v>
      </c>
      <c r="K57" s="797">
        <f t="shared" si="15"/>
        <v>23732</v>
      </c>
      <c r="L57" s="1182"/>
      <c r="M57" s="729"/>
      <c r="N57" s="729"/>
    </row>
    <row r="58" spans="1:14" s="714" customFormat="1" ht="24" customHeight="1">
      <c r="A58" s="1147"/>
      <c r="B58" s="1148"/>
      <c r="C58" s="1123"/>
      <c r="D58" s="1124"/>
      <c r="E58" s="1149"/>
      <c r="F58" s="1150"/>
      <c r="G58" s="1179"/>
      <c r="H58" s="796"/>
      <c r="I58" s="1181"/>
      <c r="J58" s="796"/>
      <c r="K58" s="797"/>
      <c r="L58" s="1182"/>
      <c r="M58" s="729"/>
      <c r="N58" s="729"/>
    </row>
    <row r="59" spans="1:14" s="714" customFormat="1" ht="24" customHeight="1">
      <c r="A59" s="1147"/>
      <c r="B59" s="1148"/>
      <c r="C59" s="1123"/>
      <c r="D59" s="1124"/>
      <c r="E59" s="1149"/>
      <c r="F59" s="1150"/>
      <c r="G59" s="1179"/>
      <c r="H59" s="796"/>
      <c r="I59" s="1181"/>
      <c r="J59" s="796"/>
      <c r="K59" s="797"/>
      <c r="L59" s="1182"/>
      <c r="M59" s="729"/>
      <c r="N59" s="729"/>
    </row>
    <row r="60" spans="1:14" s="714" customFormat="1" ht="24" customHeight="1">
      <c r="A60" s="1147" t="s">
        <v>1655</v>
      </c>
      <c r="B60" s="1148" t="s">
        <v>1750</v>
      </c>
      <c r="C60" s="1123"/>
      <c r="D60" s="1124"/>
      <c r="E60" s="1149"/>
      <c r="F60" s="1150"/>
      <c r="G60" s="1179"/>
      <c r="H60" s="796"/>
      <c r="I60" s="1181"/>
      <c r="J60" s="796"/>
      <c r="K60" s="797"/>
      <c r="L60" s="1182"/>
      <c r="M60" s="729"/>
      <c r="N60" s="729"/>
    </row>
    <row r="61" spans="1:14" s="714" customFormat="1" ht="24" customHeight="1">
      <c r="A61" s="1147"/>
      <c r="B61" s="1148" t="s">
        <v>1749</v>
      </c>
      <c r="C61" s="1123"/>
      <c r="D61" s="1124"/>
      <c r="E61" s="1149">
        <v>9</v>
      </c>
      <c r="F61" s="1150" t="s">
        <v>240</v>
      </c>
      <c r="G61" s="1179">
        <v>120</v>
      </c>
      <c r="H61" s="796">
        <f t="shared" ref="H61" si="16">ROUND(E61*G61,)</f>
        <v>1080</v>
      </c>
      <c r="I61" s="1181">
        <v>50</v>
      </c>
      <c r="J61" s="796">
        <f t="shared" ref="J61" si="17">ROUND(I61*E61,)</f>
        <v>450</v>
      </c>
      <c r="K61" s="797">
        <f t="shared" ref="K61" si="18">H61+J61</f>
        <v>1530</v>
      </c>
      <c r="L61" s="1182"/>
      <c r="M61" s="729"/>
      <c r="N61" s="729"/>
    </row>
    <row r="62" spans="1:14" s="714" customFormat="1" ht="24" customHeight="1">
      <c r="A62" s="1147"/>
      <c r="B62" s="1148"/>
      <c r="C62" s="1123"/>
      <c r="D62" s="1124"/>
      <c r="E62" s="1149"/>
      <c r="F62" s="1150"/>
      <c r="G62" s="1179"/>
      <c r="H62" s="796"/>
      <c r="I62" s="1181"/>
      <c r="J62" s="796"/>
      <c r="K62" s="797"/>
      <c r="L62" s="1182"/>
      <c r="M62" s="729"/>
      <c r="N62" s="729"/>
    </row>
    <row r="63" spans="1:14" s="714" customFormat="1" ht="24" customHeight="1">
      <c r="A63" s="1147"/>
      <c r="B63" s="1148"/>
      <c r="C63" s="1123"/>
      <c r="D63" s="1213"/>
      <c r="E63" s="1149"/>
      <c r="F63" s="1124"/>
      <c r="G63" s="1179"/>
      <c r="H63" s="796"/>
      <c r="I63" s="1181"/>
      <c r="J63" s="796"/>
      <c r="K63" s="797"/>
      <c r="L63" s="825"/>
      <c r="M63" s="729"/>
      <c r="N63" s="729"/>
    </row>
    <row r="64" spans="1:14" s="714" customFormat="1" ht="24" customHeight="1">
      <c r="A64" s="704"/>
      <c r="B64" s="1228"/>
      <c r="C64" s="792"/>
      <c r="D64" s="792"/>
      <c r="E64" s="1229"/>
      <c r="F64" s="919"/>
      <c r="G64" s="1179"/>
      <c r="H64" s="796"/>
      <c r="I64" s="1181"/>
      <c r="J64" s="796"/>
      <c r="K64" s="797"/>
      <c r="L64" s="825"/>
      <c r="M64" s="729"/>
      <c r="N64" s="729"/>
    </row>
    <row r="65" spans="1:15" s="714" customFormat="1" ht="24" customHeight="1">
      <c r="A65" s="1166"/>
      <c r="B65" s="2475" t="str">
        <f>"รวมราคารายการที่ "&amp;A36</f>
        <v>รวมราคารายการที่ 5.1</v>
      </c>
      <c r="C65" s="2476"/>
      <c r="D65" s="2477"/>
      <c r="E65" s="1167"/>
      <c r="F65" s="1167"/>
      <c r="G65" s="1168"/>
      <c r="H65" s="1169">
        <f>SUM(H37:H64)</f>
        <v>147063</v>
      </c>
      <c r="I65" s="1170"/>
      <c r="J65" s="1169">
        <f>SUM(J36:J64)</f>
        <v>51357</v>
      </c>
      <c r="K65" s="1171">
        <f>SUM(K36:K64)</f>
        <v>198420</v>
      </c>
      <c r="L65" s="1171"/>
      <c r="M65" s="729"/>
      <c r="N65" s="729"/>
    </row>
    <row r="66" spans="1:15" s="714" customFormat="1" ht="24" customHeight="1">
      <c r="A66" s="1195" t="s">
        <v>1664</v>
      </c>
      <c r="B66" s="1196" t="s">
        <v>1665</v>
      </c>
      <c r="C66" s="1197"/>
      <c r="D66" s="1198"/>
      <c r="E66" s="1199"/>
      <c r="F66" s="1200"/>
      <c r="G66" s="1201"/>
      <c r="H66" s="1202"/>
      <c r="I66" s="1203"/>
      <c r="J66" s="1202"/>
      <c r="K66" s="1204"/>
      <c r="L66" s="1204"/>
    </row>
    <row r="67" spans="1:15" s="714" customFormat="1" ht="24" customHeight="1">
      <c r="A67" s="1147" t="s">
        <v>1666</v>
      </c>
      <c r="B67" s="1148" t="s">
        <v>1766</v>
      </c>
      <c r="C67" s="1123"/>
      <c r="D67" s="1124"/>
      <c r="E67" s="1149"/>
      <c r="F67" s="1150"/>
      <c r="G67" s="1140"/>
      <c r="H67" s="796"/>
      <c r="I67" s="797"/>
      <c r="J67" s="796"/>
      <c r="K67" s="914"/>
      <c r="L67" s="914"/>
    </row>
    <row r="68" spans="1:15" s="714" customFormat="1" ht="24" customHeight="1">
      <c r="A68" s="1147"/>
      <c r="B68" s="1148" t="s">
        <v>1188</v>
      </c>
      <c r="C68" s="1123"/>
      <c r="D68" s="1124"/>
      <c r="E68" s="1149">
        <v>304</v>
      </c>
      <c r="F68" s="1150" t="s">
        <v>438</v>
      </c>
      <c r="G68" s="1140">
        <v>127</v>
      </c>
      <c r="H68" s="796">
        <f t="shared" ref="H68:H91" si="19">ROUND(E68*G68,)</f>
        <v>38608</v>
      </c>
      <c r="I68" s="797">
        <v>40</v>
      </c>
      <c r="J68" s="796">
        <f t="shared" ref="J68:J74" si="20">ROUND(I68*E68,)</f>
        <v>12160</v>
      </c>
      <c r="K68" s="914">
        <f t="shared" ref="K68:K74" si="21">H68+J68</f>
        <v>50768</v>
      </c>
      <c r="L68" s="914"/>
    </row>
    <row r="69" spans="1:15" s="714" customFormat="1" ht="24" customHeight="1">
      <c r="A69" s="1147"/>
      <c r="B69" s="1148" t="s">
        <v>1190</v>
      </c>
      <c r="C69" s="1123"/>
      <c r="D69" s="1124"/>
      <c r="E69" s="1149">
        <v>21</v>
      </c>
      <c r="F69" s="1150" t="s">
        <v>438</v>
      </c>
      <c r="G69" s="1140">
        <v>258</v>
      </c>
      <c r="H69" s="796">
        <f t="shared" si="19"/>
        <v>5418</v>
      </c>
      <c r="I69" s="797">
        <v>75</v>
      </c>
      <c r="J69" s="796">
        <f t="shared" si="20"/>
        <v>1575</v>
      </c>
      <c r="K69" s="914">
        <f t="shared" si="21"/>
        <v>6993</v>
      </c>
      <c r="L69" s="914"/>
    </row>
    <row r="70" spans="1:15" s="714" customFormat="1" ht="24" customHeight="1">
      <c r="A70" s="1147"/>
      <c r="B70" s="1148" t="s">
        <v>1674</v>
      </c>
      <c r="C70" s="1123"/>
      <c r="D70" s="1124"/>
      <c r="E70" s="1149">
        <v>144</v>
      </c>
      <c r="F70" s="1150" t="s">
        <v>438</v>
      </c>
      <c r="G70" s="1140">
        <v>395</v>
      </c>
      <c r="H70" s="796">
        <f t="shared" si="19"/>
        <v>56880</v>
      </c>
      <c r="I70" s="797">
        <v>120</v>
      </c>
      <c r="J70" s="796">
        <f t="shared" si="20"/>
        <v>17280</v>
      </c>
      <c r="K70" s="914">
        <f t="shared" si="21"/>
        <v>74160</v>
      </c>
      <c r="L70" s="914"/>
    </row>
    <row r="71" spans="1:15" s="714" customFormat="1" ht="24" customHeight="1">
      <c r="A71" s="1147"/>
      <c r="B71" s="1148" t="s">
        <v>1675</v>
      </c>
      <c r="C71" s="1123"/>
      <c r="D71" s="1124"/>
      <c r="E71" s="1149">
        <v>74</v>
      </c>
      <c r="F71" s="1150" t="s">
        <v>438</v>
      </c>
      <c r="G71" s="1140">
        <v>789</v>
      </c>
      <c r="H71" s="796">
        <f t="shared" si="19"/>
        <v>58386</v>
      </c>
      <c r="I71" s="797">
        <v>250</v>
      </c>
      <c r="J71" s="796">
        <f t="shared" si="20"/>
        <v>18500</v>
      </c>
      <c r="K71" s="914">
        <f t="shared" si="21"/>
        <v>76886</v>
      </c>
      <c r="L71" s="914"/>
    </row>
    <row r="72" spans="1:15" s="714" customFormat="1" ht="24" customHeight="1">
      <c r="A72" s="1147"/>
      <c r="B72" s="1148" t="s">
        <v>1645</v>
      </c>
      <c r="C72" s="1123"/>
      <c r="D72" s="1124"/>
      <c r="E72" s="1149">
        <v>1</v>
      </c>
      <c r="F72" s="1150" t="s">
        <v>948</v>
      </c>
      <c r="G72" s="1140">
        <f>ROUND(SUM(H68:H71)*40%,)</f>
        <v>63717</v>
      </c>
      <c r="H72" s="796">
        <f t="shared" si="19"/>
        <v>63717</v>
      </c>
      <c r="I72" s="1181">
        <f t="shared" ref="I72:I74" si="22">ROUNDUP(G72*30%,0)</f>
        <v>19116</v>
      </c>
      <c r="J72" s="796">
        <f t="shared" si="20"/>
        <v>19116</v>
      </c>
      <c r="K72" s="914">
        <f t="shared" si="21"/>
        <v>82833</v>
      </c>
      <c r="L72" s="914"/>
    </row>
    <row r="73" spans="1:15" s="714" customFormat="1" ht="24" customHeight="1">
      <c r="A73" s="1147"/>
      <c r="B73" s="1148" t="s">
        <v>1646</v>
      </c>
      <c r="C73" s="1123"/>
      <c r="D73" s="1124"/>
      <c r="E73" s="1149">
        <v>1</v>
      </c>
      <c r="F73" s="1150" t="s">
        <v>948</v>
      </c>
      <c r="G73" s="1140">
        <f>ROUND(SUM(H68:H71)*20%,)</f>
        <v>31858</v>
      </c>
      <c r="H73" s="796">
        <f t="shared" si="19"/>
        <v>31858</v>
      </c>
      <c r="I73" s="1181">
        <f t="shared" si="22"/>
        <v>9558</v>
      </c>
      <c r="J73" s="796">
        <f t="shared" si="20"/>
        <v>9558</v>
      </c>
      <c r="K73" s="914">
        <f t="shared" si="21"/>
        <v>41416</v>
      </c>
      <c r="L73" s="914"/>
    </row>
    <row r="74" spans="1:15" s="714" customFormat="1" ht="24" customHeight="1">
      <c r="A74" s="1147"/>
      <c r="B74" s="1148" t="s">
        <v>1677</v>
      </c>
      <c r="C74" s="1123"/>
      <c r="D74" s="1124"/>
      <c r="E74" s="1149">
        <v>1</v>
      </c>
      <c r="F74" s="1150" t="s">
        <v>948</v>
      </c>
      <c r="G74" s="1140">
        <f>ROUND(SUM(H68:H71)*10%,)</f>
        <v>15929</v>
      </c>
      <c r="H74" s="796">
        <f t="shared" si="19"/>
        <v>15929</v>
      </c>
      <c r="I74" s="1181">
        <f t="shared" si="22"/>
        <v>4779</v>
      </c>
      <c r="J74" s="796">
        <f t="shared" si="20"/>
        <v>4779</v>
      </c>
      <c r="K74" s="914">
        <f t="shared" si="21"/>
        <v>20708</v>
      </c>
      <c r="L74" s="914"/>
    </row>
    <row r="75" spans="1:15" s="714" customFormat="1" ht="24" customHeight="1">
      <c r="A75" s="1159" t="s">
        <v>1672</v>
      </c>
      <c r="B75" s="1160" t="s">
        <v>1772</v>
      </c>
      <c r="C75" s="1161"/>
      <c r="D75" s="1162"/>
      <c r="E75" s="1183"/>
      <c r="F75" s="1163"/>
      <c r="G75" s="1205"/>
      <c r="H75" s="872"/>
      <c r="I75" s="873"/>
      <c r="J75" s="872"/>
      <c r="K75" s="938"/>
      <c r="L75" s="938"/>
    </row>
    <row r="76" spans="1:15" s="714" customFormat="1" ht="24" customHeight="1">
      <c r="A76" s="1147"/>
      <c r="B76" s="1148" t="s">
        <v>1186</v>
      </c>
      <c r="C76" s="1123"/>
      <c r="D76" s="1124"/>
      <c r="E76" s="1149">
        <v>238</v>
      </c>
      <c r="F76" s="1150" t="s">
        <v>438</v>
      </c>
      <c r="G76" s="1140">
        <v>20</v>
      </c>
      <c r="H76" s="796">
        <f t="shared" si="19"/>
        <v>4760</v>
      </c>
      <c r="I76" s="797">
        <v>30</v>
      </c>
      <c r="J76" s="796">
        <f t="shared" ref="J76:J84" si="23">ROUND(I76*E76,)</f>
        <v>7140</v>
      </c>
      <c r="K76" s="914">
        <f t="shared" ref="K76:K84" si="24">H76+J76</f>
        <v>11900</v>
      </c>
      <c r="L76" s="2273" t="s">
        <v>2974</v>
      </c>
      <c r="N76" s="714">
        <v>79.17</v>
      </c>
      <c r="O76" s="714">
        <f>ROUND(N76/4,)</f>
        <v>20</v>
      </c>
    </row>
    <row r="77" spans="1:15" s="714" customFormat="1" ht="24" customHeight="1">
      <c r="A77" s="1147"/>
      <c r="B77" s="1148" t="s">
        <v>1187</v>
      </c>
      <c r="C77" s="1123"/>
      <c r="D77" s="1124"/>
      <c r="E77" s="1149">
        <v>14</v>
      </c>
      <c r="F77" s="1150" t="s">
        <v>438</v>
      </c>
      <c r="G77" s="1140">
        <v>26</v>
      </c>
      <c r="H77" s="796">
        <f t="shared" si="19"/>
        <v>364</v>
      </c>
      <c r="I77" s="797">
        <v>30</v>
      </c>
      <c r="J77" s="796">
        <f t="shared" si="23"/>
        <v>420</v>
      </c>
      <c r="K77" s="914">
        <f t="shared" si="24"/>
        <v>784</v>
      </c>
      <c r="L77" s="2273" t="s">
        <v>2974</v>
      </c>
      <c r="N77" s="714">
        <v>103.74</v>
      </c>
      <c r="O77" s="714">
        <f t="shared" ref="O77:O80" si="25">ROUND(N77/4,)</f>
        <v>26</v>
      </c>
    </row>
    <row r="78" spans="1:15" s="714" customFormat="1" ht="24" customHeight="1">
      <c r="A78" s="1147"/>
      <c r="B78" s="1148" t="s">
        <v>1188</v>
      </c>
      <c r="C78" s="1123"/>
      <c r="D78" s="1124"/>
      <c r="E78" s="1149">
        <v>52</v>
      </c>
      <c r="F78" s="1150" t="s">
        <v>438</v>
      </c>
      <c r="G78" s="1140">
        <v>41</v>
      </c>
      <c r="H78" s="796">
        <f t="shared" si="19"/>
        <v>2132</v>
      </c>
      <c r="I78" s="797">
        <v>40</v>
      </c>
      <c r="J78" s="796">
        <f t="shared" si="23"/>
        <v>2080</v>
      </c>
      <c r="K78" s="914">
        <f t="shared" si="24"/>
        <v>4212</v>
      </c>
      <c r="L78" s="2273" t="s">
        <v>2974</v>
      </c>
      <c r="N78" s="714">
        <v>163.80000000000001</v>
      </c>
      <c r="O78" s="714">
        <f t="shared" si="25"/>
        <v>41</v>
      </c>
    </row>
    <row r="79" spans="1:15" s="714" customFormat="1" ht="24" customHeight="1">
      <c r="A79" s="1147"/>
      <c r="B79" s="1148" t="s">
        <v>1189</v>
      </c>
      <c r="C79" s="1123"/>
      <c r="D79" s="1124"/>
      <c r="E79" s="1149">
        <v>93</v>
      </c>
      <c r="F79" s="1150" t="s">
        <v>438</v>
      </c>
      <c r="G79" s="1140">
        <v>65</v>
      </c>
      <c r="H79" s="796">
        <f t="shared" si="19"/>
        <v>6045</v>
      </c>
      <c r="I79" s="797">
        <v>50</v>
      </c>
      <c r="J79" s="796">
        <f t="shared" si="23"/>
        <v>4650</v>
      </c>
      <c r="K79" s="914">
        <f t="shared" si="24"/>
        <v>10695</v>
      </c>
      <c r="L79" s="2273" t="s">
        <v>2974</v>
      </c>
      <c r="N79" s="714">
        <v>259.35000000000002</v>
      </c>
      <c r="O79" s="714">
        <f t="shared" si="25"/>
        <v>65</v>
      </c>
    </row>
    <row r="80" spans="1:15" s="714" customFormat="1" ht="24" customHeight="1">
      <c r="A80" s="1147"/>
      <c r="B80" s="1148" t="s">
        <v>1190</v>
      </c>
      <c r="C80" s="1123"/>
      <c r="D80" s="1124"/>
      <c r="E80" s="1149">
        <v>31</v>
      </c>
      <c r="F80" s="1150" t="s">
        <v>438</v>
      </c>
      <c r="G80" s="1140">
        <v>90</v>
      </c>
      <c r="H80" s="796">
        <f t="shared" si="19"/>
        <v>2790</v>
      </c>
      <c r="I80" s="797">
        <v>75</v>
      </c>
      <c r="J80" s="796">
        <f t="shared" si="23"/>
        <v>2325</v>
      </c>
      <c r="K80" s="914">
        <f t="shared" si="24"/>
        <v>5115</v>
      </c>
      <c r="L80" s="2273" t="s">
        <v>2974</v>
      </c>
      <c r="N80" s="714">
        <v>359.45</v>
      </c>
      <c r="O80" s="714">
        <f t="shared" si="25"/>
        <v>90</v>
      </c>
    </row>
    <row r="81" spans="1:15" s="714" customFormat="1" ht="24" customHeight="1">
      <c r="A81" s="1147"/>
      <c r="B81" s="1187" t="s">
        <v>951</v>
      </c>
      <c r="C81" s="1123"/>
      <c r="D81" s="1124"/>
      <c r="E81" s="1149">
        <v>14</v>
      </c>
      <c r="F81" s="1150" t="s">
        <v>438</v>
      </c>
      <c r="G81" s="1140">
        <v>146</v>
      </c>
      <c r="H81" s="796">
        <f t="shared" si="19"/>
        <v>2044</v>
      </c>
      <c r="I81" s="797">
        <v>100</v>
      </c>
      <c r="J81" s="796">
        <f t="shared" si="23"/>
        <v>1400</v>
      </c>
      <c r="K81" s="914">
        <f t="shared" si="24"/>
        <v>3444</v>
      </c>
      <c r="L81" s="2273" t="s">
        <v>2974</v>
      </c>
      <c r="N81" s="714">
        <v>582.4</v>
      </c>
      <c r="O81" s="714">
        <f>ROUND(N81/4,)</f>
        <v>146</v>
      </c>
    </row>
    <row r="82" spans="1:15" s="714" customFormat="1" ht="24" customHeight="1">
      <c r="A82" s="1147"/>
      <c r="B82" s="1148" t="s">
        <v>1645</v>
      </c>
      <c r="C82" s="1123"/>
      <c r="D82" s="1124"/>
      <c r="E82" s="1149">
        <v>1</v>
      </c>
      <c r="F82" s="1150" t="s">
        <v>948</v>
      </c>
      <c r="G82" s="1140">
        <f>ROUND(SUM(H76:H81)*40%,)</f>
        <v>7254</v>
      </c>
      <c r="H82" s="796">
        <f t="shared" si="19"/>
        <v>7254</v>
      </c>
      <c r="I82" s="1181">
        <f t="shared" ref="I82:I84" si="26">ROUNDUP(G82*30%,0)</f>
        <v>2177</v>
      </c>
      <c r="J82" s="796">
        <f t="shared" si="23"/>
        <v>2177</v>
      </c>
      <c r="K82" s="914">
        <f t="shared" si="24"/>
        <v>9431</v>
      </c>
      <c r="L82" s="914"/>
    </row>
    <row r="83" spans="1:15" s="714" customFormat="1" ht="24" customHeight="1">
      <c r="A83" s="1147"/>
      <c r="B83" s="1148" t="s">
        <v>1646</v>
      </c>
      <c r="C83" s="1123"/>
      <c r="D83" s="1124"/>
      <c r="E83" s="1149">
        <v>1</v>
      </c>
      <c r="F83" s="1150" t="s">
        <v>948</v>
      </c>
      <c r="G83" s="1140">
        <f>ROUND(SUM(H76:H81)*30%,)</f>
        <v>5441</v>
      </c>
      <c r="H83" s="796">
        <f t="shared" si="19"/>
        <v>5441</v>
      </c>
      <c r="I83" s="1181">
        <f t="shared" si="26"/>
        <v>1633</v>
      </c>
      <c r="J83" s="796">
        <f t="shared" si="23"/>
        <v>1633</v>
      </c>
      <c r="K83" s="914">
        <f t="shared" si="24"/>
        <v>7074</v>
      </c>
      <c r="L83" s="914"/>
    </row>
    <row r="84" spans="1:15" s="714" customFormat="1" ht="24" customHeight="1">
      <c r="A84" s="1147"/>
      <c r="B84" s="1148" t="s">
        <v>1677</v>
      </c>
      <c r="C84" s="1123"/>
      <c r="D84" s="1124"/>
      <c r="E84" s="1149">
        <v>1</v>
      </c>
      <c r="F84" s="1150" t="s">
        <v>948</v>
      </c>
      <c r="G84" s="1140">
        <f>ROUND(SUM(H76:H81)*10%,)</f>
        <v>1814</v>
      </c>
      <c r="H84" s="796">
        <f t="shared" si="19"/>
        <v>1814</v>
      </c>
      <c r="I84" s="1181">
        <f t="shared" si="26"/>
        <v>545</v>
      </c>
      <c r="J84" s="796">
        <f t="shared" si="23"/>
        <v>545</v>
      </c>
      <c r="K84" s="914">
        <f t="shared" si="24"/>
        <v>2359</v>
      </c>
      <c r="L84" s="914"/>
    </row>
    <row r="85" spans="1:15" s="714" customFormat="1" ht="24" customHeight="1">
      <c r="A85" s="1147" t="s">
        <v>1678</v>
      </c>
      <c r="B85" s="1148" t="s">
        <v>1767</v>
      </c>
      <c r="C85" s="1123"/>
      <c r="D85" s="1124"/>
      <c r="E85" s="1149"/>
      <c r="F85" s="1150"/>
      <c r="G85" s="1140"/>
      <c r="H85" s="796"/>
      <c r="I85" s="797"/>
      <c r="J85" s="796"/>
      <c r="K85" s="914"/>
      <c r="L85" s="914"/>
    </row>
    <row r="86" spans="1:15" s="714" customFormat="1" ht="24" customHeight="1">
      <c r="A86" s="1147"/>
      <c r="B86" s="1148" t="s">
        <v>1188</v>
      </c>
      <c r="C86" s="1123"/>
      <c r="D86" s="1124"/>
      <c r="E86" s="1149">
        <v>39</v>
      </c>
      <c r="F86" s="1150" t="s">
        <v>240</v>
      </c>
      <c r="G86" s="1140">
        <f>ROUND(665*0.7,)</f>
        <v>466</v>
      </c>
      <c r="H86" s="796">
        <f t="shared" si="19"/>
        <v>18174</v>
      </c>
      <c r="I86" s="797">
        <v>200</v>
      </c>
      <c r="J86" s="796">
        <f t="shared" ref="J86" si="27">ROUND(I86*E86,)</f>
        <v>7800</v>
      </c>
      <c r="K86" s="914">
        <f t="shared" ref="K86" si="28">H86+J86</f>
        <v>25974</v>
      </c>
      <c r="L86" s="914"/>
    </row>
    <row r="87" spans="1:15" s="714" customFormat="1" ht="24" customHeight="1">
      <c r="A87" s="1147" t="s">
        <v>1680</v>
      </c>
      <c r="B87" s="1148" t="s">
        <v>1699</v>
      </c>
      <c r="C87" s="1123"/>
      <c r="D87" s="1124"/>
      <c r="E87" s="1149"/>
      <c r="F87" s="1150"/>
      <c r="G87" s="1140"/>
      <c r="H87" s="796"/>
      <c r="I87" s="797"/>
      <c r="J87" s="796"/>
      <c r="K87" s="914"/>
      <c r="L87" s="914"/>
    </row>
    <row r="88" spans="1:15" s="714" customFormat="1" ht="24" customHeight="1">
      <c r="A88" s="1147"/>
      <c r="B88" s="1148" t="s">
        <v>1188</v>
      </c>
      <c r="C88" s="1123"/>
      <c r="D88" s="1124"/>
      <c r="E88" s="1149">
        <v>8</v>
      </c>
      <c r="F88" s="1150" t="s">
        <v>240</v>
      </c>
      <c r="G88" s="1140">
        <f>ROUND(240*0.75,)</f>
        <v>180</v>
      </c>
      <c r="H88" s="796">
        <f t="shared" si="19"/>
        <v>1440</v>
      </c>
      <c r="I88" s="797">
        <v>100</v>
      </c>
      <c r="J88" s="796">
        <f t="shared" ref="J88:J91" si="29">ROUND(I88*E88,)</f>
        <v>800</v>
      </c>
      <c r="K88" s="914">
        <f t="shared" ref="K88:K91" si="30">H88+J88</f>
        <v>2240</v>
      </c>
      <c r="L88" s="914"/>
    </row>
    <row r="89" spans="1:15" s="714" customFormat="1" ht="24" customHeight="1">
      <c r="A89" s="1147"/>
      <c r="B89" s="1148" t="s">
        <v>1190</v>
      </c>
      <c r="C89" s="1123"/>
      <c r="D89" s="1124"/>
      <c r="E89" s="1149">
        <v>4</v>
      </c>
      <c r="F89" s="1150" t="s">
        <v>240</v>
      </c>
      <c r="G89" s="1140">
        <f>ROUND(360*0.75,)</f>
        <v>270</v>
      </c>
      <c r="H89" s="796">
        <f t="shared" si="19"/>
        <v>1080</v>
      </c>
      <c r="I89" s="797">
        <v>150</v>
      </c>
      <c r="J89" s="796">
        <f t="shared" si="29"/>
        <v>600</v>
      </c>
      <c r="K89" s="914">
        <f t="shared" si="30"/>
        <v>1680</v>
      </c>
      <c r="L89" s="914"/>
    </row>
    <row r="90" spans="1:15" s="714" customFormat="1" ht="24" customHeight="1">
      <c r="A90" s="1221"/>
      <c r="B90" s="1219" t="s">
        <v>1674</v>
      </c>
      <c r="C90" s="1209"/>
      <c r="D90" s="1210"/>
      <c r="E90" s="1149">
        <v>4</v>
      </c>
      <c r="F90" s="1212" t="s">
        <v>240</v>
      </c>
      <c r="G90" s="1140">
        <f>ROUND(500*0.75,)</f>
        <v>375</v>
      </c>
      <c r="H90" s="796">
        <f t="shared" si="19"/>
        <v>1500</v>
      </c>
      <c r="I90" s="855">
        <v>200</v>
      </c>
      <c r="J90" s="796">
        <f t="shared" si="29"/>
        <v>800</v>
      </c>
      <c r="K90" s="914">
        <f t="shared" si="30"/>
        <v>2300</v>
      </c>
      <c r="L90" s="912"/>
    </row>
    <row r="91" spans="1:15" s="714" customFormat="1" ht="24" customHeight="1">
      <c r="A91" s="1147"/>
      <c r="B91" s="1148" t="s">
        <v>1675</v>
      </c>
      <c r="C91" s="1123"/>
      <c r="D91" s="1124"/>
      <c r="E91" s="1149">
        <v>2</v>
      </c>
      <c r="F91" s="1150" t="s">
        <v>240</v>
      </c>
      <c r="G91" s="1140">
        <f>ROUND(950*0.75,)</f>
        <v>713</v>
      </c>
      <c r="H91" s="796">
        <f t="shared" si="19"/>
        <v>1426</v>
      </c>
      <c r="I91" s="797">
        <v>300</v>
      </c>
      <c r="J91" s="796">
        <f t="shared" si="29"/>
        <v>600</v>
      </c>
      <c r="K91" s="914">
        <f t="shared" si="30"/>
        <v>2026</v>
      </c>
      <c r="L91" s="914"/>
    </row>
    <row r="92" spans="1:15" s="714" customFormat="1" ht="24" customHeight="1">
      <c r="A92" s="1147"/>
      <c r="B92" s="1148"/>
      <c r="C92" s="1123"/>
      <c r="D92" s="1124"/>
      <c r="E92" s="1149"/>
      <c r="F92" s="1150"/>
      <c r="G92" s="1140"/>
      <c r="H92" s="796"/>
      <c r="I92" s="797"/>
      <c r="J92" s="796"/>
      <c r="K92" s="914"/>
      <c r="L92" s="914"/>
    </row>
    <row r="93" spans="1:15" s="714" customFormat="1" ht="24" customHeight="1">
      <c r="A93" s="1147"/>
      <c r="B93" s="1148"/>
      <c r="C93" s="1123"/>
      <c r="D93" s="1124"/>
      <c r="E93" s="1149"/>
      <c r="F93" s="1150"/>
      <c r="G93" s="1140"/>
      <c r="H93" s="796"/>
      <c r="I93" s="797"/>
      <c r="J93" s="796"/>
      <c r="K93" s="914"/>
      <c r="L93" s="914"/>
    </row>
    <row r="94" spans="1:15" s="714" customFormat="1" ht="24" customHeight="1">
      <c r="A94" s="1147"/>
      <c r="B94" s="1148"/>
      <c r="C94" s="1123"/>
      <c r="D94" s="1124"/>
      <c r="E94" s="1149"/>
      <c r="F94" s="1150"/>
      <c r="G94" s="1140"/>
      <c r="H94" s="796"/>
      <c r="I94" s="797"/>
      <c r="J94" s="796"/>
      <c r="K94" s="914"/>
      <c r="L94" s="914"/>
    </row>
    <row r="95" spans="1:15" s="714" customFormat="1" ht="24" customHeight="1">
      <c r="A95" s="1147"/>
      <c r="B95" s="1148"/>
      <c r="C95" s="1123"/>
      <c r="D95" s="1124"/>
      <c r="E95" s="1149"/>
      <c r="F95" s="1150"/>
      <c r="G95" s="1140"/>
      <c r="H95" s="796"/>
      <c r="I95" s="797"/>
      <c r="J95" s="796"/>
      <c r="K95" s="914"/>
      <c r="L95" s="914"/>
    </row>
    <row r="96" spans="1:15" s="714" customFormat="1" ht="24" customHeight="1">
      <c r="A96" s="1166"/>
      <c r="B96" s="2475" t="str">
        <f>"รวมราคารายการที่ "&amp;A66</f>
        <v>รวมราคารายการที่ 5.2</v>
      </c>
      <c r="C96" s="2476"/>
      <c r="D96" s="2477"/>
      <c r="E96" s="1167"/>
      <c r="F96" s="1167"/>
      <c r="G96" s="1168"/>
      <c r="H96" s="1169">
        <f>SUM(H67:H95)</f>
        <v>327060</v>
      </c>
      <c r="I96" s="1170"/>
      <c r="J96" s="1169">
        <f>SUM(J67:J95)</f>
        <v>115938</v>
      </c>
      <c r="K96" s="1169">
        <f>SUM(K67:K95)</f>
        <v>442998</v>
      </c>
      <c r="L96" s="1171"/>
    </row>
    <row r="97" spans="1:14" s="714" customFormat="1" ht="24" customHeight="1">
      <c r="A97" s="1011">
        <v>5.3</v>
      </c>
      <c r="B97" s="1196" t="s">
        <v>1691</v>
      </c>
      <c r="C97" s="859"/>
      <c r="D97" s="859"/>
      <c r="E97" s="1216"/>
      <c r="F97" s="852"/>
      <c r="G97" s="874"/>
      <c r="H97" s="854"/>
      <c r="I97" s="855"/>
      <c r="J97" s="854"/>
      <c r="K97" s="912"/>
      <c r="L97" s="914"/>
    </row>
    <row r="98" spans="1:14" s="714" customFormat="1" ht="24" customHeight="1">
      <c r="A98" s="1159" t="s">
        <v>1692</v>
      </c>
      <c r="B98" s="1160" t="s">
        <v>1768</v>
      </c>
      <c r="C98" s="1161"/>
      <c r="D98" s="1162"/>
      <c r="E98" s="1183"/>
      <c r="F98" s="1163"/>
      <c r="G98" s="1205"/>
      <c r="H98" s="872"/>
      <c r="I98" s="873"/>
      <c r="J98" s="872"/>
      <c r="K98" s="938"/>
      <c r="L98" s="1194"/>
    </row>
    <row r="99" spans="1:14" s="714" customFormat="1" ht="24" customHeight="1">
      <c r="A99" s="1147"/>
      <c r="B99" s="1148" t="s">
        <v>1188</v>
      </c>
      <c r="C99" s="1123"/>
      <c r="D99" s="1124"/>
      <c r="E99" s="1149">
        <v>70</v>
      </c>
      <c r="F99" s="1150" t="s">
        <v>438</v>
      </c>
      <c r="G99" s="1140">
        <v>127</v>
      </c>
      <c r="H99" s="796">
        <f t="shared" ref="H99:H102" si="31">ROUND(E99*G99,)</f>
        <v>8890</v>
      </c>
      <c r="I99" s="797">
        <v>40</v>
      </c>
      <c r="J99" s="796">
        <f t="shared" ref="J99:J102" si="32">ROUND(I99*E99,)</f>
        <v>2800</v>
      </c>
      <c r="K99" s="914">
        <f t="shared" ref="K99:K102" si="33">H99+J99</f>
        <v>11690</v>
      </c>
      <c r="L99" s="914"/>
    </row>
    <row r="100" spans="1:14" s="714" customFormat="1" ht="24" customHeight="1">
      <c r="A100" s="1147"/>
      <c r="B100" s="1148" t="s">
        <v>1645</v>
      </c>
      <c r="C100" s="1123"/>
      <c r="D100" s="1124"/>
      <c r="E100" s="1149">
        <v>1</v>
      </c>
      <c r="F100" s="1150" t="s">
        <v>948</v>
      </c>
      <c r="G100" s="1140">
        <f>ROUND(SUM(H99:H99)*50%,)</f>
        <v>4445</v>
      </c>
      <c r="H100" s="796">
        <f t="shared" si="31"/>
        <v>4445</v>
      </c>
      <c r="I100" s="1181">
        <f t="shared" ref="I100:I102" si="34">ROUNDUP(G100*30%,0)</f>
        <v>1334</v>
      </c>
      <c r="J100" s="796">
        <f t="shared" si="32"/>
        <v>1334</v>
      </c>
      <c r="K100" s="914">
        <f t="shared" si="33"/>
        <v>5779</v>
      </c>
      <c r="L100" s="1194"/>
    </row>
    <row r="101" spans="1:14" s="714" customFormat="1" ht="24" customHeight="1">
      <c r="A101" s="1147"/>
      <c r="B101" s="1148" t="s">
        <v>1646</v>
      </c>
      <c r="C101" s="1123"/>
      <c r="D101" s="1124"/>
      <c r="E101" s="1149">
        <v>1</v>
      </c>
      <c r="F101" s="1150" t="s">
        <v>948</v>
      </c>
      <c r="G101" s="1140">
        <f>ROUND(SUM(H99:H99)*20%,)</f>
        <v>1778</v>
      </c>
      <c r="H101" s="796">
        <f t="shared" si="31"/>
        <v>1778</v>
      </c>
      <c r="I101" s="1181">
        <f t="shared" si="34"/>
        <v>534</v>
      </c>
      <c r="J101" s="796">
        <f t="shared" si="32"/>
        <v>534</v>
      </c>
      <c r="K101" s="914">
        <f t="shared" si="33"/>
        <v>2312</v>
      </c>
      <c r="L101" s="914"/>
    </row>
    <row r="102" spans="1:14" s="714" customFormat="1" ht="24" customHeight="1">
      <c r="A102" s="1147"/>
      <c r="B102" s="1148" t="s">
        <v>1677</v>
      </c>
      <c r="C102" s="1123"/>
      <c r="D102" s="1124"/>
      <c r="E102" s="1149">
        <v>1</v>
      </c>
      <c r="F102" s="1150" t="s">
        <v>948</v>
      </c>
      <c r="G102" s="1140">
        <f>ROUND(SUM(H99:H99)*10%,)</f>
        <v>889</v>
      </c>
      <c r="H102" s="796">
        <f t="shared" si="31"/>
        <v>889</v>
      </c>
      <c r="I102" s="1181">
        <f t="shared" si="34"/>
        <v>267</v>
      </c>
      <c r="J102" s="796">
        <f t="shared" si="32"/>
        <v>267</v>
      </c>
      <c r="K102" s="914">
        <f t="shared" si="33"/>
        <v>1156</v>
      </c>
      <c r="L102" s="1194"/>
    </row>
    <row r="103" spans="1:14" s="714" customFormat="1" ht="24" customHeight="1">
      <c r="A103" s="1147" t="s">
        <v>1695</v>
      </c>
      <c r="B103" s="1148" t="s">
        <v>1767</v>
      </c>
      <c r="C103" s="1123"/>
      <c r="D103" s="1124"/>
      <c r="E103" s="1149"/>
      <c r="F103" s="1150"/>
      <c r="G103" s="1140"/>
      <c r="H103" s="796"/>
      <c r="I103" s="797"/>
      <c r="J103" s="796"/>
      <c r="K103" s="914"/>
      <c r="L103" s="1194"/>
    </row>
    <row r="104" spans="1:14" s="714" customFormat="1" ht="24" customHeight="1">
      <c r="A104" s="1147"/>
      <c r="B104" s="1148" t="s">
        <v>1188</v>
      </c>
      <c r="C104" s="1123"/>
      <c r="D104" s="1124"/>
      <c r="E104" s="1149">
        <v>2</v>
      </c>
      <c r="F104" s="1150" t="s">
        <v>240</v>
      </c>
      <c r="G104" s="1140">
        <f>ROUND(665*0.7,)</f>
        <v>466</v>
      </c>
      <c r="H104" s="796">
        <f t="shared" ref="H104" si="35">ROUND(E104*G104,)</f>
        <v>932</v>
      </c>
      <c r="I104" s="797">
        <v>200</v>
      </c>
      <c r="J104" s="796">
        <f t="shared" ref="J104" si="36">ROUND(I104*E104,)</f>
        <v>400</v>
      </c>
      <c r="K104" s="914">
        <f t="shared" ref="K104" si="37">H104+J104</f>
        <v>1332</v>
      </c>
      <c r="L104" s="1194"/>
    </row>
    <row r="105" spans="1:14" s="714" customFormat="1" ht="24" customHeight="1">
      <c r="A105" s="1147"/>
      <c r="B105" s="1148"/>
      <c r="C105" s="1123"/>
      <c r="D105" s="1124"/>
      <c r="E105" s="1149"/>
      <c r="F105" s="1150"/>
      <c r="G105" s="1140"/>
      <c r="H105" s="796"/>
      <c r="I105" s="797"/>
      <c r="J105" s="796"/>
      <c r="K105" s="914"/>
      <c r="L105" s="1194"/>
    </row>
    <row r="106" spans="1:14" s="714" customFormat="1" ht="24" customHeight="1">
      <c r="A106" s="1147"/>
      <c r="B106" s="1148"/>
      <c r="C106" s="1123"/>
      <c r="D106" s="1124"/>
      <c r="E106" s="1149"/>
      <c r="F106" s="1150"/>
      <c r="G106" s="1140"/>
      <c r="H106" s="796"/>
      <c r="I106" s="797"/>
      <c r="J106" s="796"/>
      <c r="K106" s="914"/>
      <c r="L106" s="1194"/>
    </row>
    <row r="107" spans="1:14" s="714" customFormat="1" ht="24" customHeight="1">
      <c r="A107" s="1147"/>
      <c r="B107" s="1148"/>
      <c r="C107" s="1123"/>
      <c r="D107" s="1124"/>
      <c r="E107" s="1149"/>
      <c r="F107" s="1150"/>
      <c r="G107" s="1140"/>
      <c r="H107" s="796"/>
      <c r="I107" s="797"/>
      <c r="J107" s="796"/>
      <c r="K107" s="914"/>
      <c r="L107" s="914"/>
    </row>
    <row r="108" spans="1:14" s="714" customFormat="1" ht="24" customHeight="1">
      <c r="A108" s="898"/>
      <c r="B108" s="1191"/>
      <c r="C108" s="890"/>
      <c r="D108" s="890"/>
      <c r="E108" s="1224"/>
      <c r="F108" s="928"/>
      <c r="G108" s="1192"/>
      <c r="H108" s="1193"/>
      <c r="I108" s="1185"/>
      <c r="J108" s="1193"/>
      <c r="K108" s="1194"/>
      <c r="L108" s="1194"/>
    </row>
    <row r="109" spans="1:14" s="714" customFormat="1" ht="24" customHeight="1">
      <c r="A109" s="1166"/>
      <c r="B109" s="2475" t="str">
        <f>"รวมราคารายการที่ "&amp;A97</f>
        <v>รวมราคารายการที่ 5.3</v>
      </c>
      <c r="C109" s="2476"/>
      <c r="D109" s="2477"/>
      <c r="E109" s="1167"/>
      <c r="F109" s="1167"/>
      <c r="G109" s="1168"/>
      <c r="H109" s="1169">
        <f>SUM(H98:H108)</f>
        <v>16934</v>
      </c>
      <c r="I109" s="1170"/>
      <c r="J109" s="1169">
        <f>SUM(J98:J108)</f>
        <v>5335</v>
      </c>
      <c r="K109" s="1169">
        <f>SUM(K98:K108)</f>
        <v>22269</v>
      </c>
      <c r="L109" s="1226"/>
    </row>
    <row r="110" spans="1:14" s="714" customFormat="1" ht="24" customHeight="1">
      <c r="A110" s="1207" t="s">
        <v>1707</v>
      </c>
      <c r="B110" s="1208" t="s">
        <v>1708</v>
      </c>
      <c r="C110" s="1209"/>
      <c r="D110" s="1210"/>
      <c r="E110" s="1211"/>
      <c r="F110" s="1212"/>
      <c r="G110" s="874"/>
      <c r="H110" s="854"/>
      <c r="I110" s="855"/>
      <c r="J110" s="854"/>
      <c r="K110" s="912"/>
      <c r="L110" s="912"/>
    </row>
    <row r="111" spans="1:14" s="714" customFormat="1" ht="24" customHeight="1">
      <c r="A111" s="1147" t="s">
        <v>1709</v>
      </c>
      <c r="B111" s="1148" t="s">
        <v>1746</v>
      </c>
      <c r="C111" s="1123"/>
      <c r="D111" s="1124"/>
      <c r="E111" s="1149"/>
      <c r="F111" s="1150"/>
      <c r="G111" s="1179"/>
      <c r="H111" s="796"/>
      <c r="I111" s="1181"/>
      <c r="J111" s="796"/>
      <c r="K111" s="797"/>
      <c r="L111" s="1182"/>
    </row>
    <row r="112" spans="1:14" s="714" customFormat="1" ht="24" customHeight="1">
      <c r="A112" s="1147"/>
      <c r="B112" s="1148" t="s">
        <v>1650</v>
      </c>
      <c r="C112" s="1123"/>
      <c r="D112" s="1124"/>
      <c r="E112" s="1149">
        <v>272</v>
      </c>
      <c r="F112" s="1150" t="s">
        <v>438</v>
      </c>
      <c r="G112" s="1179">
        <v>46</v>
      </c>
      <c r="H112" s="796">
        <f t="shared" ref="H112:H119" si="38">ROUND(E112*G112,)</f>
        <v>12512</v>
      </c>
      <c r="I112" s="1181">
        <v>30</v>
      </c>
      <c r="J112" s="796">
        <f t="shared" ref="J112:J119" si="39">ROUND(E112*I112,)</f>
        <v>8160</v>
      </c>
      <c r="K112" s="797">
        <f t="shared" ref="K112:K119" si="40">H112+J112</f>
        <v>20672</v>
      </c>
      <c r="L112" s="1182"/>
      <c r="M112" s="729"/>
      <c r="N112" s="729"/>
    </row>
    <row r="113" spans="1:12" s="714" customFormat="1" ht="21.3">
      <c r="A113" s="1147"/>
      <c r="B113" s="1148" t="s">
        <v>1760</v>
      </c>
      <c r="C113" s="1123"/>
      <c r="D113" s="1124"/>
      <c r="E113" s="1149">
        <v>17</v>
      </c>
      <c r="F113" s="1150" t="s">
        <v>438</v>
      </c>
      <c r="G113" s="1179">
        <v>113</v>
      </c>
      <c r="H113" s="796">
        <f t="shared" si="38"/>
        <v>1921</v>
      </c>
      <c r="I113" s="1181">
        <v>50</v>
      </c>
      <c r="J113" s="796">
        <f t="shared" si="39"/>
        <v>850</v>
      </c>
      <c r="K113" s="797">
        <f t="shared" si="40"/>
        <v>2771</v>
      </c>
      <c r="L113" s="1182"/>
    </row>
    <row r="114" spans="1:12" s="714" customFormat="1" ht="21.3">
      <c r="A114" s="1147"/>
      <c r="B114" s="1148" t="s">
        <v>1761</v>
      </c>
      <c r="C114" s="1123"/>
      <c r="D114" s="1124"/>
      <c r="E114" s="1149">
        <v>21</v>
      </c>
      <c r="F114" s="1150" t="s">
        <v>438</v>
      </c>
      <c r="G114" s="1179">
        <v>193</v>
      </c>
      <c r="H114" s="796">
        <f t="shared" si="38"/>
        <v>4053</v>
      </c>
      <c r="I114" s="1181">
        <v>75</v>
      </c>
      <c r="J114" s="796">
        <f t="shared" si="39"/>
        <v>1575</v>
      </c>
      <c r="K114" s="797">
        <f t="shared" si="40"/>
        <v>5628</v>
      </c>
      <c r="L114" s="1182"/>
    </row>
    <row r="115" spans="1:12" s="714" customFormat="1" ht="21.3">
      <c r="A115" s="1147"/>
      <c r="B115" s="1148" t="s">
        <v>1661</v>
      </c>
      <c r="C115" s="1123"/>
      <c r="D115" s="1124"/>
      <c r="E115" s="1149">
        <v>58</v>
      </c>
      <c r="F115" s="1150" t="s">
        <v>438</v>
      </c>
      <c r="G115" s="1179">
        <v>287</v>
      </c>
      <c r="H115" s="796">
        <f t="shared" si="38"/>
        <v>16646</v>
      </c>
      <c r="I115" s="1181">
        <v>100</v>
      </c>
      <c r="J115" s="796">
        <f t="shared" si="39"/>
        <v>5800</v>
      </c>
      <c r="K115" s="797">
        <f t="shared" si="40"/>
        <v>22446</v>
      </c>
      <c r="L115" s="1182"/>
    </row>
    <row r="116" spans="1:12" s="714" customFormat="1" ht="21.3">
      <c r="A116" s="1147"/>
      <c r="B116" s="1187" t="s">
        <v>1642</v>
      </c>
      <c r="C116" s="1123"/>
      <c r="D116" s="1124"/>
      <c r="E116" s="1149">
        <v>10</v>
      </c>
      <c r="F116" s="1150" t="s">
        <v>438</v>
      </c>
      <c r="G116" s="1179">
        <v>562</v>
      </c>
      <c r="H116" s="796">
        <f t="shared" si="38"/>
        <v>5620</v>
      </c>
      <c r="I116" s="1181">
        <v>120</v>
      </c>
      <c r="J116" s="796">
        <f t="shared" si="39"/>
        <v>1200</v>
      </c>
      <c r="K116" s="914">
        <f t="shared" si="40"/>
        <v>6820</v>
      </c>
      <c r="L116" s="1182"/>
    </row>
    <row r="117" spans="1:12" s="714" customFormat="1" ht="21.3">
      <c r="A117" s="1147"/>
      <c r="B117" s="1148" t="s">
        <v>1645</v>
      </c>
      <c r="C117" s="1123"/>
      <c r="D117" s="1124"/>
      <c r="E117" s="1149">
        <v>1</v>
      </c>
      <c r="F117" s="1150" t="s">
        <v>948</v>
      </c>
      <c r="G117" s="1179">
        <f>SUM(H112:H116)*50%</f>
        <v>20376</v>
      </c>
      <c r="H117" s="796">
        <f t="shared" si="38"/>
        <v>20376</v>
      </c>
      <c r="I117" s="1181">
        <f t="shared" ref="I117:I119" si="41">ROUNDUP(G117*30%,0)</f>
        <v>6113</v>
      </c>
      <c r="J117" s="796">
        <f t="shared" si="39"/>
        <v>6113</v>
      </c>
      <c r="K117" s="797">
        <f t="shared" si="40"/>
        <v>26489</v>
      </c>
      <c r="L117" s="1182"/>
    </row>
    <row r="118" spans="1:12" s="714" customFormat="1" ht="21.3">
      <c r="A118" s="1147"/>
      <c r="B118" s="1148" t="s">
        <v>1646</v>
      </c>
      <c r="C118" s="1123"/>
      <c r="D118" s="1124"/>
      <c r="E118" s="1149">
        <v>1</v>
      </c>
      <c r="F118" s="1150" t="s">
        <v>948</v>
      </c>
      <c r="G118" s="1179">
        <f>ROUND(SUM(H112:H116)*20%,)</f>
        <v>8150</v>
      </c>
      <c r="H118" s="796">
        <f t="shared" si="38"/>
        <v>8150</v>
      </c>
      <c r="I118" s="1181">
        <f t="shared" si="41"/>
        <v>2445</v>
      </c>
      <c r="J118" s="796">
        <f t="shared" si="39"/>
        <v>2445</v>
      </c>
      <c r="K118" s="797">
        <f t="shared" si="40"/>
        <v>10595</v>
      </c>
      <c r="L118" s="1182"/>
    </row>
    <row r="119" spans="1:12" s="714" customFormat="1" ht="21.3">
      <c r="A119" s="1147"/>
      <c r="B119" s="1148" t="s">
        <v>1647</v>
      </c>
      <c r="C119" s="1123"/>
      <c r="D119" s="1124"/>
      <c r="E119" s="1149">
        <v>1</v>
      </c>
      <c r="F119" s="1150" t="s">
        <v>948</v>
      </c>
      <c r="G119" s="1179">
        <f>ROUND(SUM(H112:H116)*10%,)</f>
        <v>4075</v>
      </c>
      <c r="H119" s="796">
        <f t="shared" si="38"/>
        <v>4075</v>
      </c>
      <c r="I119" s="1181">
        <f t="shared" si="41"/>
        <v>1223</v>
      </c>
      <c r="J119" s="796">
        <f t="shared" si="39"/>
        <v>1223</v>
      </c>
      <c r="K119" s="797">
        <f t="shared" si="40"/>
        <v>5298</v>
      </c>
      <c r="L119" s="1182"/>
    </row>
    <row r="120" spans="1:12" s="714" customFormat="1" ht="21.3">
      <c r="A120" s="1147" t="s">
        <v>1712</v>
      </c>
      <c r="B120" s="1148" t="s">
        <v>1652</v>
      </c>
      <c r="C120" s="1123"/>
      <c r="D120" s="1124"/>
      <c r="E120" s="1149"/>
      <c r="F120" s="1150"/>
      <c r="G120" s="1179"/>
      <c r="H120" s="796"/>
      <c r="I120" s="1181"/>
      <c r="J120" s="796"/>
      <c r="K120" s="797"/>
      <c r="L120" s="1182"/>
    </row>
    <row r="121" spans="1:12" s="714" customFormat="1" ht="21.3">
      <c r="A121" s="1147"/>
      <c r="B121" s="1148" t="s">
        <v>1661</v>
      </c>
      <c r="C121" s="1123"/>
      <c r="D121" s="1124"/>
      <c r="E121" s="1149">
        <v>4</v>
      </c>
      <c r="F121" s="1150" t="s">
        <v>240</v>
      </c>
      <c r="G121" s="1179">
        <v>1742</v>
      </c>
      <c r="H121" s="796">
        <f t="shared" ref="H121" si="42">ROUND(E121*G121,)</f>
        <v>6968</v>
      </c>
      <c r="I121" s="1181">
        <v>500</v>
      </c>
      <c r="J121" s="796">
        <f t="shared" ref="J121" si="43">ROUND(E121*I121,)</f>
        <v>2000</v>
      </c>
      <c r="K121" s="797">
        <f t="shared" ref="K121" si="44">H121+J121</f>
        <v>8968</v>
      </c>
      <c r="L121" s="1182"/>
    </row>
    <row r="122" spans="1:12" s="714" customFormat="1" ht="21.3">
      <c r="A122" s="1147" t="s">
        <v>1770</v>
      </c>
      <c r="B122" s="1148" t="s">
        <v>1649</v>
      </c>
      <c r="C122" s="1123"/>
      <c r="D122" s="1124"/>
      <c r="E122" s="1149"/>
      <c r="F122" s="1150"/>
      <c r="G122" s="1179"/>
      <c r="H122" s="796"/>
      <c r="I122" s="1181"/>
      <c r="J122" s="796"/>
      <c r="K122" s="797"/>
      <c r="L122" s="1182"/>
    </row>
    <row r="123" spans="1:12" s="714" customFormat="1" ht="21.3">
      <c r="A123" s="1147"/>
      <c r="B123" s="1148" t="s">
        <v>1650</v>
      </c>
      <c r="C123" s="1123"/>
      <c r="D123" s="1124"/>
      <c r="E123" s="1149">
        <v>2</v>
      </c>
      <c r="F123" s="1150" t="s">
        <v>240</v>
      </c>
      <c r="G123" s="1179">
        <v>1316</v>
      </c>
      <c r="H123" s="796">
        <f t="shared" ref="H123:H124" si="45">ROUND(E123*G123,)</f>
        <v>2632</v>
      </c>
      <c r="I123" s="1181">
        <v>200</v>
      </c>
      <c r="J123" s="796">
        <f t="shared" ref="J123:J124" si="46">ROUND(E123*I123,)</f>
        <v>400</v>
      </c>
      <c r="K123" s="797">
        <f t="shared" ref="K123:K124" si="47">H123+J123</f>
        <v>3032</v>
      </c>
      <c r="L123" s="1182" t="s">
        <v>2915</v>
      </c>
    </row>
    <row r="124" spans="1:12" s="714" customFormat="1" ht="21.3">
      <c r="A124" s="1147"/>
      <c r="B124" s="1148" t="s">
        <v>1760</v>
      </c>
      <c r="C124" s="1123"/>
      <c r="D124" s="1124"/>
      <c r="E124" s="1149">
        <v>1</v>
      </c>
      <c r="F124" s="1150" t="s">
        <v>240</v>
      </c>
      <c r="G124" s="1179">
        <v>2610</v>
      </c>
      <c r="H124" s="796">
        <f t="shared" si="45"/>
        <v>2610</v>
      </c>
      <c r="I124" s="1181">
        <v>300</v>
      </c>
      <c r="J124" s="796">
        <f t="shared" si="46"/>
        <v>300</v>
      </c>
      <c r="K124" s="797">
        <f t="shared" si="47"/>
        <v>2910</v>
      </c>
      <c r="L124" s="1182" t="s">
        <v>2915</v>
      </c>
    </row>
    <row r="125" spans="1:12" s="714" customFormat="1" ht="21.3">
      <c r="A125" s="1147" t="s">
        <v>1713</v>
      </c>
      <c r="B125" s="1148" t="s">
        <v>1762</v>
      </c>
      <c r="C125" s="1123"/>
      <c r="D125" s="1124"/>
      <c r="E125" s="1149"/>
      <c r="F125" s="1150"/>
      <c r="G125" s="1179"/>
      <c r="H125" s="796"/>
      <c r="I125" s="1181"/>
      <c r="J125" s="796"/>
      <c r="K125" s="797"/>
      <c r="L125" s="1182"/>
    </row>
    <row r="126" spans="1:12" s="714" customFormat="1" ht="21.3">
      <c r="A126" s="1147"/>
      <c r="B126" s="1148" t="s">
        <v>1764</v>
      </c>
      <c r="C126" s="1123"/>
      <c r="D126" s="1124"/>
      <c r="E126" s="1149">
        <v>4</v>
      </c>
      <c r="F126" s="1150" t="s">
        <v>240</v>
      </c>
      <c r="G126" s="1179">
        <v>5603</v>
      </c>
      <c r="H126" s="796">
        <f t="shared" ref="H126" si="48">ROUND(E126*G126,)</f>
        <v>22412</v>
      </c>
      <c r="I126" s="1181">
        <v>330</v>
      </c>
      <c r="J126" s="796">
        <f t="shared" ref="J126" si="49">ROUND(I126*E126,)</f>
        <v>1320</v>
      </c>
      <c r="K126" s="797">
        <f t="shared" ref="K126" si="50">H126+J126</f>
        <v>23732</v>
      </c>
      <c r="L126" s="1182"/>
    </row>
    <row r="127" spans="1:12" s="714" customFormat="1" ht="21.3">
      <c r="A127" s="1147"/>
      <c r="B127" s="1148"/>
      <c r="C127" s="1123"/>
      <c r="D127" s="1124"/>
      <c r="E127" s="1149"/>
      <c r="F127" s="1150"/>
      <c r="G127" s="1179"/>
      <c r="H127" s="796"/>
      <c r="I127" s="1181"/>
      <c r="J127" s="796"/>
      <c r="K127" s="797"/>
      <c r="L127" s="1182"/>
    </row>
    <row r="128" spans="1:12" s="714" customFormat="1" ht="21.3">
      <c r="A128" s="1147"/>
      <c r="B128" s="1148"/>
      <c r="C128" s="1123"/>
      <c r="D128" s="1124"/>
      <c r="E128" s="1149"/>
      <c r="F128" s="1150"/>
      <c r="G128" s="1179"/>
      <c r="H128" s="796"/>
      <c r="I128" s="1181"/>
      <c r="J128" s="796"/>
      <c r="K128" s="797"/>
      <c r="L128" s="1182"/>
    </row>
    <row r="129" spans="1:12" s="714" customFormat="1" ht="21.3">
      <c r="A129" s="1147"/>
      <c r="B129" s="1148"/>
      <c r="C129" s="1123"/>
      <c r="D129" s="1124"/>
      <c r="E129" s="1149"/>
      <c r="F129" s="1150"/>
      <c r="G129" s="1179"/>
      <c r="H129" s="796"/>
      <c r="I129" s="1181"/>
      <c r="J129" s="796"/>
      <c r="K129" s="797"/>
      <c r="L129" s="1182"/>
    </row>
    <row r="130" spans="1:12" s="714" customFormat="1" ht="21.3">
      <c r="A130" s="1147"/>
      <c r="B130" s="1148"/>
      <c r="C130" s="1123"/>
      <c r="D130" s="1124"/>
      <c r="E130" s="1149"/>
      <c r="F130" s="1150"/>
      <c r="G130" s="1179"/>
      <c r="H130" s="796"/>
      <c r="I130" s="1181"/>
      <c r="J130" s="796"/>
      <c r="K130" s="797"/>
      <c r="L130" s="1182"/>
    </row>
    <row r="131" spans="1:12" s="714" customFormat="1" ht="21.3">
      <c r="A131" s="1147"/>
      <c r="B131" s="1148"/>
      <c r="C131" s="1123"/>
      <c r="D131" s="1124"/>
      <c r="E131" s="1149"/>
      <c r="F131" s="1150"/>
      <c r="G131" s="1179"/>
      <c r="H131" s="796"/>
      <c r="I131" s="1181"/>
      <c r="J131" s="796"/>
      <c r="K131" s="797"/>
      <c r="L131" s="1182"/>
    </row>
    <row r="132" spans="1:12" s="714" customFormat="1" ht="21.3">
      <c r="A132" s="1147"/>
      <c r="B132" s="1148"/>
      <c r="C132" s="1123"/>
      <c r="D132" s="1124"/>
      <c r="E132" s="1149"/>
      <c r="F132" s="1150"/>
      <c r="G132" s="1179"/>
      <c r="H132" s="796"/>
      <c r="I132" s="1181"/>
      <c r="J132" s="796"/>
      <c r="K132" s="797"/>
      <c r="L132" s="1182"/>
    </row>
    <row r="133" spans="1:12" s="714" customFormat="1" ht="21.3">
      <c r="A133" s="1147"/>
      <c r="B133" s="1148"/>
      <c r="C133" s="1123"/>
      <c r="D133" s="1124"/>
      <c r="E133" s="1149"/>
      <c r="F133" s="1150"/>
      <c r="G133" s="1179"/>
      <c r="H133" s="796"/>
      <c r="I133" s="1181"/>
      <c r="J133" s="796"/>
      <c r="K133" s="797"/>
      <c r="L133" s="1182"/>
    </row>
    <row r="134" spans="1:12" s="714" customFormat="1" ht="21.3">
      <c r="A134" s="1147"/>
      <c r="B134" s="1148"/>
      <c r="C134" s="1123"/>
      <c r="D134" s="1124"/>
      <c r="E134" s="1149"/>
      <c r="F134" s="1150"/>
      <c r="G134" s="1179"/>
      <c r="H134" s="796"/>
      <c r="I134" s="1181"/>
      <c r="J134" s="796"/>
      <c r="K134" s="797"/>
      <c r="L134" s="1182"/>
    </row>
    <row r="135" spans="1:12" s="714" customFormat="1" ht="21.3">
      <c r="A135" s="1147"/>
      <c r="B135" s="1148"/>
      <c r="C135" s="1123"/>
      <c r="D135" s="1124"/>
      <c r="E135" s="1149"/>
      <c r="F135" s="1150"/>
      <c r="G135" s="1179"/>
      <c r="H135" s="796"/>
      <c r="I135" s="1181"/>
      <c r="J135" s="796"/>
      <c r="K135" s="797"/>
      <c r="L135" s="1182"/>
    </row>
    <row r="136" spans="1:12" s="714" customFormat="1" ht="21.3">
      <c r="A136" s="1166"/>
      <c r="B136" s="2475" t="str">
        <f>"รวมราคารายการที่ "&amp;A110</f>
        <v>รวมราคารายการที่ 5.4</v>
      </c>
      <c r="C136" s="2476"/>
      <c r="D136" s="2477"/>
      <c r="E136" s="2264"/>
      <c r="F136" s="1167"/>
      <c r="G136" s="1168"/>
      <c r="H136" s="1169">
        <f>SUM(H111:H126)</f>
        <v>107975</v>
      </c>
      <c r="I136" s="1170"/>
      <c r="J136" s="1169">
        <f>SUM(J111:J126)</f>
        <v>31386</v>
      </c>
      <c r="K136" s="1169">
        <f>SUM(K111:K126)</f>
        <v>139361</v>
      </c>
      <c r="L136" s="1171"/>
    </row>
    <row r="137" spans="1:12" s="714" customFormat="1" ht="21.3">
      <c r="A137" s="950"/>
      <c r="E137" s="1234"/>
    </row>
    <row r="138" spans="1:12" s="714" customFormat="1" ht="21.3">
      <c r="A138" s="950"/>
      <c r="E138" s="1234"/>
    </row>
  </sheetData>
  <mergeCells count="13"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65:D65"/>
    <mergeCell ref="B96:D96"/>
    <mergeCell ref="B109:D109"/>
    <mergeCell ref="B136:D136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6-อาคารสนับนุน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85FB9-1F4A-4DE2-B0FF-DC216E731A77}">
  <sheetPr>
    <tabColor rgb="FF92D050"/>
  </sheetPr>
  <dimension ref="A1:O141"/>
  <sheetViews>
    <sheetView showGridLines="0" tabSelected="1" view="pageBreakPreview" topLeftCell="A112" zoomScale="70" zoomScaleNormal="6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7.41015625" style="1" customWidth="1"/>
    <col min="13" max="90" width="7.703125" style="1" customWidth="1"/>
    <col min="91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1635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 t="s">
        <v>29</v>
      </c>
      <c r="B11" s="1144" t="s">
        <v>1777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 t="str">
        <f>A36</f>
        <v>5.1</v>
      </c>
      <c r="B12" s="1148" t="str">
        <f>B36</f>
        <v>ระบบน้ำประปา (Cold Water Supply System)</v>
      </c>
      <c r="C12" s="1123"/>
      <c r="D12" s="1124"/>
      <c r="E12" s="1149">
        <v>1</v>
      </c>
      <c r="F12" s="1150" t="s">
        <v>19</v>
      </c>
      <c r="G12" s="710"/>
      <c r="H12" s="711">
        <f>H64</f>
        <v>141056</v>
      </c>
      <c r="I12" s="712"/>
      <c r="J12" s="711">
        <f>J64</f>
        <v>48495</v>
      </c>
      <c r="K12" s="1129">
        <f t="shared" ref="K12:K15" si="0">SUM(H12:J12)</f>
        <v>189551</v>
      </c>
      <c r="L12" s="1024"/>
    </row>
    <row r="13" spans="1:12" s="714" customFormat="1" ht="24" customHeight="1">
      <c r="A13" s="1159" t="str">
        <f>A65</f>
        <v>5.2</v>
      </c>
      <c r="B13" s="1160" t="str">
        <f>B65</f>
        <v xml:space="preserve">ระบบระบายน้ำโสโครก น้ำทิ้ง ระบายอากาศ และ ท่อน้ำทิ้งจากห้องครัว </v>
      </c>
      <c r="C13" s="1161"/>
      <c r="D13" s="1162"/>
      <c r="E13" s="1183">
        <v>1</v>
      </c>
      <c r="F13" s="1163" t="s">
        <v>19</v>
      </c>
      <c r="G13" s="1164"/>
      <c r="H13" s="957">
        <f>H97</f>
        <v>341019</v>
      </c>
      <c r="I13" s="1165"/>
      <c r="J13" s="957">
        <f>J97</f>
        <v>121000</v>
      </c>
      <c r="K13" s="1129">
        <f t="shared" si="0"/>
        <v>462019</v>
      </c>
      <c r="L13" s="954"/>
    </row>
    <row r="14" spans="1:12" s="714" customFormat="1" ht="24" customHeight="1">
      <c r="A14" s="1159">
        <f>A98</f>
        <v>5.3</v>
      </c>
      <c r="B14" s="1160" t="str">
        <f>B98</f>
        <v>ระบบระบายน้ำฝนและระบายน้ำในอาคาร (Storm Drain &amp; Building Drain System)</v>
      </c>
      <c r="C14" s="1161"/>
      <c r="D14" s="1162"/>
      <c r="E14" s="1183">
        <v>1</v>
      </c>
      <c r="F14" s="1163" t="s">
        <v>19</v>
      </c>
      <c r="G14" s="1164"/>
      <c r="H14" s="957">
        <f>H109</f>
        <v>7333</v>
      </c>
      <c r="I14" s="1165"/>
      <c r="J14" s="957">
        <f>J109</f>
        <v>2375</v>
      </c>
      <c r="K14" s="1129">
        <f t="shared" si="0"/>
        <v>9708</v>
      </c>
      <c r="L14" s="1024"/>
    </row>
    <row r="15" spans="1:12" s="714" customFormat="1" ht="24" customHeight="1">
      <c r="A15" s="1159" t="str">
        <f>A110</f>
        <v>5.4</v>
      </c>
      <c r="B15" s="1160" t="str">
        <f>B110</f>
        <v>ระบบน้ำชำระสุขภัณฑ์ (Flush Water System)</v>
      </c>
      <c r="C15" s="1161"/>
      <c r="D15" s="1162"/>
      <c r="E15" s="1183">
        <v>1</v>
      </c>
      <c r="F15" s="1163" t="s">
        <v>19</v>
      </c>
      <c r="G15" s="1164"/>
      <c r="H15" s="957">
        <f>H136</f>
        <v>106381</v>
      </c>
      <c r="I15" s="1165"/>
      <c r="J15" s="957">
        <f>J136</f>
        <v>31114</v>
      </c>
      <c r="K15" s="1129">
        <f t="shared" si="0"/>
        <v>137495</v>
      </c>
      <c r="L15" s="1024"/>
    </row>
    <row r="16" spans="1:12" s="714" customFormat="1" ht="24" customHeight="1">
      <c r="A16" s="1147"/>
      <c r="B16" s="1148"/>
      <c r="C16" s="1123"/>
      <c r="D16" s="1124"/>
      <c r="E16" s="1149"/>
      <c r="F16" s="1150"/>
      <c r="G16" s="710"/>
      <c r="H16" s="711"/>
      <c r="I16" s="712"/>
      <c r="J16" s="711"/>
      <c r="K16" s="1129"/>
      <c r="L16" s="1024"/>
    </row>
    <row r="17" spans="1:12" s="714" customFormat="1" ht="24" customHeight="1">
      <c r="A17" s="1147"/>
      <c r="B17" s="1148"/>
      <c r="C17" s="1123"/>
      <c r="D17" s="1124"/>
      <c r="E17" s="1149"/>
      <c r="F17" s="1150"/>
      <c r="G17" s="710"/>
      <c r="H17" s="711"/>
      <c r="I17" s="712"/>
      <c r="J17" s="711"/>
      <c r="K17" s="1129"/>
      <c r="L17" s="1024"/>
    </row>
    <row r="18" spans="1:12" s="714" customFormat="1" ht="24" customHeight="1">
      <c r="A18" s="1147"/>
      <c r="B18" s="1148"/>
      <c r="C18" s="1123"/>
      <c r="D18" s="1124"/>
      <c r="E18" s="1149"/>
      <c r="F18" s="1150"/>
      <c r="G18" s="710"/>
      <c r="H18" s="711"/>
      <c r="I18" s="712"/>
      <c r="J18" s="711"/>
      <c r="K18" s="1129"/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2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2" s="714" customFormat="1" ht="30" customHeight="1">
      <c r="A34" s="1166"/>
      <c r="B34" s="2475" t="str">
        <f>"รวมราคา"&amp;B11</f>
        <v>รวมราคางานระบบสุขาภิบาล ชั้น 7</v>
      </c>
      <c r="C34" s="2476"/>
      <c r="D34" s="2477"/>
      <c r="E34" s="1167"/>
      <c r="F34" s="1167"/>
      <c r="G34" s="1168"/>
      <c r="H34" s="1169">
        <f>SUM(H12:H33)</f>
        <v>595789</v>
      </c>
      <c r="I34" s="1170"/>
      <c r="J34" s="1169">
        <f>SUM(J12:J33)</f>
        <v>202984</v>
      </c>
      <c r="K34" s="1171">
        <f>SUM(K12:K33)</f>
        <v>798773</v>
      </c>
      <c r="L34" s="1171"/>
    </row>
    <row r="35" spans="1:12" s="714" customFormat="1" ht="24" customHeight="1">
      <c r="A35" s="1011"/>
      <c r="B35" s="1173" t="s">
        <v>30</v>
      </c>
      <c r="C35" s="859"/>
      <c r="D35" s="859"/>
      <c r="E35" s="1216"/>
      <c r="F35" s="935"/>
      <c r="G35" s="1174"/>
      <c r="H35" s="1175"/>
      <c r="I35" s="1176"/>
      <c r="J35" s="1175"/>
      <c r="K35" s="1176"/>
      <c r="L35" s="825"/>
    </row>
    <row r="36" spans="1:12" s="714" customFormat="1" ht="24" customHeight="1">
      <c r="A36" s="1177" t="s">
        <v>1637</v>
      </c>
      <c r="B36" s="1151" t="s">
        <v>1638</v>
      </c>
      <c r="C36" s="1178"/>
      <c r="D36" s="1124"/>
      <c r="E36" s="1149"/>
      <c r="F36" s="1150"/>
      <c r="G36" s="1179"/>
      <c r="H36" s="1180"/>
      <c r="I36" s="1181"/>
      <c r="J36" s="1180"/>
      <c r="K36" s="1181"/>
      <c r="L36" s="1182"/>
    </row>
    <row r="37" spans="1:12" s="714" customFormat="1" ht="24" customHeight="1">
      <c r="A37" s="1147" t="s">
        <v>1639</v>
      </c>
      <c r="B37" s="1148" t="s">
        <v>1746</v>
      </c>
      <c r="C37" s="1123"/>
      <c r="D37" s="1124"/>
      <c r="E37" s="1149"/>
      <c r="F37" s="1150"/>
      <c r="G37" s="1179"/>
      <c r="H37" s="796"/>
      <c r="I37" s="1181"/>
      <c r="J37" s="796"/>
      <c r="K37" s="797"/>
      <c r="L37" s="1182"/>
    </row>
    <row r="38" spans="1:12" s="714" customFormat="1" ht="24" customHeight="1">
      <c r="A38" s="1147"/>
      <c r="B38" s="1148" t="s">
        <v>1715</v>
      </c>
      <c r="C38" s="1123"/>
      <c r="D38" s="1124"/>
      <c r="E38" s="1149">
        <v>721</v>
      </c>
      <c r="F38" s="1150" t="s">
        <v>438</v>
      </c>
      <c r="G38" s="1179">
        <v>35</v>
      </c>
      <c r="H38" s="796">
        <f t="shared" ref="H38:H54" si="1">ROUND(E38*G38,)</f>
        <v>25235</v>
      </c>
      <c r="I38" s="1181">
        <v>30</v>
      </c>
      <c r="J38" s="796">
        <f t="shared" ref="J38:J46" si="2">ROUND(E38*I38,)</f>
        <v>21630</v>
      </c>
      <c r="K38" s="797">
        <f t="shared" ref="K38:K46" si="3">H38+J38</f>
        <v>46865</v>
      </c>
      <c r="L38" s="1182"/>
    </row>
    <row r="39" spans="1:12" s="714" customFormat="1" ht="24" customHeight="1">
      <c r="A39" s="1147"/>
      <c r="B39" s="1148" t="s">
        <v>1650</v>
      </c>
      <c r="C39" s="1123"/>
      <c r="D39" s="1124"/>
      <c r="E39" s="1149">
        <v>25</v>
      </c>
      <c r="F39" s="1150" t="s">
        <v>438</v>
      </c>
      <c r="G39" s="1179">
        <v>46</v>
      </c>
      <c r="H39" s="796">
        <f t="shared" si="1"/>
        <v>1150</v>
      </c>
      <c r="I39" s="1181">
        <v>30</v>
      </c>
      <c r="J39" s="796">
        <f t="shared" si="2"/>
        <v>750</v>
      </c>
      <c r="K39" s="797">
        <f t="shared" si="3"/>
        <v>1900</v>
      </c>
      <c r="L39" s="1182"/>
    </row>
    <row r="40" spans="1:12" s="714" customFormat="1" ht="24" customHeight="1">
      <c r="A40" s="1147"/>
      <c r="B40" s="1148" t="s">
        <v>1760</v>
      </c>
      <c r="C40" s="1123"/>
      <c r="D40" s="1124"/>
      <c r="E40" s="1149">
        <v>48</v>
      </c>
      <c r="F40" s="1150" t="s">
        <v>438</v>
      </c>
      <c r="G40" s="1179">
        <v>113</v>
      </c>
      <c r="H40" s="796">
        <f t="shared" si="1"/>
        <v>5424</v>
      </c>
      <c r="I40" s="1181">
        <v>50</v>
      </c>
      <c r="J40" s="796">
        <f t="shared" si="2"/>
        <v>2400</v>
      </c>
      <c r="K40" s="797">
        <f t="shared" si="3"/>
        <v>7824</v>
      </c>
      <c r="L40" s="1182"/>
    </row>
    <row r="41" spans="1:12" s="714" customFormat="1" ht="24" customHeight="1">
      <c r="A41" s="1147"/>
      <c r="B41" s="1148" t="s">
        <v>1761</v>
      </c>
      <c r="C41" s="1123"/>
      <c r="D41" s="1124"/>
      <c r="E41" s="1149">
        <v>22</v>
      </c>
      <c r="F41" s="1150" t="s">
        <v>438</v>
      </c>
      <c r="G41" s="1179">
        <v>193</v>
      </c>
      <c r="H41" s="796">
        <f t="shared" si="1"/>
        <v>4246</v>
      </c>
      <c r="I41" s="1181">
        <v>75</v>
      </c>
      <c r="J41" s="796">
        <f t="shared" si="2"/>
        <v>1650</v>
      </c>
      <c r="K41" s="797">
        <f t="shared" si="3"/>
        <v>5896</v>
      </c>
      <c r="L41" s="1182"/>
    </row>
    <row r="42" spans="1:12" s="714" customFormat="1" ht="24" customHeight="1">
      <c r="A42" s="1147"/>
      <c r="B42" s="1148" t="s">
        <v>1661</v>
      </c>
      <c r="C42" s="1123"/>
      <c r="D42" s="1124"/>
      <c r="E42" s="1149">
        <v>25</v>
      </c>
      <c r="F42" s="1150" t="s">
        <v>438</v>
      </c>
      <c r="G42" s="1179">
        <v>287</v>
      </c>
      <c r="H42" s="796">
        <f t="shared" si="1"/>
        <v>7175</v>
      </c>
      <c r="I42" s="1181">
        <v>100</v>
      </c>
      <c r="J42" s="796">
        <f t="shared" si="2"/>
        <v>2500</v>
      </c>
      <c r="K42" s="797">
        <f t="shared" si="3"/>
        <v>9675</v>
      </c>
      <c r="L42" s="1182"/>
    </row>
    <row r="43" spans="1:12" s="714" customFormat="1" ht="24" customHeight="1">
      <c r="A43" s="1147"/>
      <c r="B43" s="1148" t="s">
        <v>1642</v>
      </c>
      <c r="C43" s="1123"/>
      <c r="D43" s="1124"/>
      <c r="E43" s="1149">
        <v>10</v>
      </c>
      <c r="F43" s="1150" t="s">
        <v>438</v>
      </c>
      <c r="G43" s="1179">
        <v>562</v>
      </c>
      <c r="H43" s="796">
        <f t="shared" si="1"/>
        <v>5620</v>
      </c>
      <c r="I43" s="1181">
        <v>120</v>
      </c>
      <c r="J43" s="796">
        <f t="shared" si="2"/>
        <v>1200</v>
      </c>
      <c r="K43" s="797">
        <f t="shared" si="3"/>
        <v>6820</v>
      </c>
      <c r="L43" s="1182"/>
    </row>
    <row r="44" spans="1:12" s="714" customFormat="1" ht="24" customHeight="1">
      <c r="A44" s="1147"/>
      <c r="B44" s="1148" t="s">
        <v>1645</v>
      </c>
      <c r="C44" s="1123"/>
      <c r="D44" s="1124"/>
      <c r="E44" s="1149">
        <v>1</v>
      </c>
      <c r="F44" s="1150" t="s">
        <v>948</v>
      </c>
      <c r="G44" s="1179">
        <f>SUM(H38:H43)*50%</f>
        <v>24425</v>
      </c>
      <c r="H44" s="796">
        <f t="shared" si="1"/>
        <v>24425</v>
      </c>
      <c r="I44" s="1181">
        <f t="shared" ref="I44:I46" si="4">ROUNDUP(G44*30%,0)</f>
        <v>7328</v>
      </c>
      <c r="J44" s="796">
        <f t="shared" si="2"/>
        <v>7328</v>
      </c>
      <c r="K44" s="797">
        <f t="shared" si="3"/>
        <v>31753</v>
      </c>
      <c r="L44" s="1182"/>
    </row>
    <row r="45" spans="1:12" s="714" customFormat="1" ht="24" customHeight="1">
      <c r="A45" s="1147"/>
      <c r="B45" s="1148" t="s">
        <v>1646</v>
      </c>
      <c r="C45" s="1123"/>
      <c r="D45" s="1124"/>
      <c r="E45" s="1149">
        <v>1</v>
      </c>
      <c r="F45" s="1150" t="s">
        <v>948</v>
      </c>
      <c r="G45" s="1179">
        <f>SUM(H38:H43)*20%</f>
        <v>9770</v>
      </c>
      <c r="H45" s="796">
        <f t="shared" si="1"/>
        <v>9770</v>
      </c>
      <c r="I45" s="1181">
        <f t="shared" si="4"/>
        <v>2931</v>
      </c>
      <c r="J45" s="796">
        <f t="shared" si="2"/>
        <v>2931</v>
      </c>
      <c r="K45" s="797">
        <f t="shared" si="3"/>
        <v>12701</v>
      </c>
      <c r="L45" s="1182"/>
    </row>
    <row r="46" spans="1:12" s="714" customFormat="1" ht="24" customHeight="1">
      <c r="A46" s="1147"/>
      <c r="B46" s="1148" t="s">
        <v>1647</v>
      </c>
      <c r="C46" s="1123"/>
      <c r="D46" s="1124"/>
      <c r="E46" s="1149">
        <v>1</v>
      </c>
      <c r="F46" s="1150" t="s">
        <v>948</v>
      </c>
      <c r="G46" s="1179">
        <f>SUM(H38:H43)*10%</f>
        <v>4885</v>
      </c>
      <c r="H46" s="796">
        <f t="shared" si="1"/>
        <v>4885</v>
      </c>
      <c r="I46" s="1181">
        <f t="shared" si="4"/>
        <v>1466</v>
      </c>
      <c r="J46" s="796">
        <f t="shared" si="2"/>
        <v>1466</v>
      </c>
      <c r="K46" s="797">
        <f t="shared" si="3"/>
        <v>6351</v>
      </c>
      <c r="L46" s="1182"/>
    </row>
    <row r="47" spans="1:12" s="714" customFormat="1" ht="24" customHeight="1">
      <c r="A47" s="1147" t="s">
        <v>1648</v>
      </c>
      <c r="B47" s="1148" t="s">
        <v>1649</v>
      </c>
      <c r="C47" s="1123"/>
      <c r="D47" s="1124"/>
      <c r="E47" s="1149"/>
      <c r="F47" s="1150"/>
      <c r="G47" s="1179"/>
      <c r="H47" s="796"/>
      <c r="I47" s="1181"/>
      <c r="J47" s="796"/>
      <c r="K47" s="797"/>
      <c r="L47" s="1182"/>
    </row>
    <row r="48" spans="1:12" s="714" customFormat="1" ht="24" customHeight="1">
      <c r="A48" s="1147"/>
      <c r="B48" s="1148" t="s">
        <v>1715</v>
      </c>
      <c r="C48" s="1123"/>
      <c r="D48" s="1124"/>
      <c r="E48" s="1149">
        <v>7</v>
      </c>
      <c r="F48" s="1150" t="s">
        <v>240</v>
      </c>
      <c r="G48" s="1179">
        <v>880</v>
      </c>
      <c r="H48" s="796">
        <f t="shared" ref="H48:H50" si="5">ROUND(E48*G48,)</f>
        <v>6160</v>
      </c>
      <c r="I48" s="1181">
        <v>150</v>
      </c>
      <c r="J48" s="796">
        <f t="shared" ref="J48:J50" si="6">ROUND(E48*I48,)</f>
        <v>1050</v>
      </c>
      <c r="K48" s="797">
        <f t="shared" ref="K48:K50" si="7">H48+J48</f>
        <v>7210</v>
      </c>
      <c r="L48" s="2273" t="s">
        <v>2974</v>
      </c>
    </row>
    <row r="49" spans="1:12" s="714" customFormat="1" ht="24" customHeight="1">
      <c r="A49" s="1147"/>
      <c r="B49" s="1148" t="s">
        <v>1760</v>
      </c>
      <c r="C49" s="1123"/>
      <c r="D49" s="1124"/>
      <c r="E49" s="1149">
        <v>3</v>
      </c>
      <c r="F49" s="1150" t="s">
        <v>240</v>
      </c>
      <c r="G49" s="1179">
        <v>2610</v>
      </c>
      <c r="H49" s="796">
        <f t="shared" si="5"/>
        <v>7830</v>
      </c>
      <c r="I49" s="1181">
        <v>300</v>
      </c>
      <c r="J49" s="796">
        <f t="shared" si="6"/>
        <v>900</v>
      </c>
      <c r="K49" s="797">
        <f t="shared" si="7"/>
        <v>8730</v>
      </c>
      <c r="L49" s="2273" t="s">
        <v>2974</v>
      </c>
    </row>
    <row r="50" spans="1:12" s="714" customFormat="1" ht="24" customHeight="1">
      <c r="A50" s="1147"/>
      <c r="B50" s="1148" t="s">
        <v>1761</v>
      </c>
      <c r="C50" s="1123"/>
      <c r="D50" s="1124"/>
      <c r="E50" s="1149">
        <v>2</v>
      </c>
      <c r="F50" s="1150" t="s">
        <v>240</v>
      </c>
      <c r="G50" s="1174">
        <v>4040</v>
      </c>
      <c r="H50" s="796">
        <f t="shared" si="5"/>
        <v>8080</v>
      </c>
      <c r="I50" s="1176">
        <v>400</v>
      </c>
      <c r="J50" s="796">
        <f t="shared" si="6"/>
        <v>800</v>
      </c>
      <c r="K50" s="797">
        <f t="shared" si="7"/>
        <v>8880</v>
      </c>
      <c r="L50" s="2273" t="s">
        <v>2974</v>
      </c>
    </row>
    <row r="51" spans="1:12" s="714" customFormat="1" ht="24" customHeight="1">
      <c r="A51" s="1147" t="s">
        <v>1651</v>
      </c>
      <c r="B51" s="1148" t="s">
        <v>1748</v>
      </c>
      <c r="C51" s="1123"/>
      <c r="D51" s="1124"/>
      <c r="E51" s="1149"/>
      <c r="F51" s="1150"/>
      <c r="G51" s="1179"/>
      <c r="H51" s="796"/>
      <c r="I51" s="1181"/>
      <c r="J51" s="796"/>
      <c r="K51" s="797"/>
      <c r="L51" s="1182"/>
    </row>
    <row r="52" spans="1:12" s="714" customFormat="1" ht="24" customHeight="1">
      <c r="A52" s="1147"/>
      <c r="B52" s="1148" t="s">
        <v>1749</v>
      </c>
      <c r="C52" s="1123"/>
      <c r="D52" s="1124"/>
      <c r="E52" s="1149">
        <v>9</v>
      </c>
      <c r="F52" s="1150" t="s">
        <v>240</v>
      </c>
      <c r="G52" s="1188">
        <v>210</v>
      </c>
      <c r="H52" s="796">
        <f t="shared" ref="H52" si="8">ROUND(E52*G52,)</f>
        <v>1890</v>
      </c>
      <c r="I52" s="1181">
        <v>100</v>
      </c>
      <c r="J52" s="796">
        <f t="shared" ref="J52" si="9">ROUND(E52*I52,)</f>
        <v>900</v>
      </c>
      <c r="K52" s="797">
        <f t="shared" ref="K52" si="10">H52+J52</f>
        <v>2790</v>
      </c>
      <c r="L52" s="1182"/>
    </row>
    <row r="53" spans="1:12" s="714" customFormat="1" ht="24" customHeight="1">
      <c r="A53" s="1147" t="s">
        <v>1653</v>
      </c>
      <c r="B53" s="1148" t="s">
        <v>1652</v>
      </c>
      <c r="C53" s="1123"/>
      <c r="D53" s="1124"/>
      <c r="E53" s="1149"/>
      <c r="F53" s="1150"/>
      <c r="G53" s="1179"/>
      <c r="H53" s="796"/>
      <c r="I53" s="1181"/>
      <c r="J53" s="796"/>
      <c r="K53" s="797"/>
      <c r="L53" s="1182"/>
    </row>
    <row r="54" spans="1:12" s="714" customFormat="1" ht="24" customHeight="1">
      <c r="A54" s="1147"/>
      <c r="B54" s="1148" t="s">
        <v>1661</v>
      </c>
      <c r="C54" s="1123"/>
      <c r="D54" s="1124"/>
      <c r="E54" s="1149">
        <v>2</v>
      </c>
      <c r="F54" s="1150" t="s">
        <v>240</v>
      </c>
      <c r="G54" s="1179">
        <v>1742</v>
      </c>
      <c r="H54" s="796">
        <f t="shared" si="1"/>
        <v>3484</v>
      </c>
      <c r="I54" s="1181">
        <v>500</v>
      </c>
      <c r="J54" s="796">
        <f t="shared" ref="J54" si="11">ROUND(E54*I54,)</f>
        <v>1000</v>
      </c>
      <c r="K54" s="797">
        <f t="shared" ref="K54" si="12">H54+J54</f>
        <v>4484</v>
      </c>
      <c r="L54" s="1182"/>
    </row>
    <row r="55" spans="1:12" s="714" customFormat="1" ht="24" customHeight="1">
      <c r="A55" s="1147" t="s">
        <v>1655</v>
      </c>
      <c r="B55" s="1148" t="s">
        <v>1762</v>
      </c>
      <c r="C55" s="1123"/>
      <c r="D55" s="1124"/>
      <c r="E55" s="1149"/>
      <c r="F55" s="1150"/>
      <c r="G55" s="1179"/>
      <c r="H55" s="796"/>
      <c r="I55" s="1181"/>
      <c r="J55" s="796"/>
      <c r="K55" s="797"/>
      <c r="L55" s="1182"/>
    </row>
    <row r="56" spans="1:12" s="714" customFormat="1" ht="24" customHeight="1">
      <c r="A56" s="1147"/>
      <c r="B56" s="1148" t="s">
        <v>1763</v>
      </c>
      <c r="C56" s="1123"/>
      <c r="D56" s="1124"/>
      <c r="E56" s="1149">
        <v>2</v>
      </c>
      <c r="F56" s="1150" t="s">
        <v>240</v>
      </c>
      <c r="G56" s="1179">
        <v>1095</v>
      </c>
      <c r="H56" s="796">
        <f t="shared" ref="H56:H57" si="13">ROUND(E56*G56,)</f>
        <v>2190</v>
      </c>
      <c r="I56" s="1181">
        <v>110</v>
      </c>
      <c r="J56" s="796">
        <f t="shared" ref="J56:J57" si="14">ROUND(I56*E56,)</f>
        <v>220</v>
      </c>
      <c r="K56" s="797">
        <f t="shared" ref="K56:K57" si="15">H56+J56</f>
        <v>2410</v>
      </c>
      <c r="L56" s="1182"/>
    </row>
    <row r="57" spans="1:12" s="714" customFormat="1" ht="24" customHeight="1">
      <c r="A57" s="1147"/>
      <c r="B57" s="1148" t="s">
        <v>1764</v>
      </c>
      <c r="C57" s="1123"/>
      <c r="D57" s="1124"/>
      <c r="E57" s="1149">
        <v>4</v>
      </c>
      <c r="F57" s="1150" t="s">
        <v>240</v>
      </c>
      <c r="G57" s="1179">
        <v>5603</v>
      </c>
      <c r="H57" s="796">
        <f t="shared" si="13"/>
        <v>22412</v>
      </c>
      <c r="I57" s="1181">
        <v>330</v>
      </c>
      <c r="J57" s="796">
        <f t="shared" si="14"/>
        <v>1320</v>
      </c>
      <c r="K57" s="797">
        <f t="shared" si="15"/>
        <v>23732</v>
      </c>
      <c r="L57" s="1182"/>
    </row>
    <row r="58" spans="1:12" s="714" customFormat="1" ht="24" customHeight="1">
      <c r="A58" s="1147"/>
      <c r="B58" s="1148"/>
      <c r="C58" s="1123"/>
      <c r="D58" s="1124"/>
      <c r="E58" s="1149"/>
      <c r="F58" s="1150"/>
      <c r="G58" s="1179"/>
      <c r="H58" s="796"/>
      <c r="I58" s="1181"/>
      <c r="J58" s="796"/>
      <c r="K58" s="797"/>
      <c r="L58" s="1182"/>
    </row>
    <row r="59" spans="1:12" s="714" customFormat="1" ht="24" customHeight="1">
      <c r="A59" s="1147"/>
      <c r="B59" s="1148"/>
      <c r="C59" s="1123"/>
      <c r="D59" s="1124"/>
      <c r="E59" s="1149"/>
      <c r="F59" s="1150"/>
      <c r="G59" s="1179"/>
      <c r="H59" s="796"/>
      <c r="I59" s="1181"/>
      <c r="J59" s="796"/>
      <c r="K59" s="797"/>
      <c r="L59" s="1182"/>
    </row>
    <row r="60" spans="1:12" s="714" customFormat="1" ht="24" customHeight="1">
      <c r="A60" s="1147" t="s">
        <v>1657</v>
      </c>
      <c r="B60" s="1148" t="s">
        <v>1750</v>
      </c>
      <c r="C60" s="1123"/>
      <c r="D60" s="1124"/>
      <c r="E60" s="1149"/>
      <c r="F60" s="1150"/>
      <c r="G60" s="1179"/>
      <c r="H60" s="796"/>
      <c r="I60" s="1181"/>
      <c r="J60" s="796"/>
      <c r="K60" s="797"/>
      <c r="L60" s="1182"/>
    </row>
    <row r="61" spans="1:12" s="714" customFormat="1" ht="24" customHeight="1">
      <c r="A61" s="1147"/>
      <c r="B61" s="1148" t="s">
        <v>1749</v>
      </c>
      <c r="C61" s="1123"/>
      <c r="D61" s="1124"/>
      <c r="E61" s="1149">
        <v>9</v>
      </c>
      <c r="F61" s="1150" t="s">
        <v>240</v>
      </c>
      <c r="G61" s="1179">
        <v>120</v>
      </c>
      <c r="H61" s="796">
        <f t="shared" ref="H61" si="16">ROUND(E61*G61,)</f>
        <v>1080</v>
      </c>
      <c r="I61" s="1181">
        <v>50</v>
      </c>
      <c r="J61" s="796">
        <f t="shared" ref="J61" si="17">ROUND(I61*E61,)</f>
        <v>450</v>
      </c>
      <c r="K61" s="797">
        <f t="shared" ref="K61" si="18">H61+J61</f>
        <v>1530</v>
      </c>
      <c r="L61" s="1182"/>
    </row>
    <row r="62" spans="1:12" s="714" customFormat="1" ht="24" customHeight="1">
      <c r="A62" s="1147"/>
      <c r="B62" s="1148"/>
      <c r="C62" s="1123"/>
      <c r="D62" s="1124"/>
      <c r="E62" s="1149"/>
      <c r="F62" s="1150"/>
      <c r="G62" s="1179"/>
      <c r="H62" s="796"/>
      <c r="I62" s="1181"/>
      <c r="J62" s="796"/>
      <c r="K62" s="797"/>
      <c r="L62" s="1182"/>
    </row>
    <row r="63" spans="1:12" s="714" customFormat="1" ht="24" customHeight="1">
      <c r="A63" s="704"/>
      <c r="B63" s="1228"/>
      <c r="C63" s="792"/>
      <c r="D63" s="792"/>
      <c r="E63" s="1229"/>
      <c r="F63" s="919"/>
      <c r="G63" s="1179"/>
      <c r="H63" s="796"/>
      <c r="I63" s="1181"/>
      <c r="J63" s="796"/>
      <c r="K63" s="797"/>
      <c r="L63" s="825"/>
    </row>
    <row r="64" spans="1:12" s="714" customFormat="1" ht="24" customHeight="1">
      <c r="A64" s="1166"/>
      <c r="B64" s="2475" t="str">
        <f>"รวมราคารายการที่ "&amp;A36</f>
        <v>รวมราคารายการที่ 5.1</v>
      </c>
      <c r="C64" s="2476"/>
      <c r="D64" s="2477"/>
      <c r="E64" s="1167"/>
      <c r="F64" s="1167"/>
      <c r="G64" s="1168"/>
      <c r="H64" s="1169">
        <f>SUM(H37:H63)</f>
        <v>141056</v>
      </c>
      <c r="I64" s="1170"/>
      <c r="J64" s="1169">
        <f>SUM(J37:J63)</f>
        <v>48495</v>
      </c>
      <c r="K64" s="1169">
        <f>SUM(K37:K63)</f>
        <v>189551</v>
      </c>
      <c r="L64" s="1171"/>
    </row>
    <row r="65" spans="1:15" s="714" customFormat="1" ht="24" customHeight="1">
      <c r="A65" s="1195" t="s">
        <v>1664</v>
      </c>
      <c r="B65" s="1196" t="s">
        <v>1665</v>
      </c>
      <c r="C65" s="1197"/>
      <c r="D65" s="1198"/>
      <c r="E65" s="1199"/>
      <c r="F65" s="1200"/>
      <c r="G65" s="1201"/>
      <c r="H65" s="1202"/>
      <c r="I65" s="1203"/>
      <c r="J65" s="1202"/>
      <c r="K65" s="1204"/>
      <c r="L65" s="1204"/>
    </row>
    <row r="66" spans="1:15" s="714" customFormat="1" ht="24" customHeight="1">
      <c r="A66" s="1147" t="s">
        <v>1666</v>
      </c>
      <c r="B66" s="1148" t="s">
        <v>1766</v>
      </c>
      <c r="C66" s="1123"/>
      <c r="D66" s="1124"/>
      <c r="E66" s="1149"/>
      <c r="F66" s="1150"/>
      <c r="G66" s="1140"/>
      <c r="H66" s="796"/>
      <c r="I66" s="797"/>
      <c r="J66" s="796"/>
      <c r="K66" s="914"/>
      <c r="L66" s="914"/>
    </row>
    <row r="67" spans="1:15" s="714" customFormat="1" ht="24" customHeight="1">
      <c r="A67" s="1147"/>
      <c r="B67" s="1148" t="s">
        <v>1188</v>
      </c>
      <c r="C67" s="1123"/>
      <c r="D67" s="1124"/>
      <c r="E67" s="1149">
        <v>304</v>
      </c>
      <c r="F67" s="1150" t="s">
        <v>438</v>
      </c>
      <c r="G67" s="1140">
        <v>127</v>
      </c>
      <c r="H67" s="796">
        <f t="shared" ref="H67:H91" si="19">ROUND(E67*G67,)</f>
        <v>38608</v>
      </c>
      <c r="I67" s="797">
        <v>40</v>
      </c>
      <c r="J67" s="796">
        <f t="shared" ref="J67:J73" si="20">ROUND(I67*E67,)</f>
        <v>12160</v>
      </c>
      <c r="K67" s="914">
        <f t="shared" ref="K67:K73" si="21">H67+J67</f>
        <v>50768</v>
      </c>
      <c r="L67" s="914"/>
    </row>
    <row r="68" spans="1:15" s="714" customFormat="1" ht="24" customHeight="1">
      <c r="A68" s="1147"/>
      <c r="B68" s="1148" t="s">
        <v>1190</v>
      </c>
      <c r="C68" s="1123"/>
      <c r="D68" s="1124"/>
      <c r="E68" s="1149">
        <v>21</v>
      </c>
      <c r="F68" s="1150" t="s">
        <v>438</v>
      </c>
      <c r="G68" s="1140">
        <v>258</v>
      </c>
      <c r="H68" s="796">
        <f t="shared" si="19"/>
        <v>5418</v>
      </c>
      <c r="I68" s="797">
        <v>75</v>
      </c>
      <c r="J68" s="796">
        <f t="shared" si="20"/>
        <v>1575</v>
      </c>
      <c r="K68" s="914">
        <f t="shared" si="21"/>
        <v>6993</v>
      </c>
      <c r="L68" s="914"/>
    </row>
    <row r="69" spans="1:15" s="714" customFormat="1" ht="24" customHeight="1">
      <c r="A69" s="1147"/>
      <c r="B69" s="1148" t="s">
        <v>1674</v>
      </c>
      <c r="C69" s="1123"/>
      <c r="D69" s="1124"/>
      <c r="E69" s="1149">
        <v>144</v>
      </c>
      <c r="F69" s="1150" t="s">
        <v>438</v>
      </c>
      <c r="G69" s="1140">
        <v>395</v>
      </c>
      <c r="H69" s="796">
        <f t="shared" si="19"/>
        <v>56880</v>
      </c>
      <c r="I69" s="797">
        <v>120</v>
      </c>
      <c r="J69" s="796">
        <f t="shared" si="20"/>
        <v>17280</v>
      </c>
      <c r="K69" s="914">
        <f t="shared" si="21"/>
        <v>74160</v>
      </c>
      <c r="L69" s="914"/>
    </row>
    <row r="70" spans="1:15" s="714" customFormat="1" ht="24" customHeight="1">
      <c r="A70" s="1147"/>
      <c r="B70" s="1148" t="s">
        <v>1675</v>
      </c>
      <c r="C70" s="1123"/>
      <c r="D70" s="1124"/>
      <c r="E70" s="1149">
        <v>81</v>
      </c>
      <c r="F70" s="1150" t="s">
        <v>438</v>
      </c>
      <c r="G70" s="1140">
        <v>789</v>
      </c>
      <c r="H70" s="796">
        <f t="shared" si="19"/>
        <v>63909</v>
      </c>
      <c r="I70" s="797">
        <v>250</v>
      </c>
      <c r="J70" s="796">
        <f t="shared" si="20"/>
        <v>20250</v>
      </c>
      <c r="K70" s="914">
        <f t="shared" si="21"/>
        <v>84159</v>
      </c>
      <c r="L70" s="914"/>
    </row>
    <row r="71" spans="1:15" s="714" customFormat="1" ht="24" customHeight="1">
      <c r="A71" s="1147"/>
      <c r="B71" s="1148" t="s">
        <v>1645</v>
      </c>
      <c r="C71" s="1123"/>
      <c r="D71" s="1124"/>
      <c r="E71" s="1149">
        <v>1</v>
      </c>
      <c r="F71" s="1150" t="s">
        <v>948</v>
      </c>
      <c r="G71" s="1140">
        <f>SUM(H67:H70)*40%</f>
        <v>65926</v>
      </c>
      <c r="H71" s="796">
        <f t="shared" si="19"/>
        <v>65926</v>
      </c>
      <c r="I71" s="1181">
        <f t="shared" ref="I71:I73" si="22">ROUNDUP(G71*30%,0)</f>
        <v>19778</v>
      </c>
      <c r="J71" s="796">
        <f t="shared" si="20"/>
        <v>19778</v>
      </c>
      <c r="K71" s="914">
        <f t="shared" si="21"/>
        <v>85704</v>
      </c>
      <c r="L71" s="914"/>
    </row>
    <row r="72" spans="1:15" s="714" customFormat="1" ht="24" customHeight="1">
      <c r="A72" s="1147"/>
      <c r="B72" s="1148" t="s">
        <v>1646</v>
      </c>
      <c r="C72" s="1123"/>
      <c r="D72" s="1124"/>
      <c r="E72" s="1149">
        <v>1</v>
      </c>
      <c r="F72" s="1150" t="s">
        <v>948</v>
      </c>
      <c r="G72" s="1140">
        <f>SUM(H67:H70)*20%</f>
        <v>32963</v>
      </c>
      <c r="H72" s="796">
        <f t="shared" si="19"/>
        <v>32963</v>
      </c>
      <c r="I72" s="1181">
        <f t="shared" si="22"/>
        <v>9889</v>
      </c>
      <c r="J72" s="796">
        <f t="shared" si="20"/>
        <v>9889</v>
      </c>
      <c r="K72" s="914">
        <f t="shared" si="21"/>
        <v>42852</v>
      </c>
      <c r="L72" s="914"/>
    </row>
    <row r="73" spans="1:15" s="714" customFormat="1" ht="24" customHeight="1">
      <c r="A73" s="1147"/>
      <c r="B73" s="1148" t="s">
        <v>1677</v>
      </c>
      <c r="C73" s="1123"/>
      <c r="D73" s="1124"/>
      <c r="E73" s="1149">
        <v>1</v>
      </c>
      <c r="F73" s="1150" t="s">
        <v>948</v>
      </c>
      <c r="G73" s="1140">
        <f>SUM(H67:H70)*10%</f>
        <v>16481.5</v>
      </c>
      <c r="H73" s="796">
        <f t="shared" si="19"/>
        <v>16482</v>
      </c>
      <c r="I73" s="1181">
        <f t="shared" si="22"/>
        <v>4945</v>
      </c>
      <c r="J73" s="796">
        <f t="shared" si="20"/>
        <v>4945</v>
      </c>
      <c r="K73" s="914">
        <f t="shared" si="21"/>
        <v>21427</v>
      </c>
      <c r="L73" s="914"/>
    </row>
    <row r="74" spans="1:15" s="714" customFormat="1" ht="24" customHeight="1">
      <c r="A74" s="1159" t="s">
        <v>1672</v>
      </c>
      <c r="B74" s="1160" t="s">
        <v>1772</v>
      </c>
      <c r="C74" s="1161"/>
      <c r="D74" s="1162"/>
      <c r="E74" s="1183"/>
      <c r="F74" s="1163"/>
      <c r="G74" s="1205"/>
      <c r="H74" s="872"/>
      <c r="I74" s="873"/>
      <c r="J74" s="872"/>
      <c r="K74" s="938"/>
      <c r="L74" s="938"/>
    </row>
    <row r="75" spans="1:15" s="714" customFormat="1" ht="24" customHeight="1">
      <c r="A75" s="1147"/>
      <c r="B75" s="1148" t="s">
        <v>1186</v>
      </c>
      <c r="C75" s="1123"/>
      <c r="D75" s="1124"/>
      <c r="E75" s="1149">
        <v>234</v>
      </c>
      <c r="F75" s="1150" t="s">
        <v>438</v>
      </c>
      <c r="G75" s="1140">
        <v>20</v>
      </c>
      <c r="H75" s="796">
        <f t="shared" si="19"/>
        <v>4680</v>
      </c>
      <c r="I75" s="797">
        <v>30</v>
      </c>
      <c r="J75" s="796">
        <f t="shared" ref="J75:J84" si="23">ROUND(I75*E75,)</f>
        <v>7020</v>
      </c>
      <c r="K75" s="914">
        <f t="shared" ref="K75:K84" si="24">H75+J75</f>
        <v>11700</v>
      </c>
      <c r="L75" s="2273" t="s">
        <v>2974</v>
      </c>
      <c r="N75" s="714">
        <v>79.17</v>
      </c>
      <c r="O75" s="714">
        <f>ROUND(N75/4,)</f>
        <v>20</v>
      </c>
    </row>
    <row r="76" spans="1:15" s="714" customFormat="1" ht="24" customHeight="1">
      <c r="A76" s="1147"/>
      <c r="B76" s="1148" t="s">
        <v>1187</v>
      </c>
      <c r="C76" s="1123"/>
      <c r="D76" s="1124"/>
      <c r="E76" s="1149">
        <v>14</v>
      </c>
      <c r="F76" s="1150" t="s">
        <v>438</v>
      </c>
      <c r="G76" s="1140">
        <v>26</v>
      </c>
      <c r="H76" s="796">
        <f t="shared" si="19"/>
        <v>364</v>
      </c>
      <c r="I76" s="797">
        <v>30</v>
      </c>
      <c r="J76" s="796">
        <f t="shared" si="23"/>
        <v>420</v>
      </c>
      <c r="K76" s="914">
        <f t="shared" si="24"/>
        <v>784</v>
      </c>
      <c r="L76" s="2273" t="s">
        <v>2974</v>
      </c>
      <c r="N76" s="714">
        <v>103.74</v>
      </c>
      <c r="O76" s="714">
        <f t="shared" ref="O76:O79" si="25">ROUND(N76/4,)</f>
        <v>26</v>
      </c>
    </row>
    <row r="77" spans="1:15" s="714" customFormat="1" ht="24" customHeight="1">
      <c r="A77" s="1147"/>
      <c r="B77" s="1148" t="s">
        <v>1188</v>
      </c>
      <c r="C77" s="1123"/>
      <c r="D77" s="1124"/>
      <c r="E77" s="1149">
        <v>53</v>
      </c>
      <c r="F77" s="1150" t="s">
        <v>438</v>
      </c>
      <c r="G77" s="1140">
        <v>41</v>
      </c>
      <c r="H77" s="796">
        <f t="shared" si="19"/>
        <v>2173</v>
      </c>
      <c r="I77" s="797">
        <v>40</v>
      </c>
      <c r="J77" s="796">
        <f t="shared" si="23"/>
        <v>2120</v>
      </c>
      <c r="K77" s="914">
        <f t="shared" si="24"/>
        <v>4293</v>
      </c>
      <c r="L77" s="2273" t="s">
        <v>2974</v>
      </c>
      <c r="N77" s="714">
        <v>163.80000000000001</v>
      </c>
      <c r="O77" s="714">
        <f t="shared" si="25"/>
        <v>41</v>
      </c>
    </row>
    <row r="78" spans="1:15" s="714" customFormat="1" ht="24" customHeight="1">
      <c r="A78" s="1147"/>
      <c r="B78" s="1148" t="s">
        <v>1189</v>
      </c>
      <c r="C78" s="1123"/>
      <c r="D78" s="1124"/>
      <c r="E78" s="1149">
        <v>89</v>
      </c>
      <c r="F78" s="1150" t="s">
        <v>438</v>
      </c>
      <c r="G78" s="1140">
        <v>65</v>
      </c>
      <c r="H78" s="796">
        <f t="shared" si="19"/>
        <v>5785</v>
      </c>
      <c r="I78" s="797">
        <v>50</v>
      </c>
      <c r="J78" s="796">
        <f t="shared" si="23"/>
        <v>4450</v>
      </c>
      <c r="K78" s="914">
        <f t="shared" si="24"/>
        <v>10235</v>
      </c>
      <c r="L78" s="2273" t="s">
        <v>2974</v>
      </c>
      <c r="N78" s="714">
        <v>259.35000000000002</v>
      </c>
      <c r="O78" s="714">
        <f t="shared" si="25"/>
        <v>65</v>
      </c>
    </row>
    <row r="79" spans="1:15" s="714" customFormat="1" ht="24" customHeight="1">
      <c r="A79" s="1147"/>
      <c r="B79" s="1148" t="s">
        <v>1190</v>
      </c>
      <c r="C79" s="1123"/>
      <c r="D79" s="1124"/>
      <c r="E79" s="1149">
        <v>34</v>
      </c>
      <c r="F79" s="1150" t="s">
        <v>438</v>
      </c>
      <c r="G79" s="1140">
        <v>90</v>
      </c>
      <c r="H79" s="796">
        <f t="shared" si="19"/>
        <v>3060</v>
      </c>
      <c r="I79" s="797">
        <v>75</v>
      </c>
      <c r="J79" s="796">
        <f t="shared" si="23"/>
        <v>2550</v>
      </c>
      <c r="K79" s="914">
        <f t="shared" si="24"/>
        <v>5610</v>
      </c>
      <c r="L79" s="2273" t="s">
        <v>2974</v>
      </c>
      <c r="N79" s="714">
        <v>359.45</v>
      </c>
      <c r="O79" s="714">
        <f t="shared" si="25"/>
        <v>90</v>
      </c>
    </row>
    <row r="80" spans="1:15" s="714" customFormat="1" ht="24" customHeight="1">
      <c r="A80" s="1147"/>
      <c r="B80" s="1187" t="s">
        <v>951</v>
      </c>
      <c r="C80" s="1123"/>
      <c r="D80" s="1124"/>
      <c r="E80" s="1149">
        <v>18</v>
      </c>
      <c r="F80" s="1150" t="s">
        <v>438</v>
      </c>
      <c r="G80" s="1140">
        <v>146</v>
      </c>
      <c r="H80" s="796">
        <f t="shared" si="19"/>
        <v>2628</v>
      </c>
      <c r="I80" s="797">
        <v>100</v>
      </c>
      <c r="J80" s="796">
        <f t="shared" si="23"/>
        <v>1800</v>
      </c>
      <c r="K80" s="914">
        <f t="shared" si="24"/>
        <v>4428</v>
      </c>
      <c r="L80" s="2273" t="s">
        <v>2974</v>
      </c>
      <c r="N80" s="714">
        <v>582.4</v>
      </c>
      <c r="O80" s="714">
        <f>ROUND(N80/4,)</f>
        <v>146</v>
      </c>
    </row>
    <row r="81" spans="1:15" s="714" customFormat="1" ht="24" customHeight="1">
      <c r="A81" s="1147"/>
      <c r="B81" s="1148" t="s">
        <v>1676</v>
      </c>
      <c r="C81" s="1123"/>
      <c r="D81" s="1124"/>
      <c r="E81" s="1149">
        <v>4</v>
      </c>
      <c r="F81" s="1150" t="s">
        <v>438</v>
      </c>
      <c r="G81" s="1140">
        <v>496</v>
      </c>
      <c r="H81" s="796">
        <f t="shared" si="19"/>
        <v>1984</v>
      </c>
      <c r="I81" s="797">
        <v>300</v>
      </c>
      <c r="J81" s="796">
        <f t="shared" si="23"/>
        <v>1200</v>
      </c>
      <c r="K81" s="914">
        <f t="shared" si="24"/>
        <v>3184</v>
      </c>
      <c r="L81" s="2273" t="s">
        <v>2974</v>
      </c>
      <c r="N81" s="714">
        <v>1983.8</v>
      </c>
      <c r="O81" s="714">
        <f>ROUND(N81/4,)</f>
        <v>496</v>
      </c>
    </row>
    <row r="82" spans="1:15" s="714" customFormat="1" ht="24" customHeight="1">
      <c r="A82" s="1147"/>
      <c r="B82" s="1148" t="s">
        <v>1645</v>
      </c>
      <c r="C82" s="1123"/>
      <c r="D82" s="1124"/>
      <c r="E82" s="1149">
        <v>1</v>
      </c>
      <c r="F82" s="1150" t="s">
        <v>948</v>
      </c>
      <c r="G82" s="1140">
        <f>ROUND(SUM(H75:H81)*40%,)</f>
        <v>8270</v>
      </c>
      <c r="H82" s="796">
        <f t="shared" si="19"/>
        <v>8270</v>
      </c>
      <c r="I82" s="1181">
        <f t="shared" ref="I82:I84" si="26">ROUNDUP(G82*30%,0)</f>
        <v>2481</v>
      </c>
      <c r="J82" s="796">
        <f t="shared" si="23"/>
        <v>2481</v>
      </c>
      <c r="K82" s="914">
        <f t="shared" si="24"/>
        <v>10751</v>
      </c>
      <c r="L82" s="914"/>
    </row>
    <row r="83" spans="1:15" s="714" customFormat="1" ht="24" customHeight="1">
      <c r="A83" s="1147"/>
      <c r="B83" s="1148" t="s">
        <v>1646</v>
      </c>
      <c r="C83" s="1123"/>
      <c r="D83" s="1124"/>
      <c r="E83" s="1149">
        <v>1</v>
      </c>
      <c r="F83" s="1150" t="s">
        <v>948</v>
      </c>
      <c r="G83" s="1140">
        <f>ROUND(SUM(H75:H81)*30%,)</f>
        <v>6202</v>
      </c>
      <c r="H83" s="796">
        <f t="shared" si="19"/>
        <v>6202</v>
      </c>
      <c r="I83" s="1181">
        <f t="shared" si="26"/>
        <v>1861</v>
      </c>
      <c r="J83" s="796">
        <f t="shared" si="23"/>
        <v>1861</v>
      </c>
      <c r="K83" s="914">
        <f t="shared" si="24"/>
        <v>8063</v>
      </c>
      <c r="L83" s="914"/>
    </row>
    <row r="84" spans="1:15" s="714" customFormat="1" ht="24" customHeight="1">
      <c r="A84" s="1147"/>
      <c r="B84" s="1148" t="s">
        <v>1677</v>
      </c>
      <c r="C84" s="1123"/>
      <c r="D84" s="1124"/>
      <c r="E84" s="1149">
        <v>1</v>
      </c>
      <c r="F84" s="1150" t="s">
        <v>948</v>
      </c>
      <c r="G84" s="1140">
        <f>ROUND(SUM(H75:H81)*10%,)</f>
        <v>2067</v>
      </c>
      <c r="H84" s="796">
        <f t="shared" si="19"/>
        <v>2067</v>
      </c>
      <c r="I84" s="1181">
        <f t="shared" si="26"/>
        <v>621</v>
      </c>
      <c r="J84" s="796">
        <f t="shared" si="23"/>
        <v>621</v>
      </c>
      <c r="K84" s="914">
        <f t="shared" si="24"/>
        <v>2688</v>
      </c>
      <c r="L84" s="914"/>
    </row>
    <row r="85" spans="1:15" s="714" customFormat="1" ht="24" customHeight="1">
      <c r="A85" s="1147" t="s">
        <v>1678</v>
      </c>
      <c r="B85" s="1148" t="s">
        <v>1767</v>
      </c>
      <c r="C85" s="1123"/>
      <c r="D85" s="1124"/>
      <c r="E85" s="1149"/>
      <c r="F85" s="1150"/>
      <c r="G85" s="1140"/>
      <c r="H85" s="796"/>
      <c r="I85" s="797"/>
      <c r="J85" s="796"/>
      <c r="K85" s="914"/>
      <c r="L85" s="914"/>
    </row>
    <row r="86" spans="1:15" s="714" customFormat="1" ht="24" customHeight="1">
      <c r="A86" s="1147"/>
      <c r="B86" s="1148" t="s">
        <v>1188</v>
      </c>
      <c r="C86" s="1123"/>
      <c r="D86" s="1124"/>
      <c r="E86" s="1149">
        <v>39</v>
      </c>
      <c r="F86" s="1150" t="s">
        <v>240</v>
      </c>
      <c r="G86" s="1140">
        <f>ROUND(665*0.7,)</f>
        <v>466</v>
      </c>
      <c r="H86" s="796">
        <f t="shared" si="19"/>
        <v>18174</v>
      </c>
      <c r="I86" s="797">
        <v>200</v>
      </c>
      <c r="J86" s="796">
        <f t="shared" ref="J86" si="27">ROUND(I86*E86,)</f>
        <v>7800</v>
      </c>
      <c r="K86" s="914">
        <f t="shared" ref="K86" si="28">H86+J86</f>
        <v>25974</v>
      </c>
      <c r="L86" s="914"/>
    </row>
    <row r="87" spans="1:15" s="714" customFormat="1" ht="24" customHeight="1">
      <c r="A87" s="1147" t="s">
        <v>1680</v>
      </c>
      <c r="B87" s="1148" t="s">
        <v>1699</v>
      </c>
      <c r="C87" s="1123"/>
      <c r="D87" s="1124"/>
      <c r="E87" s="1149"/>
      <c r="F87" s="1150"/>
      <c r="G87" s="1140"/>
      <c r="H87" s="796"/>
      <c r="I87" s="797"/>
      <c r="J87" s="796"/>
      <c r="K87" s="914"/>
      <c r="L87" s="914"/>
    </row>
    <row r="88" spans="1:15" s="714" customFormat="1" ht="24" customHeight="1">
      <c r="A88" s="1147"/>
      <c r="B88" s="1148" t="s">
        <v>1188</v>
      </c>
      <c r="C88" s="1123"/>
      <c r="D88" s="1124"/>
      <c r="E88" s="1149">
        <v>8</v>
      </c>
      <c r="F88" s="1150" t="s">
        <v>240</v>
      </c>
      <c r="G88" s="1140">
        <f>ROUND(240*0.75,)</f>
        <v>180</v>
      </c>
      <c r="H88" s="796">
        <f t="shared" si="19"/>
        <v>1440</v>
      </c>
      <c r="I88" s="797">
        <v>100</v>
      </c>
      <c r="J88" s="796">
        <f t="shared" ref="J88:J91" si="29">ROUND(I88*E88,)</f>
        <v>800</v>
      </c>
      <c r="K88" s="914">
        <f t="shared" ref="K88:K91" si="30">H88+J88</f>
        <v>2240</v>
      </c>
      <c r="L88" s="914"/>
    </row>
    <row r="89" spans="1:15" s="714" customFormat="1" ht="24" customHeight="1">
      <c r="A89" s="1147"/>
      <c r="B89" s="1148" t="s">
        <v>1190</v>
      </c>
      <c r="C89" s="1123"/>
      <c r="D89" s="1124"/>
      <c r="E89" s="1149">
        <v>4</v>
      </c>
      <c r="F89" s="1150" t="s">
        <v>240</v>
      </c>
      <c r="G89" s="1140">
        <f>ROUND(360*0.75,)</f>
        <v>270</v>
      </c>
      <c r="H89" s="796">
        <f t="shared" si="19"/>
        <v>1080</v>
      </c>
      <c r="I89" s="797">
        <v>150</v>
      </c>
      <c r="J89" s="796">
        <f t="shared" si="29"/>
        <v>600</v>
      </c>
      <c r="K89" s="914">
        <f t="shared" si="30"/>
        <v>1680</v>
      </c>
      <c r="L89" s="914"/>
    </row>
    <row r="90" spans="1:15" s="714" customFormat="1" ht="24" customHeight="1">
      <c r="A90" s="1221"/>
      <c r="B90" s="1219" t="s">
        <v>1674</v>
      </c>
      <c r="C90" s="1209"/>
      <c r="D90" s="1210"/>
      <c r="E90" s="1149">
        <v>4</v>
      </c>
      <c r="F90" s="1212" t="s">
        <v>240</v>
      </c>
      <c r="G90" s="1140">
        <f>ROUND(500*0.75,)</f>
        <v>375</v>
      </c>
      <c r="H90" s="796">
        <f t="shared" si="19"/>
        <v>1500</v>
      </c>
      <c r="I90" s="855">
        <v>200</v>
      </c>
      <c r="J90" s="796">
        <f t="shared" si="29"/>
        <v>800</v>
      </c>
      <c r="K90" s="914">
        <f t="shared" si="30"/>
        <v>2300</v>
      </c>
      <c r="L90" s="912"/>
    </row>
    <row r="91" spans="1:15" s="714" customFormat="1" ht="24" customHeight="1">
      <c r="A91" s="1147"/>
      <c r="B91" s="1148" t="s">
        <v>1675</v>
      </c>
      <c r="C91" s="1123"/>
      <c r="D91" s="1124"/>
      <c r="E91" s="1149">
        <v>2</v>
      </c>
      <c r="F91" s="1150" t="s">
        <v>240</v>
      </c>
      <c r="G91" s="1140">
        <f>ROUND(950*0.75,)</f>
        <v>713</v>
      </c>
      <c r="H91" s="796">
        <f t="shared" si="19"/>
        <v>1426</v>
      </c>
      <c r="I91" s="797">
        <v>300</v>
      </c>
      <c r="J91" s="796">
        <f t="shared" si="29"/>
        <v>600</v>
      </c>
      <c r="K91" s="914">
        <f t="shared" si="30"/>
        <v>2026</v>
      </c>
      <c r="L91" s="914"/>
    </row>
    <row r="92" spans="1:15" s="714" customFormat="1" ht="24" customHeight="1">
      <c r="A92" s="1147"/>
      <c r="B92" s="1148"/>
      <c r="C92" s="1123"/>
      <c r="D92" s="1124"/>
      <c r="E92" s="1149"/>
      <c r="F92" s="1150"/>
      <c r="G92" s="1140"/>
      <c r="H92" s="796"/>
      <c r="I92" s="797"/>
      <c r="J92" s="796"/>
      <c r="K92" s="914"/>
      <c r="L92" s="914"/>
    </row>
    <row r="93" spans="1:15" s="714" customFormat="1" ht="24" customHeight="1">
      <c r="A93" s="1147"/>
      <c r="B93" s="1148"/>
      <c r="C93" s="1123"/>
      <c r="D93" s="1124"/>
      <c r="E93" s="1149"/>
      <c r="F93" s="1150"/>
      <c r="G93" s="1140"/>
      <c r="H93" s="796"/>
      <c r="I93" s="797"/>
      <c r="J93" s="796"/>
      <c r="K93" s="914"/>
      <c r="L93" s="914"/>
    </row>
    <row r="94" spans="1:15" s="714" customFormat="1" ht="24" customHeight="1">
      <c r="A94" s="1147"/>
      <c r="B94" s="1148"/>
      <c r="C94" s="1123"/>
      <c r="D94" s="1124"/>
      <c r="E94" s="1149"/>
      <c r="F94" s="1150"/>
      <c r="G94" s="1140"/>
      <c r="H94" s="796"/>
      <c r="I94" s="797"/>
      <c r="J94" s="796"/>
      <c r="K94" s="914"/>
      <c r="L94" s="914"/>
    </row>
    <row r="95" spans="1:15" s="714" customFormat="1" ht="24" customHeight="1">
      <c r="A95" s="1147"/>
      <c r="B95" s="1148"/>
      <c r="C95" s="1123"/>
      <c r="D95" s="1124"/>
      <c r="E95" s="1149"/>
      <c r="F95" s="1150"/>
      <c r="G95" s="1140"/>
      <c r="H95" s="796"/>
      <c r="I95" s="797"/>
      <c r="J95" s="796"/>
      <c r="K95" s="914"/>
      <c r="L95" s="1194"/>
    </row>
    <row r="96" spans="1:15" s="714" customFormat="1" ht="24" customHeight="1">
      <c r="A96" s="1147"/>
      <c r="B96" s="1148"/>
      <c r="C96" s="1123"/>
      <c r="D96" s="1124"/>
      <c r="E96" s="1149"/>
      <c r="F96" s="1150"/>
      <c r="G96" s="1140"/>
      <c r="H96" s="796"/>
      <c r="I96" s="797"/>
      <c r="J96" s="796"/>
      <c r="K96" s="914"/>
      <c r="L96" s="1194"/>
    </row>
    <row r="97" spans="1:12" s="714" customFormat="1" ht="24" customHeight="1">
      <c r="A97" s="1166"/>
      <c r="B97" s="2475" t="str">
        <f>"รวมราคารายการที่ "&amp;A65</f>
        <v>รวมราคารายการที่ 5.2</v>
      </c>
      <c r="C97" s="2476"/>
      <c r="D97" s="2477"/>
      <c r="E97" s="1167"/>
      <c r="F97" s="1167"/>
      <c r="G97" s="1168"/>
      <c r="H97" s="1169">
        <f>SUM(H66:H94)</f>
        <v>341019</v>
      </c>
      <c r="I97" s="1170"/>
      <c r="J97" s="1169">
        <f>SUM(J66:J94)</f>
        <v>121000</v>
      </c>
      <c r="K97" s="1171">
        <f>SUM(K66:K94)</f>
        <v>462019</v>
      </c>
      <c r="L97" s="1171"/>
    </row>
    <row r="98" spans="1:12" s="714" customFormat="1" ht="24" customHeight="1">
      <c r="A98" s="1011">
        <v>5.3</v>
      </c>
      <c r="B98" s="1196" t="s">
        <v>1691</v>
      </c>
      <c r="C98" s="859"/>
      <c r="D98" s="859"/>
      <c r="E98" s="1216"/>
      <c r="F98" s="852"/>
      <c r="G98" s="874"/>
      <c r="H98" s="854"/>
      <c r="I98" s="855"/>
      <c r="J98" s="854"/>
      <c r="K98" s="912"/>
      <c r="L98" s="914"/>
    </row>
    <row r="99" spans="1:12" s="714" customFormat="1" ht="24" customHeight="1">
      <c r="A99" s="1159" t="s">
        <v>1692</v>
      </c>
      <c r="B99" s="1160" t="s">
        <v>1768</v>
      </c>
      <c r="C99" s="1161"/>
      <c r="D99" s="1162"/>
      <c r="E99" s="1183"/>
      <c r="F99" s="1163"/>
      <c r="G99" s="1205"/>
      <c r="H99" s="872"/>
      <c r="I99" s="873"/>
      <c r="J99" s="872"/>
      <c r="K99" s="938"/>
      <c r="L99" s="1194"/>
    </row>
    <row r="100" spans="1:12" s="714" customFormat="1" ht="24" customHeight="1">
      <c r="A100" s="1147"/>
      <c r="B100" s="1148" t="s">
        <v>1188</v>
      </c>
      <c r="C100" s="1123"/>
      <c r="D100" s="1124"/>
      <c r="E100" s="1149">
        <v>28</v>
      </c>
      <c r="F100" s="1150" t="s">
        <v>438</v>
      </c>
      <c r="G100" s="1140">
        <v>127</v>
      </c>
      <c r="H100" s="796">
        <f t="shared" ref="H100:H103" si="31">ROUND(E100*G100,)</f>
        <v>3556</v>
      </c>
      <c r="I100" s="797">
        <v>40</v>
      </c>
      <c r="J100" s="796">
        <f t="shared" ref="J100:J103" si="32">ROUND(I100*E100,)</f>
        <v>1120</v>
      </c>
      <c r="K100" s="914">
        <f t="shared" ref="K100:K103" si="33">H100+J100</f>
        <v>4676</v>
      </c>
      <c r="L100" s="914"/>
    </row>
    <row r="101" spans="1:12" s="714" customFormat="1" ht="24" customHeight="1">
      <c r="A101" s="1147"/>
      <c r="B101" s="1148" t="s">
        <v>1645</v>
      </c>
      <c r="C101" s="1123"/>
      <c r="D101" s="1124"/>
      <c r="E101" s="1149">
        <v>1</v>
      </c>
      <c r="F101" s="1150" t="s">
        <v>948</v>
      </c>
      <c r="G101" s="1140">
        <f>ROUND(SUM(H100:H100)*50%,)</f>
        <v>1778</v>
      </c>
      <c r="H101" s="796">
        <f t="shared" si="31"/>
        <v>1778</v>
      </c>
      <c r="I101" s="1181">
        <f t="shared" ref="I101:I103" si="34">ROUNDUP(G101*30%,0)</f>
        <v>534</v>
      </c>
      <c r="J101" s="796">
        <f t="shared" si="32"/>
        <v>534</v>
      </c>
      <c r="K101" s="914">
        <f t="shared" si="33"/>
        <v>2312</v>
      </c>
      <c r="L101" s="1194"/>
    </row>
    <row r="102" spans="1:12" s="714" customFormat="1" ht="24" customHeight="1">
      <c r="A102" s="1147"/>
      <c r="B102" s="1148" t="s">
        <v>1646</v>
      </c>
      <c r="C102" s="1123"/>
      <c r="D102" s="1124"/>
      <c r="E102" s="1149">
        <v>1</v>
      </c>
      <c r="F102" s="1150" t="s">
        <v>948</v>
      </c>
      <c r="G102" s="1140">
        <f>ROUND(SUM(H100:H100)*20%,)</f>
        <v>711</v>
      </c>
      <c r="H102" s="796">
        <f t="shared" si="31"/>
        <v>711</v>
      </c>
      <c r="I102" s="1181">
        <f t="shared" si="34"/>
        <v>214</v>
      </c>
      <c r="J102" s="796">
        <f t="shared" si="32"/>
        <v>214</v>
      </c>
      <c r="K102" s="914">
        <f t="shared" si="33"/>
        <v>925</v>
      </c>
      <c r="L102" s="914"/>
    </row>
    <row r="103" spans="1:12" s="714" customFormat="1" ht="24" customHeight="1">
      <c r="A103" s="1147"/>
      <c r="B103" s="1148" t="s">
        <v>1677</v>
      </c>
      <c r="C103" s="1123"/>
      <c r="D103" s="1124"/>
      <c r="E103" s="1149">
        <v>1</v>
      </c>
      <c r="F103" s="1150" t="s">
        <v>948</v>
      </c>
      <c r="G103" s="1140">
        <f>ROUND(SUM(H100:H100)*10%,)</f>
        <v>356</v>
      </c>
      <c r="H103" s="796">
        <f t="shared" si="31"/>
        <v>356</v>
      </c>
      <c r="I103" s="1181">
        <f t="shared" si="34"/>
        <v>107</v>
      </c>
      <c r="J103" s="796">
        <f t="shared" si="32"/>
        <v>107</v>
      </c>
      <c r="K103" s="914">
        <f t="shared" si="33"/>
        <v>463</v>
      </c>
      <c r="L103" s="1194"/>
    </row>
    <row r="104" spans="1:12" s="714" customFormat="1" ht="24" customHeight="1">
      <c r="A104" s="1147" t="s">
        <v>1695</v>
      </c>
      <c r="B104" s="1148" t="s">
        <v>1767</v>
      </c>
      <c r="C104" s="1123"/>
      <c r="D104" s="1124"/>
      <c r="E104" s="1149"/>
      <c r="F104" s="1150"/>
      <c r="G104" s="1140"/>
      <c r="H104" s="796"/>
      <c r="I104" s="797"/>
      <c r="J104" s="796"/>
      <c r="K104" s="914"/>
      <c r="L104" s="1194"/>
    </row>
    <row r="105" spans="1:12" s="714" customFormat="1" ht="24" customHeight="1">
      <c r="A105" s="1147"/>
      <c r="B105" s="1148" t="s">
        <v>1188</v>
      </c>
      <c r="C105" s="1123"/>
      <c r="D105" s="1124"/>
      <c r="E105" s="1149">
        <v>2</v>
      </c>
      <c r="F105" s="1150" t="s">
        <v>240</v>
      </c>
      <c r="G105" s="1140">
        <f>ROUND(665*0.7,)</f>
        <v>466</v>
      </c>
      <c r="H105" s="796">
        <f t="shared" ref="H105" si="35">ROUND(E105*G105,)</f>
        <v>932</v>
      </c>
      <c r="I105" s="797">
        <v>200</v>
      </c>
      <c r="J105" s="796">
        <f t="shared" ref="J105" si="36">ROUND(I105*E105,)</f>
        <v>400</v>
      </c>
      <c r="K105" s="914">
        <f t="shared" ref="K105" si="37">H105+J105</f>
        <v>1332</v>
      </c>
      <c r="L105" s="1194"/>
    </row>
    <row r="106" spans="1:12" s="714" customFormat="1" ht="24" customHeight="1">
      <c r="A106" s="1147"/>
      <c r="B106" s="1148"/>
      <c r="C106" s="1123"/>
      <c r="D106" s="1124"/>
      <c r="E106" s="1149"/>
      <c r="F106" s="1150"/>
      <c r="G106" s="1140"/>
      <c r="H106" s="796"/>
      <c r="I106" s="797"/>
      <c r="J106" s="796"/>
      <c r="K106" s="914"/>
      <c r="L106" s="914"/>
    </row>
    <row r="107" spans="1:12" s="714" customFormat="1" ht="24" customHeight="1">
      <c r="A107" s="1159"/>
      <c r="B107" s="1160"/>
      <c r="C107" s="1161"/>
      <c r="D107" s="1190"/>
      <c r="E107" s="1183"/>
      <c r="F107" s="1162"/>
      <c r="G107" s="1205"/>
      <c r="H107" s="872"/>
      <c r="I107" s="873"/>
      <c r="J107" s="872"/>
      <c r="K107" s="938"/>
      <c r="L107" s="938"/>
    </row>
    <row r="108" spans="1:12" s="714" customFormat="1" ht="24" customHeight="1">
      <c r="A108" s="898"/>
      <c r="B108" s="1191"/>
      <c r="C108" s="890"/>
      <c r="D108" s="890"/>
      <c r="E108" s="1224"/>
      <c r="F108" s="928"/>
      <c r="G108" s="1192"/>
      <c r="H108" s="1193"/>
      <c r="I108" s="1185"/>
      <c r="J108" s="1193"/>
      <c r="K108" s="1194"/>
      <c r="L108" s="1194"/>
    </row>
    <row r="109" spans="1:12" s="714" customFormat="1" ht="24" customHeight="1">
      <c r="A109" s="1166"/>
      <c r="B109" s="2475" t="str">
        <f>"รวมราคารายการที่ "&amp;A98</f>
        <v>รวมราคารายการที่ 5.3</v>
      </c>
      <c r="C109" s="2476"/>
      <c r="D109" s="2477"/>
      <c r="E109" s="1167"/>
      <c r="F109" s="1167"/>
      <c r="G109" s="1168"/>
      <c r="H109" s="1169">
        <f>SUM(H99:H108)</f>
        <v>7333</v>
      </c>
      <c r="I109" s="1170"/>
      <c r="J109" s="1169">
        <f>SUM(J99:J108)</f>
        <v>2375</v>
      </c>
      <c r="K109" s="1169">
        <f>SUM(K99:K108)</f>
        <v>9708</v>
      </c>
      <c r="L109" s="1226"/>
    </row>
    <row r="110" spans="1:12" s="714" customFormat="1" ht="24" customHeight="1">
      <c r="A110" s="1207" t="s">
        <v>1707</v>
      </c>
      <c r="B110" s="1208" t="s">
        <v>1708</v>
      </c>
      <c r="C110" s="1209"/>
      <c r="D110" s="1210"/>
      <c r="E110" s="1211"/>
      <c r="F110" s="1212"/>
      <c r="G110" s="874"/>
      <c r="H110" s="854"/>
      <c r="I110" s="855"/>
      <c r="J110" s="854"/>
      <c r="K110" s="912"/>
      <c r="L110" s="912"/>
    </row>
    <row r="111" spans="1:12" s="714" customFormat="1" ht="24" customHeight="1">
      <c r="A111" s="1147" t="s">
        <v>1709</v>
      </c>
      <c r="B111" s="1148" t="s">
        <v>1746</v>
      </c>
      <c r="C111" s="1123"/>
      <c r="D111" s="1124"/>
      <c r="E111" s="1149"/>
      <c r="F111" s="1150"/>
      <c r="G111" s="1179"/>
      <c r="H111" s="796"/>
      <c r="I111" s="1181"/>
      <c r="J111" s="796"/>
      <c r="K111" s="797"/>
      <c r="L111" s="1182"/>
    </row>
    <row r="112" spans="1:12" s="714" customFormat="1" ht="24" customHeight="1">
      <c r="A112" s="1147"/>
      <c r="B112" s="1148" t="s">
        <v>1650</v>
      </c>
      <c r="C112" s="1123"/>
      <c r="D112" s="1124"/>
      <c r="E112" s="1149">
        <v>272</v>
      </c>
      <c r="F112" s="1150" t="s">
        <v>438</v>
      </c>
      <c r="G112" s="1179">
        <v>46</v>
      </c>
      <c r="H112" s="796">
        <f t="shared" ref="H112:H119" si="38">ROUND(E112*G112,)</f>
        <v>12512</v>
      </c>
      <c r="I112" s="1181">
        <v>30</v>
      </c>
      <c r="J112" s="796">
        <f t="shared" ref="J112:J119" si="39">ROUND(E112*I112,)</f>
        <v>8160</v>
      </c>
      <c r="K112" s="797">
        <f t="shared" ref="K112:K119" si="40">H112+J112</f>
        <v>20672</v>
      </c>
      <c r="L112" s="1182"/>
    </row>
    <row r="113" spans="1:12" s="714" customFormat="1" ht="21.3">
      <c r="A113" s="1147"/>
      <c r="B113" s="1148" t="s">
        <v>1760</v>
      </c>
      <c r="C113" s="1123"/>
      <c r="D113" s="1124"/>
      <c r="E113" s="1149">
        <v>19</v>
      </c>
      <c r="F113" s="1150" t="s">
        <v>438</v>
      </c>
      <c r="G113" s="1179">
        <v>113</v>
      </c>
      <c r="H113" s="796">
        <f t="shared" si="38"/>
        <v>2147</v>
      </c>
      <c r="I113" s="1181">
        <v>50</v>
      </c>
      <c r="J113" s="796">
        <f t="shared" si="39"/>
        <v>950</v>
      </c>
      <c r="K113" s="797">
        <f t="shared" si="40"/>
        <v>3097</v>
      </c>
      <c r="L113" s="1182"/>
    </row>
    <row r="114" spans="1:12" s="714" customFormat="1" ht="21.3">
      <c r="A114" s="1147"/>
      <c r="B114" s="1148" t="s">
        <v>1761</v>
      </c>
      <c r="C114" s="1123"/>
      <c r="D114" s="1124"/>
      <c r="E114" s="1149">
        <v>21</v>
      </c>
      <c r="F114" s="1150" t="s">
        <v>438</v>
      </c>
      <c r="G114" s="1179">
        <v>193</v>
      </c>
      <c r="H114" s="796">
        <f t="shared" si="38"/>
        <v>4053</v>
      </c>
      <c r="I114" s="1181">
        <v>75</v>
      </c>
      <c r="J114" s="796">
        <f t="shared" si="39"/>
        <v>1575</v>
      </c>
      <c r="K114" s="797">
        <f t="shared" si="40"/>
        <v>5628</v>
      </c>
      <c r="L114" s="1182"/>
    </row>
    <row r="115" spans="1:12" s="714" customFormat="1" ht="21.3">
      <c r="A115" s="1147"/>
      <c r="B115" s="1148" t="s">
        <v>1661</v>
      </c>
      <c r="C115" s="1123"/>
      <c r="D115" s="1124"/>
      <c r="E115" s="1149">
        <v>60</v>
      </c>
      <c r="F115" s="1150" t="s">
        <v>438</v>
      </c>
      <c r="G115" s="1179">
        <v>287</v>
      </c>
      <c r="H115" s="796">
        <f t="shared" si="38"/>
        <v>17220</v>
      </c>
      <c r="I115" s="1181">
        <v>100</v>
      </c>
      <c r="J115" s="796">
        <f t="shared" si="39"/>
        <v>6000</v>
      </c>
      <c r="K115" s="797">
        <f t="shared" si="40"/>
        <v>23220</v>
      </c>
      <c r="L115" s="1182"/>
    </row>
    <row r="116" spans="1:12" s="714" customFormat="1" ht="21.3">
      <c r="A116" s="1147"/>
      <c r="B116" s="1187" t="s">
        <v>1642</v>
      </c>
      <c r="C116" s="1123"/>
      <c r="D116" s="1124"/>
      <c r="E116" s="1149">
        <v>7</v>
      </c>
      <c r="F116" s="1150" t="s">
        <v>438</v>
      </c>
      <c r="G116" s="1179">
        <v>562</v>
      </c>
      <c r="H116" s="796">
        <f t="shared" si="38"/>
        <v>3934</v>
      </c>
      <c r="I116" s="1181">
        <v>120</v>
      </c>
      <c r="J116" s="796">
        <f t="shared" si="39"/>
        <v>840</v>
      </c>
      <c r="K116" s="914">
        <f t="shared" si="40"/>
        <v>4774</v>
      </c>
      <c r="L116" s="1182"/>
    </row>
    <row r="117" spans="1:12" s="714" customFormat="1" ht="21.3">
      <c r="A117" s="1147"/>
      <c r="B117" s="1148" t="s">
        <v>1645</v>
      </c>
      <c r="C117" s="1123"/>
      <c r="D117" s="1124"/>
      <c r="E117" s="1149">
        <v>1</v>
      </c>
      <c r="F117" s="1150" t="s">
        <v>948</v>
      </c>
      <c r="G117" s="1179">
        <f>SUM(H112:H116)*50%</f>
        <v>19933</v>
      </c>
      <c r="H117" s="796">
        <f t="shared" si="38"/>
        <v>19933</v>
      </c>
      <c r="I117" s="1181">
        <f t="shared" ref="I117:I119" si="41">ROUNDUP(G117*30%,0)</f>
        <v>5980</v>
      </c>
      <c r="J117" s="796">
        <f t="shared" si="39"/>
        <v>5980</v>
      </c>
      <c r="K117" s="797">
        <f t="shared" si="40"/>
        <v>25913</v>
      </c>
      <c r="L117" s="1182"/>
    </row>
    <row r="118" spans="1:12" s="714" customFormat="1" ht="21.3">
      <c r="A118" s="1147"/>
      <c r="B118" s="1148" t="s">
        <v>1646</v>
      </c>
      <c r="C118" s="1123"/>
      <c r="D118" s="1124"/>
      <c r="E118" s="1149">
        <v>1</v>
      </c>
      <c r="F118" s="1150" t="s">
        <v>948</v>
      </c>
      <c r="G118" s="1179">
        <f>ROUND(SUM(H112:H116)*20%,)</f>
        <v>7973</v>
      </c>
      <c r="H118" s="796">
        <f t="shared" si="38"/>
        <v>7973</v>
      </c>
      <c r="I118" s="1181">
        <f t="shared" si="41"/>
        <v>2392</v>
      </c>
      <c r="J118" s="796">
        <f t="shared" si="39"/>
        <v>2392</v>
      </c>
      <c r="K118" s="797">
        <f t="shared" si="40"/>
        <v>10365</v>
      </c>
      <c r="L118" s="1182"/>
    </row>
    <row r="119" spans="1:12" s="714" customFormat="1" ht="21.3">
      <c r="A119" s="1147"/>
      <c r="B119" s="1148" t="s">
        <v>1647</v>
      </c>
      <c r="C119" s="1123"/>
      <c r="D119" s="1124"/>
      <c r="E119" s="1149">
        <v>1</v>
      </c>
      <c r="F119" s="1150" t="s">
        <v>948</v>
      </c>
      <c r="G119" s="1179">
        <f>ROUND(SUM(H112:H116)*10%,)</f>
        <v>3987</v>
      </c>
      <c r="H119" s="796">
        <f t="shared" si="38"/>
        <v>3987</v>
      </c>
      <c r="I119" s="1181">
        <f t="shared" si="41"/>
        <v>1197</v>
      </c>
      <c r="J119" s="796">
        <f t="shared" si="39"/>
        <v>1197</v>
      </c>
      <c r="K119" s="797">
        <f t="shared" si="40"/>
        <v>5184</v>
      </c>
      <c r="L119" s="1182"/>
    </row>
    <row r="120" spans="1:12" s="714" customFormat="1" ht="21.3">
      <c r="A120" s="1147" t="s">
        <v>1712</v>
      </c>
      <c r="B120" s="1148" t="s">
        <v>1652</v>
      </c>
      <c r="C120" s="1123"/>
      <c r="D120" s="1124"/>
      <c r="E120" s="1149"/>
      <c r="F120" s="1150"/>
      <c r="G120" s="1179"/>
      <c r="H120" s="796"/>
      <c r="I120" s="1181"/>
      <c r="J120" s="796"/>
      <c r="K120" s="797"/>
      <c r="L120" s="1182"/>
    </row>
    <row r="121" spans="1:12" s="714" customFormat="1" ht="21.3">
      <c r="A121" s="1147"/>
      <c r="B121" s="1148" t="s">
        <v>1661</v>
      </c>
      <c r="C121" s="1123"/>
      <c r="D121" s="1124"/>
      <c r="E121" s="1149">
        <v>4</v>
      </c>
      <c r="F121" s="1150" t="s">
        <v>240</v>
      </c>
      <c r="G121" s="1179">
        <v>1742</v>
      </c>
      <c r="H121" s="796">
        <f t="shared" ref="H121" si="42">ROUND(E121*G121,)</f>
        <v>6968</v>
      </c>
      <c r="I121" s="1181">
        <v>500</v>
      </c>
      <c r="J121" s="796">
        <f t="shared" ref="J121" si="43">ROUND(E121*I121,)</f>
        <v>2000</v>
      </c>
      <c r="K121" s="797">
        <f t="shared" ref="K121" si="44">H121+J121</f>
        <v>8968</v>
      </c>
      <c r="L121" s="1182"/>
    </row>
    <row r="122" spans="1:12" s="714" customFormat="1" ht="21.3">
      <c r="A122" s="1147" t="s">
        <v>1770</v>
      </c>
      <c r="B122" s="1148" t="s">
        <v>1649</v>
      </c>
      <c r="C122" s="1123"/>
      <c r="D122" s="1124"/>
      <c r="E122" s="1149"/>
      <c r="F122" s="1150"/>
      <c r="G122" s="1179"/>
      <c r="H122" s="796"/>
      <c r="I122" s="1181"/>
      <c r="J122" s="796"/>
      <c r="K122" s="797"/>
      <c r="L122" s="1182"/>
    </row>
    <row r="123" spans="1:12" s="714" customFormat="1" ht="21.3">
      <c r="A123" s="1147"/>
      <c r="B123" s="1148" t="s">
        <v>1650</v>
      </c>
      <c r="C123" s="1123"/>
      <c r="D123" s="1124"/>
      <c r="E123" s="1149">
        <v>2</v>
      </c>
      <c r="F123" s="1150" t="s">
        <v>240</v>
      </c>
      <c r="G123" s="1179">
        <v>1316</v>
      </c>
      <c r="H123" s="796">
        <f t="shared" ref="H123:H124" si="45">ROUND(E123*G123,)</f>
        <v>2632</v>
      </c>
      <c r="I123" s="1181">
        <v>200</v>
      </c>
      <c r="J123" s="796">
        <f t="shared" ref="J123:J124" si="46">ROUND(E123*I123,)</f>
        <v>400</v>
      </c>
      <c r="K123" s="797">
        <f t="shared" ref="K123:K124" si="47">H123+J123</f>
        <v>3032</v>
      </c>
      <c r="L123" s="1718" t="s">
        <v>2915</v>
      </c>
    </row>
    <row r="124" spans="1:12" s="714" customFormat="1" ht="21.3">
      <c r="A124" s="1147"/>
      <c r="B124" s="1148" t="s">
        <v>1760</v>
      </c>
      <c r="C124" s="1123"/>
      <c r="D124" s="1124"/>
      <c r="E124" s="1149">
        <v>1</v>
      </c>
      <c r="F124" s="1150" t="s">
        <v>240</v>
      </c>
      <c r="G124" s="1179">
        <v>2610</v>
      </c>
      <c r="H124" s="796">
        <f t="shared" si="45"/>
        <v>2610</v>
      </c>
      <c r="I124" s="1181">
        <v>300</v>
      </c>
      <c r="J124" s="796">
        <f t="shared" si="46"/>
        <v>300</v>
      </c>
      <c r="K124" s="797">
        <f t="shared" si="47"/>
        <v>2910</v>
      </c>
      <c r="L124" s="1718" t="s">
        <v>2915</v>
      </c>
    </row>
    <row r="125" spans="1:12" s="714" customFormat="1" ht="21.3">
      <c r="A125" s="1147" t="s">
        <v>1713</v>
      </c>
      <c r="B125" s="1148" t="s">
        <v>1762</v>
      </c>
      <c r="C125" s="1123"/>
      <c r="D125" s="1124"/>
      <c r="E125" s="1149"/>
      <c r="F125" s="1150"/>
      <c r="G125" s="1179"/>
      <c r="H125" s="796"/>
      <c r="I125" s="1181"/>
      <c r="J125" s="796"/>
      <c r="K125" s="797"/>
      <c r="L125" s="1182"/>
    </row>
    <row r="126" spans="1:12" s="714" customFormat="1" ht="21.3">
      <c r="A126" s="1147"/>
      <c r="B126" s="1148" t="s">
        <v>1764</v>
      </c>
      <c r="C126" s="1123"/>
      <c r="D126" s="1124"/>
      <c r="E126" s="1149">
        <v>4</v>
      </c>
      <c r="F126" s="1150" t="s">
        <v>240</v>
      </c>
      <c r="G126" s="1179">
        <v>5603</v>
      </c>
      <c r="H126" s="796">
        <f t="shared" ref="H126" si="48">ROUND(E126*G126,)</f>
        <v>22412</v>
      </c>
      <c r="I126" s="1181">
        <v>330</v>
      </c>
      <c r="J126" s="796">
        <f t="shared" ref="J126" si="49">ROUND(I126*E126,)</f>
        <v>1320</v>
      </c>
      <c r="K126" s="797">
        <f t="shared" ref="K126" si="50">H126+J126</f>
        <v>23732</v>
      </c>
      <c r="L126" s="1182"/>
    </row>
    <row r="127" spans="1:12" s="714" customFormat="1" ht="21.3">
      <c r="A127" s="1147"/>
      <c r="B127" s="1148"/>
      <c r="C127" s="1123"/>
      <c r="D127" s="1213"/>
      <c r="E127" s="1149"/>
      <c r="F127" s="1124"/>
      <c r="G127" s="1140"/>
      <c r="H127" s="796"/>
      <c r="I127" s="797"/>
      <c r="J127" s="796"/>
      <c r="K127" s="914"/>
      <c r="L127" s="914"/>
    </row>
    <row r="128" spans="1:12" s="714" customFormat="1" ht="21.3">
      <c r="A128" s="1147"/>
      <c r="B128" s="1148"/>
      <c r="C128" s="1123"/>
      <c r="D128" s="1213"/>
      <c r="E128" s="1149"/>
      <c r="F128" s="1124"/>
      <c r="G128" s="1140"/>
      <c r="H128" s="796"/>
      <c r="I128" s="797"/>
      <c r="J128" s="796"/>
      <c r="K128" s="914"/>
      <c r="L128" s="914"/>
    </row>
    <row r="129" spans="1:12" s="714" customFormat="1" ht="21.3">
      <c r="A129" s="1147"/>
      <c r="B129" s="1148"/>
      <c r="C129" s="1123"/>
      <c r="D129" s="1213"/>
      <c r="E129" s="1149"/>
      <c r="F129" s="1124"/>
      <c r="G129" s="1140"/>
      <c r="H129" s="796"/>
      <c r="I129" s="797"/>
      <c r="J129" s="796"/>
      <c r="K129" s="914"/>
      <c r="L129" s="914"/>
    </row>
    <row r="130" spans="1:12" s="714" customFormat="1" ht="21.3">
      <c r="A130" s="1147"/>
      <c r="B130" s="1148"/>
      <c r="C130" s="1123"/>
      <c r="D130" s="1213"/>
      <c r="E130" s="1149"/>
      <c r="F130" s="1124"/>
      <c r="G130" s="1140"/>
      <c r="H130" s="796"/>
      <c r="I130" s="797"/>
      <c r="J130" s="796"/>
      <c r="K130" s="914"/>
      <c r="L130" s="914"/>
    </row>
    <row r="131" spans="1:12" s="714" customFormat="1" ht="21.3">
      <c r="A131" s="1147"/>
      <c r="B131" s="1148"/>
      <c r="C131" s="1123"/>
      <c r="D131" s="1213"/>
      <c r="E131" s="1149"/>
      <c r="F131" s="1124"/>
      <c r="G131" s="1140"/>
      <c r="H131" s="796"/>
      <c r="I131" s="797"/>
      <c r="J131" s="796"/>
      <c r="K131" s="914"/>
      <c r="L131" s="914"/>
    </row>
    <row r="132" spans="1:12" s="714" customFormat="1" ht="21.3">
      <c r="A132" s="1147"/>
      <c r="B132" s="1148"/>
      <c r="C132" s="1123"/>
      <c r="D132" s="1213"/>
      <c r="E132" s="1149"/>
      <c r="F132" s="1124"/>
      <c r="G132" s="1140"/>
      <c r="H132" s="796"/>
      <c r="I132" s="797"/>
      <c r="J132" s="796"/>
      <c r="K132" s="914"/>
      <c r="L132" s="914"/>
    </row>
    <row r="133" spans="1:12" s="714" customFormat="1" ht="21.3">
      <c r="A133" s="1147"/>
      <c r="B133" s="1148"/>
      <c r="C133" s="1123"/>
      <c r="D133" s="1213"/>
      <c r="E133" s="1149"/>
      <c r="F133" s="1124"/>
      <c r="G133" s="1140"/>
      <c r="H133" s="796"/>
      <c r="I133" s="797"/>
      <c r="J133" s="796"/>
      <c r="K133" s="914"/>
      <c r="L133" s="914"/>
    </row>
    <row r="134" spans="1:12" s="714" customFormat="1" ht="21.3">
      <c r="A134" s="1147"/>
      <c r="B134" s="1148"/>
      <c r="C134" s="1123"/>
      <c r="D134" s="1213"/>
      <c r="E134" s="1149"/>
      <c r="F134" s="1124"/>
      <c r="G134" s="1140"/>
      <c r="H134" s="796"/>
      <c r="I134" s="797"/>
      <c r="J134" s="796"/>
      <c r="K134" s="914"/>
      <c r="L134" s="914"/>
    </row>
    <row r="135" spans="1:12" s="714" customFormat="1" ht="21.3">
      <c r="A135" s="1038"/>
      <c r="B135" s="1232"/>
      <c r="C135" s="1233"/>
      <c r="D135" s="792"/>
      <c r="E135" s="834"/>
      <c r="F135" s="794"/>
      <c r="G135" s="1140"/>
      <c r="H135" s="796"/>
      <c r="I135" s="797"/>
      <c r="J135" s="796"/>
      <c r="K135" s="914"/>
      <c r="L135" s="914"/>
    </row>
    <row r="136" spans="1:12" s="714" customFormat="1" ht="21.3">
      <c r="A136" s="1166"/>
      <c r="B136" s="2475" t="str">
        <f>"รวมราคารายการที่ "&amp;A110</f>
        <v>รวมราคารายการที่ 5.4</v>
      </c>
      <c r="C136" s="2476"/>
      <c r="D136" s="2477"/>
      <c r="E136" s="2264"/>
      <c r="F136" s="1167"/>
      <c r="G136" s="1168"/>
      <c r="H136" s="1169">
        <f>SUM(H111:H135)</f>
        <v>106381</v>
      </c>
      <c r="I136" s="1170"/>
      <c r="J136" s="1169">
        <f>SUM(J111:J135)</f>
        <v>31114</v>
      </c>
      <c r="K136" s="1169">
        <f>SUM(K111:K135)</f>
        <v>137495</v>
      </c>
      <c r="L136" s="1171"/>
    </row>
    <row r="137" spans="1:12" s="714" customFormat="1" ht="21.3">
      <c r="A137" s="950"/>
      <c r="E137" s="1234"/>
    </row>
    <row r="138" spans="1:12" s="714" customFormat="1" ht="21.3">
      <c r="A138" s="950"/>
      <c r="E138" s="1234"/>
    </row>
    <row r="139" spans="1:12" s="714" customFormat="1" ht="21.3">
      <c r="A139" s="950"/>
      <c r="E139" s="1234"/>
    </row>
    <row r="140" spans="1:12" s="714" customFormat="1" ht="21.3">
      <c r="A140" s="950"/>
      <c r="E140" s="1234"/>
    </row>
    <row r="141" spans="1:12" s="714" customFormat="1" ht="21.3">
      <c r="A141" s="950"/>
      <c r="E141" s="1234"/>
    </row>
  </sheetData>
  <mergeCells count="13"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64:D64"/>
    <mergeCell ref="B97:D97"/>
    <mergeCell ref="B109:D109"/>
    <mergeCell ref="B136:D136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7-อาคารสนับนุน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5CB5A-DC44-4106-B4F1-A709A346755B}">
  <sheetPr>
    <tabColor rgb="FF92D050"/>
  </sheetPr>
  <dimension ref="A1:O90"/>
  <sheetViews>
    <sheetView showGridLines="0" tabSelected="1" view="pageBreakPreview" topLeftCell="A61" zoomScale="70" zoomScaleNormal="6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1171875" style="1" customWidth="1"/>
    <col min="13" max="90" width="7.703125" style="1" customWidth="1"/>
    <col min="91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1635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 t="s">
        <v>29</v>
      </c>
      <c r="B11" s="1144" t="s">
        <v>1778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 t="str">
        <f>A36</f>
        <v>5.1</v>
      </c>
      <c r="B12" s="1148" t="str">
        <f>B36</f>
        <v>ระบบน้ำประปา (Cold Water Supply System)</v>
      </c>
      <c r="C12" s="1123"/>
      <c r="D12" s="1124"/>
      <c r="E12" s="1149">
        <v>1</v>
      </c>
      <c r="F12" s="1150" t="s">
        <v>19</v>
      </c>
      <c r="G12" s="710"/>
      <c r="H12" s="711">
        <f>H50</f>
        <v>21822</v>
      </c>
      <c r="I12" s="712"/>
      <c r="J12" s="711">
        <f>J50</f>
        <v>9467</v>
      </c>
      <c r="K12" s="1129">
        <f t="shared" ref="K12:K14" si="0">SUM(H12:J12)</f>
        <v>31289</v>
      </c>
      <c r="L12" s="1024"/>
    </row>
    <row r="13" spans="1:12" s="714" customFormat="1" ht="24" customHeight="1">
      <c r="A13" s="1159" t="str">
        <f>A51</f>
        <v>5.2</v>
      </c>
      <c r="B13" s="1160" t="str">
        <f>B51</f>
        <v xml:space="preserve">ระบบระบายน้ำโสโครก น้ำทิ้ง ระบายอากาศ และ ท่อน้ำทิ้งจากห้องครัว </v>
      </c>
      <c r="C13" s="1161"/>
      <c r="D13" s="1162"/>
      <c r="E13" s="1183">
        <v>1</v>
      </c>
      <c r="F13" s="1163" t="s">
        <v>19</v>
      </c>
      <c r="G13" s="1164"/>
      <c r="H13" s="957">
        <f>H69</f>
        <v>97426</v>
      </c>
      <c r="I13" s="1165"/>
      <c r="J13" s="957">
        <f>J69</f>
        <v>46130</v>
      </c>
      <c r="K13" s="1129">
        <f t="shared" si="0"/>
        <v>143556</v>
      </c>
      <c r="L13" s="954"/>
    </row>
    <row r="14" spans="1:12" s="714" customFormat="1" ht="24" customHeight="1">
      <c r="A14" s="1159">
        <f>A70</f>
        <v>5.3</v>
      </c>
      <c r="B14" s="1235" t="str">
        <f>B70</f>
        <v>ระบบระบายน้ำฝนและระบายน้ำในอาคาร (Storm Drain &amp; Building Drain System)</v>
      </c>
      <c r="C14" s="1161"/>
      <c r="D14" s="1162"/>
      <c r="E14" s="1183">
        <v>1</v>
      </c>
      <c r="F14" s="1163" t="s">
        <v>19</v>
      </c>
      <c r="G14" s="1164"/>
      <c r="H14" s="957">
        <f>H84</f>
        <v>27266</v>
      </c>
      <c r="I14" s="1165"/>
      <c r="J14" s="957">
        <f>J84</f>
        <v>8803</v>
      </c>
      <c r="K14" s="1129">
        <f t="shared" si="0"/>
        <v>36069</v>
      </c>
      <c r="L14" s="1024"/>
    </row>
    <row r="15" spans="1:12" s="714" customFormat="1" ht="24" customHeight="1">
      <c r="A15" s="1147"/>
      <c r="B15" s="1148"/>
      <c r="C15" s="1123"/>
      <c r="D15" s="1124"/>
      <c r="E15" s="1149"/>
      <c r="F15" s="1150"/>
      <c r="G15" s="710"/>
      <c r="H15" s="711"/>
      <c r="I15" s="712"/>
      <c r="J15" s="711"/>
      <c r="K15" s="1129"/>
      <c r="L15" s="1024"/>
    </row>
    <row r="16" spans="1:12" s="714" customFormat="1" ht="24" customHeight="1">
      <c r="A16" s="1147"/>
      <c r="B16" s="1148"/>
      <c r="C16" s="1123"/>
      <c r="D16" s="1124"/>
      <c r="E16" s="1149"/>
      <c r="F16" s="1150"/>
      <c r="G16" s="710"/>
      <c r="H16" s="711"/>
      <c r="I16" s="712"/>
      <c r="J16" s="711"/>
      <c r="K16" s="1129"/>
      <c r="L16" s="1024"/>
    </row>
    <row r="17" spans="1:12" s="714" customFormat="1" ht="24" customHeight="1">
      <c r="A17" s="1147"/>
      <c r="B17" s="1148"/>
      <c r="C17" s="1123"/>
      <c r="D17" s="1124"/>
      <c r="E17" s="1149"/>
      <c r="F17" s="1150"/>
      <c r="G17" s="710"/>
      <c r="H17" s="711"/>
      <c r="I17" s="712"/>
      <c r="J17" s="711"/>
      <c r="K17" s="1129"/>
      <c r="L17" s="1024"/>
    </row>
    <row r="18" spans="1:12" s="714" customFormat="1" ht="24" customHeight="1">
      <c r="A18" s="1147"/>
      <c r="B18" s="1148"/>
      <c r="C18" s="1123"/>
      <c r="D18" s="1124"/>
      <c r="E18" s="1149"/>
      <c r="F18" s="1150"/>
      <c r="G18" s="710"/>
      <c r="H18" s="711"/>
      <c r="I18" s="712"/>
      <c r="J18" s="711"/>
      <c r="K18" s="1129"/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2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2" s="714" customFormat="1" ht="30" customHeight="1">
      <c r="A34" s="1166"/>
      <c r="B34" s="2475" t="str">
        <f>"รวมราคา"&amp;B11</f>
        <v>รวมราคางานระบบสุขาภิบาล ชั้น 8</v>
      </c>
      <c r="C34" s="2476"/>
      <c r="D34" s="2477"/>
      <c r="E34" s="1167"/>
      <c r="F34" s="1167"/>
      <c r="G34" s="1168"/>
      <c r="H34" s="1169">
        <f>SUM(H12:H33)</f>
        <v>146514</v>
      </c>
      <c r="I34" s="1170"/>
      <c r="J34" s="1169">
        <f>SUM(J12:J33)</f>
        <v>64400</v>
      </c>
      <c r="K34" s="1171">
        <f>SUM(K12:K33)</f>
        <v>210914</v>
      </c>
      <c r="L34" s="1171"/>
    </row>
    <row r="35" spans="1:12" s="714" customFormat="1" ht="24" customHeight="1">
      <c r="A35" s="1011"/>
      <c r="B35" s="1173" t="s">
        <v>30</v>
      </c>
      <c r="C35" s="859"/>
      <c r="D35" s="859"/>
      <c r="E35" s="1216"/>
      <c r="F35" s="935"/>
      <c r="G35" s="1174"/>
      <c r="H35" s="1175"/>
      <c r="I35" s="1176"/>
      <c r="J35" s="1175"/>
      <c r="K35" s="1176"/>
      <c r="L35" s="825"/>
    </row>
    <row r="36" spans="1:12" s="714" customFormat="1" ht="24" customHeight="1">
      <c r="A36" s="1177" t="s">
        <v>1637</v>
      </c>
      <c r="B36" s="1151" t="s">
        <v>1638</v>
      </c>
      <c r="C36" s="1178"/>
      <c r="D36" s="1124"/>
      <c r="E36" s="1149"/>
      <c r="F36" s="1150"/>
      <c r="G36" s="1179"/>
      <c r="H36" s="1180"/>
      <c r="I36" s="1181"/>
      <c r="J36" s="1180"/>
      <c r="K36" s="1181"/>
      <c r="L36" s="1182"/>
    </row>
    <row r="37" spans="1:12" s="714" customFormat="1" ht="24" customHeight="1">
      <c r="A37" s="1147" t="s">
        <v>1639</v>
      </c>
      <c r="B37" s="1148" t="s">
        <v>1746</v>
      </c>
      <c r="C37" s="1123"/>
      <c r="D37" s="1124"/>
      <c r="E37" s="1149"/>
      <c r="F37" s="1150"/>
      <c r="G37" s="1179"/>
      <c r="H37" s="796"/>
      <c r="I37" s="1181"/>
      <c r="J37" s="796"/>
      <c r="K37" s="797"/>
      <c r="L37" s="1182"/>
    </row>
    <row r="38" spans="1:12" s="714" customFormat="1" ht="24" customHeight="1">
      <c r="A38" s="1147"/>
      <c r="B38" s="1148" t="s">
        <v>1715</v>
      </c>
      <c r="C38" s="1123"/>
      <c r="D38" s="1124"/>
      <c r="E38" s="1149">
        <v>184</v>
      </c>
      <c r="F38" s="1150" t="s">
        <v>438</v>
      </c>
      <c r="G38" s="1179">
        <v>35</v>
      </c>
      <c r="H38" s="796">
        <f t="shared" ref="H38:H43" si="1">ROUND(E38*G38,)</f>
        <v>6440</v>
      </c>
      <c r="I38" s="1181">
        <v>30</v>
      </c>
      <c r="J38" s="796">
        <f t="shared" ref="J38:J41" si="2">ROUND(E38*I38,)</f>
        <v>5520</v>
      </c>
      <c r="K38" s="797">
        <f t="shared" ref="K38:K41" si="3">H38+J38</f>
        <v>11960</v>
      </c>
      <c r="L38" s="1182"/>
    </row>
    <row r="39" spans="1:12" s="714" customFormat="1" ht="24" customHeight="1">
      <c r="A39" s="1147"/>
      <c r="B39" s="1148" t="s">
        <v>1645</v>
      </c>
      <c r="C39" s="1123"/>
      <c r="D39" s="1124"/>
      <c r="E39" s="1149">
        <v>1</v>
      </c>
      <c r="F39" s="1150" t="s">
        <v>948</v>
      </c>
      <c r="G39" s="1179">
        <f>ROUND(SUM(H38:H38)*50%,)</f>
        <v>3220</v>
      </c>
      <c r="H39" s="796">
        <f t="shared" si="1"/>
        <v>3220</v>
      </c>
      <c r="I39" s="1181">
        <f t="shared" ref="I39:I41" si="4">ROUNDUP(G39*30%,0)</f>
        <v>966</v>
      </c>
      <c r="J39" s="796">
        <f t="shared" si="2"/>
        <v>966</v>
      </c>
      <c r="K39" s="797">
        <f t="shared" si="3"/>
        <v>4186</v>
      </c>
      <c r="L39" s="1182"/>
    </row>
    <row r="40" spans="1:12" s="714" customFormat="1" ht="24" customHeight="1">
      <c r="A40" s="1147"/>
      <c r="B40" s="1148" t="s">
        <v>1646</v>
      </c>
      <c r="C40" s="1123"/>
      <c r="D40" s="1124"/>
      <c r="E40" s="1149">
        <v>1</v>
      </c>
      <c r="F40" s="1150" t="s">
        <v>948</v>
      </c>
      <c r="G40" s="1179">
        <f>ROUND(SUM(H38:H38)*20%,)</f>
        <v>1288</v>
      </c>
      <c r="H40" s="796">
        <f t="shared" si="1"/>
        <v>1288</v>
      </c>
      <c r="I40" s="1181">
        <f t="shared" si="4"/>
        <v>387</v>
      </c>
      <c r="J40" s="796">
        <f t="shared" si="2"/>
        <v>387</v>
      </c>
      <c r="K40" s="797">
        <f t="shared" si="3"/>
        <v>1675</v>
      </c>
      <c r="L40" s="1182"/>
    </row>
    <row r="41" spans="1:12" s="714" customFormat="1" ht="24" customHeight="1">
      <c r="A41" s="1147"/>
      <c r="B41" s="1148" t="s">
        <v>1647</v>
      </c>
      <c r="C41" s="1123"/>
      <c r="D41" s="1124"/>
      <c r="E41" s="1149">
        <v>1</v>
      </c>
      <c r="F41" s="1150" t="s">
        <v>948</v>
      </c>
      <c r="G41" s="1179">
        <f>SUM(H38:H38)*10%</f>
        <v>644</v>
      </c>
      <c r="H41" s="796">
        <f t="shared" si="1"/>
        <v>644</v>
      </c>
      <c r="I41" s="1181">
        <f t="shared" si="4"/>
        <v>194</v>
      </c>
      <c r="J41" s="796">
        <f t="shared" si="2"/>
        <v>194</v>
      </c>
      <c r="K41" s="797">
        <f t="shared" si="3"/>
        <v>838</v>
      </c>
      <c r="L41" s="1182"/>
    </row>
    <row r="42" spans="1:12" s="714" customFormat="1" ht="24" customHeight="1">
      <c r="A42" s="1147" t="s">
        <v>1648</v>
      </c>
      <c r="B42" s="1148" t="s">
        <v>1649</v>
      </c>
      <c r="C42" s="1123"/>
      <c r="D42" s="1124"/>
      <c r="E42" s="1149"/>
      <c r="F42" s="1150"/>
      <c r="G42" s="1179"/>
      <c r="H42" s="796"/>
      <c r="I42" s="1181"/>
      <c r="J42" s="796"/>
      <c r="K42" s="797"/>
      <c r="L42" s="1182"/>
    </row>
    <row r="43" spans="1:12" s="714" customFormat="1" ht="24" customHeight="1">
      <c r="A43" s="1147"/>
      <c r="B43" s="1148" t="s">
        <v>1715</v>
      </c>
      <c r="C43" s="1123"/>
      <c r="D43" s="1124"/>
      <c r="E43" s="1149">
        <v>9</v>
      </c>
      <c r="F43" s="1150" t="s">
        <v>240</v>
      </c>
      <c r="G43" s="1179">
        <v>880</v>
      </c>
      <c r="H43" s="796">
        <f t="shared" si="1"/>
        <v>7920</v>
      </c>
      <c r="I43" s="1181">
        <v>150</v>
      </c>
      <c r="J43" s="796">
        <f t="shared" ref="J43" si="5">ROUND(E43*I43,)</f>
        <v>1350</v>
      </c>
      <c r="K43" s="797">
        <f t="shared" ref="K43" si="6">H43+J43</f>
        <v>9270</v>
      </c>
      <c r="L43" s="2273" t="s">
        <v>2974</v>
      </c>
    </row>
    <row r="44" spans="1:12" s="714" customFormat="1" ht="24" customHeight="1">
      <c r="A44" s="1147" t="s">
        <v>1651</v>
      </c>
      <c r="B44" s="1148" t="s">
        <v>1748</v>
      </c>
      <c r="C44" s="1123"/>
      <c r="D44" s="1124"/>
      <c r="E44" s="1149"/>
      <c r="F44" s="1150"/>
      <c r="G44" s="1179"/>
      <c r="H44" s="796"/>
      <c r="I44" s="1181"/>
      <c r="J44" s="796"/>
      <c r="K44" s="797"/>
      <c r="L44" s="1182"/>
    </row>
    <row r="45" spans="1:12" s="714" customFormat="1" ht="24" customHeight="1">
      <c r="A45" s="1147"/>
      <c r="B45" s="1148" t="s">
        <v>1749</v>
      </c>
      <c r="C45" s="1123"/>
      <c r="D45" s="1124"/>
      <c r="E45" s="1149">
        <v>7</v>
      </c>
      <c r="F45" s="1150" t="s">
        <v>240</v>
      </c>
      <c r="G45" s="1188">
        <v>210</v>
      </c>
      <c r="H45" s="796">
        <f t="shared" ref="H45" si="7">ROUND(E45*G45,)</f>
        <v>1470</v>
      </c>
      <c r="I45" s="1181">
        <v>100</v>
      </c>
      <c r="J45" s="796">
        <f t="shared" ref="J45" si="8">ROUND(E45*I45,)</f>
        <v>700</v>
      </c>
      <c r="K45" s="797">
        <f t="shared" ref="K45" si="9">H45+J45</f>
        <v>2170</v>
      </c>
      <c r="L45" s="1182"/>
    </row>
    <row r="46" spans="1:12" s="714" customFormat="1" ht="24" customHeight="1">
      <c r="A46" s="1147" t="s">
        <v>1653</v>
      </c>
      <c r="B46" s="1148" t="s">
        <v>1750</v>
      </c>
      <c r="C46" s="1123"/>
      <c r="D46" s="1124"/>
      <c r="E46" s="1149"/>
      <c r="F46" s="1150"/>
      <c r="G46" s="1179"/>
      <c r="H46" s="796"/>
      <c r="I46" s="1181"/>
      <c r="J46" s="796"/>
      <c r="K46" s="797"/>
      <c r="L46" s="1182"/>
    </row>
    <row r="47" spans="1:12" s="714" customFormat="1" ht="24" customHeight="1">
      <c r="A47" s="1147"/>
      <c r="B47" s="1148" t="s">
        <v>1749</v>
      </c>
      <c r="C47" s="1123"/>
      <c r="D47" s="1124"/>
      <c r="E47" s="1149">
        <v>7</v>
      </c>
      <c r="F47" s="1150" t="s">
        <v>240</v>
      </c>
      <c r="G47" s="1179">
        <v>120</v>
      </c>
      <c r="H47" s="796">
        <f t="shared" ref="H47" si="10">ROUND(E47*G47,)</f>
        <v>840</v>
      </c>
      <c r="I47" s="1181">
        <v>50</v>
      </c>
      <c r="J47" s="796">
        <f t="shared" ref="J47" si="11">ROUND(I47*E47,)</f>
        <v>350</v>
      </c>
      <c r="K47" s="797">
        <f t="shared" ref="K47" si="12">H47+J47</f>
        <v>1190</v>
      </c>
      <c r="L47" s="1182"/>
    </row>
    <row r="48" spans="1:12" s="714" customFormat="1" ht="24" customHeight="1">
      <c r="A48" s="1147"/>
      <c r="B48" s="1148"/>
      <c r="C48" s="1123"/>
      <c r="D48" s="1124"/>
      <c r="E48" s="1149"/>
      <c r="F48" s="1150"/>
      <c r="G48" s="1179"/>
      <c r="H48" s="796"/>
      <c r="I48" s="1181"/>
      <c r="J48" s="796"/>
      <c r="K48" s="797"/>
      <c r="L48" s="1182"/>
    </row>
    <row r="49" spans="1:15" s="714" customFormat="1" ht="24" customHeight="1">
      <c r="A49" s="704"/>
      <c r="B49" s="1228"/>
      <c r="C49" s="792"/>
      <c r="D49" s="792"/>
      <c r="E49" s="1229"/>
      <c r="F49" s="919"/>
      <c r="G49" s="1179"/>
      <c r="H49" s="796"/>
      <c r="I49" s="1181"/>
      <c r="J49" s="796"/>
      <c r="K49" s="797"/>
      <c r="L49" s="825"/>
    </row>
    <row r="50" spans="1:15" s="714" customFormat="1" ht="24" customHeight="1">
      <c r="A50" s="1166"/>
      <c r="B50" s="2475" t="str">
        <f>"รวมราคารายการที่ "&amp;A36</f>
        <v>รวมราคารายการที่ 5.1</v>
      </c>
      <c r="C50" s="2476"/>
      <c r="D50" s="2477"/>
      <c r="E50" s="1167"/>
      <c r="F50" s="1167"/>
      <c r="G50" s="1168"/>
      <c r="H50" s="1169">
        <f>SUM(H37:H49)</f>
        <v>21822</v>
      </c>
      <c r="I50" s="1170"/>
      <c r="J50" s="1169">
        <f>SUM(J36:J49)</f>
        <v>9467</v>
      </c>
      <c r="K50" s="1171">
        <f>SUM(K36:K49)</f>
        <v>31289</v>
      </c>
      <c r="L50" s="1171"/>
    </row>
    <row r="51" spans="1:15" s="714" customFormat="1" ht="24" customHeight="1">
      <c r="A51" s="1195" t="s">
        <v>1664</v>
      </c>
      <c r="B51" s="1196" t="s">
        <v>1665</v>
      </c>
      <c r="C51" s="1197"/>
      <c r="D51" s="1198"/>
      <c r="E51" s="1199"/>
      <c r="F51" s="1200"/>
      <c r="G51" s="1201"/>
      <c r="H51" s="1202"/>
      <c r="I51" s="1203"/>
      <c r="J51" s="1202"/>
      <c r="K51" s="1204"/>
      <c r="L51" s="1204"/>
    </row>
    <row r="52" spans="1:15" s="714" customFormat="1" ht="24" customHeight="1">
      <c r="A52" s="1147" t="s">
        <v>1666</v>
      </c>
      <c r="B52" s="1148" t="s">
        <v>1766</v>
      </c>
      <c r="C52" s="1123"/>
      <c r="D52" s="1124"/>
      <c r="E52" s="1149"/>
      <c r="F52" s="1150"/>
      <c r="G52" s="1140"/>
      <c r="H52" s="796"/>
      <c r="I52" s="797"/>
      <c r="J52" s="796"/>
      <c r="K52" s="914"/>
      <c r="L52" s="914"/>
    </row>
    <row r="53" spans="1:15" s="714" customFormat="1" ht="24" customHeight="1">
      <c r="A53" s="1147"/>
      <c r="B53" s="1148" t="s">
        <v>1188</v>
      </c>
      <c r="C53" s="1123"/>
      <c r="D53" s="1124"/>
      <c r="E53" s="1149">
        <v>19</v>
      </c>
      <c r="F53" s="1150" t="s">
        <v>438</v>
      </c>
      <c r="G53" s="1140">
        <v>127</v>
      </c>
      <c r="H53" s="796">
        <f t="shared" ref="H53:H64" si="13">ROUND(E53*G53,)</f>
        <v>2413</v>
      </c>
      <c r="I53" s="797">
        <v>40</v>
      </c>
      <c r="J53" s="796">
        <f t="shared" ref="J53:J56" si="14">ROUND(I53*E53,)</f>
        <v>760</v>
      </c>
      <c r="K53" s="914">
        <f t="shared" ref="K53:K56" si="15">H53+J53</f>
        <v>3173</v>
      </c>
      <c r="L53" s="914"/>
    </row>
    <row r="54" spans="1:15" s="714" customFormat="1" ht="24" customHeight="1">
      <c r="A54" s="1147"/>
      <c r="B54" s="1148" t="s">
        <v>1645</v>
      </c>
      <c r="C54" s="1123"/>
      <c r="D54" s="1124"/>
      <c r="E54" s="1149">
        <v>1</v>
      </c>
      <c r="F54" s="1150" t="s">
        <v>948</v>
      </c>
      <c r="G54" s="1140">
        <f>SUM(H53:H53)*40%</f>
        <v>965.2</v>
      </c>
      <c r="H54" s="796">
        <f t="shared" si="13"/>
        <v>965</v>
      </c>
      <c r="I54" s="1181">
        <f t="shared" ref="I54:I56" si="16">ROUNDUP(G54*30%,0)</f>
        <v>290</v>
      </c>
      <c r="J54" s="796">
        <f t="shared" si="14"/>
        <v>290</v>
      </c>
      <c r="K54" s="914">
        <f t="shared" si="15"/>
        <v>1255</v>
      </c>
      <c r="L54" s="914"/>
    </row>
    <row r="55" spans="1:15" s="714" customFormat="1" ht="24" customHeight="1">
      <c r="A55" s="1147"/>
      <c r="B55" s="1148" t="s">
        <v>1646</v>
      </c>
      <c r="C55" s="1123"/>
      <c r="D55" s="1124"/>
      <c r="E55" s="1149">
        <v>1</v>
      </c>
      <c r="F55" s="1150" t="s">
        <v>948</v>
      </c>
      <c r="G55" s="1140">
        <f>SUM(H53:H53)*20%</f>
        <v>482.6</v>
      </c>
      <c r="H55" s="796">
        <f t="shared" si="13"/>
        <v>483</v>
      </c>
      <c r="I55" s="1181">
        <f t="shared" si="16"/>
        <v>145</v>
      </c>
      <c r="J55" s="796">
        <f t="shared" si="14"/>
        <v>145</v>
      </c>
      <c r="K55" s="914">
        <f t="shared" si="15"/>
        <v>628</v>
      </c>
      <c r="L55" s="914"/>
    </row>
    <row r="56" spans="1:15" s="714" customFormat="1" ht="24" customHeight="1">
      <c r="A56" s="1147"/>
      <c r="B56" s="1148" t="s">
        <v>1677</v>
      </c>
      <c r="C56" s="1123"/>
      <c r="D56" s="1124"/>
      <c r="E56" s="1149">
        <v>1</v>
      </c>
      <c r="F56" s="1150" t="s">
        <v>948</v>
      </c>
      <c r="G56" s="1140">
        <f>SUM(H53:H53)*10%</f>
        <v>241.3</v>
      </c>
      <c r="H56" s="796">
        <f t="shared" si="13"/>
        <v>241</v>
      </c>
      <c r="I56" s="1181">
        <f t="shared" si="16"/>
        <v>73</v>
      </c>
      <c r="J56" s="796">
        <f t="shared" si="14"/>
        <v>73</v>
      </c>
      <c r="K56" s="914">
        <f t="shared" si="15"/>
        <v>314</v>
      </c>
      <c r="L56" s="914"/>
    </row>
    <row r="57" spans="1:15" s="714" customFormat="1" ht="24" customHeight="1">
      <c r="A57" s="1159" t="s">
        <v>1672</v>
      </c>
      <c r="B57" s="1160" t="s">
        <v>1772</v>
      </c>
      <c r="C57" s="1161"/>
      <c r="D57" s="1162"/>
      <c r="E57" s="1183"/>
      <c r="F57" s="1163"/>
      <c r="G57" s="1205"/>
      <c r="H57" s="872"/>
      <c r="I57" s="873"/>
      <c r="J57" s="872"/>
      <c r="K57" s="938"/>
      <c r="L57" s="938"/>
    </row>
    <row r="58" spans="1:15" s="714" customFormat="1" ht="24" customHeight="1">
      <c r="A58" s="1147"/>
      <c r="B58" s="1187" t="s">
        <v>951</v>
      </c>
      <c r="C58" s="1123"/>
      <c r="D58" s="1124"/>
      <c r="E58" s="1149">
        <v>34</v>
      </c>
      <c r="F58" s="1150" t="s">
        <v>438</v>
      </c>
      <c r="G58" s="1140">
        <v>146</v>
      </c>
      <c r="H58" s="796">
        <f t="shared" si="13"/>
        <v>4964</v>
      </c>
      <c r="I58" s="797">
        <v>120</v>
      </c>
      <c r="J58" s="796">
        <f t="shared" ref="J58:J62" si="17">ROUND(I58*E58,)</f>
        <v>4080</v>
      </c>
      <c r="K58" s="914">
        <f t="shared" ref="K58:K62" si="18">H58+J58</f>
        <v>9044</v>
      </c>
      <c r="L58" s="2273" t="s">
        <v>2974</v>
      </c>
      <c r="N58" s="714">
        <v>582.4</v>
      </c>
      <c r="O58" s="714">
        <f>ROUND(N58/4,)</f>
        <v>146</v>
      </c>
    </row>
    <row r="59" spans="1:15" s="714" customFormat="1" ht="24" customHeight="1">
      <c r="A59" s="1147"/>
      <c r="B59" s="1148" t="s">
        <v>1676</v>
      </c>
      <c r="C59" s="1123"/>
      <c r="D59" s="1124"/>
      <c r="E59" s="1149">
        <v>94</v>
      </c>
      <c r="F59" s="1150" t="s">
        <v>438</v>
      </c>
      <c r="G59" s="1140">
        <v>496</v>
      </c>
      <c r="H59" s="796">
        <f>ROUND(E59*G59,)</f>
        <v>46624</v>
      </c>
      <c r="I59" s="797">
        <v>300</v>
      </c>
      <c r="J59" s="796">
        <f>ROUND(I59*E59,)</f>
        <v>28200</v>
      </c>
      <c r="K59" s="914">
        <f>H59+J59</f>
        <v>74824</v>
      </c>
      <c r="L59" s="2273" t="s">
        <v>2974</v>
      </c>
      <c r="N59" s="714">
        <v>1983.8</v>
      </c>
      <c r="O59" s="714">
        <f>ROUND(N59/4,)</f>
        <v>496</v>
      </c>
    </row>
    <row r="60" spans="1:15" s="714" customFormat="1" ht="24" customHeight="1">
      <c r="A60" s="1147"/>
      <c r="B60" s="1148" t="s">
        <v>1645</v>
      </c>
      <c r="C60" s="1123"/>
      <c r="D60" s="1124"/>
      <c r="E60" s="1149">
        <v>1</v>
      </c>
      <c r="F60" s="1150" t="s">
        <v>948</v>
      </c>
      <c r="G60" s="1140">
        <f>ROUND(SUM(H58:H59)*40%,)</f>
        <v>20635</v>
      </c>
      <c r="H60" s="796">
        <f t="shared" si="13"/>
        <v>20635</v>
      </c>
      <c r="I60" s="1181">
        <f t="shared" ref="I60:I62" si="19">ROUNDUP(G60*30%,0)</f>
        <v>6191</v>
      </c>
      <c r="J60" s="796">
        <f t="shared" si="17"/>
        <v>6191</v>
      </c>
      <c r="K60" s="914">
        <f t="shared" si="18"/>
        <v>26826</v>
      </c>
      <c r="L60" s="914"/>
    </row>
    <row r="61" spans="1:15" s="714" customFormat="1" ht="24" customHeight="1">
      <c r="A61" s="1147"/>
      <c r="B61" s="1148" t="s">
        <v>1646</v>
      </c>
      <c r="C61" s="1123"/>
      <c r="D61" s="1124"/>
      <c r="E61" s="1149">
        <v>1</v>
      </c>
      <c r="F61" s="1150" t="s">
        <v>948</v>
      </c>
      <c r="G61" s="1140">
        <f>ROUND(SUM(H58:H59)*30%,)</f>
        <v>15476</v>
      </c>
      <c r="H61" s="796">
        <f t="shared" si="13"/>
        <v>15476</v>
      </c>
      <c r="I61" s="1181">
        <f t="shared" si="19"/>
        <v>4643</v>
      </c>
      <c r="J61" s="796">
        <f t="shared" si="17"/>
        <v>4643</v>
      </c>
      <c r="K61" s="914">
        <f t="shared" si="18"/>
        <v>20119</v>
      </c>
      <c r="L61" s="914"/>
    </row>
    <row r="62" spans="1:15" s="714" customFormat="1" ht="24" customHeight="1">
      <c r="A62" s="1147"/>
      <c r="B62" s="1148" t="s">
        <v>1677</v>
      </c>
      <c r="C62" s="1123"/>
      <c r="D62" s="1124"/>
      <c r="E62" s="1149">
        <v>1</v>
      </c>
      <c r="F62" s="1150" t="s">
        <v>948</v>
      </c>
      <c r="G62" s="1140">
        <f>ROUND(SUM(H58:H59)*10%,)</f>
        <v>5159</v>
      </c>
      <c r="H62" s="796">
        <f t="shared" si="13"/>
        <v>5159</v>
      </c>
      <c r="I62" s="1181">
        <f t="shared" si="19"/>
        <v>1548</v>
      </c>
      <c r="J62" s="796">
        <f t="shared" si="17"/>
        <v>1548</v>
      </c>
      <c r="K62" s="914">
        <f t="shared" si="18"/>
        <v>6707</v>
      </c>
      <c r="L62" s="914"/>
    </row>
    <row r="63" spans="1:15" s="714" customFormat="1" ht="24" customHeight="1">
      <c r="A63" s="1147" t="s">
        <v>1678</v>
      </c>
      <c r="B63" s="1148" t="s">
        <v>1767</v>
      </c>
      <c r="C63" s="1123"/>
      <c r="D63" s="1124"/>
      <c r="E63" s="1149"/>
      <c r="F63" s="1150"/>
      <c r="G63" s="1140"/>
      <c r="H63" s="796"/>
      <c r="I63" s="797"/>
      <c r="J63" s="796"/>
      <c r="K63" s="914"/>
      <c r="L63" s="914"/>
    </row>
    <row r="64" spans="1:15" s="714" customFormat="1" ht="24" customHeight="1">
      <c r="A64" s="1147"/>
      <c r="B64" s="1148" t="s">
        <v>1188</v>
      </c>
      <c r="C64" s="1123"/>
      <c r="D64" s="1124"/>
      <c r="E64" s="1149">
        <v>1</v>
      </c>
      <c r="F64" s="1150" t="s">
        <v>240</v>
      </c>
      <c r="G64" s="1140">
        <f>ROUND(665*0.7,)</f>
        <v>466</v>
      </c>
      <c r="H64" s="796">
        <f t="shared" si="13"/>
        <v>466</v>
      </c>
      <c r="I64" s="797">
        <v>200</v>
      </c>
      <c r="J64" s="796">
        <f t="shared" ref="J64" si="20">ROUND(I64*E64,)</f>
        <v>200</v>
      </c>
      <c r="K64" s="914">
        <f t="shared" ref="K64" si="21">H64+J64</f>
        <v>666</v>
      </c>
      <c r="L64" s="914"/>
    </row>
    <row r="65" spans="1:12" s="714" customFormat="1" ht="24" customHeight="1">
      <c r="A65" s="1147"/>
      <c r="B65" s="1148"/>
      <c r="C65" s="1123"/>
      <c r="D65" s="1124"/>
      <c r="E65" s="1149"/>
      <c r="F65" s="1150"/>
      <c r="G65" s="1140"/>
      <c r="H65" s="796"/>
      <c r="I65" s="797"/>
      <c r="J65" s="796"/>
      <c r="K65" s="914"/>
      <c r="L65" s="914"/>
    </row>
    <row r="66" spans="1:12" s="714" customFormat="1" ht="24" customHeight="1">
      <c r="A66" s="1221"/>
      <c r="B66" s="1219"/>
      <c r="C66" s="1209"/>
      <c r="D66" s="1210"/>
      <c r="E66" s="1149"/>
      <c r="F66" s="1212"/>
      <c r="G66" s="1140"/>
      <c r="H66" s="796"/>
      <c r="I66" s="855"/>
      <c r="J66" s="796"/>
      <c r="K66" s="914"/>
      <c r="L66" s="912"/>
    </row>
    <row r="67" spans="1:12" s="714" customFormat="1" ht="24" customHeight="1">
      <c r="A67" s="1147"/>
      <c r="B67" s="1148"/>
      <c r="C67" s="1123"/>
      <c r="D67" s="1124"/>
      <c r="E67" s="1149"/>
      <c r="F67" s="1150"/>
      <c r="G67" s="1140"/>
      <c r="H67" s="796"/>
      <c r="I67" s="797"/>
      <c r="J67" s="796"/>
      <c r="K67" s="914"/>
      <c r="L67" s="1194"/>
    </row>
    <row r="68" spans="1:12" s="714" customFormat="1" ht="24" customHeight="1">
      <c r="A68" s="1147"/>
      <c r="B68" s="1148"/>
      <c r="C68" s="1123"/>
      <c r="D68" s="1124"/>
      <c r="E68" s="1149"/>
      <c r="F68" s="1150"/>
      <c r="G68" s="1140"/>
      <c r="H68" s="796"/>
      <c r="I68" s="797"/>
      <c r="J68" s="796"/>
      <c r="K68" s="914"/>
      <c r="L68" s="1194"/>
    </row>
    <row r="69" spans="1:12" s="714" customFormat="1" ht="24" customHeight="1">
      <c r="A69" s="1166"/>
      <c r="B69" s="2475" t="str">
        <f>"รวมราคารายการที่ "&amp;A51</f>
        <v>รวมราคารายการที่ 5.2</v>
      </c>
      <c r="C69" s="2476"/>
      <c r="D69" s="2477"/>
      <c r="E69" s="1167"/>
      <c r="F69" s="1167"/>
      <c r="G69" s="1168"/>
      <c r="H69" s="1169">
        <f>SUM(H52:H66)</f>
        <v>97426</v>
      </c>
      <c r="I69" s="1170"/>
      <c r="J69" s="1169">
        <f>SUM(J52:J66)</f>
        <v>46130</v>
      </c>
      <c r="K69" s="1171">
        <f>SUM(K52:K66)</f>
        <v>143556</v>
      </c>
      <c r="L69" s="1171"/>
    </row>
    <row r="70" spans="1:12" s="714" customFormat="1" ht="24" customHeight="1">
      <c r="A70" s="1011">
        <v>5.3</v>
      </c>
      <c r="B70" s="1196" t="s">
        <v>1691</v>
      </c>
      <c r="C70" s="859"/>
      <c r="D70" s="859"/>
      <c r="E70" s="1216"/>
      <c r="F70" s="852"/>
      <c r="G70" s="874"/>
      <c r="H70" s="854"/>
      <c r="I70" s="855"/>
      <c r="J70" s="854"/>
      <c r="K70" s="912"/>
      <c r="L70" s="914"/>
    </row>
    <row r="71" spans="1:12" s="714" customFormat="1" ht="24" customHeight="1">
      <c r="A71" s="1159" t="s">
        <v>1692</v>
      </c>
      <c r="B71" s="1160" t="s">
        <v>1768</v>
      </c>
      <c r="C71" s="1161"/>
      <c r="D71" s="1162"/>
      <c r="E71" s="1183"/>
      <c r="F71" s="1163"/>
      <c r="G71" s="1205"/>
      <c r="H71" s="872"/>
      <c r="I71" s="873"/>
      <c r="J71" s="872"/>
      <c r="K71" s="938"/>
      <c r="L71" s="1194"/>
    </row>
    <row r="72" spans="1:12" s="714" customFormat="1" ht="24" customHeight="1">
      <c r="A72" s="1147"/>
      <c r="B72" s="1148" t="s">
        <v>1188</v>
      </c>
      <c r="C72" s="1123"/>
      <c r="D72" s="1124"/>
      <c r="E72" s="1149">
        <v>105</v>
      </c>
      <c r="F72" s="1150" t="s">
        <v>438</v>
      </c>
      <c r="G72" s="1140">
        <v>127</v>
      </c>
      <c r="H72" s="796">
        <f t="shared" ref="H72:H75" si="22">ROUND(E72*G72,)</f>
        <v>13335</v>
      </c>
      <c r="I72" s="797">
        <v>40</v>
      </c>
      <c r="J72" s="796">
        <f t="shared" ref="J72:J75" si="23">ROUND(I72*E72,)</f>
        <v>4200</v>
      </c>
      <c r="K72" s="914">
        <f t="shared" ref="K72:K75" si="24">H72+J72</f>
        <v>17535</v>
      </c>
      <c r="L72" s="914"/>
    </row>
    <row r="73" spans="1:12" s="714" customFormat="1" ht="24" customHeight="1">
      <c r="A73" s="1147"/>
      <c r="B73" s="1148" t="s">
        <v>1645</v>
      </c>
      <c r="C73" s="1123"/>
      <c r="D73" s="1124"/>
      <c r="E73" s="1149">
        <v>1</v>
      </c>
      <c r="F73" s="1150" t="s">
        <v>948</v>
      </c>
      <c r="G73" s="1140">
        <f>ROUND(SUM(H72:H72)*50%,)</f>
        <v>6668</v>
      </c>
      <c r="H73" s="796">
        <f t="shared" si="22"/>
        <v>6668</v>
      </c>
      <c r="I73" s="1181">
        <f t="shared" ref="I73:I75" si="25">ROUNDUP(G73*30%,0)</f>
        <v>2001</v>
      </c>
      <c r="J73" s="796">
        <f t="shared" si="23"/>
        <v>2001</v>
      </c>
      <c r="K73" s="914">
        <f t="shared" si="24"/>
        <v>8669</v>
      </c>
      <c r="L73" s="1194"/>
    </row>
    <row r="74" spans="1:12" s="714" customFormat="1" ht="24" customHeight="1">
      <c r="A74" s="1147"/>
      <c r="B74" s="1148" t="s">
        <v>1646</v>
      </c>
      <c r="C74" s="1123"/>
      <c r="D74" s="1124"/>
      <c r="E74" s="1149">
        <v>1</v>
      </c>
      <c r="F74" s="1150" t="s">
        <v>948</v>
      </c>
      <c r="G74" s="1140">
        <f>ROUND(SUM(H72:H72)*20%,)</f>
        <v>2667</v>
      </c>
      <c r="H74" s="796">
        <f t="shared" si="22"/>
        <v>2667</v>
      </c>
      <c r="I74" s="1181">
        <f t="shared" si="25"/>
        <v>801</v>
      </c>
      <c r="J74" s="796">
        <f t="shared" si="23"/>
        <v>801</v>
      </c>
      <c r="K74" s="914">
        <f t="shared" si="24"/>
        <v>3468</v>
      </c>
      <c r="L74" s="914"/>
    </row>
    <row r="75" spans="1:12" s="714" customFormat="1" ht="24" customHeight="1">
      <c r="A75" s="1147"/>
      <c r="B75" s="1148" t="s">
        <v>1677</v>
      </c>
      <c r="C75" s="1123"/>
      <c r="D75" s="1124"/>
      <c r="E75" s="1149">
        <v>1</v>
      </c>
      <c r="F75" s="1150" t="s">
        <v>948</v>
      </c>
      <c r="G75" s="1140">
        <f>ROUND(SUM(H72:H72)*10%,)</f>
        <v>1334</v>
      </c>
      <c r="H75" s="796">
        <f t="shared" si="22"/>
        <v>1334</v>
      </c>
      <c r="I75" s="1181">
        <f t="shared" si="25"/>
        <v>401</v>
      </c>
      <c r="J75" s="796">
        <f t="shared" si="23"/>
        <v>401</v>
      </c>
      <c r="K75" s="914">
        <f t="shared" si="24"/>
        <v>1735</v>
      </c>
      <c r="L75" s="1194"/>
    </row>
    <row r="76" spans="1:12" s="714" customFormat="1" ht="24" customHeight="1">
      <c r="A76" s="1147" t="s">
        <v>1695</v>
      </c>
      <c r="B76" s="1148" t="s">
        <v>1767</v>
      </c>
      <c r="C76" s="1123"/>
      <c r="D76" s="1124"/>
      <c r="E76" s="1149"/>
      <c r="F76" s="1150"/>
      <c r="G76" s="1140"/>
      <c r="H76" s="796"/>
      <c r="I76" s="797"/>
      <c r="J76" s="796"/>
      <c r="K76" s="914"/>
      <c r="L76" s="914"/>
    </row>
    <row r="77" spans="1:12" s="714" customFormat="1" ht="24" customHeight="1">
      <c r="A77" s="1147"/>
      <c r="B77" s="1148" t="s">
        <v>1188</v>
      </c>
      <c r="C77" s="1123"/>
      <c r="D77" s="1124"/>
      <c r="E77" s="1149">
        <v>7</v>
      </c>
      <c r="F77" s="1150" t="s">
        <v>240</v>
      </c>
      <c r="G77" s="1140">
        <f>ROUND(665*0.7,)</f>
        <v>466</v>
      </c>
      <c r="H77" s="796">
        <f t="shared" ref="H77" si="26">ROUND(E77*G77,)</f>
        <v>3262</v>
      </c>
      <c r="I77" s="797">
        <v>200</v>
      </c>
      <c r="J77" s="796">
        <f t="shared" ref="J77" si="27">ROUND(I77*E77,)</f>
        <v>1400</v>
      </c>
      <c r="K77" s="914">
        <f t="shared" ref="K77" si="28">H77+J77</f>
        <v>4662</v>
      </c>
      <c r="L77" s="914"/>
    </row>
    <row r="78" spans="1:12" s="714" customFormat="1" ht="24" customHeight="1">
      <c r="A78" s="1147"/>
      <c r="B78" s="1148"/>
      <c r="C78" s="1123"/>
      <c r="D78" s="1124"/>
      <c r="E78" s="1149"/>
      <c r="F78" s="1150"/>
      <c r="G78" s="1140"/>
      <c r="H78" s="796"/>
      <c r="I78" s="797"/>
      <c r="J78" s="796"/>
      <c r="K78" s="914"/>
      <c r="L78" s="914"/>
    </row>
    <row r="79" spans="1:12" s="714" customFormat="1" ht="24" customHeight="1">
      <c r="A79" s="1147"/>
      <c r="B79" s="1148"/>
      <c r="C79" s="1123"/>
      <c r="D79" s="1124"/>
      <c r="E79" s="1149"/>
      <c r="F79" s="1150"/>
      <c r="G79" s="1140"/>
      <c r="H79" s="796"/>
      <c r="I79" s="797"/>
      <c r="J79" s="796"/>
      <c r="K79" s="914"/>
      <c r="L79" s="914"/>
    </row>
    <row r="80" spans="1:12" s="714" customFormat="1" ht="24" customHeight="1">
      <c r="A80" s="1159"/>
      <c r="B80" s="1160"/>
      <c r="C80" s="1161"/>
      <c r="D80" s="1190"/>
      <c r="E80" s="1183"/>
      <c r="F80" s="1162"/>
      <c r="G80" s="1205"/>
      <c r="H80" s="872"/>
      <c r="I80" s="873"/>
      <c r="J80" s="872"/>
      <c r="K80" s="938"/>
      <c r="L80" s="938"/>
    </row>
    <row r="81" spans="1:12" s="714" customFormat="1" ht="24" customHeight="1">
      <c r="A81" s="1159"/>
      <c r="B81" s="1160"/>
      <c r="C81" s="1161"/>
      <c r="D81" s="1190"/>
      <c r="E81" s="1183"/>
      <c r="F81" s="1162"/>
      <c r="G81" s="1205"/>
      <c r="H81" s="872"/>
      <c r="I81" s="873"/>
      <c r="J81" s="872"/>
      <c r="K81" s="938"/>
      <c r="L81" s="938"/>
    </row>
    <row r="82" spans="1:12" s="714" customFormat="1" ht="24" customHeight="1">
      <c r="A82" s="1159"/>
      <c r="B82" s="1160"/>
      <c r="C82" s="1161"/>
      <c r="D82" s="1190"/>
      <c r="E82" s="1183"/>
      <c r="F82" s="1162"/>
      <c r="G82" s="1205"/>
      <c r="H82" s="872"/>
      <c r="I82" s="873"/>
      <c r="J82" s="872"/>
      <c r="K82" s="938"/>
      <c r="L82" s="938"/>
    </row>
    <row r="83" spans="1:12" s="714" customFormat="1" ht="24" customHeight="1">
      <c r="A83" s="898"/>
      <c r="B83" s="1191"/>
      <c r="C83" s="890"/>
      <c r="D83" s="890"/>
      <c r="E83" s="1224"/>
      <c r="F83" s="928"/>
      <c r="G83" s="1192"/>
      <c r="H83" s="1193"/>
      <c r="I83" s="1185"/>
      <c r="J83" s="1193"/>
      <c r="K83" s="1194"/>
      <c r="L83" s="1194"/>
    </row>
    <row r="84" spans="1:12" s="714" customFormat="1" ht="24" customHeight="1">
      <c r="A84" s="1166"/>
      <c r="B84" s="2475" t="str">
        <f>"รวมราคารายการที่ "&amp;A70</f>
        <v>รวมราคารายการที่ 5.3</v>
      </c>
      <c r="C84" s="2476"/>
      <c r="D84" s="2477"/>
      <c r="E84" s="1167"/>
      <c r="F84" s="1167"/>
      <c r="G84" s="1168"/>
      <c r="H84" s="1169">
        <f>SUM(H71:H83)</f>
        <v>27266</v>
      </c>
      <c r="I84" s="1170"/>
      <c r="J84" s="1169">
        <f>SUM(J71:J83)</f>
        <v>8803</v>
      </c>
      <c r="K84" s="1169">
        <f>SUM(K71:K83)</f>
        <v>36069</v>
      </c>
      <c r="L84" s="1226"/>
    </row>
    <row r="85" spans="1:12" s="714" customFormat="1" ht="21.3">
      <c r="A85" s="950"/>
      <c r="E85" s="1234"/>
    </row>
    <row r="86" spans="1:12" s="714" customFormat="1" ht="21.3">
      <c r="A86" s="950"/>
      <c r="E86" s="1234"/>
    </row>
    <row r="87" spans="1:12" s="714" customFormat="1" ht="21.3">
      <c r="A87" s="950"/>
      <c r="E87" s="1234"/>
    </row>
    <row r="88" spans="1:12" s="714" customFormat="1" ht="21.3">
      <c r="A88" s="950"/>
      <c r="E88" s="1234"/>
    </row>
    <row r="89" spans="1:12" s="714" customFormat="1" ht="21.3">
      <c r="A89" s="950"/>
      <c r="E89" s="1234"/>
    </row>
    <row r="90" spans="1:12" s="714" customFormat="1" ht="21.3">
      <c r="A90" s="950"/>
      <c r="E90" s="1234"/>
    </row>
  </sheetData>
  <mergeCells count="12">
    <mergeCell ref="A9:A10"/>
    <mergeCell ref="B9:D10"/>
    <mergeCell ref="E9:E10"/>
    <mergeCell ref="F9:F10"/>
    <mergeCell ref="G9:H9"/>
    <mergeCell ref="B34:D34"/>
    <mergeCell ref="B50:D50"/>
    <mergeCell ref="B69:D69"/>
    <mergeCell ref="B84:D84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8-อาคารสนับนุน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3F606-E768-487F-8E5A-9066C37C0108}">
  <sheetPr>
    <tabColor rgb="FF92D050"/>
  </sheetPr>
  <dimension ref="A1:L60"/>
  <sheetViews>
    <sheetView showGridLines="0" tabSelected="1" view="pageBreakPreview" topLeftCell="A46" zoomScale="70" zoomScaleNormal="6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15.703125" style="1" customWidth="1"/>
    <col min="13" max="90" width="7.703125" style="1" customWidth="1"/>
    <col min="91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1635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 t="s">
        <v>29</v>
      </c>
      <c r="B11" s="1144" t="s">
        <v>1779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59">
        <f>A35</f>
        <v>5.0999999999999996</v>
      </c>
      <c r="B12" s="1160" t="str">
        <f>B35</f>
        <v>ระบบระบายน้ำฝนและระบายน้ำในอาคาร (Storm Drain &amp; Building Drain System)</v>
      </c>
      <c r="C12" s="1161"/>
      <c r="D12" s="1162"/>
      <c r="E12" s="1183">
        <v>1</v>
      </c>
      <c r="F12" s="1163" t="s">
        <v>19</v>
      </c>
      <c r="G12" s="1164"/>
      <c r="H12" s="957">
        <f>H60</f>
        <v>186670</v>
      </c>
      <c r="I12" s="1165"/>
      <c r="J12" s="957">
        <f>J60</f>
        <v>69656</v>
      </c>
      <c r="K12" s="1129">
        <f t="shared" ref="K12" si="0">SUM(H12:J12)</f>
        <v>256326</v>
      </c>
      <c r="L12" s="1024"/>
    </row>
    <row r="13" spans="1:12" s="714" customFormat="1" ht="24" customHeight="1">
      <c r="A13" s="1147"/>
      <c r="B13" s="1148"/>
      <c r="C13" s="1123"/>
      <c r="D13" s="1124"/>
      <c r="E13" s="1149"/>
      <c r="F13" s="1150"/>
      <c r="G13" s="710"/>
      <c r="H13" s="711"/>
      <c r="I13" s="712"/>
      <c r="J13" s="711"/>
      <c r="K13" s="1129"/>
      <c r="L13" s="1024"/>
    </row>
    <row r="14" spans="1:12" s="714" customFormat="1" ht="24" customHeight="1">
      <c r="A14" s="1147"/>
      <c r="B14" s="1148"/>
      <c r="C14" s="1123"/>
      <c r="D14" s="1124"/>
      <c r="E14" s="1149"/>
      <c r="F14" s="1150"/>
      <c r="G14" s="710"/>
      <c r="H14" s="711"/>
      <c r="I14" s="712"/>
      <c r="J14" s="711"/>
      <c r="K14" s="1129"/>
      <c r="L14" s="1024"/>
    </row>
    <row r="15" spans="1:12" s="714" customFormat="1" ht="24" customHeight="1">
      <c r="A15" s="1147"/>
      <c r="B15" s="1148"/>
      <c r="C15" s="1123"/>
      <c r="D15" s="1124"/>
      <c r="E15" s="1149"/>
      <c r="F15" s="1150"/>
      <c r="G15" s="710"/>
      <c r="H15" s="711"/>
      <c r="I15" s="712"/>
      <c r="J15" s="711"/>
      <c r="K15" s="1129"/>
      <c r="L15" s="1024"/>
    </row>
    <row r="16" spans="1:12" s="714" customFormat="1" ht="24" customHeight="1">
      <c r="A16" s="1159"/>
      <c r="B16" s="1160"/>
      <c r="C16" s="1161"/>
      <c r="D16" s="1162"/>
      <c r="E16" s="1183"/>
      <c r="F16" s="1163"/>
      <c r="G16" s="1164"/>
      <c r="H16" s="957"/>
      <c r="I16" s="1165"/>
      <c r="J16" s="957"/>
      <c r="K16" s="1129"/>
      <c r="L16" s="954"/>
    </row>
    <row r="17" spans="1:12" s="714" customFormat="1" ht="24" customHeight="1">
      <c r="A17" s="1147"/>
      <c r="B17" s="1148"/>
      <c r="C17" s="1123"/>
      <c r="D17" s="1124"/>
      <c r="E17" s="1149"/>
      <c r="F17" s="1150"/>
      <c r="G17" s="710"/>
      <c r="H17" s="711"/>
      <c r="I17" s="712"/>
      <c r="J17" s="711"/>
      <c r="K17" s="1129"/>
      <c r="L17" s="1024"/>
    </row>
    <row r="18" spans="1:12" s="714" customFormat="1" ht="24" customHeight="1">
      <c r="A18" s="1147"/>
      <c r="B18" s="1148"/>
      <c r="C18" s="1123"/>
      <c r="D18" s="1124"/>
      <c r="E18" s="1149"/>
      <c r="F18" s="1150"/>
      <c r="G18" s="710"/>
      <c r="H18" s="711"/>
      <c r="I18" s="712"/>
      <c r="J18" s="711"/>
      <c r="K18" s="1129"/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2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2" s="714" customFormat="1" ht="30" customHeight="1">
      <c r="A34" s="1166"/>
      <c r="B34" s="2475" t="str">
        <f>"รวมราคา"&amp;B11</f>
        <v>รวมราคางานระบบสุขาภิบาล ชั้นหลังคา</v>
      </c>
      <c r="C34" s="2476"/>
      <c r="D34" s="2477"/>
      <c r="E34" s="1167"/>
      <c r="F34" s="1167"/>
      <c r="G34" s="1168"/>
      <c r="H34" s="1169">
        <f>SUM(H12:H33)</f>
        <v>186670</v>
      </c>
      <c r="I34" s="1170"/>
      <c r="J34" s="1169">
        <f>SUM(J12:J33)</f>
        <v>69656</v>
      </c>
      <c r="K34" s="1171">
        <f>SUM(K12:K33)</f>
        <v>256326</v>
      </c>
      <c r="L34" s="1171"/>
    </row>
    <row r="35" spans="1:12" s="714" customFormat="1" ht="24" customHeight="1">
      <c r="A35" s="1011">
        <v>5.0999999999999996</v>
      </c>
      <c r="B35" s="1196" t="s">
        <v>1691</v>
      </c>
      <c r="C35" s="859"/>
      <c r="D35" s="859"/>
      <c r="E35" s="1216"/>
      <c r="F35" s="852"/>
      <c r="G35" s="874"/>
      <c r="H35" s="854"/>
      <c r="I35" s="855"/>
      <c r="J35" s="854"/>
      <c r="K35" s="912"/>
      <c r="L35" s="1222"/>
    </row>
    <row r="36" spans="1:12" s="714" customFormat="1" ht="24" customHeight="1">
      <c r="A36" s="1159" t="s">
        <v>1639</v>
      </c>
      <c r="B36" s="1160" t="s">
        <v>1768</v>
      </c>
      <c r="C36" s="1161"/>
      <c r="D36" s="1162"/>
      <c r="E36" s="1183"/>
      <c r="F36" s="1163"/>
      <c r="G36" s="1205"/>
      <c r="H36" s="872"/>
      <c r="I36" s="873"/>
      <c r="J36" s="872"/>
      <c r="K36" s="938"/>
      <c r="L36" s="1218"/>
    </row>
    <row r="37" spans="1:12" s="714" customFormat="1" ht="24" customHeight="1">
      <c r="A37" s="1147"/>
      <c r="B37" s="1148" t="s">
        <v>1675</v>
      </c>
      <c r="C37" s="1123"/>
      <c r="D37" s="1124"/>
      <c r="E37" s="1149">
        <v>157</v>
      </c>
      <c r="F37" s="1150" t="s">
        <v>438</v>
      </c>
      <c r="G37" s="1140">
        <v>631</v>
      </c>
      <c r="H37" s="796">
        <f t="shared" ref="H37:H40" si="1">ROUND(E37*G37,)</f>
        <v>99067</v>
      </c>
      <c r="I37" s="797">
        <v>250</v>
      </c>
      <c r="J37" s="796">
        <f t="shared" ref="J37:J40" si="2">ROUND(I37*E37,)</f>
        <v>39250</v>
      </c>
      <c r="K37" s="914">
        <f t="shared" ref="K37:K40" si="3">H37+J37</f>
        <v>138317</v>
      </c>
      <c r="L37" s="1218"/>
    </row>
    <row r="38" spans="1:12" s="714" customFormat="1" ht="24" customHeight="1">
      <c r="A38" s="1147"/>
      <c r="B38" s="1148" t="s">
        <v>1645</v>
      </c>
      <c r="C38" s="1123"/>
      <c r="D38" s="1124"/>
      <c r="E38" s="1149">
        <v>1</v>
      </c>
      <c r="F38" s="1150" t="s">
        <v>948</v>
      </c>
      <c r="G38" s="1140">
        <f>ROUND(SUM(H37:H37)*40%,)</f>
        <v>39627</v>
      </c>
      <c r="H38" s="796">
        <f t="shared" si="1"/>
        <v>39627</v>
      </c>
      <c r="I38" s="1181">
        <f t="shared" ref="I38:I40" si="4">ROUNDUP(G38*30%,0)</f>
        <v>11889</v>
      </c>
      <c r="J38" s="796">
        <f t="shared" si="2"/>
        <v>11889</v>
      </c>
      <c r="K38" s="914">
        <f t="shared" si="3"/>
        <v>51516</v>
      </c>
      <c r="L38" s="1218"/>
    </row>
    <row r="39" spans="1:12" s="714" customFormat="1" ht="24" customHeight="1">
      <c r="A39" s="1147"/>
      <c r="B39" s="1148" t="s">
        <v>1646</v>
      </c>
      <c r="C39" s="1123"/>
      <c r="D39" s="1124"/>
      <c r="E39" s="1149">
        <v>1</v>
      </c>
      <c r="F39" s="1150" t="s">
        <v>948</v>
      </c>
      <c r="G39" s="1140">
        <f>ROUND(SUM(H37:H37)*20%,)</f>
        <v>19813</v>
      </c>
      <c r="H39" s="796">
        <f t="shared" si="1"/>
        <v>19813</v>
      </c>
      <c r="I39" s="1181">
        <f t="shared" si="4"/>
        <v>5944</v>
      </c>
      <c r="J39" s="796">
        <f t="shared" si="2"/>
        <v>5944</v>
      </c>
      <c r="K39" s="914">
        <f t="shared" si="3"/>
        <v>25757</v>
      </c>
      <c r="L39" s="1218"/>
    </row>
    <row r="40" spans="1:12" s="714" customFormat="1" ht="24" customHeight="1">
      <c r="A40" s="1147"/>
      <c r="B40" s="1148" t="s">
        <v>1677</v>
      </c>
      <c r="C40" s="1123"/>
      <c r="D40" s="1124"/>
      <c r="E40" s="1149">
        <v>1</v>
      </c>
      <c r="F40" s="1150" t="s">
        <v>948</v>
      </c>
      <c r="G40" s="1140">
        <f>ROUND(SUM(H37:H37)*10%,)</f>
        <v>9907</v>
      </c>
      <c r="H40" s="796">
        <f t="shared" si="1"/>
        <v>9907</v>
      </c>
      <c r="I40" s="1181">
        <f t="shared" si="4"/>
        <v>2973</v>
      </c>
      <c r="J40" s="796">
        <f t="shared" si="2"/>
        <v>2973</v>
      </c>
      <c r="K40" s="914">
        <f t="shared" si="3"/>
        <v>12880</v>
      </c>
      <c r="L40" s="1218"/>
    </row>
    <row r="41" spans="1:12" s="714" customFormat="1" ht="24" customHeight="1">
      <c r="A41" s="1147" t="s">
        <v>1648</v>
      </c>
      <c r="B41" s="1148" t="s">
        <v>1757</v>
      </c>
      <c r="C41" s="1123"/>
      <c r="D41" s="1124"/>
      <c r="E41" s="1149"/>
      <c r="F41" s="1150"/>
      <c r="G41" s="1140"/>
      <c r="H41" s="796"/>
      <c r="I41" s="797"/>
      <c r="J41" s="796"/>
      <c r="K41" s="914"/>
      <c r="L41" s="1218"/>
    </row>
    <row r="42" spans="1:12" s="714" customFormat="1" ht="24" customHeight="1">
      <c r="A42" s="1147"/>
      <c r="B42" s="1148" t="s">
        <v>1675</v>
      </c>
      <c r="C42" s="1123"/>
      <c r="D42" s="1124"/>
      <c r="E42" s="1149">
        <v>16</v>
      </c>
      <c r="F42" s="1150" t="s">
        <v>240</v>
      </c>
      <c r="G42" s="1140">
        <f>ROUND(1630*0.7,)</f>
        <v>1141</v>
      </c>
      <c r="H42" s="796">
        <f>ROUND(E42*G42,)</f>
        <v>18256</v>
      </c>
      <c r="I42" s="797">
        <v>600</v>
      </c>
      <c r="J42" s="796">
        <f>ROUND(I42*E42,)</f>
        <v>9600</v>
      </c>
      <c r="K42" s="914">
        <f>H42+J42</f>
        <v>27856</v>
      </c>
      <c r="L42" s="1218"/>
    </row>
    <row r="43" spans="1:12" s="714" customFormat="1" ht="24" customHeight="1">
      <c r="A43" s="1147"/>
      <c r="B43" s="1148"/>
      <c r="C43" s="1123"/>
      <c r="D43" s="1124"/>
      <c r="E43" s="1149"/>
      <c r="F43" s="1150"/>
      <c r="G43" s="1140"/>
      <c r="H43" s="796"/>
      <c r="I43" s="797"/>
      <c r="J43" s="796"/>
      <c r="K43" s="914"/>
      <c r="L43" s="1218"/>
    </row>
    <row r="44" spans="1:12" s="714" customFormat="1" ht="21.3">
      <c r="A44" s="1147"/>
      <c r="B44" s="1148"/>
      <c r="C44" s="1123"/>
      <c r="D44" s="1124"/>
      <c r="E44" s="1149"/>
      <c r="F44" s="1150"/>
      <c r="G44" s="1140"/>
      <c r="H44" s="796"/>
      <c r="I44" s="797"/>
      <c r="J44" s="796"/>
      <c r="K44" s="914"/>
      <c r="L44" s="1218"/>
    </row>
    <row r="45" spans="1:12" s="714" customFormat="1" ht="21.3">
      <c r="A45" s="1147"/>
      <c r="B45" s="1148"/>
      <c r="C45" s="1123"/>
      <c r="D45" s="1124"/>
      <c r="E45" s="1149"/>
      <c r="F45" s="1150"/>
      <c r="G45" s="1140"/>
      <c r="H45" s="796"/>
      <c r="I45" s="797"/>
      <c r="J45" s="796"/>
      <c r="K45" s="914"/>
      <c r="L45" s="1218"/>
    </row>
    <row r="46" spans="1:12" s="714" customFormat="1" ht="21.3">
      <c r="A46" s="1147"/>
      <c r="B46" s="1148"/>
      <c r="C46" s="1123"/>
      <c r="D46" s="1124"/>
      <c r="E46" s="1149"/>
      <c r="F46" s="1150"/>
      <c r="G46" s="1140"/>
      <c r="H46" s="796"/>
      <c r="I46" s="797"/>
      <c r="J46" s="796"/>
      <c r="K46" s="914"/>
      <c r="L46" s="1218"/>
    </row>
    <row r="47" spans="1:12" s="714" customFormat="1" ht="21.3">
      <c r="A47" s="1147"/>
      <c r="B47" s="1148"/>
      <c r="C47" s="1123"/>
      <c r="D47" s="1124"/>
      <c r="E47" s="1149"/>
      <c r="F47" s="1150"/>
      <c r="G47" s="1140"/>
      <c r="H47" s="796"/>
      <c r="I47" s="797"/>
      <c r="J47" s="796"/>
      <c r="K47" s="914"/>
      <c r="L47" s="1218"/>
    </row>
    <row r="48" spans="1:12" s="714" customFormat="1" ht="21.3">
      <c r="A48" s="1147"/>
      <c r="B48" s="1148"/>
      <c r="C48" s="1123"/>
      <c r="D48" s="1124"/>
      <c r="E48" s="1149"/>
      <c r="F48" s="1150"/>
      <c r="G48" s="1140"/>
      <c r="H48" s="796"/>
      <c r="I48" s="797"/>
      <c r="J48" s="796"/>
      <c r="K48" s="914"/>
      <c r="L48" s="1218"/>
    </row>
    <row r="49" spans="1:12" s="714" customFormat="1" ht="21.3">
      <c r="A49" s="1147"/>
      <c r="B49" s="1148"/>
      <c r="C49" s="1123"/>
      <c r="D49" s="1124"/>
      <c r="E49" s="1149"/>
      <c r="F49" s="1150"/>
      <c r="G49" s="1140"/>
      <c r="H49" s="796"/>
      <c r="I49" s="797"/>
      <c r="J49" s="796"/>
      <c r="K49" s="914"/>
      <c r="L49" s="1218"/>
    </row>
    <row r="50" spans="1:12" s="714" customFormat="1" ht="21.3">
      <c r="A50" s="1147"/>
      <c r="B50" s="1148"/>
      <c r="C50" s="1123"/>
      <c r="D50" s="1124"/>
      <c r="E50" s="1149"/>
      <c r="F50" s="1150"/>
      <c r="G50" s="1140"/>
      <c r="H50" s="796"/>
      <c r="I50" s="797"/>
      <c r="J50" s="796"/>
      <c r="K50" s="914"/>
      <c r="L50" s="1218"/>
    </row>
    <row r="51" spans="1:12" s="714" customFormat="1" ht="21.3">
      <c r="A51" s="1147"/>
      <c r="B51" s="1148"/>
      <c r="C51" s="1123"/>
      <c r="D51" s="1124"/>
      <c r="E51" s="1149"/>
      <c r="F51" s="1150"/>
      <c r="G51" s="1140"/>
      <c r="H51" s="796"/>
      <c r="I51" s="797"/>
      <c r="J51" s="796"/>
      <c r="K51" s="914"/>
      <c r="L51" s="1218"/>
    </row>
    <row r="52" spans="1:12" s="714" customFormat="1" ht="21.3">
      <c r="A52" s="1147"/>
      <c r="B52" s="1148"/>
      <c r="C52" s="1123"/>
      <c r="D52" s="1124"/>
      <c r="E52" s="1149"/>
      <c r="F52" s="1150"/>
      <c r="G52" s="1140"/>
      <c r="H52" s="796"/>
      <c r="I52" s="797"/>
      <c r="J52" s="796"/>
      <c r="K52" s="914"/>
      <c r="L52" s="1218"/>
    </row>
    <row r="53" spans="1:12" s="714" customFormat="1" ht="21.3">
      <c r="A53" s="1159"/>
      <c r="B53" s="1160"/>
      <c r="C53" s="1161"/>
      <c r="D53" s="1190"/>
      <c r="E53" s="1183"/>
      <c r="F53" s="1162"/>
      <c r="G53" s="1205"/>
      <c r="H53" s="872"/>
      <c r="I53" s="873"/>
      <c r="J53" s="872"/>
      <c r="K53" s="938"/>
      <c r="L53" s="1220"/>
    </row>
    <row r="54" spans="1:12" s="714" customFormat="1" ht="21.3">
      <c r="A54" s="1159"/>
      <c r="B54" s="1160"/>
      <c r="C54" s="1161"/>
      <c r="D54" s="1190"/>
      <c r="E54" s="1183"/>
      <c r="F54" s="1162"/>
      <c r="G54" s="1205"/>
      <c r="H54" s="872"/>
      <c r="I54" s="873"/>
      <c r="J54" s="872"/>
      <c r="K54" s="938"/>
      <c r="L54" s="1220"/>
    </row>
    <row r="55" spans="1:12" s="714" customFormat="1" ht="21.3">
      <c r="A55" s="1159"/>
      <c r="B55" s="1160"/>
      <c r="C55" s="1161"/>
      <c r="D55" s="1190"/>
      <c r="E55" s="1183"/>
      <c r="F55" s="1162"/>
      <c r="G55" s="1205"/>
      <c r="H55" s="872"/>
      <c r="I55" s="873"/>
      <c r="J55" s="872"/>
      <c r="K55" s="938"/>
      <c r="L55" s="1220"/>
    </row>
    <row r="56" spans="1:12" s="714" customFormat="1" ht="21.3">
      <c r="A56" s="1159"/>
      <c r="B56" s="1160"/>
      <c r="C56" s="1161"/>
      <c r="D56" s="1190"/>
      <c r="E56" s="1183"/>
      <c r="F56" s="1162"/>
      <c r="G56" s="1205"/>
      <c r="H56" s="872"/>
      <c r="I56" s="873"/>
      <c r="J56" s="872"/>
      <c r="K56" s="938"/>
      <c r="L56" s="1220"/>
    </row>
    <row r="57" spans="1:12" s="714" customFormat="1" ht="21.3">
      <c r="A57" s="1159"/>
      <c r="B57" s="1160"/>
      <c r="C57" s="1161"/>
      <c r="D57" s="1190"/>
      <c r="E57" s="1183"/>
      <c r="F57" s="1162"/>
      <c r="G57" s="1205"/>
      <c r="H57" s="872"/>
      <c r="I57" s="873"/>
      <c r="J57" s="872"/>
      <c r="K57" s="938"/>
      <c r="L57" s="1220"/>
    </row>
    <row r="58" spans="1:12" s="714" customFormat="1" ht="21.3">
      <c r="A58" s="1159"/>
      <c r="B58" s="1160"/>
      <c r="C58" s="1161"/>
      <c r="D58" s="1190"/>
      <c r="E58" s="1183"/>
      <c r="F58" s="1162"/>
      <c r="G58" s="1205"/>
      <c r="H58" s="872"/>
      <c r="I58" s="873"/>
      <c r="J58" s="872"/>
      <c r="K58" s="938"/>
      <c r="L58" s="1220"/>
    </row>
    <row r="59" spans="1:12" s="714" customFormat="1" ht="21.3">
      <c r="A59" s="898"/>
      <c r="B59" s="1191"/>
      <c r="C59" s="890"/>
      <c r="D59" s="890"/>
      <c r="E59" s="1224"/>
      <c r="F59" s="928"/>
      <c r="G59" s="1192"/>
      <c r="H59" s="1193"/>
      <c r="I59" s="1185"/>
      <c r="J59" s="1193"/>
      <c r="K59" s="1194"/>
      <c r="L59" s="1225"/>
    </row>
    <row r="60" spans="1:12" s="714" customFormat="1" ht="21.3">
      <c r="A60" s="1166"/>
      <c r="B60" s="2475" t="str">
        <f>"รวมราคารายการที่ "&amp;A35</f>
        <v>รวมราคารายการที่ 5.1</v>
      </c>
      <c r="C60" s="2476"/>
      <c r="D60" s="2477"/>
      <c r="E60" s="1167"/>
      <c r="F60" s="1167"/>
      <c r="G60" s="1168"/>
      <c r="H60" s="1169">
        <f>SUM(H36:H59)</f>
        <v>186670</v>
      </c>
      <c r="I60" s="1170"/>
      <c r="J60" s="1169">
        <f>SUM(J36:J59)</f>
        <v>69656</v>
      </c>
      <c r="K60" s="1171">
        <f>SUM(K36:K59)</f>
        <v>256326</v>
      </c>
      <c r="L60" s="1226"/>
    </row>
  </sheetData>
  <mergeCells count="10">
    <mergeCell ref="B34:D34"/>
    <mergeCell ref="B60:D60"/>
    <mergeCell ref="L7:L8"/>
    <mergeCell ref="A9:A10"/>
    <mergeCell ref="B9:D10"/>
    <mergeCell ref="E9:E10"/>
    <mergeCell ref="F9:F10"/>
    <mergeCell ref="G9:H9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&amp;Rงานระบบสุขาภิบาล ชั้น ดาดฟ้า-อาคารสนับนุน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A1DFB-06B4-449D-AB57-A3587E3F717F}">
  <sheetPr>
    <tabColor rgb="FFFF3399"/>
  </sheetPr>
  <dimension ref="A1:U34"/>
  <sheetViews>
    <sheetView showGridLines="0" tabSelected="1" view="pageBreakPreview" topLeftCell="A19" zoomScale="70" zoomScaleNormal="6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15.703125" style="1" customWidth="1"/>
    <col min="13" max="99" width="7.703125" style="1" customWidth="1"/>
    <col min="100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1780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86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>
        <v>6</v>
      </c>
      <c r="B11" s="1144" t="s">
        <v>31</v>
      </c>
      <c r="C11" s="1144"/>
      <c r="D11" s="1144"/>
      <c r="E11" s="1145"/>
      <c r="F11" s="1146"/>
      <c r="G11" s="1236"/>
      <c r="H11" s="697"/>
      <c r="I11" s="698"/>
      <c r="J11" s="697"/>
      <c r="K11" s="699"/>
      <c r="L11" s="953"/>
    </row>
    <row r="12" spans="1:12" ht="24" customHeight="1">
      <c r="A12" s="1147"/>
      <c r="B12" s="1148"/>
      <c r="C12" s="1123"/>
      <c r="D12" s="1124"/>
      <c r="E12" s="1149"/>
      <c r="F12" s="1150"/>
      <c r="G12" s="1237"/>
      <c r="H12" s="711"/>
      <c r="I12" s="712"/>
      <c r="J12" s="711"/>
      <c r="K12" s="1129"/>
      <c r="L12" s="1024"/>
    </row>
    <row r="13" spans="1:12" ht="24" customHeight="1">
      <c r="A13" s="1147"/>
      <c r="B13" s="1151"/>
      <c r="C13" s="1123"/>
      <c r="D13" s="1124"/>
      <c r="E13" s="1149"/>
      <c r="F13" s="1150"/>
      <c r="G13" s="1237"/>
      <c r="H13" s="711"/>
      <c r="I13" s="712"/>
      <c r="J13" s="711"/>
      <c r="K13" s="1129"/>
      <c r="L13" s="1024"/>
    </row>
    <row r="14" spans="1:12" s="714" customFormat="1" ht="24" customHeight="1">
      <c r="A14" s="1147">
        <v>1</v>
      </c>
      <c r="B14" s="1148" t="str">
        <f>'06.FP ศูนย์ประชุม(Main)'!B11</f>
        <v>งานระบบดับเพลิงและป้องกันอัคคีภัย (Main Equipment)</v>
      </c>
      <c r="C14" s="1123"/>
      <c r="D14" s="1124"/>
      <c r="E14" s="1149">
        <v>1</v>
      </c>
      <c r="F14" s="1150" t="s">
        <v>19</v>
      </c>
      <c r="G14" s="1237"/>
      <c r="H14" s="711">
        <f>'06.FP ศูนย์ประชุม(Main)'!H34</f>
        <v>2142788</v>
      </c>
      <c r="I14" s="712"/>
      <c r="J14" s="711">
        <f>'06.FP ศูนย์ประชุม(Main)'!J34</f>
        <v>670474</v>
      </c>
      <c r="K14" s="711">
        <f>'06.FP ศูนย์ประชุม(Main)'!K34</f>
        <v>2813262</v>
      </c>
      <c r="L14" s="1024"/>
    </row>
    <row r="15" spans="1:12" s="714" customFormat="1" ht="24" customHeight="1">
      <c r="A15" s="1147">
        <v>2</v>
      </c>
      <c r="B15" s="1148" t="str">
        <f>'06.FP ศูนย์ประชุม(B2)'!B11</f>
        <v>งานระบบดับเพลิงและป้องกันอัคคีภัย ชั้น B2</v>
      </c>
      <c r="C15" s="1123"/>
      <c r="D15" s="1124"/>
      <c r="E15" s="1183">
        <v>1</v>
      </c>
      <c r="F15" s="1150" t="s">
        <v>19</v>
      </c>
      <c r="G15" s="1237"/>
      <c r="H15" s="711">
        <f>'06.FP ศูนย์ประชุม(B2)'!H34</f>
        <v>2842550</v>
      </c>
      <c r="I15" s="712"/>
      <c r="J15" s="711">
        <f>'06.FP ศูนย์ประชุม(B2)'!J34</f>
        <v>1056655</v>
      </c>
      <c r="K15" s="711">
        <f>'06.FP ศูนย์ประชุม(B2)'!K34</f>
        <v>3899205</v>
      </c>
      <c r="L15" s="1024"/>
    </row>
    <row r="16" spans="1:12" s="714" customFormat="1" ht="24" customHeight="1">
      <c r="A16" s="1147">
        <v>3</v>
      </c>
      <c r="B16" s="1148" t="str">
        <f>'06.FP ศูนย์ประชุม(B1)'!B11</f>
        <v>งานระบบดับเพลิงและป้องกันอัคคีภัย ชั้น B1</v>
      </c>
      <c r="C16" s="1123"/>
      <c r="D16" s="1124"/>
      <c r="E16" s="1149">
        <v>1</v>
      </c>
      <c r="F16" s="1150" t="s">
        <v>19</v>
      </c>
      <c r="G16" s="1237"/>
      <c r="H16" s="711">
        <f>'06.FP ศูนย์ประชุม(B1)'!H34</f>
        <v>2267140</v>
      </c>
      <c r="I16" s="712"/>
      <c r="J16" s="711">
        <f>'06.FP ศูนย์ประชุม(B1)'!J34</f>
        <v>804006</v>
      </c>
      <c r="K16" s="711">
        <f>'06.FP ศูนย์ประชุม(B1)'!K34</f>
        <v>3071146</v>
      </c>
      <c r="L16" s="1024"/>
    </row>
    <row r="17" spans="1:12" s="714" customFormat="1" ht="24" customHeight="1">
      <c r="A17" s="1147">
        <v>4</v>
      </c>
      <c r="B17" s="1148" t="str">
        <f>'06.FP ศูนย์ประชุม (FL1)'!B11</f>
        <v>งานระบบดับเพลิงและป้องกันอัคคีภัย ชั้น 1</v>
      </c>
      <c r="C17" s="1123"/>
      <c r="D17" s="1124"/>
      <c r="E17" s="1183">
        <v>1</v>
      </c>
      <c r="F17" s="1150" t="s">
        <v>19</v>
      </c>
      <c r="G17" s="1237"/>
      <c r="H17" s="711">
        <f>'06.FP ศูนย์ประชุม (FL1)'!H34</f>
        <v>2924217</v>
      </c>
      <c r="I17" s="712"/>
      <c r="J17" s="711">
        <f>'06.FP ศูนย์ประชุม (FL1)'!J34</f>
        <v>465440</v>
      </c>
      <c r="K17" s="711">
        <f>'06.FP ศูนย์ประชุม (FL1)'!K34</f>
        <v>3389657</v>
      </c>
      <c r="L17" s="1024"/>
    </row>
    <row r="18" spans="1:12" s="714" customFormat="1" ht="24" customHeight="1">
      <c r="A18" s="1147">
        <v>5</v>
      </c>
      <c r="B18" s="1148" t="str">
        <f>'06.FP ศูนย์ประชุม (FL2)'!B11</f>
        <v>งานระบบดับเพลิงและป้องกันอัคคีภัย ชั้น 2</v>
      </c>
      <c r="C18" s="1123"/>
      <c r="D18" s="1124"/>
      <c r="E18" s="1149">
        <v>1</v>
      </c>
      <c r="F18" s="1150" t="s">
        <v>19</v>
      </c>
      <c r="G18" s="1237"/>
      <c r="H18" s="711">
        <f>'06.FP ศูนย์ประชุม (FL2)'!H34</f>
        <v>1278159</v>
      </c>
      <c r="I18" s="712"/>
      <c r="J18" s="711">
        <f>'06.FP ศูนย์ประชุม (FL2)'!J34</f>
        <v>403078</v>
      </c>
      <c r="K18" s="711">
        <f>'06.FP ศูนย์ประชุม (FL2)'!K34</f>
        <v>1681237</v>
      </c>
      <c r="L18" s="1024"/>
    </row>
    <row r="19" spans="1:12" s="714" customFormat="1" ht="24" customHeight="1">
      <c r="A19" s="1147">
        <v>6</v>
      </c>
      <c r="B19" s="1148" t="str">
        <f>'06.FP ศูนย์ประชุม (FL3)'!B11</f>
        <v>งานระบบดับเพลิงและป้องกันอัคคีภัย ชั้น 3</v>
      </c>
      <c r="C19" s="1123"/>
      <c r="D19" s="1124"/>
      <c r="E19" s="1183">
        <v>1</v>
      </c>
      <c r="F19" s="1150" t="s">
        <v>19</v>
      </c>
      <c r="G19" s="1237"/>
      <c r="H19" s="711">
        <f>'06.FP ศูนย์ประชุม (FL3)'!H34</f>
        <v>1448497</v>
      </c>
      <c r="I19" s="712"/>
      <c r="J19" s="711">
        <f>'06.FP ศูนย์ประชุม (FL3)'!J34</f>
        <v>478270</v>
      </c>
      <c r="K19" s="711">
        <f>'06.FP ศูนย์ประชุม (FL3)'!K34</f>
        <v>1926767</v>
      </c>
      <c r="L19" s="1024"/>
    </row>
    <row r="20" spans="1:12" s="714" customFormat="1" ht="24" customHeight="1">
      <c r="A20" s="1147">
        <v>7</v>
      </c>
      <c r="B20" s="1148" t="str">
        <f>'06.FP ศูนย์ประชุม (FL4)'!B11</f>
        <v>งานระบบดับเพลิงและป้องกันอัคคีภัย ชั้น 4</v>
      </c>
      <c r="C20" s="1123"/>
      <c r="D20" s="1124"/>
      <c r="E20" s="1149">
        <v>1</v>
      </c>
      <c r="F20" s="1150" t="s">
        <v>19</v>
      </c>
      <c r="G20" s="1237"/>
      <c r="H20" s="711">
        <f>'06.FP ศูนย์ประชุม (FL4)'!H34</f>
        <v>1445511</v>
      </c>
      <c r="I20" s="712"/>
      <c r="J20" s="711">
        <f>'06.FP ศูนย์ประชุม (FL4)'!J34</f>
        <v>477037</v>
      </c>
      <c r="K20" s="711">
        <f>'06.FP ศูนย์ประชุม (FL4)'!K34</f>
        <v>1922548</v>
      </c>
      <c r="L20" s="1024"/>
    </row>
    <row r="21" spans="1:12" s="714" customFormat="1" ht="24" customHeight="1">
      <c r="A21" s="1147">
        <v>8</v>
      </c>
      <c r="B21" s="1148" t="str">
        <f>'06.FP ศูนย์ประชุม (FL5)'!B11</f>
        <v>งานระบบดับเพลิงและป้องกันอัคคีภัย ชั้น 5</v>
      </c>
      <c r="C21" s="1123"/>
      <c r="D21" s="1124"/>
      <c r="E21" s="1183">
        <v>1</v>
      </c>
      <c r="F21" s="1150" t="s">
        <v>19</v>
      </c>
      <c r="G21" s="1237"/>
      <c r="H21" s="711">
        <f>'06.FP ศูนย์ประชุม (FL5)'!H34</f>
        <v>1476991</v>
      </c>
      <c r="I21" s="712"/>
      <c r="J21" s="711">
        <f>'06.FP ศูนย์ประชุม (FL5)'!J34</f>
        <v>506413</v>
      </c>
      <c r="K21" s="711">
        <f>'06.FP ศูนย์ประชุม (FL5)'!K34</f>
        <v>1983404</v>
      </c>
      <c r="L21" s="1024"/>
    </row>
    <row r="22" spans="1:12" s="714" customFormat="1" ht="24" customHeight="1">
      <c r="A22" s="1147">
        <v>9</v>
      </c>
      <c r="B22" s="1148" t="str">
        <f>'06.FP ศูนย์ประชุม (FL6)'!B11</f>
        <v>งานระบบดับเพลิงและป้องกันอัคคีภัย ชั้น 6</v>
      </c>
      <c r="C22" s="1123"/>
      <c r="D22" s="1124"/>
      <c r="E22" s="1149">
        <v>1</v>
      </c>
      <c r="F22" s="1150" t="s">
        <v>19</v>
      </c>
      <c r="G22" s="1237"/>
      <c r="H22" s="711">
        <f>'06.FP ศูนย์ประชุม (FL6)'!H34</f>
        <v>1555137</v>
      </c>
      <c r="I22" s="712"/>
      <c r="J22" s="711">
        <f>'06.FP ศูนย์ประชุม (FL6)'!J34</f>
        <v>492579</v>
      </c>
      <c r="K22" s="711">
        <f>'06.FP ศูนย์ประชุม (FL6)'!K34</f>
        <v>2047716</v>
      </c>
      <c r="L22" s="1024"/>
    </row>
    <row r="23" spans="1:12" s="714" customFormat="1" ht="24" customHeight="1">
      <c r="A23" s="1147">
        <v>10</v>
      </c>
      <c r="B23" s="1148" t="str">
        <f>'06.FP ศูนย์ประชุม (FL7)'!B11</f>
        <v>งานระบบดับเพลิงและป้องกันอัคคีภัย ชั้น 7</v>
      </c>
      <c r="C23" s="1123"/>
      <c r="D23" s="1124"/>
      <c r="E23" s="1183">
        <v>1</v>
      </c>
      <c r="F23" s="1150" t="s">
        <v>19</v>
      </c>
      <c r="G23" s="1237"/>
      <c r="H23" s="711">
        <f>'06.FP ศูนย์ประชุม (FL7)'!H34</f>
        <v>847785</v>
      </c>
      <c r="I23" s="712"/>
      <c r="J23" s="711">
        <f>'06.FP ศูนย์ประชุม (FL7)'!J34</f>
        <v>198134</v>
      </c>
      <c r="K23" s="711">
        <f>'06.FP ศูนย์ประชุม (FL7)'!K34</f>
        <v>1045919</v>
      </c>
      <c r="L23" s="1024"/>
    </row>
    <row r="24" spans="1:12" s="714" customFormat="1" ht="24" customHeight="1">
      <c r="A24" s="1147">
        <v>11</v>
      </c>
      <c r="B24" s="1148" t="str">
        <f>'06.FP ศูนย์ประชุม (FL8)'!B11</f>
        <v>งานระบบดับเพลิงและป้องกันอัคคีภัย ชั้น 8</v>
      </c>
      <c r="C24" s="1123"/>
      <c r="D24" s="1124"/>
      <c r="E24" s="1149">
        <v>1</v>
      </c>
      <c r="F24" s="1150" t="s">
        <v>19</v>
      </c>
      <c r="G24" s="1237"/>
      <c r="H24" s="711">
        <f>'06.FP ศูนย์ประชุม (FL8)'!H34</f>
        <v>1248592</v>
      </c>
      <c r="I24" s="712"/>
      <c r="J24" s="711">
        <f>'06.FP ศูนย์ประชุม (FL8)'!J34</f>
        <v>380692</v>
      </c>
      <c r="K24" s="711">
        <f>'06.FP ศูนย์ประชุม (FL8)'!K34</f>
        <v>1629284</v>
      </c>
      <c r="L24" s="1024"/>
    </row>
    <row r="25" spans="1:12" s="714" customFormat="1" ht="24" customHeight="1">
      <c r="A25" s="1147">
        <v>13</v>
      </c>
      <c r="B25" s="1148" t="str">
        <f>'06.FP ศูนย์ประชุม (FLR)'!B11</f>
        <v>งานระบบดับเพลิงและป้องกันอัคคีภัย ชั้น ดาดฟ้า</v>
      </c>
      <c r="C25" s="1123"/>
      <c r="D25" s="1124"/>
      <c r="E25" s="1149">
        <v>1</v>
      </c>
      <c r="F25" s="1150" t="s">
        <v>19</v>
      </c>
      <c r="G25" s="1237"/>
      <c r="H25" s="711">
        <f>'06.FP ศูนย์ประชุม (FLR)'!H34</f>
        <v>139867</v>
      </c>
      <c r="I25" s="712"/>
      <c r="J25" s="711">
        <f>'06.FP ศูนย์ประชุม (FLR)'!J34</f>
        <v>26835</v>
      </c>
      <c r="K25" s="711">
        <f>'06.FP ศูนย์ประชุม (FLR)'!K34</f>
        <v>166702</v>
      </c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1237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1237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1237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1237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1237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1237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1237"/>
      <c r="H32" s="711"/>
      <c r="I32" s="712"/>
      <c r="J32" s="711"/>
      <c r="K32" s="1129"/>
      <c r="L32" s="1024"/>
    </row>
    <row r="33" spans="1:21" s="714" customFormat="1" ht="24" customHeight="1">
      <c r="A33" s="1147"/>
      <c r="B33" s="1148"/>
      <c r="C33" s="1123"/>
      <c r="D33" s="1124"/>
      <c r="E33" s="1149"/>
      <c r="F33" s="1150"/>
      <c r="G33" s="1237"/>
      <c r="H33" s="711"/>
      <c r="I33" s="712"/>
      <c r="J33" s="711"/>
      <c r="K33" s="1129"/>
      <c r="L33" s="1024"/>
    </row>
    <row r="34" spans="1:21" s="714" customFormat="1" ht="30" customHeight="1">
      <c r="A34" s="724"/>
      <c r="B34" s="2468" t="str">
        <f>"รวมราคา"&amp;B11</f>
        <v>รวมราคางานระบบดับเพลิงและป้องกันอัคคีภัย</v>
      </c>
      <c r="C34" s="2468"/>
      <c r="D34" s="2468"/>
      <c r="E34" s="1152"/>
      <c r="F34" s="1152"/>
      <c r="G34" s="1153"/>
      <c r="H34" s="728">
        <f>SUM(H14:H33)</f>
        <v>19617234</v>
      </c>
      <c r="I34" s="728"/>
      <c r="J34" s="728">
        <f>SUM(J14:J33)</f>
        <v>5959613</v>
      </c>
      <c r="K34" s="728">
        <f>SUM(K14:K33)</f>
        <v>25576847</v>
      </c>
      <c r="L34" s="728"/>
      <c r="M34" s="729"/>
      <c r="N34" s="729"/>
      <c r="O34" s="729"/>
      <c r="P34" s="729"/>
      <c r="Q34" s="729"/>
      <c r="R34" s="729"/>
      <c r="S34" s="729"/>
      <c r="T34" s="729"/>
      <c r="U34" s="729"/>
    </row>
  </sheetData>
  <mergeCells count="9">
    <mergeCell ref="B34:D34"/>
    <mergeCell ref="L7:L8"/>
    <mergeCell ref="A9:A10"/>
    <mergeCell ref="B9:D10"/>
    <mergeCell ref="E9:E10"/>
    <mergeCell ref="F9:F10"/>
    <mergeCell ref="G9:H9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&amp;Rหน้าสรุปงานดับเพลิงและป้องกันอัคคีภัย-อาคารสนับนุน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591C9-D50A-4E6E-9015-91B43E6A145E}">
  <sheetPr>
    <tabColor rgb="FFFF3399"/>
  </sheetPr>
  <dimension ref="A1:O131"/>
  <sheetViews>
    <sheetView showGridLines="0" tabSelected="1" view="pageBreakPreview" topLeftCell="A94" zoomScale="70" zoomScaleNormal="6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215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29296875" style="1" customWidth="1"/>
    <col min="13" max="66" width="7.703125" style="1" customWidth="1"/>
    <col min="67" max="16384" width="9" style="1"/>
  </cols>
  <sheetData>
    <row r="1" spans="1:12" ht="35.1" customHeight="1">
      <c r="A1" s="30"/>
      <c r="B1" s="30"/>
      <c r="C1" s="31"/>
      <c r="D1" s="31"/>
      <c r="E1" s="68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1780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>
        <v>6</v>
      </c>
      <c r="B11" s="1144" t="s">
        <v>1781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>
        <f>A36</f>
        <v>6.1</v>
      </c>
      <c r="B12" s="1148" t="str">
        <f>B36</f>
        <v>งานท่อน้ำ (Piping Work)</v>
      </c>
      <c r="C12" s="1123"/>
      <c r="D12" s="1124"/>
      <c r="E12" s="1149">
        <v>1</v>
      </c>
      <c r="F12" s="1150" t="s">
        <v>19</v>
      </c>
      <c r="G12" s="710"/>
      <c r="H12" s="711">
        <f>H59</f>
        <v>1263916</v>
      </c>
      <c r="I12" s="712"/>
      <c r="J12" s="711">
        <f>J59</f>
        <v>525836</v>
      </c>
      <c r="K12" s="1129">
        <f t="shared" ref="K12:K14" si="0">SUM(H12:J12)</f>
        <v>1789752</v>
      </c>
      <c r="L12" s="1024"/>
    </row>
    <row r="13" spans="1:12" s="714" customFormat="1" ht="24" customHeight="1">
      <c r="A13" s="1147">
        <f>A60</f>
        <v>6.2</v>
      </c>
      <c r="B13" s="1148" t="str">
        <f>B60</f>
        <v>วาล์วและอุปกรณ์ (Valve &amp; Pipe Accessories)</v>
      </c>
      <c r="C13" s="1123"/>
      <c r="D13" s="1124"/>
      <c r="E13" s="1149">
        <v>1</v>
      </c>
      <c r="F13" s="1150" t="s">
        <v>19</v>
      </c>
      <c r="G13" s="710"/>
      <c r="H13" s="711">
        <f>H91</f>
        <v>558872</v>
      </c>
      <c r="I13" s="712"/>
      <c r="J13" s="711">
        <f>J91</f>
        <v>48638</v>
      </c>
      <c r="K13" s="1129">
        <f t="shared" si="0"/>
        <v>607510</v>
      </c>
      <c r="L13" s="1024"/>
    </row>
    <row r="14" spans="1:12" s="714" customFormat="1" ht="24" customHeight="1">
      <c r="A14" s="1147">
        <f>A92</f>
        <v>6.3</v>
      </c>
      <c r="B14" s="1148" t="str">
        <f>B92</f>
        <v>ระบบป้องกันไฟและควันลาม (Fire Barrier System)</v>
      </c>
      <c r="C14" s="1123"/>
      <c r="D14" s="1124"/>
      <c r="E14" s="1149">
        <v>1</v>
      </c>
      <c r="F14" s="1150" t="s">
        <v>19</v>
      </c>
      <c r="G14" s="710"/>
      <c r="H14" s="711">
        <f>H109</f>
        <v>320000</v>
      </c>
      <c r="I14" s="712"/>
      <c r="J14" s="711">
        <f>J109</f>
        <v>96000</v>
      </c>
      <c r="K14" s="1129">
        <f t="shared" si="0"/>
        <v>416000</v>
      </c>
      <c r="L14" s="1024"/>
    </row>
    <row r="15" spans="1:12" s="714" customFormat="1" ht="24" customHeight="1">
      <c r="A15" s="1147"/>
      <c r="B15" s="1148"/>
      <c r="C15" s="1123"/>
      <c r="D15" s="1124"/>
      <c r="E15" s="1149"/>
      <c r="F15" s="1150"/>
      <c r="G15" s="710"/>
      <c r="H15" s="711"/>
      <c r="I15" s="712"/>
      <c r="J15" s="711"/>
      <c r="K15" s="1129"/>
      <c r="L15" s="1024"/>
    </row>
    <row r="16" spans="1:12" s="714" customFormat="1" ht="24" customHeight="1">
      <c r="A16" s="1147"/>
      <c r="B16" s="1148"/>
      <c r="C16" s="1123"/>
      <c r="D16" s="1124"/>
      <c r="E16" s="1149"/>
      <c r="F16" s="1150"/>
      <c r="G16" s="710"/>
      <c r="H16" s="711"/>
      <c r="I16" s="712"/>
      <c r="J16" s="711"/>
      <c r="K16" s="1129"/>
      <c r="L16" s="1024"/>
    </row>
    <row r="17" spans="1:12" s="714" customFormat="1" ht="24" customHeight="1">
      <c r="A17" s="1147"/>
      <c r="B17" s="1148"/>
      <c r="C17" s="1123"/>
      <c r="D17" s="1124"/>
      <c r="E17" s="1149"/>
      <c r="F17" s="1150"/>
      <c r="G17" s="710"/>
      <c r="H17" s="711"/>
      <c r="I17" s="712"/>
      <c r="J17" s="711"/>
      <c r="K17" s="1129"/>
      <c r="L17" s="1024"/>
    </row>
    <row r="18" spans="1:12" s="714" customFormat="1" ht="24" customHeight="1">
      <c r="A18" s="1147"/>
      <c r="B18" s="1148"/>
      <c r="C18" s="1123"/>
      <c r="D18" s="1124"/>
      <c r="E18" s="1149"/>
      <c r="F18" s="1150"/>
      <c r="G18" s="710"/>
      <c r="H18" s="711"/>
      <c r="I18" s="712"/>
      <c r="J18" s="711"/>
      <c r="K18" s="1129"/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2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2" s="714" customFormat="1" ht="30" customHeight="1">
      <c r="A34" s="1166"/>
      <c r="B34" s="2475" t="str">
        <f>"รวมราคา"&amp;B11</f>
        <v>รวมราคางานระบบดับเพลิงและป้องกันอัคคีภัย (Main Equipment)</v>
      </c>
      <c r="C34" s="2476"/>
      <c r="D34" s="2477"/>
      <c r="E34" s="2264"/>
      <c r="F34" s="1167"/>
      <c r="G34" s="1168"/>
      <c r="H34" s="1169">
        <f>SUM(H12:H15)</f>
        <v>2142788</v>
      </c>
      <c r="I34" s="1170"/>
      <c r="J34" s="1169">
        <f>SUM(J12:J15)</f>
        <v>670474</v>
      </c>
      <c r="K34" s="1171">
        <f>SUM(K12:K15)</f>
        <v>2813262</v>
      </c>
      <c r="L34" s="1171"/>
    </row>
    <row r="35" spans="1:12" s="714" customFormat="1" ht="24" customHeight="1">
      <c r="A35" s="1011"/>
      <c r="B35" s="1173" t="s">
        <v>31</v>
      </c>
      <c r="C35" s="859"/>
      <c r="D35" s="859"/>
      <c r="E35" s="1216"/>
      <c r="F35" s="852"/>
      <c r="G35" s="874"/>
      <c r="H35" s="854"/>
      <c r="I35" s="855"/>
      <c r="J35" s="854"/>
      <c r="K35" s="912"/>
      <c r="L35" s="912"/>
    </row>
    <row r="36" spans="1:12" s="714" customFormat="1" ht="24" customHeight="1">
      <c r="A36" s="1207">
        <v>6.1</v>
      </c>
      <c r="B36" s="1208" t="s">
        <v>1782</v>
      </c>
      <c r="C36" s="1238"/>
      <c r="D36" s="1210"/>
      <c r="E36" s="1239"/>
      <c r="F36" s="1212"/>
      <c r="G36" s="874"/>
      <c r="H36" s="854"/>
      <c r="I36" s="855"/>
      <c r="J36" s="854"/>
      <c r="K36" s="912"/>
      <c r="L36" s="912"/>
    </row>
    <row r="37" spans="1:12" s="714" customFormat="1" ht="24" customHeight="1">
      <c r="A37" s="1147" t="s">
        <v>1783</v>
      </c>
      <c r="B37" s="1148" t="s">
        <v>1784</v>
      </c>
      <c r="C37" s="1123"/>
      <c r="D37" s="1124"/>
      <c r="E37" s="1240"/>
      <c r="F37" s="1150"/>
      <c r="G37" s="1140"/>
      <c r="H37" s="854"/>
      <c r="I37" s="855"/>
      <c r="J37" s="854"/>
      <c r="K37" s="912"/>
      <c r="L37" s="912"/>
    </row>
    <row r="38" spans="1:12" s="714" customFormat="1" ht="24" customHeight="1">
      <c r="A38" s="1147"/>
      <c r="B38" s="1148" t="s">
        <v>1785</v>
      </c>
      <c r="C38" s="1123"/>
      <c r="D38" s="1124"/>
      <c r="E38" s="1241"/>
      <c r="F38" s="1150"/>
      <c r="G38" s="874"/>
      <c r="H38" s="854"/>
      <c r="I38" s="855"/>
      <c r="J38" s="854"/>
      <c r="K38" s="912"/>
      <c r="L38" s="912"/>
    </row>
    <row r="39" spans="1:12" s="714" customFormat="1" ht="24" customHeight="1">
      <c r="A39" s="1147"/>
      <c r="B39" s="1148" t="s">
        <v>1786</v>
      </c>
      <c r="C39" s="1123"/>
      <c r="D39" s="1124"/>
      <c r="E39" s="1242"/>
      <c r="F39" s="1150"/>
      <c r="G39" s="874"/>
      <c r="H39" s="854"/>
      <c r="I39" s="855"/>
      <c r="J39" s="854"/>
      <c r="K39" s="912"/>
      <c r="L39" s="912"/>
    </row>
    <row r="40" spans="1:12" s="714" customFormat="1" ht="24" customHeight="1">
      <c r="A40" s="1147"/>
      <c r="B40" s="1148" t="s">
        <v>1787</v>
      </c>
      <c r="C40" s="1123"/>
      <c r="D40" s="1124"/>
      <c r="E40" s="1243"/>
      <c r="F40" s="1150"/>
      <c r="G40" s="874"/>
      <c r="H40" s="854"/>
      <c r="I40" s="855"/>
      <c r="J40" s="854"/>
      <c r="K40" s="912"/>
      <c r="L40" s="912"/>
    </row>
    <row r="41" spans="1:12" s="714" customFormat="1" ht="24" customHeight="1">
      <c r="A41" s="1147"/>
      <c r="B41" s="1148" t="s">
        <v>1788</v>
      </c>
      <c r="C41" s="1123"/>
      <c r="D41" s="1124"/>
      <c r="E41" s="1243"/>
      <c r="F41" s="1150"/>
      <c r="G41" s="874"/>
      <c r="H41" s="854"/>
      <c r="I41" s="855"/>
      <c r="J41" s="854"/>
      <c r="K41" s="912"/>
      <c r="L41" s="912"/>
    </row>
    <row r="42" spans="1:12" s="714" customFormat="1" ht="24" customHeight="1">
      <c r="A42" s="1147"/>
      <c r="B42" s="1148" t="s">
        <v>1789</v>
      </c>
      <c r="C42" s="1123"/>
      <c r="D42" s="1124"/>
      <c r="E42" s="1243"/>
      <c r="F42" s="1150" t="s">
        <v>438</v>
      </c>
      <c r="G42" s="1244"/>
      <c r="H42" s="796"/>
      <c r="I42" s="1176"/>
      <c r="J42" s="796"/>
      <c r="K42" s="914"/>
      <c r="L42" s="912"/>
    </row>
    <row r="43" spans="1:12" s="714" customFormat="1" ht="24" customHeight="1">
      <c r="A43" s="1147"/>
      <c r="B43" s="1148" t="s">
        <v>1758</v>
      </c>
      <c r="C43" s="1123"/>
      <c r="D43" s="1124"/>
      <c r="E43" s="1243"/>
      <c r="F43" s="1150" t="s">
        <v>438</v>
      </c>
      <c r="G43" s="1244"/>
      <c r="H43" s="796"/>
      <c r="I43" s="1176"/>
      <c r="J43" s="796"/>
      <c r="K43" s="914"/>
      <c r="L43" s="912"/>
    </row>
    <row r="44" spans="1:12" s="714" customFormat="1" ht="24" customHeight="1">
      <c r="A44" s="1147"/>
      <c r="B44" s="1148" t="s">
        <v>1674</v>
      </c>
      <c r="C44" s="1123"/>
      <c r="D44" s="1124"/>
      <c r="E44" s="1245">
        <v>170</v>
      </c>
      <c r="F44" s="1150" t="s">
        <v>438</v>
      </c>
      <c r="G44" s="1244">
        <v>499</v>
      </c>
      <c r="H44" s="796">
        <f t="shared" ref="H44:H57" si="1">ROUND(E44*G44,)</f>
        <v>84830</v>
      </c>
      <c r="I44" s="1176">
        <v>280</v>
      </c>
      <c r="J44" s="796">
        <f t="shared" ref="J44:J51" si="2">ROUND(I44*E44,)</f>
        <v>47600</v>
      </c>
      <c r="K44" s="914">
        <f t="shared" ref="K44:K51" si="3">H44+J44</f>
        <v>132430</v>
      </c>
      <c r="L44" s="912"/>
    </row>
    <row r="45" spans="1:12" s="714" customFormat="1" ht="24" customHeight="1">
      <c r="A45" s="1147"/>
      <c r="B45" s="1148" t="s">
        <v>1675</v>
      </c>
      <c r="C45" s="1123"/>
      <c r="D45" s="1124"/>
      <c r="E45" s="1245">
        <v>447</v>
      </c>
      <c r="F45" s="1150" t="s">
        <v>438</v>
      </c>
      <c r="G45" s="1244">
        <v>877</v>
      </c>
      <c r="H45" s="796">
        <f t="shared" si="1"/>
        <v>392019</v>
      </c>
      <c r="I45" s="1176">
        <v>500</v>
      </c>
      <c r="J45" s="796">
        <f t="shared" si="2"/>
        <v>223500</v>
      </c>
      <c r="K45" s="914">
        <f t="shared" si="3"/>
        <v>615519</v>
      </c>
      <c r="L45" s="912"/>
    </row>
    <row r="46" spans="1:12" s="714" customFormat="1" ht="24" customHeight="1">
      <c r="A46" s="1147"/>
      <c r="B46" s="1148" t="s">
        <v>1676</v>
      </c>
      <c r="C46" s="1123"/>
      <c r="D46" s="1124"/>
      <c r="E46" s="1245">
        <v>78</v>
      </c>
      <c r="F46" s="1150" t="s">
        <v>438</v>
      </c>
      <c r="G46" s="1244">
        <v>1361</v>
      </c>
      <c r="H46" s="796">
        <f t="shared" si="1"/>
        <v>106158</v>
      </c>
      <c r="I46" s="1176">
        <v>560</v>
      </c>
      <c r="J46" s="796">
        <f t="shared" si="2"/>
        <v>43680</v>
      </c>
      <c r="K46" s="914">
        <f t="shared" si="3"/>
        <v>149838</v>
      </c>
      <c r="L46" s="912"/>
    </row>
    <row r="47" spans="1:12" s="714" customFormat="1" ht="24" customHeight="1">
      <c r="A47" s="1147"/>
      <c r="B47" s="1148" t="s">
        <v>1790</v>
      </c>
      <c r="C47" s="1123"/>
      <c r="D47" s="1124"/>
      <c r="E47" s="1245"/>
      <c r="F47" s="1150" t="s">
        <v>438</v>
      </c>
      <c r="G47" s="1244">
        <v>2212</v>
      </c>
      <c r="H47" s="796">
        <f t="shared" si="1"/>
        <v>0</v>
      </c>
      <c r="I47" s="1176">
        <v>700</v>
      </c>
      <c r="J47" s="796">
        <f t="shared" si="2"/>
        <v>0</v>
      </c>
      <c r="K47" s="914">
        <f t="shared" si="3"/>
        <v>0</v>
      </c>
      <c r="L47" s="912"/>
    </row>
    <row r="48" spans="1:12" s="714" customFormat="1" ht="24" customHeight="1">
      <c r="A48" s="1147"/>
      <c r="B48" s="1148" t="s">
        <v>1645</v>
      </c>
      <c r="C48" s="1123"/>
      <c r="D48" s="1124"/>
      <c r="E48" s="1245">
        <v>1</v>
      </c>
      <c r="F48" s="935" t="s">
        <v>948</v>
      </c>
      <c r="G48" s="1244">
        <f>ROUND(SUM(H38:H47)*40%,)</f>
        <v>233203</v>
      </c>
      <c r="H48" s="796">
        <f>ROUND(E48*G48,)</f>
        <v>233203</v>
      </c>
      <c r="I48" s="1176">
        <f>ROUND(G48*0.3,)</f>
        <v>69961</v>
      </c>
      <c r="J48" s="796">
        <f t="shared" si="2"/>
        <v>69961</v>
      </c>
      <c r="K48" s="914">
        <f t="shared" si="3"/>
        <v>303164</v>
      </c>
      <c r="L48" s="912"/>
    </row>
    <row r="49" spans="1:15" s="714" customFormat="1" ht="24" customHeight="1">
      <c r="A49" s="1147"/>
      <c r="B49" s="1148" t="s">
        <v>1646</v>
      </c>
      <c r="C49" s="1123"/>
      <c r="D49" s="1124"/>
      <c r="E49" s="1245">
        <v>1</v>
      </c>
      <c r="F49" s="935" t="s">
        <v>948</v>
      </c>
      <c r="G49" s="1244">
        <f>ROUND(SUM(H38:H47)*20%,)</f>
        <v>116601</v>
      </c>
      <c r="H49" s="796">
        <f t="shared" si="1"/>
        <v>116601</v>
      </c>
      <c r="I49" s="1176">
        <f>ROUND(G49*0.3,)</f>
        <v>34980</v>
      </c>
      <c r="J49" s="796">
        <f t="shared" si="2"/>
        <v>34980</v>
      </c>
      <c r="K49" s="914">
        <f t="shared" si="3"/>
        <v>151581</v>
      </c>
      <c r="L49" s="912"/>
    </row>
    <row r="50" spans="1:15" s="714" customFormat="1" ht="24" customHeight="1">
      <c r="A50" s="1147"/>
      <c r="B50" s="1148" t="s">
        <v>1647</v>
      </c>
      <c r="C50" s="1123"/>
      <c r="D50" s="1124"/>
      <c r="E50" s="1245">
        <v>1</v>
      </c>
      <c r="F50" s="935" t="s">
        <v>948</v>
      </c>
      <c r="G50" s="1244">
        <f>ROUND(SUM(H38:H47)*10%,)</f>
        <v>58301</v>
      </c>
      <c r="H50" s="796">
        <f t="shared" si="1"/>
        <v>58301</v>
      </c>
      <c r="I50" s="1176">
        <f>ROUND(G50*0.3,)</f>
        <v>17490</v>
      </c>
      <c r="J50" s="796">
        <f t="shared" si="2"/>
        <v>17490</v>
      </c>
      <c r="K50" s="914">
        <f t="shared" si="3"/>
        <v>75791</v>
      </c>
      <c r="L50" s="912"/>
    </row>
    <row r="51" spans="1:15" s="714" customFormat="1" ht="24" customHeight="1">
      <c r="A51" s="1159"/>
      <c r="B51" s="1148" t="s">
        <v>1791</v>
      </c>
      <c r="C51" s="1123"/>
      <c r="D51" s="1124"/>
      <c r="E51" s="1245">
        <v>1</v>
      </c>
      <c r="F51" s="935" t="s">
        <v>948</v>
      </c>
      <c r="G51" s="1244">
        <f>ROUND(SUM(H38:H47)*30%,)</f>
        <v>174902</v>
      </c>
      <c r="H51" s="796">
        <f t="shared" si="1"/>
        <v>174902</v>
      </c>
      <c r="I51" s="1176">
        <f>ROUND(G51*0.3,)</f>
        <v>52471</v>
      </c>
      <c r="J51" s="796">
        <f t="shared" si="2"/>
        <v>52471</v>
      </c>
      <c r="K51" s="914">
        <f t="shared" si="3"/>
        <v>227373</v>
      </c>
      <c r="L51" s="912"/>
    </row>
    <row r="52" spans="1:15" s="714" customFormat="1" ht="24" customHeight="1">
      <c r="A52" s="1159" t="s">
        <v>1792</v>
      </c>
      <c r="B52" s="1160" t="s">
        <v>1793</v>
      </c>
      <c r="C52" s="1161"/>
      <c r="D52" s="1162"/>
      <c r="E52" s="1245"/>
      <c r="F52" s="1163"/>
      <c r="G52" s="1205"/>
      <c r="H52" s="796"/>
      <c r="I52" s="797"/>
      <c r="J52" s="796"/>
      <c r="K52" s="914"/>
      <c r="L52" s="914"/>
    </row>
    <row r="53" spans="1:15" s="714" customFormat="1" ht="24" customHeight="1">
      <c r="A53" s="1147"/>
      <c r="B53" s="1148" t="s">
        <v>1185</v>
      </c>
      <c r="C53" s="1123"/>
      <c r="D53" s="1124"/>
      <c r="E53" s="1246"/>
      <c r="F53" s="1150" t="s">
        <v>438</v>
      </c>
      <c r="G53" s="1140">
        <v>124</v>
      </c>
      <c r="H53" s="796">
        <f>ROUND(E53*G53,)</f>
        <v>0</v>
      </c>
      <c r="I53" s="797">
        <v>50</v>
      </c>
      <c r="J53" s="796">
        <f t="shared" ref="J53:J57" si="4">ROUND(I53*E53,)</f>
        <v>0</v>
      </c>
      <c r="K53" s="914">
        <f t="shared" ref="K53:K57" si="5">H53+J53</f>
        <v>0</v>
      </c>
      <c r="L53" s="2273" t="s">
        <v>2974</v>
      </c>
      <c r="N53" s="714">
        <v>745.96</v>
      </c>
      <c r="O53" s="714">
        <f>ROUND(N53/6,)</f>
        <v>124</v>
      </c>
    </row>
    <row r="54" spans="1:15" s="714" customFormat="1" ht="24" customHeight="1">
      <c r="A54" s="1147"/>
      <c r="B54" s="1148" t="s">
        <v>1188</v>
      </c>
      <c r="C54" s="1123"/>
      <c r="D54" s="1124"/>
      <c r="E54" s="1246">
        <v>210</v>
      </c>
      <c r="F54" s="1150" t="s">
        <v>438</v>
      </c>
      <c r="G54" s="1140">
        <v>259</v>
      </c>
      <c r="H54" s="796">
        <f t="shared" si="1"/>
        <v>54390</v>
      </c>
      <c r="I54" s="855">
        <v>110</v>
      </c>
      <c r="J54" s="796">
        <f t="shared" si="4"/>
        <v>23100</v>
      </c>
      <c r="K54" s="914">
        <f t="shared" si="5"/>
        <v>77490</v>
      </c>
      <c r="L54" s="2273" t="s">
        <v>2974</v>
      </c>
      <c r="N54" s="714">
        <v>1554.48</v>
      </c>
      <c r="O54" s="714">
        <f>ROUND(N54/6,)</f>
        <v>259</v>
      </c>
    </row>
    <row r="55" spans="1:15" s="714" customFormat="1" ht="24" customHeight="1">
      <c r="A55" s="1147"/>
      <c r="B55" s="1148" t="s">
        <v>1645</v>
      </c>
      <c r="C55" s="1123"/>
      <c r="D55" s="1124"/>
      <c r="E55" s="1247">
        <v>1</v>
      </c>
      <c r="F55" s="935" t="s">
        <v>948</v>
      </c>
      <c r="G55" s="1244">
        <f>ROUND(SUM(H53:H54)*50%,)</f>
        <v>27195</v>
      </c>
      <c r="H55" s="796">
        <f t="shared" si="1"/>
        <v>27195</v>
      </c>
      <c r="I55" s="1176">
        <f>ROUND(G55*0.3,)</f>
        <v>8159</v>
      </c>
      <c r="J55" s="796">
        <f t="shared" si="4"/>
        <v>8159</v>
      </c>
      <c r="K55" s="914">
        <f t="shared" si="5"/>
        <v>35354</v>
      </c>
      <c r="L55" s="912"/>
    </row>
    <row r="56" spans="1:15" s="714" customFormat="1" ht="24" customHeight="1">
      <c r="A56" s="1147"/>
      <c r="B56" s="1148" t="s">
        <v>1646</v>
      </c>
      <c r="C56" s="1123"/>
      <c r="D56" s="1124"/>
      <c r="E56" s="1247">
        <v>1</v>
      </c>
      <c r="F56" s="935" t="s">
        <v>948</v>
      </c>
      <c r="G56" s="1244">
        <f>ROUND(SUM(H53:H54)*20%,)</f>
        <v>10878</v>
      </c>
      <c r="H56" s="796">
        <f t="shared" si="1"/>
        <v>10878</v>
      </c>
      <c r="I56" s="1176">
        <f>ROUND(G56*0.3,)</f>
        <v>3263</v>
      </c>
      <c r="J56" s="796">
        <f>ROUND(I56*E56,)</f>
        <v>3263</v>
      </c>
      <c r="K56" s="914">
        <f t="shared" si="5"/>
        <v>14141</v>
      </c>
      <c r="L56" s="912"/>
    </row>
    <row r="57" spans="1:15" s="714" customFormat="1" ht="24" customHeight="1">
      <c r="A57" s="1147"/>
      <c r="B57" s="1148" t="s">
        <v>1647</v>
      </c>
      <c r="C57" s="1123"/>
      <c r="D57" s="1124"/>
      <c r="E57" s="1247">
        <v>1</v>
      </c>
      <c r="F57" s="935" t="s">
        <v>948</v>
      </c>
      <c r="G57" s="1244">
        <f>ROUND(SUM(H53:H54)*10%,)</f>
        <v>5439</v>
      </c>
      <c r="H57" s="796">
        <f t="shared" si="1"/>
        <v>5439</v>
      </c>
      <c r="I57" s="1176">
        <f>ROUND(G57*0.3,)</f>
        <v>1632</v>
      </c>
      <c r="J57" s="796">
        <f t="shared" si="4"/>
        <v>1632</v>
      </c>
      <c r="K57" s="914">
        <f t="shared" si="5"/>
        <v>7071</v>
      </c>
      <c r="L57" s="912"/>
    </row>
    <row r="58" spans="1:15" s="714" customFormat="1" ht="24" customHeight="1">
      <c r="A58" s="1147"/>
      <c r="B58" s="1148" t="s">
        <v>957</v>
      </c>
      <c r="C58" s="1123"/>
      <c r="D58" s="1124"/>
      <c r="E58" s="1240"/>
      <c r="F58" s="1150"/>
      <c r="G58" s="1140"/>
      <c r="H58" s="854"/>
      <c r="I58" s="855"/>
      <c r="J58" s="854"/>
      <c r="K58" s="912"/>
      <c r="L58" s="912"/>
    </row>
    <row r="59" spans="1:15" s="714" customFormat="1" ht="24" customHeight="1">
      <c r="A59" s="1166"/>
      <c r="B59" s="2475" t="str">
        <f>"รวมราคารายการที่ "&amp;A36</f>
        <v>รวมราคารายการที่ 6.1</v>
      </c>
      <c r="C59" s="2476"/>
      <c r="D59" s="2477"/>
      <c r="E59" s="1248"/>
      <c r="F59" s="1167"/>
      <c r="G59" s="1168"/>
      <c r="H59" s="1169">
        <f>SUM(H37:H58)</f>
        <v>1263916</v>
      </c>
      <c r="I59" s="1170"/>
      <c r="J59" s="1169">
        <f>SUM(J37:J58)</f>
        <v>525836</v>
      </c>
      <c r="K59" s="1171">
        <f>SUM(K37:K58)</f>
        <v>1789752</v>
      </c>
      <c r="L59" s="1171"/>
    </row>
    <row r="60" spans="1:15" s="714" customFormat="1" ht="24" customHeight="1">
      <c r="A60" s="1207">
        <v>6.2</v>
      </c>
      <c r="B60" s="1208" t="s">
        <v>1794</v>
      </c>
      <c r="C60" s="1209"/>
      <c r="D60" s="1210"/>
      <c r="E60" s="1239"/>
      <c r="F60" s="1212"/>
      <c r="G60" s="874"/>
      <c r="H60" s="854"/>
      <c r="I60" s="855"/>
      <c r="J60" s="854"/>
      <c r="K60" s="912"/>
      <c r="L60" s="912"/>
    </row>
    <row r="61" spans="1:15" s="714" customFormat="1" ht="24" customHeight="1">
      <c r="A61" s="1221" t="s">
        <v>1795</v>
      </c>
      <c r="B61" s="1219" t="s">
        <v>1796</v>
      </c>
      <c r="C61" s="1209"/>
      <c r="D61" s="1210"/>
      <c r="E61" s="1239"/>
      <c r="F61" s="1212"/>
      <c r="G61" s="874"/>
      <c r="H61" s="854"/>
      <c r="I61" s="855"/>
      <c r="J61" s="854"/>
      <c r="K61" s="912"/>
      <c r="L61" s="912"/>
    </row>
    <row r="62" spans="1:15" s="714" customFormat="1" ht="24" customHeight="1">
      <c r="A62" s="1147"/>
      <c r="B62" s="1148" t="s">
        <v>1674</v>
      </c>
      <c r="C62" s="1123"/>
      <c r="D62" s="1124"/>
      <c r="E62" s="1240"/>
      <c r="F62" s="1150" t="s">
        <v>240</v>
      </c>
      <c r="G62" s="1140"/>
      <c r="H62" s="796"/>
      <c r="I62" s="855"/>
      <c r="J62" s="796"/>
      <c r="K62" s="914">
        <f t="shared" ref="K62:K63" si="6">H62+J62</f>
        <v>0</v>
      </c>
      <c r="L62" s="912"/>
    </row>
    <row r="63" spans="1:15" s="714" customFormat="1" ht="24" customHeight="1">
      <c r="A63" s="1147"/>
      <c r="B63" s="1148" t="s">
        <v>1675</v>
      </c>
      <c r="C63" s="1123"/>
      <c r="D63" s="1124"/>
      <c r="E63" s="1240">
        <v>4</v>
      </c>
      <c r="F63" s="1150" t="s">
        <v>240</v>
      </c>
      <c r="G63" s="1140">
        <v>38000</v>
      </c>
      <c r="H63" s="796">
        <f t="shared" ref="H63" si="7">ROUND(E63*G63,)</f>
        <v>152000</v>
      </c>
      <c r="I63" s="855">
        <f>G63*0.1</f>
        <v>3800</v>
      </c>
      <c r="J63" s="796">
        <f t="shared" ref="J63" si="8">ROUND(I63*E63,)</f>
        <v>15200</v>
      </c>
      <c r="K63" s="914">
        <f t="shared" si="6"/>
        <v>167200</v>
      </c>
      <c r="L63" s="912"/>
    </row>
    <row r="64" spans="1:15" s="714" customFormat="1" ht="24" customHeight="1">
      <c r="A64" s="1147" t="s">
        <v>1797</v>
      </c>
      <c r="B64" s="1148" t="s">
        <v>1798</v>
      </c>
      <c r="C64" s="1123"/>
      <c r="D64" s="1124"/>
      <c r="E64" s="1240"/>
      <c r="F64" s="1150"/>
      <c r="G64" s="1140"/>
      <c r="H64" s="854"/>
      <c r="I64" s="855"/>
      <c r="J64" s="854"/>
      <c r="K64" s="912"/>
      <c r="L64" s="912"/>
    </row>
    <row r="65" spans="1:12" s="714" customFormat="1" ht="24" customHeight="1">
      <c r="A65" s="1147"/>
      <c r="B65" s="1148" t="s">
        <v>1188</v>
      </c>
      <c r="C65" s="1123"/>
      <c r="D65" s="1124"/>
      <c r="E65" s="1240"/>
      <c r="F65" s="1150" t="s">
        <v>240</v>
      </c>
      <c r="G65" s="1140"/>
      <c r="H65" s="854"/>
      <c r="I65" s="855"/>
      <c r="J65" s="854"/>
      <c r="K65" s="912"/>
      <c r="L65" s="912"/>
    </row>
    <row r="66" spans="1:12" s="714" customFormat="1" ht="24" customHeight="1">
      <c r="A66" s="1147"/>
      <c r="B66" s="1148" t="s">
        <v>1676</v>
      </c>
      <c r="C66" s="1123"/>
      <c r="D66" s="1124"/>
      <c r="E66" s="1240"/>
      <c r="F66" s="1150" t="s">
        <v>240</v>
      </c>
      <c r="G66" s="1140"/>
      <c r="H66" s="854"/>
      <c r="I66" s="855"/>
      <c r="J66" s="854"/>
      <c r="K66" s="912"/>
      <c r="L66" s="912"/>
    </row>
    <row r="67" spans="1:12" s="714" customFormat="1" ht="24" customHeight="1">
      <c r="A67" s="1147"/>
      <c r="B67" s="1148" t="s">
        <v>1790</v>
      </c>
      <c r="C67" s="1123"/>
      <c r="D67" s="1124"/>
      <c r="E67" s="1240"/>
      <c r="F67" s="1150" t="s">
        <v>240</v>
      </c>
      <c r="G67" s="1140"/>
      <c r="H67" s="854"/>
      <c r="I67" s="855"/>
      <c r="J67" s="854"/>
      <c r="K67" s="912"/>
      <c r="L67" s="912"/>
    </row>
    <row r="68" spans="1:12" s="714" customFormat="1" ht="24" customHeight="1">
      <c r="A68" s="1147" t="s">
        <v>1799</v>
      </c>
      <c r="B68" s="1148" t="s">
        <v>1800</v>
      </c>
      <c r="C68" s="1123"/>
      <c r="D68" s="1124"/>
      <c r="E68" s="1240"/>
      <c r="F68" s="1150"/>
      <c r="G68" s="1249"/>
      <c r="H68" s="854"/>
      <c r="I68" s="855"/>
      <c r="J68" s="854"/>
      <c r="K68" s="912"/>
      <c r="L68" s="912"/>
    </row>
    <row r="69" spans="1:12" s="714" customFormat="1" ht="24" customHeight="1">
      <c r="A69" s="1147"/>
      <c r="B69" s="1148" t="s">
        <v>1184</v>
      </c>
      <c r="C69" s="1123"/>
      <c r="D69" s="1124"/>
      <c r="E69" s="1240">
        <v>9</v>
      </c>
      <c r="F69" s="1150" t="s">
        <v>240</v>
      </c>
      <c r="G69" s="1249">
        <v>2400</v>
      </c>
      <c r="H69" s="796">
        <f t="shared" ref="H69" si="9">ROUND(E69*G69,)</f>
        <v>21600</v>
      </c>
      <c r="I69" s="855">
        <v>150</v>
      </c>
      <c r="J69" s="796">
        <f t="shared" ref="J69" si="10">ROUND(I69*E69,)</f>
        <v>1350</v>
      </c>
      <c r="K69" s="914">
        <f t="shared" ref="K69" si="11">H69+J69</f>
        <v>22950</v>
      </c>
      <c r="L69" s="912"/>
    </row>
    <row r="70" spans="1:12" s="714" customFormat="1" ht="24" customHeight="1">
      <c r="A70" s="1147" t="s">
        <v>1801</v>
      </c>
      <c r="B70" s="1148" t="s">
        <v>1802</v>
      </c>
      <c r="C70" s="1123"/>
      <c r="D70" s="1124"/>
      <c r="E70" s="1240"/>
      <c r="F70" s="1150"/>
      <c r="G70" s="1249"/>
      <c r="H70" s="854"/>
      <c r="I70" s="855"/>
      <c r="J70" s="854"/>
      <c r="K70" s="912"/>
      <c r="L70" s="912"/>
    </row>
    <row r="71" spans="1:12" s="714" customFormat="1" ht="24" customHeight="1">
      <c r="A71" s="1147"/>
      <c r="B71" s="1148" t="s">
        <v>951</v>
      </c>
      <c r="C71" s="1123"/>
      <c r="D71" s="1124"/>
      <c r="E71" s="1240"/>
      <c r="F71" s="1150" t="s">
        <v>240</v>
      </c>
      <c r="G71" s="1249"/>
      <c r="H71" s="796">
        <f t="shared" ref="H71" si="12">ROUND(E71*G71,)</f>
        <v>0</v>
      </c>
      <c r="I71" s="855">
        <f>G71*0.1</f>
        <v>0</v>
      </c>
      <c r="J71" s="796">
        <f t="shared" ref="J71" si="13">ROUND(I71*E71,)</f>
        <v>0</v>
      </c>
      <c r="K71" s="914">
        <f t="shared" ref="K71" si="14">H71+J71</f>
        <v>0</v>
      </c>
      <c r="L71" s="912"/>
    </row>
    <row r="72" spans="1:12" s="714" customFormat="1" ht="24" customHeight="1">
      <c r="A72" s="1147" t="s">
        <v>1803</v>
      </c>
      <c r="B72" s="1148" t="s">
        <v>1804</v>
      </c>
      <c r="C72" s="1123"/>
      <c r="D72" s="1124"/>
      <c r="E72" s="1240"/>
      <c r="F72" s="1150"/>
      <c r="G72" s="1249"/>
      <c r="H72" s="854"/>
      <c r="I72" s="855"/>
      <c r="J72" s="854"/>
      <c r="K72" s="912"/>
      <c r="L72" s="912"/>
    </row>
    <row r="73" spans="1:12" s="714" customFormat="1" ht="24" customHeight="1">
      <c r="A73" s="1147"/>
      <c r="B73" s="1148" t="s">
        <v>1184</v>
      </c>
      <c r="C73" s="1123"/>
      <c r="D73" s="1124"/>
      <c r="E73" s="1240">
        <v>9</v>
      </c>
      <c r="F73" s="1150" t="s">
        <v>240</v>
      </c>
      <c r="G73" s="1249">
        <v>440</v>
      </c>
      <c r="H73" s="796">
        <f t="shared" ref="H73" si="15">ROUND(E73*G73,)</f>
        <v>3960</v>
      </c>
      <c r="I73" s="855">
        <v>200</v>
      </c>
      <c r="J73" s="796">
        <f t="shared" ref="J73" si="16">ROUND(I73*E73,)</f>
        <v>1800</v>
      </c>
      <c r="K73" s="914">
        <f t="shared" ref="K73" si="17">H73+J73</f>
        <v>5760</v>
      </c>
      <c r="L73" s="912"/>
    </row>
    <row r="74" spans="1:12" s="714" customFormat="1" ht="24" customHeight="1">
      <c r="A74" s="1147" t="s">
        <v>1805</v>
      </c>
      <c r="B74" s="1148" t="s">
        <v>1806</v>
      </c>
      <c r="C74" s="1123"/>
      <c r="D74" s="1124"/>
      <c r="E74" s="1240"/>
      <c r="F74" s="1150"/>
      <c r="G74" s="1249"/>
      <c r="H74" s="854"/>
      <c r="I74" s="855"/>
      <c r="J74" s="854"/>
      <c r="K74" s="912"/>
      <c r="L74" s="912"/>
    </row>
    <row r="75" spans="1:12" s="714" customFormat="1" ht="24" customHeight="1">
      <c r="A75" s="1147"/>
      <c r="B75" s="1148" t="s">
        <v>1201</v>
      </c>
      <c r="C75" s="1123"/>
      <c r="D75" s="1124"/>
      <c r="E75" s="1240">
        <v>4</v>
      </c>
      <c r="F75" s="1150" t="s">
        <v>240</v>
      </c>
      <c r="G75" s="1249">
        <v>18060</v>
      </c>
      <c r="H75" s="796">
        <f t="shared" ref="H75" si="18">ROUND(E75*G75,)</f>
        <v>72240</v>
      </c>
      <c r="I75" s="855">
        <v>100</v>
      </c>
      <c r="J75" s="796">
        <f t="shared" ref="J75" si="19">ROUND(I75*E75,)</f>
        <v>400</v>
      </c>
      <c r="K75" s="914">
        <f t="shared" ref="K75" si="20">H75+J75</f>
        <v>72640</v>
      </c>
      <c r="L75" s="912"/>
    </row>
    <row r="76" spans="1:12" s="714" customFormat="1" ht="24" customHeight="1">
      <c r="A76" s="1147" t="s">
        <v>1807</v>
      </c>
      <c r="B76" s="1148" t="s">
        <v>1808</v>
      </c>
      <c r="C76" s="1123"/>
      <c r="D76" s="1124"/>
      <c r="E76" s="1240"/>
      <c r="F76" s="1150"/>
      <c r="G76" s="1249"/>
      <c r="H76" s="854"/>
      <c r="I76" s="855"/>
      <c r="J76" s="854"/>
      <c r="K76" s="912"/>
      <c r="L76" s="912"/>
    </row>
    <row r="77" spans="1:12" s="714" customFormat="1" ht="24" customHeight="1">
      <c r="A77" s="1147"/>
      <c r="B77" s="1148" t="s">
        <v>951</v>
      </c>
      <c r="C77" s="1123"/>
      <c r="D77" s="1124"/>
      <c r="E77" s="1240">
        <v>2</v>
      </c>
      <c r="F77" s="1150" t="s">
        <v>240</v>
      </c>
      <c r="G77" s="1249">
        <v>6500</v>
      </c>
      <c r="H77" s="796">
        <f t="shared" ref="H77:H78" si="21">ROUND(E77*G77,)</f>
        <v>13000</v>
      </c>
      <c r="I77" s="855">
        <v>800</v>
      </c>
      <c r="J77" s="796">
        <f t="shared" ref="J77:J78" si="22">ROUND(I77*E77,)</f>
        <v>1600</v>
      </c>
      <c r="K77" s="914">
        <f t="shared" ref="K77:K78" si="23">H77+J77</f>
        <v>14600</v>
      </c>
      <c r="L77" s="912"/>
    </row>
    <row r="78" spans="1:12" s="714" customFormat="1" ht="24" customHeight="1">
      <c r="A78" s="1147"/>
      <c r="B78" s="1148" t="s">
        <v>1809</v>
      </c>
      <c r="C78" s="1123"/>
      <c r="D78" s="1124"/>
      <c r="E78" s="1240">
        <v>13</v>
      </c>
      <c r="F78" s="1150" t="s">
        <v>240</v>
      </c>
      <c r="G78" s="1140">
        <v>13100</v>
      </c>
      <c r="H78" s="796">
        <f t="shared" si="21"/>
        <v>170300</v>
      </c>
      <c r="I78" s="855">
        <v>1200</v>
      </c>
      <c r="J78" s="796">
        <f t="shared" si="22"/>
        <v>15600</v>
      </c>
      <c r="K78" s="914">
        <f t="shared" si="23"/>
        <v>185900</v>
      </c>
      <c r="L78" s="912"/>
    </row>
    <row r="79" spans="1:12" s="714" customFormat="1" ht="24" customHeight="1">
      <c r="A79" s="1147" t="s">
        <v>1810</v>
      </c>
      <c r="B79" s="1148" t="s">
        <v>1811</v>
      </c>
      <c r="C79" s="1123"/>
      <c r="D79" s="1124"/>
      <c r="E79" s="1240"/>
      <c r="F79" s="1150"/>
      <c r="G79" s="1249"/>
      <c r="H79" s="854"/>
      <c r="I79" s="855"/>
      <c r="J79" s="854"/>
      <c r="K79" s="912"/>
      <c r="L79" s="912"/>
    </row>
    <row r="80" spans="1:12" s="714" customFormat="1" ht="24" customHeight="1">
      <c r="A80" s="1147"/>
      <c r="B80" s="1148" t="s">
        <v>1786</v>
      </c>
      <c r="C80" s="1123"/>
      <c r="D80" s="1124"/>
      <c r="E80" s="1240"/>
      <c r="F80" s="1150" t="s">
        <v>240</v>
      </c>
      <c r="G80" s="1249">
        <v>471</v>
      </c>
      <c r="H80" s="796">
        <f t="shared" ref="H80" si="24">ROUND(E80*G80,)</f>
        <v>0</v>
      </c>
      <c r="I80" s="855">
        <v>150</v>
      </c>
      <c r="J80" s="796">
        <f t="shared" ref="J80" si="25">ROUND(I80*E80,)</f>
        <v>0</v>
      </c>
      <c r="K80" s="914">
        <f t="shared" ref="K80" si="26">H80+J80</f>
        <v>0</v>
      </c>
      <c r="L80" s="912"/>
    </row>
    <row r="81" spans="1:12" s="714" customFormat="1" ht="24" customHeight="1">
      <c r="A81" s="1147" t="s">
        <v>1812</v>
      </c>
      <c r="B81" s="1148" t="s">
        <v>1813</v>
      </c>
      <c r="C81" s="1123"/>
      <c r="D81" s="1124"/>
      <c r="E81" s="1240"/>
      <c r="F81" s="1150"/>
      <c r="G81" s="1249"/>
      <c r="H81" s="854"/>
      <c r="I81" s="855"/>
      <c r="J81" s="854"/>
      <c r="K81" s="912"/>
      <c r="L81" s="912"/>
    </row>
    <row r="82" spans="1:12" s="714" customFormat="1" ht="24" customHeight="1">
      <c r="A82" s="1147"/>
      <c r="B82" s="1148" t="s">
        <v>1814</v>
      </c>
      <c r="C82" s="1123"/>
      <c r="D82" s="1124"/>
      <c r="E82" s="1240">
        <v>4</v>
      </c>
      <c r="F82" s="1150" t="s">
        <v>240</v>
      </c>
      <c r="G82" s="1250">
        <v>14319</v>
      </c>
      <c r="H82" s="796">
        <f>ROUND(E82*G82,)</f>
        <v>57276</v>
      </c>
      <c r="I82" s="855">
        <v>1600</v>
      </c>
      <c r="J82" s="796">
        <f>ROUND(I82*E82,)</f>
        <v>6400</v>
      </c>
      <c r="K82" s="914">
        <f>H82+J82</f>
        <v>63676</v>
      </c>
      <c r="L82" s="912"/>
    </row>
    <row r="83" spans="1:12" s="714" customFormat="1" ht="24" customHeight="1">
      <c r="A83" s="1147" t="s">
        <v>1815</v>
      </c>
      <c r="B83" s="1148" t="s">
        <v>1816</v>
      </c>
      <c r="C83" s="1123"/>
      <c r="D83" s="1124"/>
      <c r="E83" s="1240"/>
      <c r="F83" s="1147"/>
      <c r="G83" s="1140"/>
      <c r="H83" s="854"/>
      <c r="I83" s="855"/>
      <c r="J83" s="854"/>
      <c r="K83" s="912"/>
      <c r="L83" s="912"/>
    </row>
    <row r="84" spans="1:12" s="714" customFormat="1" ht="24" customHeight="1">
      <c r="A84" s="1147"/>
      <c r="B84" s="1148" t="s">
        <v>1817</v>
      </c>
      <c r="C84" s="1123"/>
      <c r="D84" s="1124"/>
      <c r="E84" s="1240">
        <v>4</v>
      </c>
      <c r="F84" s="1147" t="s">
        <v>240</v>
      </c>
      <c r="G84" s="1140">
        <f>9800+560+560</f>
        <v>10920</v>
      </c>
      <c r="H84" s="796">
        <f t="shared" ref="H84" si="27">ROUND(E84*G84,)</f>
        <v>43680</v>
      </c>
      <c r="I84" s="797">
        <f>G84*0.1</f>
        <v>1092</v>
      </c>
      <c r="J84" s="796">
        <f t="shared" ref="J84" si="28">ROUND(I84*E84,)</f>
        <v>4368</v>
      </c>
      <c r="K84" s="914">
        <f t="shared" ref="K84" si="29">H84+J84</f>
        <v>48048</v>
      </c>
      <c r="L84" s="914"/>
    </row>
    <row r="85" spans="1:12" s="714" customFormat="1" ht="24" customHeight="1">
      <c r="A85" s="1147" t="s">
        <v>1818</v>
      </c>
      <c r="B85" s="1148" t="s">
        <v>1819</v>
      </c>
      <c r="C85" s="1123"/>
      <c r="D85" s="1124"/>
      <c r="E85" s="1240"/>
      <c r="F85" s="1147"/>
      <c r="G85" s="1140"/>
      <c r="H85" s="854"/>
      <c r="I85" s="855"/>
      <c r="J85" s="854"/>
      <c r="K85" s="912"/>
      <c r="L85" s="912"/>
    </row>
    <row r="86" spans="1:12" s="714" customFormat="1" ht="24" customHeight="1">
      <c r="A86" s="1147"/>
      <c r="B86" s="1148" t="s">
        <v>1817</v>
      </c>
      <c r="C86" s="1123"/>
      <c r="D86" s="1124"/>
      <c r="E86" s="1240">
        <v>2</v>
      </c>
      <c r="F86" s="1147" t="s">
        <v>240</v>
      </c>
      <c r="G86" s="1140">
        <v>9600</v>
      </c>
      <c r="H86" s="796">
        <f t="shared" ref="H86" si="30">ROUND(E86*G86,)</f>
        <v>19200</v>
      </c>
      <c r="I86" s="797">
        <f>G86*0.1</f>
        <v>960</v>
      </c>
      <c r="J86" s="796">
        <f t="shared" ref="J86" si="31">ROUND(I86*E86,)</f>
        <v>1920</v>
      </c>
      <c r="K86" s="914">
        <f t="shared" ref="K86" si="32">H86+J86</f>
        <v>21120</v>
      </c>
      <c r="L86" s="914"/>
    </row>
    <row r="87" spans="1:12" s="714" customFormat="1" ht="24" customHeight="1">
      <c r="A87" s="1147"/>
      <c r="B87" s="1148" t="s">
        <v>957</v>
      </c>
      <c r="C87" s="1123"/>
      <c r="D87" s="1124"/>
      <c r="E87" s="1240"/>
      <c r="F87" s="1150"/>
      <c r="G87" s="1140"/>
      <c r="H87" s="854"/>
      <c r="I87" s="855"/>
      <c r="J87" s="854"/>
      <c r="K87" s="912"/>
      <c r="L87" s="912"/>
    </row>
    <row r="88" spans="1:12" s="714" customFormat="1" ht="24" customHeight="1">
      <c r="A88" s="1147" t="s">
        <v>1839</v>
      </c>
      <c r="B88" s="1148" t="s">
        <v>1841</v>
      </c>
      <c r="C88" s="1123"/>
      <c r="D88" s="1124"/>
      <c r="E88" s="1149"/>
      <c r="F88" s="1147"/>
      <c r="G88" s="1140"/>
      <c r="H88" s="796"/>
      <c r="I88" s="855"/>
      <c r="J88" s="796"/>
      <c r="K88" s="914"/>
      <c r="L88" s="1007"/>
    </row>
    <row r="89" spans="1:12" s="714" customFormat="1" ht="24" customHeight="1">
      <c r="A89" s="1147"/>
      <c r="B89" s="1148" t="s">
        <v>1842</v>
      </c>
      <c r="C89" s="1123"/>
      <c r="D89" s="1124"/>
      <c r="E89" s="1149">
        <v>24</v>
      </c>
      <c r="F89" s="1147" t="s">
        <v>240</v>
      </c>
      <c r="G89" s="1140">
        <v>126</v>
      </c>
      <c r="H89" s="796">
        <f t="shared" ref="H89:H90" si="33">ROUND(E89*G89,)</f>
        <v>3024</v>
      </c>
      <c r="I89" s="855"/>
      <c r="J89" s="796"/>
      <c r="K89" s="914">
        <f>H89+J89</f>
        <v>3024</v>
      </c>
      <c r="L89" s="1007"/>
    </row>
    <row r="90" spans="1:12" s="714" customFormat="1" ht="24" customHeight="1">
      <c r="A90" s="1147"/>
      <c r="B90" s="1148" t="s">
        <v>1843</v>
      </c>
      <c r="C90" s="1123"/>
      <c r="D90" s="1124"/>
      <c r="E90" s="1149">
        <v>24</v>
      </c>
      <c r="F90" s="1147" t="s">
        <v>240</v>
      </c>
      <c r="G90" s="1140">
        <v>108</v>
      </c>
      <c r="H90" s="796">
        <f t="shared" si="33"/>
        <v>2592</v>
      </c>
      <c r="I90" s="855"/>
      <c r="J90" s="796"/>
      <c r="K90" s="914">
        <f>H90+J90</f>
        <v>2592</v>
      </c>
      <c r="L90" s="1007"/>
    </row>
    <row r="91" spans="1:12" s="714" customFormat="1" ht="24" customHeight="1">
      <c r="A91" s="1166"/>
      <c r="B91" s="2475" t="str">
        <f>"รวมราคารายการที่ "&amp;A60</f>
        <v>รวมราคารายการที่ 6.2</v>
      </c>
      <c r="C91" s="2476"/>
      <c r="D91" s="2477"/>
      <c r="E91" s="1248"/>
      <c r="F91" s="1167"/>
      <c r="G91" s="1168"/>
      <c r="H91" s="1169">
        <f>SUM(H61:H90)</f>
        <v>558872</v>
      </c>
      <c r="I91" s="1170"/>
      <c r="J91" s="1169">
        <f>SUM(J61:J90)</f>
        <v>48638</v>
      </c>
      <c r="K91" s="1171">
        <f>SUM(K61:K90)</f>
        <v>607510</v>
      </c>
      <c r="L91" s="1171"/>
    </row>
    <row r="92" spans="1:12" s="714" customFormat="1" ht="24" customHeight="1">
      <c r="A92" s="1221">
        <v>6.3</v>
      </c>
      <c r="B92" s="1219" t="s">
        <v>1264</v>
      </c>
      <c r="C92" s="1209"/>
      <c r="D92" s="1210"/>
      <c r="E92" s="1239">
        <v>1</v>
      </c>
      <c r="F92" s="1221" t="s">
        <v>948</v>
      </c>
      <c r="G92" s="874">
        <f>32*10000</f>
        <v>320000</v>
      </c>
      <c r="H92" s="796">
        <f t="shared" ref="H92" si="34">ROUND(E92*G92,)</f>
        <v>320000</v>
      </c>
      <c r="I92" s="855">
        <f>G92*0.3</f>
        <v>96000</v>
      </c>
      <c r="J92" s="796">
        <f t="shared" ref="J92" si="35">ROUND(I92*E92,)</f>
        <v>96000</v>
      </c>
      <c r="K92" s="914">
        <f t="shared" ref="K92" si="36">H92+J92</f>
        <v>416000</v>
      </c>
      <c r="L92" s="912"/>
    </row>
    <row r="93" spans="1:12" s="714" customFormat="1" ht="24" customHeight="1">
      <c r="A93" s="1221"/>
      <c r="B93" s="1219"/>
      <c r="C93" s="1209"/>
      <c r="D93" s="1210"/>
      <c r="E93" s="1239"/>
      <c r="F93" s="1221"/>
      <c r="G93" s="874"/>
      <c r="H93" s="796"/>
      <c r="I93" s="855"/>
      <c r="J93" s="796"/>
      <c r="K93" s="914"/>
      <c r="L93" s="912"/>
    </row>
    <row r="94" spans="1:12" s="714" customFormat="1" ht="24" customHeight="1">
      <c r="A94" s="1221"/>
      <c r="B94" s="1219"/>
      <c r="C94" s="1209"/>
      <c r="D94" s="1210"/>
      <c r="E94" s="1239"/>
      <c r="F94" s="1221"/>
      <c r="G94" s="874"/>
      <c r="H94" s="796"/>
      <c r="I94" s="855"/>
      <c r="J94" s="796"/>
      <c r="K94" s="914"/>
      <c r="L94" s="912"/>
    </row>
    <row r="95" spans="1:12" s="714" customFormat="1" ht="24" customHeight="1">
      <c r="A95" s="1221"/>
      <c r="B95" s="1219"/>
      <c r="C95" s="1209"/>
      <c r="D95" s="1210"/>
      <c r="E95" s="1239"/>
      <c r="F95" s="1221"/>
      <c r="G95" s="874"/>
      <c r="H95" s="796"/>
      <c r="I95" s="855"/>
      <c r="J95" s="796"/>
      <c r="K95" s="914"/>
      <c r="L95" s="912"/>
    </row>
    <row r="96" spans="1:12" s="714" customFormat="1" ht="24" customHeight="1">
      <c r="A96" s="1221"/>
      <c r="B96" s="1219"/>
      <c r="C96" s="1209"/>
      <c r="D96" s="1210"/>
      <c r="E96" s="1239"/>
      <c r="F96" s="1221"/>
      <c r="G96" s="874"/>
      <c r="H96" s="796"/>
      <c r="I96" s="855"/>
      <c r="J96" s="796"/>
      <c r="K96" s="914"/>
      <c r="L96" s="912"/>
    </row>
    <row r="97" spans="1:12" s="714" customFormat="1" ht="24" customHeight="1">
      <c r="A97" s="1221"/>
      <c r="B97" s="1219"/>
      <c r="C97" s="1209"/>
      <c r="D97" s="1210"/>
      <c r="E97" s="1239"/>
      <c r="F97" s="1221"/>
      <c r="G97" s="874"/>
      <c r="H97" s="796"/>
      <c r="I97" s="855"/>
      <c r="J97" s="796"/>
      <c r="K97" s="914"/>
      <c r="L97" s="912"/>
    </row>
    <row r="98" spans="1:12" s="714" customFormat="1" ht="24" customHeight="1">
      <c r="A98" s="1221"/>
      <c r="B98" s="1219"/>
      <c r="C98" s="1209"/>
      <c r="D98" s="1210"/>
      <c r="E98" s="1239"/>
      <c r="F98" s="1221"/>
      <c r="G98" s="874"/>
      <c r="H98" s="796"/>
      <c r="I98" s="855"/>
      <c r="J98" s="796"/>
      <c r="K98" s="914"/>
      <c r="L98" s="912"/>
    </row>
    <row r="99" spans="1:12" s="714" customFormat="1" ht="24" customHeight="1">
      <c r="A99" s="1221"/>
      <c r="B99" s="1219"/>
      <c r="C99" s="1209"/>
      <c r="D99" s="1210"/>
      <c r="E99" s="1239"/>
      <c r="F99" s="1221"/>
      <c r="G99" s="874"/>
      <c r="H99" s="796"/>
      <c r="I99" s="855"/>
      <c r="J99" s="796"/>
      <c r="K99" s="914"/>
      <c r="L99" s="912"/>
    </row>
    <row r="100" spans="1:12" s="714" customFormat="1" ht="24" customHeight="1">
      <c r="A100" s="1221"/>
      <c r="B100" s="1219"/>
      <c r="C100" s="1209"/>
      <c r="D100" s="1210"/>
      <c r="E100" s="1239"/>
      <c r="F100" s="1221"/>
      <c r="G100" s="874"/>
      <c r="H100" s="796"/>
      <c r="I100" s="855"/>
      <c r="J100" s="796"/>
      <c r="K100" s="914"/>
      <c r="L100" s="912"/>
    </row>
    <row r="101" spans="1:12" s="714" customFormat="1" ht="24" customHeight="1">
      <c r="A101" s="1221"/>
      <c r="B101" s="1219"/>
      <c r="C101" s="1209"/>
      <c r="D101" s="1210"/>
      <c r="E101" s="1239"/>
      <c r="F101" s="1221"/>
      <c r="G101" s="874"/>
      <c r="H101" s="796"/>
      <c r="I101" s="855"/>
      <c r="J101" s="796"/>
      <c r="K101" s="914"/>
      <c r="L101" s="912"/>
    </row>
    <row r="102" spans="1:12" s="714" customFormat="1" ht="24" customHeight="1">
      <c r="A102" s="1221"/>
      <c r="B102" s="1219"/>
      <c r="C102" s="1209"/>
      <c r="D102" s="1210"/>
      <c r="E102" s="1239"/>
      <c r="F102" s="1221"/>
      <c r="G102" s="874"/>
      <c r="H102" s="796"/>
      <c r="I102" s="855"/>
      <c r="J102" s="796"/>
      <c r="K102" s="914"/>
      <c r="L102" s="912"/>
    </row>
    <row r="103" spans="1:12" s="714" customFormat="1" ht="24" customHeight="1">
      <c r="A103" s="1221"/>
      <c r="B103" s="1219"/>
      <c r="C103" s="1209"/>
      <c r="D103" s="1210"/>
      <c r="E103" s="1239"/>
      <c r="F103" s="1221"/>
      <c r="G103" s="874"/>
      <c r="H103" s="796"/>
      <c r="I103" s="855"/>
      <c r="J103" s="796"/>
      <c r="K103" s="914"/>
      <c r="L103" s="912"/>
    </row>
    <row r="104" spans="1:12" s="714" customFormat="1" ht="24" customHeight="1">
      <c r="A104" s="1221"/>
      <c r="B104" s="1219"/>
      <c r="C104" s="1209"/>
      <c r="D104" s="1210"/>
      <c r="E104" s="1239"/>
      <c r="F104" s="1221"/>
      <c r="G104" s="874"/>
      <c r="H104" s="796"/>
      <c r="I104" s="855"/>
      <c r="J104" s="796"/>
      <c r="K104" s="914"/>
      <c r="L104" s="912"/>
    </row>
    <row r="105" spans="1:12" s="714" customFormat="1" ht="24" customHeight="1">
      <c r="A105" s="1221"/>
      <c r="B105" s="1219"/>
      <c r="C105" s="1209"/>
      <c r="D105" s="1210"/>
      <c r="E105" s="1239"/>
      <c r="F105" s="1221"/>
      <c r="G105" s="874"/>
      <c r="H105" s="796"/>
      <c r="I105" s="855"/>
      <c r="J105" s="796"/>
      <c r="K105" s="914"/>
      <c r="L105" s="912"/>
    </row>
    <row r="106" spans="1:12" s="714" customFormat="1" ht="24" customHeight="1">
      <c r="A106" s="1221"/>
      <c r="B106" s="1219"/>
      <c r="C106" s="1209"/>
      <c r="D106" s="1210"/>
      <c r="E106" s="1239"/>
      <c r="F106" s="1221"/>
      <c r="G106" s="874"/>
      <c r="H106" s="796"/>
      <c r="I106" s="855"/>
      <c r="J106" s="796"/>
      <c r="K106" s="914"/>
      <c r="L106" s="912"/>
    </row>
    <row r="107" spans="1:12" s="714" customFormat="1" ht="24" customHeight="1">
      <c r="A107" s="1221"/>
      <c r="B107" s="1219"/>
      <c r="C107" s="1209"/>
      <c r="D107" s="1210"/>
      <c r="E107" s="1239"/>
      <c r="F107" s="1221"/>
      <c r="G107" s="874"/>
      <c r="H107" s="796"/>
      <c r="I107" s="855"/>
      <c r="J107" s="796"/>
      <c r="K107" s="914"/>
      <c r="L107" s="912"/>
    </row>
    <row r="108" spans="1:12" s="714" customFormat="1" ht="24" customHeight="1">
      <c r="A108" s="1221"/>
      <c r="B108" s="1219"/>
      <c r="C108" s="1209"/>
      <c r="D108" s="1210"/>
      <c r="E108" s="1239"/>
      <c r="F108" s="1221"/>
      <c r="G108" s="874"/>
      <c r="H108" s="796"/>
      <c r="I108" s="855"/>
      <c r="J108" s="796"/>
      <c r="K108" s="914"/>
      <c r="L108" s="912"/>
    </row>
    <row r="109" spans="1:12" s="714" customFormat="1" ht="24" customHeight="1">
      <c r="A109" s="1166"/>
      <c r="B109" s="2475" t="str">
        <f>"รวมราคารายการที่ "&amp;A92</f>
        <v>รวมราคารายการที่ 6.3</v>
      </c>
      <c r="C109" s="2476"/>
      <c r="D109" s="2477"/>
      <c r="E109" s="1248"/>
      <c r="F109" s="1167"/>
      <c r="G109" s="1168"/>
      <c r="H109" s="1169">
        <f>SUM(H92:H108)</f>
        <v>320000</v>
      </c>
      <c r="I109" s="1170"/>
      <c r="J109" s="1169">
        <f>SUM(J92:J108)</f>
        <v>96000</v>
      </c>
      <c r="K109" s="1171">
        <f>SUM(K92:K108)</f>
        <v>416000</v>
      </c>
      <c r="L109" s="1171"/>
    </row>
    <row r="110" spans="1:12" s="714" customFormat="1" ht="21.3">
      <c r="A110" s="950"/>
      <c r="E110" s="1251"/>
    </row>
    <row r="111" spans="1:12" s="714" customFormat="1" ht="21.3">
      <c r="A111" s="950"/>
      <c r="E111" s="1251"/>
    </row>
    <row r="112" spans="1:12" s="714" customFormat="1" ht="21.3">
      <c r="A112" s="950"/>
      <c r="E112" s="1251"/>
    </row>
    <row r="113" spans="1:5" s="714" customFormat="1" ht="21.3">
      <c r="A113" s="950"/>
      <c r="E113" s="1251"/>
    </row>
    <row r="114" spans="1:5" s="714" customFormat="1" ht="21.3">
      <c r="A114" s="950"/>
      <c r="E114" s="1251"/>
    </row>
    <row r="115" spans="1:5" s="714" customFormat="1" ht="21.3">
      <c r="A115" s="950"/>
      <c r="E115" s="1251"/>
    </row>
    <row r="116" spans="1:5" s="714" customFormat="1" ht="21.3">
      <c r="A116" s="950"/>
      <c r="E116" s="1251"/>
    </row>
    <row r="117" spans="1:5" s="714" customFormat="1" ht="21.3">
      <c r="A117" s="950"/>
      <c r="E117" s="1252"/>
    </row>
    <row r="118" spans="1:5" s="714" customFormat="1" ht="21.3">
      <c r="A118" s="950"/>
      <c r="E118" s="1252"/>
    </row>
    <row r="119" spans="1:5" s="714" customFormat="1" ht="21.3">
      <c r="A119" s="950"/>
      <c r="E119" s="1252"/>
    </row>
    <row r="120" spans="1:5" s="714" customFormat="1" ht="21.3">
      <c r="A120" s="950"/>
      <c r="E120" s="1252"/>
    </row>
    <row r="121" spans="1:5" s="714" customFormat="1" ht="21.3">
      <c r="A121" s="950"/>
      <c r="E121" s="1252"/>
    </row>
    <row r="122" spans="1:5" s="714" customFormat="1" ht="21.3">
      <c r="A122" s="950"/>
      <c r="E122" s="1252"/>
    </row>
    <row r="123" spans="1:5" s="714" customFormat="1" ht="21.3">
      <c r="A123" s="950"/>
      <c r="E123" s="1252"/>
    </row>
    <row r="124" spans="1:5" s="714" customFormat="1" ht="21.3">
      <c r="A124" s="950"/>
      <c r="E124" s="1252"/>
    </row>
    <row r="125" spans="1:5" s="714" customFormat="1" ht="21.3">
      <c r="A125" s="950"/>
      <c r="E125" s="1252"/>
    </row>
    <row r="126" spans="1:5" s="714" customFormat="1" ht="21.3">
      <c r="A126" s="950"/>
      <c r="E126" s="1252"/>
    </row>
    <row r="127" spans="1:5" s="714" customFormat="1" ht="21.3">
      <c r="A127" s="950"/>
      <c r="E127" s="1252"/>
    </row>
    <row r="128" spans="1:5" s="714" customFormat="1" ht="21.3">
      <c r="A128" s="950"/>
      <c r="E128" s="1252"/>
    </row>
    <row r="129" spans="1:5" s="714" customFormat="1" ht="21.3">
      <c r="A129" s="950"/>
      <c r="E129" s="1252"/>
    </row>
    <row r="130" spans="1:5" s="714" customFormat="1" ht="21.3">
      <c r="A130" s="950"/>
      <c r="E130" s="1252"/>
    </row>
    <row r="131" spans="1:5" s="714" customFormat="1" ht="21.3">
      <c r="A131" s="950"/>
      <c r="E131" s="1252"/>
    </row>
  </sheetData>
  <mergeCells count="12">
    <mergeCell ref="A9:A10"/>
    <mergeCell ref="B9:D10"/>
    <mergeCell ref="E9:E10"/>
    <mergeCell ref="F9:F10"/>
    <mergeCell ref="G9:H9"/>
    <mergeCell ref="B34:D34"/>
    <mergeCell ref="B59:D59"/>
    <mergeCell ref="B91:D91"/>
    <mergeCell ref="B109:D109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&amp;Rงานดับเพลิงและป้องกันอัคคีภัย (Main Equipment)-อาคารสนับนุน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CF50B-4A96-4054-A5B3-9D1FEE6C6DC6}">
  <sheetPr>
    <tabColor rgb="FFFF3399"/>
  </sheetPr>
  <dimension ref="A1:O149"/>
  <sheetViews>
    <sheetView showGridLines="0" tabSelected="1" view="pageBreakPreview" topLeftCell="A118" zoomScale="70" zoomScaleNormal="6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.5859375" style="1" customWidth="1"/>
    <col min="13" max="71" width="7.703125" style="1" customWidth="1"/>
    <col min="72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1780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>
        <v>6</v>
      </c>
      <c r="B11" s="1144" t="s">
        <v>1820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/>
      <c r="B12" s="1151" t="str">
        <f>B35</f>
        <v>งานระบบดับเพลิงและป้องกันอัคคีภัย</v>
      </c>
      <c r="C12" s="1123"/>
      <c r="D12" s="1124"/>
      <c r="E12" s="1149"/>
      <c r="F12" s="1150"/>
      <c r="G12" s="710"/>
      <c r="H12" s="711"/>
      <c r="I12" s="712"/>
      <c r="J12" s="711"/>
      <c r="K12" s="1129"/>
      <c r="L12" s="1024"/>
    </row>
    <row r="13" spans="1:12" s="714" customFormat="1" ht="24" customHeight="1">
      <c r="A13" s="1147">
        <f>A36</f>
        <v>6.1</v>
      </c>
      <c r="B13" s="1148" t="str">
        <f>B36</f>
        <v>งานท่อน้ำ (Piping Work)</v>
      </c>
      <c r="C13" s="1123"/>
      <c r="D13" s="1124"/>
      <c r="E13" s="1149">
        <v>1</v>
      </c>
      <c r="F13" s="1150" t="s">
        <v>19</v>
      </c>
      <c r="G13" s="710"/>
      <c r="H13" s="711">
        <f>H59</f>
        <v>2235310</v>
      </c>
      <c r="I13" s="712"/>
      <c r="J13" s="711">
        <f>J59</f>
        <v>968465</v>
      </c>
      <c r="K13" s="1129">
        <f t="shared" ref="K13:K18" si="0">SUM(H13:J13)</f>
        <v>3203775</v>
      </c>
      <c r="L13" s="1024"/>
    </row>
    <row r="14" spans="1:12" s="714" customFormat="1" ht="24" customHeight="1">
      <c r="A14" s="1147">
        <f>A60</f>
        <v>6.2</v>
      </c>
      <c r="B14" s="1148" t="str">
        <f>B60</f>
        <v>วาล์วและอุปกรณ์ (Valve &amp; Pipe Accessories)</v>
      </c>
      <c r="C14" s="1123"/>
      <c r="D14" s="1124"/>
      <c r="E14" s="1149">
        <v>1</v>
      </c>
      <c r="F14" s="1150" t="s">
        <v>19</v>
      </c>
      <c r="G14" s="710"/>
      <c r="H14" s="711">
        <f>H75</f>
        <v>172652</v>
      </c>
      <c r="I14" s="712"/>
      <c r="J14" s="711">
        <f>J75</f>
        <v>14000</v>
      </c>
      <c r="K14" s="1129">
        <f t="shared" si="0"/>
        <v>186652</v>
      </c>
      <c r="L14" s="1024"/>
    </row>
    <row r="15" spans="1:12" s="714" customFormat="1" ht="24" customHeight="1">
      <c r="A15" s="1147">
        <f>A76</f>
        <v>6.3</v>
      </c>
      <c r="B15" s="1148" t="str">
        <f>B76</f>
        <v>ระบบหัวกระจายน้ำดับเพลิง (Sprinkler System)</v>
      </c>
      <c r="C15" s="1123"/>
      <c r="D15" s="1124"/>
      <c r="E15" s="1149">
        <v>1</v>
      </c>
      <c r="F15" s="1150" t="s">
        <v>19</v>
      </c>
      <c r="G15" s="710"/>
      <c r="H15" s="711">
        <f>H84</f>
        <v>121968</v>
      </c>
      <c r="I15" s="712"/>
      <c r="J15" s="711">
        <f>J84</f>
        <v>48400</v>
      </c>
      <c r="K15" s="1129">
        <f t="shared" si="0"/>
        <v>170368</v>
      </c>
      <c r="L15" s="1024"/>
    </row>
    <row r="16" spans="1:12" s="714" customFormat="1" ht="24" customHeight="1">
      <c r="A16" s="1147">
        <f>A85</f>
        <v>6.4</v>
      </c>
      <c r="B16" s="1148" t="str">
        <f>B85</f>
        <v>ตู้ดับเพลิงและถังดับเพลิงชนิดมือถือ (Fire Hose Cabinet &amp; Portable Fire Extinguisher)</v>
      </c>
      <c r="C16" s="1123"/>
      <c r="D16" s="1124"/>
      <c r="E16" s="1149">
        <v>1</v>
      </c>
      <c r="F16" s="1150" t="s">
        <v>19</v>
      </c>
      <c r="G16" s="710"/>
      <c r="H16" s="711">
        <f>H109</f>
        <v>245720</v>
      </c>
      <c r="I16" s="712"/>
      <c r="J16" s="711">
        <f>J109</f>
        <v>19100</v>
      </c>
      <c r="K16" s="1129">
        <f t="shared" si="0"/>
        <v>264820</v>
      </c>
      <c r="L16" s="1024"/>
    </row>
    <row r="17" spans="1:12" s="714" customFormat="1" ht="24" customHeight="1">
      <c r="A17" s="1147">
        <f>A110</f>
        <v>6.5</v>
      </c>
      <c r="B17" s="1148" t="str">
        <f>B110</f>
        <v>ระบบไฟฟ้าและควบคุม (Electrical &amp; Control System) สำหรับระบบป้องกันอัคคีภัย</v>
      </c>
      <c r="C17" s="1123"/>
      <c r="D17" s="1124"/>
      <c r="E17" s="1149">
        <v>1</v>
      </c>
      <c r="F17" s="1150" t="s">
        <v>19</v>
      </c>
      <c r="G17" s="710"/>
      <c r="H17" s="711">
        <f>H127</f>
        <v>66900</v>
      </c>
      <c r="I17" s="712"/>
      <c r="J17" s="711">
        <f>J127</f>
        <v>6690</v>
      </c>
      <c r="K17" s="1129">
        <f t="shared" si="0"/>
        <v>73590</v>
      </c>
      <c r="L17" s="1024"/>
    </row>
    <row r="18" spans="1:12" s="714" customFormat="1" ht="24" customHeight="1">
      <c r="A18" s="1147">
        <f>A128</f>
        <v>6.6</v>
      </c>
      <c r="B18" s="1148" t="str">
        <f>B128</f>
        <v>ระบบป้องกันไฟและควันลาม (Fire Barrier System)</v>
      </c>
      <c r="C18" s="1123"/>
      <c r="D18" s="1124"/>
      <c r="E18" s="1149">
        <v>1</v>
      </c>
      <c r="F18" s="1150" t="s">
        <v>19</v>
      </c>
      <c r="G18" s="710"/>
      <c r="H18" s="711">
        <f>H129</f>
        <v>0</v>
      </c>
      <c r="I18" s="712"/>
      <c r="J18" s="711">
        <f>J129</f>
        <v>0</v>
      </c>
      <c r="K18" s="1129">
        <f t="shared" si="0"/>
        <v>0</v>
      </c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2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2" s="714" customFormat="1" ht="30" customHeight="1">
      <c r="A34" s="1166"/>
      <c r="B34" s="2475" t="str">
        <f>"รวมราคา"&amp;B11</f>
        <v>รวมราคางานระบบดับเพลิงและป้องกันอัคคีภัย ชั้น B2</v>
      </c>
      <c r="C34" s="2476"/>
      <c r="D34" s="2477"/>
      <c r="E34" s="1167"/>
      <c r="F34" s="1167"/>
      <c r="G34" s="1168"/>
      <c r="H34" s="1169">
        <f>SUM(H12:H33)</f>
        <v>2842550</v>
      </c>
      <c r="I34" s="1170"/>
      <c r="J34" s="1169">
        <f>SUM(J12:J33)</f>
        <v>1056655</v>
      </c>
      <c r="K34" s="1171">
        <f>SUM(K12:K33)</f>
        <v>3899205</v>
      </c>
      <c r="L34" s="1171"/>
    </row>
    <row r="35" spans="1:12" s="714" customFormat="1" ht="24" customHeight="1">
      <c r="A35" s="1011"/>
      <c r="B35" s="1173" t="s">
        <v>31</v>
      </c>
      <c r="C35" s="859"/>
      <c r="D35" s="859"/>
      <c r="E35" s="1216"/>
      <c r="F35" s="852"/>
      <c r="G35" s="874"/>
      <c r="H35" s="854"/>
      <c r="I35" s="855"/>
      <c r="J35" s="854"/>
      <c r="K35" s="912"/>
      <c r="L35" s="912"/>
    </row>
    <row r="36" spans="1:12" s="714" customFormat="1" ht="24" customHeight="1">
      <c r="A36" s="1207">
        <v>6.1</v>
      </c>
      <c r="B36" s="1208" t="s">
        <v>1782</v>
      </c>
      <c r="C36" s="1238"/>
      <c r="D36" s="1210"/>
      <c r="E36" s="1211"/>
      <c r="F36" s="1212"/>
      <c r="G36" s="874"/>
      <c r="H36" s="854"/>
      <c r="I36" s="855"/>
      <c r="J36" s="854"/>
      <c r="K36" s="912"/>
      <c r="L36" s="912"/>
    </row>
    <row r="37" spans="1:12" s="714" customFormat="1" ht="24" customHeight="1">
      <c r="A37" s="1159" t="s">
        <v>1783</v>
      </c>
      <c r="B37" s="1148" t="s">
        <v>1821</v>
      </c>
      <c r="C37" s="1161"/>
      <c r="D37" s="1162"/>
      <c r="E37" s="1013"/>
      <c r="F37" s="1163"/>
      <c r="G37" s="1205"/>
      <c r="H37" s="796"/>
      <c r="I37" s="797"/>
      <c r="J37" s="796"/>
      <c r="K37" s="914"/>
      <c r="L37" s="914"/>
    </row>
    <row r="38" spans="1:12" s="714" customFormat="1" ht="24" customHeight="1">
      <c r="A38" s="1147"/>
      <c r="B38" s="1148" t="s">
        <v>1822</v>
      </c>
      <c r="C38" s="1123"/>
      <c r="D38" s="1124"/>
      <c r="E38" s="1253">
        <v>1692</v>
      </c>
      <c r="F38" s="1150" t="s">
        <v>438</v>
      </c>
      <c r="G38" s="1140">
        <v>78</v>
      </c>
      <c r="H38" s="796">
        <f t="shared" ref="H38:H51" si="1">ROUND(E38*G38,)</f>
        <v>131976</v>
      </c>
      <c r="I38" s="797">
        <v>45</v>
      </c>
      <c r="J38" s="796">
        <f t="shared" ref="J38:J51" si="2">ROUND(I38*E38,)</f>
        <v>76140</v>
      </c>
      <c r="K38" s="914">
        <f t="shared" ref="K38:K51" si="3">H38+J38</f>
        <v>208116</v>
      </c>
      <c r="L38" s="914"/>
    </row>
    <row r="39" spans="1:12" s="714" customFormat="1" ht="24" customHeight="1">
      <c r="A39" s="1147"/>
      <c r="B39" s="1148" t="s">
        <v>1186</v>
      </c>
      <c r="C39" s="1123"/>
      <c r="D39" s="1124"/>
      <c r="E39" s="1253">
        <v>663</v>
      </c>
      <c r="F39" s="1150" t="s">
        <v>438</v>
      </c>
      <c r="G39" s="1140">
        <v>105</v>
      </c>
      <c r="H39" s="796">
        <f t="shared" si="1"/>
        <v>69615</v>
      </c>
      <c r="I39" s="855">
        <v>60</v>
      </c>
      <c r="J39" s="796">
        <f t="shared" si="2"/>
        <v>39780</v>
      </c>
      <c r="K39" s="914">
        <f t="shared" si="3"/>
        <v>109395</v>
      </c>
      <c r="L39" s="914"/>
    </row>
    <row r="40" spans="1:12" s="714" customFormat="1" ht="24" customHeight="1">
      <c r="A40" s="1147"/>
      <c r="B40" s="1148" t="s">
        <v>1187</v>
      </c>
      <c r="C40" s="1123"/>
      <c r="D40" s="1124"/>
      <c r="E40" s="1253">
        <v>860</v>
      </c>
      <c r="F40" s="1150" t="s">
        <v>438</v>
      </c>
      <c r="G40" s="1244">
        <v>126</v>
      </c>
      <c r="H40" s="796">
        <f t="shared" si="1"/>
        <v>108360</v>
      </c>
      <c r="I40" s="1176">
        <v>70</v>
      </c>
      <c r="J40" s="796">
        <f t="shared" si="2"/>
        <v>60200</v>
      </c>
      <c r="K40" s="914">
        <f t="shared" si="3"/>
        <v>168560</v>
      </c>
      <c r="L40" s="914"/>
    </row>
    <row r="41" spans="1:12" s="714" customFormat="1" ht="24" customHeight="1">
      <c r="A41" s="1147"/>
      <c r="B41" s="1148" t="s">
        <v>1188</v>
      </c>
      <c r="C41" s="1123"/>
      <c r="D41" s="1124"/>
      <c r="E41" s="1253">
        <v>592</v>
      </c>
      <c r="F41" s="1150" t="s">
        <v>438</v>
      </c>
      <c r="G41" s="1244">
        <v>169</v>
      </c>
      <c r="H41" s="796">
        <f t="shared" si="1"/>
        <v>100048</v>
      </c>
      <c r="I41" s="1176">
        <v>95</v>
      </c>
      <c r="J41" s="796">
        <f t="shared" si="2"/>
        <v>56240</v>
      </c>
      <c r="K41" s="914">
        <f t="shared" si="3"/>
        <v>156288</v>
      </c>
      <c r="L41" s="914"/>
    </row>
    <row r="42" spans="1:12" s="714" customFormat="1" ht="24" customHeight="1">
      <c r="A42" s="1147"/>
      <c r="B42" s="1148" t="s">
        <v>1189</v>
      </c>
      <c r="C42" s="1123"/>
      <c r="D42" s="1124"/>
      <c r="E42" s="1253">
        <v>153</v>
      </c>
      <c r="F42" s="1150" t="s">
        <v>438</v>
      </c>
      <c r="G42" s="1244">
        <v>268</v>
      </c>
      <c r="H42" s="796">
        <f t="shared" si="1"/>
        <v>41004</v>
      </c>
      <c r="I42" s="1176">
        <v>150</v>
      </c>
      <c r="J42" s="796">
        <f t="shared" si="2"/>
        <v>22950</v>
      </c>
      <c r="K42" s="914">
        <f t="shared" si="3"/>
        <v>63954</v>
      </c>
      <c r="L42" s="914"/>
    </row>
    <row r="43" spans="1:12" s="714" customFormat="1" ht="24" customHeight="1">
      <c r="A43" s="1147"/>
      <c r="B43" s="1148" t="s">
        <v>1190</v>
      </c>
      <c r="C43" s="1123"/>
      <c r="D43" s="1124"/>
      <c r="E43" s="1253">
        <v>77</v>
      </c>
      <c r="F43" s="1150" t="s">
        <v>438</v>
      </c>
      <c r="G43" s="1244">
        <v>350</v>
      </c>
      <c r="H43" s="796">
        <f t="shared" si="1"/>
        <v>26950</v>
      </c>
      <c r="I43" s="1176">
        <v>200</v>
      </c>
      <c r="J43" s="796">
        <f t="shared" si="2"/>
        <v>15400</v>
      </c>
      <c r="K43" s="914">
        <f t="shared" si="3"/>
        <v>42350</v>
      </c>
      <c r="L43" s="914"/>
    </row>
    <row r="44" spans="1:12" s="714" customFormat="1" ht="24" customHeight="1">
      <c r="A44" s="1147"/>
      <c r="B44" s="1148" t="s">
        <v>1674</v>
      </c>
      <c r="C44" s="1123"/>
      <c r="D44" s="1124"/>
      <c r="E44" s="1253">
        <v>400</v>
      </c>
      <c r="F44" s="1150" t="s">
        <v>438</v>
      </c>
      <c r="G44" s="1244">
        <v>499</v>
      </c>
      <c r="H44" s="796">
        <f t="shared" si="1"/>
        <v>199600</v>
      </c>
      <c r="I44" s="1176">
        <v>280</v>
      </c>
      <c r="J44" s="796">
        <f t="shared" si="2"/>
        <v>112000</v>
      </c>
      <c r="K44" s="914">
        <f t="shared" si="3"/>
        <v>311600</v>
      </c>
      <c r="L44" s="914"/>
    </row>
    <row r="45" spans="1:12" s="714" customFormat="1" ht="24" customHeight="1">
      <c r="A45" s="1147"/>
      <c r="B45" s="1148" t="s">
        <v>1675</v>
      </c>
      <c r="C45" s="1123"/>
      <c r="D45" s="1124"/>
      <c r="E45" s="1253">
        <v>498</v>
      </c>
      <c r="F45" s="1150" t="s">
        <v>438</v>
      </c>
      <c r="G45" s="1244">
        <v>877</v>
      </c>
      <c r="H45" s="796">
        <f t="shared" si="1"/>
        <v>436746</v>
      </c>
      <c r="I45" s="1176">
        <v>500</v>
      </c>
      <c r="J45" s="796">
        <f t="shared" si="2"/>
        <v>249000</v>
      </c>
      <c r="K45" s="914">
        <f t="shared" si="3"/>
        <v>685746</v>
      </c>
      <c r="L45" s="914"/>
    </row>
    <row r="46" spans="1:12" s="714" customFormat="1" ht="24" customHeight="1">
      <c r="A46" s="1147"/>
      <c r="B46" s="1148" t="s">
        <v>1676</v>
      </c>
      <c r="C46" s="1123"/>
      <c r="D46" s="1124"/>
      <c r="E46" s="1253"/>
      <c r="F46" s="1150" t="s">
        <v>438</v>
      </c>
      <c r="G46" s="1244">
        <v>1361</v>
      </c>
      <c r="H46" s="796">
        <f t="shared" si="1"/>
        <v>0</v>
      </c>
      <c r="I46" s="1176">
        <v>560</v>
      </c>
      <c r="J46" s="796">
        <f t="shared" si="2"/>
        <v>0</v>
      </c>
      <c r="K46" s="914">
        <f t="shared" si="3"/>
        <v>0</v>
      </c>
      <c r="L46" s="914"/>
    </row>
    <row r="47" spans="1:12" s="714" customFormat="1" ht="24" customHeight="1">
      <c r="A47" s="1147"/>
      <c r="B47" s="1148" t="s">
        <v>1790</v>
      </c>
      <c r="C47" s="1123"/>
      <c r="D47" s="1124"/>
      <c r="E47" s="1254"/>
      <c r="F47" s="1150" t="s">
        <v>438</v>
      </c>
      <c r="G47" s="1244">
        <v>2212</v>
      </c>
      <c r="H47" s="796">
        <f t="shared" si="1"/>
        <v>0</v>
      </c>
      <c r="I47" s="1176">
        <v>700</v>
      </c>
      <c r="J47" s="796">
        <f t="shared" si="2"/>
        <v>0</v>
      </c>
      <c r="K47" s="914">
        <f t="shared" si="3"/>
        <v>0</v>
      </c>
      <c r="L47" s="914"/>
    </row>
    <row r="48" spans="1:12" s="714" customFormat="1" ht="24" customHeight="1">
      <c r="A48" s="1147"/>
      <c r="B48" s="1148" t="s">
        <v>1645</v>
      </c>
      <c r="C48" s="1123"/>
      <c r="D48" s="1124"/>
      <c r="E48" s="1245">
        <v>1</v>
      </c>
      <c r="F48" s="935" t="s">
        <v>948</v>
      </c>
      <c r="G48" s="1244">
        <f>ROUND(SUM(H38:H47)*40%,)</f>
        <v>445720</v>
      </c>
      <c r="H48" s="796">
        <f t="shared" si="1"/>
        <v>445720</v>
      </c>
      <c r="I48" s="1176">
        <f>G48*0.3</f>
        <v>133716</v>
      </c>
      <c r="J48" s="796">
        <f t="shared" si="2"/>
        <v>133716</v>
      </c>
      <c r="K48" s="914">
        <f t="shared" si="3"/>
        <v>579436</v>
      </c>
      <c r="L48" s="912"/>
    </row>
    <row r="49" spans="1:15" s="714" customFormat="1" ht="24" customHeight="1">
      <c r="A49" s="1147"/>
      <c r="B49" s="1148" t="s">
        <v>1646</v>
      </c>
      <c r="C49" s="1123"/>
      <c r="D49" s="1124"/>
      <c r="E49" s="1245">
        <v>1</v>
      </c>
      <c r="F49" s="935" t="s">
        <v>948</v>
      </c>
      <c r="G49" s="1244">
        <f>ROUND(SUM(H38:H47)*20%,)</f>
        <v>222860</v>
      </c>
      <c r="H49" s="796">
        <f t="shared" si="1"/>
        <v>222860</v>
      </c>
      <c r="I49" s="1176">
        <f>G49*0.3</f>
        <v>66858</v>
      </c>
      <c r="J49" s="796">
        <f t="shared" si="2"/>
        <v>66858</v>
      </c>
      <c r="K49" s="914">
        <f t="shared" si="3"/>
        <v>289718</v>
      </c>
      <c r="L49" s="912"/>
    </row>
    <row r="50" spans="1:15" s="714" customFormat="1" ht="24" customHeight="1">
      <c r="A50" s="1147"/>
      <c r="B50" s="1148" t="s">
        <v>1647</v>
      </c>
      <c r="C50" s="1123"/>
      <c r="D50" s="1124"/>
      <c r="E50" s="1245">
        <v>1</v>
      </c>
      <c r="F50" s="935" t="s">
        <v>948</v>
      </c>
      <c r="G50" s="1244">
        <f>ROUND(SUM(H38:H47)*10%,)</f>
        <v>111430</v>
      </c>
      <c r="H50" s="796">
        <f t="shared" si="1"/>
        <v>111430</v>
      </c>
      <c r="I50" s="1176">
        <f>G50*0.3</f>
        <v>33429</v>
      </c>
      <c r="J50" s="796">
        <f t="shared" si="2"/>
        <v>33429</v>
      </c>
      <c r="K50" s="914">
        <f t="shared" si="3"/>
        <v>144859</v>
      </c>
      <c r="L50" s="912"/>
    </row>
    <row r="51" spans="1:15" s="714" customFormat="1" ht="24" customHeight="1">
      <c r="A51" s="1147"/>
      <c r="B51" s="1148" t="s">
        <v>1791</v>
      </c>
      <c r="C51" s="1123"/>
      <c r="D51" s="1124"/>
      <c r="E51" s="1245">
        <v>1</v>
      </c>
      <c r="F51" s="935" t="s">
        <v>948</v>
      </c>
      <c r="G51" s="1244">
        <f>ROUND(SUM(H38:H47)*30%,)</f>
        <v>334290</v>
      </c>
      <c r="H51" s="796">
        <f t="shared" si="1"/>
        <v>334290</v>
      </c>
      <c r="I51" s="1176">
        <f>G51*0.3</f>
        <v>100287</v>
      </c>
      <c r="J51" s="796">
        <f t="shared" si="2"/>
        <v>100287</v>
      </c>
      <c r="K51" s="914">
        <f t="shared" si="3"/>
        <v>434577</v>
      </c>
      <c r="L51" s="912"/>
    </row>
    <row r="52" spans="1:15" s="714" customFormat="1" ht="24" customHeight="1">
      <c r="A52" s="1147" t="s">
        <v>1792</v>
      </c>
      <c r="B52" s="1148" t="s">
        <v>1793</v>
      </c>
      <c r="C52" s="1123"/>
      <c r="D52" s="1124"/>
      <c r="E52" s="1149"/>
      <c r="F52" s="1150"/>
      <c r="G52" s="1140"/>
      <c r="H52" s="854"/>
      <c r="I52" s="855"/>
      <c r="J52" s="854"/>
      <c r="K52" s="912"/>
      <c r="L52" s="912"/>
    </row>
    <row r="53" spans="1:15" s="714" customFormat="1" ht="24" customHeight="1">
      <c r="A53" s="1147"/>
      <c r="B53" s="1148" t="s">
        <v>1822</v>
      </c>
      <c r="C53" s="1123"/>
      <c r="D53" s="1124"/>
      <c r="E53" s="1019">
        <v>5</v>
      </c>
      <c r="F53" s="1150" t="s">
        <v>438</v>
      </c>
      <c r="G53" s="1140">
        <v>124</v>
      </c>
      <c r="H53" s="796">
        <f>ROUND(E53*G53,)</f>
        <v>620</v>
      </c>
      <c r="I53" s="797">
        <v>50</v>
      </c>
      <c r="J53" s="796">
        <f t="shared" ref="J53:J57" si="4">ROUND(I53*E53,)</f>
        <v>250</v>
      </c>
      <c r="K53" s="914">
        <f t="shared" ref="K53:K57" si="5">H53+J53</f>
        <v>870</v>
      </c>
      <c r="L53" s="2273" t="s">
        <v>2974</v>
      </c>
      <c r="N53" s="714">
        <v>745.96</v>
      </c>
      <c r="O53" s="714">
        <f>ROUND(N53/6,)</f>
        <v>124</v>
      </c>
    </row>
    <row r="54" spans="1:15" s="714" customFormat="1" ht="24" customHeight="1">
      <c r="A54" s="1147"/>
      <c r="B54" s="1148" t="s">
        <v>1188</v>
      </c>
      <c r="C54" s="1123"/>
      <c r="D54" s="1124"/>
      <c r="E54" s="1019">
        <v>12</v>
      </c>
      <c r="F54" s="1150" t="s">
        <v>438</v>
      </c>
      <c r="G54" s="1140">
        <v>259</v>
      </c>
      <c r="H54" s="796">
        <f t="shared" ref="H54:H57" si="6">ROUND(E54*G54,)</f>
        <v>3108</v>
      </c>
      <c r="I54" s="906">
        <v>110</v>
      </c>
      <c r="J54" s="796">
        <f t="shared" si="4"/>
        <v>1320</v>
      </c>
      <c r="K54" s="914">
        <f t="shared" si="5"/>
        <v>4428</v>
      </c>
      <c r="L54" s="2273" t="s">
        <v>2974</v>
      </c>
      <c r="N54" s="714">
        <v>1554.48</v>
      </c>
      <c r="O54" s="714">
        <f>ROUND(N54/6,)</f>
        <v>259</v>
      </c>
    </row>
    <row r="55" spans="1:15" s="714" customFormat="1" ht="24" customHeight="1">
      <c r="A55" s="1147"/>
      <c r="B55" s="1148" t="s">
        <v>1645</v>
      </c>
      <c r="C55" s="1123"/>
      <c r="D55" s="1124"/>
      <c r="E55" s="1013">
        <v>1</v>
      </c>
      <c r="F55" s="935" t="s">
        <v>948</v>
      </c>
      <c r="G55" s="1244">
        <f>ROUND(SUM(H53:H54)*50%,)</f>
        <v>1864</v>
      </c>
      <c r="H55" s="796">
        <f t="shared" si="6"/>
        <v>1864</v>
      </c>
      <c r="I55" s="1176">
        <f>ROUND(G55*0.3,)</f>
        <v>559</v>
      </c>
      <c r="J55" s="796">
        <f t="shared" si="4"/>
        <v>559</v>
      </c>
      <c r="K55" s="914">
        <f t="shared" si="5"/>
        <v>2423</v>
      </c>
      <c r="L55" s="912"/>
    </row>
    <row r="56" spans="1:15" s="714" customFormat="1" ht="24" customHeight="1">
      <c r="A56" s="1147"/>
      <c r="B56" s="1148" t="s">
        <v>1646</v>
      </c>
      <c r="C56" s="1123"/>
      <c r="D56" s="1124"/>
      <c r="E56" s="1013">
        <v>1</v>
      </c>
      <c r="F56" s="935" t="s">
        <v>948</v>
      </c>
      <c r="G56" s="1244">
        <f>ROUND(SUM(H53:H54)*20%,)</f>
        <v>746</v>
      </c>
      <c r="H56" s="796">
        <f t="shared" si="6"/>
        <v>746</v>
      </c>
      <c r="I56" s="1176">
        <f>ROUND(G56*0.3,)</f>
        <v>224</v>
      </c>
      <c r="J56" s="796">
        <f>ROUND(I56*E56,)</f>
        <v>224</v>
      </c>
      <c r="K56" s="914">
        <f t="shared" si="5"/>
        <v>970</v>
      </c>
      <c r="L56" s="912"/>
    </row>
    <row r="57" spans="1:15" s="714" customFormat="1" ht="24" customHeight="1">
      <c r="A57" s="1147"/>
      <c r="B57" s="1148" t="s">
        <v>1647</v>
      </c>
      <c r="C57" s="1123"/>
      <c r="D57" s="1124"/>
      <c r="E57" s="1013">
        <v>1</v>
      </c>
      <c r="F57" s="935" t="s">
        <v>948</v>
      </c>
      <c r="G57" s="1244">
        <f>ROUND(SUM(H53:H54)*10%,)</f>
        <v>373</v>
      </c>
      <c r="H57" s="796">
        <f t="shared" si="6"/>
        <v>373</v>
      </c>
      <c r="I57" s="1176">
        <f>ROUND(G57*0.3,)</f>
        <v>112</v>
      </c>
      <c r="J57" s="796">
        <f t="shared" si="4"/>
        <v>112</v>
      </c>
      <c r="K57" s="914">
        <f t="shared" si="5"/>
        <v>485</v>
      </c>
      <c r="L57" s="912"/>
    </row>
    <row r="58" spans="1:15" s="714" customFormat="1" ht="24" customHeight="1">
      <c r="A58" s="1147"/>
      <c r="B58" s="1148"/>
      <c r="C58" s="1123"/>
      <c r="D58" s="1124"/>
      <c r="E58" s="1149"/>
      <c r="F58" s="1150"/>
      <c r="G58" s="1140"/>
      <c r="H58" s="854"/>
      <c r="I58" s="855"/>
      <c r="J58" s="854"/>
      <c r="K58" s="912"/>
      <c r="L58" s="912"/>
    </row>
    <row r="59" spans="1:15" s="714" customFormat="1" ht="24" customHeight="1">
      <c r="A59" s="1166"/>
      <c r="B59" s="2475" t="str">
        <f>"รวมราคารายการที่ "&amp;A36</f>
        <v>รวมราคารายการที่ 6.1</v>
      </c>
      <c r="C59" s="2476"/>
      <c r="D59" s="2477"/>
      <c r="E59" s="1167"/>
      <c r="F59" s="1167"/>
      <c r="G59" s="1168"/>
      <c r="H59" s="1169">
        <f>SUM(H37:H58)</f>
        <v>2235310</v>
      </c>
      <c r="I59" s="1170"/>
      <c r="J59" s="1169">
        <f>SUM(J37:J58)</f>
        <v>968465</v>
      </c>
      <c r="K59" s="1171">
        <f>SUM(K37:K58)</f>
        <v>3203775</v>
      </c>
      <c r="L59" s="1171"/>
    </row>
    <row r="60" spans="1:15" s="714" customFormat="1" ht="24" customHeight="1">
      <c r="A60" s="1207">
        <v>6.2</v>
      </c>
      <c r="B60" s="1208" t="s">
        <v>1794</v>
      </c>
      <c r="C60" s="1209"/>
      <c r="D60" s="1210"/>
      <c r="E60" s="1211"/>
      <c r="F60" s="1212"/>
      <c r="G60" s="874"/>
      <c r="H60" s="854"/>
      <c r="I60" s="855"/>
      <c r="J60" s="854"/>
      <c r="K60" s="912"/>
      <c r="L60" s="912"/>
    </row>
    <row r="61" spans="1:15" s="714" customFormat="1" ht="24" customHeight="1">
      <c r="A61" s="1147" t="s">
        <v>1795</v>
      </c>
      <c r="B61" s="1148" t="s">
        <v>1823</v>
      </c>
      <c r="C61" s="1123"/>
      <c r="D61" s="1124"/>
      <c r="E61" s="1149"/>
      <c r="F61" s="1150"/>
      <c r="G61" s="1140"/>
      <c r="H61" s="796">
        <f t="shared" ref="H61:H62" si="7">ROUND(E61*G61,)</f>
        <v>0</v>
      </c>
      <c r="I61" s="855"/>
      <c r="J61" s="796">
        <f t="shared" ref="J61:J62" si="8">ROUND(I61*E61,)</f>
        <v>0</v>
      </c>
      <c r="K61" s="912"/>
      <c r="L61" s="912"/>
    </row>
    <row r="62" spans="1:15" s="714" customFormat="1" ht="24" customHeight="1">
      <c r="A62" s="1147"/>
      <c r="B62" s="1148" t="s">
        <v>1185</v>
      </c>
      <c r="C62" s="1123"/>
      <c r="D62" s="1124"/>
      <c r="E62" s="1149">
        <v>8</v>
      </c>
      <c r="F62" s="1150" t="s">
        <v>240</v>
      </c>
      <c r="G62" s="1140">
        <v>400</v>
      </c>
      <c r="H62" s="796">
        <f t="shared" si="7"/>
        <v>3200</v>
      </c>
      <c r="I62" s="855">
        <v>200</v>
      </c>
      <c r="J62" s="796">
        <f t="shared" si="8"/>
        <v>1600</v>
      </c>
      <c r="K62" s="914">
        <f t="shared" ref="K62" si="9">H62+J62</f>
        <v>4800</v>
      </c>
      <c r="L62" s="912"/>
    </row>
    <row r="63" spans="1:15" s="714" customFormat="1" ht="24" customHeight="1">
      <c r="A63" s="1147" t="s">
        <v>1797</v>
      </c>
      <c r="B63" s="1148" t="s">
        <v>1824</v>
      </c>
      <c r="C63" s="1123"/>
      <c r="D63" s="1124"/>
      <c r="E63" s="1149"/>
      <c r="F63" s="1150"/>
      <c r="G63" s="1140"/>
      <c r="H63" s="854"/>
      <c r="I63" s="855"/>
      <c r="J63" s="854"/>
      <c r="K63" s="912"/>
      <c r="L63" s="912"/>
    </row>
    <row r="64" spans="1:15" s="714" customFormat="1" ht="24" customHeight="1">
      <c r="A64" s="1147"/>
      <c r="B64" s="1148" t="s">
        <v>1675</v>
      </c>
      <c r="C64" s="1123"/>
      <c r="D64" s="1124"/>
      <c r="E64" s="1149">
        <v>4</v>
      </c>
      <c r="F64" s="1150" t="s">
        <v>240</v>
      </c>
      <c r="G64" s="1140">
        <v>13100</v>
      </c>
      <c r="H64" s="796">
        <f t="shared" ref="H64:H67" si="10">ROUND(E64*G64,)</f>
        <v>52400</v>
      </c>
      <c r="I64" s="855">
        <v>1200</v>
      </c>
      <c r="J64" s="796">
        <f t="shared" ref="J64:J67" si="11">ROUND(I64*E64,)</f>
        <v>4800</v>
      </c>
      <c r="K64" s="914">
        <f t="shared" ref="K64:K67" si="12">H64+J64</f>
        <v>57200</v>
      </c>
      <c r="L64" s="912"/>
    </row>
    <row r="65" spans="1:12" s="714" customFormat="1" ht="24" customHeight="1">
      <c r="A65" s="1147" t="s">
        <v>1799</v>
      </c>
      <c r="B65" s="1148" t="s">
        <v>1825</v>
      </c>
      <c r="C65" s="1123"/>
      <c r="D65" s="1124"/>
      <c r="E65" s="1149"/>
      <c r="F65" s="1150"/>
      <c r="G65" s="1140"/>
      <c r="H65" s="796"/>
      <c r="I65" s="855"/>
      <c r="J65" s="796"/>
      <c r="K65" s="914"/>
      <c r="L65" s="912"/>
    </row>
    <row r="66" spans="1:12" s="714" customFormat="1" ht="24" customHeight="1">
      <c r="A66" s="1147"/>
      <c r="B66" s="1148" t="s">
        <v>1788</v>
      </c>
      <c r="C66" s="1123"/>
      <c r="D66" s="1124"/>
      <c r="E66" s="1149">
        <v>4</v>
      </c>
      <c r="F66" s="1150" t="s">
        <v>240</v>
      </c>
      <c r="G66" s="1140">
        <v>1963</v>
      </c>
      <c r="H66" s="796">
        <f t="shared" ref="H66" si="13">ROUND(E66*G66,)</f>
        <v>7852</v>
      </c>
      <c r="I66" s="855">
        <v>400</v>
      </c>
      <c r="J66" s="796">
        <f t="shared" ref="J66" si="14">ROUND(I66*E66,)</f>
        <v>1600</v>
      </c>
      <c r="K66" s="914">
        <f t="shared" ref="K66" si="15">H66+J66</f>
        <v>9452</v>
      </c>
      <c r="L66" s="912"/>
    </row>
    <row r="67" spans="1:12" s="714" customFormat="1" ht="24" customHeight="1">
      <c r="A67" s="1147" t="s">
        <v>1801</v>
      </c>
      <c r="B67" s="1148" t="s">
        <v>1826</v>
      </c>
      <c r="C67" s="1123"/>
      <c r="D67" s="1124"/>
      <c r="E67" s="1149">
        <v>4</v>
      </c>
      <c r="F67" s="1150" t="s">
        <v>240</v>
      </c>
      <c r="G67" s="1140">
        <v>900</v>
      </c>
      <c r="H67" s="796">
        <f t="shared" si="10"/>
        <v>3600</v>
      </c>
      <c r="I67" s="855">
        <v>100</v>
      </c>
      <c r="J67" s="796">
        <f t="shared" si="11"/>
        <v>400</v>
      </c>
      <c r="K67" s="914">
        <f t="shared" si="12"/>
        <v>4000</v>
      </c>
      <c r="L67" s="912"/>
    </row>
    <row r="68" spans="1:12" s="714" customFormat="1" ht="24" customHeight="1">
      <c r="A68" s="1147" t="s">
        <v>1803</v>
      </c>
      <c r="B68" s="1148" t="s">
        <v>1827</v>
      </c>
      <c r="C68" s="1123"/>
      <c r="D68" s="1124"/>
      <c r="E68" s="1149"/>
      <c r="F68" s="1150"/>
      <c r="G68" s="1140"/>
      <c r="H68" s="854"/>
      <c r="I68" s="855"/>
      <c r="J68" s="854"/>
      <c r="K68" s="912"/>
      <c r="L68" s="912"/>
    </row>
    <row r="69" spans="1:12" s="714" customFormat="1" ht="24" customHeight="1">
      <c r="A69" s="1147"/>
      <c r="B69" s="1148" t="s">
        <v>1675</v>
      </c>
      <c r="C69" s="1123"/>
      <c r="D69" s="1124"/>
      <c r="E69" s="1149">
        <v>4</v>
      </c>
      <c r="F69" s="1150" t="s">
        <v>240</v>
      </c>
      <c r="G69" s="1140">
        <v>7330</v>
      </c>
      <c r="H69" s="796">
        <f t="shared" ref="H69" si="16">ROUND(E69*G69,)</f>
        <v>29320</v>
      </c>
      <c r="I69" s="855">
        <v>1200</v>
      </c>
      <c r="J69" s="796">
        <f t="shared" ref="J69" si="17">ROUND(I69*E69,)</f>
        <v>4800</v>
      </c>
      <c r="K69" s="914">
        <f t="shared" ref="K69" si="18">H69+J69</f>
        <v>34120</v>
      </c>
      <c r="L69" s="912"/>
    </row>
    <row r="70" spans="1:12" s="714" customFormat="1" ht="24" customHeight="1">
      <c r="A70" s="1147" t="s">
        <v>1805</v>
      </c>
      <c r="B70" s="1148" t="s">
        <v>1717</v>
      </c>
      <c r="C70" s="1123"/>
      <c r="D70" s="1124"/>
      <c r="E70" s="1149"/>
      <c r="F70" s="1150"/>
      <c r="G70" s="1140"/>
      <c r="H70" s="854"/>
      <c r="I70" s="855"/>
      <c r="J70" s="854"/>
      <c r="K70" s="912"/>
      <c r="L70" s="912"/>
    </row>
    <row r="71" spans="1:12" s="714" customFormat="1" ht="24" customHeight="1">
      <c r="A71" s="1147"/>
      <c r="B71" s="1148" t="s">
        <v>1785</v>
      </c>
      <c r="C71" s="1123"/>
      <c r="D71" s="1124"/>
      <c r="E71" s="1149">
        <v>4</v>
      </c>
      <c r="F71" s="1150" t="s">
        <v>240</v>
      </c>
      <c r="G71" s="1140">
        <v>1010</v>
      </c>
      <c r="H71" s="796">
        <f t="shared" ref="H71" si="19">ROUND(E71*G71,)</f>
        <v>4040</v>
      </c>
      <c r="I71" s="855">
        <v>100</v>
      </c>
      <c r="J71" s="796">
        <f t="shared" ref="J71" si="20">ROUND(I71*E71,)</f>
        <v>400</v>
      </c>
      <c r="K71" s="914">
        <f t="shared" ref="K71" si="21">H71+J71</f>
        <v>4440</v>
      </c>
      <c r="L71" s="912"/>
    </row>
    <row r="72" spans="1:12" s="714" customFormat="1" ht="24" customHeight="1">
      <c r="A72" s="1147" t="s">
        <v>1807</v>
      </c>
      <c r="B72" s="1148" t="s">
        <v>1806</v>
      </c>
      <c r="C72" s="1123"/>
      <c r="D72" s="1124"/>
      <c r="E72" s="1149"/>
      <c r="F72" s="1150"/>
      <c r="G72" s="1140"/>
      <c r="H72" s="854"/>
      <c r="I72" s="855"/>
      <c r="J72" s="854"/>
      <c r="K72" s="912"/>
      <c r="L72" s="912"/>
    </row>
    <row r="73" spans="1:12" s="714" customFormat="1" ht="24" customHeight="1">
      <c r="A73" s="1147"/>
      <c r="B73" s="1148" t="s">
        <v>1785</v>
      </c>
      <c r="C73" s="1123"/>
      <c r="D73" s="1124"/>
      <c r="E73" s="1149">
        <v>4</v>
      </c>
      <c r="F73" s="1150" t="s">
        <v>240</v>
      </c>
      <c r="G73" s="1249">
        <v>18060</v>
      </c>
      <c r="H73" s="796">
        <f t="shared" ref="H73" si="22">ROUND(E73*G73,)</f>
        <v>72240</v>
      </c>
      <c r="I73" s="855">
        <v>100</v>
      </c>
      <c r="J73" s="796">
        <f t="shared" ref="J73" si="23">ROUND(I73*E73,)</f>
        <v>400</v>
      </c>
      <c r="K73" s="914">
        <f t="shared" ref="K73" si="24">H73+J73</f>
        <v>72640</v>
      </c>
      <c r="L73" s="912"/>
    </row>
    <row r="74" spans="1:12" s="714" customFormat="1" ht="24" customHeight="1">
      <c r="A74" s="1147"/>
      <c r="B74" s="1148" t="s">
        <v>957</v>
      </c>
      <c r="C74" s="1123"/>
      <c r="D74" s="1190"/>
      <c r="E74" s="1149"/>
      <c r="F74" s="1210"/>
      <c r="G74" s="1140"/>
      <c r="H74" s="854"/>
      <c r="I74" s="855"/>
      <c r="J74" s="854"/>
      <c r="K74" s="912"/>
      <c r="L74" s="912"/>
    </row>
    <row r="75" spans="1:12" s="714" customFormat="1" ht="24" customHeight="1">
      <c r="A75" s="1166"/>
      <c r="B75" s="2475" t="str">
        <f>"รวมราคารายการที่ "&amp;A60</f>
        <v>รวมราคารายการที่ 6.2</v>
      </c>
      <c r="C75" s="2476"/>
      <c r="D75" s="2477"/>
      <c r="E75" s="1167"/>
      <c r="F75" s="1167"/>
      <c r="G75" s="1168"/>
      <c r="H75" s="1169">
        <f>SUM(H62:H74)</f>
        <v>172652</v>
      </c>
      <c r="I75" s="1170"/>
      <c r="J75" s="1169">
        <f>SUM(J62:J74)</f>
        <v>14000</v>
      </c>
      <c r="K75" s="1171">
        <f>SUM(K62:K74)</f>
        <v>186652</v>
      </c>
      <c r="L75" s="1171"/>
    </row>
    <row r="76" spans="1:12" s="714" customFormat="1" ht="24" customHeight="1">
      <c r="A76" s="1207">
        <v>6.3</v>
      </c>
      <c r="B76" s="1208" t="s">
        <v>1828</v>
      </c>
      <c r="C76" s="1209"/>
      <c r="D76" s="1210"/>
      <c r="E76" s="1211"/>
      <c r="F76" s="1221"/>
      <c r="G76" s="1140"/>
      <c r="H76" s="854"/>
      <c r="I76" s="855"/>
      <c r="J76" s="854"/>
      <c r="K76" s="912"/>
      <c r="L76" s="912"/>
    </row>
    <row r="77" spans="1:12" s="714" customFormat="1" ht="24" customHeight="1">
      <c r="A77" s="1147" t="s">
        <v>1829</v>
      </c>
      <c r="B77" s="1148" t="s">
        <v>1830</v>
      </c>
      <c r="C77" s="1123"/>
      <c r="D77" s="1124"/>
      <c r="E77" s="1149"/>
      <c r="F77" s="1147" t="s">
        <v>240</v>
      </c>
      <c r="G77" s="1140"/>
      <c r="H77" s="796">
        <f t="shared" ref="H77:H79" si="25">ROUND(E77*G77,)</f>
        <v>0</v>
      </c>
      <c r="I77" s="855"/>
      <c r="J77" s="796">
        <f t="shared" ref="J77:J79" si="26">ROUND(I77*E77,)</f>
        <v>0</v>
      </c>
      <c r="K77" s="914">
        <f>H77+J77</f>
        <v>0</v>
      </c>
      <c r="L77" s="912"/>
    </row>
    <row r="78" spans="1:12" s="714" customFormat="1" ht="24" customHeight="1">
      <c r="A78" s="1147" t="s">
        <v>1831</v>
      </c>
      <c r="B78" s="1148" t="s">
        <v>1832</v>
      </c>
      <c r="C78" s="1123"/>
      <c r="D78" s="1124"/>
      <c r="E78" s="1149"/>
      <c r="F78" s="1147" t="s">
        <v>240</v>
      </c>
      <c r="G78" s="1140"/>
      <c r="H78" s="796">
        <f t="shared" si="25"/>
        <v>0</v>
      </c>
      <c r="I78" s="855"/>
      <c r="J78" s="796">
        <f t="shared" si="26"/>
        <v>0</v>
      </c>
      <c r="K78" s="914">
        <f>H78+J78</f>
        <v>0</v>
      </c>
      <c r="L78" s="912"/>
    </row>
    <row r="79" spans="1:12" s="714" customFormat="1" ht="24" customHeight="1">
      <c r="A79" s="1147" t="s">
        <v>1833</v>
      </c>
      <c r="B79" s="1148" t="s">
        <v>1834</v>
      </c>
      <c r="C79" s="1123"/>
      <c r="D79" s="1124"/>
      <c r="E79" s="1149">
        <v>968</v>
      </c>
      <c r="F79" s="1147" t="s">
        <v>240</v>
      </c>
      <c r="G79" s="1140">
        <v>126</v>
      </c>
      <c r="H79" s="796">
        <f t="shared" si="25"/>
        <v>121968</v>
      </c>
      <c r="I79" s="855">
        <v>50</v>
      </c>
      <c r="J79" s="796">
        <f t="shared" si="26"/>
        <v>48400</v>
      </c>
      <c r="K79" s="914">
        <f>H79+J79</f>
        <v>170368</v>
      </c>
      <c r="L79" s="912"/>
    </row>
    <row r="80" spans="1:12" s="714" customFormat="1" ht="24" customHeight="1">
      <c r="A80" s="1147" t="s">
        <v>1835</v>
      </c>
      <c r="B80" s="1148" t="s">
        <v>1836</v>
      </c>
      <c r="C80" s="1123"/>
      <c r="D80" s="1124"/>
      <c r="E80" s="1149"/>
      <c r="F80" s="1147" t="s">
        <v>240</v>
      </c>
      <c r="G80" s="1140"/>
      <c r="H80" s="854"/>
      <c r="I80" s="855"/>
      <c r="J80" s="854"/>
      <c r="K80" s="912"/>
      <c r="L80" s="912"/>
    </row>
    <row r="81" spans="1:12" s="714" customFormat="1" ht="24" customHeight="1">
      <c r="A81" s="1147" t="s">
        <v>1837</v>
      </c>
      <c r="B81" s="1148" t="s">
        <v>1838</v>
      </c>
      <c r="C81" s="1123"/>
      <c r="D81" s="1124"/>
      <c r="E81" s="1149"/>
      <c r="F81" s="1147" t="s">
        <v>240</v>
      </c>
      <c r="G81" s="1140"/>
      <c r="H81" s="854"/>
      <c r="I81" s="855"/>
      <c r="J81" s="854"/>
      <c r="K81" s="912"/>
      <c r="L81" s="912"/>
    </row>
    <row r="82" spans="1:12" s="714" customFormat="1" ht="24" customHeight="1">
      <c r="A82" s="1147" t="s">
        <v>1839</v>
      </c>
      <c r="B82" s="1148" t="s">
        <v>1840</v>
      </c>
      <c r="C82" s="1123"/>
      <c r="D82" s="1124"/>
      <c r="E82" s="1149"/>
      <c r="F82" s="1147" t="s">
        <v>240</v>
      </c>
      <c r="G82" s="1140"/>
      <c r="H82" s="854"/>
      <c r="I82" s="855"/>
      <c r="J82" s="854"/>
      <c r="K82" s="912"/>
      <c r="L82" s="912"/>
    </row>
    <row r="83" spans="1:12" s="714" customFormat="1" ht="24" customHeight="1">
      <c r="A83" s="1147"/>
      <c r="B83" s="1148"/>
      <c r="C83" s="1123"/>
      <c r="D83" s="1124"/>
      <c r="E83" s="1149"/>
      <c r="F83" s="1147"/>
      <c r="G83" s="1140"/>
      <c r="H83" s="854"/>
      <c r="I83" s="855"/>
      <c r="J83" s="854"/>
      <c r="K83" s="912"/>
      <c r="L83" s="912"/>
    </row>
    <row r="84" spans="1:12" s="714" customFormat="1" ht="24" customHeight="1">
      <c r="A84" s="1166"/>
      <c r="B84" s="2475" t="str">
        <f>"รวมราคารายการที่ "&amp;A76</f>
        <v>รวมราคารายการที่ 6.3</v>
      </c>
      <c r="C84" s="2476"/>
      <c r="D84" s="2477"/>
      <c r="E84" s="1167"/>
      <c r="F84" s="1167"/>
      <c r="G84" s="1168"/>
      <c r="H84" s="1169">
        <f>SUM(H77:H83)</f>
        <v>121968</v>
      </c>
      <c r="I84" s="1170"/>
      <c r="J84" s="1169">
        <f>SUM(J77:J83)</f>
        <v>48400</v>
      </c>
      <c r="K84" s="1171">
        <f>SUM(K77:K83)</f>
        <v>170368</v>
      </c>
      <c r="L84" s="1171"/>
    </row>
    <row r="85" spans="1:12" s="714" customFormat="1" ht="24" customHeight="1">
      <c r="A85" s="1195">
        <v>6.4</v>
      </c>
      <c r="B85" s="1196" t="s">
        <v>1844</v>
      </c>
      <c r="C85" s="1197"/>
      <c r="D85" s="1198"/>
      <c r="E85" s="1199"/>
      <c r="F85" s="1230"/>
      <c r="G85" s="1255"/>
      <c r="H85" s="788"/>
      <c r="I85" s="789"/>
      <c r="J85" s="788"/>
      <c r="K85" s="1256"/>
      <c r="L85" s="1256"/>
    </row>
    <row r="86" spans="1:12" s="714" customFormat="1" ht="24" customHeight="1">
      <c r="A86" s="1147" t="s">
        <v>1845</v>
      </c>
      <c r="B86" s="1148" t="s">
        <v>1846</v>
      </c>
      <c r="C86" s="1123"/>
      <c r="D86" s="1124"/>
      <c r="E86" s="1149"/>
      <c r="F86" s="1147"/>
      <c r="G86" s="1257"/>
      <c r="H86" s="796"/>
      <c r="I86" s="797"/>
      <c r="J86" s="796"/>
      <c r="K86" s="914"/>
      <c r="L86" s="914"/>
    </row>
    <row r="87" spans="1:12" s="714" customFormat="1" ht="24" customHeight="1">
      <c r="A87" s="1147"/>
      <c r="B87" s="1148" t="s">
        <v>1847</v>
      </c>
      <c r="C87" s="1123"/>
      <c r="D87" s="1124"/>
      <c r="E87" s="1149">
        <v>1</v>
      </c>
      <c r="F87" s="1147" t="s">
        <v>240</v>
      </c>
      <c r="G87" s="1257">
        <v>3800</v>
      </c>
      <c r="H87" s="796">
        <f t="shared" ref="H87:H93" si="27">ROUND(E87*G87,)</f>
        <v>3800</v>
      </c>
      <c r="I87" s="797">
        <f>G87*0.3</f>
        <v>1140</v>
      </c>
      <c r="J87" s="796">
        <f t="shared" ref="J87" si="28">ROUND(I87*E87,)</f>
        <v>1140</v>
      </c>
      <c r="K87" s="914">
        <f>H87+J87</f>
        <v>4940</v>
      </c>
      <c r="L87" s="914"/>
    </row>
    <row r="88" spans="1:12" s="714" customFormat="1" ht="24" customHeight="1">
      <c r="A88" s="1159"/>
      <c r="B88" s="1160" t="s">
        <v>1848</v>
      </c>
      <c r="C88" s="1161"/>
      <c r="D88" s="1162"/>
      <c r="E88" s="1149">
        <v>1</v>
      </c>
      <c r="F88" s="1159" t="s">
        <v>240</v>
      </c>
      <c r="G88" s="1258">
        <v>890</v>
      </c>
      <c r="H88" s="796">
        <f t="shared" si="27"/>
        <v>890</v>
      </c>
      <c r="I88" s="797" t="s">
        <v>974</v>
      </c>
      <c r="J88" s="796"/>
      <c r="K88" s="914">
        <f t="shared" ref="K88:K93" si="29">H88+J88</f>
        <v>890</v>
      </c>
      <c r="L88" s="914"/>
    </row>
    <row r="89" spans="1:12" s="714" customFormat="1" ht="24" customHeight="1">
      <c r="A89" s="1147"/>
      <c r="B89" s="1148" t="s">
        <v>1849</v>
      </c>
      <c r="C89" s="1123"/>
      <c r="D89" s="1124"/>
      <c r="E89" s="1149">
        <v>1</v>
      </c>
      <c r="F89" s="1147" t="s">
        <v>240</v>
      </c>
      <c r="G89" s="1257">
        <v>4200</v>
      </c>
      <c r="H89" s="796">
        <f t="shared" si="27"/>
        <v>4200</v>
      </c>
      <c r="I89" s="797" t="s">
        <v>974</v>
      </c>
      <c r="J89" s="796"/>
      <c r="K89" s="914">
        <f t="shared" si="29"/>
        <v>4200</v>
      </c>
      <c r="L89" s="914"/>
    </row>
    <row r="90" spans="1:12" s="714" customFormat="1" ht="24" customHeight="1">
      <c r="A90" s="1159"/>
      <c r="B90" s="1148" t="s">
        <v>1850</v>
      </c>
      <c r="C90" s="1123"/>
      <c r="D90" s="1124"/>
      <c r="E90" s="1149">
        <v>1</v>
      </c>
      <c r="F90" s="1147" t="s">
        <v>240</v>
      </c>
      <c r="G90" s="1257">
        <v>8000</v>
      </c>
      <c r="H90" s="796">
        <f t="shared" si="27"/>
        <v>8000</v>
      </c>
      <c r="I90" s="797" t="s">
        <v>974</v>
      </c>
      <c r="J90" s="796"/>
      <c r="K90" s="914">
        <f t="shared" si="29"/>
        <v>8000</v>
      </c>
      <c r="L90" s="1014"/>
    </row>
    <row r="91" spans="1:12" s="714" customFormat="1" ht="24" customHeight="1">
      <c r="A91" s="1147"/>
      <c r="B91" s="1148" t="s">
        <v>1851</v>
      </c>
      <c r="C91" s="1123"/>
      <c r="D91" s="1124"/>
      <c r="E91" s="1149">
        <v>1</v>
      </c>
      <c r="F91" s="1147" t="s">
        <v>240</v>
      </c>
      <c r="G91" s="1257">
        <v>5720</v>
      </c>
      <c r="H91" s="796">
        <f t="shared" si="27"/>
        <v>5720</v>
      </c>
      <c r="I91" s="797" t="s">
        <v>974</v>
      </c>
      <c r="J91" s="796"/>
      <c r="K91" s="914">
        <f t="shared" si="29"/>
        <v>5720</v>
      </c>
      <c r="L91" s="912"/>
    </row>
    <row r="92" spans="1:12" s="714" customFormat="1" ht="24" customHeight="1">
      <c r="A92" s="1147"/>
      <c r="B92" s="1148" t="s">
        <v>1852</v>
      </c>
      <c r="C92" s="1123"/>
      <c r="D92" s="1124"/>
      <c r="E92" s="1149">
        <v>1</v>
      </c>
      <c r="F92" s="1147" t="s">
        <v>240</v>
      </c>
      <c r="G92" s="1257">
        <v>820</v>
      </c>
      <c r="H92" s="796">
        <f t="shared" si="27"/>
        <v>820</v>
      </c>
      <c r="I92" s="797" t="s">
        <v>974</v>
      </c>
      <c r="J92" s="796"/>
      <c r="K92" s="914">
        <f t="shared" si="29"/>
        <v>820</v>
      </c>
      <c r="L92" s="912"/>
    </row>
    <row r="93" spans="1:12" s="714" customFormat="1" ht="24" customHeight="1">
      <c r="A93" s="1147"/>
      <c r="B93" s="1148" t="s">
        <v>1853</v>
      </c>
      <c r="C93" s="1123"/>
      <c r="D93" s="1124"/>
      <c r="E93" s="1149">
        <v>1</v>
      </c>
      <c r="F93" s="1147" t="s">
        <v>240</v>
      </c>
      <c r="G93" s="1257">
        <v>450</v>
      </c>
      <c r="H93" s="796">
        <f t="shared" si="27"/>
        <v>450</v>
      </c>
      <c r="I93" s="797" t="s">
        <v>974</v>
      </c>
      <c r="J93" s="796"/>
      <c r="K93" s="914">
        <f t="shared" si="29"/>
        <v>450</v>
      </c>
      <c r="L93" s="912"/>
    </row>
    <row r="94" spans="1:12" s="714" customFormat="1" ht="24" customHeight="1">
      <c r="A94" s="1147" t="s">
        <v>1854</v>
      </c>
      <c r="B94" s="1148" t="s">
        <v>1855</v>
      </c>
      <c r="C94" s="1123"/>
      <c r="D94" s="1124"/>
      <c r="E94" s="1149"/>
      <c r="F94" s="1147"/>
      <c r="G94" s="1257"/>
      <c r="H94" s="854"/>
      <c r="I94" s="855"/>
      <c r="J94" s="854"/>
      <c r="K94" s="912"/>
      <c r="L94" s="912"/>
    </row>
    <row r="95" spans="1:12" s="714" customFormat="1" ht="24" customHeight="1">
      <c r="A95" s="1147"/>
      <c r="B95" s="1148" t="s">
        <v>1856</v>
      </c>
      <c r="C95" s="1123"/>
      <c r="D95" s="1124"/>
      <c r="E95" s="1149">
        <v>8</v>
      </c>
      <c r="F95" s="1147" t="s">
        <v>240</v>
      </c>
      <c r="G95" s="1257">
        <f>6500*1.1</f>
        <v>7150.0000000000009</v>
      </c>
      <c r="H95" s="796">
        <f t="shared" ref="H95:H106" si="30">ROUND(E95*G95,)</f>
        <v>57200</v>
      </c>
      <c r="I95" s="797">
        <f>G95*0.3</f>
        <v>2145</v>
      </c>
      <c r="J95" s="796">
        <f t="shared" ref="J95" si="31">ROUND(I95*E95,)</f>
        <v>17160</v>
      </c>
      <c r="K95" s="914">
        <f>H95+J95</f>
        <v>74360</v>
      </c>
      <c r="L95" s="1014"/>
    </row>
    <row r="96" spans="1:12" s="714" customFormat="1" ht="24" customHeight="1">
      <c r="A96" s="1147"/>
      <c r="B96" s="1160" t="s">
        <v>1848</v>
      </c>
      <c r="C96" s="1161"/>
      <c r="D96" s="1162"/>
      <c r="E96" s="1149">
        <v>8</v>
      </c>
      <c r="F96" s="1159" t="s">
        <v>240</v>
      </c>
      <c r="G96" s="1258">
        <v>890</v>
      </c>
      <c r="H96" s="796">
        <f t="shared" si="30"/>
        <v>7120</v>
      </c>
      <c r="I96" s="797" t="s">
        <v>974</v>
      </c>
      <c r="J96" s="796"/>
      <c r="K96" s="914">
        <f t="shared" ref="K96:K101" si="32">H96+J96</f>
        <v>7120</v>
      </c>
      <c r="L96" s="1014"/>
    </row>
    <row r="97" spans="1:13" s="714" customFormat="1" ht="24" customHeight="1">
      <c r="A97" s="1159"/>
      <c r="B97" s="1148" t="s">
        <v>1849</v>
      </c>
      <c r="C97" s="1123"/>
      <c r="D97" s="1124"/>
      <c r="E97" s="1149">
        <v>8</v>
      </c>
      <c r="F97" s="1147" t="s">
        <v>240</v>
      </c>
      <c r="G97" s="1257">
        <v>4200</v>
      </c>
      <c r="H97" s="796">
        <f t="shared" si="30"/>
        <v>33600</v>
      </c>
      <c r="I97" s="797" t="s">
        <v>974</v>
      </c>
      <c r="J97" s="796"/>
      <c r="K97" s="914">
        <f t="shared" si="32"/>
        <v>33600</v>
      </c>
      <c r="L97" s="1014"/>
    </row>
    <row r="98" spans="1:13" s="714" customFormat="1" ht="24" customHeight="1">
      <c r="A98" s="1159"/>
      <c r="B98" s="1148" t="s">
        <v>1850</v>
      </c>
      <c r="C98" s="1123"/>
      <c r="D98" s="1124"/>
      <c r="E98" s="1149">
        <v>8</v>
      </c>
      <c r="F98" s="1147" t="s">
        <v>240</v>
      </c>
      <c r="G98" s="1257">
        <v>8000</v>
      </c>
      <c r="H98" s="796">
        <f t="shared" si="30"/>
        <v>64000</v>
      </c>
      <c r="I98" s="797" t="s">
        <v>974</v>
      </c>
      <c r="J98" s="796"/>
      <c r="K98" s="914">
        <f t="shared" si="32"/>
        <v>64000</v>
      </c>
      <c r="L98" s="1014"/>
    </row>
    <row r="99" spans="1:13" s="714" customFormat="1" ht="24" customHeight="1">
      <c r="A99" s="1147"/>
      <c r="B99" s="1148" t="s">
        <v>1851</v>
      </c>
      <c r="C99" s="1123"/>
      <c r="D99" s="1124"/>
      <c r="E99" s="1149">
        <v>8</v>
      </c>
      <c r="F99" s="1147" t="s">
        <v>240</v>
      </c>
      <c r="G99" s="1257">
        <v>5720</v>
      </c>
      <c r="H99" s="796">
        <f t="shared" si="30"/>
        <v>45760</v>
      </c>
      <c r="I99" s="797" t="s">
        <v>974</v>
      </c>
      <c r="J99" s="796"/>
      <c r="K99" s="914">
        <f t="shared" si="32"/>
        <v>45760</v>
      </c>
      <c r="L99" s="1014"/>
    </row>
    <row r="100" spans="1:13" s="714" customFormat="1" ht="24" customHeight="1">
      <c r="A100" s="1147"/>
      <c r="B100" s="1148" t="s">
        <v>1852</v>
      </c>
      <c r="C100" s="1123"/>
      <c r="D100" s="1124"/>
      <c r="E100" s="1149">
        <v>8</v>
      </c>
      <c r="F100" s="1147" t="s">
        <v>240</v>
      </c>
      <c r="G100" s="1257">
        <v>820</v>
      </c>
      <c r="H100" s="796">
        <f t="shared" si="30"/>
        <v>6560</v>
      </c>
      <c r="I100" s="797" t="s">
        <v>974</v>
      </c>
      <c r="J100" s="796"/>
      <c r="K100" s="914">
        <f t="shared" si="32"/>
        <v>6560</v>
      </c>
      <c r="L100" s="1014"/>
    </row>
    <row r="101" spans="1:13" s="714" customFormat="1" ht="24" customHeight="1">
      <c r="A101" s="1147"/>
      <c r="B101" s="1148" t="s">
        <v>1853</v>
      </c>
      <c r="C101" s="1123"/>
      <c r="D101" s="1124"/>
      <c r="E101" s="1149">
        <v>8</v>
      </c>
      <c r="F101" s="1147" t="s">
        <v>240</v>
      </c>
      <c r="G101" s="1257">
        <v>450</v>
      </c>
      <c r="H101" s="796">
        <f t="shared" si="30"/>
        <v>3600</v>
      </c>
      <c r="I101" s="797" t="s">
        <v>974</v>
      </c>
      <c r="J101" s="796"/>
      <c r="K101" s="914">
        <f t="shared" si="32"/>
        <v>3600</v>
      </c>
      <c r="L101" s="1014"/>
    </row>
    <row r="102" spans="1:13" s="714" customFormat="1" ht="24" customHeight="1">
      <c r="A102" s="1221"/>
      <c r="B102" s="1219"/>
      <c r="C102" s="1209"/>
      <c r="D102" s="1210"/>
      <c r="E102" s="1211"/>
      <c r="F102" s="1221"/>
      <c r="G102" s="1257"/>
      <c r="H102" s="796"/>
      <c r="I102" s="797"/>
      <c r="J102" s="796"/>
      <c r="K102" s="914"/>
      <c r="L102" s="1014"/>
    </row>
    <row r="103" spans="1:13" s="714" customFormat="1" ht="24" customHeight="1">
      <c r="A103" s="1221"/>
      <c r="B103" s="1219"/>
      <c r="C103" s="1209"/>
      <c r="D103" s="1210"/>
      <c r="E103" s="1211"/>
      <c r="F103" s="1221"/>
      <c r="G103" s="1257"/>
      <c r="H103" s="796"/>
      <c r="I103" s="797"/>
      <c r="J103" s="796"/>
      <c r="K103" s="914"/>
      <c r="L103" s="1014"/>
    </row>
    <row r="104" spans="1:13" s="714" customFormat="1" ht="24" customHeight="1">
      <c r="A104" s="1221"/>
      <c r="B104" s="1219"/>
      <c r="C104" s="1209"/>
      <c r="D104" s="1210"/>
      <c r="E104" s="1211"/>
      <c r="F104" s="1221"/>
      <c r="G104" s="1257"/>
      <c r="H104" s="796"/>
      <c r="I104" s="797"/>
      <c r="J104" s="796"/>
      <c r="K104" s="914"/>
      <c r="L104" s="1014"/>
    </row>
    <row r="105" spans="1:13" s="714" customFormat="1" ht="24" customHeight="1">
      <c r="A105" s="1221" t="s">
        <v>1857</v>
      </c>
      <c r="B105" s="1219" t="s">
        <v>1858</v>
      </c>
      <c r="C105" s="1209"/>
      <c r="D105" s="1210"/>
      <c r="E105" s="1211"/>
      <c r="F105" s="1221"/>
      <c r="G105" s="1257"/>
      <c r="H105" s="796"/>
      <c r="I105" s="1259"/>
      <c r="J105" s="796"/>
      <c r="K105" s="1014"/>
      <c r="L105" s="1014"/>
    </row>
    <row r="106" spans="1:13" s="714" customFormat="1" ht="24" customHeight="1">
      <c r="A106" s="1147"/>
      <c r="B106" s="1148" t="s">
        <v>1859</v>
      </c>
      <c r="C106" s="1123"/>
      <c r="D106" s="1124"/>
      <c r="E106" s="1149">
        <v>4</v>
      </c>
      <c r="F106" s="1147" t="s">
        <v>240</v>
      </c>
      <c r="G106" s="1257">
        <v>1000</v>
      </c>
      <c r="H106" s="796">
        <f t="shared" si="30"/>
        <v>4000</v>
      </c>
      <c r="I106" s="1259">
        <v>200</v>
      </c>
      <c r="J106" s="796">
        <f t="shared" ref="J106" si="33">ROUND(I106*E106,)</f>
        <v>800</v>
      </c>
      <c r="K106" s="914">
        <f>H106+J106</f>
        <v>4800</v>
      </c>
      <c r="L106" s="1014"/>
    </row>
    <row r="107" spans="1:13" s="714" customFormat="1" ht="24" customHeight="1">
      <c r="A107" s="1159"/>
      <c r="B107" s="1160" t="s">
        <v>1860</v>
      </c>
      <c r="C107" s="1161"/>
      <c r="D107" s="1162"/>
      <c r="E107" s="1183"/>
      <c r="F107" s="1159" t="s">
        <v>240</v>
      </c>
      <c r="G107" s="1257"/>
      <c r="H107" s="796"/>
      <c r="I107" s="1259"/>
      <c r="J107" s="796"/>
      <c r="K107" s="1014"/>
      <c r="L107" s="1014"/>
    </row>
    <row r="108" spans="1:13" s="714" customFormat="1" ht="24" customHeight="1">
      <c r="A108" s="1147"/>
      <c r="B108" s="1148" t="s">
        <v>1861</v>
      </c>
      <c r="C108" s="1123"/>
      <c r="D108" s="1124"/>
      <c r="E108" s="1149"/>
      <c r="F108" s="1147" t="s">
        <v>240</v>
      </c>
      <c r="G108" s="1257"/>
      <c r="H108" s="796"/>
      <c r="I108" s="1259"/>
      <c r="J108" s="796"/>
      <c r="K108" s="1014"/>
      <c r="L108" s="1014"/>
    </row>
    <row r="109" spans="1:13" s="714" customFormat="1" ht="24" customHeight="1">
      <c r="A109" s="1166"/>
      <c r="B109" s="2475" t="str">
        <f>"รวมราคารายการที่ "&amp;A85</f>
        <v>รวมราคารายการที่ 6.4</v>
      </c>
      <c r="C109" s="2476"/>
      <c r="D109" s="2477"/>
      <c r="E109" s="1167"/>
      <c r="F109" s="1167"/>
      <c r="G109" s="1168"/>
      <c r="H109" s="1169">
        <f>SUM(H86:H108)</f>
        <v>245720</v>
      </c>
      <c r="I109" s="1170"/>
      <c r="J109" s="1169">
        <f>SUM(J86:J108)</f>
        <v>19100</v>
      </c>
      <c r="K109" s="1171">
        <f>SUM(K86:K108)</f>
        <v>264820</v>
      </c>
      <c r="L109" s="1171"/>
      <c r="M109" s="1260">
        <v>19</v>
      </c>
    </row>
    <row r="110" spans="1:13" s="714" customFormat="1" ht="24" customHeight="1">
      <c r="A110" s="1195">
        <v>6.5</v>
      </c>
      <c r="B110" s="1196" t="s">
        <v>1862</v>
      </c>
      <c r="C110" s="1197"/>
      <c r="D110" s="1198"/>
      <c r="E110" s="1199"/>
      <c r="F110" s="1230"/>
      <c r="G110" s="1201"/>
      <c r="H110" s="788"/>
      <c r="I110" s="789"/>
      <c r="J110" s="788"/>
      <c r="K110" s="1256"/>
      <c r="L110" s="1256"/>
    </row>
    <row r="111" spans="1:13" s="714" customFormat="1" ht="24" customHeight="1">
      <c r="A111" s="1147" t="s">
        <v>1863</v>
      </c>
      <c r="B111" s="1148" t="s">
        <v>1864</v>
      </c>
      <c r="C111" s="1123"/>
      <c r="D111" s="1124"/>
      <c r="E111" s="1261">
        <v>19</v>
      </c>
      <c r="F111" s="1147" t="s">
        <v>240</v>
      </c>
      <c r="G111" s="1140">
        <v>2300</v>
      </c>
      <c r="H111" s="796">
        <f t="shared" ref="H111:H112" si="34">ROUND(E111*G111,)</f>
        <v>43700</v>
      </c>
      <c r="I111" s="797">
        <f>G111*0.1</f>
        <v>230</v>
      </c>
      <c r="J111" s="796">
        <f t="shared" ref="J111:J113" si="35">ROUND(I111*E111,)</f>
        <v>4370</v>
      </c>
      <c r="K111" s="914">
        <f t="shared" ref="K111:K113" si="36">H111+J111</f>
        <v>48070</v>
      </c>
      <c r="L111" s="914"/>
    </row>
    <row r="112" spans="1:13" s="714" customFormat="1" ht="24" customHeight="1">
      <c r="A112" s="1147" t="s">
        <v>1865</v>
      </c>
      <c r="B112" s="1148" t="s">
        <v>1866</v>
      </c>
      <c r="C112" s="1123"/>
      <c r="D112" s="1124"/>
      <c r="E112" s="1149">
        <v>4</v>
      </c>
      <c r="F112" s="1147" t="s">
        <v>240</v>
      </c>
      <c r="G112" s="1140">
        <v>3400</v>
      </c>
      <c r="H112" s="796">
        <f t="shared" si="34"/>
        <v>13600</v>
      </c>
      <c r="I112" s="797">
        <f>G112*0.1</f>
        <v>340</v>
      </c>
      <c r="J112" s="796">
        <f t="shared" si="35"/>
        <v>1360</v>
      </c>
      <c r="K112" s="914">
        <f t="shared" si="36"/>
        <v>14960</v>
      </c>
      <c r="L112" s="912"/>
    </row>
    <row r="113" spans="1:12" s="714" customFormat="1" ht="24" customHeight="1">
      <c r="A113" s="1147" t="s">
        <v>1867</v>
      </c>
      <c r="B113" s="1148" t="s">
        <v>1868</v>
      </c>
      <c r="C113" s="1123"/>
      <c r="D113" s="1124"/>
      <c r="E113" s="1149">
        <v>4</v>
      </c>
      <c r="F113" s="1147" t="s">
        <v>240</v>
      </c>
      <c r="G113" s="1249">
        <v>2400</v>
      </c>
      <c r="H113" s="864">
        <f>ROUND(E113*G113,)</f>
        <v>9600</v>
      </c>
      <c r="I113" s="865">
        <f t="shared" ref="I113" si="37">G113*0.1</f>
        <v>240</v>
      </c>
      <c r="J113" s="864">
        <f t="shared" si="35"/>
        <v>960</v>
      </c>
      <c r="K113" s="867">
        <f t="shared" si="36"/>
        <v>10560</v>
      </c>
      <c r="L113" s="903"/>
    </row>
    <row r="114" spans="1:12" s="714" customFormat="1" ht="24" customHeight="1">
      <c r="A114" s="1147" t="s">
        <v>1869</v>
      </c>
      <c r="B114" s="1148" t="s">
        <v>1207</v>
      </c>
      <c r="C114" s="1123"/>
      <c r="D114" s="1124"/>
      <c r="E114" s="1149"/>
      <c r="F114" s="1147"/>
      <c r="G114" s="1140"/>
      <c r="H114" s="796"/>
      <c r="I114" s="797"/>
      <c r="J114" s="796"/>
      <c r="K114" s="914"/>
      <c r="L114" s="912"/>
    </row>
    <row r="115" spans="1:12" s="714" customFormat="1" ht="24" customHeight="1">
      <c r="A115" s="1147"/>
      <c r="B115" s="1148" t="s">
        <v>1737</v>
      </c>
      <c r="C115" s="1123"/>
      <c r="D115" s="1124"/>
      <c r="E115" s="1149"/>
      <c r="F115" s="1147" t="s">
        <v>438</v>
      </c>
      <c r="G115" s="1140"/>
      <c r="H115" s="854"/>
      <c r="I115" s="855"/>
      <c r="J115" s="854"/>
      <c r="K115" s="912"/>
      <c r="L115" s="912"/>
    </row>
    <row r="116" spans="1:12" s="714" customFormat="1" ht="24" customHeight="1">
      <c r="A116" s="1147"/>
      <c r="B116" s="1148" t="s">
        <v>1166</v>
      </c>
      <c r="C116" s="1123"/>
      <c r="D116" s="1124"/>
      <c r="E116" s="1149"/>
      <c r="F116" s="1147" t="s">
        <v>438</v>
      </c>
      <c r="G116" s="1140"/>
      <c r="H116" s="854"/>
      <c r="I116" s="855"/>
      <c r="J116" s="854"/>
      <c r="K116" s="912"/>
      <c r="L116" s="912"/>
    </row>
    <row r="117" spans="1:12" s="714" customFormat="1" ht="24" customHeight="1">
      <c r="A117" s="1147" t="s">
        <v>1870</v>
      </c>
      <c r="B117" s="1148" t="s">
        <v>1276</v>
      </c>
      <c r="C117" s="1123"/>
      <c r="D117" s="1124"/>
      <c r="E117" s="1149"/>
      <c r="F117" s="1147"/>
      <c r="G117" s="1140"/>
      <c r="H117" s="854"/>
      <c r="I117" s="855"/>
      <c r="J117" s="854"/>
      <c r="K117" s="912"/>
      <c r="L117" s="912"/>
    </row>
    <row r="118" spans="1:12" s="714" customFormat="1" ht="24" customHeight="1">
      <c r="A118" s="1147"/>
      <c r="B118" s="1148" t="s">
        <v>1871</v>
      </c>
      <c r="C118" s="1123"/>
      <c r="D118" s="1124"/>
      <c r="E118" s="1149"/>
      <c r="F118" s="1147" t="s">
        <v>438</v>
      </c>
      <c r="G118" s="1140"/>
      <c r="H118" s="854"/>
      <c r="I118" s="855"/>
      <c r="J118" s="854"/>
      <c r="K118" s="912"/>
      <c r="L118" s="912"/>
    </row>
    <row r="119" spans="1:12" s="714" customFormat="1" ht="24" customHeight="1">
      <c r="A119" s="1147"/>
      <c r="B119" s="1148" t="s">
        <v>1872</v>
      </c>
      <c r="C119" s="1123"/>
      <c r="D119" s="1124"/>
      <c r="E119" s="1149"/>
      <c r="F119" s="1147" t="s">
        <v>438</v>
      </c>
      <c r="G119" s="1140"/>
      <c r="H119" s="854"/>
      <c r="I119" s="855"/>
      <c r="J119" s="854"/>
      <c r="K119" s="912"/>
      <c r="L119" s="912"/>
    </row>
    <row r="120" spans="1:12" s="714" customFormat="1" ht="24" customHeight="1">
      <c r="A120" s="1147" t="s">
        <v>1873</v>
      </c>
      <c r="B120" s="1148" t="s">
        <v>1357</v>
      </c>
      <c r="C120" s="1123"/>
      <c r="D120" s="1124"/>
      <c r="E120" s="1149"/>
      <c r="F120" s="1147"/>
      <c r="G120" s="1140"/>
      <c r="H120" s="854"/>
      <c r="I120" s="855"/>
      <c r="J120" s="854"/>
      <c r="K120" s="912"/>
      <c r="L120" s="912"/>
    </row>
    <row r="121" spans="1:12" s="714" customFormat="1" ht="24" customHeight="1">
      <c r="A121" s="1147"/>
      <c r="B121" s="1148" t="s">
        <v>1201</v>
      </c>
      <c r="C121" s="1123"/>
      <c r="D121" s="1124"/>
      <c r="E121" s="1149"/>
      <c r="F121" s="1147" t="s">
        <v>438</v>
      </c>
      <c r="G121" s="1140"/>
      <c r="H121" s="854"/>
      <c r="I121" s="855"/>
      <c r="J121" s="854"/>
      <c r="K121" s="912"/>
      <c r="L121" s="912"/>
    </row>
    <row r="122" spans="1:12" s="714" customFormat="1" ht="24" customHeight="1">
      <c r="A122" s="1147"/>
      <c r="B122" s="1148" t="s">
        <v>1184</v>
      </c>
      <c r="C122" s="1123"/>
      <c r="D122" s="1124"/>
      <c r="E122" s="1149"/>
      <c r="F122" s="1147" t="s">
        <v>438</v>
      </c>
      <c r="G122" s="1140"/>
      <c r="H122" s="854"/>
      <c r="I122" s="855"/>
      <c r="J122" s="854"/>
      <c r="K122" s="912"/>
      <c r="L122" s="912"/>
    </row>
    <row r="123" spans="1:12" s="714" customFormat="1" ht="24" customHeight="1">
      <c r="A123" s="1147" t="s">
        <v>1874</v>
      </c>
      <c r="B123" s="1148" t="s">
        <v>1252</v>
      </c>
      <c r="C123" s="1123"/>
      <c r="D123" s="1124"/>
      <c r="E123" s="1149"/>
      <c r="F123" s="1147"/>
      <c r="G123" s="1140"/>
      <c r="H123" s="854"/>
      <c r="I123" s="855"/>
      <c r="J123" s="854"/>
      <c r="K123" s="912"/>
      <c r="L123" s="912"/>
    </row>
    <row r="124" spans="1:12" s="714" customFormat="1" ht="24" customHeight="1">
      <c r="A124" s="1147"/>
      <c r="B124" s="1148" t="s">
        <v>1253</v>
      </c>
      <c r="C124" s="1123"/>
      <c r="D124" s="1124"/>
      <c r="E124" s="1149"/>
      <c r="F124" s="1147" t="s">
        <v>438</v>
      </c>
      <c r="G124" s="1140"/>
      <c r="H124" s="854"/>
      <c r="I124" s="855"/>
      <c r="J124" s="854"/>
      <c r="K124" s="912"/>
      <c r="L124" s="912"/>
    </row>
    <row r="125" spans="1:12" s="714" customFormat="1" ht="24" customHeight="1">
      <c r="A125" s="1147"/>
      <c r="B125" s="1148" t="s">
        <v>1875</v>
      </c>
      <c r="C125" s="1123"/>
      <c r="D125" s="1124"/>
      <c r="E125" s="1149"/>
      <c r="F125" s="1147" t="s">
        <v>948</v>
      </c>
      <c r="G125" s="1140"/>
      <c r="H125" s="854"/>
      <c r="I125" s="855"/>
      <c r="J125" s="854"/>
      <c r="K125" s="912"/>
      <c r="L125" s="912"/>
    </row>
    <row r="126" spans="1:12" s="714" customFormat="1" ht="24" customHeight="1">
      <c r="A126" s="1147"/>
      <c r="B126" s="1148" t="s">
        <v>957</v>
      </c>
      <c r="C126" s="1123"/>
      <c r="D126" s="1124"/>
      <c r="E126" s="1149"/>
      <c r="F126" s="1147"/>
      <c r="G126" s="1140"/>
      <c r="H126" s="854"/>
      <c r="I126" s="855"/>
      <c r="J126" s="854"/>
      <c r="K126" s="912"/>
      <c r="L126" s="912"/>
    </row>
    <row r="127" spans="1:12" s="714" customFormat="1" ht="24" customHeight="1">
      <c r="A127" s="1166"/>
      <c r="B127" s="2475" t="str">
        <f>"รวมราคารายการที่ "&amp;A110</f>
        <v>รวมราคารายการที่ 6.5</v>
      </c>
      <c r="C127" s="2476"/>
      <c r="D127" s="2477"/>
      <c r="E127" s="1167"/>
      <c r="F127" s="1167"/>
      <c r="G127" s="1168"/>
      <c r="H127" s="1169">
        <f>SUM(H111:H126)</f>
        <v>66900</v>
      </c>
      <c r="I127" s="1170"/>
      <c r="J127" s="1169">
        <f>SUM(J111:J126)</f>
        <v>6690</v>
      </c>
      <c r="K127" s="1171">
        <f>SUM(K111:K126)</f>
        <v>73590</v>
      </c>
      <c r="L127" s="1171"/>
    </row>
    <row r="128" spans="1:12" s="714" customFormat="1" ht="24" customHeight="1">
      <c r="A128" s="1221">
        <v>6.6</v>
      </c>
      <c r="B128" s="1219" t="s">
        <v>1264</v>
      </c>
      <c r="C128" s="1209"/>
      <c r="D128" s="1210"/>
      <c r="E128" s="1211"/>
      <c r="F128" s="1221" t="s">
        <v>948</v>
      </c>
      <c r="G128" s="1262" t="s">
        <v>1876</v>
      </c>
      <c r="H128" s="796"/>
      <c r="I128" s="855"/>
      <c r="J128" s="796"/>
      <c r="K128" s="914"/>
      <c r="L128" s="912"/>
    </row>
    <row r="129" spans="1:12" s="714" customFormat="1" ht="21.3">
      <c r="A129" s="1166"/>
      <c r="B129" s="2475" t="str">
        <f>"รวมราคารายการที่ "&amp;A128</f>
        <v>รวมราคารายการที่ 6.6</v>
      </c>
      <c r="C129" s="2476"/>
      <c r="D129" s="2477"/>
      <c r="E129" s="1167"/>
      <c r="F129" s="1167"/>
      <c r="G129" s="1168"/>
      <c r="H129" s="1169">
        <f>SUM(H128:H128)</f>
        <v>0</v>
      </c>
      <c r="I129" s="1170"/>
      <c r="J129" s="1169">
        <f>SUM(J128:J128)</f>
        <v>0</v>
      </c>
      <c r="K129" s="1171">
        <f>SUM(K128:K128)</f>
        <v>0</v>
      </c>
      <c r="L129" s="1171"/>
    </row>
    <row r="130" spans="1:12" s="714" customFormat="1" ht="21.3">
      <c r="A130" s="950"/>
      <c r="E130" s="1234"/>
    </row>
    <row r="131" spans="1:12" s="714" customFormat="1" ht="21.3">
      <c r="A131" s="950"/>
      <c r="E131" s="1234"/>
    </row>
    <row r="132" spans="1:12" s="714" customFormat="1" ht="21.3">
      <c r="A132" s="950"/>
      <c r="E132" s="1234"/>
    </row>
    <row r="133" spans="1:12" s="714" customFormat="1" ht="21.3">
      <c r="A133" s="950"/>
      <c r="E133" s="1234"/>
    </row>
    <row r="134" spans="1:12" s="714" customFormat="1" ht="21.3">
      <c r="A134" s="950"/>
      <c r="E134" s="1234"/>
    </row>
    <row r="135" spans="1:12" s="714" customFormat="1" ht="21.3">
      <c r="A135" s="950"/>
      <c r="E135" s="1234"/>
    </row>
    <row r="136" spans="1:12" s="714" customFormat="1" ht="21.3">
      <c r="A136" s="950"/>
      <c r="E136" s="1234"/>
    </row>
    <row r="137" spans="1:12" s="714" customFormat="1" ht="21.3">
      <c r="A137" s="950"/>
      <c r="E137" s="1234"/>
    </row>
    <row r="138" spans="1:12" s="714" customFormat="1" ht="21.3">
      <c r="A138" s="950"/>
      <c r="E138" s="1234"/>
    </row>
    <row r="139" spans="1:12" s="714" customFormat="1" ht="21.3">
      <c r="A139" s="950"/>
      <c r="E139" s="1234"/>
    </row>
    <row r="140" spans="1:12" s="714" customFormat="1" ht="21.3">
      <c r="A140" s="950"/>
      <c r="E140" s="1234"/>
    </row>
    <row r="141" spans="1:12" s="714" customFormat="1" ht="21.3">
      <c r="A141" s="950"/>
      <c r="E141" s="1234"/>
    </row>
    <row r="142" spans="1:12" s="714" customFormat="1" ht="21.3">
      <c r="A142" s="950"/>
      <c r="E142" s="1234"/>
    </row>
    <row r="143" spans="1:12" s="714" customFormat="1" ht="21.3">
      <c r="A143" s="950"/>
      <c r="E143" s="1234"/>
    </row>
    <row r="144" spans="1:12" s="714" customFormat="1" ht="21.3">
      <c r="A144" s="950"/>
      <c r="E144" s="1234"/>
    </row>
    <row r="145" spans="1:5" s="714" customFormat="1" ht="21.3">
      <c r="A145" s="950"/>
      <c r="E145" s="1234"/>
    </row>
    <row r="146" spans="1:5" s="714" customFormat="1" ht="21.3">
      <c r="A146" s="950"/>
      <c r="E146" s="1234"/>
    </row>
    <row r="147" spans="1:5" s="714" customFormat="1" ht="21.3">
      <c r="A147" s="950"/>
      <c r="E147" s="1234"/>
    </row>
    <row r="148" spans="1:5" s="714" customFormat="1" ht="21.3">
      <c r="A148" s="950"/>
      <c r="E148" s="1234"/>
    </row>
    <row r="149" spans="1:5" s="714" customFormat="1" ht="21.3">
      <c r="A149" s="950"/>
      <c r="E149" s="1234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29:D129"/>
    <mergeCell ref="B34:D34"/>
    <mergeCell ref="B59:D59"/>
    <mergeCell ref="B75:D75"/>
    <mergeCell ref="B84:D84"/>
    <mergeCell ref="B109:D109"/>
    <mergeCell ref="B127:D127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&amp;Rงานระบบดับเพลิงและป้องกันอัคคีภัย ชั้น B2-อาคารสนับนุน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DF6FF-43CA-4255-A039-F30FEF11470D}">
  <sheetPr>
    <tabColor rgb="FFFF3399"/>
  </sheetPr>
  <dimension ref="A1:O154"/>
  <sheetViews>
    <sheetView showGridLines="0" tabSelected="1" view="pageBreakPreview" topLeftCell="A112" zoomScale="70" zoomScaleNormal="6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87890625" style="1" customWidth="1"/>
    <col min="13" max="90" width="7.703125" style="1" customWidth="1"/>
    <col min="91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1780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>
        <v>6</v>
      </c>
      <c r="B11" s="1144" t="s">
        <v>1877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/>
      <c r="B12" s="1151" t="str">
        <f>B35</f>
        <v>งานระบบดับเพลิงและป้องกันอัคคีภัย</v>
      </c>
      <c r="C12" s="1123"/>
      <c r="D12" s="1124"/>
      <c r="E12" s="1149"/>
      <c r="F12" s="1150"/>
      <c r="G12" s="710"/>
      <c r="H12" s="711"/>
      <c r="I12" s="712"/>
      <c r="J12" s="711"/>
      <c r="K12" s="1129"/>
      <c r="L12" s="1024"/>
    </row>
    <row r="13" spans="1:12" s="714" customFormat="1" ht="24" customHeight="1">
      <c r="A13" s="1147">
        <f>A36</f>
        <v>6.1</v>
      </c>
      <c r="B13" s="1148" t="str">
        <f>B36</f>
        <v>งานท่อน้ำ (Piping Work)</v>
      </c>
      <c r="C13" s="1123"/>
      <c r="D13" s="1124"/>
      <c r="E13" s="1149">
        <v>1</v>
      </c>
      <c r="F13" s="1150" t="s">
        <v>19</v>
      </c>
      <c r="G13" s="710"/>
      <c r="H13" s="711">
        <f>H59</f>
        <v>1666752</v>
      </c>
      <c r="I13" s="712"/>
      <c r="J13" s="711">
        <f>J59</f>
        <v>721626</v>
      </c>
      <c r="K13" s="1129">
        <f t="shared" ref="K13:K18" si="0">SUM(H13:J13)</f>
        <v>2388378</v>
      </c>
      <c r="L13" s="1024"/>
    </row>
    <row r="14" spans="1:12" s="714" customFormat="1" ht="24" customHeight="1">
      <c r="A14" s="1147">
        <f>A60</f>
        <v>6.2</v>
      </c>
      <c r="B14" s="1148" t="str">
        <f>B60</f>
        <v>วาล์วและอุปกรณ์ (Valve &amp; Pipe Accessories)</v>
      </c>
      <c r="C14" s="1123"/>
      <c r="D14" s="1124"/>
      <c r="E14" s="1149">
        <v>1</v>
      </c>
      <c r="F14" s="1150" t="s">
        <v>19</v>
      </c>
      <c r="G14" s="710"/>
      <c r="H14" s="711">
        <f>H75</f>
        <v>212932</v>
      </c>
      <c r="I14" s="712"/>
      <c r="J14" s="711">
        <f>J75</f>
        <v>14000</v>
      </c>
      <c r="K14" s="1129">
        <f t="shared" si="0"/>
        <v>226932</v>
      </c>
      <c r="L14" s="1024"/>
    </row>
    <row r="15" spans="1:12" s="714" customFormat="1" ht="24" customHeight="1">
      <c r="A15" s="1147">
        <f>A76</f>
        <v>6.3</v>
      </c>
      <c r="B15" s="1148" t="str">
        <f>B76</f>
        <v>ระบบหัวกระจายน้ำดับเพลิง (Sprinkler System)</v>
      </c>
      <c r="C15" s="1123"/>
      <c r="D15" s="1124"/>
      <c r="E15" s="1149">
        <v>1</v>
      </c>
      <c r="F15" s="1150" t="s">
        <v>19</v>
      </c>
      <c r="G15" s="710"/>
      <c r="H15" s="711">
        <f>H84</f>
        <v>117936</v>
      </c>
      <c r="I15" s="712"/>
      <c r="J15" s="711">
        <f>J84</f>
        <v>46800</v>
      </c>
      <c r="K15" s="1129">
        <f t="shared" si="0"/>
        <v>164736</v>
      </c>
      <c r="L15" s="1024"/>
    </row>
    <row r="16" spans="1:12" s="714" customFormat="1" ht="24" customHeight="1">
      <c r="A16" s="1147">
        <f>A85</f>
        <v>6.4</v>
      </c>
      <c r="B16" s="1231" t="str">
        <f>B85</f>
        <v>ตู้ดับเพลิงและถังดับเพลิงชนิดมือถือ (Fire Hose Cabinet &amp; Portable Fire Extinguisher)</v>
      </c>
      <c r="C16" s="1197"/>
      <c r="D16" s="1198"/>
      <c r="E16" s="1149">
        <v>1</v>
      </c>
      <c r="F16" s="1200" t="s">
        <v>19</v>
      </c>
      <c r="G16" s="1263"/>
      <c r="H16" s="1264">
        <f>H109</f>
        <v>246720</v>
      </c>
      <c r="I16" s="1265"/>
      <c r="J16" s="1264">
        <f>J109</f>
        <v>19300</v>
      </c>
      <c r="K16" s="1129">
        <f t="shared" si="0"/>
        <v>266020</v>
      </c>
      <c r="L16" s="1266"/>
    </row>
    <row r="17" spans="1:12" s="714" customFormat="1" ht="24" customHeight="1">
      <c r="A17" s="1147">
        <f>A110</f>
        <v>6.5</v>
      </c>
      <c r="B17" s="1160" t="str">
        <f>B110</f>
        <v>ระบบไฟฟ้าและควบคุม (Electrical &amp; Control System) สำหรับระบบป้องกันอัคคีภัย</v>
      </c>
      <c r="C17" s="1161"/>
      <c r="D17" s="1162"/>
      <c r="E17" s="1149">
        <v>1</v>
      </c>
      <c r="F17" s="1163" t="s">
        <v>19</v>
      </c>
      <c r="G17" s="1164"/>
      <c r="H17" s="957">
        <f>H126</f>
        <v>22800</v>
      </c>
      <c r="I17" s="1165"/>
      <c r="J17" s="957">
        <f>J126</f>
        <v>2280</v>
      </c>
      <c r="K17" s="1129">
        <f t="shared" si="0"/>
        <v>25080</v>
      </c>
      <c r="L17" s="954"/>
    </row>
    <row r="18" spans="1:12" s="714" customFormat="1" ht="24" customHeight="1">
      <c r="A18" s="1147">
        <f>A127</f>
        <v>6.6</v>
      </c>
      <c r="B18" s="1160" t="str">
        <f>B127</f>
        <v>ระบบป้องกันไฟและควันลาม (Fire Barrier System)</v>
      </c>
      <c r="C18" s="1161"/>
      <c r="D18" s="1162"/>
      <c r="E18" s="1149">
        <v>1</v>
      </c>
      <c r="F18" s="1163" t="s">
        <v>19</v>
      </c>
      <c r="G18" s="1164"/>
      <c r="H18" s="957">
        <f>H134</f>
        <v>0</v>
      </c>
      <c r="I18" s="1165"/>
      <c r="J18" s="957">
        <f>J134</f>
        <v>0</v>
      </c>
      <c r="K18" s="1129">
        <f t="shared" si="0"/>
        <v>0</v>
      </c>
      <c r="L18" s="954"/>
    </row>
    <row r="19" spans="1:12" s="714" customFormat="1" ht="24" customHeight="1">
      <c r="A19" s="1267"/>
      <c r="B19" s="1160"/>
      <c r="C19" s="1161"/>
      <c r="D19" s="1162"/>
      <c r="E19" s="1183"/>
      <c r="F19" s="1163"/>
      <c r="G19" s="1164"/>
      <c r="H19" s="957"/>
      <c r="I19" s="1165"/>
      <c r="J19" s="957"/>
      <c r="K19" s="1129"/>
      <c r="L19" s="954"/>
    </row>
    <row r="20" spans="1:12" s="714" customFormat="1" ht="24" customHeight="1">
      <c r="A20" s="1227"/>
      <c r="B20" s="1160"/>
      <c r="C20" s="1161"/>
      <c r="D20" s="1162"/>
      <c r="E20" s="1183"/>
      <c r="F20" s="1163"/>
      <c r="G20" s="1164"/>
      <c r="H20" s="957"/>
      <c r="I20" s="1165"/>
      <c r="J20" s="957"/>
      <c r="K20" s="1129"/>
      <c r="L20" s="954"/>
    </row>
    <row r="21" spans="1:12" s="714" customFormat="1" ht="24" customHeight="1">
      <c r="A21" s="1227"/>
      <c r="B21" s="1160"/>
      <c r="C21" s="1161"/>
      <c r="D21" s="1162"/>
      <c r="E21" s="1183"/>
      <c r="F21" s="1163"/>
      <c r="G21" s="1164"/>
      <c r="H21" s="957"/>
      <c r="I21" s="1165"/>
      <c r="J21" s="957"/>
      <c r="K21" s="1129"/>
      <c r="L21" s="954"/>
    </row>
    <row r="22" spans="1:12" s="714" customFormat="1" ht="24" customHeight="1">
      <c r="A22" s="1227"/>
      <c r="B22" s="1160"/>
      <c r="C22" s="1161"/>
      <c r="D22" s="1162"/>
      <c r="E22" s="1183"/>
      <c r="F22" s="1163"/>
      <c r="G22" s="1164"/>
      <c r="H22" s="957"/>
      <c r="I22" s="1165"/>
      <c r="J22" s="957"/>
      <c r="K22" s="1129"/>
      <c r="L22" s="954"/>
    </row>
    <row r="23" spans="1:12" s="714" customFormat="1" ht="24" customHeight="1">
      <c r="A23" s="1227"/>
      <c r="B23" s="1160"/>
      <c r="C23" s="1161"/>
      <c r="D23" s="1162"/>
      <c r="E23" s="1183"/>
      <c r="F23" s="1163"/>
      <c r="G23" s="1164"/>
      <c r="H23" s="957"/>
      <c r="I23" s="1165"/>
      <c r="J23" s="957"/>
      <c r="K23" s="1129"/>
      <c r="L23" s="954"/>
    </row>
    <row r="24" spans="1:12" s="714" customFormat="1" ht="24" customHeight="1">
      <c r="A24" s="1227"/>
      <c r="B24" s="1160"/>
      <c r="C24" s="1161"/>
      <c r="D24" s="1162"/>
      <c r="E24" s="1183"/>
      <c r="F24" s="1163"/>
      <c r="G24" s="1164"/>
      <c r="H24" s="957"/>
      <c r="I24" s="1165"/>
      <c r="J24" s="957"/>
      <c r="K24" s="1129"/>
      <c r="L24" s="954"/>
    </row>
    <row r="25" spans="1:12" s="714" customFormat="1" ht="24" customHeight="1">
      <c r="A25" s="1227"/>
      <c r="B25" s="1160"/>
      <c r="C25" s="1161"/>
      <c r="D25" s="1162"/>
      <c r="E25" s="1183"/>
      <c r="F25" s="1163"/>
      <c r="G25" s="1164"/>
      <c r="H25" s="957"/>
      <c r="I25" s="1165"/>
      <c r="J25" s="957"/>
      <c r="K25" s="1129"/>
      <c r="L25" s="954"/>
    </row>
    <row r="26" spans="1:12" s="714" customFormat="1" ht="24" customHeight="1">
      <c r="A26" s="1227"/>
      <c r="B26" s="1160"/>
      <c r="C26" s="1161"/>
      <c r="D26" s="1162"/>
      <c r="E26" s="1183"/>
      <c r="F26" s="1163"/>
      <c r="G26" s="1164"/>
      <c r="H26" s="957"/>
      <c r="I26" s="1165"/>
      <c r="J26" s="957"/>
      <c r="K26" s="1129"/>
      <c r="L26" s="954"/>
    </row>
    <row r="27" spans="1:12" s="714" customFormat="1" ht="24" customHeight="1">
      <c r="A27" s="1227"/>
      <c r="B27" s="1160"/>
      <c r="C27" s="1161"/>
      <c r="D27" s="1162"/>
      <c r="E27" s="1183"/>
      <c r="F27" s="1163"/>
      <c r="G27" s="1164"/>
      <c r="H27" s="957"/>
      <c r="I27" s="1165"/>
      <c r="J27" s="957"/>
      <c r="K27" s="1129"/>
      <c r="L27" s="954"/>
    </row>
    <row r="28" spans="1:12" s="714" customFormat="1" ht="24" customHeight="1">
      <c r="A28" s="1227"/>
      <c r="B28" s="1160"/>
      <c r="C28" s="1161"/>
      <c r="D28" s="1162"/>
      <c r="E28" s="1183"/>
      <c r="F28" s="1163"/>
      <c r="G28" s="1164"/>
      <c r="H28" s="957"/>
      <c r="I28" s="1165"/>
      <c r="J28" s="957"/>
      <c r="K28" s="1129"/>
      <c r="L28" s="954"/>
    </row>
    <row r="29" spans="1:12" s="714" customFormat="1" ht="24" customHeight="1">
      <c r="A29" s="1227"/>
      <c r="B29" s="1160"/>
      <c r="C29" s="1161"/>
      <c r="D29" s="1162"/>
      <c r="E29" s="1183"/>
      <c r="F29" s="1163"/>
      <c r="G29" s="1164"/>
      <c r="H29" s="957"/>
      <c r="I29" s="1165"/>
      <c r="J29" s="957"/>
      <c r="K29" s="1129"/>
      <c r="L29" s="954"/>
    </row>
    <row r="30" spans="1:12" s="714" customFormat="1" ht="24" customHeight="1">
      <c r="A30" s="1227"/>
      <c r="B30" s="1160"/>
      <c r="C30" s="1161"/>
      <c r="D30" s="1162"/>
      <c r="E30" s="1183"/>
      <c r="F30" s="1163"/>
      <c r="G30" s="1164"/>
      <c r="H30" s="957"/>
      <c r="I30" s="1165"/>
      <c r="J30" s="957"/>
      <c r="K30" s="1129"/>
      <c r="L30" s="954"/>
    </row>
    <row r="31" spans="1:12" s="714" customFormat="1" ht="24" customHeight="1">
      <c r="A31" s="1227"/>
      <c r="B31" s="1160"/>
      <c r="C31" s="1161"/>
      <c r="D31" s="1162"/>
      <c r="E31" s="1183"/>
      <c r="F31" s="1163"/>
      <c r="G31" s="1164"/>
      <c r="H31" s="957"/>
      <c r="I31" s="1165"/>
      <c r="J31" s="957"/>
      <c r="K31" s="1129"/>
      <c r="L31" s="954"/>
    </row>
    <row r="32" spans="1:12" s="714" customFormat="1" ht="24" customHeight="1">
      <c r="A32" s="1227"/>
      <c r="B32" s="1160"/>
      <c r="C32" s="1161"/>
      <c r="D32" s="1162"/>
      <c r="E32" s="1183"/>
      <c r="F32" s="1163"/>
      <c r="G32" s="1164"/>
      <c r="H32" s="957"/>
      <c r="I32" s="1165"/>
      <c r="J32" s="957"/>
      <c r="K32" s="1129"/>
      <c r="L32" s="954"/>
    </row>
    <row r="33" spans="1:12" s="714" customFormat="1" ht="24" customHeight="1">
      <c r="A33" s="1227"/>
      <c r="B33" s="1160"/>
      <c r="C33" s="1161"/>
      <c r="D33" s="1162"/>
      <c r="E33" s="1183"/>
      <c r="F33" s="1163"/>
      <c r="G33" s="1164"/>
      <c r="H33" s="957"/>
      <c r="I33" s="1165"/>
      <c r="J33" s="957"/>
      <c r="K33" s="1129"/>
      <c r="L33" s="954"/>
    </row>
    <row r="34" spans="1:12" s="714" customFormat="1" ht="30" customHeight="1">
      <c r="A34" s="1166"/>
      <c r="B34" s="2475" t="str">
        <f>"รวมราคา"&amp;B11</f>
        <v>รวมราคางานระบบดับเพลิงและป้องกันอัคคีภัย ชั้น B1</v>
      </c>
      <c r="C34" s="2476"/>
      <c r="D34" s="2477"/>
      <c r="E34" s="1167"/>
      <c r="F34" s="1167"/>
      <c r="G34" s="1168"/>
      <c r="H34" s="1169">
        <f>SUM(H12:H33)</f>
        <v>2267140</v>
      </c>
      <c r="I34" s="1170"/>
      <c r="J34" s="1169">
        <f>SUM(J12:J33)</f>
        <v>804006</v>
      </c>
      <c r="K34" s="1171">
        <f>SUM(K12:K33)</f>
        <v>3071146</v>
      </c>
      <c r="L34" s="1171"/>
    </row>
    <row r="35" spans="1:12" s="714" customFormat="1" ht="24" customHeight="1">
      <c r="A35" s="1147"/>
      <c r="B35" s="1151" t="s">
        <v>31</v>
      </c>
      <c r="C35" s="1123"/>
      <c r="D35" s="1124"/>
      <c r="E35" s="1149"/>
      <c r="F35" s="1150"/>
      <c r="G35" s="1140"/>
      <c r="H35" s="796"/>
      <c r="I35" s="797"/>
      <c r="J35" s="796"/>
      <c r="K35" s="914"/>
      <c r="L35" s="914"/>
    </row>
    <row r="36" spans="1:12" s="714" customFormat="1" ht="24" customHeight="1">
      <c r="A36" s="1147">
        <v>6.1</v>
      </c>
      <c r="B36" s="1148" t="s">
        <v>1782</v>
      </c>
      <c r="C36" s="1123"/>
      <c r="D36" s="1124"/>
      <c r="E36" s="1149"/>
      <c r="F36" s="1150"/>
      <c r="G36" s="1140"/>
      <c r="H36" s="796"/>
      <c r="I36" s="797"/>
      <c r="J36" s="796"/>
      <c r="K36" s="914"/>
      <c r="L36" s="914"/>
    </row>
    <row r="37" spans="1:12" s="714" customFormat="1" ht="24" customHeight="1">
      <c r="A37" s="1147" t="s">
        <v>1783</v>
      </c>
      <c r="B37" s="1148" t="s">
        <v>1878</v>
      </c>
      <c r="C37" s="1123"/>
      <c r="D37" s="1124"/>
      <c r="E37" s="1149"/>
      <c r="F37" s="1150"/>
      <c r="G37" s="1140"/>
      <c r="H37" s="796"/>
      <c r="I37" s="797"/>
      <c r="J37" s="796"/>
      <c r="K37" s="914"/>
      <c r="L37" s="914"/>
    </row>
    <row r="38" spans="1:12" s="714" customFormat="1" ht="24" customHeight="1">
      <c r="A38" s="1147"/>
      <c r="B38" s="1148" t="s">
        <v>1822</v>
      </c>
      <c r="C38" s="1123"/>
      <c r="D38" s="1124"/>
      <c r="E38" s="1019">
        <v>1691</v>
      </c>
      <c r="F38" s="1150" t="s">
        <v>438</v>
      </c>
      <c r="G38" s="1140">
        <v>78</v>
      </c>
      <c r="H38" s="796">
        <f t="shared" ref="H38:H51" si="1">ROUND(E38*G38,)</f>
        <v>131898</v>
      </c>
      <c r="I38" s="797">
        <v>45</v>
      </c>
      <c r="J38" s="796">
        <f t="shared" ref="J38:J51" si="2">ROUND(I38*E38,)</f>
        <v>76095</v>
      </c>
      <c r="K38" s="914">
        <f t="shared" ref="K38:K51" si="3">H38+J38</f>
        <v>207993</v>
      </c>
      <c r="L38" s="914"/>
    </row>
    <row r="39" spans="1:12" s="714" customFormat="1" ht="24" customHeight="1">
      <c r="A39" s="1147"/>
      <c r="B39" s="1148" t="s">
        <v>1186</v>
      </c>
      <c r="C39" s="1123"/>
      <c r="D39" s="1124"/>
      <c r="E39" s="1019">
        <v>651</v>
      </c>
      <c r="F39" s="1150" t="s">
        <v>438</v>
      </c>
      <c r="G39" s="1140">
        <v>105</v>
      </c>
      <c r="H39" s="796">
        <f t="shared" si="1"/>
        <v>68355</v>
      </c>
      <c r="I39" s="855">
        <v>60</v>
      </c>
      <c r="J39" s="796">
        <f t="shared" si="2"/>
        <v>39060</v>
      </c>
      <c r="K39" s="914">
        <f t="shared" si="3"/>
        <v>107415</v>
      </c>
      <c r="L39" s="912"/>
    </row>
    <row r="40" spans="1:12" s="714" customFormat="1" ht="24" customHeight="1">
      <c r="A40" s="1147"/>
      <c r="B40" s="1148" t="s">
        <v>1187</v>
      </c>
      <c r="C40" s="1123"/>
      <c r="D40" s="1124"/>
      <c r="E40" s="1019">
        <v>857</v>
      </c>
      <c r="F40" s="1150" t="s">
        <v>438</v>
      </c>
      <c r="G40" s="1244">
        <v>126</v>
      </c>
      <c r="H40" s="796">
        <f t="shared" si="1"/>
        <v>107982</v>
      </c>
      <c r="I40" s="1176">
        <v>70</v>
      </c>
      <c r="J40" s="796">
        <f t="shared" si="2"/>
        <v>59990</v>
      </c>
      <c r="K40" s="914">
        <f t="shared" si="3"/>
        <v>167972</v>
      </c>
      <c r="L40" s="912"/>
    </row>
    <row r="41" spans="1:12" s="714" customFormat="1" ht="24" customHeight="1">
      <c r="A41" s="1147"/>
      <c r="B41" s="1148" t="s">
        <v>1188</v>
      </c>
      <c r="C41" s="1123"/>
      <c r="D41" s="1124"/>
      <c r="E41" s="1019">
        <v>552</v>
      </c>
      <c r="F41" s="1150" t="s">
        <v>438</v>
      </c>
      <c r="G41" s="1244">
        <v>169</v>
      </c>
      <c r="H41" s="796">
        <f t="shared" si="1"/>
        <v>93288</v>
      </c>
      <c r="I41" s="1176">
        <v>95</v>
      </c>
      <c r="J41" s="796">
        <f t="shared" si="2"/>
        <v>52440</v>
      </c>
      <c r="K41" s="914">
        <f t="shared" si="3"/>
        <v>145728</v>
      </c>
      <c r="L41" s="912"/>
    </row>
    <row r="42" spans="1:12" s="714" customFormat="1" ht="24" customHeight="1">
      <c r="A42" s="1147"/>
      <c r="B42" s="1148" t="s">
        <v>1189</v>
      </c>
      <c r="C42" s="1123"/>
      <c r="D42" s="1124"/>
      <c r="E42" s="1019">
        <v>117</v>
      </c>
      <c r="F42" s="1150" t="s">
        <v>438</v>
      </c>
      <c r="G42" s="1244">
        <v>268</v>
      </c>
      <c r="H42" s="796">
        <f t="shared" si="1"/>
        <v>31356</v>
      </c>
      <c r="I42" s="1176">
        <v>150</v>
      </c>
      <c r="J42" s="796">
        <f t="shared" si="2"/>
        <v>17550</v>
      </c>
      <c r="K42" s="914">
        <f t="shared" si="3"/>
        <v>48906</v>
      </c>
      <c r="L42" s="912"/>
    </row>
    <row r="43" spans="1:12" s="714" customFormat="1" ht="24" customHeight="1">
      <c r="A43" s="1147"/>
      <c r="B43" s="1148" t="s">
        <v>1190</v>
      </c>
      <c r="C43" s="1123"/>
      <c r="D43" s="1124"/>
      <c r="E43" s="1019">
        <v>71</v>
      </c>
      <c r="F43" s="1150" t="s">
        <v>438</v>
      </c>
      <c r="G43" s="1244">
        <v>350</v>
      </c>
      <c r="H43" s="796">
        <f t="shared" si="1"/>
        <v>24850</v>
      </c>
      <c r="I43" s="1176">
        <v>200</v>
      </c>
      <c r="J43" s="796">
        <f t="shared" si="2"/>
        <v>14200</v>
      </c>
      <c r="K43" s="914">
        <f t="shared" si="3"/>
        <v>39050</v>
      </c>
      <c r="L43" s="912"/>
    </row>
    <row r="44" spans="1:12" s="714" customFormat="1" ht="24" customHeight="1">
      <c r="A44" s="1147"/>
      <c r="B44" s="1148" t="s">
        <v>1674</v>
      </c>
      <c r="C44" s="1123"/>
      <c r="D44" s="1124"/>
      <c r="E44" s="1019">
        <v>319</v>
      </c>
      <c r="F44" s="1150" t="s">
        <v>438</v>
      </c>
      <c r="G44" s="1244">
        <v>499</v>
      </c>
      <c r="H44" s="796">
        <f t="shared" si="1"/>
        <v>159181</v>
      </c>
      <c r="I44" s="1176">
        <v>280</v>
      </c>
      <c r="J44" s="796">
        <f t="shared" si="2"/>
        <v>89320</v>
      </c>
      <c r="K44" s="914">
        <f t="shared" si="3"/>
        <v>248501</v>
      </c>
      <c r="L44" s="912"/>
    </row>
    <row r="45" spans="1:12" s="714" customFormat="1" ht="24" customHeight="1">
      <c r="A45" s="1147"/>
      <c r="B45" s="1148" t="s">
        <v>1675</v>
      </c>
      <c r="C45" s="1123"/>
      <c r="D45" s="1124"/>
      <c r="E45" s="1019">
        <v>243</v>
      </c>
      <c r="F45" s="1150" t="s">
        <v>438</v>
      </c>
      <c r="G45" s="1244">
        <v>877</v>
      </c>
      <c r="H45" s="796">
        <f t="shared" si="1"/>
        <v>213111</v>
      </c>
      <c r="I45" s="1176">
        <v>500</v>
      </c>
      <c r="J45" s="796">
        <f t="shared" si="2"/>
        <v>121500</v>
      </c>
      <c r="K45" s="914">
        <f t="shared" si="3"/>
        <v>334611</v>
      </c>
      <c r="L45" s="912"/>
    </row>
    <row r="46" spans="1:12" s="714" customFormat="1" ht="24" customHeight="1">
      <c r="A46" s="1147"/>
      <c r="B46" s="1148" t="s">
        <v>1676</v>
      </c>
      <c r="C46" s="1123"/>
      <c r="D46" s="1124"/>
      <c r="E46" s="1019"/>
      <c r="F46" s="1150" t="s">
        <v>438</v>
      </c>
      <c r="G46" s="1244">
        <v>1361</v>
      </c>
      <c r="H46" s="796">
        <f t="shared" si="1"/>
        <v>0</v>
      </c>
      <c r="I46" s="1176">
        <v>560</v>
      </c>
      <c r="J46" s="796">
        <f t="shared" si="2"/>
        <v>0</v>
      </c>
      <c r="K46" s="914">
        <f t="shared" si="3"/>
        <v>0</v>
      </c>
      <c r="L46" s="912"/>
    </row>
    <row r="47" spans="1:12" s="714" customFormat="1" ht="24" customHeight="1">
      <c r="A47" s="1147"/>
      <c r="B47" s="1148" t="s">
        <v>1790</v>
      </c>
      <c r="C47" s="1123"/>
      <c r="D47" s="1124"/>
      <c r="E47" s="1019"/>
      <c r="F47" s="1150" t="s">
        <v>438</v>
      </c>
      <c r="G47" s="1244">
        <v>2212</v>
      </c>
      <c r="H47" s="796">
        <f t="shared" si="1"/>
        <v>0</v>
      </c>
      <c r="I47" s="1176">
        <v>700</v>
      </c>
      <c r="J47" s="796">
        <f t="shared" si="2"/>
        <v>0</v>
      </c>
      <c r="K47" s="914">
        <f t="shared" si="3"/>
        <v>0</v>
      </c>
      <c r="L47" s="912"/>
    </row>
    <row r="48" spans="1:12" s="714" customFormat="1" ht="24" customHeight="1">
      <c r="A48" s="1147"/>
      <c r="B48" s="1148" t="s">
        <v>1645</v>
      </c>
      <c r="C48" s="1123"/>
      <c r="D48" s="1124"/>
      <c r="E48" s="1013">
        <v>1</v>
      </c>
      <c r="F48" s="935" t="s">
        <v>948</v>
      </c>
      <c r="G48" s="1244">
        <f>ROUNDDOWN(SUM(H38:H47)*40%,)</f>
        <v>332008</v>
      </c>
      <c r="H48" s="796">
        <f t="shared" si="1"/>
        <v>332008</v>
      </c>
      <c r="I48" s="1176">
        <f>ROUND(G48*0.3,)</f>
        <v>99602</v>
      </c>
      <c r="J48" s="796">
        <f t="shared" si="2"/>
        <v>99602</v>
      </c>
      <c r="K48" s="914">
        <f t="shared" si="3"/>
        <v>431610</v>
      </c>
      <c r="L48" s="912"/>
    </row>
    <row r="49" spans="1:15" s="714" customFormat="1" ht="24" customHeight="1">
      <c r="A49" s="1147"/>
      <c r="B49" s="1148" t="s">
        <v>1646</v>
      </c>
      <c r="C49" s="1123"/>
      <c r="D49" s="1124"/>
      <c r="E49" s="1013">
        <v>1</v>
      </c>
      <c r="F49" s="935" t="s">
        <v>948</v>
      </c>
      <c r="G49" s="1244">
        <f>ROUND(SUM(H38:H47)*20%,)</f>
        <v>166004</v>
      </c>
      <c r="H49" s="796">
        <f t="shared" si="1"/>
        <v>166004</v>
      </c>
      <c r="I49" s="1176">
        <f t="shared" ref="I49:I51" si="4">ROUND(G49*0.3,)</f>
        <v>49801</v>
      </c>
      <c r="J49" s="796">
        <f t="shared" si="2"/>
        <v>49801</v>
      </c>
      <c r="K49" s="914">
        <f t="shared" si="3"/>
        <v>215805</v>
      </c>
      <c r="L49" s="912"/>
    </row>
    <row r="50" spans="1:15" s="714" customFormat="1" ht="24" customHeight="1">
      <c r="A50" s="1147"/>
      <c r="B50" s="1148" t="s">
        <v>1647</v>
      </c>
      <c r="C50" s="1123"/>
      <c r="D50" s="1124"/>
      <c r="E50" s="1013">
        <v>1</v>
      </c>
      <c r="F50" s="935" t="s">
        <v>948</v>
      </c>
      <c r="G50" s="1244">
        <f>ROUND(SUM(H38:H47)*10%,)</f>
        <v>83002</v>
      </c>
      <c r="H50" s="796">
        <f t="shared" si="1"/>
        <v>83002</v>
      </c>
      <c r="I50" s="1176">
        <f t="shared" si="4"/>
        <v>24901</v>
      </c>
      <c r="J50" s="796">
        <f t="shared" si="2"/>
        <v>24901</v>
      </c>
      <c r="K50" s="914">
        <f t="shared" si="3"/>
        <v>107903</v>
      </c>
      <c r="L50" s="912"/>
    </row>
    <row r="51" spans="1:15" s="714" customFormat="1" ht="24" customHeight="1">
      <c r="A51" s="1147"/>
      <c r="B51" s="1148" t="s">
        <v>1791</v>
      </c>
      <c r="C51" s="1123"/>
      <c r="D51" s="1124"/>
      <c r="E51" s="1013">
        <v>1</v>
      </c>
      <c r="F51" s="935" t="s">
        <v>948</v>
      </c>
      <c r="G51" s="1244">
        <f>ROUND(SUM(H38:H47)*30%,)</f>
        <v>249006</v>
      </c>
      <c r="H51" s="796">
        <f t="shared" si="1"/>
        <v>249006</v>
      </c>
      <c r="I51" s="1176">
        <f t="shared" si="4"/>
        <v>74702</v>
      </c>
      <c r="J51" s="796">
        <f t="shared" si="2"/>
        <v>74702</v>
      </c>
      <c r="K51" s="914">
        <f t="shared" si="3"/>
        <v>323708</v>
      </c>
      <c r="L51" s="912"/>
    </row>
    <row r="52" spans="1:15" s="714" customFormat="1" ht="24" customHeight="1">
      <c r="A52" s="1147" t="s">
        <v>1792</v>
      </c>
      <c r="B52" s="1148" t="s">
        <v>1793</v>
      </c>
      <c r="C52" s="1123"/>
      <c r="D52" s="1124"/>
      <c r="E52" s="1149"/>
      <c r="F52" s="1150"/>
      <c r="G52" s="1140"/>
      <c r="H52" s="854"/>
      <c r="I52" s="855"/>
      <c r="J52" s="854"/>
      <c r="K52" s="912"/>
      <c r="L52" s="912"/>
    </row>
    <row r="53" spans="1:15" s="714" customFormat="1" ht="24" customHeight="1">
      <c r="A53" s="1147"/>
      <c r="B53" s="1148" t="s">
        <v>1822</v>
      </c>
      <c r="C53" s="1123"/>
      <c r="D53" s="1124"/>
      <c r="E53" s="1019">
        <v>5</v>
      </c>
      <c r="F53" s="1150" t="s">
        <v>438</v>
      </c>
      <c r="G53" s="1140">
        <v>124</v>
      </c>
      <c r="H53" s="796">
        <f>ROUND(E53*G53,)</f>
        <v>620</v>
      </c>
      <c r="I53" s="797">
        <v>50</v>
      </c>
      <c r="J53" s="796">
        <f t="shared" ref="J53:J57" si="5">ROUND(I53*E53,)</f>
        <v>250</v>
      </c>
      <c r="K53" s="914">
        <f t="shared" ref="K53:K57" si="6">H53+J53</f>
        <v>870</v>
      </c>
      <c r="L53" s="2273" t="s">
        <v>2974</v>
      </c>
      <c r="N53" s="714">
        <v>745.96</v>
      </c>
      <c r="O53" s="714">
        <f>ROUND(N53/6,)</f>
        <v>124</v>
      </c>
    </row>
    <row r="54" spans="1:15" s="714" customFormat="1" ht="24" customHeight="1">
      <c r="A54" s="1147"/>
      <c r="B54" s="1148" t="s">
        <v>1188</v>
      </c>
      <c r="C54" s="1123"/>
      <c r="D54" s="1124"/>
      <c r="E54" s="1019">
        <v>12</v>
      </c>
      <c r="F54" s="1150" t="s">
        <v>438</v>
      </c>
      <c r="G54" s="1140">
        <v>259</v>
      </c>
      <c r="H54" s="796">
        <f t="shared" ref="H54:H57" si="7">ROUND(E54*G54,)</f>
        <v>3108</v>
      </c>
      <c r="I54" s="906">
        <v>110</v>
      </c>
      <c r="J54" s="796">
        <f t="shared" si="5"/>
        <v>1320</v>
      </c>
      <c r="K54" s="914">
        <f t="shared" si="6"/>
        <v>4428</v>
      </c>
      <c r="L54" s="2273" t="s">
        <v>2974</v>
      </c>
      <c r="N54" s="714">
        <v>1554.48</v>
      </c>
      <c r="O54" s="714">
        <f>ROUND(N54/6,)</f>
        <v>259</v>
      </c>
    </row>
    <row r="55" spans="1:15" s="714" customFormat="1" ht="24" customHeight="1">
      <c r="A55" s="1147"/>
      <c r="B55" s="1148" t="s">
        <v>1645</v>
      </c>
      <c r="C55" s="1123"/>
      <c r="D55" s="1124"/>
      <c r="E55" s="1013">
        <v>1</v>
      </c>
      <c r="F55" s="935" t="s">
        <v>948</v>
      </c>
      <c r="G55" s="1244">
        <f>ROUND(SUM(H53:H54)*50%,)</f>
        <v>1864</v>
      </c>
      <c r="H55" s="796">
        <f t="shared" si="7"/>
        <v>1864</v>
      </c>
      <c r="I55" s="1176">
        <f>ROUND(G55*0.3,)</f>
        <v>559</v>
      </c>
      <c r="J55" s="796">
        <f t="shared" si="5"/>
        <v>559</v>
      </c>
      <c r="K55" s="914">
        <f t="shared" si="6"/>
        <v>2423</v>
      </c>
      <c r="L55" s="912"/>
    </row>
    <row r="56" spans="1:15" s="714" customFormat="1" ht="24" customHeight="1">
      <c r="A56" s="1147"/>
      <c r="B56" s="1148" t="s">
        <v>1646</v>
      </c>
      <c r="C56" s="1123"/>
      <c r="D56" s="1124"/>
      <c r="E56" s="1013">
        <v>1</v>
      </c>
      <c r="F56" s="935" t="s">
        <v>948</v>
      </c>
      <c r="G56" s="1244">
        <f>ROUND(SUM(H53:H54)*20%,)</f>
        <v>746</v>
      </c>
      <c r="H56" s="796">
        <f t="shared" si="7"/>
        <v>746</v>
      </c>
      <c r="I56" s="1176">
        <f t="shared" ref="I56:I57" si="8">ROUND(G56*0.3,)</f>
        <v>224</v>
      </c>
      <c r="J56" s="796">
        <f t="shared" si="5"/>
        <v>224</v>
      </c>
      <c r="K56" s="914">
        <f t="shared" si="6"/>
        <v>970</v>
      </c>
      <c r="L56" s="912"/>
    </row>
    <row r="57" spans="1:15" s="714" customFormat="1" ht="24" customHeight="1">
      <c r="A57" s="1147"/>
      <c r="B57" s="1148" t="s">
        <v>1647</v>
      </c>
      <c r="C57" s="1123"/>
      <c r="D57" s="1124"/>
      <c r="E57" s="1013">
        <v>1</v>
      </c>
      <c r="F57" s="935" t="s">
        <v>948</v>
      </c>
      <c r="G57" s="1244">
        <f>ROUND(SUM(H53:H54)*10%,)</f>
        <v>373</v>
      </c>
      <c r="H57" s="796">
        <f t="shared" si="7"/>
        <v>373</v>
      </c>
      <c r="I57" s="1176">
        <f t="shared" si="8"/>
        <v>112</v>
      </c>
      <c r="J57" s="796">
        <f t="shared" si="5"/>
        <v>112</v>
      </c>
      <c r="K57" s="914">
        <f t="shared" si="6"/>
        <v>485</v>
      </c>
      <c r="L57" s="912"/>
    </row>
    <row r="58" spans="1:15" s="714" customFormat="1" ht="24" customHeight="1">
      <c r="A58" s="1147"/>
      <c r="B58" s="1148" t="s">
        <v>957</v>
      </c>
      <c r="C58" s="1123"/>
      <c r="D58" s="1124"/>
      <c r="E58" s="1149"/>
      <c r="F58" s="1150"/>
      <c r="G58" s="1140"/>
      <c r="H58" s="854"/>
      <c r="I58" s="855"/>
      <c r="J58" s="854"/>
      <c r="K58" s="912"/>
      <c r="L58" s="912"/>
    </row>
    <row r="59" spans="1:15" s="714" customFormat="1" ht="24" customHeight="1">
      <c r="A59" s="1166"/>
      <c r="B59" s="2475" t="str">
        <f>"รวมราคารายการที่ "&amp;A36</f>
        <v>รวมราคารายการที่ 6.1</v>
      </c>
      <c r="C59" s="2476"/>
      <c r="D59" s="2477"/>
      <c r="E59" s="1167"/>
      <c r="F59" s="1167"/>
      <c r="G59" s="1168"/>
      <c r="H59" s="1169">
        <f>SUM(H37:H58)</f>
        <v>1666752</v>
      </c>
      <c r="I59" s="1170"/>
      <c r="J59" s="1169">
        <f>SUM(J37:J58)</f>
        <v>721626</v>
      </c>
      <c r="K59" s="1171">
        <f>SUM(K37:K58)</f>
        <v>2388378</v>
      </c>
      <c r="L59" s="1171"/>
    </row>
    <row r="60" spans="1:15" s="714" customFormat="1" ht="24" customHeight="1">
      <c r="A60" s="1207">
        <v>6.2</v>
      </c>
      <c r="B60" s="1208" t="s">
        <v>1794</v>
      </c>
      <c r="C60" s="1209"/>
      <c r="D60" s="1210"/>
      <c r="E60" s="1211"/>
      <c r="F60" s="1212"/>
      <c r="G60" s="874"/>
      <c r="H60" s="854"/>
      <c r="I60" s="855"/>
      <c r="J60" s="854"/>
      <c r="K60" s="912"/>
      <c r="L60" s="912"/>
    </row>
    <row r="61" spans="1:15" s="714" customFormat="1" ht="24" customHeight="1">
      <c r="A61" s="1147" t="s">
        <v>1795</v>
      </c>
      <c r="B61" s="1148" t="s">
        <v>1823</v>
      </c>
      <c r="C61" s="1123"/>
      <c r="D61" s="1124"/>
      <c r="E61" s="1149"/>
      <c r="F61" s="1150"/>
      <c r="G61" s="1140"/>
      <c r="H61" s="796">
        <f t="shared" ref="H61:H62" si="9">ROUND(E61*G61,)</f>
        <v>0</v>
      </c>
      <c r="I61" s="855"/>
      <c r="J61" s="796">
        <f t="shared" ref="J61:J62" si="10">ROUND(I61*E61,)</f>
        <v>0</v>
      </c>
      <c r="K61" s="912"/>
      <c r="L61" s="912"/>
    </row>
    <row r="62" spans="1:15" s="714" customFormat="1" ht="24" customHeight="1">
      <c r="A62" s="1147"/>
      <c r="B62" s="1148" t="s">
        <v>1185</v>
      </c>
      <c r="C62" s="1123"/>
      <c r="D62" s="1124"/>
      <c r="E62" s="1149">
        <v>8</v>
      </c>
      <c r="F62" s="1150" t="s">
        <v>240</v>
      </c>
      <c r="G62" s="1140">
        <v>400</v>
      </c>
      <c r="H62" s="796">
        <f t="shared" si="9"/>
        <v>3200</v>
      </c>
      <c r="I62" s="855">
        <v>200</v>
      </c>
      <c r="J62" s="796">
        <f t="shared" si="10"/>
        <v>1600</v>
      </c>
      <c r="K62" s="914">
        <f t="shared" ref="K62" si="11">H62+J62</f>
        <v>4800</v>
      </c>
      <c r="L62" s="912"/>
    </row>
    <row r="63" spans="1:15" s="714" customFormat="1" ht="24" customHeight="1">
      <c r="A63" s="1147" t="s">
        <v>1797</v>
      </c>
      <c r="B63" s="1148" t="s">
        <v>1808</v>
      </c>
      <c r="C63" s="1123"/>
      <c r="D63" s="1124"/>
      <c r="E63" s="1149"/>
      <c r="F63" s="1150"/>
      <c r="G63" s="1140"/>
      <c r="H63" s="854"/>
      <c r="I63" s="855"/>
      <c r="J63" s="854"/>
      <c r="K63" s="912"/>
      <c r="L63" s="912"/>
    </row>
    <row r="64" spans="1:15" s="714" customFormat="1" ht="24" customHeight="1">
      <c r="A64" s="1147"/>
      <c r="B64" s="1148" t="s">
        <v>1675</v>
      </c>
      <c r="C64" s="1123"/>
      <c r="D64" s="1124"/>
      <c r="E64" s="1149">
        <v>4</v>
      </c>
      <c r="F64" s="1150" t="s">
        <v>240</v>
      </c>
      <c r="G64" s="1140">
        <v>13100</v>
      </c>
      <c r="H64" s="796">
        <f t="shared" ref="H64:H67" si="12">ROUND(E64*G64,)</f>
        <v>52400</v>
      </c>
      <c r="I64" s="855">
        <v>1200</v>
      </c>
      <c r="J64" s="796">
        <f t="shared" ref="J64:J67" si="13">ROUND(I64*E64,)</f>
        <v>4800</v>
      </c>
      <c r="K64" s="914">
        <f t="shared" ref="K64:K67" si="14">H64+J64</f>
        <v>57200</v>
      </c>
      <c r="L64" s="912"/>
    </row>
    <row r="65" spans="1:12" s="714" customFormat="1" ht="24" customHeight="1">
      <c r="A65" s="1147" t="s">
        <v>1799</v>
      </c>
      <c r="B65" s="1148" t="s">
        <v>1811</v>
      </c>
      <c r="C65" s="1123"/>
      <c r="D65" s="1124"/>
      <c r="E65" s="1149"/>
      <c r="F65" s="1150"/>
      <c r="G65" s="1140"/>
      <c r="H65" s="796"/>
      <c r="I65" s="855"/>
      <c r="J65" s="796"/>
      <c r="K65" s="914"/>
      <c r="L65" s="912"/>
    </row>
    <row r="66" spans="1:12" s="714" customFormat="1" ht="24" customHeight="1">
      <c r="A66" s="1147"/>
      <c r="B66" s="1148" t="s">
        <v>1788</v>
      </c>
      <c r="C66" s="1123"/>
      <c r="D66" s="1124"/>
      <c r="E66" s="1149">
        <v>4</v>
      </c>
      <c r="F66" s="1150" t="s">
        <v>240</v>
      </c>
      <c r="G66" s="1140">
        <v>1963</v>
      </c>
      <c r="H66" s="796">
        <f t="shared" ref="H66" si="15">ROUND(E66*G66,)</f>
        <v>7852</v>
      </c>
      <c r="I66" s="855">
        <v>400</v>
      </c>
      <c r="J66" s="796">
        <f t="shared" ref="J66" si="16">ROUND(I66*E66,)</f>
        <v>1600</v>
      </c>
      <c r="K66" s="914">
        <f t="shared" ref="K66" si="17">H66+J66</f>
        <v>9452</v>
      </c>
      <c r="L66" s="912"/>
    </row>
    <row r="67" spans="1:12" s="714" customFormat="1" ht="24" customHeight="1">
      <c r="A67" s="1147" t="s">
        <v>1801</v>
      </c>
      <c r="B67" s="1148" t="s">
        <v>1826</v>
      </c>
      <c r="C67" s="1123"/>
      <c r="D67" s="1124"/>
      <c r="E67" s="1149">
        <v>4</v>
      </c>
      <c r="F67" s="1150" t="s">
        <v>240</v>
      </c>
      <c r="G67" s="1140">
        <v>900</v>
      </c>
      <c r="H67" s="796">
        <f t="shared" si="12"/>
        <v>3600</v>
      </c>
      <c r="I67" s="855">
        <v>100</v>
      </c>
      <c r="J67" s="796">
        <f t="shared" si="13"/>
        <v>400</v>
      </c>
      <c r="K67" s="914">
        <f t="shared" si="14"/>
        <v>4000</v>
      </c>
      <c r="L67" s="912"/>
    </row>
    <row r="68" spans="1:12" s="714" customFormat="1" ht="24" customHeight="1">
      <c r="A68" s="1147" t="s">
        <v>1803</v>
      </c>
      <c r="B68" s="1148" t="s">
        <v>1827</v>
      </c>
      <c r="C68" s="1123"/>
      <c r="D68" s="1124"/>
      <c r="E68" s="1149"/>
      <c r="F68" s="1150"/>
      <c r="G68" s="1140"/>
      <c r="H68" s="854"/>
      <c r="I68" s="855"/>
      <c r="J68" s="854"/>
      <c r="K68" s="912"/>
      <c r="L68" s="912"/>
    </row>
    <row r="69" spans="1:12" s="714" customFormat="1" ht="24" customHeight="1">
      <c r="A69" s="1147"/>
      <c r="B69" s="1148" t="s">
        <v>1675</v>
      </c>
      <c r="C69" s="1123"/>
      <c r="D69" s="1124"/>
      <c r="E69" s="1149">
        <v>4</v>
      </c>
      <c r="F69" s="1150" t="s">
        <v>240</v>
      </c>
      <c r="G69" s="1140">
        <v>17400</v>
      </c>
      <c r="H69" s="796">
        <f t="shared" ref="H69" si="18">ROUND(E69*G69,)</f>
        <v>69600</v>
      </c>
      <c r="I69" s="855">
        <v>1200</v>
      </c>
      <c r="J69" s="796">
        <f t="shared" ref="J69" si="19">ROUND(I69*E69,)</f>
        <v>4800</v>
      </c>
      <c r="K69" s="914">
        <f t="shared" ref="K69" si="20">H69+J69</f>
        <v>74400</v>
      </c>
      <c r="L69" s="912"/>
    </row>
    <row r="70" spans="1:12" s="714" customFormat="1" ht="24" customHeight="1">
      <c r="A70" s="1147" t="s">
        <v>1805</v>
      </c>
      <c r="B70" s="1148" t="s">
        <v>1717</v>
      </c>
      <c r="C70" s="1123"/>
      <c r="D70" s="1124"/>
      <c r="E70" s="1149"/>
      <c r="F70" s="1150"/>
      <c r="G70" s="1140"/>
      <c r="H70" s="854"/>
      <c r="I70" s="855"/>
      <c r="J70" s="854"/>
      <c r="K70" s="912"/>
      <c r="L70" s="912"/>
    </row>
    <row r="71" spans="1:12" s="714" customFormat="1" ht="24" customHeight="1">
      <c r="A71" s="1147"/>
      <c r="B71" s="1148" t="s">
        <v>1785</v>
      </c>
      <c r="C71" s="1123"/>
      <c r="D71" s="1124"/>
      <c r="E71" s="1149">
        <v>4</v>
      </c>
      <c r="F71" s="1150" t="s">
        <v>240</v>
      </c>
      <c r="G71" s="1140">
        <v>1010</v>
      </c>
      <c r="H71" s="796">
        <f t="shared" ref="H71" si="21">ROUND(E71*G71,)</f>
        <v>4040</v>
      </c>
      <c r="I71" s="855">
        <v>100</v>
      </c>
      <c r="J71" s="796">
        <f t="shared" ref="J71" si="22">ROUND(I71*E71,)</f>
        <v>400</v>
      </c>
      <c r="K71" s="914">
        <f t="shared" ref="K71" si="23">H71+J71</f>
        <v>4440</v>
      </c>
      <c r="L71" s="912"/>
    </row>
    <row r="72" spans="1:12" s="714" customFormat="1" ht="24" customHeight="1">
      <c r="A72" s="1147" t="s">
        <v>1807</v>
      </c>
      <c r="B72" s="1148" t="s">
        <v>1806</v>
      </c>
      <c r="C72" s="1123"/>
      <c r="D72" s="1124"/>
      <c r="E72" s="1149"/>
      <c r="F72" s="1150"/>
      <c r="G72" s="1140"/>
      <c r="H72" s="854"/>
      <c r="I72" s="855"/>
      <c r="J72" s="854"/>
      <c r="K72" s="912"/>
      <c r="L72" s="912"/>
    </row>
    <row r="73" spans="1:12" s="714" customFormat="1" ht="24" customHeight="1">
      <c r="A73" s="1147"/>
      <c r="B73" s="1148" t="s">
        <v>1785</v>
      </c>
      <c r="C73" s="1123"/>
      <c r="D73" s="1124"/>
      <c r="E73" s="1149">
        <v>4</v>
      </c>
      <c r="F73" s="1150" t="s">
        <v>240</v>
      </c>
      <c r="G73" s="1249">
        <v>18060</v>
      </c>
      <c r="H73" s="796">
        <f t="shared" ref="H73" si="24">ROUND(E73*G73,)</f>
        <v>72240</v>
      </c>
      <c r="I73" s="855">
        <v>100</v>
      </c>
      <c r="J73" s="796">
        <f t="shared" ref="J73" si="25">ROUND(I73*E73,)</f>
        <v>400</v>
      </c>
      <c r="K73" s="914">
        <f t="shared" ref="K73" si="26">H73+J73</f>
        <v>72640</v>
      </c>
      <c r="L73" s="912"/>
    </row>
    <row r="74" spans="1:12" s="714" customFormat="1" ht="24" customHeight="1">
      <c r="A74" s="1147"/>
      <c r="B74" s="1148" t="s">
        <v>957</v>
      </c>
      <c r="C74" s="1123"/>
      <c r="D74" s="1190"/>
      <c r="E74" s="1149"/>
      <c r="F74" s="1210"/>
      <c r="G74" s="1140"/>
      <c r="H74" s="854"/>
      <c r="I74" s="855"/>
      <c r="J74" s="854"/>
      <c r="K74" s="912"/>
      <c r="L74" s="912"/>
    </row>
    <row r="75" spans="1:12" s="714" customFormat="1" ht="24" customHeight="1">
      <c r="A75" s="1166"/>
      <c r="B75" s="2475" t="str">
        <f>"รวมราคารายการที่ "&amp;A60</f>
        <v>รวมราคารายการที่ 6.2</v>
      </c>
      <c r="C75" s="2476"/>
      <c r="D75" s="2477"/>
      <c r="E75" s="1167"/>
      <c r="F75" s="1167"/>
      <c r="G75" s="1168"/>
      <c r="H75" s="1169">
        <f>SUM(H61:H74)</f>
        <v>212932</v>
      </c>
      <c r="I75" s="1170"/>
      <c r="J75" s="1169">
        <f>SUM(J61:J74)</f>
        <v>14000</v>
      </c>
      <c r="K75" s="1171">
        <f>SUM(K61:K74)</f>
        <v>226932</v>
      </c>
      <c r="L75" s="1171"/>
    </row>
    <row r="76" spans="1:12" s="714" customFormat="1" ht="24" customHeight="1">
      <c r="A76" s="1207">
        <v>6.3</v>
      </c>
      <c r="B76" s="1208" t="s">
        <v>1828</v>
      </c>
      <c r="C76" s="1209"/>
      <c r="D76" s="1210"/>
      <c r="E76" s="1211"/>
      <c r="F76" s="1221"/>
      <c r="G76" s="1140"/>
      <c r="H76" s="796"/>
      <c r="I76" s="855"/>
      <c r="J76" s="854"/>
      <c r="K76" s="912"/>
      <c r="L76" s="912"/>
    </row>
    <row r="77" spans="1:12" s="714" customFormat="1" ht="24" customHeight="1">
      <c r="A77" s="1147" t="s">
        <v>1829</v>
      </c>
      <c r="B77" s="1148" t="s">
        <v>1830</v>
      </c>
      <c r="C77" s="1123"/>
      <c r="D77" s="1124"/>
      <c r="E77" s="1149"/>
      <c r="F77" s="1147" t="s">
        <v>240</v>
      </c>
      <c r="G77" s="1140"/>
      <c r="H77" s="854"/>
      <c r="I77" s="855"/>
      <c r="J77" s="796"/>
      <c r="K77" s="914"/>
      <c r="L77" s="912"/>
    </row>
    <row r="78" spans="1:12" s="714" customFormat="1" ht="24" customHeight="1">
      <c r="A78" s="1147" t="s">
        <v>1831</v>
      </c>
      <c r="B78" s="1148" t="s">
        <v>1832</v>
      </c>
      <c r="C78" s="1123"/>
      <c r="D78" s="1124"/>
      <c r="E78" s="1149"/>
      <c r="F78" s="1147" t="s">
        <v>240</v>
      </c>
      <c r="G78" s="1140"/>
      <c r="H78" s="796">
        <f t="shared" ref="H78:H79" si="27">ROUND(E78*G78,)</f>
        <v>0</v>
      </c>
      <c r="I78" s="855"/>
      <c r="J78" s="796">
        <f t="shared" ref="J78:J79" si="28">ROUND(I78*E78,)</f>
        <v>0</v>
      </c>
      <c r="K78" s="914">
        <f>H78+J78</f>
        <v>0</v>
      </c>
      <c r="L78" s="912"/>
    </row>
    <row r="79" spans="1:12" s="714" customFormat="1" ht="24" customHeight="1">
      <c r="A79" s="1147" t="s">
        <v>1833</v>
      </c>
      <c r="B79" s="1148" t="s">
        <v>1834</v>
      </c>
      <c r="C79" s="1123"/>
      <c r="D79" s="1124"/>
      <c r="E79" s="1149">
        <v>936</v>
      </c>
      <c r="F79" s="1147" t="s">
        <v>240</v>
      </c>
      <c r="G79" s="1140">
        <v>126</v>
      </c>
      <c r="H79" s="854">
        <f t="shared" si="27"/>
        <v>117936</v>
      </c>
      <c r="I79" s="855">
        <v>50</v>
      </c>
      <c r="J79" s="796">
        <f t="shared" si="28"/>
        <v>46800</v>
      </c>
      <c r="K79" s="914">
        <f>H79+J79</f>
        <v>164736</v>
      </c>
      <c r="L79" s="912"/>
    </row>
    <row r="80" spans="1:12" s="714" customFormat="1" ht="24" customHeight="1">
      <c r="A80" s="1147" t="s">
        <v>1835</v>
      </c>
      <c r="B80" s="1148" t="s">
        <v>1836</v>
      </c>
      <c r="C80" s="1123"/>
      <c r="D80" s="1124"/>
      <c r="E80" s="1149"/>
      <c r="F80" s="1147" t="s">
        <v>240</v>
      </c>
      <c r="G80" s="1140"/>
      <c r="H80" s="796"/>
      <c r="I80" s="855"/>
      <c r="J80" s="854"/>
      <c r="K80" s="912"/>
      <c r="L80" s="912"/>
    </row>
    <row r="81" spans="1:12" s="714" customFormat="1" ht="24" customHeight="1">
      <c r="A81" s="1147" t="s">
        <v>1837</v>
      </c>
      <c r="B81" s="1148" t="s">
        <v>1838</v>
      </c>
      <c r="C81" s="1123"/>
      <c r="D81" s="1124"/>
      <c r="E81" s="1149"/>
      <c r="F81" s="1147" t="s">
        <v>240</v>
      </c>
      <c r="G81" s="1140"/>
      <c r="H81" s="854"/>
      <c r="I81" s="855"/>
      <c r="J81" s="854"/>
      <c r="K81" s="912"/>
      <c r="L81" s="912"/>
    </row>
    <row r="82" spans="1:12" s="714" customFormat="1" ht="24" customHeight="1">
      <c r="A82" s="1147" t="s">
        <v>1839</v>
      </c>
      <c r="B82" s="1148" t="s">
        <v>1840</v>
      </c>
      <c r="C82" s="1123"/>
      <c r="D82" s="1124"/>
      <c r="E82" s="1149"/>
      <c r="F82" s="1147" t="s">
        <v>240</v>
      </c>
      <c r="G82" s="1140"/>
      <c r="H82" s="796"/>
      <c r="I82" s="855"/>
      <c r="J82" s="854"/>
      <c r="K82" s="912"/>
      <c r="L82" s="912"/>
    </row>
    <row r="83" spans="1:12" s="714" customFormat="1" ht="24" customHeight="1">
      <c r="A83" s="1147"/>
      <c r="B83" s="1148"/>
      <c r="C83" s="1123"/>
      <c r="D83" s="1124"/>
      <c r="E83" s="1149"/>
      <c r="F83" s="1147"/>
      <c r="G83" s="1140"/>
      <c r="H83" s="854"/>
      <c r="I83" s="855"/>
      <c r="J83" s="854"/>
      <c r="K83" s="912"/>
      <c r="L83" s="912"/>
    </row>
    <row r="84" spans="1:12" s="714" customFormat="1" ht="24" customHeight="1">
      <c r="A84" s="1166"/>
      <c r="B84" s="2475" t="str">
        <f>"รวมราคารายการที่ "&amp;A76</f>
        <v>รวมราคารายการที่ 6.3</v>
      </c>
      <c r="C84" s="2476"/>
      <c r="D84" s="2477"/>
      <c r="E84" s="1167"/>
      <c r="F84" s="1167"/>
      <c r="G84" s="1168"/>
      <c r="H84" s="1169">
        <f>SUM(H77:H83)</f>
        <v>117936</v>
      </c>
      <c r="I84" s="1170"/>
      <c r="J84" s="1169">
        <f>SUM(J77:J83)</f>
        <v>46800</v>
      </c>
      <c r="K84" s="1171">
        <f>SUM(K77:K83)</f>
        <v>164736</v>
      </c>
      <c r="L84" s="1171"/>
    </row>
    <row r="85" spans="1:12" s="714" customFormat="1" ht="24" customHeight="1">
      <c r="A85" s="1195">
        <v>6.4</v>
      </c>
      <c r="B85" s="1196" t="s">
        <v>1844</v>
      </c>
      <c r="C85" s="1197"/>
      <c r="D85" s="1198"/>
      <c r="E85" s="1199"/>
      <c r="F85" s="1230"/>
      <c r="G85" s="1255"/>
      <c r="H85" s="788"/>
      <c r="I85" s="789"/>
      <c r="J85" s="788"/>
      <c r="K85" s="1256"/>
      <c r="L85" s="1256"/>
    </row>
    <row r="86" spans="1:12" s="714" customFormat="1" ht="24" customHeight="1">
      <c r="A86" s="1147" t="s">
        <v>1845</v>
      </c>
      <c r="B86" s="1148" t="s">
        <v>1846</v>
      </c>
      <c r="C86" s="1123"/>
      <c r="D86" s="1124"/>
      <c r="E86" s="1149"/>
      <c r="F86" s="1147"/>
      <c r="G86" s="1257"/>
      <c r="H86" s="796"/>
      <c r="I86" s="797"/>
      <c r="J86" s="796"/>
      <c r="K86" s="914"/>
      <c r="L86" s="914"/>
    </row>
    <row r="87" spans="1:12" s="714" customFormat="1" ht="24" customHeight="1">
      <c r="A87" s="1147"/>
      <c r="B87" s="1148" t="s">
        <v>1847</v>
      </c>
      <c r="C87" s="1123"/>
      <c r="D87" s="1124"/>
      <c r="E87" s="1149">
        <v>1</v>
      </c>
      <c r="F87" s="1147" t="s">
        <v>240</v>
      </c>
      <c r="G87" s="1257">
        <v>3800</v>
      </c>
      <c r="H87" s="796">
        <f t="shared" ref="H87:H93" si="29">ROUND(E87*G87,)</f>
        <v>3800</v>
      </c>
      <c r="I87" s="797">
        <f>G87*0.3</f>
        <v>1140</v>
      </c>
      <c r="J87" s="796">
        <f t="shared" ref="J87" si="30">ROUND(I87*E87,)</f>
        <v>1140</v>
      </c>
      <c r="K87" s="914">
        <f>H87+J87</f>
        <v>4940</v>
      </c>
      <c r="L87" s="914"/>
    </row>
    <row r="88" spans="1:12" s="714" customFormat="1" ht="24" customHeight="1">
      <c r="A88" s="1159"/>
      <c r="B88" s="1160" t="s">
        <v>1848</v>
      </c>
      <c r="C88" s="1161"/>
      <c r="D88" s="1162"/>
      <c r="E88" s="1149">
        <v>1</v>
      </c>
      <c r="F88" s="1159" t="s">
        <v>240</v>
      </c>
      <c r="G88" s="1258">
        <v>890</v>
      </c>
      <c r="H88" s="796">
        <f t="shared" si="29"/>
        <v>890</v>
      </c>
      <c r="I88" s="797" t="s">
        <v>974</v>
      </c>
      <c r="J88" s="796"/>
      <c r="K88" s="914">
        <f t="shared" ref="K88:K93" si="31">H88+J88</f>
        <v>890</v>
      </c>
      <c r="L88" s="914"/>
    </row>
    <row r="89" spans="1:12" s="714" customFormat="1" ht="24" customHeight="1">
      <c r="A89" s="1147"/>
      <c r="B89" s="1148" t="s">
        <v>1849</v>
      </c>
      <c r="C89" s="1123"/>
      <c r="D89" s="1124"/>
      <c r="E89" s="1149">
        <v>1</v>
      </c>
      <c r="F89" s="1147" t="s">
        <v>240</v>
      </c>
      <c r="G89" s="1257">
        <v>4200</v>
      </c>
      <c r="H89" s="796">
        <f t="shared" si="29"/>
        <v>4200</v>
      </c>
      <c r="I89" s="797" t="s">
        <v>974</v>
      </c>
      <c r="J89" s="796"/>
      <c r="K89" s="914">
        <f t="shared" si="31"/>
        <v>4200</v>
      </c>
      <c r="L89" s="914"/>
    </row>
    <row r="90" spans="1:12" s="714" customFormat="1" ht="24" customHeight="1">
      <c r="A90" s="1159"/>
      <c r="B90" s="1148" t="s">
        <v>1850</v>
      </c>
      <c r="C90" s="1123"/>
      <c r="D90" s="1124"/>
      <c r="E90" s="1149">
        <v>1</v>
      </c>
      <c r="F90" s="1147" t="s">
        <v>240</v>
      </c>
      <c r="G90" s="1257">
        <v>8000</v>
      </c>
      <c r="H90" s="796">
        <f t="shared" si="29"/>
        <v>8000</v>
      </c>
      <c r="I90" s="797" t="s">
        <v>974</v>
      </c>
      <c r="J90" s="796"/>
      <c r="K90" s="914">
        <f t="shared" si="31"/>
        <v>8000</v>
      </c>
      <c r="L90" s="1014"/>
    </row>
    <row r="91" spans="1:12" s="714" customFormat="1" ht="24" customHeight="1">
      <c r="A91" s="1147"/>
      <c r="B91" s="1148" t="s">
        <v>1851</v>
      </c>
      <c r="C91" s="1123"/>
      <c r="D91" s="1124"/>
      <c r="E91" s="1149">
        <v>1</v>
      </c>
      <c r="F91" s="1147" t="s">
        <v>240</v>
      </c>
      <c r="G91" s="1257">
        <v>5720</v>
      </c>
      <c r="H91" s="796">
        <f t="shared" si="29"/>
        <v>5720</v>
      </c>
      <c r="I91" s="797" t="s">
        <v>974</v>
      </c>
      <c r="J91" s="796"/>
      <c r="K91" s="914">
        <f t="shared" si="31"/>
        <v>5720</v>
      </c>
      <c r="L91" s="912"/>
    </row>
    <row r="92" spans="1:12" s="714" customFormat="1" ht="24" customHeight="1">
      <c r="A92" s="1147"/>
      <c r="B92" s="1148" t="s">
        <v>1852</v>
      </c>
      <c r="C92" s="1123"/>
      <c r="D92" s="1124"/>
      <c r="E92" s="1149">
        <v>1</v>
      </c>
      <c r="F92" s="1147" t="s">
        <v>240</v>
      </c>
      <c r="G92" s="1257">
        <v>820</v>
      </c>
      <c r="H92" s="796">
        <f t="shared" si="29"/>
        <v>820</v>
      </c>
      <c r="I92" s="797" t="s">
        <v>974</v>
      </c>
      <c r="J92" s="796"/>
      <c r="K92" s="914">
        <f t="shared" si="31"/>
        <v>820</v>
      </c>
      <c r="L92" s="912"/>
    </row>
    <row r="93" spans="1:12" s="714" customFormat="1" ht="24" customHeight="1">
      <c r="A93" s="1147"/>
      <c r="B93" s="1148" t="s">
        <v>1853</v>
      </c>
      <c r="C93" s="1123"/>
      <c r="D93" s="1124"/>
      <c r="E93" s="1149">
        <v>1</v>
      </c>
      <c r="F93" s="1147" t="s">
        <v>240</v>
      </c>
      <c r="G93" s="1257">
        <v>450</v>
      </c>
      <c r="H93" s="796">
        <f t="shared" si="29"/>
        <v>450</v>
      </c>
      <c r="I93" s="797" t="s">
        <v>974</v>
      </c>
      <c r="J93" s="796"/>
      <c r="K93" s="914">
        <f t="shared" si="31"/>
        <v>450</v>
      </c>
      <c r="L93" s="912"/>
    </row>
    <row r="94" spans="1:12" s="714" customFormat="1" ht="24" customHeight="1">
      <c r="A94" s="1147" t="s">
        <v>1854</v>
      </c>
      <c r="B94" s="1148" t="s">
        <v>1855</v>
      </c>
      <c r="C94" s="1123"/>
      <c r="D94" s="1124"/>
      <c r="E94" s="1149"/>
      <c r="F94" s="1147"/>
      <c r="G94" s="1257"/>
      <c r="H94" s="854"/>
      <c r="I94" s="855"/>
      <c r="J94" s="854"/>
      <c r="K94" s="912"/>
      <c r="L94" s="912"/>
    </row>
    <row r="95" spans="1:12" s="714" customFormat="1" ht="24" customHeight="1">
      <c r="A95" s="1147"/>
      <c r="B95" s="1148" t="s">
        <v>1856</v>
      </c>
      <c r="C95" s="1123"/>
      <c r="D95" s="1124"/>
      <c r="E95" s="1149">
        <v>8</v>
      </c>
      <c r="F95" s="1147" t="s">
        <v>240</v>
      </c>
      <c r="G95" s="1257">
        <f>6500*1.1</f>
        <v>7150.0000000000009</v>
      </c>
      <c r="H95" s="796">
        <f t="shared" ref="H95:H101" si="32">ROUND(E95*G95,)</f>
        <v>57200</v>
      </c>
      <c r="I95" s="797">
        <f>G95*0.3</f>
        <v>2145</v>
      </c>
      <c r="J95" s="796">
        <f t="shared" ref="J95" si="33">ROUND(I95*E95,)</f>
        <v>17160</v>
      </c>
      <c r="K95" s="914">
        <f>H95+J95</f>
        <v>74360</v>
      </c>
      <c r="L95" s="1014"/>
    </row>
    <row r="96" spans="1:12" s="714" customFormat="1" ht="24" customHeight="1">
      <c r="A96" s="1147"/>
      <c r="B96" s="1160" t="s">
        <v>1848</v>
      </c>
      <c r="C96" s="1161"/>
      <c r="D96" s="1162"/>
      <c r="E96" s="1149">
        <v>8</v>
      </c>
      <c r="F96" s="1159" t="s">
        <v>240</v>
      </c>
      <c r="G96" s="1258">
        <v>890</v>
      </c>
      <c r="H96" s="796">
        <f t="shared" si="32"/>
        <v>7120</v>
      </c>
      <c r="I96" s="797" t="s">
        <v>974</v>
      </c>
      <c r="J96" s="796"/>
      <c r="K96" s="914">
        <f t="shared" ref="K96:K101" si="34">H96+J96</f>
        <v>7120</v>
      </c>
      <c r="L96" s="1014"/>
    </row>
    <row r="97" spans="1:12" s="714" customFormat="1" ht="24" customHeight="1">
      <c r="A97" s="1159"/>
      <c r="B97" s="1148" t="s">
        <v>1849</v>
      </c>
      <c r="C97" s="1123"/>
      <c r="D97" s="1124"/>
      <c r="E97" s="1149">
        <v>8</v>
      </c>
      <c r="F97" s="1147" t="s">
        <v>240</v>
      </c>
      <c r="G97" s="1257">
        <v>4200</v>
      </c>
      <c r="H97" s="796">
        <f t="shared" si="32"/>
        <v>33600</v>
      </c>
      <c r="I97" s="797" t="s">
        <v>974</v>
      </c>
      <c r="J97" s="796"/>
      <c r="K97" s="914">
        <f t="shared" si="34"/>
        <v>33600</v>
      </c>
      <c r="L97" s="1014"/>
    </row>
    <row r="98" spans="1:12" s="714" customFormat="1" ht="24" customHeight="1">
      <c r="A98" s="1159"/>
      <c r="B98" s="1148" t="s">
        <v>1850</v>
      </c>
      <c r="C98" s="1123"/>
      <c r="D98" s="1124"/>
      <c r="E98" s="1149">
        <v>8</v>
      </c>
      <c r="F98" s="1147" t="s">
        <v>240</v>
      </c>
      <c r="G98" s="1257">
        <v>8000</v>
      </c>
      <c r="H98" s="796">
        <f t="shared" si="32"/>
        <v>64000</v>
      </c>
      <c r="I98" s="797" t="s">
        <v>974</v>
      </c>
      <c r="J98" s="796"/>
      <c r="K98" s="914">
        <f t="shared" si="34"/>
        <v>64000</v>
      </c>
      <c r="L98" s="1014"/>
    </row>
    <row r="99" spans="1:12" s="714" customFormat="1" ht="24" customHeight="1">
      <c r="A99" s="1147"/>
      <c r="B99" s="1148" t="s">
        <v>1851</v>
      </c>
      <c r="C99" s="1123"/>
      <c r="D99" s="1124"/>
      <c r="E99" s="1149">
        <v>8</v>
      </c>
      <c r="F99" s="1147" t="s">
        <v>240</v>
      </c>
      <c r="G99" s="1257">
        <v>5720</v>
      </c>
      <c r="H99" s="796">
        <f t="shared" si="32"/>
        <v>45760</v>
      </c>
      <c r="I99" s="797" t="s">
        <v>974</v>
      </c>
      <c r="J99" s="796"/>
      <c r="K99" s="914">
        <f t="shared" si="34"/>
        <v>45760</v>
      </c>
      <c r="L99" s="912"/>
    </row>
    <row r="100" spans="1:12" s="714" customFormat="1" ht="24" customHeight="1">
      <c r="A100" s="1147"/>
      <c r="B100" s="1148" t="s">
        <v>1852</v>
      </c>
      <c r="C100" s="1123"/>
      <c r="D100" s="1124"/>
      <c r="E100" s="1149">
        <v>8</v>
      </c>
      <c r="F100" s="1147" t="s">
        <v>240</v>
      </c>
      <c r="G100" s="1257">
        <v>820</v>
      </c>
      <c r="H100" s="796">
        <f t="shared" si="32"/>
        <v>6560</v>
      </c>
      <c r="I100" s="797" t="s">
        <v>974</v>
      </c>
      <c r="J100" s="796"/>
      <c r="K100" s="914">
        <f t="shared" si="34"/>
        <v>6560</v>
      </c>
      <c r="L100" s="1014"/>
    </row>
    <row r="101" spans="1:12" s="714" customFormat="1" ht="24" customHeight="1">
      <c r="A101" s="1147"/>
      <c r="B101" s="1148" t="s">
        <v>1853</v>
      </c>
      <c r="C101" s="1123"/>
      <c r="D101" s="1124"/>
      <c r="E101" s="1149">
        <v>8</v>
      </c>
      <c r="F101" s="1147" t="s">
        <v>240</v>
      </c>
      <c r="G101" s="1257">
        <v>450</v>
      </c>
      <c r="H101" s="796">
        <f t="shared" si="32"/>
        <v>3600</v>
      </c>
      <c r="I101" s="797" t="s">
        <v>974</v>
      </c>
      <c r="J101" s="796"/>
      <c r="K101" s="914">
        <f t="shared" si="34"/>
        <v>3600</v>
      </c>
      <c r="L101" s="1014"/>
    </row>
    <row r="102" spans="1:12" s="714" customFormat="1" ht="24" customHeight="1">
      <c r="A102" s="1221"/>
      <c r="B102" s="1219"/>
      <c r="C102" s="1209"/>
      <c r="D102" s="1210"/>
      <c r="E102" s="1211"/>
      <c r="F102" s="1221"/>
      <c r="G102" s="1257"/>
      <c r="H102" s="796"/>
      <c r="I102" s="797"/>
      <c r="J102" s="796"/>
      <c r="K102" s="914"/>
      <c r="L102" s="1014"/>
    </row>
    <row r="103" spans="1:12" s="714" customFormat="1" ht="24" customHeight="1">
      <c r="A103" s="1221"/>
      <c r="B103" s="1219"/>
      <c r="C103" s="1209"/>
      <c r="D103" s="1210"/>
      <c r="E103" s="1211"/>
      <c r="F103" s="1221"/>
      <c r="G103" s="1257"/>
      <c r="H103" s="796"/>
      <c r="I103" s="797"/>
      <c r="J103" s="796"/>
      <c r="K103" s="914"/>
      <c r="L103" s="1014"/>
    </row>
    <row r="104" spans="1:12" s="714" customFormat="1" ht="24" customHeight="1">
      <c r="A104" s="1221" t="s">
        <v>1857</v>
      </c>
      <c r="B104" s="1219" t="s">
        <v>1858</v>
      </c>
      <c r="C104" s="1209"/>
      <c r="D104" s="1210"/>
      <c r="E104" s="1211"/>
      <c r="F104" s="1221"/>
      <c r="G104" s="1257"/>
      <c r="H104" s="796"/>
      <c r="I104" s="1259"/>
      <c r="J104" s="796"/>
      <c r="K104" s="1014"/>
      <c r="L104" s="1014"/>
    </row>
    <row r="105" spans="1:12" s="714" customFormat="1" ht="24" customHeight="1">
      <c r="A105" s="1147"/>
      <c r="B105" s="1148" t="s">
        <v>1859</v>
      </c>
      <c r="C105" s="1123"/>
      <c r="D105" s="1124"/>
      <c r="E105" s="1149">
        <v>5</v>
      </c>
      <c r="F105" s="1147" t="s">
        <v>240</v>
      </c>
      <c r="G105" s="1257">
        <v>1000</v>
      </c>
      <c r="H105" s="796">
        <f>ROUND(E105*G105,)</f>
        <v>5000</v>
      </c>
      <c r="I105" s="1259">
        <v>200</v>
      </c>
      <c r="J105" s="796">
        <f>ROUND(I105*E105,)</f>
        <v>1000</v>
      </c>
      <c r="K105" s="914">
        <f>H105+J105</f>
        <v>6000</v>
      </c>
      <c r="L105" s="1014"/>
    </row>
    <row r="106" spans="1:12" s="714" customFormat="1" ht="24" customHeight="1">
      <c r="A106" s="1159"/>
      <c r="B106" s="1160" t="s">
        <v>1860</v>
      </c>
      <c r="C106" s="1161"/>
      <c r="D106" s="1162"/>
      <c r="E106" s="1183"/>
      <c r="F106" s="1159" t="s">
        <v>240</v>
      </c>
      <c r="G106" s="1257"/>
      <c r="H106" s="796"/>
      <c r="I106" s="1259"/>
      <c r="J106" s="796"/>
      <c r="K106" s="1014"/>
      <c r="L106" s="1014"/>
    </row>
    <row r="107" spans="1:12" s="714" customFormat="1" ht="24" customHeight="1">
      <c r="A107" s="1147"/>
      <c r="B107" s="1148" t="s">
        <v>1861</v>
      </c>
      <c r="C107" s="1123"/>
      <c r="D107" s="1124"/>
      <c r="E107" s="1149"/>
      <c r="F107" s="1147" t="s">
        <v>240</v>
      </c>
      <c r="G107" s="1257"/>
      <c r="H107" s="796"/>
      <c r="I107" s="1259"/>
      <c r="J107" s="796"/>
      <c r="K107" s="1014"/>
      <c r="L107" s="1014"/>
    </row>
    <row r="108" spans="1:12" s="714" customFormat="1" ht="24" customHeight="1">
      <c r="A108" s="1147"/>
      <c r="B108" s="1148" t="s">
        <v>957</v>
      </c>
      <c r="C108" s="1123"/>
      <c r="D108" s="1124"/>
      <c r="E108" s="1149"/>
      <c r="F108" s="1147"/>
      <c r="G108" s="1257"/>
      <c r="H108" s="796"/>
      <c r="I108" s="1259"/>
      <c r="J108" s="796"/>
      <c r="K108" s="1014"/>
      <c r="L108" s="1014"/>
    </row>
    <row r="109" spans="1:12" s="714" customFormat="1" ht="24" customHeight="1">
      <c r="A109" s="1166"/>
      <c r="B109" s="2475" t="str">
        <f>"รวมราคารายการที่ "&amp;A85</f>
        <v>รวมราคารายการที่ 6.4</v>
      </c>
      <c r="C109" s="2476"/>
      <c r="D109" s="2477"/>
      <c r="E109" s="1167"/>
      <c r="F109" s="1167"/>
      <c r="G109" s="1168"/>
      <c r="H109" s="1169">
        <f>SUM(H86:H108)</f>
        <v>246720</v>
      </c>
      <c r="I109" s="1170"/>
      <c r="J109" s="1169">
        <f>SUM(J86:J108)</f>
        <v>19300</v>
      </c>
      <c r="K109" s="1171">
        <f>SUM(K86:K108)</f>
        <v>266020</v>
      </c>
      <c r="L109" s="1171"/>
    </row>
    <row r="110" spans="1:12" s="714" customFormat="1" ht="24" customHeight="1">
      <c r="A110" s="1195">
        <v>6.5</v>
      </c>
      <c r="B110" s="1196" t="s">
        <v>1862</v>
      </c>
      <c r="C110" s="1197"/>
      <c r="D110" s="1198"/>
      <c r="E110" s="1199"/>
      <c r="F110" s="1230"/>
      <c r="G110" s="1201"/>
      <c r="H110" s="788"/>
      <c r="I110" s="789"/>
      <c r="J110" s="788"/>
      <c r="K110" s="1256"/>
      <c r="L110" s="1256"/>
    </row>
    <row r="111" spans="1:12" s="714" customFormat="1" ht="24" customHeight="1">
      <c r="A111" s="1147" t="s">
        <v>1863</v>
      </c>
      <c r="B111" s="1148" t="s">
        <v>1864</v>
      </c>
      <c r="C111" s="1123"/>
      <c r="D111" s="1124"/>
      <c r="E111" s="1149">
        <v>4</v>
      </c>
      <c r="F111" s="1147" t="s">
        <v>240</v>
      </c>
      <c r="G111" s="1140">
        <v>2300</v>
      </c>
      <c r="H111" s="796">
        <f t="shared" ref="H111:H112" si="35">ROUND(E111*G111,)</f>
        <v>9200</v>
      </c>
      <c r="I111" s="797">
        <f>G111*0.1</f>
        <v>230</v>
      </c>
      <c r="J111" s="796">
        <f t="shared" ref="J111:J112" si="36">ROUND(I111*E111,)</f>
        <v>920</v>
      </c>
      <c r="K111" s="914">
        <f t="shared" ref="K111:K112" si="37">H111+J111</f>
        <v>10120</v>
      </c>
      <c r="L111" s="914"/>
    </row>
    <row r="112" spans="1:12" s="714" customFormat="1" ht="24" customHeight="1">
      <c r="A112" s="1147" t="s">
        <v>1865</v>
      </c>
      <c r="B112" s="1148" t="s">
        <v>1866</v>
      </c>
      <c r="C112" s="1123"/>
      <c r="D112" s="1124"/>
      <c r="E112" s="1149">
        <v>4</v>
      </c>
      <c r="F112" s="1147" t="s">
        <v>240</v>
      </c>
      <c r="G112" s="1140">
        <v>3400</v>
      </c>
      <c r="H112" s="796">
        <f t="shared" si="35"/>
        <v>13600</v>
      </c>
      <c r="I112" s="797">
        <f>G112*0.1</f>
        <v>340</v>
      </c>
      <c r="J112" s="796">
        <f t="shared" si="36"/>
        <v>1360</v>
      </c>
      <c r="K112" s="914">
        <f t="shared" si="37"/>
        <v>14960</v>
      </c>
      <c r="L112" s="912"/>
    </row>
    <row r="113" spans="1:12" s="714" customFormat="1" ht="24" customHeight="1">
      <c r="A113" s="1147" t="s">
        <v>1867</v>
      </c>
      <c r="B113" s="1148" t="s">
        <v>1868</v>
      </c>
      <c r="C113" s="1123"/>
      <c r="D113" s="1124"/>
      <c r="E113" s="1149"/>
      <c r="F113" s="1147" t="s">
        <v>240</v>
      </c>
      <c r="G113" s="1140"/>
      <c r="H113" s="796"/>
      <c r="I113" s="797"/>
      <c r="J113" s="796"/>
      <c r="K113" s="914"/>
      <c r="L113" s="912"/>
    </row>
    <row r="114" spans="1:12" s="714" customFormat="1" ht="24" customHeight="1">
      <c r="A114" s="1147" t="s">
        <v>1869</v>
      </c>
      <c r="B114" s="1148" t="s">
        <v>1207</v>
      </c>
      <c r="C114" s="1123"/>
      <c r="D114" s="1124"/>
      <c r="E114" s="1149"/>
      <c r="F114" s="1147"/>
      <c r="G114" s="1140"/>
      <c r="H114" s="796"/>
      <c r="I114" s="797"/>
      <c r="J114" s="796"/>
      <c r="K114" s="914"/>
      <c r="L114" s="912"/>
    </row>
    <row r="115" spans="1:12" s="714" customFormat="1" ht="24" customHeight="1">
      <c r="A115" s="1147"/>
      <c r="B115" s="1148" t="s">
        <v>1737</v>
      </c>
      <c r="C115" s="1123"/>
      <c r="D115" s="1124"/>
      <c r="E115" s="1149"/>
      <c r="F115" s="1147" t="s">
        <v>438</v>
      </c>
      <c r="G115" s="1140"/>
      <c r="H115" s="854"/>
      <c r="I115" s="855"/>
      <c r="J115" s="854"/>
      <c r="K115" s="912"/>
      <c r="L115" s="912"/>
    </row>
    <row r="116" spans="1:12" s="714" customFormat="1" ht="24" customHeight="1">
      <c r="A116" s="1147"/>
      <c r="B116" s="1148" t="s">
        <v>1166</v>
      </c>
      <c r="C116" s="1123"/>
      <c r="D116" s="1124"/>
      <c r="E116" s="1149"/>
      <c r="F116" s="1147" t="s">
        <v>438</v>
      </c>
      <c r="G116" s="1140"/>
      <c r="H116" s="854"/>
      <c r="I116" s="855"/>
      <c r="J116" s="854"/>
      <c r="K116" s="912"/>
      <c r="L116" s="912"/>
    </row>
    <row r="117" spans="1:12" s="714" customFormat="1" ht="24" customHeight="1">
      <c r="A117" s="1147" t="s">
        <v>1870</v>
      </c>
      <c r="B117" s="1148" t="s">
        <v>1276</v>
      </c>
      <c r="C117" s="1123"/>
      <c r="D117" s="1124"/>
      <c r="E117" s="1149"/>
      <c r="F117" s="1147"/>
      <c r="G117" s="1140"/>
      <c r="H117" s="854"/>
      <c r="I117" s="855"/>
      <c r="J117" s="854"/>
      <c r="K117" s="912"/>
      <c r="L117" s="912"/>
    </row>
    <row r="118" spans="1:12" s="714" customFormat="1" ht="24" customHeight="1">
      <c r="A118" s="1147"/>
      <c r="B118" s="1148" t="s">
        <v>1871</v>
      </c>
      <c r="C118" s="1123"/>
      <c r="D118" s="1124"/>
      <c r="E118" s="1149"/>
      <c r="F118" s="1147" t="s">
        <v>438</v>
      </c>
      <c r="G118" s="1140"/>
      <c r="H118" s="854"/>
      <c r="I118" s="855"/>
      <c r="J118" s="854"/>
      <c r="K118" s="912"/>
      <c r="L118" s="912"/>
    </row>
    <row r="119" spans="1:12" s="714" customFormat="1" ht="24" customHeight="1">
      <c r="A119" s="1147"/>
      <c r="B119" s="1148" t="s">
        <v>1872</v>
      </c>
      <c r="C119" s="1123"/>
      <c r="D119" s="1124"/>
      <c r="E119" s="1149"/>
      <c r="F119" s="1147" t="s">
        <v>438</v>
      </c>
      <c r="G119" s="1140"/>
      <c r="H119" s="854"/>
      <c r="I119" s="855"/>
      <c r="J119" s="854"/>
      <c r="K119" s="912"/>
      <c r="L119" s="912"/>
    </row>
    <row r="120" spans="1:12" s="714" customFormat="1" ht="24" customHeight="1">
      <c r="A120" s="1147" t="s">
        <v>1873</v>
      </c>
      <c r="B120" s="1148" t="s">
        <v>1357</v>
      </c>
      <c r="C120" s="1123"/>
      <c r="D120" s="1124"/>
      <c r="E120" s="1149"/>
      <c r="F120" s="1147"/>
      <c r="G120" s="1140"/>
      <c r="H120" s="854"/>
      <c r="I120" s="855"/>
      <c r="J120" s="854"/>
      <c r="K120" s="912"/>
      <c r="L120" s="912"/>
    </row>
    <row r="121" spans="1:12" s="714" customFormat="1" ht="24" customHeight="1">
      <c r="A121" s="1147"/>
      <c r="B121" s="1148" t="s">
        <v>1201</v>
      </c>
      <c r="C121" s="1123"/>
      <c r="D121" s="1124"/>
      <c r="E121" s="1149"/>
      <c r="F121" s="1147" t="s">
        <v>438</v>
      </c>
      <c r="G121" s="1140"/>
      <c r="H121" s="854"/>
      <c r="I121" s="855"/>
      <c r="J121" s="854"/>
      <c r="K121" s="912"/>
      <c r="L121" s="912"/>
    </row>
    <row r="122" spans="1:12" s="714" customFormat="1" ht="24" customHeight="1">
      <c r="A122" s="1147"/>
      <c r="B122" s="1148" t="s">
        <v>1184</v>
      </c>
      <c r="C122" s="1123"/>
      <c r="D122" s="1124"/>
      <c r="E122" s="1149"/>
      <c r="F122" s="1147" t="s">
        <v>438</v>
      </c>
      <c r="G122" s="1140"/>
      <c r="H122" s="854"/>
      <c r="I122" s="855"/>
      <c r="J122" s="854"/>
      <c r="K122" s="912"/>
      <c r="L122" s="912"/>
    </row>
    <row r="123" spans="1:12" s="714" customFormat="1" ht="24" customHeight="1">
      <c r="A123" s="1147"/>
      <c r="B123" s="1148" t="s">
        <v>957</v>
      </c>
      <c r="C123" s="1123"/>
      <c r="D123" s="1124"/>
      <c r="E123" s="1149"/>
      <c r="F123" s="1147"/>
      <c r="G123" s="1140"/>
      <c r="H123" s="854"/>
      <c r="I123" s="855"/>
      <c r="J123" s="854"/>
      <c r="K123" s="912"/>
      <c r="L123" s="912"/>
    </row>
    <row r="124" spans="1:12" s="714" customFormat="1" ht="24" customHeight="1">
      <c r="A124" s="1147"/>
      <c r="B124" s="1148" t="s">
        <v>1102</v>
      </c>
      <c r="C124" s="1123"/>
      <c r="D124" s="1124"/>
      <c r="E124" s="1149"/>
      <c r="F124" s="1147"/>
      <c r="G124" s="1140"/>
      <c r="H124" s="854"/>
      <c r="I124" s="855"/>
      <c r="J124" s="854"/>
      <c r="K124" s="912"/>
      <c r="L124" s="912"/>
    </row>
    <row r="125" spans="1:12" s="714" customFormat="1" ht="24" customHeight="1">
      <c r="A125" s="1038"/>
      <c r="B125" s="1148" t="s">
        <v>1102</v>
      </c>
      <c r="C125" s="1233"/>
      <c r="D125" s="809"/>
      <c r="E125" s="1229"/>
      <c r="F125" s="852"/>
      <c r="G125" s="1140"/>
      <c r="H125" s="854"/>
      <c r="I125" s="855"/>
      <c r="J125" s="854"/>
      <c r="K125" s="912"/>
      <c r="L125" s="912"/>
    </row>
    <row r="126" spans="1:12" s="714" customFormat="1" ht="24" customHeight="1">
      <c r="A126" s="1166"/>
      <c r="B126" s="2475" t="str">
        <f>"รวมราคารายการที่ "&amp;A110</f>
        <v>รวมราคารายการที่ 6.5</v>
      </c>
      <c r="C126" s="2476"/>
      <c r="D126" s="2477"/>
      <c r="E126" s="1167"/>
      <c r="F126" s="1167"/>
      <c r="G126" s="1168"/>
      <c r="H126" s="1169">
        <f>SUM(H111:H125)</f>
        <v>22800</v>
      </c>
      <c r="I126" s="1170"/>
      <c r="J126" s="1169">
        <f>SUM(J111:J125)</f>
        <v>2280</v>
      </c>
      <c r="K126" s="1171">
        <f>SUM(K111:K125)</f>
        <v>25080</v>
      </c>
      <c r="L126" s="1171"/>
    </row>
    <row r="127" spans="1:12" s="714" customFormat="1" ht="24" customHeight="1">
      <c r="A127" s="1147">
        <v>6.6</v>
      </c>
      <c r="B127" s="1148" t="s">
        <v>1264</v>
      </c>
      <c r="C127" s="1123"/>
      <c r="D127" s="1124"/>
      <c r="E127" s="1149"/>
      <c r="F127" s="1147" t="s">
        <v>948</v>
      </c>
      <c r="G127" s="1262" t="s">
        <v>1876</v>
      </c>
      <c r="H127" s="854"/>
      <c r="I127" s="855"/>
      <c r="J127" s="854"/>
      <c r="K127" s="912"/>
      <c r="L127" s="912"/>
    </row>
    <row r="128" spans="1:12" s="714" customFormat="1" ht="24" customHeight="1">
      <c r="A128" s="1147"/>
      <c r="B128" s="1148"/>
      <c r="C128" s="1123"/>
      <c r="D128" s="1124"/>
      <c r="E128" s="1149"/>
      <c r="F128" s="1147"/>
      <c r="G128" s="1140"/>
      <c r="H128" s="854"/>
      <c r="I128" s="855"/>
      <c r="J128" s="854"/>
      <c r="K128" s="912"/>
      <c r="L128" s="912"/>
    </row>
    <row r="129" spans="1:12" s="714" customFormat="1" ht="24" customHeight="1">
      <c r="A129" s="1147"/>
      <c r="B129" s="1148"/>
      <c r="C129" s="1123"/>
      <c r="D129" s="1124"/>
      <c r="E129" s="1149"/>
      <c r="F129" s="1147"/>
      <c r="G129" s="1140"/>
      <c r="H129" s="854"/>
      <c r="I129" s="855"/>
      <c r="J129" s="854"/>
      <c r="K129" s="912"/>
      <c r="L129" s="912"/>
    </row>
    <row r="130" spans="1:12" s="714" customFormat="1" ht="24" customHeight="1">
      <c r="A130" s="1147"/>
      <c r="B130" s="1148"/>
      <c r="C130" s="1123"/>
      <c r="D130" s="1124"/>
      <c r="E130" s="1149"/>
      <c r="F130" s="1147"/>
      <c r="G130" s="1140"/>
      <c r="H130" s="854"/>
      <c r="I130" s="855"/>
      <c r="J130" s="854"/>
      <c r="K130" s="912"/>
      <c r="L130" s="912"/>
    </row>
    <row r="131" spans="1:12" s="714" customFormat="1" ht="24" customHeight="1">
      <c r="A131" s="1147"/>
      <c r="B131" s="1148"/>
      <c r="C131" s="1123"/>
      <c r="D131" s="1124"/>
      <c r="E131" s="1149"/>
      <c r="F131" s="1147"/>
      <c r="G131" s="1140"/>
      <c r="H131" s="854"/>
      <c r="I131" s="855"/>
      <c r="J131" s="854"/>
      <c r="K131" s="912"/>
      <c r="L131" s="912"/>
    </row>
    <row r="132" spans="1:12" s="714" customFormat="1" ht="24" customHeight="1">
      <c r="A132" s="1147"/>
      <c r="B132" s="1148"/>
      <c r="C132" s="1123"/>
      <c r="D132" s="1124"/>
      <c r="E132" s="1149"/>
      <c r="F132" s="1147"/>
      <c r="G132" s="1140"/>
      <c r="H132" s="854"/>
      <c r="I132" s="855"/>
      <c r="J132" s="854"/>
      <c r="K132" s="912"/>
      <c r="L132" s="912"/>
    </row>
    <row r="133" spans="1:12" s="714" customFormat="1" ht="24" customHeight="1">
      <c r="A133" s="1147"/>
      <c r="B133" s="1148"/>
      <c r="C133" s="1123"/>
      <c r="D133" s="1124"/>
      <c r="E133" s="1149"/>
      <c r="F133" s="1147"/>
      <c r="G133" s="1140"/>
      <c r="H133" s="854"/>
      <c r="I133" s="855"/>
      <c r="J133" s="854"/>
      <c r="K133" s="912"/>
      <c r="L133" s="912"/>
    </row>
    <row r="134" spans="1:12" s="714" customFormat="1" ht="21.3">
      <c r="A134" s="1166"/>
      <c r="B134" s="2475" t="str">
        <f>"รวมราคารายการที่ "&amp;A127</f>
        <v>รวมราคารายการที่ 6.6</v>
      </c>
      <c r="C134" s="2476"/>
      <c r="D134" s="2477"/>
      <c r="E134" s="1167"/>
      <c r="F134" s="1167"/>
      <c r="G134" s="1168"/>
      <c r="H134" s="1169">
        <f>SUM(H127:H133)</f>
        <v>0</v>
      </c>
      <c r="I134" s="1170"/>
      <c r="J134" s="1169">
        <f>SUM(J127:J133)</f>
        <v>0</v>
      </c>
      <c r="K134" s="1171">
        <f>SUM(K127:K133)</f>
        <v>0</v>
      </c>
      <c r="L134" s="1171"/>
    </row>
    <row r="135" spans="1:12" s="714" customFormat="1" ht="21.3">
      <c r="A135" s="950"/>
      <c r="E135" s="1234"/>
    </row>
    <row r="136" spans="1:12" s="714" customFormat="1" ht="21.3">
      <c r="A136" s="950"/>
      <c r="E136" s="1234"/>
    </row>
    <row r="137" spans="1:12" s="714" customFormat="1" ht="21.3">
      <c r="A137" s="950"/>
      <c r="E137" s="1234"/>
    </row>
    <row r="138" spans="1:12" s="714" customFormat="1" ht="21.3">
      <c r="A138" s="950"/>
      <c r="E138" s="1234"/>
    </row>
    <row r="139" spans="1:12" s="714" customFormat="1" ht="21.3">
      <c r="A139" s="950"/>
      <c r="E139" s="1234"/>
    </row>
    <row r="140" spans="1:12" s="714" customFormat="1" ht="21.3">
      <c r="A140" s="950"/>
      <c r="E140" s="1234"/>
    </row>
    <row r="141" spans="1:12" s="714" customFormat="1" ht="21.3">
      <c r="A141" s="950"/>
      <c r="E141" s="1234"/>
    </row>
    <row r="142" spans="1:12" s="714" customFormat="1" ht="21.3">
      <c r="A142" s="950"/>
      <c r="E142" s="1234"/>
    </row>
    <row r="143" spans="1:12" s="714" customFormat="1" ht="21.3">
      <c r="A143" s="950"/>
      <c r="E143" s="1234"/>
    </row>
    <row r="144" spans="1:12" s="714" customFormat="1" ht="21.3">
      <c r="A144" s="950"/>
      <c r="E144" s="1234"/>
    </row>
    <row r="145" spans="1:5" s="714" customFormat="1" ht="21.3">
      <c r="A145" s="950"/>
      <c r="E145" s="1234"/>
    </row>
    <row r="146" spans="1:5" s="714" customFormat="1" ht="21.3">
      <c r="A146" s="950"/>
      <c r="E146" s="1234"/>
    </row>
    <row r="147" spans="1:5" s="714" customFormat="1" ht="21.3">
      <c r="A147" s="950"/>
      <c r="E147" s="1234"/>
    </row>
    <row r="148" spans="1:5" s="714" customFormat="1" ht="21.3">
      <c r="A148" s="950"/>
      <c r="E148" s="1234"/>
    </row>
    <row r="149" spans="1:5" s="714" customFormat="1" ht="21.3">
      <c r="A149" s="950"/>
      <c r="E149" s="1234"/>
    </row>
    <row r="150" spans="1:5" s="714" customFormat="1" ht="21.3">
      <c r="A150" s="950"/>
      <c r="E150" s="1234"/>
    </row>
    <row r="151" spans="1:5" s="714" customFormat="1" ht="21.3">
      <c r="A151" s="950"/>
      <c r="E151" s="1234"/>
    </row>
    <row r="152" spans="1:5" s="714" customFormat="1" ht="21.3">
      <c r="A152" s="950"/>
      <c r="E152" s="1234"/>
    </row>
    <row r="153" spans="1:5" s="714" customFormat="1" ht="21.3">
      <c r="A153" s="950"/>
      <c r="E153" s="1234"/>
    </row>
    <row r="154" spans="1:5" s="714" customFormat="1" ht="21.3">
      <c r="A154" s="950"/>
      <c r="E154" s="1234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5:D75"/>
    <mergeCell ref="B84:D84"/>
    <mergeCell ref="B109:D109"/>
    <mergeCell ref="B126:D126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&amp;Rงานดับเพลิงและป้องกันอัคคีภัย ชั้น B1-อาคารสนับนุน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732DA-81C9-4560-AB93-714C9DCB121B}">
  <sheetPr>
    <tabColor rgb="FFFF3399"/>
  </sheetPr>
  <dimension ref="A1:O134"/>
  <sheetViews>
    <sheetView showGridLines="0" tabSelected="1" view="pageBreakPreview" topLeftCell="A113" zoomScale="70" zoomScaleNormal="6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.29296875" style="1" customWidth="1"/>
    <col min="13" max="90" width="7.703125" style="1" customWidth="1"/>
    <col min="91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1780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>
        <v>6</v>
      </c>
      <c r="B11" s="1144" t="s">
        <v>1879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1268"/>
    </row>
    <row r="12" spans="1:12" s="714" customFormat="1" ht="24" customHeight="1">
      <c r="A12" s="1147"/>
      <c r="B12" s="1151" t="str">
        <f>B35</f>
        <v>งานระบบดับเพลิงและป้องกันอัคคีภัย</v>
      </c>
      <c r="C12" s="1123"/>
      <c r="D12" s="1124"/>
      <c r="E12" s="1149"/>
      <c r="F12" s="1150"/>
      <c r="G12" s="710"/>
      <c r="H12" s="711"/>
      <c r="I12" s="712"/>
      <c r="J12" s="711"/>
      <c r="K12" s="1129"/>
      <c r="L12" s="830"/>
    </row>
    <row r="13" spans="1:12" s="714" customFormat="1" ht="24" customHeight="1">
      <c r="A13" s="1147">
        <f>A36</f>
        <v>6.1</v>
      </c>
      <c r="B13" s="1148" t="str">
        <f>B36</f>
        <v>งานท่อน้ำ (Piping Work)</v>
      </c>
      <c r="C13" s="1123"/>
      <c r="D13" s="1124"/>
      <c r="E13" s="1149">
        <v>1</v>
      </c>
      <c r="F13" s="1150" t="s">
        <v>19</v>
      </c>
      <c r="G13" s="710"/>
      <c r="H13" s="711">
        <f>H59</f>
        <v>775645</v>
      </c>
      <c r="I13" s="712"/>
      <c r="J13" s="711">
        <f>J59</f>
        <v>335860</v>
      </c>
      <c r="K13" s="1129">
        <f t="shared" ref="K13:K19" si="0">SUM(H13:J13)</f>
        <v>1111505</v>
      </c>
      <c r="L13" s="830"/>
    </row>
    <row r="14" spans="1:12" s="714" customFormat="1" ht="24" customHeight="1">
      <c r="A14" s="1147">
        <f>A60</f>
        <v>6.2</v>
      </c>
      <c r="B14" s="1148" t="str">
        <f>B60</f>
        <v>วาล์วและอุปกรณ์ (Valve &amp; Pipe Accessories)</v>
      </c>
      <c r="C14" s="1123"/>
      <c r="D14" s="1124"/>
      <c r="E14" s="1149">
        <v>1</v>
      </c>
      <c r="F14" s="1150" t="s">
        <v>19</v>
      </c>
      <c r="G14" s="710"/>
      <c r="H14" s="711">
        <f>H84</f>
        <v>239732</v>
      </c>
      <c r="I14" s="712"/>
      <c r="J14" s="711">
        <f>J84</f>
        <v>16600</v>
      </c>
      <c r="K14" s="1129">
        <f t="shared" si="0"/>
        <v>256332</v>
      </c>
      <c r="L14" s="830"/>
    </row>
    <row r="15" spans="1:12" s="714" customFormat="1" ht="24" customHeight="1">
      <c r="A15" s="1147">
        <f>A85</f>
        <v>6.3</v>
      </c>
      <c r="B15" s="1148" t="str">
        <f>B85</f>
        <v>ระบบหัวกระจายน้ำดับเพลิง (Sprinkler System)</v>
      </c>
      <c r="C15" s="1123"/>
      <c r="D15" s="1124"/>
      <c r="E15" s="1149">
        <v>1</v>
      </c>
      <c r="F15" s="1150" t="s">
        <v>19</v>
      </c>
      <c r="G15" s="710"/>
      <c r="H15" s="711">
        <f>H92</f>
        <v>60300</v>
      </c>
      <c r="I15" s="712"/>
      <c r="J15" s="711">
        <f>J92</f>
        <v>35450</v>
      </c>
      <c r="K15" s="1129">
        <f t="shared" si="0"/>
        <v>95750</v>
      </c>
      <c r="L15" s="830"/>
    </row>
    <row r="16" spans="1:12" s="714" customFormat="1" ht="24" customHeight="1">
      <c r="A16" s="1147">
        <f>A93</f>
        <v>6.4</v>
      </c>
      <c r="B16" s="1148" t="str">
        <f>B93</f>
        <v>ตู้ดับเพลิงและถังดับเพลิงชนิดมือถือ (Fire Hose Cabinet &amp; Portable Fire Extinguisher)</v>
      </c>
      <c r="C16" s="1123"/>
      <c r="D16" s="1124"/>
      <c r="E16" s="1149">
        <v>1</v>
      </c>
      <c r="F16" s="1150" t="s">
        <v>19</v>
      </c>
      <c r="G16" s="710"/>
      <c r="H16" s="711">
        <f>H116</f>
        <v>222140</v>
      </c>
      <c r="I16" s="712"/>
      <c r="J16" s="711">
        <f>J116</f>
        <v>16250</v>
      </c>
      <c r="K16" s="1129">
        <f t="shared" si="0"/>
        <v>238390</v>
      </c>
      <c r="L16" s="830"/>
    </row>
    <row r="17" spans="1:12" s="714" customFormat="1" ht="24" customHeight="1">
      <c r="A17" s="1230" t="str">
        <f>A117</f>
        <v>6.5</v>
      </c>
      <c r="B17" s="1231" t="str">
        <f>B117</f>
        <v>Clean Agent (Novec 1230) Fire Suppression System</v>
      </c>
      <c r="C17" s="1197"/>
      <c r="D17" s="1198"/>
      <c r="E17" s="1149">
        <v>1</v>
      </c>
      <c r="F17" s="1150" t="s">
        <v>19</v>
      </c>
      <c r="G17" s="1263"/>
      <c r="H17" s="1264">
        <f>H123</f>
        <v>1603600</v>
      </c>
      <c r="I17" s="1265"/>
      <c r="J17" s="1264">
        <f>J123</f>
        <v>59000</v>
      </c>
      <c r="K17" s="1129">
        <f t="shared" si="0"/>
        <v>1662600</v>
      </c>
      <c r="L17" s="1269"/>
    </row>
    <row r="18" spans="1:12" s="714" customFormat="1" ht="24" customHeight="1">
      <c r="A18" s="1147">
        <f>A124</f>
        <v>6.6</v>
      </c>
      <c r="B18" s="1160" t="str">
        <f>B124</f>
        <v>ระบบไฟฟ้าและควบคุม (Electrical &amp; Control System) สำหรับระบบป้องกันอัคคีภัย</v>
      </c>
      <c r="C18" s="1161"/>
      <c r="D18" s="1162"/>
      <c r="E18" s="1149">
        <v>1</v>
      </c>
      <c r="F18" s="1163" t="s">
        <v>19</v>
      </c>
      <c r="G18" s="1164"/>
      <c r="H18" s="957">
        <f>H130</f>
        <v>22800</v>
      </c>
      <c r="I18" s="1165"/>
      <c r="J18" s="957">
        <f>J130</f>
        <v>2280</v>
      </c>
      <c r="K18" s="1129">
        <f>SUM(H18:J18)</f>
        <v>25080</v>
      </c>
      <c r="L18" s="1270"/>
    </row>
    <row r="19" spans="1:12" s="714" customFormat="1" ht="24" customHeight="1">
      <c r="A19" s="1147">
        <f>A131</f>
        <v>6.7</v>
      </c>
      <c r="B19" s="1148" t="str">
        <f>B131</f>
        <v>ระบบป้องกันไฟและควันลาม (Fire Barrier System)</v>
      </c>
      <c r="C19" s="1123"/>
      <c r="D19" s="1124"/>
      <c r="E19" s="1149">
        <v>1</v>
      </c>
      <c r="F19" s="1150" t="s">
        <v>19</v>
      </c>
      <c r="G19" s="710"/>
      <c r="H19" s="711">
        <f>H134</f>
        <v>0</v>
      </c>
      <c r="I19" s="712"/>
      <c r="J19" s="711">
        <f>J134</f>
        <v>0</v>
      </c>
      <c r="K19" s="1129">
        <f t="shared" si="0"/>
        <v>0</v>
      </c>
      <c r="L19" s="830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830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830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830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830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830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830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830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830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830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830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830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830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830"/>
    </row>
    <row r="33" spans="1:12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830"/>
    </row>
    <row r="34" spans="1:12" s="714" customFormat="1" ht="30" customHeight="1">
      <c r="A34" s="1166"/>
      <c r="B34" s="2475" t="str">
        <f>"รวมราคา"&amp;B11</f>
        <v>รวมราคางานระบบดับเพลิงและป้องกันอัคคีภัย ชั้น 1</v>
      </c>
      <c r="C34" s="2476"/>
      <c r="D34" s="2477"/>
      <c r="E34" s="1167"/>
      <c r="F34" s="1167"/>
      <c r="G34" s="1168"/>
      <c r="H34" s="1169">
        <f>SUM(H12:H33)</f>
        <v>2924217</v>
      </c>
      <c r="I34" s="1170"/>
      <c r="J34" s="1169">
        <f>SUM(J12:J33)</f>
        <v>465440</v>
      </c>
      <c r="K34" s="1171">
        <f>SUM(K12:K33)</f>
        <v>3389657</v>
      </c>
      <c r="L34" s="1171"/>
    </row>
    <row r="35" spans="1:12" s="714" customFormat="1" ht="24" customHeight="1">
      <c r="A35" s="1011"/>
      <c r="B35" s="1173" t="s">
        <v>31</v>
      </c>
      <c r="C35" s="859"/>
      <c r="D35" s="859"/>
      <c r="E35" s="1216"/>
      <c r="F35" s="852"/>
      <c r="G35" s="874"/>
      <c r="H35" s="854"/>
      <c r="I35" s="855"/>
      <c r="J35" s="854"/>
      <c r="K35" s="912"/>
      <c r="L35" s="1007"/>
    </row>
    <row r="36" spans="1:12" s="714" customFormat="1" ht="24" customHeight="1">
      <c r="A36" s="1207">
        <v>6.1</v>
      </c>
      <c r="B36" s="1208" t="s">
        <v>1782</v>
      </c>
      <c r="C36" s="1238"/>
      <c r="D36" s="1210"/>
      <c r="E36" s="1211"/>
      <c r="F36" s="1212"/>
      <c r="G36" s="874"/>
      <c r="H36" s="854"/>
      <c r="I36" s="855"/>
      <c r="J36" s="854"/>
      <c r="K36" s="912"/>
      <c r="L36" s="1007"/>
    </row>
    <row r="37" spans="1:12" s="714" customFormat="1" ht="24" customHeight="1">
      <c r="A37" s="1159" t="s">
        <v>1783</v>
      </c>
      <c r="B37" s="1148" t="s">
        <v>1821</v>
      </c>
      <c r="C37" s="1161"/>
      <c r="D37" s="1162"/>
      <c r="E37" s="1211"/>
      <c r="F37" s="1163"/>
      <c r="G37" s="1205"/>
      <c r="H37" s="796"/>
      <c r="I37" s="797"/>
      <c r="J37" s="796"/>
      <c r="K37" s="914"/>
      <c r="L37" s="1014"/>
    </row>
    <row r="38" spans="1:12" s="714" customFormat="1" ht="24" customHeight="1">
      <c r="A38" s="1147"/>
      <c r="B38" s="1148" t="s">
        <v>1822</v>
      </c>
      <c r="C38" s="1123"/>
      <c r="D38" s="1124"/>
      <c r="E38" s="1246">
        <v>1097</v>
      </c>
      <c r="F38" s="1150" t="s">
        <v>438</v>
      </c>
      <c r="G38" s="1140">
        <v>78</v>
      </c>
      <c r="H38" s="796">
        <f t="shared" ref="H38:H51" si="1">ROUND(E38*G38,)</f>
        <v>85566</v>
      </c>
      <c r="I38" s="797">
        <v>45</v>
      </c>
      <c r="J38" s="796">
        <f t="shared" ref="J38:J51" si="2">ROUND(I38*E38,)</f>
        <v>49365</v>
      </c>
      <c r="K38" s="914">
        <f t="shared" ref="K38:K51" si="3">H38+J38</f>
        <v>134931</v>
      </c>
      <c r="L38" s="1014"/>
    </row>
    <row r="39" spans="1:12" s="714" customFormat="1" ht="24" customHeight="1">
      <c r="A39" s="1147"/>
      <c r="B39" s="1148" t="s">
        <v>1186</v>
      </c>
      <c r="C39" s="1123"/>
      <c r="D39" s="1124"/>
      <c r="E39" s="1246">
        <v>204</v>
      </c>
      <c r="F39" s="1150" t="s">
        <v>438</v>
      </c>
      <c r="G39" s="1140">
        <v>105</v>
      </c>
      <c r="H39" s="796">
        <f t="shared" si="1"/>
        <v>21420</v>
      </c>
      <c r="I39" s="855">
        <v>60</v>
      </c>
      <c r="J39" s="796">
        <f t="shared" si="2"/>
        <v>12240</v>
      </c>
      <c r="K39" s="914">
        <f t="shared" si="3"/>
        <v>33660</v>
      </c>
      <c r="L39" s="1007"/>
    </row>
    <row r="40" spans="1:12" s="714" customFormat="1" ht="24" customHeight="1">
      <c r="A40" s="1147"/>
      <c r="B40" s="1148" t="s">
        <v>1187</v>
      </c>
      <c r="C40" s="1123"/>
      <c r="D40" s="1124"/>
      <c r="E40" s="1246">
        <v>162</v>
      </c>
      <c r="F40" s="1150" t="s">
        <v>438</v>
      </c>
      <c r="G40" s="1244">
        <v>126</v>
      </c>
      <c r="H40" s="796">
        <f t="shared" si="1"/>
        <v>20412</v>
      </c>
      <c r="I40" s="1176">
        <v>70</v>
      </c>
      <c r="J40" s="796">
        <f t="shared" si="2"/>
        <v>11340</v>
      </c>
      <c r="K40" s="914">
        <f t="shared" si="3"/>
        <v>31752</v>
      </c>
      <c r="L40" s="1007"/>
    </row>
    <row r="41" spans="1:12" s="714" customFormat="1" ht="24" customHeight="1">
      <c r="A41" s="1147"/>
      <c r="B41" s="1148" t="s">
        <v>1188</v>
      </c>
      <c r="C41" s="1123"/>
      <c r="D41" s="1124"/>
      <c r="E41" s="1246">
        <v>236</v>
      </c>
      <c r="F41" s="1150" t="s">
        <v>438</v>
      </c>
      <c r="G41" s="1244">
        <v>169</v>
      </c>
      <c r="H41" s="796">
        <f t="shared" si="1"/>
        <v>39884</v>
      </c>
      <c r="I41" s="1176">
        <v>95</v>
      </c>
      <c r="J41" s="796">
        <f t="shared" si="2"/>
        <v>22420</v>
      </c>
      <c r="K41" s="914">
        <f t="shared" si="3"/>
        <v>62304</v>
      </c>
      <c r="L41" s="1007"/>
    </row>
    <row r="42" spans="1:12" s="714" customFormat="1" ht="24" customHeight="1">
      <c r="A42" s="1147"/>
      <c r="B42" s="1148" t="s">
        <v>1189</v>
      </c>
      <c r="C42" s="1123"/>
      <c r="D42" s="1124"/>
      <c r="E42" s="1246">
        <v>181</v>
      </c>
      <c r="F42" s="1150" t="s">
        <v>438</v>
      </c>
      <c r="G42" s="1244">
        <v>268</v>
      </c>
      <c r="H42" s="796">
        <f t="shared" si="1"/>
        <v>48508</v>
      </c>
      <c r="I42" s="1176">
        <v>150</v>
      </c>
      <c r="J42" s="796">
        <f t="shared" si="2"/>
        <v>27150</v>
      </c>
      <c r="K42" s="914">
        <f t="shared" si="3"/>
        <v>75658</v>
      </c>
      <c r="L42" s="1007"/>
    </row>
    <row r="43" spans="1:12" s="714" customFormat="1" ht="24" customHeight="1">
      <c r="A43" s="1147"/>
      <c r="B43" s="1148" t="s">
        <v>1190</v>
      </c>
      <c r="C43" s="1123"/>
      <c r="D43" s="1124"/>
      <c r="E43" s="1246">
        <v>83</v>
      </c>
      <c r="F43" s="1150" t="s">
        <v>438</v>
      </c>
      <c r="G43" s="1244">
        <v>350</v>
      </c>
      <c r="H43" s="796">
        <f t="shared" si="1"/>
        <v>29050</v>
      </c>
      <c r="I43" s="1176">
        <v>200</v>
      </c>
      <c r="J43" s="796">
        <f t="shared" si="2"/>
        <v>16600</v>
      </c>
      <c r="K43" s="914">
        <f t="shared" si="3"/>
        <v>45650</v>
      </c>
      <c r="L43" s="1007"/>
    </row>
    <row r="44" spans="1:12" s="714" customFormat="1" ht="24" customHeight="1">
      <c r="A44" s="1147"/>
      <c r="B44" s="1148" t="s">
        <v>1674</v>
      </c>
      <c r="C44" s="1123"/>
      <c r="D44" s="1124"/>
      <c r="E44" s="1246">
        <v>148</v>
      </c>
      <c r="F44" s="1150" t="s">
        <v>438</v>
      </c>
      <c r="G44" s="1244">
        <v>499</v>
      </c>
      <c r="H44" s="796">
        <f t="shared" si="1"/>
        <v>73852</v>
      </c>
      <c r="I44" s="1176">
        <v>280</v>
      </c>
      <c r="J44" s="796">
        <f t="shared" si="2"/>
        <v>41440</v>
      </c>
      <c r="K44" s="914">
        <f t="shared" si="3"/>
        <v>115292</v>
      </c>
      <c r="L44" s="1007"/>
    </row>
    <row r="45" spans="1:12" s="714" customFormat="1" ht="24" customHeight="1">
      <c r="A45" s="1147"/>
      <c r="B45" s="1148" t="s">
        <v>1675</v>
      </c>
      <c r="C45" s="1123"/>
      <c r="D45" s="1124"/>
      <c r="E45" s="1246">
        <v>75</v>
      </c>
      <c r="F45" s="1150" t="s">
        <v>438</v>
      </c>
      <c r="G45" s="1244">
        <v>877</v>
      </c>
      <c r="H45" s="796">
        <f t="shared" si="1"/>
        <v>65775</v>
      </c>
      <c r="I45" s="1176">
        <v>500</v>
      </c>
      <c r="J45" s="796">
        <f t="shared" si="2"/>
        <v>37500</v>
      </c>
      <c r="K45" s="914">
        <f t="shared" si="3"/>
        <v>103275</v>
      </c>
      <c r="L45" s="1007"/>
    </row>
    <row r="46" spans="1:12" s="714" customFormat="1" ht="24" customHeight="1">
      <c r="A46" s="1147"/>
      <c r="B46" s="1148" t="s">
        <v>1676</v>
      </c>
      <c r="C46" s="1123"/>
      <c r="D46" s="1124"/>
      <c r="E46" s="1254"/>
      <c r="F46" s="1150" t="s">
        <v>438</v>
      </c>
      <c r="G46" s="1244">
        <v>1361</v>
      </c>
      <c r="H46" s="796">
        <f t="shared" si="1"/>
        <v>0</v>
      </c>
      <c r="I46" s="1176">
        <v>560</v>
      </c>
      <c r="J46" s="796">
        <f t="shared" si="2"/>
        <v>0</v>
      </c>
      <c r="K46" s="914">
        <f t="shared" si="3"/>
        <v>0</v>
      </c>
      <c r="L46" s="1007"/>
    </row>
    <row r="47" spans="1:12" s="714" customFormat="1" ht="24" customHeight="1">
      <c r="A47" s="1147"/>
      <c r="B47" s="1148" t="s">
        <v>1790</v>
      </c>
      <c r="C47" s="1123"/>
      <c r="D47" s="1124"/>
      <c r="E47" s="1254"/>
      <c r="F47" s="1150" t="s">
        <v>438</v>
      </c>
      <c r="G47" s="1244">
        <v>2212</v>
      </c>
      <c r="H47" s="796">
        <f t="shared" si="1"/>
        <v>0</v>
      </c>
      <c r="I47" s="1176">
        <v>700</v>
      </c>
      <c r="J47" s="796">
        <f t="shared" si="2"/>
        <v>0</v>
      </c>
      <c r="K47" s="914">
        <f t="shared" si="3"/>
        <v>0</v>
      </c>
      <c r="L47" s="1007"/>
    </row>
    <row r="48" spans="1:12" s="714" customFormat="1" ht="24" customHeight="1">
      <c r="A48" s="1147"/>
      <c r="B48" s="1148" t="s">
        <v>1645</v>
      </c>
      <c r="C48" s="1123"/>
      <c r="D48" s="1124"/>
      <c r="E48" s="1245">
        <v>1</v>
      </c>
      <c r="F48" s="935" t="s">
        <v>948</v>
      </c>
      <c r="G48" s="1244">
        <f>ROUND(SUM(H38:H47)*40%,)</f>
        <v>153787</v>
      </c>
      <c r="H48" s="796">
        <f t="shared" si="1"/>
        <v>153787</v>
      </c>
      <c r="I48" s="1176">
        <f>ROUND(G48*0.3,)</f>
        <v>46136</v>
      </c>
      <c r="J48" s="796">
        <f t="shared" si="2"/>
        <v>46136</v>
      </c>
      <c r="K48" s="914">
        <f t="shared" si="3"/>
        <v>199923</v>
      </c>
      <c r="L48" s="1007"/>
    </row>
    <row r="49" spans="1:15" s="714" customFormat="1" ht="24" customHeight="1">
      <c r="A49" s="1147"/>
      <c r="B49" s="1148" t="s">
        <v>1646</v>
      </c>
      <c r="C49" s="1123"/>
      <c r="D49" s="1124"/>
      <c r="E49" s="1245">
        <v>1</v>
      </c>
      <c r="F49" s="935" t="s">
        <v>948</v>
      </c>
      <c r="G49" s="1244">
        <f>ROUND(SUM(H38:H47)*20%,)</f>
        <v>76893</v>
      </c>
      <c r="H49" s="796">
        <f t="shared" si="1"/>
        <v>76893</v>
      </c>
      <c r="I49" s="1176">
        <f t="shared" ref="I49:I51" si="4">ROUND(G49*0.3,)</f>
        <v>23068</v>
      </c>
      <c r="J49" s="796">
        <f t="shared" si="2"/>
        <v>23068</v>
      </c>
      <c r="K49" s="914">
        <f t="shared" si="3"/>
        <v>99961</v>
      </c>
      <c r="L49" s="1007"/>
    </row>
    <row r="50" spans="1:15" s="714" customFormat="1" ht="24" customHeight="1">
      <c r="A50" s="1147"/>
      <c r="B50" s="1148" t="s">
        <v>1647</v>
      </c>
      <c r="C50" s="1123"/>
      <c r="D50" s="1124"/>
      <c r="E50" s="1245">
        <v>1</v>
      </c>
      <c r="F50" s="935" t="s">
        <v>948</v>
      </c>
      <c r="G50" s="1244">
        <f>ROUND(SUM(H38:H47)*10%,)</f>
        <v>38447</v>
      </c>
      <c r="H50" s="796">
        <f t="shared" si="1"/>
        <v>38447</v>
      </c>
      <c r="I50" s="1176">
        <f t="shared" si="4"/>
        <v>11534</v>
      </c>
      <c r="J50" s="796">
        <f t="shared" si="2"/>
        <v>11534</v>
      </c>
      <c r="K50" s="914">
        <f t="shared" si="3"/>
        <v>49981</v>
      </c>
      <c r="L50" s="1007"/>
    </row>
    <row r="51" spans="1:15" s="714" customFormat="1" ht="24" customHeight="1">
      <c r="A51" s="1159"/>
      <c r="B51" s="1148" t="s">
        <v>1791</v>
      </c>
      <c r="C51" s="1123"/>
      <c r="D51" s="1124"/>
      <c r="E51" s="1245">
        <v>1</v>
      </c>
      <c r="F51" s="935" t="s">
        <v>948</v>
      </c>
      <c r="G51" s="1244">
        <f>ROUND(SUM(H38:H47)*30%,)</f>
        <v>115340</v>
      </c>
      <c r="H51" s="796">
        <f t="shared" si="1"/>
        <v>115340</v>
      </c>
      <c r="I51" s="1176">
        <f t="shared" si="4"/>
        <v>34602</v>
      </c>
      <c r="J51" s="796">
        <f t="shared" si="2"/>
        <v>34602</v>
      </c>
      <c r="K51" s="914">
        <f t="shared" si="3"/>
        <v>149942</v>
      </c>
      <c r="L51" s="1007"/>
    </row>
    <row r="52" spans="1:15" s="714" customFormat="1" ht="24" customHeight="1">
      <c r="A52" s="1159" t="s">
        <v>1792</v>
      </c>
      <c r="B52" s="1160" t="s">
        <v>1793</v>
      </c>
      <c r="C52" s="1161"/>
      <c r="D52" s="1162"/>
      <c r="E52" s="1019"/>
      <c r="F52" s="1163"/>
      <c r="G52" s="1205"/>
      <c r="H52" s="796"/>
      <c r="I52" s="797"/>
      <c r="J52" s="796"/>
      <c r="K52" s="914"/>
      <c r="L52" s="1014"/>
    </row>
    <row r="53" spans="1:15" s="714" customFormat="1" ht="24" customHeight="1">
      <c r="A53" s="1147"/>
      <c r="B53" s="1148" t="s">
        <v>1185</v>
      </c>
      <c r="C53" s="1123"/>
      <c r="D53" s="1124"/>
      <c r="E53" s="1019">
        <v>5</v>
      </c>
      <c r="F53" s="1150" t="s">
        <v>438</v>
      </c>
      <c r="G53" s="1140">
        <v>124</v>
      </c>
      <c r="H53" s="796">
        <f>ROUND(E53*G53,)</f>
        <v>620</v>
      </c>
      <c r="I53" s="797">
        <v>50</v>
      </c>
      <c r="J53" s="796">
        <f t="shared" ref="J53:J57" si="5">ROUND(I53*E53,)</f>
        <v>250</v>
      </c>
      <c r="K53" s="914">
        <f t="shared" ref="K53:K57" si="6">H53+J53</f>
        <v>870</v>
      </c>
      <c r="L53" s="2273" t="s">
        <v>2974</v>
      </c>
      <c r="N53" s="714">
        <v>745.96</v>
      </c>
      <c r="O53" s="714">
        <f>ROUND(N53/6,)</f>
        <v>124</v>
      </c>
    </row>
    <row r="54" spans="1:15" s="714" customFormat="1" ht="24" customHeight="1">
      <c r="A54" s="1147"/>
      <c r="B54" s="1148" t="s">
        <v>1188</v>
      </c>
      <c r="C54" s="1123"/>
      <c r="D54" s="1124"/>
      <c r="E54" s="1019">
        <v>12</v>
      </c>
      <c r="F54" s="1150" t="s">
        <v>438</v>
      </c>
      <c r="G54" s="1140">
        <v>259</v>
      </c>
      <c r="H54" s="796">
        <f t="shared" ref="H54:H57" si="7">ROUND(E54*G54,)</f>
        <v>3108</v>
      </c>
      <c r="I54" s="906">
        <v>110</v>
      </c>
      <c r="J54" s="796">
        <f t="shared" si="5"/>
        <v>1320</v>
      </c>
      <c r="K54" s="914">
        <f t="shared" si="6"/>
        <v>4428</v>
      </c>
      <c r="L54" s="2273" t="s">
        <v>2974</v>
      </c>
      <c r="N54" s="714">
        <v>1554.48</v>
      </c>
      <c r="O54" s="714">
        <f>ROUND(N54/6,)</f>
        <v>259</v>
      </c>
    </row>
    <row r="55" spans="1:15" s="714" customFormat="1" ht="24" customHeight="1">
      <c r="A55" s="1147"/>
      <c r="B55" s="1148" t="s">
        <v>1645</v>
      </c>
      <c r="C55" s="1123"/>
      <c r="D55" s="1124"/>
      <c r="E55" s="1013">
        <v>1</v>
      </c>
      <c r="F55" s="935" t="s">
        <v>948</v>
      </c>
      <c r="G55" s="1244">
        <f>ROUND(SUM(H53:H54)*50%,)</f>
        <v>1864</v>
      </c>
      <c r="H55" s="796">
        <f t="shared" si="7"/>
        <v>1864</v>
      </c>
      <c r="I55" s="1176">
        <f>ROUND(G55*0.3,)</f>
        <v>559</v>
      </c>
      <c r="J55" s="796">
        <f t="shared" si="5"/>
        <v>559</v>
      </c>
      <c r="K55" s="914">
        <f t="shared" si="6"/>
        <v>2423</v>
      </c>
      <c r="L55" s="1007"/>
    </row>
    <row r="56" spans="1:15" s="714" customFormat="1" ht="24" customHeight="1">
      <c r="A56" s="1147"/>
      <c r="B56" s="1148" t="s">
        <v>1646</v>
      </c>
      <c r="C56" s="1123"/>
      <c r="D56" s="1124"/>
      <c r="E56" s="1013">
        <v>1</v>
      </c>
      <c r="F56" s="935" t="s">
        <v>948</v>
      </c>
      <c r="G56" s="1244">
        <f>ROUND(SUM(H53:H54)*20%,)</f>
        <v>746</v>
      </c>
      <c r="H56" s="796">
        <f t="shared" si="7"/>
        <v>746</v>
      </c>
      <c r="I56" s="1176">
        <f>ROUND(G56*0.3,)</f>
        <v>224</v>
      </c>
      <c r="J56" s="796">
        <f t="shared" si="5"/>
        <v>224</v>
      </c>
      <c r="K56" s="914">
        <f t="shared" si="6"/>
        <v>970</v>
      </c>
      <c r="L56" s="1007"/>
    </row>
    <row r="57" spans="1:15" s="714" customFormat="1" ht="24" customHeight="1">
      <c r="A57" s="1147"/>
      <c r="B57" s="1148" t="s">
        <v>1647</v>
      </c>
      <c r="C57" s="1123"/>
      <c r="D57" s="1124"/>
      <c r="E57" s="1013">
        <v>1</v>
      </c>
      <c r="F57" s="935" t="s">
        <v>948</v>
      </c>
      <c r="G57" s="1244">
        <f>ROUND(SUM(H53:H54)*10%,)</f>
        <v>373</v>
      </c>
      <c r="H57" s="796">
        <f t="shared" si="7"/>
        <v>373</v>
      </c>
      <c r="I57" s="1176">
        <f>ROUND(G57*0.3,)</f>
        <v>112</v>
      </c>
      <c r="J57" s="796">
        <f t="shared" si="5"/>
        <v>112</v>
      </c>
      <c r="K57" s="914">
        <f t="shared" si="6"/>
        <v>485</v>
      </c>
      <c r="L57" s="1007"/>
    </row>
    <row r="58" spans="1:15" s="714" customFormat="1" ht="24" customHeight="1">
      <c r="A58" s="1147"/>
      <c r="B58" s="1148" t="s">
        <v>957</v>
      </c>
      <c r="C58" s="1123"/>
      <c r="D58" s="1124"/>
      <c r="E58" s="1149"/>
      <c r="F58" s="1150"/>
      <c r="G58" s="1140"/>
      <c r="H58" s="854"/>
      <c r="I58" s="855"/>
      <c r="J58" s="854"/>
      <c r="K58" s="912"/>
      <c r="L58" s="1007"/>
    </row>
    <row r="59" spans="1:15" s="714" customFormat="1" ht="24" customHeight="1">
      <c r="A59" s="1166"/>
      <c r="B59" s="2475" t="str">
        <f>"รวมราคารายการที่ "&amp;A36</f>
        <v>รวมราคารายการที่ 6.1</v>
      </c>
      <c r="C59" s="2476"/>
      <c r="D59" s="2477"/>
      <c r="E59" s="1167"/>
      <c r="F59" s="1167"/>
      <c r="G59" s="1168"/>
      <c r="H59" s="1169">
        <f>SUM(H37:H58)</f>
        <v>775645</v>
      </c>
      <c r="I59" s="1170"/>
      <c r="J59" s="1169">
        <f>SUM(J37:J58)</f>
        <v>335860</v>
      </c>
      <c r="K59" s="1171">
        <f>SUM(K37:K58)</f>
        <v>1111505</v>
      </c>
      <c r="L59" s="1171"/>
    </row>
    <row r="60" spans="1:15" s="714" customFormat="1" ht="24" customHeight="1">
      <c r="A60" s="1207">
        <v>6.2</v>
      </c>
      <c r="B60" s="1208" t="s">
        <v>1794</v>
      </c>
      <c r="C60" s="1209"/>
      <c r="D60" s="1210"/>
      <c r="E60" s="1211"/>
      <c r="F60" s="1212"/>
      <c r="G60" s="874"/>
      <c r="H60" s="854"/>
      <c r="I60" s="855"/>
      <c r="J60" s="854"/>
      <c r="K60" s="912"/>
      <c r="L60" s="1007"/>
    </row>
    <row r="61" spans="1:15" s="714" customFormat="1" ht="24" customHeight="1">
      <c r="A61" s="1147" t="s">
        <v>1795</v>
      </c>
      <c r="B61" s="1148" t="s">
        <v>1823</v>
      </c>
      <c r="C61" s="1123"/>
      <c r="D61" s="1124"/>
      <c r="E61" s="1149"/>
      <c r="F61" s="1150"/>
      <c r="G61" s="1140"/>
      <c r="H61" s="796"/>
      <c r="I61" s="855"/>
      <c r="J61" s="796"/>
      <c r="K61" s="912"/>
      <c r="L61" s="1007"/>
    </row>
    <row r="62" spans="1:15" s="714" customFormat="1" ht="24" customHeight="1">
      <c r="A62" s="1147"/>
      <c r="B62" s="1148" t="s">
        <v>1185</v>
      </c>
      <c r="C62" s="1123"/>
      <c r="D62" s="1124"/>
      <c r="E62" s="1149">
        <v>9</v>
      </c>
      <c r="F62" s="1150" t="s">
        <v>240</v>
      </c>
      <c r="G62" s="1140">
        <v>400</v>
      </c>
      <c r="H62" s="796">
        <f t="shared" ref="H62" si="8">ROUND(E62*G62,)</f>
        <v>3600</v>
      </c>
      <c r="I62" s="855">
        <v>200</v>
      </c>
      <c r="J62" s="796">
        <f t="shared" ref="J62" si="9">ROUND(I62*E62,)</f>
        <v>1800</v>
      </c>
      <c r="K62" s="914">
        <f t="shared" ref="K62" si="10">H62+J62</f>
        <v>5400</v>
      </c>
      <c r="L62" s="1007"/>
    </row>
    <row r="63" spans="1:15" s="714" customFormat="1" ht="24" customHeight="1">
      <c r="A63" s="1147" t="s">
        <v>1797</v>
      </c>
      <c r="B63" s="1148" t="s">
        <v>1824</v>
      </c>
      <c r="C63" s="1123"/>
      <c r="D63" s="1124"/>
      <c r="E63" s="1149"/>
      <c r="F63" s="1150"/>
      <c r="G63" s="1140"/>
      <c r="H63" s="854"/>
      <c r="I63" s="855"/>
      <c r="J63" s="854"/>
      <c r="K63" s="912"/>
      <c r="L63" s="1007"/>
    </row>
    <row r="64" spans="1:15" s="714" customFormat="1" ht="24" customHeight="1">
      <c r="A64" s="1147"/>
      <c r="B64" s="1148" t="s">
        <v>1758</v>
      </c>
      <c r="C64" s="1123"/>
      <c r="D64" s="1124"/>
      <c r="E64" s="1149">
        <v>4</v>
      </c>
      <c r="F64" s="1150" t="s">
        <v>240</v>
      </c>
      <c r="G64" s="1140">
        <v>6600</v>
      </c>
      <c r="H64" s="796">
        <f t="shared" ref="H64:H65" si="11">ROUND(E64*G64,)</f>
        <v>26400</v>
      </c>
      <c r="I64" s="855">
        <v>600</v>
      </c>
      <c r="J64" s="796">
        <f t="shared" ref="J64:J65" si="12">ROUND(I64*E64,)</f>
        <v>2400</v>
      </c>
      <c r="K64" s="914">
        <f t="shared" ref="K64:K65" si="13">H64+J64</f>
        <v>28800</v>
      </c>
      <c r="L64" s="1007"/>
    </row>
    <row r="65" spans="1:12" s="714" customFormat="1" ht="24" customHeight="1">
      <c r="A65" s="1147"/>
      <c r="B65" s="1148" t="s">
        <v>1675</v>
      </c>
      <c r="C65" s="1123"/>
      <c r="D65" s="1124"/>
      <c r="E65" s="1149">
        <v>4</v>
      </c>
      <c r="F65" s="1150" t="s">
        <v>240</v>
      </c>
      <c r="G65" s="1140">
        <v>13100</v>
      </c>
      <c r="H65" s="796">
        <f t="shared" si="11"/>
        <v>52400</v>
      </c>
      <c r="I65" s="855">
        <v>1200</v>
      </c>
      <c r="J65" s="796">
        <f t="shared" si="12"/>
        <v>4800</v>
      </c>
      <c r="K65" s="914">
        <f t="shared" si="13"/>
        <v>57200</v>
      </c>
      <c r="L65" s="1007"/>
    </row>
    <row r="66" spans="1:12" s="714" customFormat="1" ht="24" customHeight="1">
      <c r="A66" s="1147" t="s">
        <v>1799</v>
      </c>
      <c r="B66" s="1148" t="s">
        <v>1825</v>
      </c>
      <c r="C66" s="1123"/>
      <c r="D66" s="1124"/>
      <c r="E66" s="1149"/>
      <c r="F66" s="1150"/>
      <c r="G66" s="1140"/>
      <c r="H66" s="796"/>
      <c r="I66" s="855"/>
      <c r="J66" s="796"/>
      <c r="K66" s="914"/>
      <c r="L66" s="1007"/>
    </row>
    <row r="67" spans="1:12" s="714" customFormat="1" ht="24" customHeight="1">
      <c r="A67" s="1147"/>
      <c r="B67" s="1148" t="s">
        <v>1788</v>
      </c>
      <c r="C67" s="1123"/>
      <c r="D67" s="1124"/>
      <c r="E67" s="1149">
        <v>4</v>
      </c>
      <c r="F67" s="1150" t="s">
        <v>240</v>
      </c>
      <c r="G67" s="1140">
        <v>1963</v>
      </c>
      <c r="H67" s="796">
        <f t="shared" ref="H67:H68" si="14">ROUND(E67*G67,)</f>
        <v>7852</v>
      </c>
      <c r="I67" s="855">
        <v>400</v>
      </c>
      <c r="J67" s="796">
        <f t="shared" ref="J67:J68" si="15">ROUND(I67*E67,)</f>
        <v>1600</v>
      </c>
      <c r="K67" s="914">
        <f t="shared" ref="K67:K68" si="16">H67+J67</f>
        <v>9452</v>
      </c>
      <c r="L67" s="1007"/>
    </row>
    <row r="68" spans="1:12" s="714" customFormat="1" ht="24" customHeight="1">
      <c r="A68" s="1147" t="s">
        <v>1801</v>
      </c>
      <c r="B68" s="1148" t="s">
        <v>1826</v>
      </c>
      <c r="C68" s="1123"/>
      <c r="D68" s="1124"/>
      <c r="E68" s="1149">
        <v>4</v>
      </c>
      <c r="F68" s="1150" t="s">
        <v>240</v>
      </c>
      <c r="G68" s="1140">
        <v>900</v>
      </c>
      <c r="H68" s="796">
        <f t="shared" si="14"/>
        <v>3600</v>
      </c>
      <c r="I68" s="855">
        <v>100</v>
      </c>
      <c r="J68" s="796">
        <f t="shared" si="15"/>
        <v>400</v>
      </c>
      <c r="K68" s="914">
        <f t="shared" si="16"/>
        <v>4000</v>
      </c>
      <c r="L68" s="1007"/>
    </row>
    <row r="69" spans="1:12" s="714" customFormat="1" ht="24" customHeight="1">
      <c r="A69" s="1147" t="s">
        <v>1803</v>
      </c>
      <c r="B69" s="1148" t="s">
        <v>1827</v>
      </c>
      <c r="C69" s="1123"/>
      <c r="D69" s="1124"/>
      <c r="E69" s="1149"/>
      <c r="F69" s="1150"/>
      <c r="G69" s="1140"/>
      <c r="H69" s="854"/>
      <c r="I69" s="855"/>
      <c r="J69" s="854"/>
      <c r="K69" s="912"/>
      <c r="L69" s="1007"/>
    </row>
    <row r="70" spans="1:12" s="714" customFormat="1" ht="24" customHeight="1">
      <c r="A70" s="1147"/>
      <c r="B70" s="1148" t="s">
        <v>1675</v>
      </c>
      <c r="C70" s="1123"/>
      <c r="D70" s="1124"/>
      <c r="E70" s="1149">
        <v>4</v>
      </c>
      <c r="F70" s="1150" t="s">
        <v>240</v>
      </c>
      <c r="G70" s="1140">
        <v>17400</v>
      </c>
      <c r="H70" s="796">
        <f t="shared" ref="H70" si="17">ROUND(E70*G70,)</f>
        <v>69600</v>
      </c>
      <c r="I70" s="855">
        <v>1200</v>
      </c>
      <c r="J70" s="796">
        <f t="shared" ref="J70" si="18">ROUND(I70*E70,)</f>
        <v>4800</v>
      </c>
      <c r="K70" s="914">
        <f t="shared" ref="K70" si="19">H70+J70</f>
        <v>74400</v>
      </c>
      <c r="L70" s="1007"/>
    </row>
    <row r="71" spans="1:12" s="714" customFormat="1" ht="24" customHeight="1">
      <c r="A71" s="1147" t="s">
        <v>1805</v>
      </c>
      <c r="B71" s="1148" t="s">
        <v>1717</v>
      </c>
      <c r="C71" s="1123"/>
      <c r="D71" s="1124"/>
      <c r="E71" s="1149"/>
      <c r="F71" s="1150"/>
      <c r="G71" s="1140"/>
      <c r="H71" s="854"/>
      <c r="I71" s="855"/>
      <c r="J71" s="854"/>
      <c r="K71" s="912"/>
      <c r="L71" s="1007"/>
    </row>
    <row r="72" spans="1:12" s="714" customFormat="1" ht="24" customHeight="1">
      <c r="A72" s="1147"/>
      <c r="B72" s="1148" t="s">
        <v>1785</v>
      </c>
      <c r="C72" s="1123"/>
      <c r="D72" s="1124"/>
      <c r="E72" s="1149">
        <v>4</v>
      </c>
      <c r="F72" s="1150" t="s">
        <v>240</v>
      </c>
      <c r="G72" s="1140">
        <v>1010</v>
      </c>
      <c r="H72" s="796">
        <f t="shared" ref="H72" si="20">ROUND(E72*G72,)</f>
        <v>4040</v>
      </c>
      <c r="I72" s="855">
        <v>100</v>
      </c>
      <c r="J72" s="796">
        <f t="shared" ref="J72" si="21">ROUND(I72*E72,)</f>
        <v>400</v>
      </c>
      <c r="K72" s="914">
        <f t="shared" ref="K72" si="22">H72+J72</f>
        <v>4440</v>
      </c>
      <c r="L72" s="1007"/>
    </row>
    <row r="73" spans="1:12" s="714" customFormat="1" ht="24" customHeight="1">
      <c r="A73" s="1147" t="s">
        <v>1807</v>
      </c>
      <c r="B73" s="1148" t="s">
        <v>1806</v>
      </c>
      <c r="C73" s="1123"/>
      <c r="D73" s="1124"/>
      <c r="E73" s="1149"/>
      <c r="F73" s="1150"/>
      <c r="G73" s="1140"/>
      <c r="H73" s="854"/>
      <c r="I73" s="855"/>
      <c r="J73" s="854"/>
      <c r="K73" s="912"/>
      <c r="L73" s="1007"/>
    </row>
    <row r="74" spans="1:12" s="714" customFormat="1" ht="24" customHeight="1">
      <c r="A74" s="1147"/>
      <c r="B74" s="1148" t="s">
        <v>1785</v>
      </c>
      <c r="C74" s="1123"/>
      <c r="D74" s="1124"/>
      <c r="E74" s="1149">
        <v>4</v>
      </c>
      <c r="F74" s="1150" t="s">
        <v>240</v>
      </c>
      <c r="G74" s="1249">
        <v>18060</v>
      </c>
      <c r="H74" s="796">
        <f t="shared" ref="H74" si="23">ROUND(E74*G74,)</f>
        <v>72240</v>
      </c>
      <c r="I74" s="855">
        <v>100</v>
      </c>
      <c r="J74" s="796">
        <f t="shared" ref="J74" si="24">ROUND(I74*E74,)</f>
        <v>400</v>
      </c>
      <c r="K74" s="914">
        <f t="shared" ref="K74" si="25">H74+J74</f>
        <v>72640</v>
      </c>
      <c r="L74" s="1007"/>
    </row>
    <row r="75" spans="1:12" s="714" customFormat="1" ht="24" customHeight="1">
      <c r="A75" s="1147" t="s">
        <v>1810</v>
      </c>
      <c r="B75" s="1148" t="s">
        <v>1880</v>
      </c>
      <c r="C75" s="1123"/>
      <c r="D75" s="1190"/>
      <c r="E75" s="1149"/>
      <c r="F75" s="1210"/>
      <c r="G75" s="1140"/>
      <c r="H75" s="854"/>
      <c r="I75" s="855"/>
      <c r="J75" s="854"/>
      <c r="K75" s="912"/>
      <c r="L75" s="1007"/>
    </row>
    <row r="76" spans="1:12" s="714" customFormat="1" ht="24" customHeight="1">
      <c r="A76" s="1147"/>
      <c r="B76" s="1148" t="s">
        <v>1758</v>
      </c>
      <c r="C76" s="1123"/>
      <c r="D76" s="1190"/>
      <c r="E76" s="1149"/>
      <c r="F76" s="1150" t="s">
        <v>240</v>
      </c>
      <c r="G76" s="1140">
        <v>262040</v>
      </c>
      <c r="H76" s="796">
        <f t="shared" ref="H76" si="26">ROUND(E76*G76,)</f>
        <v>0</v>
      </c>
      <c r="I76" s="855">
        <v>10000</v>
      </c>
      <c r="J76" s="796">
        <f t="shared" ref="J76" si="27">ROUND(I76*E76,)</f>
        <v>0</v>
      </c>
      <c r="K76" s="914">
        <f t="shared" ref="K76" si="28">H76+J76</f>
        <v>0</v>
      </c>
      <c r="L76" s="1007"/>
    </row>
    <row r="77" spans="1:12" s="714" customFormat="1" ht="24" customHeight="1">
      <c r="A77" s="1147"/>
      <c r="B77" s="1148" t="s">
        <v>957</v>
      </c>
      <c r="C77" s="1123"/>
      <c r="D77" s="1190"/>
      <c r="E77" s="1149"/>
      <c r="F77" s="1210"/>
      <c r="G77" s="1140"/>
      <c r="H77" s="854"/>
      <c r="I77" s="855"/>
      <c r="J77" s="854"/>
      <c r="K77" s="912"/>
      <c r="L77" s="1007"/>
    </row>
    <row r="78" spans="1:12" s="714" customFormat="1" ht="24" customHeight="1">
      <c r="A78" s="1147"/>
      <c r="B78" s="1148" t="s">
        <v>1102</v>
      </c>
      <c r="C78" s="1123"/>
      <c r="D78" s="1190"/>
      <c r="E78" s="1149"/>
      <c r="F78" s="1210"/>
      <c r="G78" s="1140"/>
      <c r="H78" s="854"/>
      <c r="I78" s="855"/>
      <c r="J78" s="854"/>
      <c r="K78" s="912"/>
      <c r="L78" s="1007"/>
    </row>
    <row r="79" spans="1:12" s="714" customFormat="1" ht="24" customHeight="1">
      <c r="A79" s="1147"/>
      <c r="B79" s="1160"/>
      <c r="C79" s="1123"/>
      <c r="D79" s="1190"/>
      <c r="E79" s="1149"/>
      <c r="F79" s="1210"/>
      <c r="G79" s="1140"/>
      <c r="H79" s="854"/>
      <c r="I79" s="855"/>
      <c r="J79" s="854"/>
      <c r="K79" s="912"/>
      <c r="L79" s="1007"/>
    </row>
    <row r="80" spans="1:12" s="714" customFormat="1" ht="24" customHeight="1">
      <c r="A80" s="1147"/>
      <c r="B80" s="1160"/>
      <c r="C80" s="1123"/>
      <c r="D80" s="1190"/>
      <c r="E80" s="1149"/>
      <c r="F80" s="1210"/>
      <c r="G80" s="1140"/>
      <c r="H80" s="854"/>
      <c r="I80" s="855"/>
      <c r="J80" s="854"/>
      <c r="K80" s="912"/>
      <c r="L80" s="1007"/>
    </row>
    <row r="81" spans="1:12" s="714" customFormat="1" ht="24" customHeight="1">
      <c r="A81" s="1147"/>
      <c r="B81" s="1160"/>
      <c r="C81" s="1123"/>
      <c r="D81" s="1190"/>
      <c r="E81" s="1149"/>
      <c r="F81" s="1210"/>
      <c r="G81" s="1140"/>
      <c r="H81" s="854"/>
      <c r="I81" s="855"/>
      <c r="J81" s="854"/>
      <c r="K81" s="912"/>
      <c r="L81" s="1007"/>
    </row>
    <row r="82" spans="1:12" s="714" customFormat="1" ht="24" customHeight="1">
      <c r="A82" s="1147"/>
      <c r="B82" s="1160"/>
      <c r="C82" s="1123"/>
      <c r="D82" s="1190"/>
      <c r="E82" s="1149"/>
      <c r="F82" s="1210"/>
      <c r="G82" s="1140"/>
      <c r="H82" s="854"/>
      <c r="I82" s="855"/>
      <c r="J82" s="854"/>
      <c r="K82" s="912"/>
      <c r="L82" s="1007"/>
    </row>
    <row r="83" spans="1:12" s="714" customFormat="1" ht="24" customHeight="1">
      <c r="A83" s="1147"/>
      <c r="B83" s="1160"/>
      <c r="C83" s="1123"/>
      <c r="D83" s="1190"/>
      <c r="E83" s="1149"/>
      <c r="F83" s="1210"/>
      <c r="G83" s="1140"/>
      <c r="H83" s="854"/>
      <c r="I83" s="855"/>
      <c r="J83" s="854"/>
      <c r="K83" s="912"/>
      <c r="L83" s="1007"/>
    </row>
    <row r="84" spans="1:12" s="714" customFormat="1" ht="24" customHeight="1">
      <c r="A84" s="1166"/>
      <c r="B84" s="2475" t="str">
        <f>"รวมราคารายการที่ "&amp;A60</f>
        <v>รวมราคารายการที่ 6.2</v>
      </c>
      <c r="C84" s="2476"/>
      <c r="D84" s="2477"/>
      <c r="E84" s="1167"/>
      <c r="F84" s="1167"/>
      <c r="G84" s="1168"/>
      <c r="H84" s="1169">
        <f>SUM(H61:H83)</f>
        <v>239732</v>
      </c>
      <c r="I84" s="1169"/>
      <c r="J84" s="1169">
        <f>SUM(J61:J83)</f>
        <v>16600</v>
      </c>
      <c r="K84" s="1169">
        <f>SUM(K61:K83)</f>
        <v>256332</v>
      </c>
      <c r="L84" s="1171"/>
    </row>
    <row r="85" spans="1:12" s="714" customFormat="1" ht="24" customHeight="1">
      <c r="A85" s="1207">
        <v>6.3</v>
      </c>
      <c r="B85" s="1208" t="s">
        <v>1828</v>
      </c>
      <c r="C85" s="1209"/>
      <c r="D85" s="1210"/>
      <c r="E85" s="1211"/>
      <c r="F85" s="1221"/>
      <c r="G85" s="1140"/>
      <c r="H85" s="854"/>
      <c r="I85" s="855"/>
      <c r="J85" s="854"/>
      <c r="K85" s="912"/>
      <c r="L85" s="1007"/>
    </row>
    <row r="86" spans="1:12" s="714" customFormat="1" ht="24" customHeight="1">
      <c r="A86" s="1147" t="s">
        <v>1829</v>
      </c>
      <c r="B86" s="1148" t="s">
        <v>1830</v>
      </c>
      <c r="C86" s="1123"/>
      <c r="D86" s="1124"/>
      <c r="E86" s="1149">
        <v>452</v>
      </c>
      <c r="F86" s="1147" t="s">
        <v>240</v>
      </c>
      <c r="G86" s="1140">
        <v>126</v>
      </c>
      <c r="H86" s="796">
        <f t="shared" ref="H86:H90" si="29">ROUND(E86*G86,)</f>
        <v>56952</v>
      </c>
      <c r="I86" s="855">
        <v>75</v>
      </c>
      <c r="J86" s="796">
        <f t="shared" ref="J86:J90" si="30">ROUND(I86*E86,)</f>
        <v>33900</v>
      </c>
      <c r="K86" s="914">
        <f>H86+J86</f>
        <v>90852</v>
      </c>
      <c r="L86" s="1007"/>
    </row>
    <row r="87" spans="1:12" s="714" customFormat="1" ht="24" customHeight="1">
      <c r="A87" s="1147" t="s">
        <v>1831</v>
      </c>
      <c r="B87" s="1148" t="s">
        <v>1832</v>
      </c>
      <c r="C87" s="1123"/>
      <c r="D87" s="1124"/>
      <c r="E87" s="1149"/>
      <c r="F87" s="1147" t="s">
        <v>240</v>
      </c>
      <c r="G87" s="1140"/>
      <c r="H87" s="796"/>
      <c r="I87" s="855"/>
      <c r="J87" s="796"/>
      <c r="K87" s="914"/>
      <c r="L87" s="1007"/>
    </row>
    <row r="88" spans="1:12" s="714" customFormat="1" ht="24" customHeight="1">
      <c r="A88" s="1147" t="s">
        <v>1833</v>
      </c>
      <c r="B88" s="1148" t="s">
        <v>1881</v>
      </c>
      <c r="C88" s="1123"/>
      <c r="D88" s="1124"/>
      <c r="E88" s="1149"/>
      <c r="F88" s="1147" t="s">
        <v>240</v>
      </c>
      <c r="G88" s="1140"/>
      <c r="H88" s="796">
        <f t="shared" ref="H88:H89" si="31">ROUND(E88*G88,)</f>
        <v>0</v>
      </c>
      <c r="I88" s="906"/>
      <c r="J88" s="796">
        <f t="shared" ref="J88:J89" si="32">ROUND(I88*E88,)</f>
        <v>0</v>
      </c>
      <c r="K88" s="914">
        <f>H88+J88</f>
        <v>0</v>
      </c>
      <c r="L88" s="1007"/>
    </row>
    <row r="89" spans="1:12" s="714" customFormat="1" ht="24" customHeight="1">
      <c r="A89" s="1147" t="s">
        <v>1835</v>
      </c>
      <c r="B89" s="1148" t="s">
        <v>1834</v>
      </c>
      <c r="C89" s="1123"/>
      <c r="D89" s="1124"/>
      <c r="E89" s="1149">
        <v>31</v>
      </c>
      <c r="F89" s="1147" t="s">
        <v>240</v>
      </c>
      <c r="G89" s="1140">
        <v>108</v>
      </c>
      <c r="H89" s="796">
        <f t="shared" si="31"/>
        <v>3348</v>
      </c>
      <c r="I89" s="855">
        <v>50</v>
      </c>
      <c r="J89" s="796">
        <f t="shared" si="32"/>
        <v>1550</v>
      </c>
      <c r="K89" s="914">
        <f>H89+J89</f>
        <v>4898</v>
      </c>
      <c r="L89" s="1007"/>
    </row>
    <row r="90" spans="1:12" s="714" customFormat="1" ht="24" customHeight="1">
      <c r="A90" s="1147" t="s">
        <v>1837</v>
      </c>
      <c r="B90" s="1148" t="s">
        <v>1882</v>
      </c>
      <c r="C90" s="1123"/>
      <c r="D90" s="1124"/>
      <c r="E90" s="1149"/>
      <c r="F90" s="1147"/>
      <c r="G90" s="1140"/>
      <c r="H90" s="796">
        <f t="shared" si="29"/>
        <v>0</v>
      </c>
      <c r="I90" s="855"/>
      <c r="J90" s="796">
        <f t="shared" si="30"/>
        <v>0</v>
      </c>
      <c r="K90" s="914">
        <f>H90+J90</f>
        <v>0</v>
      </c>
      <c r="L90" s="1007"/>
    </row>
    <row r="91" spans="1:12" s="714" customFormat="1" ht="24" customHeight="1">
      <c r="A91" s="1147"/>
      <c r="B91" s="1148"/>
      <c r="C91" s="1123"/>
      <c r="D91" s="1124"/>
      <c r="E91" s="1149"/>
      <c r="F91" s="1147"/>
      <c r="G91" s="1140"/>
      <c r="H91" s="796"/>
      <c r="I91" s="855"/>
      <c r="J91" s="796"/>
      <c r="K91" s="914"/>
      <c r="L91" s="1007"/>
    </row>
    <row r="92" spans="1:12" s="714" customFormat="1" ht="24" customHeight="1">
      <c r="A92" s="1166"/>
      <c r="B92" s="2475" t="str">
        <f>"รวมราคารายการที่ "&amp;A85</f>
        <v>รวมราคารายการที่ 6.3</v>
      </c>
      <c r="C92" s="2476"/>
      <c r="D92" s="2477"/>
      <c r="E92" s="1167"/>
      <c r="F92" s="1167"/>
      <c r="G92" s="1168"/>
      <c r="H92" s="1169">
        <f>SUM(H86:H91)</f>
        <v>60300</v>
      </c>
      <c r="I92" s="1170"/>
      <c r="J92" s="1169">
        <f>SUM(J86:J91)</f>
        <v>35450</v>
      </c>
      <c r="K92" s="1171">
        <f>SUM(K86:K91)</f>
        <v>95750</v>
      </c>
      <c r="L92" s="1171"/>
    </row>
    <row r="93" spans="1:12" s="714" customFormat="1" ht="24" customHeight="1">
      <c r="A93" s="1195">
        <v>6.4</v>
      </c>
      <c r="B93" s="1196" t="s">
        <v>1844</v>
      </c>
      <c r="C93" s="1197"/>
      <c r="D93" s="1198"/>
      <c r="E93" s="1199"/>
      <c r="F93" s="1230"/>
      <c r="G93" s="1255"/>
      <c r="H93" s="788"/>
      <c r="I93" s="789"/>
      <c r="J93" s="788"/>
      <c r="K93" s="1256"/>
      <c r="L93" s="965"/>
    </row>
    <row r="94" spans="1:12" s="714" customFormat="1" ht="24" customHeight="1">
      <c r="A94" s="1147" t="s">
        <v>1845</v>
      </c>
      <c r="B94" s="1148" t="s">
        <v>1846</v>
      </c>
      <c r="C94" s="1123"/>
      <c r="D94" s="1124"/>
      <c r="E94" s="1149"/>
      <c r="F94" s="1147"/>
      <c r="G94" s="1257"/>
      <c r="H94" s="796"/>
      <c r="I94" s="797"/>
      <c r="J94" s="796"/>
      <c r="K94" s="914"/>
      <c r="L94" s="1014"/>
    </row>
    <row r="95" spans="1:12" s="714" customFormat="1" ht="24" customHeight="1">
      <c r="A95" s="1147"/>
      <c r="B95" s="1148" t="s">
        <v>1847</v>
      </c>
      <c r="C95" s="1123"/>
      <c r="D95" s="1124"/>
      <c r="E95" s="1149">
        <v>2</v>
      </c>
      <c r="F95" s="1147" t="s">
        <v>240</v>
      </c>
      <c r="G95" s="1257">
        <v>3800</v>
      </c>
      <c r="H95" s="796">
        <f t="shared" ref="H95:H101" si="33">ROUND(E95*G95,)</f>
        <v>7600</v>
      </c>
      <c r="I95" s="797">
        <f>G95*0.3</f>
        <v>1140</v>
      </c>
      <c r="J95" s="796">
        <f t="shared" ref="J95" si="34">ROUND(I95*E95,)</f>
        <v>2280</v>
      </c>
      <c r="K95" s="914">
        <f>H95+J95</f>
        <v>9880</v>
      </c>
      <c r="L95" s="1014"/>
    </row>
    <row r="96" spans="1:12" s="714" customFormat="1" ht="24" customHeight="1">
      <c r="A96" s="1159"/>
      <c r="B96" s="1160" t="s">
        <v>1848</v>
      </c>
      <c r="C96" s="1161"/>
      <c r="D96" s="1162"/>
      <c r="E96" s="1149">
        <v>2</v>
      </c>
      <c r="F96" s="1159" t="s">
        <v>240</v>
      </c>
      <c r="G96" s="1258">
        <v>890</v>
      </c>
      <c r="H96" s="796">
        <f t="shared" si="33"/>
        <v>1780</v>
      </c>
      <c r="I96" s="797" t="s">
        <v>974</v>
      </c>
      <c r="J96" s="796"/>
      <c r="K96" s="914">
        <f t="shared" ref="K96:K101" si="35">H96+J96</f>
        <v>1780</v>
      </c>
      <c r="L96" s="1014"/>
    </row>
    <row r="97" spans="1:14" s="714" customFormat="1" ht="24" customHeight="1">
      <c r="A97" s="1147"/>
      <c r="B97" s="1148" t="s">
        <v>1849</v>
      </c>
      <c r="C97" s="1123"/>
      <c r="D97" s="1124"/>
      <c r="E97" s="1149">
        <v>2</v>
      </c>
      <c r="F97" s="1147" t="s">
        <v>240</v>
      </c>
      <c r="G97" s="1257">
        <v>4200</v>
      </c>
      <c r="H97" s="796">
        <f t="shared" si="33"/>
        <v>8400</v>
      </c>
      <c r="I97" s="797" t="s">
        <v>974</v>
      </c>
      <c r="J97" s="796"/>
      <c r="K97" s="914">
        <f t="shared" si="35"/>
        <v>8400</v>
      </c>
      <c r="L97" s="1014"/>
    </row>
    <row r="98" spans="1:14" s="714" customFormat="1" ht="24" customHeight="1">
      <c r="A98" s="1159"/>
      <c r="B98" s="1148" t="s">
        <v>1850</v>
      </c>
      <c r="C98" s="1123"/>
      <c r="D98" s="1124"/>
      <c r="E98" s="1149">
        <v>2</v>
      </c>
      <c r="F98" s="1147" t="s">
        <v>240</v>
      </c>
      <c r="G98" s="1257">
        <v>8000</v>
      </c>
      <c r="H98" s="796">
        <f t="shared" si="33"/>
        <v>16000</v>
      </c>
      <c r="I98" s="797" t="s">
        <v>974</v>
      </c>
      <c r="J98" s="796"/>
      <c r="K98" s="914">
        <f t="shared" si="35"/>
        <v>16000</v>
      </c>
      <c r="L98" s="1014"/>
    </row>
    <row r="99" spans="1:14" s="714" customFormat="1" ht="24" customHeight="1">
      <c r="A99" s="1147"/>
      <c r="B99" s="1148" t="s">
        <v>1851</v>
      </c>
      <c r="C99" s="1123"/>
      <c r="D99" s="1124"/>
      <c r="E99" s="1149">
        <v>2</v>
      </c>
      <c r="F99" s="1147" t="s">
        <v>240</v>
      </c>
      <c r="G99" s="1257">
        <v>5720</v>
      </c>
      <c r="H99" s="796">
        <f t="shared" si="33"/>
        <v>11440</v>
      </c>
      <c r="I99" s="797" t="s">
        <v>974</v>
      </c>
      <c r="J99" s="796"/>
      <c r="K99" s="914">
        <f t="shared" si="35"/>
        <v>11440</v>
      </c>
      <c r="L99" s="1007"/>
    </row>
    <row r="100" spans="1:14" s="714" customFormat="1" ht="24" customHeight="1">
      <c r="A100" s="1147"/>
      <c r="B100" s="1148" t="s">
        <v>1852</v>
      </c>
      <c r="C100" s="1123"/>
      <c r="D100" s="1124"/>
      <c r="E100" s="1149">
        <v>2</v>
      </c>
      <c r="F100" s="1147" t="s">
        <v>240</v>
      </c>
      <c r="G100" s="1257">
        <v>820</v>
      </c>
      <c r="H100" s="796">
        <f t="shared" si="33"/>
        <v>1640</v>
      </c>
      <c r="I100" s="797" t="s">
        <v>974</v>
      </c>
      <c r="J100" s="796"/>
      <c r="K100" s="914">
        <f t="shared" si="35"/>
        <v>1640</v>
      </c>
      <c r="L100" s="1007"/>
    </row>
    <row r="101" spans="1:14" s="714" customFormat="1" ht="24" customHeight="1">
      <c r="A101" s="1147"/>
      <c r="B101" s="1148" t="s">
        <v>1853</v>
      </c>
      <c r="C101" s="1123"/>
      <c r="D101" s="1124"/>
      <c r="E101" s="1149">
        <v>2</v>
      </c>
      <c r="F101" s="1147" t="s">
        <v>240</v>
      </c>
      <c r="G101" s="1257">
        <v>450</v>
      </c>
      <c r="H101" s="796">
        <f t="shared" si="33"/>
        <v>900</v>
      </c>
      <c r="I101" s="797" t="s">
        <v>974</v>
      </c>
      <c r="J101" s="796"/>
      <c r="K101" s="914">
        <f t="shared" si="35"/>
        <v>900</v>
      </c>
      <c r="L101" s="1007"/>
    </row>
    <row r="102" spans="1:14" s="714" customFormat="1" ht="24" customHeight="1">
      <c r="A102" s="1147" t="s">
        <v>1854</v>
      </c>
      <c r="B102" s="1148" t="s">
        <v>1855</v>
      </c>
      <c r="C102" s="1123"/>
      <c r="D102" s="1124"/>
      <c r="E102" s="1149"/>
      <c r="F102" s="1147"/>
      <c r="G102" s="1257"/>
      <c r="H102" s="854"/>
      <c r="I102" s="855"/>
      <c r="J102" s="854"/>
      <c r="K102" s="912"/>
      <c r="L102" s="1007"/>
      <c r="M102" s="914">
        <f>J102+L102</f>
        <v>0</v>
      </c>
      <c r="N102" s="1014"/>
    </row>
    <row r="103" spans="1:14" s="714" customFormat="1" ht="24" customHeight="1">
      <c r="A103" s="1147"/>
      <c r="B103" s="1148" t="s">
        <v>1856</v>
      </c>
      <c r="C103" s="1123"/>
      <c r="D103" s="1124"/>
      <c r="E103" s="1149">
        <v>6</v>
      </c>
      <c r="F103" s="1147" t="s">
        <v>240</v>
      </c>
      <c r="G103" s="1257">
        <f>6500*1.1</f>
        <v>7150.0000000000009</v>
      </c>
      <c r="H103" s="796">
        <f t="shared" ref="H103:H109" si="36">ROUND(E103*G103,)</f>
        <v>42900</v>
      </c>
      <c r="I103" s="797">
        <f>G103*0.3</f>
        <v>2145</v>
      </c>
      <c r="J103" s="796">
        <f t="shared" ref="J103" si="37">ROUND(I103*E103,)</f>
        <v>12870</v>
      </c>
      <c r="K103" s="914">
        <f>H103+J103</f>
        <v>55770</v>
      </c>
      <c r="L103" s="1014"/>
      <c r="M103" s="914">
        <f t="shared" ref="M103:M106" si="38">J103+L103</f>
        <v>12870</v>
      </c>
      <c r="N103" s="1014"/>
    </row>
    <row r="104" spans="1:14" s="714" customFormat="1" ht="24" customHeight="1">
      <c r="A104" s="1159"/>
      <c r="B104" s="1160" t="s">
        <v>1848</v>
      </c>
      <c r="C104" s="1161"/>
      <c r="D104" s="1162"/>
      <c r="E104" s="1149">
        <v>6</v>
      </c>
      <c r="F104" s="1159" t="s">
        <v>240</v>
      </c>
      <c r="G104" s="1258">
        <v>890</v>
      </c>
      <c r="H104" s="796">
        <f t="shared" si="36"/>
        <v>5340</v>
      </c>
      <c r="I104" s="797" t="s">
        <v>974</v>
      </c>
      <c r="J104" s="796"/>
      <c r="K104" s="914">
        <f t="shared" ref="K104:K109" si="39">H104+J104</f>
        <v>5340</v>
      </c>
      <c r="L104" s="1014"/>
      <c r="M104" s="914">
        <f t="shared" si="38"/>
        <v>0</v>
      </c>
      <c r="N104" s="1014"/>
    </row>
    <row r="105" spans="1:14" s="714" customFormat="1" ht="24" customHeight="1">
      <c r="A105" s="1147"/>
      <c r="B105" s="1148" t="s">
        <v>1883</v>
      </c>
      <c r="C105" s="1123"/>
      <c r="D105" s="1124"/>
      <c r="E105" s="1149">
        <v>6</v>
      </c>
      <c r="F105" s="1147" t="s">
        <v>240</v>
      </c>
      <c r="G105" s="1257">
        <v>4200</v>
      </c>
      <c r="H105" s="796">
        <f t="shared" si="36"/>
        <v>25200</v>
      </c>
      <c r="I105" s="797" t="s">
        <v>974</v>
      </c>
      <c r="J105" s="796"/>
      <c r="K105" s="914">
        <f t="shared" si="39"/>
        <v>25200</v>
      </c>
      <c r="L105" s="1014"/>
      <c r="M105" s="914">
        <f t="shared" si="38"/>
        <v>0</v>
      </c>
      <c r="N105" s="1014"/>
    </row>
    <row r="106" spans="1:14" s="714" customFormat="1" ht="24" customHeight="1">
      <c r="A106" s="1159"/>
      <c r="B106" s="1148" t="s">
        <v>1850</v>
      </c>
      <c r="C106" s="1123"/>
      <c r="D106" s="1124"/>
      <c r="E106" s="1149">
        <v>6</v>
      </c>
      <c r="F106" s="1147" t="s">
        <v>240</v>
      </c>
      <c r="G106" s="1257">
        <v>8000</v>
      </c>
      <c r="H106" s="796">
        <f t="shared" si="36"/>
        <v>48000</v>
      </c>
      <c r="I106" s="797" t="s">
        <v>974</v>
      </c>
      <c r="J106" s="796"/>
      <c r="K106" s="914">
        <f t="shared" si="39"/>
        <v>48000</v>
      </c>
      <c r="L106" s="1014"/>
      <c r="M106" s="914">
        <f t="shared" si="38"/>
        <v>0</v>
      </c>
      <c r="N106" s="1014"/>
    </row>
    <row r="107" spans="1:14" s="714" customFormat="1" ht="24" customHeight="1">
      <c r="A107" s="1147"/>
      <c r="B107" s="1148" t="s">
        <v>1851</v>
      </c>
      <c r="C107" s="1123"/>
      <c r="D107" s="1124"/>
      <c r="E107" s="1149">
        <v>6</v>
      </c>
      <c r="F107" s="1147" t="s">
        <v>240</v>
      </c>
      <c r="G107" s="1257">
        <v>5720</v>
      </c>
      <c r="H107" s="796">
        <f t="shared" si="36"/>
        <v>34320</v>
      </c>
      <c r="I107" s="797" t="s">
        <v>974</v>
      </c>
      <c r="J107" s="796"/>
      <c r="K107" s="914">
        <f t="shared" si="39"/>
        <v>34320</v>
      </c>
      <c r="L107" s="1007"/>
    </row>
    <row r="108" spans="1:14" s="714" customFormat="1" ht="24" customHeight="1">
      <c r="A108" s="1147"/>
      <c r="B108" s="1148" t="s">
        <v>1884</v>
      </c>
      <c r="C108" s="1123"/>
      <c r="D108" s="1124"/>
      <c r="E108" s="1149">
        <v>6</v>
      </c>
      <c r="F108" s="1147" t="s">
        <v>240</v>
      </c>
      <c r="G108" s="1257">
        <v>820</v>
      </c>
      <c r="H108" s="796">
        <f t="shared" si="36"/>
        <v>4920</v>
      </c>
      <c r="I108" s="797" t="s">
        <v>974</v>
      </c>
      <c r="J108" s="796"/>
      <c r="K108" s="914">
        <f t="shared" si="39"/>
        <v>4920</v>
      </c>
      <c r="L108" s="1014"/>
    </row>
    <row r="109" spans="1:14" s="714" customFormat="1" ht="24" customHeight="1">
      <c r="A109" s="1147"/>
      <c r="B109" s="1148" t="s">
        <v>1885</v>
      </c>
      <c r="C109" s="1123"/>
      <c r="D109" s="1124"/>
      <c r="E109" s="1149">
        <v>6</v>
      </c>
      <c r="F109" s="1147" t="s">
        <v>240</v>
      </c>
      <c r="G109" s="1257">
        <v>450</v>
      </c>
      <c r="H109" s="796">
        <f t="shared" si="36"/>
        <v>2700</v>
      </c>
      <c r="I109" s="797" t="s">
        <v>974</v>
      </c>
      <c r="J109" s="796"/>
      <c r="K109" s="914">
        <f t="shared" si="39"/>
        <v>2700</v>
      </c>
      <c r="L109" s="1014"/>
    </row>
    <row r="110" spans="1:14" s="714" customFormat="1" ht="24" customHeight="1">
      <c r="A110" s="1221" t="s">
        <v>1857</v>
      </c>
      <c r="B110" s="1219" t="s">
        <v>1858</v>
      </c>
      <c r="C110" s="1209"/>
      <c r="D110" s="1210"/>
      <c r="E110" s="1211"/>
      <c r="F110" s="1221"/>
      <c r="G110" s="1257"/>
      <c r="H110" s="796"/>
      <c r="I110" s="1259"/>
      <c r="J110" s="796"/>
      <c r="K110" s="1014"/>
      <c r="L110" s="1014"/>
    </row>
    <row r="111" spans="1:14" s="714" customFormat="1" ht="24" customHeight="1">
      <c r="A111" s="1147"/>
      <c r="B111" s="1148" t="s">
        <v>1859</v>
      </c>
      <c r="C111" s="1123"/>
      <c r="D111" s="1124"/>
      <c r="E111" s="1149">
        <v>5</v>
      </c>
      <c r="F111" s="1147" t="s">
        <v>240</v>
      </c>
      <c r="G111" s="1257">
        <v>1000</v>
      </c>
      <c r="H111" s="796">
        <f t="shared" ref="H111:H112" si="40">ROUND(E111*G111,)</f>
        <v>5000</v>
      </c>
      <c r="I111" s="1259">
        <v>200</v>
      </c>
      <c r="J111" s="796">
        <f t="shared" ref="J111:J112" si="41">ROUND(I111*E111,)</f>
        <v>1000</v>
      </c>
      <c r="K111" s="914">
        <f t="shared" ref="K111:K112" si="42">H111+J111</f>
        <v>6000</v>
      </c>
      <c r="L111" s="1014"/>
    </row>
    <row r="112" spans="1:14" s="714" customFormat="1" ht="24" customHeight="1">
      <c r="A112" s="1159"/>
      <c r="B112" s="1160" t="s">
        <v>1860</v>
      </c>
      <c r="C112" s="1161"/>
      <c r="D112" s="1162"/>
      <c r="E112" s="1183">
        <v>1</v>
      </c>
      <c r="F112" s="1159" t="s">
        <v>240</v>
      </c>
      <c r="G112" s="1257">
        <v>6000</v>
      </c>
      <c r="H112" s="796">
        <f t="shared" si="40"/>
        <v>6000</v>
      </c>
      <c r="I112" s="1259">
        <v>100</v>
      </c>
      <c r="J112" s="796">
        <f t="shared" si="41"/>
        <v>100</v>
      </c>
      <c r="K112" s="914">
        <f t="shared" si="42"/>
        <v>6100</v>
      </c>
      <c r="L112" s="1014"/>
    </row>
    <row r="113" spans="1:12" s="714" customFormat="1" ht="24" customHeight="1">
      <c r="A113" s="1147"/>
      <c r="B113" s="1148" t="s">
        <v>1861</v>
      </c>
      <c r="C113" s="1123"/>
      <c r="D113" s="1124"/>
      <c r="E113" s="1149"/>
      <c r="F113" s="1147" t="s">
        <v>240</v>
      </c>
      <c r="G113" s="1257"/>
      <c r="H113" s="796"/>
      <c r="I113" s="1259"/>
      <c r="J113" s="796"/>
      <c r="K113" s="1014"/>
      <c r="L113" s="1014"/>
    </row>
    <row r="114" spans="1:12" s="714" customFormat="1" ht="24" customHeight="1">
      <c r="A114" s="1147"/>
      <c r="B114" s="1148" t="s">
        <v>957</v>
      </c>
      <c r="C114" s="1123"/>
      <c r="D114" s="1124"/>
      <c r="E114" s="1149"/>
      <c r="F114" s="1147"/>
      <c r="G114" s="1257"/>
      <c r="H114" s="796"/>
      <c r="I114" s="1259"/>
      <c r="J114" s="796"/>
      <c r="K114" s="1014"/>
      <c r="L114" s="1014"/>
    </row>
    <row r="115" spans="1:12" s="714" customFormat="1" ht="24" customHeight="1">
      <c r="A115" s="1147"/>
      <c r="B115" s="1148" t="s">
        <v>1102</v>
      </c>
      <c r="C115" s="1123"/>
      <c r="D115" s="1124"/>
      <c r="E115" s="1149"/>
      <c r="F115" s="1147"/>
      <c r="G115" s="1257"/>
      <c r="H115" s="796"/>
      <c r="I115" s="1259"/>
      <c r="J115" s="796"/>
      <c r="K115" s="1014"/>
      <c r="L115" s="1014"/>
    </row>
    <row r="116" spans="1:12" s="714" customFormat="1" ht="24" customHeight="1">
      <c r="A116" s="1166"/>
      <c r="B116" s="2475" t="str">
        <f>"รวมราคารายการที่ "&amp;A93</f>
        <v>รวมราคารายการที่ 6.4</v>
      </c>
      <c r="C116" s="2476"/>
      <c r="D116" s="2477"/>
      <c r="E116" s="1167"/>
      <c r="F116" s="1167"/>
      <c r="G116" s="1168"/>
      <c r="H116" s="1169">
        <f>SUM(H94:H115)</f>
        <v>222140</v>
      </c>
      <c r="I116" s="1170"/>
      <c r="J116" s="1169">
        <f>SUM(J94:J115)</f>
        <v>16250</v>
      </c>
      <c r="K116" s="1171">
        <f>SUM(K94:K115)</f>
        <v>238390</v>
      </c>
      <c r="L116" s="1171"/>
    </row>
    <row r="117" spans="1:12" s="714" customFormat="1" ht="24" customHeight="1">
      <c r="A117" s="1271" t="s">
        <v>1886</v>
      </c>
      <c r="B117" s="1272" t="s">
        <v>1887</v>
      </c>
      <c r="C117" s="1273"/>
      <c r="D117" s="1274"/>
      <c r="E117" s="1275"/>
      <c r="F117" s="1276"/>
      <c r="G117" s="1277"/>
      <c r="H117" s="788"/>
      <c r="I117" s="789"/>
      <c r="J117" s="788"/>
      <c r="K117" s="1256"/>
      <c r="L117" s="1278"/>
    </row>
    <row r="118" spans="1:12" s="714" customFormat="1" ht="24" customHeight="1">
      <c r="A118" s="1147" t="s">
        <v>1863</v>
      </c>
      <c r="B118" s="1148" t="s">
        <v>1888</v>
      </c>
      <c r="C118" s="1123"/>
      <c r="D118" s="1124"/>
      <c r="E118" s="1149"/>
      <c r="F118" s="1147"/>
      <c r="G118" s="1140"/>
      <c r="H118" s="796"/>
      <c r="I118" s="797"/>
      <c r="J118" s="796"/>
      <c r="K118" s="914"/>
      <c r="L118" s="1279"/>
    </row>
    <row r="119" spans="1:12" s="714" customFormat="1" ht="24" customHeight="1">
      <c r="A119" s="1280"/>
      <c r="B119" s="1281" t="s">
        <v>1889</v>
      </c>
      <c r="C119" s="1282"/>
      <c r="D119" s="1283"/>
      <c r="E119" s="1284">
        <v>1</v>
      </c>
      <c r="F119" s="1285" t="s">
        <v>19</v>
      </c>
      <c r="G119" s="1140">
        <v>1603600</v>
      </c>
      <c r="H119" s="796">
        <f>ROUND(E119*G119,)</f>
        <v>1603600</v>
      </c>
      <c r="I119" s="855"/>
      <c r="J119" s="796">
        <v>0</v>
      </c>
      <c r="K119" s="914">
        <f>H119+J119</f>
        <v>1603600</v>
      </c>
      <c r="L119" s="1007"/>
    </row>
    <row r="120" spans="1:12" s="714" customFormat="1" ht="24" customHeight="1">
      <c r="A120" s="1147"/>
      <c r="B120" s="1148" t="s">
        <v>1890</v>
      </c>
      <c r="C120" s="1123"/>
      <c r="D120" s="1124"/>
      <c r="E120" s="1149">
        <v>1</v>
      </c>
      <c r="F120" s="1147" t="s">
        <v>948</v>
      </c>
      <c r="G120" s="1140"/>
      <c r="H120" s="854"/>
      <c r="I120" s="855">
        <v>59000</v>
      </c>
      <c r="J120" s="796">
        <v>59000</v>
      </c>
      <c r="K120" s="914">
        <v>59000</v>
      </c>
      <c r="L120" s="1286"/>
    </row>
    <row r="121" spans="1:12" s="714" customFormat="1" ht="24" customHeight="1">
      <c r="A121" s="1147"/>
      <c r="B121" s="1148" t="s">
        <v>957</v>
      </c>
      <c r="C121" s="1123"/>
      <c r="D121" s="1124"/>
      <c r="E121" s="1149"/>
      <c r="F121" s="1147"/>
      <c r="G121" s="1140"/>
      <c r="H121" s="854"/>
      <c r="I121" s="855"/>
      <c r="J121" s="854"/>
      <c r="K121" s="912"/>
      <c r="L121" s="1286"/>
    </row>
    <row r="122" spans="1:12" s="714" customFormat="1" ht="24" customHeight="1">
      <c r="A122" s="1147"/>
      <c r="B122" s="1148" t="s">
        <v>958</v>
      </c>
      <c r="C122" s="1123"/>
      <c r="D122" s="1124"/>
      <c r="E122" s="1149"/>
      <c r="F122" s="1147"/>
      <c r="G122" s="1140"/>
      <c r="H122" s="854"/>
      <c r="I122" s="855"/>
      <c r="J122" s="854"/>
      <c r="K122" s="912"/>
      <c r="L122" s="1286"/>
    </row>
    <row r="123" spans="1:12" s="714" customFormat="1" ht="24" customHeight="1">
      <c r="A123" s="1166"/>
      <c r="B123" s="2475" t="str">
        <f>"รวมราคารายการที่ "&amp;A117</f>
        <v>รวมราคารายการที่ 6.5</v>
      </c>
      <c r="C123" s="2476"/>
      <c r="D123" s="2477"/>
      <c r="E123" s="1167"/>
      <c r="F123" s="1167"/>
      <c r="G123" s="1168"/>
      <c r="H123" s="1169">
        <f>SUM(H118:H122)</f>
        <v>1603600</v>
      </c>
      <c r="I123" s="1170"/>
      <c r="J123" s="1169">
        <f>SUM(J118:J122)</f>
        <v>59000</v>
      </c>
      <c r="K123" s="1171">
        <f>SUM(K118:K122)</f>
        <v>1662600</v>
      </c>
      <c r="L123" s="1226"/>
    </row>
    <row r="124" spans="1:12" s="714" customFormat="1" ht="24" customHeight="1">
      <c r="A124" s="1195">
        <v>6.6</v>
      </c>
      <c r="B124" s="1196" t="s">
        <v>1862</v>
      </c>
      <c r="C124" s="1197"/>
      <c r="D124" s="1198"/>
      <c r="E124" s="1199"/>
      <c r="F124" s="1230"/>
      <c r="G124" s="1201"/>
      <c r="H124" s="788"/>
      <c r="I124" s="789"/>
      <c r="J124" s="788"/>
      <c r="K124" s="1256"/>
      <c r="L124" s="965"/>
    </row>
    <row r="125" spans="1:12" s="714" customFormat="1" ht="24" customHeight="1">
      <c r="A125" s="1147" t="s">
        <v>1863</v>
      </c>
      <c r="B125" s="1148" t="s">
        <v>1864</v>
      </c>
      <c r="C125" s="1123"/>
      <c r="D125" s="1124"/>
      <c r="E125" s="1149">
        <v>4</v>
      </c>
      <c r="F125" s="1147" t="s">
        <v>240</v>
      </c>
      <c r="G125" s="1140">
        <v>2300</v>
      </c>
      <c r="H125" s="796">
        <f t="shared" ref="H125:H127" si="43">ROUND(E125*G125,)</f>
        <v>9200</v>
      </c>
      <c r="I125" s="797">
        <f>G125*0.1</f>
        <v>230</v>
      </c>
      <c r="J125" s="796">
        <f t="shared" ref="J125:J127" si="44">ROUND(I125*E125,)</f>
        <v>920</v>
      </c>
      <c r="K125" s="914">
        <f t="shared" ref="K125" si="45">H125+J125</f>
        <v>10120</v>
      </c>
      <c r="L125" s="1014"/>
    </row>
    <row r="126" spans="1:12" s="714" customFormat="1" ht="24" customHeight="1">
      <c r="A126" s="1147" t="s">
        <v>1865</v>
      </c>
      <c r="B126" s="1148" t="s">
        <v>1866</v>
      </c>
      <c r="C126" s="1123"/>
      <c r="D126" s="1124"/>
      <c r="E126" s="1149">
        <v>4</v>
      </c>
      <c r="F126" s="1147" t="s">
        <v>240</v>
      </c>
      <c r="G126" s="1140">
        <v>3400</v>
      </c>
      <c r="H126" s="796">
        <f t="shared" si="43"/>
        <v>13600</v>
      </c>
      <c r="I126" s="797">
        <f>G126*0.1</f>
        <v>340</v>
      </c>
      <c r="J126" s="796">
        <f t="shared" si="44"/>
        <v>1360</v>
      </c>
      <c r="K126" s="914">
        <f>H126+J126</f>
        <v>14960</v>
      </c>
      <c r="L126" s="1007"/>
    </row>
    <row r="127" spans="1:12" s="714" customFormat="1" ht="24" customHeight="1">
      <c r="A127" s="1147" t="s">
        <v>1867</v>
      </c>
      <c r="B127" s="1148" t="s">
        <v>1868</v>
      </c>
      <c r="C127" s="1123"/>
      <c r="D127" s="1124"/>
      <c r="E127" s="1149"/>
      <c r="F127" s="1147" t="s">
        <v>240</v>
      </c>
      <c r="G127" s="1249">
        <v>2400</v>
      </c>
      <c r="H127" s="864">
        <f t="shared" si="43"/>
        <v>0</v>
      </c>
      <c r="I127" s="865">
        <f>G127*0.1</f>
        <v>240</v>
      </c>
      <c r="J127" s="864">
        <f t="shared" si="44"/>
        <v>0</v>
      </c>
      <c r="K127" s="867">
        <f>H127+J127</f>
        <v>0</v>
      </c>
      <c r="L127" s="1030"/>
    </row>
    <row r="128" spans="1:12" s="714" customFormat="1" ht="24" customHeight="1">
      <c r="A128" s="1147"/>
      <c r="B128" s="1148" t="s">
        <v>957</v>
      </c>
      <c r="C128" s="1123"/>
      <c r="D128" s="1124"/>
      <c r="E128" s="1149"/>
      <c r="F128" s="1147"/>
      <c r="G128" s="1140"/>
      <c r="H128" s="854"/>
      <c r="I128" s="855"/>
      <c r="J128" s="854"/>
      <c r="K128" s="912"/>
      <c r="L128" s="1007"/>
    </row>
    <row r="129" spans="1:12" s="714" customFormat="1" ht="24" customHeight="1">
      <c r="A129" s="1147"/>
      <c r="B129" s="1148" t="s">
        <v>1102</v>
      </c>
      <c r="C129" s="1123"/>
      <c r="D129" s="1124"/>
      <c r="E129" s="1149"/>
      <c r="F129" s="1147"/>
      <c r="G129" s="1140"/>
      <c r="H129" s="854"/>
      <c r="I129" s="855"/>
      <c r="J129" s="854"/>
      <c r="K129" s="912"/>
      <c r="L129" s="1007"/>
    </row>
    <row r="130" spans="1:12">
      <c r="A130" s="1166"/>
      <c r="B130" s="2475" t="str">
        <f>"รวมราคารายการที่ "&amp;A124</f>
        <v>รวมราคารายการที่ 6.6</v>
      </c>
      <c r="C130" s="2476"/>
      <c r="D130" s="2477"/>
      <c r="E130" s="1167"/>
      <c r="F130" s="1167"/>
      <c r="G130" s="1168"/>
      <c r="H130" s="1169">
        <f>SUM(H125:H129)</f>
        <v>22800</v>
      </c>
      <c r="I130" s="1170"/>
      <c r="J130" s="1169">
        <f>SUM(J125:J129)</f>
        <v>2280</v>
      </c>
      <c r="K130" s="1171">
        <f>SUM(K125:K129)</f>
        <v>25080</v>
      </c>
      <c r="L130" s="1171"/>
    </row>
    <row r="131" spans="1:12">
      <c r="A131" s="1221">
        <v>6.7</v>
      </c>
      <c r="B131" s="1219" t="s">
        <v>1264</v>
      </c>
      <c r="C131" s="1209"/>
      <c r="D131" s="1210"/>
      <c r="E131" s="1211"/>
      <c r="F131" s="1221" t="s">
        <v>948</v>
      </c>
      <c r="G131" s="1262" t="s">
        <v>1876</v>
      </c>
      <c r="H131" s="796"/>
      <c r="I131" s="855"/>
      <c r="J131" s="796"/>
      <c r="K131" s="914"/>
      <c r="L131" s="1007"/>
    </row>
    <row r="132" spans="1:12">
      <c r="A132" s="1221"/>
      <c r="B132" s="1219"/>
      <c r="C132" s="1209"/>
      <c r="D132" s="1210"/>
      <c r="E132" s="1211"/>
      <c r="F132" s="1221"/>
      <c r="G132" s="1262"/>
      <c r="H132" s="796"/>
      <c r="I132" s="855"/>
      <c r="J132" s="796"/>
      <c r="K132" s="914"/>
      <c r="L132" s="1007"/>
    </row>
    <row r="133" spans="1:12">
      <c r="A133" s="1221"/>
      <c r="B133" s="1219"/>
      <c r="C133" s="1209"/>
      <c r="D133" s="1210"/>
      <c r="E133" s="1211"/>
      <c r="F133" s="1221"/>
      <c r="G133" s="1262"/>
      <c r="H133" s="796"/>
      <c r="I133" s="855"/>
      <c r="J133" s="796"/>
      <c r="K133" s="914"/>
      <c r="L133" s="1007"/>
    </row>
    <row r="134" spans="1:12">
      <c r="A134" s="1166"/>
      <c r="B134" s="2475" t="str">
        <f>"รวมราคารายการที่ "&amp;A131</f>
        <v>รวมราคารายการที่ 6.7</v>
      </c>
      <c r="C134" s="2476"/>
      <c r="D134" s="2477"/>
      <c r="E134" s="1167"/>
      <c r="F134" s="1167"/>
      <c r="G134" s="1168"/>
      <c r="H134" s="1169">
        <f>SUM(H131:H133)</f>
        <v>0</v>
      </c>
      <c r="I134" s="1170"/>
      <c r="J134" s="1169">
        <f>SUM(J131:J133)</f>
        <v>0</v>
      </c>
      <c r="K134" s="1171">
        <f>SUM(K131:K133)</f>
        <v>0</v>
      </c>
      <c r="L134" s="1171"/>
    </row>
  </sheetData>
  <mergeCells count="16">
    <mergeCell ref="L7:L8"/>
    <mergeCell ref="A9:A10"/>
    <mergeCell ref="B9:D10"/>
    <mergeCell ref="E9:E10"/>
    <mergeCell ref="F9:F10"/>
    <mergeCell ref="G9:H9"/>
    <mergeCell ref="I9:J9"/>
    <mergeCell ref="L9:L10"/>
    <mergeCell ref="B130:D130"/>
    <mergeCell ref="B134:D134"/>
    <mergeCell ref="B34:D34"/>
    <mergeCell ref="B59:D59"/>
    <mergeCell ref="B84:D84"/>
    <mergeCell ref="B92:D92"/>
    <mergeCell ref="B116:D116"/>
    <mergeCell ref="B123:D123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&amp;Rงานดับเพลิงและป้องกันอัคคีภัย ชั้น 1-อาคารสนับนุน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2C3C7-09B9-40E3-9076-90F6D0CC0E4A}">
  <sheetPr>
    <tabColor rgb="FFFF3399"/>
  </sheetPr>
  <dimension ref="A1:O146"/>
  <sheetViews>
    <sheetView showGridLines="0" tabSelected="1" view="pageBreakPreview" topLeftCell="A112" zoomScale="70" zoomScaleNormal="6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5859375" style="1" customWidth="1"/>
    <col min="13" max="91" width="7.703125" style="1" customWidth="1"/>
    <col min="92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1780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>
        <v>6</v>
      </c>
      <c r="B11" s="1144" t="s">
        <v>1891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/>
      <c r="B12" s="1151" t="str">
        <f>B35</f>
        <v>งานระบบดับเพลิงและป้องกันอัคคีภัย</v>
      </c>
      <c r="C12" s="1123"/>
      <c r="D12" s="1124"/>
      <c r="E12" s="1149"/>
      <c r="F12" s="1150"/>
      <c r="G12" s="710"/>
      <c r="H12" s="711"/>
      <c r="I12" s="712"/>
      <c r="J12" s="711"/>
      <c r="K12" s="1129"/>
      <c r="L12" s="1024"/>
    </row>
    <row r="13" spans="1:12" s="714" customFormat="1" ht="24" customHeight="1">
      <c r="A13" s="1147">
        <f>A36</f>
        <v>6.1</v>
      </c>
      <c r="B13" s="1148" t="str">
        <f>B36</f>
        <v>งานท่อน้ำ (Piping Work)</v>
      </c>
      <c r="C13" s="1123"/>
      <c r="D13" s="1124"/>
      <c r="E13" s="1149">
        <v>1</v>
      </c>
      <c r="F13" s="1150" t="s">
        <v>19</v>
      </c>
      <c r="G13" s="710"/>
      <c r="H13" s="711">
        <f>H59</f>
        <v>774767</v>
      </c>
      <c r="I13" s="712"/>
      <c r="J13" s="711">
        <f>J59</f>
        <v>335973</v>
      </c>
      <c r="K13" s="1129">
        <f t="shared" ref="K13:K18" si="0">SUM(H13:J13)</f>
        <v>1110740</v>
      </c>
      <c r="L13" s="1024"/>
    </row>
    <row r="14" spans="1:12" s="714" customFormat="1" ht="24" customHeight="1">
      <c r="A14" s="1147">
        <f>A60</f>
        <v>6.2</v>
      </c>
      <c r="B14" s="1148" t="str">
        <f>B60</f>
        <v>วาล์วและอุปกรณ์ (Valve &amp; Pipe Accessories)</v>
      </c>
      <c r="C14" s="1123"/>
      <c r="D14" s="1124"/>
      <c r="E14" s="1149">
        <v>1</v>
      </c>
      <c r="F14" s="1150" t="s">
        <v>19</v>
      </c>
      <c r="G14" s="710"/>
      <c r="H14" s="711">
        <f>H84</f>
        <v>212932</v>
      </c>
      <c r="I14" s="712"/>
      <c r="J14" s="711">
        <f>J84</f>
        <v>14000</v>
      </c>
      <c r="K14" s="1129">
        <f t="shared" si="0"/>
        <v>226932</v>
      </c>
      <c r="L14" s="1024"/>
    </row>
    <row r="15" spans="1:12" s="714" customFormat="1" ht="24" customHeight="1">
      <c r="A15" s="1147">
        <f>A85</f>
        <v>6.3</v>
      </c>
      <c r="B15" s="1148" t="str">
        <f>B85</f>
        <v>ระบบหัวกระจายน้ำดับเพลิง (Sprinkler System)</v>
      </c>
      <c r="C15" s="1123"/>
      <c r="D15" s="1124"/>
      <c r="E15" s="1149">
        <v>1</v>
      </c>
      <c r="F15" s="1150" t="s">
        <v>19</v>
      </c>
      <c r="G15" s="710"/>
      <c r="H15" s="711">
        <f>H99</f>
        <v>67320</v>
      </c>
      <c r="I15" s="712"/>
      <c r="J15" s="711">
        <f>J99</f>
        <v>39900</v>
      </c>
      <c r="K15" s="1129">
        <f t="shared" si="0"/>
        <v>107220</v>
      </c>
      <c r="L15" s="1024"/>
    </row>
    <row r="16" spans="1:12" s="714" customFormat="1" ht="24" customHeight="1">
      <c r="A16" s="1147">
        <f>A100</f>
        <v>6.4</v>
      </c>
      <c r="B16" s="1231" t="str">
        <f>B100</f>
        <v>ตู้ดับเพลิงและถังดับเพลิงชนิดมือถือ (Fire Hose Cabinet &amp; Portable Fire Extinguisher)</v>
      </c>
      <c r="C16" s="1197"/>
      <c r="D16" s="1198"/>
      <c r="E16" s="1149">
        <v>1</v>
      </c>
      <c r="F16" s="1200" t="s">
        <v>19</v>
      </c>
      <c r="G16" s="1263"/>
      <c r="H16" s="1264">
        <f>H123</f>
        <v>200340</v>
      </c>
      <c r="I16" s="1265"/>
      <c r="J16" s="1264">
        <f>J123</f>
        <v>10925</v>
      </c>
      <c r="K16" s="1129">
        <f t="shared" si="0"/>
        <v>211265</v>
      </c>
      <c r="L16" s="1266"/>
    </row>
    <row r="17" spans="1:12" s="714" customFormat="1" ht="24" customHeight="1">
      <c r="A17" s="1230">
        <f>A124</f>
        <v>6.5</v>
      </c>
      <c r="B17" s="1160" t="str">
        <f>B124</f>
        <v>ระบบไฟฟ้าและควบคุม (Electrical &amp; Control System) สำหรับระบบป้องกันอัคคีภัย</v>
      </c>
      <c r="C17" s="1161"/>
      <c r="D17" s="1162"/>
      <c r="E17" s="1149">
        <v>1</v>
      </c>
      <c r="F17" s="1163" t="s">
        <v>19</v>
      </c>
      <c r="G17" s="1164"/>
      <c r="H17" s="957">
        <f>H130</f>
        <v>22800</v>
      </c>
      <c r="I17" s="1165"/>
      <c r="J17" s="957">
        <f>J130</f>
        <v>2280</v>
      </c>
      <c r="K17" s="1129">
        <f t="shared" si="0"/>
        <v>25080</v>
      </c>
      <c r="L17" s="954"/>
    </row>
    <row r="18" spans="1:12" s="714" customFormat="1" ht="24" customHeight="1">
      <c r="A18" s="1147">
        <f>A131</f>
        <v>6.6</v>
      </c>
      <c r="B18" s="1148" t="str">
        <f>B131</f>
        <v>ระบบป้องกันไฟและควันลาม (Fire Barrier System)</v>
      </c>
      <c r="C18" s="1123"/>
      <c r="D18" s="1124"/>
      <c r="E18" s="1149">
        <v>1</v>
      </c>
      <c r="F18" s="1150" t="s">
        <v>19</v>
      </c>
      <c r="G18" s="710"/>
      <c r="H18" s="711">
        <f>H134</f>
        <v>0</v>
      </c>
      <c r="I18" s="712"/>
      <c r="J18" s="711">
        <f>J134</f>
        <v>0</v>
      </c>
      <c r="K18" s="1129">
        <f t="shared" si="0"/>
        <v>0</v>
      </c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3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3" s="714" customFormat="1" ht="30" customHeight="1">
      <c r="A34" s="1166"/>
      <c r="B34" s="2475" t="str">
        <f>"รวมราคา"&amp;B11</f>
        <v>รวมราคางานระบบดับเพลิงและป้องกันอัคคีภัย ชั้น 2</v>
      </c>
      <c r="C34" s="2476"/>
      <c r="D34" s="2477"/>
      <c r="E34" s="1167"/>
      <c r="F34" s="1167"/>
      <c r="G34" s="1168"/>
      <c r="H34" s="1169">
        <f>SUM(H12:H33)</f>
        <v>1278159</v>
      </c>
      <c r="I34" s="1170"/>
      <c r="J34" s="1169">
        <f>SUM(J12:J33)</f>
        <v>403078</v>
      </c>
      <c r="K34" s="1171">
        <f>SUM(K12:K33)</f>
        <v>1681237</v>
      </c>
      <c r="L34" s="1171"/>
      <c r="M34" s="729"/>
    </row>
    <row r="35" spans="1:13" s="714" customFormat="1" ht="24" customHeight="1">
      <c r="A35" s="1011"/>
      <c r="B35" s="1173" t="s">
        <v>31</v>
      </c>
      <c r="C35" s="859"/>
      <c r="D35" s="859"/>
      <c r="E35" s="1216"/>
      <c r="F35" s="852"/>
      <c r="G35" s="874"/>
      <c r="H35" s="854"/>
      <c r="I35" s="855"/>
      <c r="J35" s="854"/>
      <c r="K35" s="912"/>
      <c r="L35" s="912"/>
    </row>
    <row r="36" spans="1:13" s="714" customFormat="1" ht="24" customHeight="1">
      <c r="A36" s="1207">
        <v>6.1</v>
      </c>
      <c r="B36" s="1208" t="s">
        <v>1782</v>
      </c>
      <c r="C36" s="1238"/>
      <c r="D36" s="1210"/>
      <c r="E36" s="1211"/>
      <c r="F36" s="1212"/>
      <c r="G36" s="874"/>
      <c r="H36" s="854"/>
      <c r="I36" s="855"/>
      <c r="J36" s="854"/>
      <c r="K36" s="912"/>
      <c r="L36" s="912"/>
    </row>
    <row r="37" spans="1:13" s="714" customFormat="1" ht="24" customHeight="1">
      <c r="A37" s="1159" t="s">
        <v>1783</v>
      </c>
      <c r="B37" s="1160" t="s">
        <v>1878</v>
      </c>
      <c r="C37" s="1161"/>
      <c r="D37" s="1162"/>
      <c r="E37" s="1211"/>
      <c r="F37" s="1163"/>
      <c r="G37" s="1205"/>
      <c r="H37" s="796"/>
      <c r="I37" s="797"/>
      <c r="J37" s="796"/>
      <c r="K37" s="914"/>
      <c r="L37" s="914"/>
    </row>
    <row r="38" spans="1:13" s="714" customFormat="1" ht="24" customHeight="1">
      <c r="A38" s="1147"/>
      <c r="B38" s="1148" t="s">
        <v>1822</v>
      </c>
      <c r="C38" s="1123"/>
      <c r="D38" s="1124"/>
      <c r="E38" s="1287">
        <v>1373</v>
      </c>
      <c r="F38" s="1150" t="s">
        <v>438</v>
      </c>
      <c r="G38" s="1140">
        <v>78</v>
      </c>
      <c r="H38" s="796">
        <f t="shared" ref="H38:H51" si="1">ROUND(E38*G38,)</f>
        <v>107094</v>
      </c>
      <c r="I38" s="797">
        <v>45</v>
      </c>
      <c r="J38" s="796">
        <f t="shared" ref="J38:J51" si="2">ROUND(I38*E38,)</f>
        <v>61785</v>
      </c>
      <c r="K38" s="914">
        <f t="shared" ref="K38:K51" si="3">H38+J38</f>
        <v>168879</v>
      </c>
      <c r="L38" s="914"/>
    </row>
    <row r="39" spans="1:13" s="714" customFormat="1" ht="24" customHeight="1">
      <c r="A39" s="1147"/>
      <c r="B39" s="1148" t="s">
        <v>1186</v>
      </c>
      <c r="C39" s="1123"/>
      <c r="D39" s="1124"/>
      <c r="E39" s="1287">
        <v>168</v>
      </c>
      <c r="F39" s="1150" t="s">
        <v>438</v>
      </c>
      <c r="G39" s="1140">
        <v>105</v>
      </c>
      <c r="H39" s="796">
        <f t="shared" si="1"/>
        <v>17640</v>
      </c>
      <c r="I39" s="855">
        <v>60</v>
      </c>
      <c r="J39" s="796">
        <f t="shared" si="2"/>
        <v>10080</v>
      </c>
      <c r="K39" s="914">
        <f t="shared" si="3"/>
        <v>27720</v>
      </c>
      <c r="L39" s="912"/>
    </row>
    <row r="40" spans="1:13" s="714" customFormat="1" ht="24" customHeight="1">
      <c r="A40" s="1147"/>
      <c r="B40" s="1148" t="s">
        <v>1187</v>
      </c>
      <c r="C40" s="1123"/>
      <c r="D40" s="1124"/>
      <c r="E40" s="1287">
        <v>87</v>
      </c>
      <c r="F40" s="1150" t="s">
        <v>438</v>
      </c>
      <c r="G40" s="1244">
        <v>126</v>
      </c>
      <c r="H40" s="796">
        <f t="shared" si="1"/>
        <v>10962</v>
      </c>
      <c r="I40" s="1176">
        <v>70</v>
      </c>
      <c r="J40" s="796">
        <f t="shared" si="2"/>
        <v>6090</v>
      </c>
      <c r="K40" s="914">
        <f t="shared" si="3"/>
        <v>17052</v>
      </c>
      <c r="L40" s="912"/>
    </row>
    <row r="41" spans="1:13" s="714" customFormat="1" ht="24" customHeight="1">
      <c r="A41" s="1147"/>
      <c r="B41" s="1148" t="s">
        <v>1188</v>
      </c>
      <c r="C41" s="1123"/>
      <c r="D41" s="1124"/>
      <c r="E41" s="1287">
        <v>149</v>
      </c>
      <c r="F41" s="1150" t="s">
        <v>438</v>
      </c>
      <c r="G41" s="1244">
        <v>169</v>
      </c>
      <c r="H41" s="796">
        <f t="shared" si="1"/>
        <v>25181</v>
      </c>
      <c r="I41" s="1176">
        <v>95</v>
      </c>
      <c r="J41" s="796">
        <f t="shared" si="2"/>
        <v>14155</v>
      </c>
      <c r="K41" s="914">
        <f t="shared" si="3"/>
        <v>39336</v>
      </c>
      <c r="L41" s="912"/>
    </row>
    <row r="42" spans="1:13" s="714" customFormat="1" ht="24" customHeight="1">
      <c r="A42" s="1147"/>
      <c r="B42" s="1148" t="s">
        <v>1189</v>
      </c>
      <c r="C42" s="1123"/>
      <c r="D42" s="1124"/>
      <c r="E42" s="1287">
        <v>165</v>
      </c>
      <c r="F42" s="1150" t="s">
        <v>438</v>
      </c>
      <c r="G42" s="1244">
        <v>268</v>
      </c>
      <c r="H42" s="796">
        <f t="shared" si="1"/>
        <v>44220</v>
      </c>
      <c r="I42" s="1176">
        <v>150</v>
      </c>
      <c r="J42" s="796">
        <f t="shared" si="2"/>
        <v>24750</v>
      </c>
      <c r="K42" s="914">
        <f t="shared" si="3"/>
        <v>68970</v>
      </c>
      <c r="L42" s="912"/>
    </row>
    <row r="43" spans="1:13" s="714" customFormat="1" ht="24" customHeight="1">
      <c r="A43" s="1147"/>
      <c r="B43" s="1148" t="s">
        <v>1190</v>
      </c>
      <c r="C43" s="1123"/>
      <c r="D43" s="1124"/>
      <c r="E43" s="1287">
        <v>152</v>
      </c>
      <c r="F43" s="1150" t="s">
        <v>438</v>
      </c>
      <c r="G43" s="1244">
        <v>350</v>
      </c>
      <c r="H43" s="796">
        <f t="shared" si="1"/>
        <v>53200</v>
      </c>
      <c r="I43" s="1176">
        <v>200</v>
      </c>
      <c r="J43" s="796">
        <f t="shared" si="2"/>
        <v>30400</v>
      </c>
      <c r="K43" s="914">
        <f t="shared" si="3"/>
        <v>83600</v>
      </c>
      <c r="L43" s="912"/>
    </row>
    <row r="44" spans="1:13" s="714" customFormat="1" ht="24" customHeight="1">
      <c r="A44" s="1147"/>
      <c r="B44" s="1148" t="s">
        <v>1674</v>
      </c>
      <c r="C44" s="1123"/>
      <c r="D44" s="1124"/>
      <c r="E44" s="1287">
        <v>143</v>
      </c>
      <c r="F44" s="1150" t="s">
        <v>438</v>
      </c>
      <c r="G44" s="1244">
        <v>499</v>
      </c>
      <c r="H44" s="796">
        <f t="shared" si="1"/>
        <v>71357</v>
      </c>
      <c r="I44" s="1176">
        <v>280</v>
      </c>
      <c r="J44" s="796">
        <f t="shared" si="2"/>
        <v>40040</v>
      </c>
      <c r="K44" s="914">
        <f t="shared" si="3"/>
        <v>111397</v>
      </c>
      <c r="L44" s="912"/>
    </row>
    <row r="45" spans="1:13" s="714" customFormat="1" ht="24" customHeight="1">
      <c r="A45" s="1147"/>
      <c r="B45" s="1148" t="s">
        <v>1675</v>
      </c>
      <c r="C45" s="1123"/>
      <c r="D45" s="1124"/>
      <c r="E45" s="1287">
        <v>62</v>
      </c>
      <c r="F45" s="1150" t="s">
        <v>438</v>
      </c>
      <c r="G45" s="1244">
        <v>877</v>
      </c>
      <c r="H45" s="796">
        <f t="shared" si="1"/>
        <v>54374</v>
      </c>
      <c r="I45" s="1176">
        <v>500</v>
      </c>
      <c r="J45" s="796">
        <f t="shared" si="2"/>
        <v>31000</v>
      </c>
      <c r="K45" s="914">
        <f t="shared" si="3"/>
        <v>85374</v>
      </c>
      <c r="L45" s="912"/>
    </row>
    <row r="46" spans="1:13" s="714" customFormat="1" ht="24" customHeight="1">
      <c r="A46" s="1147"/>
      <c r="B46" s="1148" t="s">
        <v>1676</v>
      </c>
      <c r="C46" s="1123"/>
      <c r="D46" s="1124"/>
      <c r="E46" s="1254"/>
      <c r="F46" s="1150" t="s">
        <v>438</v>
      </c>
      <c r="G46" s="1244">
        <v>1361</v>
      </c>
      <c r="H46" s="796">
        <f t="shared" si="1"/>
        <v>0</v>
      </c>
      <c r="I46" s="1176">
        <v>560</v>
      </c>
      <c r="J46" s="796">
        <f t="shared" si="2"/>
        <v>0</v>
      </c>
      <c r="K46" s="914">
        <f t="shared" si="3"/>
        <v>0</v>
      </c>
      <c r="L46" s="912"/>
    </row>
    <row r="47" spans="1:13" s="714" customFormat="1" ht="24" customHeight="1">
      <c r="A47" s="1147"/>
      <c r="B47" s="1148" t="s">
        <v>1790</v>
      </c>
      <c r="C47" s="1123"/>
      <c r="D47" s="1124"/>
      <c r="E47" s="1254"/>
      <c r="F47" s="1150" t="s">
        <v>438</v>
      </c>
      <c r="G47" s="1244">
        <v>2212</v>
      </c>
      <c r="H47" s="796">
        <f t="shared" si="1"/>
        <v>0</v>
      </c>
      <c r="I47" s="1176">
        <v>700</v>
      </c>
      <c r="J47" s="796">
        <f t="shared" si="2"/>
        <v>0</v>
      </c>
      <c r="K47" s="914">
        <f t="shared" si="3"/>
        <v>0</v>
      </c>
      <c r="L47" s="912"/>
    </row>
    <row r="48" spans="1:13" s="714" customFormat="1" ht="24" customHeight="1">
      <c r="A48" s="1147"/>
      <c r="B48" s="1148" t="s">
        <v>1645</v>
      </c>
      <c r="C48" s="1123"/>
      <c r="D48" s="1124"/>
      <c r="E48" s="1288">
        <v>1</v>
      </c>
      <c r="F48" s="935" t="s">
        <v>948</v>
      </c>
      <c r="G48" s="1244">
        <f>ROUND(SUM(H38:H47)*40%,)</f>
        <v>153611</v>
      </c>
      <c r="H48" s="796">
        <f t="shared" si="1"/>
        <v>153611</v>
      </c>
      <c r="I48" s="1176">
        <f>ROUND(G48*0.3,)</f>
        <v>46083</v>
      </c>
      <c r="J48" s="796">
        <f t="shared" si="2"/>
        <v>46083</v>
      </c>
      <c r="K48" s="914">
        <f t="shared" si="3"/>
        <v>199694</v>
      </c>
      <c r="L48" s="912"/>
    </row>
    <row r="49" spans="1:15" s="714" customFormat="1" ht="24" customHeight="1">
      <c r="A49" s="1147"/>
      <c r="B49" s="1148" t="s">
        <v>1646</v>
      </c>
      <c r="C49" s="1123"/>
      <c r="D49" s="1124"/>
      <c r="E49" s="1288">
        <v>1</v>
      </c>
      <c r="F49" s="935" t="s">
        <v>948</v>
      </c>
      <c r="G49" s="1244">
        <f>ROUND(SUM(H38:H47)*20%,)</f>
        <v>76806</v>
      </c>
      <c r="H49" s="796">
        <f t="shared" si="1"/>
        <v>76806</v>
      </c>
      <c r="I49" s="1176">
        <f t="shared" ref="I49:I51" si="4">ROUND(G49*0.3,)</f>
        <v>23042</v>
      </c>
      <c r="J49" s="796">
        <f t="shared" si="2"/>
        <v>23042</v>
      </c>
      <c r="K49" s="914">
        <f t="shared" si="3"/>
        <v>99848</v>
      </c>
      <c r="L49" s="912"/>
    </row>
    <row r="50" spans="1:15" s="714" customFormat="1" ht="24" customHeight="1">
      <c r="A50" s="1147"/>
      <c r="B50" s="1148" t="s">
        <v>1647</v>
      </c>
      <c r="C50" s="1123"/>
      <c r="D50" s="1124"/>
      <c r="E50" s="1288">
        <v>1</v>
      </c>
      <c r="F50" s="935" t="s">
        <v>948</v>
      </c>
      <c r="G50" s="1244">
        <f>ROUND(SUM(H38:H47)*10%,)</f>
        <v>38403</v>
      </c>
      <c r="H50" s="796">
        <f t="shared" si="1"/>
        <v>38403</v>
      </c>
      <c r="I50" s="1176">
        <f t="shared" si="4"/>
        <v>11521</v>
      </c>
      <c r="J50" s="796">
        <f t="shared" si="2"/>
        <v>11521</v>
      </c>
      <c r="K50" s="914">
        <f t="shared" si="3"/>
        <v>49924</v>
      </c>
      <c r="L50" s="912"/>
    </row>
    <row r="51" spans="1:15" s="714" customFormat="1" ht="24" customHeight="1">
      <c r="A51" s="1159"/>
      <c r="B51" s="1148" t="s">
        <v>1791</v>
      </c>
      <c r="C51" s="1123"/>
      <c r="D51" s="1124"/>
      <c r="E51" s="1288">
        <v>1</v>
      </c>
      <c r="F51" s="935" t="s">
        <v>948</v>
      </c>
      <c r="G51" s="1244">
        <f>ROUND(SUM(H38:H47)*30%,)</f>
        <v>115208</v>
      </c>
      <c r="H51" s="796">
        <f t="shared" si="1"/>
        <v>115208</v>
      </c>
      <c r="I51" s="1176">
        <f t="shared" si="4"/>
        <v>34562</v>
      </c>
      <c r="J51" s="796">
        <f t="shared" si="2"/>
        <v>34562</v>
      </c>
      <c r="K51" s="914">
        <f t="shared" si="3"/>
        <v>149770</v>
      </c>
      <c r="L51" s="912"/>
    </row>
    <row r="52" spans="1:15" s="714" customFormat="1" ht="24" customHeight="1">
      <c r="A52" s="1159" t="s">
        <v>1792</v>
      </c>
      <c r="B52" s="1160" t="s">
        <v>1793</v>
      </c>
      <c r="C52" s="1161"/>
      <c r="D52" s="1190"/>
      <c r="E52" s="1245"/>
      <c r="F52" s="1162"/>
      <c r="G52" s="1205"/>
      <c r="H52" s="796"/>
      <c r="I52" s="797"/>
      <c r="J52" s="796"/>
      <c r="K52" s="914"/>
      <c r="L52" s="914"/>
    </row>
    <row r="53" spans="1:15" s="714" customFormat="1" ht="24" customHeight="1">
      <c r="A53" s="1147"/>
      <c r="B53" s="1148" t="s">
        <v>1185</v>
      </c>
      <c r="C53" s="1123"/>
      <c r="D53" s="1213"/>
      <c r="E53" s="1245">
        <v>5</v>
      </c>
      <c r="F53" s="1124" t="s">
        <v>438</v>
      </c>
      <c r="G53" s="1140">
        <v>124</v>
      </c>
      <c r="H53" s="796">
        <f>ROUND(E53*G53,)</f>
        <v>620</v>
      </c>
      <c r="I53" s="797">
        <v>50</v>
      </c>
      <c r="J53" s="796">
        <f t="shared" ref="J53:J57" si="5">ROUND(I53*E53,)</f>
        <v>250</v>
      </c>
      <c r="K53" s="914">
        <f t="shared" ref="K53:K57" si="6">H53+J53</f>
        <v>870</v>
      </c>
      <c r="L53" s="2273" t="s">
        <v>2974</v>
      </c>
      <c r="N53" s="714">
        <v>745.96</v>
      </c>
      <c r="O53" s="714">
        <f>ROUND(N53/6,)</f>
        <v>124</v>
      </c>
    </row>
    <row r="54" spans="1:15" s="714" customFormat="1" ht="24" customHeight="1">
      <c r="A54" s="1147"/>
      <c r="B54" s="1148" t="s">
        <v>1188</v>
      </c>
      <c r="C54" s="1123"/>
      <c r="D54" s="1124"/>
      <c r="E54" s="1245">
        <v>12</v>
      </c>
      <c r="F54" s="1150" t="s">
        <v>438</v>
      </c>
      <c r="G54" s="1140">
        <v>259</v>
      </c>
      <c r="H54" s="796">
        <f t="shared" ref="H54:H57" si="7">ROUND(E54*G54,)</f>
        <v>3108</v>
      </c>
      <c r="I54" s="906">
        <v>110</v>
      </c>
      <c r="J54" s="796">
        <f t="shared" si="5"/>
        <v>1320</v>
      </c>
      <c r="K54" s="914">
        <f t="shared" si="6"/>
        <v>4428</v>
      </c>
      <c r="L54" s="2273" t="s">
        <v>2974</v>
      </c>
      <c r="N54" s="714">
        <v>1554.48</v>
      </c>
      <c r="O54" s="714">
        <f>ROUND(N54/6,)</f>
        <v>259</v>
      </c>
    </row>
    <row r="55" spans="1:15" s="714" customFormat="1" ht="24" customHeight="1">
      <c r="A55" s="1147"/>
      <c r="B55" s="1148" t="s">
        <v>1645</v>
      </c>
      <c r="C55" s="1123"/>
      <c r="D55" s="1124"/>
      <c r="E55" s="1288">
        <v>1</v>
      </c>
      <c r="F55" s="935" t="s">
        <v>948</v>
      </c>
      <c r="G55" s="1244">
        <f>ROUND(SUM(H53:H54)*50%,)</f>
        <v>1864</v>
      </c>
      <c r="H55" s="796">
        <f t="shared" si="7"/>
        <v>1864</v>
      </c>
      <c r="I55" s="1176">
        <f>ROUND(G55*0.3,)</f>
        <v>559</v>
      </c>
      <c r="J55" s="796">
        <f t="shared" si="5"/>
        <v>559</v>
      </c>
      <c r="K55" s="914">
        <f t="shared" si="6"/>
        <v>2423</v>
      </c>
      <c r="L55" s="912"/>
    </row>
    <row r="56" spans="1:15" s="714" customFormat="1" ht="24" customHeight="1">
      <c r="A56" s="1147"/>
      <c r="B56" s="1148" t="s">
        <v>1646</v>
      </c>
      <c r="C56" s="1123"/>
      <c r="D56" s="1124"/>
      <c r="E56" s="1288">
        <v>1</v>
      </c>
      <c r="F56" s="935" t="s">
        <v>948</v>
      </c>
      <c r="G56" s="1244">
        <f>ROUND(SUM(H53:H54)*20%,)</f>
        <v>746</v>
      </c>
      <c r="H56" s="796">
        <f t="shared" si="7"/>
        <v>746</v>
      </c>
      <c r="I56" s="1176">
        <f t="shared" ref="I56:I57" si="8">ROUND(G56*0.3,)</f>
        <v>224</v>
      </c>
      <c r="J56" s="796">
        <f t="shared" si="5"/>
        <v>224</v>
      </c>
      <c r="K56" s="914">
        <f t="shared" si="6"/>
        <v>970</v>
      </c>
      <c r="L56" s="912"/>
    </row>
    <row r="57" spans="1:15" s="714" customFormat="1" ht="24" customHeight="1">
      <c r="A57" s="1147"/>
      <c r="B57" s="1148" t="s">
        <v>1647</v>
      </c>
      <c r="C57" s="1123"/>
      <c r="D57" s="1124"/>
      <c r="E57" s="1288">
        <v>1</v>
      </c>
      <c r="F57" s="935" t="s">
        <v>948</v>
      </c>
      <c r="G57" s="1244">
        <f>ROUND(SUM(H53:H54)*10%,)</f>
        <v>373</v>
      </c>
      <c r="H57" s="796">
        <f t="shared" si="7"/>
        <v>373</v>
      </c>
      <c r="I57" s="1176">
        <f t="shared" si="8"/>
        <v>112</v>
      </c>
      <c r="J57" s="796">
        <f t="shared" si="5"/>
        <v>112</v>
      </c>
      <c r="K57" s="914">
        <f t="shared" si="6"/>
        <v>485</v>
      </c>
      <c r="L57" s="912"/>
    </row>
    <row r="58" spans="1:15" s="714" customFormat="1" ht="24" customHeight="1">
      <c r="A58" s="1147"/>
      <c r="B58" s="1148" t="s">
        <v>957</v>
      </c>
      <c r="C58" s="1123"/>
      <c r="D58" s="1124"/>
      <c r="E58" s="1149"/>
      <c r="F58" s="1150"/>
      <c r="G58" s="1140"/>
      <c r="H58" s="854"/>
      <c r="I58" s="855"/>
      <c r="J58" s="854"/>
      <c r="K58" s="912"/>
      <c r="L58" s="912"/>
    </row>
    <row r="59" spans="1:15" s="714" customFormat="1" ht="24" customHeight="1">
      <c r="A59" s="1166"/>
      <c r="B59" s="2475" t="str">
        <f>"รวมราคารายการที่ "&amp;A36</f>
        <v>รวมราคารายการที่ 6.1</v>
      </c>
      <c r="C59" s="2476"/>
      <c r="D59" s="2477"/>
      <c r="E59" s="1167"/>
      <c r="F59" s="1167"/>
      <c r="G59" s="1168"/>
      <c r="H59" s="1169">
        <f>SUM(H37:H58)</f>
        <v>774767</v>
      </c>
      <c r="I59" s="1170"/>
      <c r="J59" s="1169">
        <f>SUM(J37:J58)</f>
        <v>335973</v>
      </c>
      <c r="K59" s="1171">
        <f>SUM(K37:K58)</f>
        <v>1110740</v>
      </c>
      <c r="L59" s="1171"/>
    </row>
    <row r="60" spans="1:15" s="714" customFormat="1" ht="24" customHeight="1">
      <c r="A60" s="1207">
        <v>6.2</v>
      </c>
      <c r="B60" s="1208" t="s">
        <v>1794</v>
      </c>
      <c r="C60" s="1209"/>
      <c r="D60" s="1210"/>
      <c r="E60" s="1211"/>
      <c r="F60" s="1212"/>
      <c r="G60" s="874"/>
      <c r="H60" s="854"/>
      <c r="I60" s="855"/>
      <c r="J60" s="854"/>
      <c r="K60" s="912"/>
      <c r="L60" s="912"/>
    </row>
    <row r="61" spans="1:15" s="714" customFormat="1" ht="24" customHeight="1">
      <c r="A61" s="1147" t="s">
        <v>1795</v>
      </c>
      <c r="B61" s="1148" t="s">
        <v>1823</v>
      </c>
      <c r="C61" s="1123"/>
      <c r="D61" s="1124"/>
      <c r="E61" s="1149"/>
      <c r="F61" s="1150"/>
      <c r="G61" s="1140"/>
      <c r="H61" s="796">
        <f t="shared" ref="H61:H62" si="9">ROUND(E61*G61,)</f>
        <v>0</v>
      </c>
      <c r="I61" s="855"/>
      <c r="J61" s="796">
        <f t="shared" ref="J61:J62" si="10">ROUND(I61*E61,)</f>
        <v>0</v>
      </c>
      <c r="K61" s="912"/>
      <c r="L61" s="912"/>
    </row>
    <row r="62" spans="1:15" s="714" customFormat="1" ht="24" customHeight="1">
      <c r="A62" s="1147"/>
      <c r="B62" s="1148" t="s">
        <v>1185</v>
      </c>
      <c r="C62" s="1123"/>
      <c r="D62" s="1124"/>
      <c r="E62" s="1149">
        <v>8</v>
      </c>
      <c r="F62" s="1150" t="s">
        <v>240</v>
      </c>
      <c r="G62" s="1140">
        <v>400</v>
      </c>
      <c r="H62" s="796">
        <f t="shared" si="9"/>
        <v>3200</v>
      </c>
      <c r="I62" s="855">
        <v>200</v>
      </c>
      <c r="J62" s="796">
        <f t="shared" si="10"/>
        <v>1600</v>
      </c>
      <c r="K62" s="914">
        <f t="shared" ref="K62" si="11">H62+J62</f>
        <v>4800</v>
      </c>
      <c r="L62" s="912"/>
    </row>
    <row r="63" spans="1:15" s="714" customFormat="1" ht="24" customHeight="1">
      <c r="A63" s="1147" t="s">
        <v>1797</v>
      </c>
      <c r="B63" s="1148" t="s">
        <v>1824</v>
      </c>
      <c r="C63" s="1123"/>
      <c r="D63" s="1124"/>
      <c r="E63" s="1149"/>
      <c r="F63" s="1150"/>
      <c r="G63" s="1140"/>
      <c r="H63" s="854"/>
      <c r="I63" s="855"/>
      <c r="J63" s="854"/>
      <c r="K63" s="912"/>
      <c r="L63" s="912"/>
    </row>
    <row r="64" spans="1:15" s="714" customFormat="1" ht="24" customHeight="1">
      <c r="A64" s="1147"/>
      <c r="B64" s="1148" t="s">
        <v>1675</v>
      </c>
      <c r="C64" s="1123"/>
      <c r="D64" s="1124"/>
      <c r="E64" s="1149">
        <v>4</v>
      </c>
      <c r="F64" s="1150" t="s">
        <v>240</v>
      </c>
      <c r="G64" s="1140">
        <v>13100</v>
      </c>
      <c r="H64" s="796">
        <f t="shared" ref="H64:H67" si="12">ROUND(E64*G64,)</f>
        <v>52400</v>
      </c>
      <c r="I64" s="855">
        <v>1200</v>
      </c>
      <c r="J64" s="796">
        <f t="shared" ref="J64:J67" si="13">ROUND(I64*E64,)</f>
        <v>4800</v>
      </c>
      <c r="K64" s="914">
        <f t="shared" ref="K64:K67" si="14">H64+J64</f>
        <v>57200</v>
      </c>
      <c r="L64" s="912"/>
    </row>
    <row r="65" spans="1:12" s="714" customFormat="1" ht="24" customHeight="1">
      <c r="A65" s="1147" t="s">
        <v>1799</v>
      </c>
      <c r="B65" s="1148" t="s">
        <v>1825</v>
      </c>
      <c r="C65" s="1123"/>
      <c r="D65" s="1124"/>
      <c r="E65" s="1149"/>
      <c r="F65" s="1150"/>
      <c r="G65" s="1140"/>
      <c r="H65" s="796"/>
      <c r="I65" s="855"/>
      <c r="J65" s="796"/>
      <c r="K65" s="914"/>
      <c r="L65" s="912"/>
    </row>
    <row r="66" spans="1:12" s="714" customFormat="1" ht="24" customHeight="1">
      <c r="A66" s="1147"/>
      <c r="B66" s="1148" t="s">
        <v>1788</v>
      </c>
      <c r="C66" s="1123"/>
      <c r="D66" s="1124"/>
      <c r="E66" s="1149">
        <v>4</v>
      </c>
      <c r="F66" s="1150" t="s">
        <v>240</v>
      </c>
      <c r="G66" s="1140">
        <v>1963</v>
      </c>
      <c r="H66" s="796">
        <f t="shared" ref="H66" si="15">ROUND(E66*G66,)</f>
        <v>7852</v>
      </c>
      <c r="I66" s="855">
        <v>400</v>
      </c>
      <c r="J66" s="796">
        <f t="shared" ref="J66" si="16">ROUND(I66*E66,)</f>
        <v>1600</v>
      </c>
      <c r="K66" s="914">
        <f t="shared" ref="K66" si="17">H66+J66</f>
        <v>9452</v>
      </c>
      <c r="L66" s="912"/>
    </row>
    <row r="67" spans="1:12" s="714" customFormat="1" ht="24" customHeight="1">
      <c r="A67" s="1147" t="s">
        <v>1801</v>
      </c>
      <c r="B67" s="1148" t="s">
        <v>1826</v>
      </c>
      <c r="C67" s="1123"/>
      <c r="D67" s="1124"/>
      <c r="E67" s="1149">
        <v>4</v>
      </c>
      <c r="F67" s="1150" t="s">
        <v>240</v>
      </c>
      <c r="G67" s="1140">
        <v>900</v>
      </c>
      <c r="H67" s="796">
        <f t="shared" si="12"/>
        <v>3600</v>
      </c>
      <c r="I67" s="855">
        <v>100</v>
      </c>
      <c r="J67" s="796">
        <f t="shared" si="13"/>
        <v>400</v>
      </c>
      <c r="K67" s="914">
        <f t="shared" si="14"/>
        <v>4000</v>
      </c>
      <c r="L67" s="912"/>
    </row>
    <row r="68" spans="1:12" s="714" customFormat="1" ht="24" customHeight="1">
      <c r="A68" s="1147" t="s">
        <v>1803</v>
      </c>
      <c r="B68" s="1148" t="s">
        <v>1827</v>
      </c>
      <c r="C68" s="1123"/>
      <c r="D68" s="1124"/>
      <c r="E68" s="1149"/>
      <c r="F68" s="1150"/>
      <c r="G68" s="1140"/>
      <c r="H68" s="854"/>
      <c r="I68" s="855"/>
      <c r="J68" s="854"/>
      <c r="K68" s="912"/>
      <c r="L68" s="912"/>
    </row>
    <row r="69" spans="1:12" s="714" customFormat="1" ht="24" customHeight="1">
      <c r="A69" s="1147"/>
      <c r="B69" s="1148" t="s">
        <v>1675</v>
      </c>
      <c r="C69" s="1123"/>
      <c r="D69" s="1124"/>
      <c r="E69" s="1149">
        <v>4</v>
      </c>
      <c r="F69" s="1150" t="s">
        <v>240</v>
      </c>
      <c r="G69" s="1140">
        <v>17400</v>
      </c>
      <c r="H69" s="796">
        <f t="shared" ref="H69" si="18">ROUND(E69*G69,)</f>
        <v>69600</v>
      </c>
      <c r="I69" s="855">
        <v>1200</v>
      </c>
      <c r="J69" s="796">
        <f t="shared" ref="J69" si="19">ROUND(I69*E69,)</f>
        <v>4800</v>
      </c>
      <c r="K69" s="914">
        <f t="shared" ref="K69" si="20">H69+J69</f>
        <v>74400</v>
      </c>
      <c r="L69" s="912"/>
    </row>
    <row r="70" spans="1:12" s="714" customFormat="1" ht="24" customHeight="1">
      <c r="A70" s="1147" t="s">
        <v>1805</v>
      </c>
      <c r="B70" s="1148" t="s">
        <v>1717</v>
      </c>
      <c r="C70" s="1123"/>
      <c r="D70" s="1124"/>
      <c r="E70" s="1149"/>
      <c r="F70" s="1150"/>
      <c r="G70" s="1140"/>
      <c r="H70" s="854"/>
      <c r="I70" s="855"/>
      <c r="J70" s="854"/>
      <c r="K70" s="912"/>
      <c r="L70" s="912"/>
    </row>
    <row r="71" spans="1:12" s="714" customFormat="1" ht="24" customHeight="1">
      <c r="A71" s="1147"/>
      <c r="B71" s="1148" t="s">
        <v>1785</v>
      </c>
      <c r="C71" s="1123"/>
      <c r="D71" s="1124"/>
      <c r="E71" s="1149">
        <v>4</v>
      </c>
      <c r="F71" s="1150" t="s">
        <v>240</v>
      </c>
      <c r="G71" s="1140">
        <v>1010</v>
      </c>
      <c r="H71" s="796">
        <f t="shared" ref="H71" si="21">ROUND(E71*G71,)</f>
        <v>4040</v>
      </c>
      <c r="I71" s="855">
        <v>100</v>
      </c>
      <c r="J71" s="796">
        <f t="shared" ref="J71" si="22">ROUND(I71*E71,)</f>
        <v>400</v>
      </c>
      <c r="K71" s="914">
        <f t="shared" ref="K71" si="23">H71+J71</f>
        <v>4440</v>
      </c>
      <c r="L71" s="912"/>
    </row>
    <row r="72" spans="1:12" s="714" customFormat="1" ht="24" customHeight="1">
      <c r="A72" s="1147" t="s">
        <v>1807</v>
      </c>
      <c r="B72" s="1148" t="s">
        <v>1806</v>
      </c>
      <c r="C72" s="1123"/>
      <c r="D72" s="1124"/>
      <c r="E72" s="1149"/>
      <c r="F72" s="1150"/>
      <c r="G72" s="1140"/>
      <c r="H72" s="854"/>
      <c r="I72" s="855"/>
      <c r="J72" s="854"/>
      <c r="K72" s="912"/>
      <c r="L72" s="912"/>
    </row>
    <row r="73" spans="1:12" s="714" customFormat="1" ht="24" customHeight="1">
      <c r="A73" s="1147"/>
      <c r="B73" s="1148" t="s">
        <v>1785</v>
      </c>
      <c r="C73" s="1123"/>
      <c r="D73" s="1124"/>
      <c r="E73" s="1149">
        <v>4</v>
      </c>
      <c r="F73" s="1150" t="s">
        <v>240</v>
      </c>
      <c r="G73" s="1249">
        <v>18060</v>
      </c>
      <c r="H73" s="796">
        <f t="shared" ref="H73" si="24">ROUND(E73*G73,)</f>
        <v>72240</v>
      </c>
      <c r="I73" s="855">
        <v>100</v>
      </c>
      <c r="J73" s="796">
        <f t="shared" ref="J73" si="25">ROUND(I73*E73,)</f>
        <v>400</v>
      </c>
      <c r="K73" s="914">
        <f t="shared" ref="K73" si="26">H73+J73</f>
        <v>72640</v>
      </c>
      <c r="L73" s="912"/>
    </row>
    <row r="74" spans="1:12" s="714" customFormat="1" ht="24" customHeight="1">
      <c r="A74" s="1147"/>
      <c r="B74" s="1148" t="s">
        <v>957</v>
      </c>
      <c r="C74" s="1123"/>
      <c r="D74" s="1124"/>
      <c r="E74" s="1149"/>
      <c r="F74" s="1150"/>
      <c r="G74" s="1140"/>
      <c r="H74" s="854"/>
      <c r="I74" s="855"/>
      <c r="J74" s="854"/>
      <c r="K74" s="912"/>
      <c r="L74" s="912"/>
    </row>
    <row r="75" spans="1:12" s="714" customFormat="1" ht="24" customHeight="1">
      <c r="A75" s="1147"/>
      <c r="B75" s="1148" t="s">
        <v>1102</v>
      </c>
      <c r="C75" s="1123"/>
      <c r="D75" s="1124"/>
      <c r="E75" s="1149"/>
      <c r="F75" s="1150"/>
      <c r="G75" s="1140"/>
      <c r="H75" s="854"/>
      <c r="I75" s="855"/>
      <c r="J75" s="854"/>
      <c r="K75" s="912"/>
      <c r="L75" s="912"/>
    </row>
    <row r="76" spans="1:12" s="714" customFormat="1" ht="24" customHeight="1">
      <c r="A76" s="1147"/>
      <c r="B76" s="1148" t="s">
        <v>1102</v>
      </c>
      <c r="C76" s="1123"/>
      <c r="D76" s="1124"/>
      <c r="E76" s="1149"/>
      <c r="F76" s="1150"/>
      <c r="G76" s="1140"/>
      <c r="H76" s="854"/>
      <c r="I76" s="855"/>
      <c r="J76" s="854"/>
      <c r="K76" s="912"/>
      <c r="L76" s="912"/>
    </row>
    <row r="77" spans="1:12" s="714" customFormat="1" ht="24" customHeight="1">
      <c r="A77" s="1147"/>
      <c r="B77" s="1160"/>
      <c r="C77" s="1123"/>
      <c r="D77" s="1190"/>
      <c r="E77" s="1149"/>
      <c r="F77" s="1210"/>
      <c r="G77" s="1140"/>
      <c r="H77" s="854"/>
      <c r="I77" s="855"/>
      <c r="J77" s="854"/>
      <c r="K77" s="912"/>
      <c r="L77" s="912"/>
    </row>
    <row r="78" spans="1:12" s="714" customFormat="1" ht="24" customHeight="1">
      <c r="A78" s="1147"/>
      <c r="B78" s="1160"/>
      <c r="C78" s="1123"/>
      <c r="D78" s="1190"/>
      <c r="E78" s="1149"/>
      <c r="F78" s="1210"/>
      <c r="G78" s="1140"/>
      <c r="H78" s="854"/>
      <c r="I78" s="855"/>
      <c r="J78" s="854"/>
      <c r="K78" s="912"/>
      <c r="L78" s="912"/>
    </row>
    <row r="79" spans="1:12" s="714" customFormat="1" ht="24" customHeight="1">
      <c r="A79" s="1147"/>
      <c r="B79" s="1160"/>
      <c r="C79" s="1123"/>
      <c r="D79" s="1190"/>
      <c r="E79" s="1149"/>
      <c r="F79" s="1210"/>
      <c r="G79" s="1140"/>
      <c r="H79" s="854"/>
      <c r="I79" s="855"/>
      <c r="J79" s="854"/>
      <c r="K79" s="912"/>
      <c r="L79" s="912"/>
    </row>
    <row r="80" spans="1:12" s="714" customFormat="1" ht="24" customHeight="1">
      <c r="A80" s="1147"/>
      <c r="B80" s="1160"/>
      <c r="C80" s="1123"/>
      <c r="D80" s="1190"/>
      <c r="E80" s="1149"/>
      <c r="F80" s="1210"/>
      <c r="G80" s="1140"/>
      <c r="H80" s="854"/>
      <c r="I80" s="855"/>
      <c r="J80" s="854"/>
      <c r="K80" s="912"/>
      <c r="L80" s="912"/>
    </row>
    <row r="81" spans="1:12" s="714" customFormat="1" ht="24" customHeight="1">
      <c r="A81" s="1147"/>
      <c r="B81" s="1160"/>
      <c r="C81" s="1123"/>
      <c r="D81" s="1190"/>
      <c r="E81" s="1149"/>
      <c r="F81" s="1210"/>
      <c r="G81" s="1140"/>
      <c r="H81" s="854"/>
      <c r="I81" s="855"/>
      <c r="J81" s="854"/>
      <c r="K81" s="912"/>
      <c r="L81" s="912"/>
    </row>
    <row r="82" spans="1:12" s="714" customFormat="1" ht="24" customHeight="1">
      <c r="A82" s="1147"/>
      <c r="B82" s="1160"/>
      <c r="C82" s="1123"/>
      <c r="D82" s="1190"/>
      <c r="E82" s="1149"/>
      <c r="F82" s="1210"/>
      <c r="G82" s="1140"/>
      <c r="H82" s="854"/>
      <c r="I82" s="855"/>
      <c r="J82" s="854"/>
      <c r="K82" s="912"/>
      <c r="L82" s="912"/>
    </row>
    <row r="83" spans="1:12" s="714" customFormat="1" ht="24" customHeight="1">
      <c r="A83" s="1147"/>
      <c r="B83" s="1160"/>
      <c r="C83" s="1123"/>
      <c r="D83" s="1190"/>
      <c r="E83" s="1149"/>
      <c r="F83" s="1210"/>
      <c r="G83" s="1140"/>
      <c r="H83" s="854"/>
      <c r="I83" s="855"/>
      <c r="J83" s="854"/>
      <c r="K83" s="912"/>
      <c r="L83" s="912"/>
    </row>
    <row r="84" spans="1:12" s="714" customFormat="1" ht="24" customHeight="1">
      <c r="A84" s="1166"/>
      <c r="B84" s="2475" t="str">
        <f>"รวมราคารายการที่ "&amp;A60</f>
        <v>รวมราคารายการที่ 6.2</v>
      </c>
      <c r="C84" s="2476"/>
      <c r="D84" s="2477"/>
      <c r="E84" s="1167"/>
      <c r="F84" s="1167"/>
      <c r="G84" s="1168"/>
      <c r="H84" s="1169">
        <f>SUM(H61:H83)</f>
        <v>212932</v>
      </c>
      <c r="I84" s="1170"/>
      <c r="J84" s="1169">
        <f>SUM(J61:J83)</f>
        <v>14000</v>
      </c>
      <c r="K84" s="1171">
        <f>SUM(K61:K83)</f>
        <v>226932</v>
      </c>
      <c r="L84" s="1171"/>
    </row>
    <row r="85" spans="1:12" s="714" customFormat="1" ht="24" customHeight="1">
      <c r="A85" s="1207">
        <v>6.3</v>
      </c>
      <c r="B85" s="1208" t="s">
        <v>1828</v>
      </c>
      <c r="C85" s="1209"/>
      <c r="D85" s="1210"/>
      <c r="E85" s="1211"/>
      <c r="F85" s="1221"/>
      <c r="G85" s="1221"/>
      <c r="H85" s="854"/>
      <c r="I85" s="855"/>
      <c r="J85" s="854"/>
      <c r="K85" s="912"/>
      <c r="L85" s="912"/>
    </row>
    <row r="86" spans="1:12" s="714" customFormat="1" ht="24" customHeight="1">
      <c r="A86" s="1147" t="s">
        <v>1829</v>
      </c>
      <c r="B86" s="1148" t="s">
        <v>1830</v>
      </c>
      <c r="C86" s="1123"/>
      <c r="D86" s="1124"/>
      <c r="E86" s="1149">
        <v>524</v>
      </c>
      <c r="F86" s="1147" t="s">
        <v>240</v>
      </c>
      <c r="G86" s="1289">
        <v>126</v>
      </c>
      <c r="H86" s="796">
        <f t="shared" ref="H86:H89" si="27">ROUND(E86*G86,)</f>
        <v>66024</v>
      </c>
      <c r="I86" s="855">
        <v>75</v>
      </c>
      <c r="J86" s="796">
        <f t="shared" ref="J86:J89" si="28">ROUND(I86*E86,)</f>
        <v>39300</v>
      </c>
      <c r="K86" s="914">
        <f>H86+J86</f>
        <v>105324</v>
      </c>
      <c r="L86" s="912"/>
    </row>
    <row r="87" spans="1:12" s="714" customFormat="1" ht="24" customHeight="1">
      <c r="A87" s="1147" t="s">
        <v>1831</v>
      </c>
      <c r="B87" s="1148" t="s">
        <v>1832</v>
      </c>
      <c r="C87" s="1123"/>
      <c r="D87" s="1124"/>
      <c r="E87" s="1149"/>
      <c r="F87" s="1147" t="s">
        <v>240</v>
      </c>
      <c r="G87" s="1289"/>
      <c r="H87" s="796"/>
      <c r="I87" s="855"/>
      <c r="J87" s="796"/>
      <c r="K87" s="914"/>
      <c r="L87" s="912"/>
    </row>
    <row r="88" spans="1:12" s="714" customFormat="1" ht="24" customHeight="1">
      <c r="A88" s="1147" t="s">
        <v>1833</v>
      </c>
      <c r="B88" s="1148" t="s">
        <v>1881</v>
      </c>
      <c r="C88" s="1123"/>
      <c r="D88" s="1124"/>
      <c r="E88" s="1149"/>
      <c r="F88" s="1147" t="s">
        <v>240</v>
      </c>
      <c r="G88" s="1289"/>
      <c r="H88" s="796"/>
      <c r="I88" s="906"/>
      <c r="J88" s="796"/>
      <c r="K88" s="914"/>
      <c r="L88" s="912"/>
    </row>
    <row r="89" spans="1:12" s="714" customFormat="1" ht="24" customHeight="1">
      <c r="A89" s="1147" t="s">
        <v>1835</v>
      </c>
      <c r="B89" s="1148" t="s">
        <v>1834</v>
      </c>
      <c r="C89" s="1123"/>
      <c r="D89" s="1124"/>
      <c r="E89" s="1149">
        <v>12</v>
      </c>
      <c r="F89" s="1147" t="s">
        <v>240</v>
      </c>
      <c r="G89" s="1289">
        <v>108</v>
      </c>
      <c r="H89" s="796">
        <f t="shared" si="27"/>
        <v>1296</v>
      </c>
      <c r="I89" s="855">
        <v>50</v>
      </c>
      <c r="J89" s="796">
        <f t="shared" si="28"/>
        <v>600</v>
      </c>
      <c r="K89" s="914">
        <f>H89+J89</f>
        <v>1896</v>
      </c>
      <c r="L89" s="912"/>
    </row>
    <row r="90" spans="1:12" s="714" customFormat="1" ht="24" customHeight="1">
      <c r="A90" s="1147" t="s">
        <v>1837</v>
      </c>
      <c r="B90" s="1148" t="s">
        <v>1882</v>
      </c>
      <c r="C90" s="1123"/>
      <c r="D90" s="1124"/>
      <c r="E90" s="1149"/>
      <c r="F90" s="1147"/>
      <c r="G90" s="1147"/>
      <c r="H90" s="854"/>
      <c r="I90" s="855"/>
      <c r="J90" s="854"/>
      <c r="K90" s="912"/>
      <c r="L90" s="912"/>
    </row>
    <row r="91" spans="1:12" s="714" customFormat="1" ht="24" customHeight="1">
      <c r="A91" s="1147"/>
      <c r="B91" s="1148"/>
      <c r="C91" s="1123"/>
      <c r="D91" s="1124"/>
      <c r="E91" s="1149"/>
      <c r="F91" s="1147"/>
      <c r="G91" s="1147"/>
      <c r="H91" s="854"/>
      <c r="I91" s="855"/>
      <c r="J91" s="854"/>
      <c r="K91" s="912"/>
      <c r="L91" s="912"/>
    </row>
    <row r="92" spans="1:12" s="714" customFormat="1" ht="24" customHeight="1">
      <c r="A92" s="1147"/>
      <c r="B92" s="1148"/>
      <c r="C92" s="1123"/>
      <c r="D92" s="1124"/>
      <c r="E92" s="1149"/>
      <c r="F92" s="1147"/>
      <c r="G92" s="1289"/>
      <c r="H92" s="796"/>
      <c r="I92" s="855"/>
      <c r="J92" s="796"/>
      <c r="K92" s="914"/>
      <c r="L92" s="912"/>
    </row>
    <row r="93" spans="1:12" s="714" customFormat="1" ht="24" customHeight="1">
      <c r="A93" s="1147"/>
      <c r="B93" s="1148"/>
      <c r="C93" s="1123"/>
      <c r="D93" s="1124"/>
      <c r="E93" s="1149"/>
      <c r="F93" s="1147"/>
      <c r="G93" s="1289"/>
      <c r="H93" s="796"/>
      <c r="I93" s="855"/>
      <c r="J93" s="796"/>
      <c r="K93" s="914"/>
      <c r="L93" s="912"/>
    </row>
    <row r="94" spans="1:12" s="714" customFormat="1" ht="24" customHeight="1">
      <c r="A94" s="1147"/>
      <c r="B94" s="1148"/>
      <c r="C94" s="1123"/>
      <c r="D94" s="1124"/>
      <c r="E94" s="1149"/>
      <c r="F94" s="1147"/>
      <c r="G94" s="1289"/>
      <c r="H94" s="796"/>
      <c r="I94" s="855"/>
      <c r="J94" s="796"/>
      <c r="K94" s="914"/>
      <c r="L94" s="912"/>
    </row>
    <row r="95" spans="1:12" s="714" customFormat="1" ht="24" customHeight="1">
      <c r="A95" s="1147"/>
      <c r="B95" s="1148"/>
      <c r="C95" s="1123"/>
      <c r="D95" s="1124"/>
      <c r="E95" s="1149"/>
      <c r="F95" s="1147"/>
      <c r="G95" s="1147"/>
      <c r="H95" s="854"/>
      <c r="I95" s="855"/>
      <c r="J95" s="854"/>
      <c r="K95" s="912"/>
      <c r="L95" s="912"/>
    </row>
    <row r="96" spans="1:12" s="714" customFormat="1" ht="24" customHeight="1">
      <c r="A96" s="1147"/>
      <c r="B96" s="1148"/>
      <c r="C96" s="1123"/>
      <c r="D96" s="1124"/>
      <c r="E96" s="1149"/>
      <c r="F96" s="1147"/>
      <c r="G96" s="1147"/>
      <c r="H96" s="854"/>
      <c r="I96" s="855"/>
      <c r="J96" s="854"/>
      <c r="K96" s="912"/>
      <c r="L96" s="912"/>
    </row>
    <row r="97" spans="1:14" s="714" customFormat="1" ht="24" customHeight="1">
      <c r="A97" s="1147"/>
      <c r="B97" s="1148" t="s">
        <v>1102</v>
      </c>
      <c r="C97" s="1123"/>
      <c r="D97" s="1124"/>
      <c r="E97" s="1149"/>
      <c r="F97" s="1147"/>
      <c r="G97" s="1147"/>
      <c r="H97" s="854"/>
      <c r="I97" s="855"/>
      <c r="J97" s="854"/>
      <c r="K97" s="912"/>
      <c r="L97" s="912"/>
    </row>
    <row r="98" spans="1:14" s="714" customFormat="1" ht="24" customHeight="1">
      <c r="A98" s="1147"/>
      <c r="B98" s="1148"/>
      <c r="C98" s="1123"/>
      <c r="D98" s="1124"/>
      <c r="E98" s="1149"/>
      <c r="F98" s="1147"/>
      <c r="G98" s="1147"/>
      <c r="H98" s="854"/>
      <c r="I98" s="855"/>
      <c r="J98" s="854"/>
      <c r="K98" s="912"/>
      <c r="L98" s="912"/>
    </row>
    <row r="99" spans="1:14" s="714" customFormat="1" ht="24" customHeight="1">
      <c r="A99" s="1166"/>
      <c r="B99" s="2475" t="str">
        <f>"รวมราคารายการที่ "&amp;A85</f>
        <v>รวมราคารายการที่ 6.3</v>
      </c>
      <c r="C99" s="2476"/>
      <c r="D99" s="2477"/>
      <c r="E99" s="1167"/>
      <c r="F99" s="1167"/>
      <c r="G99" s="1168"/>
      <c r="H99" s="1169">
        <f>SUM(H86:H98)</f>
        <v>67320</v>
      </c>
      <c r="I99" s="1169"/>
      <c r="J99" s="1169">
        <f t="shared" ref="J99:K99" si="29">SUM(J86:J98)</f>
        <v>39900</v>
      </c>
      <c r="K99" s="1169">
        <f t="shared" si="29"/>
        <v>107220</v>
      </c>
      <c r="L99" s="1169"/>
    </row>
    <row r="100" spans="1:14" s="714" customFormat="1" ht="24" customHeight="1">
      <c r="A100" s="1195">
        <v>6.4</v>
      </c>
      <c r="B100" s="1196" t="s">
        <v>1844</v>
      </c>
      <c r="C100" s="1197"/>
      <c r="D100" s="1198"/>
      <c r="E100" s="1199"/>
      <c r="F100" s="1230"/>
      <c r="G100" s="1255"/>
      <c r="H100" s="788"/>
      <c r="I100" s="789"/>
      <c r="J100" s="788"/>
      <c r="K100" s="1256"/>
      <c r="L100" s="1256"/>
    </row>
    <row r="101" spans="1:14" s="714" customFormat="1" ht="24" customHeight="1">
      <c r="A101" s="1147" t="s">
        <v>1845</v>
      </c>
      <c r="B101" s="1148" t="s">
        <v>1846</v>
      </c>
      <c r="C101" s="1123"/>
      <c r="D101" s="1124"/>
      <c r="E101" s="1149"/>
      <c r="F101" s="1147"/>
      <c r="G101" s="1257"/>
      <c r="H101" s="796"/>
      <c r="I101" s="797"/>
      <c r="J101" s="796"/>
      <c r="K101" s="914"/>
      <c r="L101" s="914"/>
    </row>
    <row r="102" spans="1:14" s="714" customFormat="1" ht="24" customHeight="1">
      <c r="A102" s="1147"/>
      <c r="B102" s="1148" t="s">
        <v>1847</v>
      </c>
      <c r="C102" s="1123"/>
      <c r="D102" s="1124"/>
      <c r="E102" s="1149">
        <v>7</v>
      </c>
      <c r="F102" s="1147" t="s">
        <v>240</v>
      </c>
      <c r="G102" s="1257">
        <v>3800</v>
      </c>
      <c r="H102" s="796">
        <f t="shared" ref="H102:H108" si="30">ROUND(E102*G102,)</f>
        <v>26600</v>
      </c>
      <c r="I102" s="797">
        <f>G102*0.3</f>
        <v>1140</v>
      </c>
      <c r="J102" s="796">
        <f t="shared" ref="J102" si="31">ROUND(I102*E102,)</f>
        <v>7980</v>
      </c>
      <c r="K102" s="914">
        <f>H102+J102</f>
        <v>34580</v>
      </c>
      <c r="L102" s="914"/>
    </row>
    <row r="103" spans="1:14" s="714" customFormat="1" ht="24" customHeight="1">
      <c r="A103" s="1159"/>
      <c r="B103" s="1160" t="s">
        <v>1848</v>
      </c>
      <c r="C103" s="1161"/>
      <c r="D103" s="1162"/>
      <c r="E103" s="1149">
        <v>7</v>
      </c>
      <c r="F103" s="1159" t="s">
        <v>240</v>
      </c>
      <c r="G103" s="1258">
        <v>890</v>
      </c>
      <c r="H103" s="796">
        <f t="shared" si="30"/>
        <v>6230</v>
      </c>
      <c r="I103" s="797" t="s">
        <v>974</v>
      </c>
      <c r="J103" s="796"/>
      <c r="K103" s="914">
        <f t="shared" ref="K103:K108" si="32">H103+J103</f>
        <v>6230</v>
      </c>
      <c r="L103" s="914"/>
    </row>
    <row r="104" spans="1:14" s="714" customFormat="1" ht="24" customHeight="1">
      <c r="A104" s="1147"/>
      <c r="B104" s="1148" t="s">
        <v>1849</v>
      </c>
      <c r="C104" s="1123"/>
      <c r="D104" s="1124"/>
      <c r="E104" s="1149">
        <v>7</v>
      </c>
      <c r="F104" s="1147" t="s">
        <v>240</v>
      </c>
      <c r="G104" s="1257">
        <v>4200</v>
      </c>
      <c r="H104" s="796">
        <f t="shared" si="30"/>
        <v>29400</v>
      </c>
      <c r="I104" s="797" t="s">
        <v>974</v>
      </c>
      <c r="J104" s="796"/>
      <c r="K104" s="914">
        <f t="shared" si="32"/>
        <v>29400</v>
      </c>
      <c r="L104" s="914"/>
    </row>
    <row r="105" spans="1:14" s="714" customFormat="1" ht="24" customHeight="1">
      <c r="A105" s="1159"/>
      <c r="B105" s="1148" t="s">
        <v>1850</v>
      </c>
      <c r="C105" s="1123"/>
      <c r="D105" s="1124"/>
      <c r="E105" s="1149">
        <v>7</v>
      </c>
      <c r="F105" s="1147" t="s">
        <v>240</v>
      </c>
      <c r="G105" s="1257">
        <v>8000</v>
      </c>
      <c r="H105" s="796">
        <f t="shared" si="30"/>
        <v>56000</v>
      </c>
      <c r="I105" s="797" t="s">
        <v>974</v>
      </c>
      <c r="J105" s="796"/>
      <c r="K105" s="914">
        <f t="shared" si="32"/>
        <v>56000</v>
      </c>
      <c r="L105" s="1014"/>
    </row>
    <row r="106" spans="1:14" s="714" customFormat="1" ht="24" customHeight="1">
      <c r="A106" s="1147"/>
      <c r="B106" s="1148" t="s">
        <v>1851</v>
      </c>
      <c r="C106" s="1123"/>
      <c r="D106" s="1124"/>
      <c r="E106" s="1149">
        <v>7</v>
      </c>
      <c r="F106" s="1147" t="s">
        <v>240</v>
      </c>
      <c r="G106" s="1257">
        <v>5720</v>
      </c>
      <c r="H106" s="796">
        <f t="shared" si="30"/>
        <v>40040</v>
      </c>
      <c r="I106" s="797" t="s">
        <v>974</v>
      </c>
      <c r="J106" s="796"/>
      <c r="K106" s="914">
        <f t="shared" si="32"/>
        <v>40040</v>
      </c>
      <c r="L106" s="912"/>
    </row>
    <row r="107" spans="1:14" s="714" customFormat="1" ht="24" customHeight="1">
      <c r="A107" s="1147"/>
      <c r="B107" s="1148" t="s">
        <v>1852</v>
      </c>
      <c r="C107" s="1123"/>
      <c r="D107" s="1124"/>
      <c r="E107" s="1149">
        <v>7</v>
      </c>
      <c r="F107" s="1147" t="s">
        <v>240</v>
      </c>
      <c r="G107" s="1257">
        <v>820</v>
      </c>
      <c r="H107" s="796">
        <f t="shared" si="30"/>
        <v>5740</v>
      </c>
      <c r="I107" s="797" t="s">
        <v>974</v>
      </c>
      <c r="J107" s="796"/>
      <c r="K107" s="914">
        <f t="shared" si="32"/>
        <v>5740</v>
      </c>
      <c r="L107" s="912"/>
    </row>
    <row r="108" spans="1:14" s="714" customFormat="1" ht="24" customHeight="1">
      <c r="A108" s="1147"/>
      <c r="B108" s="1148" t="s">
        <v>1853</v>
      </c>
      <c r="C108" s="1123"/>
      <c r="D108" s="1124"/>
      <c r="E108" s="1149">
        <v>7</v>
      </c>
      <c r="F108" s="1147" t="s">
        <v>240</v>
      </c>
      <c r="G108" s="1257">
        <v>450</v>
      </c>
      <c r="H108" s="796">
        <f t="shared" si="30"/>
        <v>3150</v>
      </c>
      <c r="I108" s="797" t="s">
        <v>974</v>
      </c>
      <c r="J108" s="796"/>
      <c r="K108" s="914">
        <f t="shared" si="32"/>
        <v>3150</v>
      </c>
      <c r="L108" s="912"/>
    </row>
    <row r="109" spans="1:14" s="714" customFormat="1" ht="24" customHeight="1">
      <c r="A109" s="1147"/>
      <c r="B109" s="1148"/>
      <c r="C109" s="1123"/>
      <c r="D109" s="1124"/>
      <c r="E109" s="1149"/>
      <c r="F109" s="1147"/>
      <c r="G109" s="1257"/>
      <c r="H109" s="854"/>
      <c r="I109" s="855"/>
      <c r="J109" s="854"/>
      <c r="K109" s="912"/>
      <c r="L109" s="912"/>
    </row>
    <row r="110" spans="1:14" s="714" customFormat="1" ht="24" customHeight="1">
      <c r="A110" s="1147" t="s">
        <v>1854</v>
      </c>
      <c r="B110" s="1148" t="s">
        <v>1855</v>
      </c>
      <c r="C110" s="1123"/>
      <c r="D110" s="1124"/>
      <c r="E110" s="1149"/>
      <c r="F110" s="1147"/>
      <c r="G110" s="1257"/>
      <c r="H110" s="854"/>
      <c r="I110" s="855"/>
      <c r="J110" s="854"/>
      <c r="K110" s="912"/>
      <c r="L110" s="912"/>
      <c r="M110" s="914">
        <f>J110+L110</f>
        <v>0</v>
      </c>
      <c r="N110" s="1014"/>
    </row>
    <row r="111" spans="1:14" s="714" customFormat="1" ht="24" customHeight="1">
      <c r="A111" s="1147"/>
      <c r="B111" s="1148" t="s">
        <v>1856</v>
      </c>
      <c r="C111" s="1123"/>
      <c r="D111" s="1124"/>
      <c r="E111" s="1149">
        <v>1</v>
      </c>
      <c r="F111" s="1147" t="s">
        <v>240</v>
      </c>
      <c r="G111" s="1257">
        <f>6500*1.1</f>
        <v>7150.0000000000009</v>
      </c>
      <c r="H111" s="796">
        <f t="shared" ref="H111:H117" si="33">ROUND(E111*G111,)</f>
        <v>7150</v>
      </c>
      <c r="I111" s="797">
        <f>G111*0.3</f>
        <v>2145</v>
      </c>
      <c r="J111" s="796">
        <f t="shared" ref="J111" si="34">ROUND(I111*E111,)</f>
        <v>2145</v>
      </c>
      <c r="K111" s="914">
        <f>H111+J111</f>
        <v>9295</v>
      </c>
      <c r="L111" s="1014"/>
      <c r="M111" s="914">
        <f t="shared" ref="M111:M114" si="35">J111+L111</f>
        <v>2145</v>
      </c>
      <c r="N111" s="1014"/>
    </row>
    <row r="112" spans="1:14" s="714" customFormat="1" ht="24" customHeight="1">
      <c r="A112" s="1159"/>
      <c r="B112" s="1160" t="s">
        <v>1848</v>
      </c>
      <c r="C112" s="1161"/>
      <c r="D112" s="1162"/>
      <c r="E112" s="1149">
        <v>1</v>
      </c>
      <c r="F112" s="1159" t="s">
        <v>240</v>
      </c>
      <c r="G112" s="1257">
        <v>3800</v>
      </c>
      <c r="H112" s="796">
        <f t="shared" si="33"/>
        <v>3800</v>
      </c>
      <c r="I112" s="797" t="s">
        <v>974</v>
      </c>
      <c r="J112" s="796"/>
      <c r="K112" s="914">
        <f t="shared" ref="K112:K117" si="36">H112+J112</f>
        <v>3800</v>
      </c>
      <c r="L112" s="1014"/>
      <c r="M112" s="914">
        <f t="shared" si="35"/>
        <v>0</v>
      </c>
      <c r="N112" s="1014"/>
    </row>
    <row r="113" spans="1:14" s="714" customFormat="1" ht="24" customHeight="1">
      <c r="A113" s="1147"/>
      <c r="B113" s="1148" t="s">
        <v>1883</v>
      </c>
      <c r="C113" s="1123"/>
      <c r="D113" s="1124"/>
      <c r="E113" s="1149">
        <v>1</v>
      </c>
      <c r="F113" s="1147" t="s">
        <v>240</v>
      </c>
      <c r="G113" s="1258">
        <v>890</v>
      </c>
      <c r="H113" s="796">
        <f t="shared" si="33"/>
        <v>890</v>
      </c>
      <c r="I113" s="797" t="s">
        <v>974</v>
      </c>
      <c r="J113" s="796"/>
      <c r="K113" s="914">
        <f t="shared" si="36"/>
        <v>890</v>
      </c>
      <c r="L113" s="1014"/>
      <c r="M113" s="914">
        <f t="shared" si="35"/>
        <v>0</v>
      </c>
      <c r="N113" s="1014"/>
    </row>
    <row r="114" spans="1:14" s="714" customFormat="1" ht="24" customHeight="1">
      <c r="A114" s="1159"/>
      <c r="B114" s="1148" t="s">
        <v>1850</v>
      </c>
      <c r="C114" s="1123"/>
      <c r="D114" s="1124"/>
      <c r="E114" s="1149">
        <v>1</v>
      </c>
      <c r="F114" s="1147" t="s">
        <v>240</v>
      </c>
      <c r="G114" s="1257">
        <v>8000</v>
      </c>
      <c r="H114" s="796">
        <f t="shared" si="33"/>
        <v>8000</v>
      </c>
      <c r="I114" s="797" t="s">
        <v>974</v>
      </c>
      <c r="J114" s="796"/>
      <c r="K114" s="914">
        <f t="shared" si="36"/>
        <v>8000</v>
      </c>
      <c r="L114" s="1014"/>
      <c r="M114" s="914">
        <f t="shared" si="35"/>
        <v>0</v>
      </c>
      <c r="N114" s="1014"/>
    </row>
    <row r="115" spans="1:14" s="714" customFormat="1" ht="24" customHeight="1">
      <c r="A115" s="1147"/>
      <c r="B115" s="1148" t="s">
        <v>1851</v>
      </c>
      <c r="C115" s="1123"/>
      <c r="D115" s="1124"/>
      <c r="E115" s="1149">
        <v>1</v>
      </c>
      <c r="F115" s="1147" t="s">
        <v>240</v>
      </c>
      <c r="G115" s="1257">
        <v>5720</v>
      </c>
      <c r="H115" s="796">
        <f t="shared" si="33"/>
        <v>5720</v>
      </c>
      <c r="I115" s="797" t="s">
        <v>974</v>
      </c>
      <c r="J115" s="796"/>
      <c r="K115" s="914">
        <f t="shared" si="36"/>
        <v>5720</v>
      </c>
      <c r="L115" s="912"/>
    </row>
    <row r="116" spans="1:14" s="714" customFormat="1" ht="24" customHeight="1">
      <c r="A116" s="1147"/>
      <c r="B116" s="1148" t="s">
        <v>1884</v>
      </c>
      <c r="C116" s="1123"/>
      <c r="D116" s="1124"/>
      <c r="E116" s="1149">
        <v>1</v>
      </c>
      <c r="F116" s="1147" t="s">
        <v>240</v>
      </c>
      <c r="G116" s="1257">
        <v>2800</v>
      </c>
      <c r="H116" s="796">
        <f t="shared" si="33"/>
        <v>2800</v>
      </c>
      <c r="I116" s="797" t="s">
        <v>974</v>
      </c>
      <c r="J116" s="796"/>
      <c r="K116" s="914">
        <f t="shared" si="36"/>
        <v>2800</v>
      </c>
      <c r="L116" s="1014"/>
    </row>
    <row r="117" spans="1:14" s="714" customFormat="1" ht="24" customHeight="1">
      <c r="A117" s="1147"/>
      <c r="B117" s="1148" t="s">
        <v>1885</v>
      </c>
      <c r="C117" s="1123"/>
      <c r="D117" s="1124"/>
      <c r="E117" s="1149">
        <v>1</v>
      </c>
      <c r="F117" s="1147" t="s">
        <v>240</v>
      </c>
      <c r="G117" s="1257">
        <v>820</v>
      </c>
      <c r="H117" s="796">
        <f t="shared" si="33"/>
        <v>820</v>
      </c>
      <c r="I117" s="797" t="s">
        <v>974</v>
      </c>
      <c r="J117" s="796"/>
      <c r="K117" s="914">
        <f t="shared" si="36"/>
        <v>820</v>
      </c>
      <c r="L117" s="1014"/>
    </row>
    <row r="118" spans="1:14" s="714" customFormat="1" ht="24" customHeight="1">
      <c r="A118" s="1221" t="s">
        <v>1857</v>
      </c>
      <c r="B118" s="1219" t="s">
        <v>1858</v>
      </c>
      <c r="C118" s="1209"/>
      <c r="D118" s="1210"/>
      <c r="E118" s="1211"/>
      <c r="F118" s="1221"/>
      <c r="G118" s="1257">
        <v>450</v>
      </c>
      <c r="H118" s="796"/>
      <c r="I118" s="1259"/>
      <c r="J118" s="796"/>
      <c r="K118" s="1014"/>
      <c r="L118" s="1014"/>
    </row>
    <row r="119" spans="1:14" s="714" customFormat="1" ht="24" customHeight="1">
      <c r="A119" s="1147"/>
      <c r="B119" s="1148" t="s">
        <v>1859</v>
      </c>
      <c r="C119" s="1123"/>
      <c r="D119" s="1124"/>
      <c r="E119" s="1149">
        <f>4</f>
        <v>4</v>
      </c>
      <c r="F119" s="1147" t="s">
        <v>240</v>
      </c>
      <c r="G119" s="1257">
        <v>1000</v>
      </c>
      <c r="H119" s="796">
        <f t="shared" ref="H119:H120" si="37">ROUND(E119*G119,)</f>
        <v>4000</v>
      </c>
      <c r="I119" s="1259">
        <v>200</v>
      </c>
      <c r="J119" s="796">
        <f t="shared" ref="J119:J120" si="38">ROUND(I119*E119,)</f>
        <v>800</v>
      </c>
      <c r="K119" s="914">
        <f t="shared" ref="K119:K120" si="39">H119+J119</f>
        <v>4800</v>
      </c>
      <c r="L119" s="1014"/>
    </row>
    <row r="120" spans="1:14" s="714" customFormat="1" ht="24" customHeight="1">
      <c r="A120" s="1159"/>
      <c r="B120" s="1160" t="s">
        <v>1860</v>
      </c>
      <c r="C120" s="1161"/>
      <c r="D120" s="1162"/>
      <c r="E120" s="1183"/>
      <c r="F120" s="1159" t="s">
        <v>240</v>
      </c>
      <c r="G120" s="1257">
        <v>6000</v>
      </c>
      <c r="H120" s="796">
        <f t="shared" si="37"/>
        <v>0</v>
      </c>
      <c r="I120" s="1259">
        <v>200</v>
      </c>
      <c r="J120" s="796">
        <f t="shared" si="38"/>
        <v>0</v>
      </c>
      <c r="K120" s="914">
        <f t="shared" si="39"/>
        <v>0</v>
      </c>
      <c r="L120" s="1014"/>
    </row>
    <row r="121" spans="1:14" s="714" customFormat="1" ht="24" customHeight="1">
      <c r="A121" s="1147"/>
      <c r="B121" s="1148" t="s">
        <v>1861</v>
      </c>
      <c r="C121" s="1123"/>
      <c r="D121" s="1124"/>
      <c r="E121" s="1149"/>
      <c r="F121" s="1147" t="s">
        <v>240</v>
      </c>
      <c r="G121" s="1257"/>
      <c r="H121" s="796"/>
      <c r="I121" s="1259"/>
      <c r="J121" s="796"/>
      <c r="K121" s="1014"/>
      <c r="L121" s="1014"/>
    </row>
    <row r="122" spans="1:14" s="714" customFormat="1" ht="24" customHeight="1">
      <c r="A122" s="1147"/>
      <c r="B122" s="1148" t="s">
        <v>957</v>
      </c>
      <c r="C122" s="1123"/>
      <c r="D122" s="1124"/>
      <c r="E122" s="1149"/>
      <c r="F122" s="1147"/>
      <c r="G122" s="1257"/>
      <c r="H122" s="796"/>
      <c r="I122" s="1259"/>
      <c r="J122" s="796"/>
      <c r="K122" s="1014"/>
      <c r="L122" s="1014"/>
    </row>
    <row r="123" spans="1:14" s="714" customFormat="1" ht="24" customHeight="1">
      <c r="A123" s="1166"/>
      <c r="B123" s="2475" t="str">
        <f>"รวมราคารายการที่ "&amp;A100</f>
        <v>รวมราคารายการที่ 6.4</v>
      </c>
      <c r="C123" s="2476"/>
      <c r="D123" s="2477"/>
      <c r="E123" s="1167"/>
      <c r="F123" s="1167"/>
      <c r="G123" s="1168"/>
      <c r="H123" s="1169">
        <f>SUM(H101:H122)</f>
        <v>200340</v>
      </c>
      <c r="I123" s="1170"/>
      <c r="J123" s="1169">
        <f>SUM(J101:J122)</f>
        <v>10925</v>
      </c>
      <c r="K123" s="1171">
        <f>SUM(K101:K122)</f>
        <v>211265</v>
      </c>
      <c r="L123" s="1171"/>
    </row>
    <row r="124" spans="1:14" s="714" customFormat="1" ht="24" customHeight="1">
      <c r="A124" s="1195">
        <v>6.5</v>
      </c>
      <c r="B124" s="1196" t="s">
        <v>1862</v>
      </c>
      <c r="C124" s="1197"/>
      <c r="D124" s="1198"/>
      <c r="E124" s="1199"/>
      <c r="F124" s="1230"/>
      <c r="G124" s="1201"/>
      <c r="H124" s="788"/>
      <c r="I124" s="789"/>
      <c r="J124" s="788"/>
      <c r="K124" s="1256"/>
      <c r="L124" s="1256"/>
    </row>
    <row r="125" spans="1:14" s="714" customFormat="1" ht="24" customHeight="1">
      <c r="A125" s="1147" t="s">
        <v>1863</v>
      </c>
      <c r="B125" s="1148" t="s">
        <v>1864</v>
      </c>
      <c r="C125" s="1123"/>
      <c r="D125" s="1124"/>
      <c r="E125" s="1149">
        <v>4</v>
      </c>
      <c r="F125" s="1147" t="s">
        <v>240</v>
      </c>
      <c r="G125" s="1140">
        <v>2300</v>
      </c>
      <c r="H125" s="796">
        <f t="shared" ref="H125:H126" si="40">ROUND(E125*G125,)</f>
        <v>9200</v>
      </c>
      <c r="I125" s="797">
        <f>G125*0.1</f>
        <v>230</v>
      </c>
      <c r="J125" s="796">
        <f t="shared" ref="J125:J126" si="41">ROUND(I125*E125,)</f>
        <v>920</v>
      </c>
      <c r="K125" s="914">
        <f t="shared" ref="K125:K126" si="42">H125+J125</f>
        <v>10120</v>
      </c>
      <c r="L125" s="914"/>
    </row>
    <row r="126" spans="1:14" s="714" customFormat="1" ht="24" customHeight="1">
      <c r="A126" s="1147" t="s">
        <v>1865</v>
      </c>
      <c r="B126" s="1148" t="s">
        <v>1866</v>
      </c>
      <c r="C126" s="1123"/>
      <c r="D126" s="1124"/>
      <c r="E126" s="1149">
        <v>4</v>
      </c>
      <c r="F126" s="1147" t="s">
        <v>240</v>
      </c>
      <c r="G126" s="1140">
        <v>3400</v>
      </c>
      <c r="H126" s="796">
        <f t="shared" si="40"/>
        <v>13600</v>
      </c>
      <c r="I126" s="797">
        <f>G126*0.1</f>
        <v>340</v>
      </c>
      <c r="J126" s="796">
        <f t="shared" si="41"/>
        <v>1360</v>
      </c>
      <c r="K126" s="914">
        <f t="shared" si="42"/>
        <v>14960</v>
      </c>
      <c r="L126" s="912"/>
    </row>
    <row r="127" spans="1:14" s="714" customFormat="1" ht="24" customHeight="1">
      <c r="A127" s="1147" t="s">
        <v>1867</v>
      </c>
      <c r="B127" s="1148" t="s">
        <v>1868</v>
      </c>
      <c r="C127" s="1123"/>
      <c r="D127" s="1124"/>
      <c r="E127" s="1149"/>
      <c r="F127" s="1147" t="s">
        <v>240</v>
      </c>
      <c r="G127" s="1140"/>
      <c r="H127" s="796"/>
      <c r="I127" s="797"/>
      <c r="J127" s="796"/>
      <c r="K127" s="914"/>
      <c r="L127" s="912"/>
    </row>
    <row r="128" spans="1:14" s="714" customFormat="1" ht="24" customHeight="1">
      <c r="A128" s="1147"/>
      <c r="B128" s="1148" t="s">
        <v>957</v>
      </c>
      <c r="C128" s="1123"/>
      <c r="D128" s="1124"/>
      <c r="E128" s="1149"/>
      <c r="F128" s="1147"/>
      <c r="G128" s="1140"/>
      <c r="H128" s="854"/>
      <c r="I128" s="855"/>
      <c r="J128" s="854"/>
      <c r="K128" s="912"/>
      <c r="L128" s="912"/>
    </row>
    <row r="129" spans="1:12" s="714" customFormat="1" ht="24" customHeight="1">
      <c r="A129" s="1147"/>
      <c r="B129" s="1148" t="s">
        <v>1102</v>
      </c>
      <c r="C129" s="1123"/>
      <c r="D129" s="1124"/>
      <c r="E129" s="1149"/>
      <c r="F129" s="1147"/>
      <c r="G129" s="1140"/>
      <c r="H129" s="854"/>
      <c r="I129" s="855"/>
      <c r="J129" s="854"/>
      <c r="K129" s="912"/>
      <c r="L129" s="912"/>
    </row>
    <row r="130" spans="1:12" s="714" customFormat="1" ht="24" customHeight="1">
      <c r="A130" s="1166"/>
      <c r="B130" s="2475" t="str">
        <f>"รวมราคารายการที่ "&amp;A124</f>
        <v>รวมราคารายการที่ 6.5</v>
      </c>
      <c r="C130" s="2476"/>
      <c r="D130" s="2477"/>
      <c r="E130" s="1167"/>
      <c r="F130" s="1167"/>
      <c r="G130" s="1168"/>
      <c r="H130" s="1169">
        <f>SUM(H125:H129)</f>
        <v>22800</v>
      </c>
      <c r="I130" s="1170"/>
      <c r="J130" s="1169">
        <f>SUM(J125:J129)</f>
        <v>2280</v>
      </c>
      <c r="K130" s="1171">
        <f>SUM(K125:K129)</f>
        <v>25080</v>
      </c>
      <c r="L130" s="1171"/>
    </row>
    <row r="131" spans="1:12" s="714" customFormat="1" ht="24" customHeight="1">
      <c r="A131" s="1147">
        <v>6.6</v>
      </c>
      <c r="B131" s="1148" t="s">
        <v>1264</v>
      </c>
      <c r="C131" s="1123"/>
      <c r="D131" s="1124"/>
      <c r="E131" s="1149"/>
      <c r="F131" s="1147" t="s">
        <v>948</v>
      </c>
      <c r="G131" s="1262" t="s">
        <v>1876</v>
      </c>
      <c r="H131" s="854"/>
      <c r="I131" s="855"/>
      <c r="J131" s="854"/>
      <c r="K131" s="912"/>
      <c r="L131" s="912"/>
    </row>
    <row r="132" spans="1:12" s="714" customFormat="1" ht="24" customHeight="1">
      <c r="A132" s="1147"/>
      <c r="B132" s="1148"/>
      <c r="C132" s="1123"/>
      <c r="D132" s="1124"/>
      <c r="E132" s="1149"/>
      <c r="F132" s="1147"/>
      <c r="G132" s="1140"/>
      <c r="H132" s="796"/>
      <c r="I132" s="797"/>
      <c r="J132" s="796"/>
      <c r="K132" s="914"/>
      <c r="L132" s="912"/>
    </row>
    <row r="133" spans="1:12" s="714" customFormat="1" ht="24" customHeight="1">
      <c r="A133" s="1147"/>
      <c r="B133" s="1148"/>
      <c r="C133" s="1123"/>
      <c r="D133" s="1124"/>
      <c r="E133" s="1149"/>
      <c r="F133" s="1147"/>
      <c r="G133" s="1140"/>
      <c r="H133" s="796"/>
      <c r="I133" s="797"/>
      <c r="J133" s="796"/>
      <c r="K133" s="914"/>
      <c r="L133" s="912"/>
    </row>
    <row r="134" spans="1:12" s="714" customFormat="1" ht="21.3">
      <c r="A134" s="1166"/>
      <c r="B134" s="2475" t="str">
        <f>"รวมราคารายการที่ "&amp;A131</f>
        <v>รวมราคารายการที่ 6.6</v>
      </c>
      <c r="C134" s="2476"/>
      <c r="D134" s="2477"/>
      <c r="E134" s="1167"/>
      <c r="F134" s="1167"/>
      <c r="G134" s="1168"/>
      <c r="H134" s="1169">
        <f>SUM(H131:H131)</f>
        <v>0</v>
      </c>
      <c r="I134" s="1170"/>
      <c r="J134" s="1169">
        <f>SUM(J131:J131)</f>
        <v>0</v>
      </c>
      <c r="K134" s="1171">
        <f>SUM(K131:K131)</f>
        <v>0</v>
      </c>
      <c r="L134" s="1171"/>
    </row>
    <row r="135" spans="1:12" s="714" customFormat="1" ht="21.3">
      <c r="A135" s="950"/>
      <c r="E135" s="1234"/>
    </row>
    <row r="136" spans="1:12" s="714" customFormat="1" ht="21.3">
      <c r="A136" s="950"/>
      <c r="E136" s="1234"/>
    </row>
    <row r="137" spans="1:12" s="714" customFormat="1" ht="21.3">
      <c r="A137" s="950"/>
      <c r="E137" s="1234"/>
    </row>
    <row r="138" spans="1:12" s="714" customFormat="1" ht="21.3">
      <c r="A138" s="950"/>
      <c r="E138" s="1234"/>
    </row>
    <row r="139" spans="1:12" s="714" customFormat="1" ht="21.3">
      <c r="A139" s="950"/>
      <c r="E139" s="1234"/>
    </row>
    <row r="140" spans="1:12" s="714" customFormat="1" ht="21.3">
      <c r="A140" s="950"/>
      <c r="E140" s="1234"/>
    </row>
    <row r="141" spans="1:12" s="714" customFormat="1" ht="21.3">
      <c r="A141" s="950"/>
      <c r="E141" s="1234"/>
    </row>
    <row r="142" spans="1:12" s="714" customFormat="1" ht="21.3">
      <c r="A142" s="950"/>
      <c r="E142" s="1234"/>
    </row>
    <row r="143" spans="1:12" s="714" customFormat="1" ht="21.3">
      <c r="A143" s="950"/>
      <c r="E143" s="1234"/>
    </row>
    <row r="144" spans="1:12" s="714" customFormat="1" ht="21.3">
      <c r="A144" s="950"/>
      <c r="E144" s="1234"/>
    </row>
    <row r="145" spans="1:5" s="714" customFormat="1" ht="21.3">
      <c r="A145" s="950"/>
      <c r="E145" s="1234"/>
    </row>
    <row r="146" spans="1:5" s="714" customFormat="1" ht="21.3">
      <c r="A146" s="950"/>
      <c r="E146" s="1234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84:D84"/>
    <mergeCell ref="B99:D99"/>
    <mergeCell ref="B123:D123"/>
    <mergeCell ref="B130:D13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&amp;Rงานดับเพลิงและป้องกันอัคคีภัย ชั้น 2-อาคารสนับนุน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464C2-6672-4F00-88B2-1A39F81BE37A}">
  <sheetPr>
    <tabColor rgb="FFC00000"/>
  </sheetPr>
  <dimension ref="A1:Z3374"/>
  <sheetViews>
    <sheetView showGridLines="0" tabSelected="1" view="pageBreakPreview" topLeftCell="A97" zoomScale="70" zoomScaleNormal="55" zoomScaleSheetLayoutView="70" workbookViewId="0">
      <selection activeCell="O16" sqref="O16"/>
    </sheetView>
  </sheetViews>
  <sheetFormatPr defaultColWidth="9.1171875" defaultRowHeight="21"/>
  <cols>
    <col min="1" max="1" width="9.703125" style="1837" customWidth="1"/>
    <col min="2" max="2" width="12.703125" style="1737" customWidth="1"/>
    <col min="3" max="3" width="7.29296875" style="1737" customWidth="1"/>
    <col min="4" max="4" width="69.29296875" style="1737" customWidth="1"/>
    <col min="5" max="5" width="16.29296875" style="1737" customWidth="1"/>
    <col min="6" max="6" width="10.703125" style="1737" customWidth="1"/>
    <col min="7" max="7" width="16.703125" style="1737" customWidth="1"/>
    <col min="8" max="8" width="20" style="1737" customWidth="1"/>
    <col min="9" max="9" width="16.703125" style="1737" customWidth="1"/>
    <col min="10" max="10" width="18.29296875" style="1737" customWidth="1"/>
    <col min="11" max="11" width="19.29296875" style="1737" customWidth="1"/>
    <col min="12" max="12" width="14.29296875" style="1737" customWidth="1"/>
    <col min="13" max="13" width="26.703125" style="1737" hidden="1" customWidth="1"/>
    <col min="14" max="14" width="29.29296875" style="1737" hidden="1" customWidth="1"/>
    <col min="15" max="15" width="23" style="1737" hidden="1" customWidth="1"/>
    <col min="16" max="16" width="19.41015625" style="1737" hidden="1" customWidth="1"/>
    <col min="17" max="17" width="26.1171875" style="1737" hidden="1" customWidth="1"/>
    <col min="18" max="18" width="17.1171875" style="1737" customWidth="1"/>
    <col min="19" max="19" width="19.29296875" style="1737" customWidth="1"/>
    <col min="20" max="20" width="19.1171875" style="1737" customWidth="1"/>
    <col min="21" max="22" width="20.1171875" style="1737" customWidth="1"/>
    <col min="23" max="23" width="30.29296875" style="1737" customWidth="1"/>
    <col min="24" max="24" width="20.1171875" style="1737" customWidth="1"/>
    <col min="25" max="26" width="26.29296875" style="1737" customWidth="1"/>
    <col min="27" max="36" width="10.703125" style="1737" customWidth="1"/>
    <col min="37" max="102" width="7.703125" style="1737" customWidth="1"/>
    <col min="103" max="16384" width="9.1171875" style="1737"/>
  </cols>
  <sheetData>
    <row r="1" spans="1:22" ht="35.1" customHeight="1">
      <c r="A1" s="1730"/>
      <c r="B1" s="1730"/>
      <c r="C1" s="1731"/>
      <c r="D1" s="1731"/>
      <c r="E1" s="1731"/>
      <c r="F1" s="1732" t="s">
        <v>0</v>
      </c>
      <c r="G1" s="1733"/>
      <c r="H1" s="1734"/>
      <c r="I1" s="1734"/>
      <c r="J1" s="1735" t="s">
        <v>1</v>
      </c>
      <c r="K1" s="1731"/>
      <c r="L1" s="1734"/>
      <c r="M1" s="1736"/>
    </row>
    <row r="2" spans="1:22" ht="25.15" customHeight="1">
      <c r="A2" s="1738" t="s">
        <v>2</v>
      </c>
      <c r="B2" s="1739"/>
      <c r="C2" s="1740"/>
      <c r="D2" s="1740" t="s">
        <v>377</v>
      </c>
      <c r="E2" s="1740"/>
      <c r="F2" s="1741"/>
      <c r="G2" s="1741"/>
      <c r="H2" s="1741"/>
      <c r="I2" s="1741"/>
      <c r="J2" s="1742"/>
      <c r="K2" s="1741"/>
      <c r="L2" s="1741"/>
      <c r="M2" s="1743"/>
    </row>
    <row r="3" spans="1:22" ht="25.15" customHeight="1">
      <c r="A3" s="1744" t="s">
        <v>22</v>
      </c>
      <c r="B3" s="1745"/>
      <c r="C3" s="1746"/>
      <c r="D3" s="1740"/>
      <c r="E3" s="1746"/>
      <c r="F3" s="1747"/>
      <c r="G3" s="1747"/>
      <c r="H3" s="1747"/>
      <c r="I3" s="1747"/>
      <c r="J3" s="1746"/>
      <c r="K3" s="1747"/>
      <c r="L3" s="1748"/>
      <c r="M3" s="1749"/>
    </row>
    <row r="4" spans="1:22" ht="25.15" customHeight="1">
      <c r="A4" s="1744"/>
      <c r="B4" s="1745"/>
      <c r="C4" s="1746"/>
      <c r="D4" s="41" t="s">
        <v>2970</v>
      </c>
      <c r="E4" s="1746"/>
      <c r="F4" s="1747"/>
      <c r="G4" s="1747"/>
      <c r="H4" s="1747"/>
      <c r="I4" s="1747"/>
      <c r="J4" s="1746"/>
      <c r="K4" s="1747"/>
      <c r="L4" s="1748"/>
      <c r="M4" s="1749"/>
    </row>
    <row r="5" spans="1:22" ht="25.15" customHeight="1">
      <c r="A5" s="1744" t="s">
        <v>3</v>
      </c>
      <c r="B5" s="1739"/>
      <c r="C5" s="1740"/>
      <c r="D5" s="1740" t="s">
        <v>21</v>
      </c>
      <c r="E5" s="1731"/>
      <c r="F5" s="1741"/>
      <c r="G5" s="1750" t="s">
        <v>4</v>
      </c>
      <c r="H5" s="1751"/>
      <c r="I5" s="1747"/>
      <c r="J5" s="1746"/>
      <c r="K5" s="1747"/>
      <c r="L5" s="1748"/>
      <c r="M5" s="1749"/>
    </row>
    <row r="6" spans="1:22" ht="25.15" customHeight="1">
      <c r="A6" s="1745" t="s">
        <v>20</v>
      </c>
      <c r="B6" s="1745"/>
      <c r="C6" s="1746"/>
      <c r="D6" s="1752"/>
      <c r="E6" s="1746"/>
      <c r="F6" s="1747"/>
      <c r="G6" s="1753"/>
      <c r="H6" s="1747"/>
      <c r="I6" s="1747"/>
      <c r="J6" s="1747"/>
      <c r="K6" s="1747"/>
      <c r="L6" s="1747"/>
      <c r="M6" s="1743"/>
    </row>
    <row r="7" spans="1:22" ht="25.15" customHeight="1">
      <c r="A7" s="1754" t="s">
        <v>26</v>
      </c>
      <c r="B7" s="1755"/>
      <c r="C7" s="1755"/>
      <c r="D7" s="1756"/>
      <c r="E7" s="1755"/>
      <c r="F7" s="1757" t="s">
        <v>5</v>
      </c>
      <c r="G7" s="1757"/>
      <c r="H7" s="1757" t="s">
        <v>6</v>
      </c>
      <c r="I7" s="1758"/>
      <c r="J7" s="1754" t="s">
        <v>23</v>
      </c>
      <c r="K7" s="1755"/>
      <c r="L7" s="2452" t="s">
        <v>7</v>
      </c>
      <c r="M7" s="1759"/>
    </row>
    <row r="8" spans="1:22" ht="10.15" customHeight="1">
      <c r="A8" s="1760"/>
      <c r="B8" s="1761"/>
      <c r="C8" s="1761"/>
      <c r="D8" s="1762"/>
      <c r="E8" s="1762"/>
      <c r="F8" s="1763"/>
      <c r="G8" s="1763"/>
      <c r="H8" s="1764"/>
      <c r="I8" s="1764"/>
      <c r="J8" s="1764"/>
      <c r="K8" s="1763"/>
      <c r="L8" s="2453"/>
      <c r="M8" s="1759"/>
    </row>
    <row r="9" spans="1:22" s="1766" customFormat="1" ht="24" customHeight="1">
      <c r="A9" s="2454" t="s">
        <v>8</v>
      </c>
      <c r="B9" s="2456" t="s">
        <v>9</v>
      </c>
      <c r="C9" s="2457"/>
      <c r="D9" s="2458"/>
      <c r="E9" s="2462" t="s">
        <v>10</v>
      </c>
      <c r="F9" s="2462" t="s">
        <v>11</v>
      </c>
      <c r="G9" s="2464" t="s">
        <v>12</v>
      </c>
      <c r="H9" s="2465"/>
      <c r="I9" s="2464" t="s">
        <v>13</v>
      </c>
      <c r="J9" s="2465"/>
      <c r="K9" s="2278" t="s">
        <v>14</v>
      </c>
      <c r="L9" s="2466" t="s">
        <v>15</v>
      </c>
      <c r="M9" s="1765"/>
      <c r="O9" s="1767"/>
      <c r="P9" s="1767"/>
      <c r="Q9" s="1768" t="s">
        <v>2773</v>
      </c>
      <c r="R9" s="1767"/>
      <c r="T9" s="2226" t="s">
        <v>2958</v>
      </c>
      <c r="U9" s="2226" t="s">
        <v>2959</v>
      </c>
      <c r="V9" s="1766" t="s">
        <v>3035</v>
      </c>
    </row>
    <row r="10" spans="1:22" s="1766" customFormat="1" ht="24" customHeight="1">
      <c r="A10" s="2455"/>
      <c r="B10" s="2459"/>
      <c r="C10" s="2460"/>
      <c r="D10" s="2461"/>
      <c r="E10" s="2463"/>
      <c r="F10" s="2463"/>
      <c r="G10" s="1769" t="s">
        <v>16</v>
      </c>
      <c r="H10" s="1770" t="s">
        <v>17</v>
      </c>
      <c r="I10" s="1769" t="s">
        <v>16</v>
      </c>
      <c r="J10" s="1770" t="s">
        <v>17</v>
      </c>
      <c r="K10" s="2279" t="s">
        <v>18</v>
      </c>
      <c r="L10" s="2467"/>
      <c r="M10" s="1765"/>
      <c r="O10" s="1768">
        <v>44078</v>
      </c>
      <c r="P10" s="1768">
        <v>43987</v>
      </c>
      <c r="Q10" s="1768" t="s">
        <v>2774</v>
      </c>
      <c r="R10" s="1768">
        <v>44018</v>
      </c>
      <c r="S10" s="1768">
        <v>44057</v>
      </c>
      <c r="T10" s="1768">
        <v>44448</v>
      </c>
      <c r="U10" s="1766" t="s">
        <v>2960</v>
      </c>
      <c r="V10" s="2227" t="s">
        <v>3036</v>
      </c>
    </row>
    <row r="11" spans="1:22" ht="24" customHeight="1">
      <c r="A11" s="1771">
        <v>2</v>
      </c>
      <c r="B11" s="1772" t="s">
        <v>132</v>
      </c>
      <c r="C11" s="1773"/>
      <c r="D11" s="1774"/>
      <c r="E11" s="1775"/>
      <c r="F11" s="1775"/>
      <c r="G11" s="1776"/>
      <c r="H11" s="1777"/>
      <c r="I11" s="1778"/>
      <c r="J11" s="1777"/>
      <c r="K11" s="1779"/>
      <c r="L11" s="1779"/>
      <c r="M11" s="1780" t="s">
        <v>378</v>
      </c>
      <c r="N11" s="1780" t="s">
        <v>379</v>
      </c>
      <c r="O11" s="1781" t="s">
        <v>2775</v>
      </c>
      <c r="P11" s="1781" t="s">
        <v>2776</v>
      </c>
      <c r="Q11" s="1781" t="s">
        <v>2777</v>
      </c>
      <c r="R11" s="1781"/>
    </row>
    <row r="12" spans="1:22" ht="24" customHeight="1">
      <c r="A12" s="1782">
        <f>+A36</f>
        <v>2.1</v>
      </c>
      <c r="B12" s="1783" t="str">
        <f>+B36</f>
        <v>งานพื้นและวัสดุตกแต่งผิวพื้น</v>
      </c>
      <c r="C12" s="1773"/>
      <c r="D12" s="1784"/>
      <c r="E12" s="1785">
        <v>1</v>
      </c>
      <c r="F12" s="1786" t="s">
        <v>19</v>
      </c>
      <c r="G12" s="1787"/>
      <c r="H12" s="1788">
        <f>H566</f>
        <v>16309122</v>
      </c>
      <c r="I12" s="1789"/>
      <c r="J12" s="1788">
        <f>J566</f>
        <v>6183732</v>
      </c>
      <c r="K12" s="1790">
        <f>H12+J12</f>
        <v>22492854</v>
      </c>
      <c r="L12" s="1791"/>
      <c r="M12" s="1792">
        <v>41968323</v>
      </c>
      <c r="N12" s="1793">
        <v>49833781</v>
      </c>
      <c r="O12" s="1794">
        <v>26990577</v>
      </c>
      <c r="P12" s="1795">
        <v>26990577</v>
      </c>
      <c r="Q12" s="1795">
        <f>P12-K12</f>
        <v>4497723</v>
      </c>
      <c r="R12" s="1796">
        <v>25918586</v>
      </c>
      <c r="S12" s="602">
        <v>22477977</v>
      </c>
      <c r="T12" s="1797">
        <v>22477977</v>
      </c>
      <c r="U12" s="602">
        <v>22492854</v>
      </c>
      <c r="V12" s="2077">
        <f>K12-U12</f>
        <v>0</v>
      </c>
    </row>
    <row r="13" spans="1:22" ht="24" customHeight="1">
      <c r="A13" s="1782">
        <f>+A567</f>
        <v>2.2000000000000002</v>
      </c>
      <c r="B13" s="1783" t="str">
        <f>+B567</f>
        <v>งานผนังและวัสดุตกแต่งผิวผนัง</v>
      </c>
      <c r="C13" s="1773"/>
      <c r="D13" s="1784"/>
      <c r="E13" s="1785">
        <v>1</v>
      </c>
      <c r="F13" s="1786" t="s">
        <v>19</v>
      </c>
      <c r="G13" s="1787"/>
      <c r="H13" s="1788">
        <f>H1462</f>
        <v>30200435.300000001</v>
      </c>
      <c r="I13" s="1789"/>
      <c r="J13" s="1788">
        <f>J1462</f>
        <v>18072190.800000001</v>
      </c>
      <c r="K13" s="1790">
        <f t="shared" ref="K13:K20" si="0">H13+J13</f>
        <v>48272626.100000001</v>
      </c>
      <c r="L13" s="1791"/>
      <c r="M13" s="1792">
        <v>45555666.82</v>
      </c>
      <c r="N13" s="1793">
        <v>55455440.140000001</v>
      </c>
      <c r="O13" s="1794">
        <v>53622088.479999997</v>
      </c>
      <c r="P13" s="1795">
        <v>53622088.479999997</v>
      </c>
      <c r="Q13" s="1795">
        <f>P13-K13</f>
        <v>5349462.3799999952</v>
      </c>
      <c r="R13" s="1796">
        <v>47922176.609999999</v>
      </c>
      <c r="S13" s="602">
        <v>47884667.609999999</v>
      </c>
      <c r="T13" s="1797">
        <v>47884667.609999999</v>
      </c>
      <c r="U13" s="602">
        <v>48272626.100000001</v>
      </c>
      <c r="V13" s="2077">
        <f t="shared" ref="V13:V20" si="1">K13-U13</f>
        <v>0</v>
      </c>
    </row>
    <row r="14" spans="1:22" ht="24" customHeight="1">
      <c r="A14" s="1782">
        <f>+A1463</f>
        <v>2.2999999999999998</v>
      </c>
      <c r="B14" s="1783" t="str">
        <f>+B1463</f>
        <v>งานฝ้าเพดาน</v>
      </c>
      <c r="C14" s="1798"/>
      <c r="D14" s="1799"/>
      <c r="E14" s="1785">
        <v>1</v>
      </c>
      <c r="F14" s="1786" t="s">
        <v>19</v>
      </c>
      <c r="G14" s="1787"/>
      <c r="H14" s="1788">
        <f>H1692</f>
        <v>4322703</v>
      </c>
      <c r="I14" s="1789"/>
      <c r="J14" s="1788">
        <f>J1692</f>
        <v>3690674</v>
      </c>
      <c r="K14" s="1790">
        <f t="shared" si="0"/>
        <v>8013377</v>
      </c>
      <c r="L14" s="1791"/>
      <c r="M14" s="1792">
        <v>14980924</v>
      </c>
      <c r="N14" s="1793">
        <v>17247098</v>
      </c>
      <c r="O14" s="1794">
        <v>7909229</v>
      </c>
      <c r="P14" s="1795">
        <v>7909229</v>
      </c>
      <c r="Q14" s="1795">
        <f t="shared" ref="Q14:Q20" si="2">P14-K14</f>
        <v>-104148</v>
      </c>
      <c r="R14" s="1796">
        <v>7875383</v>
      </c>
      <c r="S14" s="602">
        <v>8013377</v>
      </c>
      <c r="T14" s="1797">
        <v>8013377</v>
      </c>
      <c r="U14" s="602">
        <v>8013377</v>
      </c>
      <c r="V14" s="2077">
        <f t="shared" si="1"/>
        <v>0</v>
      </c>
    </row>
    <row r="15" spans="1:22" ht="24" customHeight="1">
      <c r="A15" s="1782">
        <f>+A1693</f>
        <v>2.4</v>
      </c>
      <c r="B15" s="1783" t="str">
        <f>+B1693</f>
        <v>งานวัสดุมุงหลังคา</v>
      </c>
      <c r="C15" s="1798"/>
      <c r="D15" s="1800"/>
      <c r="E15" s="1785">
        <v>1</v>
      </c>
      <c r="F15" s="1786" t="s">
        <v>19</v>
      </c>
      <c r="G15" s="1787"/>
      <c r="H15" s="1788">
        <f>H1717</f>
        <v>15274228</v>
      </c>
      <c r="I15" s="1789"/>
      <c r="J15" s="1788">
        <f>J1717</f>
        <v>3561380</v>
      </c>
      <c r="K15" s="1790">
        <f t="shared" si="0"/>
        <v>18835608</v>
      </c>
      <c r="L15" s="1791"/>
      <c r="M15" s="1792">
        <v>18391050</v>
      </c>
      <c r="N15" s="1793">
        <v>15281310</v>
      </c>
      <c r="O15" s="1794">
        <v>18869008</v>
      </c>
      <c r="P15" s="1795">
        <v>18868008</v>
      </c>
      <c r="Q15" s="1795">
        <f t="shared" si="2"/>
        <v>32400</v>
      </c>
      <c r="R15" s="1796">
        <v>18868008</v>
      </c>
      <c r="S15" s="602">
        <v>18835608</v>
      </c>
      <c r="T15" s="1797">
        <v>18835608</v>
      </c>
      <c r="U15" s="602">
        <v>18835608</v>
      </c>
      <c r="V15" s="2077">
        <f t="shared" si="1"/>
        <v>0</v>
      </c>
    </row>
    <row r="16" spans="1:22" ht="24" customHeight="1">
      <c r="A16" s="1782">
        <f>+A1718</f>
        <v>2.5</v>
      </c>
      <c r="B16" s="1783" t="str">
        <f>+B1718</f>
        <v>งานประตู-หน้าต่าง</v>
      </c>
      <c r="C16" s="1798"/>
      <c r="D16" s="1800"/>
      <c r="E16" s="1785">
        <v>1</v>
      </c>
      <c r="F16" s="1786" t="s">
        <v>19</v>
      </c>
      <c r="G16" s="1787"/>
      <c r="H16" s="1788">
        <f>H2364</f>
        <v>34804470</v>
      </c>
      <c r="I16" s="1789"/>
      <c r="J16" s="1788">
        <f>J2364</f>
        <v>1499100</v>
      </c>
      <c r="K16" s="1790">
        <f t="shared" si="0"/>
        <v>36303570</v>
      </c>
      <c r="L16" s="1791"/>
      <c r="M16" s="1792">
        <v>14735438.063999999</v>
      </c>
      <c r="N16" s="1793">
        <v>45192550.064000003</v>
      </c>
      <c r="O16" s="1794">
        <v>50788710</v>
      </c>
      <c r="P16" s="1795">
        <v>50788710</v>
      </c>
      <c r="Q16" s="1795">
        <f t="shared" si="2"/>
        <v>14485140</v>
      </c>
      <c r="R16" s="1796">
        <v>35742320</v>
      </c>
      <c r="S16" s="602">
        <v>35742320</v>
      </c>
      <c r="T16" s="1797">
        <v>35742320</v>
      </c>
      <c r="U16" s="602">
        <v>35764770</v>
      </c>
      <c r="V16" s="2077">
        <f t="shared" si="1"/>
        <v>538800</v>
      </c>
    </row>
    <row r="17" spans="1:22" ht="24" customHeight="1">
      <c r="A17" s="1782">
        <f>+A2365</f>
        <v>2.6</v>
      </c>
      <c r="B17" s="1783" t="str">
        <f>+B2365</f>
        <v>งานสุขภัณฑ์พร้อมอุปกรณ์</v>
      </c>
      <c r="C17" s="1798"/>
      <c r="D17" s="1800"/>
      <c r="E17" s="1785">
        <v>1</v>
      </c>
      <c r="F17" s="1786" t="s">
        <v>19</v>
      </c>
      <c r="G17" s="1787"/>
      <c r="H17" s="1788">
        <f>H3095</f>
        <v>16785522</v>
      </c>
      <c r="I17" s="1789"/>
      <c r="J17" s="1788">
        <f>J3095</f>
        <v>1405375.3500000008</v>
      </c>
      <c r="K17" s="1790">
        <f t="shared" si="0"/>
        <v>18190897.350000001</v>
      </c>
      <c r="L17" s="1791"/>
      <c r="M17" s="1792">
        <v>19854683.559999999</v>
      </c>
      <c r="N17" s="1793">
        <v>16640010.1</v>
      </c>
      <c r="O17" s="1794">
        <v>18523636.5</v>
      </c>
      <c r="P17" s="1795">
        <v>18523636.5</v>
      </c>
      <c r="Q17" s="1795">
        <f t="shared" si="2"/>
        <v>332739.14999999851</v>
      </c>
      <c r="R17" s="1796">
        <v>18523636.5</v>
      </c>
      <c r="S17" s="602">
        <v>18190897.350000001</v>
      </c>
      <c r="T17" s="1797">
        <v>18190897.350000001</v>
      </c>
      <c r="U17" s="602">
        <v>18190897.350000001</v>
      </c>
      <c r="V17" s="2077">
        <f t="shared" si="1"/>
        <v>0</v>
      </c>
    </row>
    <row r="18" spans="1:22" ht="24" customHeight="1">
      <c r="A18" s="1782">
        <f>+A3096</f>
        <v>2.7</v>
      </c>
      <c r="B18" s="1783" t="str">
        <f>+B3096</f>
        <v>งานทาสี</v>
      </c>
      <c r="C18" s="1798"/>
      <c r="D18" s="1800"/>
      <c r="E18" s="1785">
        <v>1</v>
      </c>
      <c r="F18" s="1786" t="s">
        <v>19</v>
      </c>
      <c r="G18" s="1787"/>
      <c r="H18" s="1788">
        <f>H3108</f>
        <v>0</v>
      </c>
      <c r="I18" s="1789"/>
      <c r="J18" s="1788">
        <f>J3108</f>
        <v>0</v>
      </c>
      <c r="K18" s="1790">
        <f t="shared" si="0"/>
        <v>0</v>
      </c>
      <c r="L18" s="1791"/>
      <c r="M18" s="1792">
        <v>0</v>
      </c>
      <c r="N18" s="1793">
        <v>0</v>
      </c>
      <c r="O18" s="1794">
        <v>0</v>
      </c>
      <c r="P18" s="1795">
        <v>0</v>
      </c>
      <c r="Q18" s="1795">
        <f t="shared" si="2"/>
        <v>0</v>
      </c>
      <c r="R18" s="1796">
        <v>0</v>
      </c>
      <c r="S18" s="602">
        <v>0</v>
      </c>
      <c r="T18" s="1797">
        <v>0</v>
      </c>
      <c r="U18" s="602">
        <v>0</v>
      </c>
      <c r="V18" s="2077">
        <f t="shared" si="1"/>
        <v>0</v>
      </c>
    </row>
    <row r="19" spans="1:22" ht="24" customHeight="1">
      <c r="A19" s="1782">
        <f>+A3109</f>
        <v>2.8</v>
      </c>
      <c r="B19" s="1783" t="str">
        <f>+B3109</f>
        <v>งานบันไดและตกแต่งผิวบันได</v>
      </c>
      <c r="C19" s="1755"/>
      <c r="D19" s="1801"/>
      <c r="E19" s="1785">
        <v>1</v>
      </c>
      <c r="F19" s="1786" t="s">
        <v>19</v>
      </c>
      <c r="G19" s="1787"/>
      <c r="H19" s="1788">
        <f>H3207</f>
        <v>15613435</v>
      </c>
      <c r="I19" s="1789"/>
      <c r="J19" s="1788">
        <f>J3207</f>
        <v>4886452</v>
      </c>
      <c r="K19" s="1790">
        <f t="shared" si="0"/>
        <v>20499887</v>
      </c>
      <c r="L19" s="1791"/>
      <c r="M19" s="1792">
        <v>5122789.4000000004</v>
      </c>
      <c r="N19" s="1793">
        <v>28082757.399999999</v>
      </c>
      <c r="O19" s="1794">
        <v>20613047</v>
      </c>
      <c r="P19" s="1795">
        <v>20613047</v>
      </c>
      <c r="Q19" s="1795">
        <f t="shared" si="2"/>
        <v>113160</v>
      </c>
      <c r="R19" s="1796">
        <v>20613047</v>
      </c>
      <c r="S19" s="602">
        <v>20499887</v>
      </c>
      <c r="T19" s="1797">
        <v>20499887</v>
      </c>
      <c r="U19" s="602">
        <v>20499887</v>
      </c>
      <c r="V19" s="2077">
        <f t="shared" si="1"/>
        <v>0</v>
      </c>
    </row>
    <row r="20" spans="1:22" ht="24" customHeight="1">
      <c r="A20" s="1782">
        <f>+A3208</f>
        <v>2.9</v>
      </c>
      <c r="B20" s="1783" t="str">
        <f>+B3208</f>
        <v>งานเบ็ดเตล็ดและอื่นๆ</v>
      </c>
      <c r="C20" s="1755"/>
      <c r="D20" s="1801"/>
      <c r="E20" s="1785">
        <v>1</v>
      </c>
      <c r="F20" s="1786" t="s">
        <v>19</v>
      </c>
      <c r="G20" s="1787"/>
      <c r="H20" s="1788">
        <f>H3371</f>
        <v>246083071.96146801</v>
      </c>
      <c r="I20" s="1789"/>
      <c r="J20" s="1788">
        <f>J3371</f>
        <v>54043662.549999997</v>
      </c>
      <c r="K20" s="1790">
        <f t="shared" si="0"/>
        <v>300126734.51146799</v>
      </c>
      <c r="L20" s="1791"/>
      <c r="M20" s="1802">
        <v>225217746.80000001</v>
      </c>
      <c r="N20" s="1803">
        <v>304983895</v>
      </c>
      <c r="O20" s="1794">
        <v>325701042.45999998</v>
      </c>
      <c r="P20" s="1795">
        <v>330815378.45999998</v>
      </c>
      <c r="Q20" s="1795">
        <f t="shared" si="2"/>
        <v>30688643.948531985</v>
      </c>
      <c r="R20" s="1796">
        <v>298918500.83789963</v>
      </c>
      <c r="S20" s="602">
        <v>299356824.56278718</v>
      </c>
      <c r="T20" s="1797">
        <v>299442104.56278718</v>
      </c>
      <c r="U20" s="602">
        <v>299442104.56278718</v>
      </c>
      <c r="V20" s="2077">
        <f t="shared" si="1"/>
        <v>684629.94868081808</v>
      </c>
    </row>
    <row r="21" spans="1:22" ht="24" customHeight="1">
      <c r="A21" s="1804"/>
      <c r="B21" s="1783"/>
      <c r="C21" s="1755"/>
      <c r="D21" s="1801"/>
      <c r="E21" s="1785"/>
      <c r="F21" s="1786"/>
      <c r="G21" s="1787"/>
      <c r="H21" s="1788"/>
      <c r="I21" s="1789"/>
      <c r="J21" s="1788"/>
      <c r="K21" s="1788"/>
      <c r="L21" s="1791"/>
      <c r="M21" s="1802"/>
      <c r="N21" s="1805"/>
      <c r="O21" s="1797"/>
      <c r="Q21" s="1795"/>
    </row>
    <row r="22" spans="1:22" ht="24" customHeight="1">
      <c r="A22" s="1806"/>
      <c r="B22" s="1807"/>
      <c r="C22" s="1755"/>
      <c r="D22" s="1801"/>
      <c r="E22" s="1806"/>
      <c r="F22" s="1806"/>
      <c r="G22" s="1787"/>
      <c r="H22" s="1788"/>
      <c r="I22" s="1789"/>
      <c r="J22" s="1788"/>
      <c r="K22" s="1808"/>
      <c r="L22" s="1791"/>
      <c r="M22" s="1809"/>
      <c r="O22" s="1797"/>
    </row>
    <row r="23" spans="1:22" ht="24" customHeight="1">
      <c r="A23" s="1806"/>
      <c r="B23" s="1807"/>
      <c r="C23" s="1755"/>
      <c r="D23" s="1801"/>
      <c r="E23" s="1806"/>
      <c r="F23" s="1806"/>
      <c r="G23" s="1787"/>
      <c r="H23" s="1788"/>
      <c r="I23" s="1789"/>
      <c r="J23" s="1788"/>
      <c r="K23" s="1808"/>
      <c r="L23" s="1791"/>
      <c r="M23" s="1809"/>
    </row>
    <row r="24" spans="1:22" ht="24" customHeight="1">
      <c r="A24" s="1806"/>
      <c r="B24" s="1807"/>
      <c r="C24" s="1755"/>
      <c r="D24" s="1801"/>
      <c r="E24" s="1806"/>
      <c r="F24" s="1806"/>
      <c r="G24" s="1787"/>
      <c r="H24" s="1788"/>
      <c r="I24" s="1789"/>
      <c r="J24" s="1788"/>
      <c r="K24" s="1808"/>
      <c r="L24" s="1791"/>
      <c r="M24" s="1809"/>
    </row>
    <row r="25" spans="1:22" ht="24" customHeight="1">
      <c r="A25" s="1806"/>
      <c r="B25" s="1807"/>
      <c r="C25" s="1755"/>
      <c r="D25" s="1801"/>
      <c r="E25" s="1806"/>
      <c r="F25" s="1806"/>
      <c r="G25" s="1787"/>
      <c r="H25" s="1788"/>
      <c r="I25" s="1789"/>
      <c r="J25" s="1788"/>
      <c r="K25" s="1808"/>
      <c r="L25" s="1791"/>
      <c r="M25" s="1809"/>
    </row>
    <row r="26" spans="1:22" ht="24" customHeight="1">
      <c r="A26" s="1806"/>
      <c r="B26" s="1807"/>
      <c r="C26" s="1755"/>
      <c r="D26" s="1801"/>
      <c r="E26" s="1806"/>
      <c r="F26" s="1806"/>
      <c r="G26" s="1787"/>
      <c r="H26" s="1788"/>
      <c r="I26" s="1789"/>
      <c r="J26" s="1788"/>
      <c r="K26" s="1808"/>
      <c r="L26" s="1791"/>
      <c r="M26" s="1809"/>
    </row>
    <row r="27" spans="1:22" ht="24" customHeight="1">
      <c r="A27" s="1806"/>
      <c r="B27" s="1807"/>
      <c r="C27" s="1755"/>
      <c r="D27" s="1801"/>
      <c r="E27" s="1806"/>
      <c r="F27" s="1806"/>
      <c r="G27" s="1787"/>
      <c r="H27" s="1788"/>
      <c r="I27" s="1789"/>
      <c r="J27" s="1788"/>
      <c r="K27" s="1808"/>
      <c r="L27" s="1791"/>
      <c r="M27" s="1809"/>
      <c r="S27" s="2077"/>
    </row>
    <row r="28" spans="1:22" ht="24" customHeight="1">
      <c r="A28" s="1806"/>
      <c r="B28" s="1807"/>
      <c r="C28" s="1755"/>
      <c r="D28" s="1801"/>
      <c r="E28" s="1806"/>
      <c r="F28" s="1806"/>
      <c r="G28" s="1787"/>
      <c r="H28" s="1788"/>
      <c r="I28" s="1789"/>
      <c r="J28" s="1788"/>
      <c r="K28" s="1808"/>
      <c r="L28" s="1791"/>
      <c r="M28" s="1809"/>
    </row>
    <row r="29" spans="1:22" ht="24" customHeight="1">
      <c r="A29" s="1810"/>
      <c r="B29" s="1807"/>
      <c r="C29" s="1755"/>
      <c r="D29" s="1801"/>
      <c r="E29" s="1806"/>
      <c r="F29" s="1806"/>
      <c r="G29" s="1787"/>
      <c r="H29" s="1788"/>
      <c r="I29" s="1789"/>
      <c r="J29" s="1788"/>
      <c r="K29" s="1808"/>
      <c r="L29" s="1791"/>
      <c r="M29" s="1809"/>
    </row>
    <row r="30" spans="1:22" ht="24" customHeight="1">
      <c r="A30" s="1810"/>
      <c r="B30" s="1807"/>
      <c r="C30" s="1755"/>
      <c r="D30" s="1801"/>
      <c r="E30" s="1806"/>
      <c r="F30" s="1806"/>
      <c r="G30" s="1787"/>
      <c r="H30" s="1788"/>
      <c r="I30" s="1789"/>
      <c r="J30" s="1788"/>
      <c r="K30" s="1808"/>
      <c r="L30" s="1791"/>
      <c r="M30" s="1809"/>
    </row>
    <row r="31" spans="1:22" ht="24" customHeight="1">
      <c r="A31" s="1810"/>
      <c r="B31" s="1807"/>
      <c r="C31" s="1755"/>
      <c r="D31" s="1801"/>
      <c r="E31" s="1806"/>
      <c r="F31" s="1806"/>
      <c r="G31" s="1787"/>
      <c r="H31" s="1788"/>
      <c r="I31" s="1789"/>
      <c r="J31" s="1788"/>
      <c r="K31" s="1808"/>
      <c r="L31" s="1791"/>
      <c r="M31" s="1809"/>
    </row>
    <row r="32" spans="1:22" ht="24" customHeight="1">
      <c r="A32" s="1806"/>
      <c r="B32" s="1807"/>
      <c r="C32" s="1755"/>
      <c r="D32" s="1801"/>
      <c r="E32" s="1806"/>
      <c r="F32" s="1806"/>
      <c r="G32" s="1787"/>
      <c r="H32" s="1788"/>
      <c r="I32" s="1789"/>
      <c r="J32" s="1788"/>
      <c r="K32" s="1808"/>
      <c r="L32" s="1791"/>
      <c r="M32" s="1809"/>
    </row>
    <row r="33" spans="1:24" ht="24" customHeight="1">
      <c r="A33" s="1811"/>
      <c r="B33" s="1812"/>
      <c r="C33" s="1755"/>
      <c r="D33" s="1801"/>
      <c r="E33" s="1806"/>
      <c r="F33" s="1806"/>
      <c r="G33" s="1787"/>
      <c r="H33" s="1788"/>
      <c r="I33" s="1789"/>
      <c r="J33" s="1788"/>
      <c r="K33" s="1808"/>
      <c r="L33" s="1791"/>
      <c r="M33" s="1797">
        <f>SUM(M12:M32)</f>
        <v>385826621.64400005</v>
      </c>
      <c r="N33" s="1797">
        <f>SUM(N12:N32)</f>
        <v>532716841.704</v>
      </c>
      <c r="O33" s="1797">
        <f>SUM(O12:O32)</f>
        <v>523017338.43999994</v>
      </c>
      <c r="P33" s="1797">
        <f>SUM(P12:P32)</f>
        <v>528130674.43999994</v>
      </c>
      <c r="Q33" s="1797">
        <v>510000000</v>
      </c>
      <c r="R33" s="1813">
        <f>SUM(R12:R20)</f>
        <v>474381657.94789964</v>
      </c>
      <c r="S33" s="1813">
        <f>SUM(S12:S20)</f>
        <v>471001558.52278721</v>
      </c>
      <c r="T33" s="1813">
        <f>SUM(T12:T20)</f>
        <v>471086838.52278721</v>
      </c>
      <c r="U33" s="1797">
        <f>SUM(U12:U20)</f>
        <v>471512124.01278716</v>
      </c>
      <c r="V33" s="2077">
        <f>SUM(V12:V20)</f>
        <v>1223429.9486808181</v>
      </c>
    </row>
    <row r="34" spans="1:24" ht="24" customHeight="1">
      <c r="A34" s="1814"/>
      <c r="B34" s="1815"/>
      <c r="C34" s="1762"/>
      <c r="D34" s="1816"/>
      <c r="E34" s="1817"/>
      <c r="F34" s="1817"/>
      <c r="G34" s="1818"/>
      <c r="H34" s="1819"/>
      <c r="I34" s="1820"/>
      <c r="J34" s="1819"/>
      <c r="K34" s="1821"/>
      <c r="L34" s="1822"/>
      <c r="M34" s="1823"/>
      <c r="N34" s="1805"/>
      <c r="O34" s="1805"/>
      <c r="P34" s="1805"/>
      <c r="Q34" s="1805"/>
      <c r="R34" s="1824" t="s">
        <v>380</v>
      </c>
    </row>
    <row r="35" spans="1:24" ht="24" customHeight="1">
      <c r="A35" s="1825"/>
      <c r="B35" s="2450" t="str">
        <f>"รวมราคา"&amp;B11</f>
        <v>รวมราคางานสถาปัตยกรรม</v>
      </c>
      <c r="C35" s="2449"/>
      <c r="D35" s="2451"/>
      <c r="E35" s="1826"/>
      <c r="F35" s="1827"/>
      <c r="G35" s="1828"/>
      <c r="H35" s="1829">
        <f>SUM(H12:H34)</f>
        <v>379392987.26146799</v>
      </c>
      <c r="I35" s="1830"/>
      <c r="J35" s="1831">
        <f>SUM(J12:J34)</f>
        <v>93342566.699999988</v>
      </c>
      <c r="K35" s="1829">
        <f>SUM(K12:K34)</f>
        <v>472735553.96146798</v>
      </c>
      <c r="L35" s="1832"/>
      <c r="M35" s="1833">
        <f>SUM(M12:M34)</f>
        <v>771653243.28800011</v>
      </c>
      <c r="N35" s="1833">
        <f>SUM(N12:N34)</f>
        <v>1065433683.408</v>
      </c>
      <c r="O35" s="1833">
        <f>SUM(O12:O34)</f>
        <v>1046034676.8799999</v>
      </c>
      <c r="P35" s="1834">
        <f t="shared" ref="P35" si="3">O35-K35</f>
        <v>573299122.91853189</v>
      </c>
      <c r="Q35" s="1834"/>
      <c r="R35" s="1835">
        <v>727143360</v>
      </c>
      <c r="S35" s="1836"/>
      <c r="T35" s="1837"/>
      <c r="U35" s="1837"/>
      <c r="V35" s="1836">
        <f>K35-U33</f>
        <v>1223429.9486808181</v>
      </c>
      <c r="W35" s="1837"/>
      <c r="X35" s="1837"/>
    </row>
    <row r="36" spans="1:24" ht="24" customHeight="1">
      <c r="A36" s="1838">
        <v>2.1</v>
      </c>
      <c r="B36" s="1839" t="s">
        <v>381</v>
      </c>
      <c r="C36" s="1840"/>
      <c r="D36" s="1841"/>
      <c r="E36" s="1842"/>
      <c r="F36" s="1842"/>
      <c r="G36" s="1843"/>
      <c r="H36" s="1844"/>
      <c r="I36" s="1845"/>
      <c r="J36" s="1846"/>
      <c r="K36" s="1843"/>
      <c r="L36" s="1847"/>
      <c r="M36" s="1809">
        <v>12667030</v>
      </c>
      <c r="N36" s="1837"/>
      <c r="O36" s="1837"/>
      <c r="P36" s="1837"/>
      <c r="Q36" s="1837"/>
      <c r="S36" s="1837"/>
      <c r="T36" s="1837"/>
      <c r="U36" s="1837"/>
      <c r="V36" s="1837"/>
      <c r="W36" s="1837"/>
      <c r="X36" s="1837"/>
    </row>
    <row r="37" spans="1:24" ht="24" customHeight="1">
      <c r="A37" s="1848" t="s">
        <v>382</v>
      </c>
      <c r="B37" s="1849" t="s">
        <v>383</v>
      </c>
      <c r="C37" s="1850"/>
      <c r="D37" s="1851"/>
      <c r="E37" s="1852"/>
      <c r="F37" s="1806"/>
      <c r="G37" s="1853"/>
      <c r="H37" s="1854"/>
      <c r="I37" s="1855"/>
      <c r="J37" s="1856"/>
      <c r="K37" s="1857"/>
      <c r="L37" s="1858"/>
      <c r="M37" s="1809">
        <f>K35-M36</f>
        <v>460068523.96146798</v>
      </c>
      <c r="N37" s="1837">
        <v>1.1719999999999999</v>
      </c>
      <c r="O37" s="1837"/>
      <c r="P37" s="1837" t="s">
        <v>384</v>
      </c>
      <c r="Q37" s="1837"/>
      <c r="R37" s="1837"/>
      <c r="S37" s="1837"/>
      <c r="T37" s="1837"/>
      <c r="U37" s="1837"/>
      <c r="V37" s="1837"/>
      <c r="W37" s="1837"/>
      <c r="X37" s="1837"/>
    </row>
    <row r="38" spans="1:24">
      <c r="A38" s="1806"/>
      <c r="B38" s="1783"/>
      <c r="C38" s="1755" t="s">
        <v>2955</v>
      </c>
      <c r="D38" s="1859"/>
      <c r="E38" s="1860">
        <f>E40+E41+E43+E45+E47+E49+E51+E53+E54+E56+E59+E61+E62+E67+E75</f>
        <v>1409</v>
      </c>
      <c r="F38" s="1801" t="s">
        <v>37</v>
      </c>
      <c r="G38" s="2289">
        <v>113</v>
      </c>
      <c r="H38" s="2290">
        <f>E38*G38</f>
        <v>159217</v>
      </c>
      <c r="I38" s="2291">
        <v>61</v>
      </c>
      <c r="J38" s="1861">
        <f t="shared" ref="J38:J87" si="4">E38*I38</f>
        <v>85949</v>
      </c>
      <c r="K38" s="1862">
        <f t="shared" ref="K38:K87" si="5">H38+J38</f>
        <v>245166</v>
      </c>
      <c r="L38" s="2292"/>
      <c r="M38" s="2293">
        <v>25000</v>
      </c>
      <c r="N38" s="1797">
        <f>SUM(E39:E78)</f>
        <v>8976</v>
      </c>
      <c r="O38" s="1797">
        <f>N38+N84+N133+N181+N233+N280+N329+N377+N469+N423+N518</f>
        <v>58730</v>
      </c>
      <c r="P38" s="1863">
        <f>K35/O38</f>
        <v>8049.302808810965</v>
      </c>
      <c r="Q38" s="1863"/>
    </row>
    <row r="39" spans="1:24">
      <c r="A39" s="1806"/>
      <c r="B39" s="1755" t="s">
        <v>385</v>
      </c>
      <c r="C39" s="1755" t="s">
        <v>386</v>
      </c>
      <c r="D39" s="1859"/>
      <c r="E39" s="1864">
        <v>0</v>
      </c>
      <c r="F39" s="1801" t="s">
        <v>37</v>
      </c>
      <c r="G39" s="2289">
        <v>113</v>
      </c>
      <c r="H39" s="2290">
        <f t="shared" ref="H39:H71" si="6">E39*G39</f>
        <v>0</v>
      </c>
      <c r="I39" s="2291">
        <v>61</v>
      </c>
      <c r="J39" s="1861">
        <f t="shared" si="4"/>
        <v>0</v>
      </c>
      <c r="K39" s="1862">
        <f t="shared" si="5"/>
        <v>0</v>
      </c>
      <c r="L39" s="2292"/>
      <c r="M39" s="2293"/>
      <c r="N39" s="1797"/>
      <c r="O39" s="1797"/>
    </row>
    <row r="40" spans="1:24">
      <c r="A40" s="1806"/>
      <c r="B40" s="1755" t="s">
        <v>387</v>
      </c>
      <c r="C40" s="1755" t="s">
        <v>388</v>
      </c>
      <c r="D40" s="1755"/>
      <c r="E40" s="1864">
        <v>0</v>
      </c>
      <c r="F40" s="1801" t="s">
        <v>37</v>
      </c>
      <c r="G40" s="2289">
        <v>564</v>
      </c>
      <c r="H40" s="2290">
        <f t="shared" si="6"/>
        <v>0</v>
      </c>
      <c r="I40" s="2291">
        <v>283</v>
      </c>
      <c r="J40" s="1861">
        <f t="shared" si="4"/>
        <v>0</v>
      </c>
      <c r="K40" s="1862">
        <f t="shared" si="5"/>
        <v>0</v>
      </c>
      <c r="L40" s="1865"/>
      <c r="M40" s="1866">
        <f>M37/M38</f>
        <v>18402.740958458719</v>
      </c>
    </row>
    <row r="41" spans="1:24">
      <c r="A41" s="1806"/>
      <c r="B41" s="1755" t="s">
        <v>389</v>
      </c>
      <c r="C41" s="1867" t="s">
        <v>390</v>
      </c>
      <c r="D41" s="1868"/>
      <c r="E41" s="1864">
        <v>0</v>
      </c>
      <c r="F41" s="1801" t="s">
        <v>37</v>
      </c>
      <c r="G41" s="2289">
        <v>295</v>
      </c>
      <c r="H41" s="2290">
        <f t="shared" si="6"/>
        <v>0</v>
      </c>
      <c r="I41" s="2291">
        <v>184</v>
      </c>
      <c r="J41" s="1861">
        <f t="shared" si="4"/>
        <v>0</v>
      </c>
      <c r="K41" s="1862">
        <f t="shared" si="5"/>
        <v>0</v>
      </c>
      <c r="L41" s="1865"/>
      <c r="M41" s="1866"/>
    </row>
    <row r="42" spans="1:24">
      <c r="A42" s="1806"/>
      <c r="B42" s="1755"/>
      <c r="C42" s="1867" t="s">
        <v>2778</v>
      </c>
      <c r="D42" s="1868"/>
      <c r="E42" s="1864"/>
      <c r="F42" s="1801"/>
      <c r="G42" s="2289"/>
      <c r="H42" s="2290"/>
      <c r="I42" s="2291"/>
      <c r="J42" s="1861"/>
      <c r="K42" s="1862"/>
      <c r="L42" s="1865"/>
      <c r="M42" s="1866"/>
    </row>
    <row r="43" spans="1:24">
      <c r="A43" s="1806"/>
      <c r="B43" s="1755" t="s">
        <v>391</v>
      </c>
      <c r="C43" s="1867" t="s">
        <v>2779</v>
      </c>
      <c r="D43" s="1868"/>
      <c r="E43" s="1864">
        <v>0</v>
      </c>
      <c r="F43" s="1801" t="s">
        <v>37</v>
      </c>
      <c r="G43" s="2289">
        <v>297</v>
      </c>
      <c r="H43" s="2290">
        <f t="shared" si="6"/>
        <v>0</v>
      </c>
      <c r="I43" s="2291">
        <v>204</v>
      </c>
      <c r="J43" s="1861">
        <f t="shared" si="4"/>
        <v>0</v>
      </c>
      <c r="K43" s="1862">
        <f t="shared" si="5"/>
        <v>0</v>
      </c>
      <c r="L43" s="1865"/>
      <c r="M43" s="1866"/>
    </row>
    <row r="44" spans="1:24">
      <c r="A44" s="1806"/>
      <c r="B44" s="1755"/>
      <c r="C44" s="1867" t="s">
        <v>2778</v>
      </c>
      <c r="D44" s="1868"/>
      <c r="E44" s="1864"/>
      <c r="F44" s="1801"/>
      <c r="G44" s="2289">
        <v>609</v>
      </c>
      <c r="H44" s="2290"/>
      <c r="I44" s="2291"/>
      <c r="J44" s="1861"/>
      <c r="K44" s="1862"/>
      <c r="L44" s="1865"/>
      <c r="M44" s="1869" t="s">
        <v>2780</v>
      </c>
      <c r="N44" s="1870"/>
      <c r="O44" s="1871">
        <v>550032658.44000006</v>
      </c>
    </row>
    <row r="45" spans="1:24">
      <c r="A45" s="1806"/>
      <c r="B45" s="1755" t="s">
        <v>392</v>
      </c>
      <c r="C45" s="1867" t="s">
        <v>444</v>
      </c>
      <c r="D45" s="1868"/>
      <c r="E45" s="1864">
        <v>0</v>
      </c>
      <c r="F45" s="1872" t="s">
        <v>37</v>
      </c>
      <c r="G45" s="1873">
        <v>609</v>
      </c>
      <c r="H45" s="1874">
        <f t="shared" ref="H45" si="7">E45*G45</f>
        <v>0</v>
      </c>
      <c r="I45" s="1875">
        <v>222</v>
      </c>
      <c r="J45" s="1876">
        <f t="shared" ref="J45" si="8">E45*I45</f>
        <v>0</v>
      </c>
      <c r="K45" s="1877">
        <f t="shared" ref="K45" si="9">H45+J45</f>
        <v>0</v>
      </c>
      <c r="L45" s="1865"/>
      <c r="M45" s="1878" t="s">
        <v>885</v>
      </c>
      <c r="N45" s="1879"/>
      <c r="O45" s="1880">
        <v>12667030</v>
      </c>
    </row>
    <row r="46" spans="1:24">
      <c r="A46" s="1806"/>
      <c r="B46" s="1755"/>
      <c r="C46" s="1867" t="s">
        <v>394</v>
      </c>
      <c r="D46" s="1868"/>
      <c r="E46" s="1864"/>
      <c r="F46" s="1872"/>
      <c r="G46" s="1873"/>
      <c r="H46" s="1874"/>
      <c r="I46" s="1875"/>
      <c r="J46" s="1876"/>
      <c r="K46" s="1877"/>
      <c r="L46" s="1865"/>
      <c r="M46" s="1878"/>
      <c r="N46" s="1879"/>
      <c r="O46" s="1881">
        <f>O44-O45</f>
        <v>537365628.44000006</v>
      </c>
    </row>
    <row r="47" spans="1:24">
      <c r="A47" s="1806"/>
      <c r="B47" s="1755" t="s">
        <v>2916</v>
      </c>
      <c r="C47" s="1867" t="s">
        <v>444</v>
      </c>
      <c r="D47" s="1868"/>
      <c r="E47" s="1864">
        <v>74</v>
      </c>
      <c r="F47" s="64" t="s">
        <v>37</v>
      </c>
      <c r="G47" s="1873">
        <v>399</v>
      </c>
      <c r="H47" s="1874">
        <f t="shared" ref="H47" si="10">E47*G47</f>
        <v>29526</v>
      </c>
      <c r="I47" s="1875">
        <v>222</v>
      </c>
      <c r="J47" s="1882">
        <f t="shared" ref="J47" si="11">E47*I47</f>
        <v>16428</v>
      </c>
      <c r="K47" s="1877">
        <f t="shared" ref="K47" si="12">H47+J47</f>
        <v>45954</v>
      </c>
      <c r="L47" s="1865"/>
      <c r="M47" s="1878"/>
      <c r="N47" s="1879"/>
      <c r="O47" s="1881"/>
    </row>
    <row r="48" spans="1:24">
      <c r="A48" s="1806"/>
      <c r="B48" s="1755"/>
      <c r="C48" s="1867" t="s">
        <v>394</v>
      </c>
      <c r="D48" s="1868"/>
      <c r="E48" s="1864"/>
      <c r="F48" s="64"/>
      <c r="G48" s="1873"/>
      <c r="H48" s="1874"/>
      <c r="I48" s="1875"/>
      <c r="J48" s="1882"/>
      <c r="K48" s="1877"/>
      <c r="L48" s="1865"/>
      <c r="M48" s="1878"/>
      <c r="N48" s="1879"/>
      <c r="O48" s="1881"/>
    </row>
    <row r="49" spans="1:15">
      <c r="A49" s="1806"/>
      <c r="B49" s="1755" t="s">
        <v>393</v>
      </c>
      <c r="C49" s="1867" t="s">
        <v>445</v>
      </c>
      <c r="D49" s="1868"/>
      <c r="E49" s="1864">
        <v>0</v>
      </c>
      <c r="F49" s="1872" t="s">
        <v>37</v>
      </c>
      <c r="G49" s="1873">
        <v>617</v>
      </c>
      <c r="H49" s="1874">
        <f t="shared" ref="H49" si="13">E49*G49</f>
        <v>0</v>
      </c>
      <c r="I49" s="1875">
        <v>242</v>
      </c>
      <c r="J49" s="1876">
        <f t="shared" ref="J49" si="14">E49*I49</f>
        <v>0</v>
      </c>
      <c r="K49" s="1877">
        <f t="shared" ref="K49" si="15">H49+J49</f>
        <v>0</v>
      </c>
      <c r="L49" s="1865"/>
      <c r="M49" s="1878" t="s">
        <v>2781</v>
      </c>
      <c r="N49" s="1879"/>
      <c r="O49" s="1883">
        <v>1.1719999999999999</v>
      </c>
    </row>
    <row r="50" spans="1:15">
      <c r="A50" s="1806"/>
      <c r="B50" s="1755"/>
      <c r="C50" s="1755" t="s">
        <v>394</v>
      </c>
      <c r="D50" s="1755"/>
      <c r="E50" s="1864"/>
      <c r="F50" s="1872"/>
      <c r="G50" s="1873"/>
      <c r="H50" s="1874"/>
      <c r="I50" s="1875"/>
      <c r="J50" s="1876"/>
      <c r="K50" s="1877"/>
      <c r="L50" s="1865"/>
      <c r="M50" s="1878"/>
      <c r="N50" s="1879"/>
      <c r="O50" s="1881">
        <f>O46*O49</f>
        <v>629792516.53167999</v>
      </c>
    </row>
    <row r="51" spans="1:15">
      <c r="A51" s="1806"/>
      <c r="B51" s="1755" t="s">
        <v>2917</v>
      </c>
      <c r="C51" s="1867" t="s">
        <v>445</v>
      </c>
      <c r="D51" s="1868"/>
      <c r="E51" s="1864">
        <v>0</v>
      </c>
      <c r="F51" s="64" t="s">
        <v>37</v>
      </c>
      <c r="G51" s="1873">
        <v>399</v>
      </c>
      <c r="H51" s="1874">
        <f t="shared" ref="H51" si="16">E51*G51</f>
        <v>0</v>
      </c>
      <c r="I51" s="1875">
        <v>242</v>
      </c>
      <c r="J51" s="1882">
        <f t="shared" ref="J51" si="17">E51*I51</f>
        <v>0</v>
      </c>
      <c r="K51" s="1877">
        <f t="shared" ref="K51" si="18">H51+J51</f>
        <v>0</v>
      </c>
      <c r="L51" s="1865"/>
      <c r="M51" s="1878"/>
      <c r="N51" s="1879"/>
      <c r="O51" s="1883"/>
    </row>
    <row r="52" spans="1:15">
      <c r="A52" s="1806"/>
      <c r="B52" s="1755"/>
      <c r="C52" s="1755" t="s">
        <v>394</v>
      </c>
      <c r="D52" s="1755"/>
      <c r="E52" s="1864"/>
      <c r="F52" s="1801"/>
      <c r="G52" s="2289"/>
      <c r="H52" s="2290"/>
      <c r="I52" s="2291"/>
      <c r="J52" s="1861"/>
      <c r="K52" s="1862"/>
      <c r="L52" s="1865"/>
      <c r="M52" s="1878"/>
      <c r="N52" s="1879"/>
      <c r="O52" s="1881">
        <f>O48*O51</f>
        <v>0</v>
      </c>
    </row>
    <row r="53" spans="1:15">
      <c r="A53" s="1806"/>
      <c r="B53" s="1755" t="s">
        <v>395</v>
      </c>
      <c r="C53" s="1755" t="s">
        <v>396</v>
      </c>
      <c r="D53" s="1755"/>
      <c r="E53" s="1864">
        <v>1222</v>
      </c>
      <c r="F53" s="1801" t="s">
        <v>37</v>
      </c>
      <c r="G53" s="2289">
        <v>420</v>
      </c>
      <c r="H53" s="2290">
        <f t="shared" si="6"/>
        <v>513240</v>
      </c>
      <c r="I53" s="2291">
        <v>100</v>
      </c>
      <c r="J53" s="1861">
        <f t="shared" si="4"/>
        <v>122200</v>
      </c>
      <c r="K53" s="1862">
        <f t="shared" si="5"/>
        <v>635440</v>
      </c>
      <c r="L53" s="1865"/>
      <c r="M53" s="1878" t="s">
        <v>2782</v>
      </c>
      <c r="N53" s="1879"/>
      <c r="O53" s="1880">
        <v>59184</v>
      </c>
    </row>
    <row r="54" spans="1:15" ht="21.9">
      <c r="A54" s="1806"/>
      <c r="B54" s="1755" t="s">
        <v>397</v>
      </c>
      <c r="C54" s="1867" t="s">
        <v>398</v>
      </c>
      <c r="D54" s="1868"/>
      <c r="E54" s="1864">
        <v>0</v>
      </c>
      <c r="F54" s="1801" t="s">
        <v>37</v>
      </c>
      <c r="G54" s="2289">
        <v>564</v>
      </c>
      <c r="H54" s="2290">
        <f t="shared" si="6"/>
        <v>0</v>
      </c>
      <c r="I54" s="2291">
        <v>283</v>
      </c>
      <c r="J54" s="1861">
        <f t="shared" si="4"/>
        <v>0</v>
      </c>
      <c r="K54" s="1862">
        <f t="shared" si="5"/>
        <v>0</v>
      </c>
      <c r="L54" s="1865"/>
      <c r="M54" s="1878" t="s">
        <v>384</v>
      </c>
      <c r="N54" s="1879"/>
      <c r="O54" s="1884">
        <f>O50/O53</f>
        <v>10641.263120635307</v>
      </c>
    </row>
    <row r="55" spans="1:15">
      <c r="A55" s="1806"/>
      <c r="B55" s="1755"/>
      <c r="C55" s="1755" t="s">
        <v>2783</v>
      </c>
      <c r="D55" s="1755"/>
      <c r="E55" s="1864"/>
      <c r="F55" s="1885"/>
      <c r="G55" s="2289"/>
      <c r="H55" s="2290"/>
      <c r="I55" s="2291"/>
      <c r="J55" s="1861"/>
      <c r="K55" s="1862"/>
      <c r="L55" s="1865"/>
      <c r="M55" s="1866"/>
    </row>
    <row r="56" spans="1:15">
      <c r="A56" s="1806"/>
      <c r="B56" s="1755" t="s">
        <v>2784</v>
      </c>
      <c r="C56" s="1755" t="s">
        <v>399</v>
      </c>
      <c r="D56" s="1755"/>
      <c r="E56" s="1864">
        <v>0</v>
      </c>
      <c r="F56" s="1801" t="s">
        <v>37</v>
      </c>
      <c r="G56" s="2289">
        <v>3570</v>
      </c>
      <c r="H56" s="2290">
        <f t="shared" si="6"/>
        <v>0</v>
      </c>
      <c r="I56" s="2291">
        <v>220</v>
      </c>
      <c r="J56" s="1861">
        <f t="shared" si="4"/>
        <v>0</v>
      </c>
      <c r="K56" s="1862">
        <f t="shared" si="5"/>
        <v>0</v>
      </c>
      <c r="L56" s="1865"/>
      <c r="M56" s="1866"/>
    </row>
    <row r="57" spans="1:15">
      <c r="A57" s="1806"/>
      <c r="B57" s="1755" t="s">
        <v>400</v>
      </c>
      <c r="C57" s="1755" t="s">
        <v>401</v>
      </c>
      <c r="D57" s="1755"/>
      <c r="E57" s="1864">
        <v>2</v>
      </c>
      <c r="F57" s="1801" t="s">
        <v>37</v>
      </c>
      <c r="G57" s="2289">
        <f>ROUNDUP(2227.6*0.05+5*2.95,0)</f>
        <v>127</v>
      </c>
      <c r="H57" s="2290">
        <f t="shared" si="6"/>
        <v>254</v>
      </c>
      <c r="I57" s="2291">
        <v>82</v>
      </c>
      <c r="J57" s="1861">
        <f t="shared" si="4"/>
        <v>164</v>
      </c>
      <c r="K57" s="1862">
        <f t="shared" si="5"/>
        <v>418</v>
      </c>
      <c r="L57" s="1865"/>
      <c r="M57" s="1866"/>
    </row>
    <row r="58" spans="1:15">
      <c r="A58" s="1806"/>
      <c r="B58" s="1755" t="s">
        <v>402</v>
      </c>
      <c r="C58" s="1867" t="s">
        <v>403</v>
      </c>
      <c r="D58" s="1868"/>
      <c r="E58" s="1864">
        <v>7450</v>
      </c>
      <c r="F58" s="1801" t="s">
        <v>37</v>
      </c>
      <c r="G58" s="2291">
        <v>120</v>
      </c>
      <c r="H58" s="2290">
        <f t="shared" si="6"/>
        <v>894000</v>
      </c>
      <c r="I58" s="2291">
        <v>61</v>
      </c>
      <c r="J58" s="1861">
        <f t="shared" si="4"/>
        <v>454450</v>
      </c>
      <c r="K58" s="1862">
        <f t="shared" si="5"/>
        <v>1348450</v>
      </c>
      <c r="L58" s="1865"/>
      <c r="M58" s="1866"/>
    </row>
    <row r="59" spans="1:15">
      <c r="A59" s="1806"/>
      <c r="B59" s="1755" t="s">
        <v>404</v>
      </c>
      <c r="C59" s="1755" t="s">
        <v>405</v>
      </c>
      <c r="D59" s="1755"/>
      <c r="E59" s="1864">
        <v>0</v>
      </c>
      <c r="F59" s="1801" t="s">
        <v>37</v>
      </c>
      <c r="G59" s="2289">
        <v>447</v>
      </c>
      <c r="H59" s="2290">
        <f t="shared" si="6"/>
        <v>0</v>
      </c>
      <c r="I59" s="2291">
        <v>212</v>
      </c>
      <c r="J59" s="1861">
        <f t="shared" si="4"/>
        <v>0</v>
      </c>
      <c r="K59" s="1862">
        <f t="shared" si="5"/>
        <v>0</v>
      </c>
      <c r="L59" s="1865"/>
      <c r="M59" s="1866"/>
    </row>
    <row r="60" spans="1:15">
      <c r="A60" s="1806"/>
      <c r="B60" s="1755" t="s">
        <v>406</v>
      </c>
      <c r="C60" s="1867" t="s">
        <v>407</v>
      </c>
      <c r="D60" s="1868"/>
      <c r="E60" s="1864">
        <v>115</v>
      </c>
      <c r="F60" s="1801" t="s">
        <v>37</v>
      </c>
      <c r="G60" s="2291">
        <v>240</v>
      </c>
      <c r="H60" s="2290">
        <f t="shared" si="6"/>
        <v>27600</v>
      </c>
      <c r="I60" s="2291">
        <v>80</v>
      </c>
      <c r="J60" s="1861">
        <f t="shared" si="4"/>
        <v>9200</v>
      </c>
      <c r="K60" s="1862">
        <f t="shared" si="5"/>
        <v>36800</v>
      </c>
      <c r="L60" s="1865"/>
      <c r="M60" s="1866"/>
    </row>
    <row r="61" spans="1:15">
      <c r="A61" s="1806"/>
      <c r="B61" s="1755" t="s">
        <v>408</v>
      </c>
      <c r="C61" s="1867" t="s">
        <v>409</v>
      </c>
      <c r="D61" s="1868"/>
      <c r="E61" s="1864">
        <v>0</v>
      </c>
      <c r="F61" s="1801" t="s">
        <v>37</v>
      </c>
      <c r="G61" s="2291">
        <v>230</v>
      </c>
      <c r="H61" s="2290">
        <f t="shared" si="6"/>
        <v>0</v>
      </c>
      <c r="I61" s="2291">
        <v>50</v>
      </c>
      <c r="J61" s="1861">
        <f t="shared" si="4"/>
        <v>0</v>
      </c>
      <c r="K61" s="1862">
        <f t="shared" si="5"/>
        <v>0</v>
      </c>
      <c r="L61" s="1865"/>
      <c r="M61" s="1866"/>
    </row>
    <row r="62" spans="1:15">
      <c r="A62" s="1806"/>
      <c r="B62" s="1755" t="s">
        <v>410</v>
      </c>
      <c r="C62" s="1867" t="s">
        <v>411</v>
      </c>
      <c r="D62" s="1868"/>
      <c r="E62" s="1864">
        <v>0</v>
      </c>
      <c r="F62" s="1801" t="s">
        <v>37</v>
      </c>
      <c r="G62" s="2289">
        <v>220</v>
      </c>
      <c r="H62" s="2290">
        <f t="shared" si="6"/>
        <v>0</v>
      </c>
      <c r="I62" s="2291">
        <v>80</v>
      </c>
      <c r="J62" s="1861">
        <f t="shared" si="4"/>
        <v>0</v>
      </c>
      <c r="K62" s="1862">
        <f t="shared" si="5"/>
        <v>0</v>
      </c>
      <c r="L62" s="1865"/>
      <c r="M62" s="1866"/>
    </row>
    <row r="63" spans="1:15">
      <c r="A63" s="1806"/>
      <c r="B63" s="1755" t="s">
        <v>412</v>
      </c>
      <c r="C63" s="1867" t="s">
        <v>413</v>
      </c>
      <c r="D63" s="1868"/>
      <c r="E63" s="1864">
        <v>0</v>
      </c>
      <c r="F63" s="1801" t="s">
        <v>37</v>
      </c>
      <c r="G63" s="2289">
        <v>113</v>
      </c>
      <c r="H63" s="2290">
        <f t="shared" si="6"/>
        <v>0</v>
      </c>
      <c r="I63" s="2291">
        <v>61</v>
      </c>
      <c r="J63" s="1861">
        <f t="shared" si="4"/>
        <v>0</v>
      </c>
      <c r="K63" s="1862">
        <f t="shared" si="5"/>
        <v>0</v>
      </c>
      <c r="L63" s="1865"/>
      <c r="M63" s="1866"/>
    </row>
    <row r="64" spans="1:15">
      <c r="A64" s="1806"/>
      <c r="B64" s="1755" t="s">
        <v>414</v>
      </c>
      <c r="C64" s="1867" t="s">
        <v>415</v>
      </c>
      <c r="D64" s="1868"/>
      <c r="E64" s="1864">
        <v>0</v>
      </c>
      <c r="F64" s="1801" t="s">
        <v>37</v>
      </c>
      <c r="G64" s="2289">
        <v>113</v>
      </c>
      <c r="H64" s="2290">
        <f t="shared" si="6"/>
        <v>0</v>
      </c>
      <c r="I64" s="2291">
        <v>61</v>
      </c>
      <c r="J64" s="1861">
        <f t="shared" si="4"/>
        <v>0</v>
      </c>
      <c r="K64" s="1862">
        <f t="shared" si="5"/>
        <v>0</v>
      </c>
      <c r="L64" s="1865"/>
      <c r="M64" s="1866"/>
    </row>
    <row r="65" spans="1:24">
      <c r="A65" s="1806"/>
      <c r="B65" s="1755" t="s">
        <v>416</v>
      </c>
      <c r="C65" s="1867" t="s">
        <v>417</v>
      </c>
      <c r="D65" s="1868"/>
      <c r="E65" s="1864">
        <v>0</v>
      </c>
      <c r="F65" s="1801" t="s">
        <v>37</v>
      </c>
      <c r="G65" s="2289">
        <v>113</v>
      </c>
      <c r="H65" s="2290">
        <f t="shared" si="6"/>
        <v>0</v>
      </c>
      <c r="I65" s="2291">
        <v>61</v>
      </c>
      <c r="J65" s="1861">
        <f t="shared" si="4"/>
        <v>0</v>
      </c>
      <c r="K65" s="1862">
        <f t="shared" si="5"/>
        <v>0</v>
      </c>
      <c r="L65" s="1865"/>
      <c r="M65" s="1866"/>
    </row>
    <row r="66" spans="1:24">
      <c r="A66" s="1806"/>
      <c r="B66" s="1755" t="s">
        <v>418</v>
      </c>
      <c r="C66" s="1867" t="s">
        <v>419</v>
      </c>
      <c r="D66" s="1859"/>
      <c r="E66" s="1864">
        <v>0</v>
      </c>
      <c r="F66" s="1801" t="s">
        <v>37</v>
      </c>
      <c r="G66" s="2289">
        <v>113</v>
      </c>
      <c r="H66" s="2290">
        <f t="shared" si="6"/>
        <v>0</v>
      </c>
      <c r="I66" s="2291">
        <v>61</v>
      </c>
      <c r="J66" s="1861">
        <f t="shared" si="4"/>
        <v>0</v>
      </c>
      <c r="K66" s="1862">
        <f t="shared" si="5"/>
        <v>0</v>
      </c>
      <c r="L66" s="1865"/>
      <c r="M66" s="1866"/>
    </row>
    <row r="67" spans="1:24">
      <c r="A67" s="1806"/>
      <c r="B67" s="1755" t="s">
        <v>420</v>
      </c>
      <c r="C67" s="1867" t="s">
        <v>421</v>
      </c>
      <c r="D67" s="1859"/>
      <c r="E67" s="1864">
        <v>113</v>
      </c>
      <c r="F67" s="1801" t="s">
        <v>37</v>
      </c>
      <c r="G67" s="2289">
        <v>583</v>
      </c>
      <c r="H67" s="2290">
        <f t="shared" si="6"/>
        <v>65879</v>
      </c>
      <c r="I67" s="2291">
        <v>298</v>
      </c>
      <c r="J67" s="1861">
        <f t="shared" si="4"/>
        <v>33674</v>
      </c>
      <c r="K67" s="1862">
        <f t="shared" si="5"/>
        <v>99553</v>
      </c>
      <c r="L67" s="1865"/>
      <c r="M67" s="1866"/>
    </row>
    <row r="68" spans="1:24">
      <c r="A68" s="2275"/>
      <c r="B68" s="1755" t="s">
        <v>422</v>
      </c>
      <c r="C68" s="1755" t="s">
        <v>423</v>
      </c>
      <c r="D68" s="1859"/>
      <c r="E68" s="1864">
        <v>0</v>
      </c>
      <c r="F68" s="1801" t="s">
        <v>37</v>
      </c>
      <c r="G68" s="2289">
        <v>240</v>
      </c>
      <c r="H68" s="2290">
        <f t="shared" si="6"/>
        <v>0</v>
      </c>
      <c r="I68" s="2291">
        <v>50</v>
      </c>
      <c r="J68" s="1861">
        <f t="shared" si="4"/>
        <v>0</v>
      </c>
      <c r="K68" s="1862">
        <f t="shared" si="5"/>
        <v>0</v>
      </c>
      <c r="L68" s="1865"/>
      <c r="M68" s="1866"/>
      <c r="O68" s="1886"/>
    </row>
    <row r="69" spans="1:24">
      <c r="A69" s="2275"/>
      <c r="B69" s="1755"/>
      <c r="C69" s="1755" t="s">
        <v>424</v>
      </c>
      <c r="D69" s="1859"/>
      <c r="E69" s="1864"/>
      <c r="F69" s="1801"/>
      <c r="G69" s="2289"/>
      <c r="H69" s="2290"/>
      <c r="I69" s="2291"/>
      <c r="J69" s="1861"/>
      <c r="K69" s="1862"/>
      <c r="L69" s="1865"/>
      <c r="M69" s="1866"/>
      <c r="O69" s="1886"/>
    </row>
    <row r="70" spans="1:24">
      <c r="A70" s="2275"/>
      <c r="B70" s="1887" t="s">
        <v>425</v>
      </c>
      <c r="C70" s="1755" t="s">
        <v>2785</v>
      </c>
      <c r="D70" s="1859"/>
      <c r="E70" s="1864">
        <f>E68</f>
        <v>0</v>
      </c>
      <c r="F70" s="1801" t="s">
        <v>37</v>
      </c>
      <c r="G70" s="2289">
        <v>140</v>
      </c>
      <c r="H70" s="2290">
        <f t="shared" si="6"/>
        <v>0</v>
      </c>
      <c r="I70" s="2291">
        <v>40</v>
      </c>
      <c r="J70" s="1861">
        <f t="shared" si="4"/>
        <v>0</v>
      </c>
      <c r="K70" s="1862">
        <f t="shared" si="5"/>
        <v>0</v>
      </c>
      <c r="L70" s="1865"/>
      <c r="M70" s="1866"/>
      <c r="O70" s="1886"/>
    </row>
    <row r="71" spans="1:24">
      <c r="A71" s="2275"/>
      <c r="B71" s="1755" t="s">
        <v>426</v>
      </c>
      <c r="C71" s="1755" t="s">
        <v>427</v>
      </c>
      <c r="D71" s="1859"/>
      <c r="E71" s="1864">
        <v>0</v>
      </c>
      <c r="F71" s="1801" t="s">
        <v>37</v>
      </c>
      <c r="G71" s="2289">
        <v>0</v>
      </c>
      <c r="H71" s="2290">
        <f t="shared" si="6"/>
        <v>0</v>
      </c>
      <c r="I71" s="2291">
        <v>0</v>
      </c>
      <c r="J71" s="1861">
        <f t="shared" si="4"/>
        <v>0</v>
      </c>
      <c r="K71" s="1862">
        <f t="shared" si="5"/>
        <v>0</v>
      </c>
      <c r="L71" s="1865"/>
      <c r="M71" s="1866"/>
      <c r="O71" s="1886"/>
    </row>
    <row r="72" spans="1:24">
      <c r="A72" s="2275"/>
      <c r="B72" s="1755"/>
      <c r="C72" s="1755" t="s">
        <v>428</v>
      </c>
      <c r="D72" s="1859"/>
      <c r="E72" s="1864"/>
      <c r="F72" s="1801"/>
      <c r="G72" s="2289"/>
      <c r="H72" s="2290"/>
      <c r="I72" s="2291"/>
      <c r="J72" s="1861"/>
      <c r="K72" s="1862"/>
      <c r="L72" s="1865"/>
      <c r="M72" s="1866"/>
      <c r="O72" s="1886"/>
    </row>
    <row r="73" spans="1:24">
      <c r="A73" s="2275"/>
      <c r="B73" s="1755"/>
      <c r="C73" s="1755" t="s">
        <v>429</v>
      </c>
      <c r="D73" s="1859"/>
      <c r="E73" s="1864"/>
      <c r="F73" s="1801"/>
      <c r="G73" s="2289"/>
      <c r="H73" s="2290"/>
      <c r="I73" s="2291"/>
      <c r="J73" s="1861"/>
      <c r="K73" s="1862"/>
      <c r="L73" s="1865"/>
      <c r="M73" s="1866"/>
      <c r="O73" s="1886"/>
    </row>
    <row r="74" spans="1:24">
      <c r="A74" s="93"/>
      <c r="B74" s="1888" t="s">
        <v>430</v>
      </c>
      <c r="C74" s="1888" t="s">
        <v>2923</v>
      </c>
      <c r="D74" s="1889"/>
      <c r="E74" s="1890">
        <v>0</v>
      </c>
      <c r="F74" s="1872" t="s">
        <v>37</v>
      </c>
      <c r="G74" s="2294">
        <v>253</v>
      </c>
      <c r="H74" s="2295">
        <f t="shared" ref="H74:H77" si="19">E74*G74</f>
        <v>0</v>
      </c>
      <c r="I74" s="2296">
        <v>50</v>
      </c>
      <c r="J74" s="1876">
        <f t="shared" ref="J74" si="20">E74*I74</f>
        <v>0</v>
      </c>
      <c r="K74" s="1877">
        <f t="shared" ref="K74" si="21">H74+J74</f>
        <v>0</v>
      </c>
      <c r="L74" s="1865"/>
      <c r="M74" s="1866"/>
      <c r="O74" s="1886"/>
    </row>
    <row r="75" spans="1:24" ht="24" customHeight="1">
      <c r="A75" s="2275"/>
      <c r="B75" s="1755" t="s">
        <v>431</v>
      </c>
      <c r="C75" s="1755" t="s">
        <v>432</v>
      </c>
      <c r="D75" s="1859"/>
      <c r="E75" s="1864">
        <v>0</v>
      </c>
      <c r="F75" s="1801" t="s">
        <v>37</v>
      </c>
      <c r="G75" s="2289">
        <v>0</v>
      </c>
      <c r="H75" s="2290">
        <f t="shared" si="19"/>
        <v>0</v>
      </c>
      <c r="I75" s="2291">
        <v>220</v>
      </c>
      <c r="J75" s="1861">
        <f t="shared" si="4"/>
        <v>0</v>
      </c>
      <c r="K75" s="1862">
        <f t="shared" si="5"/>
        <v>0</v>
      </c>
      <c r="L75" s="1858"/>
      <c r="M75" s="1809"/>
      <c r="N75" s="1837"/>
      <c r="O75" s="1886"/>
      <c r="P75" s="1837"/>
      <c r="Q75" s="1837"/>
      <c r="R75" s="1837"/>
      <c r="S75" s="1837"/>
      <c r="T75" s="1837"/>
      <c r="U75" s="1837"/>
      <c r="V75" s="1837"/>
      <c r="W75" s="1837"/>
      <c r="X75" s="1837"/>
    </row>
    <row r="76" spans="1:24" ht="24" customHeight="1">
      <c r="A76" s="2275"/>
      <c r="B76" s="1755"/>
      <c r="C76" s="1755" t="s">
        <v>433</v>
      </c>
      <c r="D76" s="1891"/>
      <c r="E76" s="1864"/>
      <c r="F76" s="1801"/>
      <c r="G76" s="2289"/>
      <c r="H76" s="2290"/>
      <c r="I76" s="2291"/>
      <c r="J76" s="1861"/>
      <c r="K76" s="1862"/>
      <c r="L76" s="1858"/>
      <c r="M76" s="1809"/>
      <c r="N76" s="1837"/>
      <c r="O76" s="1886"/>
      <c r="P76" s="1837"/>
      <c r="Q76" s="1837"/>
      <c r="R76" s="1837"/>
      <c r="S76" s="1837"/>
      <c r="T76" s="1837"/>
      <c r="U76" s="1837"/>
      <c r="V76" s="1837"/>
      <c r="W76" s="1837"/>
      <c r="X76" s="1837"/>
    </row>
    <row r="77" spans="1:24">
      <c r="A77" s="1806"/>
      <c r="B77" s="1755" t="s">
        <v>434</v>
      </c>
      <c r="C77" s="1755" t="s">
        <v>435</v>
      </c>
      <c r="D77" s="1891"/>
      <c r="E77" s="1864">
        <v>0</v>
      </c>
      <c r="F77" s="1801" t="s">
        <v>37</v>
      </c>
      <c r="G77" s="1892">
        <v>398</v>
      </c>
      <c r="H77" s="2290">
        <f t="shared" si="19"/>
        <v>0</v>
      </c>
      <c r="I77" s="1893">
        <v>154</v>
      </c>
      <c r="J77" s="1861">
        <f t="shared" si="4"/>
        <v>0</v>
      </c>
      <c r="K77" s="1862">
        <f t="shared" si="5"/>
        <v>0</v>
      </c>
      <c r="L77" s="1864"/>
      <c r="M77" s="1894"/>
    </row>
    <row r="78" spans="1:24">
      <c r="A78" s="1806"/>
      <c r="B78" s="1755"/>
      <c r="C78" s="1895" t="s">
        <v>436</v>
      </c>
      <c r="D78" s="1891"/>
      <c r="E78" s="1864"/>
      <c r="F78" s="1801"/>
      <c r="G78" s="2289"/>
      <c r="H78" s="2290"/>
      <c r="I78" s="2291"/>
      <c r="J78" s="1861"/>
      <c r="K78" s="1862"/>
      <c r="L78" s="1865"/>
      <c r="M78" s="1866"/>
    </row>
    <row r="79" spans="1:24" s="1900" customFormat="1">
      <c r="A79" s="1896"/>
      <c r="B79" s="1895" t="s">
        <v>437</v>
      </c>
      <c r="C79" s="1895"/>
      <c r="D79" s="1895"/>
      <c r="E79" s="1897"/>
      <c r="F79" s="1898"/>
      <c r="G79" s="1789"/>
      <c r="H79" s="2290"/>
      <c r="I79" s="1855"/>
      <c r="J79" s="1861"/>
      <c r="K79" s="1862"/>
      <c r="L79" s="1899"/>
      <c r="M79" s="1737"/>
    </row>
    <row r="80" spans="1:24">
      <c r="A80" s="1901"/>
      <c r="B80" s="1902" t="s">
        <v>2924</v>
      </c>
      <c r="C80" s="2228" t="s">
        <v>446</v>
      </c>
      <c r="D80" s="2229"/>
      <c r="E80" s="1897">
        <v>76</v>
      </c>
      <c r="F80" s="1806" t="s">
        <v>438</v>
      </c>
      <c r="G80" s="60">
        <v>200</v>
      </c>
      <c r="H80" s="2295">
        <f t="shared" ref="H80:H87" si="22">E80*G80</f>
        <v>15200</v>
      </c>
      <c r="I80" s="1904">
        <v>45</v>
      </c>
      <c r="J80" s="1876">
        <f t="shared" ref="J80:J81" si="23">E80*I80</f>
        <v>3420</v>
      </c>
      <c r="K80" s="1877">
        <f t="shared" ref="K80:K81" si="24">H80+J80</f>
        <v>18620</v>
      </c>
      <c r="L80" s="119"/>
      <c r="M80" s="62" t="s">
        <v>2925</v>
      </c>
    </row>
    <row r="81" spans="1:24">
      <c r="A81" s="1901"/>
      <c r="B81" s="1902" t="s">
        <v>2924</v>
      </c>
      <c r="C81" s="2228" t="s">
        <v>439</v>
      </c>
      <c r="D81" s="2229"/>
      <c r="E81" s="1897">
        <v>503</v>
      </c>
      <c r="F81" s="1806" t="s">
        <v>438</v>
      </c>
      <c r="G81" s="60">
        <v>19</v>
      </c>
      <c r="H81" s="2295">
        <f t="shared" si="22"/>
        <v>9557</v>
      </c>
      <c r="I81" s="1904">
        <v>20</v>
      </c>
      <c r="J81" s="1876">
        <f t="shared" si="23"/>
        <v>10060</v>
      </c>
      <c r="K81" s="1877">
        <f t="shared" si="24"/>
        <v>19617</v>
      </c>
      <c r="L81" s="119"/>
      <c r="M81" s="62" t="s">
        <v>2925</v>
      </c>
    </row>
    <row r="82" spans="1:24">
      <c r="A82" s="1901"/>
      <c r="B82" s="2230" t="s">
        <v>425</v>
      </c>
      <c r="C82" s="2231" t="s">
        <v>440</v>
      </c>
      <c r="D82" s="2229"/>
      <c r="E82" s="1897">
        <v>0</v>
      </c>
      <c r="F82" s="1806" t="s">
        <v>438</v>
      </c>
      <c r="G82" s="1789">
        <v>0</v>
      </c>
      <c r="H82" s="2290">
        <f t="shared" si="22"/>
        <v>0</v>
      </c>
      <c r="I82" s="1855">
        <v>0</v>
      </c>
      <c r="J82" s="1861">
        <f t="shared" si="4"/>
        <v>0</v>
      </c>
      <c r="K82" s="1862">
        <f t="shared" si="5"/>
        <v>0</v>
      </c>
      <c r="L82" s="1899"/>
      <c r="M82" s="1797">
        <f>SUM(K38:K82)</f>
        <v>2450018</v>
      </c>
    </row>
    <row r="83" spans="1:24" ht="24" customHeight="1">
      <c r="A83" s="2232" t="s">
        <v>441</v>
      </c>
      <c r="B83" s="1840" t="s">
        <v>442</v>
      </c>
      <c r="C83" s="1755"/>
      <c r="D83" s="1859"/>
      <c r="E83" s="1897"/>
      <c r="F83" s="1806"/>
      <c r="G83" s="1789"/>
      <c r="H83" s="1854">
        <f t="shared" si="22"/>
        <v>0</v>
      </c>
      <c r="I83" s="1855"/>
      <c r="J83" s="1861">
        <f t="shared" si="4"/>
        <v>0</v>
      </c>
      <c r="K83" s="1862">
        <f t="shared" si="5"/>
        <v>0</v>
      </c>
      <c r="L83" s="1858"/>
      <c r="M83" s="1809"/>
      <c r="N83" s="1837"/>
      <c r="O83" s="1837"/>
      <c r="P83" s="1837"/>
      <c r="Q83" s="1837"/>
      <c r="R83" s="1837"/>
      <c r="S83" s="1837"/>
      <c r="T83" s="1837"/>
      <c r="U83" s="1837"/>
      <c r="V83" s="1837"/>
      <c r="W83" s="1837"/>
      <c r="X83" s="1837"/>
    </row>
    <row r="84" spans="1:24">
      <c r="A84" s="1806"/>
      <c r="B84" s="1783"/>
      <c r="C84" s="1755" t="s">
        <v>2955</v>
      </c>
      <c r="D84" s="1859"/>
      <c r="E84" s="1860">
        <f>E86+E87+E89+E92+E94+E96+E98+E100+E101+E103+E106+E108+E109+E114+E124</f>
        <v>1149</v>
      </c>
      <c r="F84" s="1801" t="s">
        <v>37</v>
      </c>
      <c r="G84" s="2289">
        <v>113</v>
      </c>
      <c r="H84" s="2290">
        <f t="shared" si="22"/>
        <v>129837</v>
      </c>
      <c r="I84" s="2291">
        <v>61</v>
      </c>
      <c r="J84" s="1861">
        <f t="shared" si="4"/>
        <v>70089</v>
      </c>
      <c r="K84" s="1862">
        <f t="shared" si="5"/>
        <v>199926</v>
      </c>
      <c r="L84" s="2292"/>
      <c r="M84" s="2293"/>
      <c r="N84" s="1797">
        <f>SUM(E85:E127)</f>
        <v>9072</v>
      </c>
      <c r="O84" s="1837"/>
    </row>
    <row r="85" spans="1:24">
      <c r="A85" s="1806"/>
      <c r="B85" s="1755" t="s">
        <v>385</v>
      </c>
      <c r="C85" s="1755" t="s">
        <v>386</v>
      </c>
      <c r="D85" s="1859"/>
      <c r="E85" s="1864">
        <v>0</v>
      </c>
      <c r="F85" s="1801" t="s">
        <v>37</v>
      </c>
      <c r="G85" s="2289">
        <v>113</v>
      </c>
      <c r="H85" s="2290">
        <f t="shared" si="22"/>
        <v>0</v>
      </c>
      <c r="I85" s="2291">
        <v>61</v>
      </c>
      <c r="J85" s="1861">
        <f t="shared" si="4"/>
        <v>0</v>
      </c>
      <c r="K85" s="1862">
        <f t="shared" si="5"/>
        <v>0</v>
      </c>
      <c r="L85" s="2292"/>
      <c r="M85" s="2293"/>
      <c r="N85" s="1797"/>
      <c r="O85" s="1797"/>
    </row>
    <row r="86" spans="1:24">
      <c r="A86" s="1806"/>
      <c r="B86" s="1755" t="s">
        <v>387</v>
      </c>
      <c r="C86" s="1755" t="s">
        <v>388</v>
      </c>
      <c r="D86" s="1755"/>
      <c r="E86" s="1864">
        <v>0</v>
      </c>
      <c r="F86" s="1801" t="s">
        <v>37</v>
      </c>
      <c r="G86" s="2289">
        <v>564</v>
      </c>
      <c r="H86" s="2290">
        <f t="shared" si="22"/>
        <v>0</v>
      </c>
      <c r="I86" s="2291">
        <v>283</v>
      </c>
      <c r="J86" s="1861">
        <f t="shared" si="4"/>
        <v>0</v>
      </c>
      <c r="K86" s="1862">
        <f t="shared" si="5"/>
        <v>0</v>
      </c>
      <c r="L86" s="1865"/>
      <c r="M86" s="1866"/>
      <c r="N86" s="1837"/>
      <c r="O86" s="1837"/>
    </row>
    <row r="87" spans="1:24">
      <c r="A87" s="1806"/>
      <c r="B87" s="1755" t="s">
        <v>389</v>
      </c>
      <c r="C87" s="1867" t="s">
        <v>390</v>
      </c>
      <c r="D87" s="1868"/>
      <c r="E87" s="1864">
        <v>0</v>
      </c>
      <c r="F87" s="1801" t="s">
        <v>37</v>
      </c>
      <c r="G87" s="2289">
        <v>295</v>
      </c>
      <c r="H87" s="2290">
        <f t="shared" si="22"/>
        <v>0</v>
      </c>
      <c r="I87" s="2291">
        <v>184</v>
      </c>
      <c r="J87" s="1861">
        <f t="shared" si="4"/>
        <v>0</v>
      </c>
      <c r="K87" s="1862">
        <f t="shared" si="5"/>
        <v>0</v>
      </c>
      <c r="L87" s="1865"/>
      <c r="M87" s="1866"/>
      <c r="N87" s="1837"/>
      <c r="O87" s="1837"/>
    </row>
    <row r="88" spans="1:24">
      <c r="A88" s="1806"/>
      <c r="B88" s="1755"/>
      <c r="C88" s="1867" t="s">
        <v>2778</v>
      </c>
      <c r="D88" s="1868"/>
      <c r="E88" s="1864"/>
      <c r="F88" s="1801"/>
      <c r="G88" s="2289"/>
      <c r="H88" s="2290"/>
      <c r="I88" s="2291"/>
      <c r="J88" s="1861"/>
      <c r="K88" s="1862"/>
      <c r="L88" s="1865"/>
      <c r="M88" s="1866"/>
      <c r="N88" s="1837"/>
      <c r="O88" s="1837"/>
    </row>
    <row r="89" spans="1:24">
      <c r="A89" s="1806"/>
      <c r="B89" s="1755" t="s">
        <v>391</v>
      </c>
      <c r="C89" s="1867" t="s">
        <v>443</v>
      </c>
      <c r="D89" s="1868"/>
      <c r="E89" s="1864">
        <v>0</v>
      </c>
      <c r="F89" s="1801" t="s">
        <v>37</v>
      </c>
      <c r="G89" s="2289">
        <v>297</v>
      </c>
      <c r="H89" s="2290">
        <f t="shared" ref="H89" si="25">E89*G89</f>
        <v>0</v>
      </c>
      <c r="I89" s="2291">
        <v>204</v>
      </c>
      <c r="J89" s="1861">
        <f t="shared" ref="J89" si="26">E89*I89</f>
        <v>0</v>
      </c>
      <c r="K89" s="1862">
        <f t="shared" ref="K89" si="27">H89+J89</f>
        <v>0</v>
      </c>
      <c r="L89" s="1865"/>
      <c r="M89" s="1866"/>
      <c r="N89" s="1837"/>
      <c r="O89" s="1837"/>
    </row>
    <row r="90" spans="1:24">
      <c r="A90" s="1806"/>
      <c r="B90" s="1755"/>
      <c r="C90" s="1867" t="s">
        <v>2786</v>
      </c>
      <c r="D90" s="1868"/>
      <c r="E90" s="1864"/>
      <c r="F90" s="1801"/>
      <c r="G90" s="2289"/>
      <c r="H90" s="2290"/>
      <c r="I90" s="2291"/>
      <c r="J90" s="1861"/>
      <c r="K90" s="1862"/>
      <c r="L90" s="1865"/>
      <c r="M90" s="1866"/>
      <c r="N90" s="1837"/>
      <c r="O90" s="1837"/>
    </row>
    <row r="91" spans="1:24">
      <c r="A91" s="1806"/>
      <c r="B91" s="1755"/>
      <c r="C91" s="1867"/>
      <c r="D91" s="1868"/>
      <c r="E91" s="1864"/>
      <c r="F91" s="1801"/>
      <c r="G91" s="2289"/>
      <c r="H91" s="2290"/>
      <c r="I91" s="2291"/>
      <c r="J91" s="1939"/>
      <c r="K91" s="1862"/>
      <c r="L91" s="1865"/>
      <c r="M91" s="1866"/>
      <c r="N91" s="1837"/>
      <c r="O91" s="1837"/>
    </row>
    <row r="92" spans="1:24">
      <c r="A92" s="1806"/>
      <c r="B92" s="1755" t="s">
        <v>392</v>
      </c>
      <c r="C92" s="1867" t="s">
        <v>444</v>
      </c>
      <c r="D92" s="1868"/>
      <c r="E92" s="1864">
        <v>44</v>
      </c>
      <c r="F92" s="1872" t="s">
        <v>37</v>
      </c>
      <c r="G92" s="1873">
        <v>609</v>
      </c>
      <c r="H92" s="1874">
        <f t="shared" ref="H92" si="28">E92*G92</f>
        <v>26796</v>
      </c>
      <c r="I92" s="1875">
        <v>222</v>
      </c>
      <c r="J92" s="1876">
        <f t="shared" ref="J92" si="29">E92*I92</f>
        <v>9768</v>
      </c>
      <c r="K92" s="1877">
        <f t="shared" ref="K92" si="30">H92+J92</f>
        <v>36564</v>
      </c>
      <c r="L92" s="1865"/>
      <c r="M92" s="1866"/>
      <c r="N92" s="1837"/>
      <c r="O92" s="1837"/>
    </row>
    <row r="93" spans="1:24">
      <c r="A93" s="1806"/>
      <c r="B93" s="1755"/>
      <c r="C93" s="1867" t="s">
        <v>394</v>
      </c>
      <c r="D93" s="1868"/>
      <c r="E93" s="1864"/>
      <c r="F93" s="1872"/>
      <c r="G93" s="1873"/>
      <c r="H93" s="1874"/>
      <c r="I93" s="1875"/>
      <c r="J93" s="1876"/>
      <c r="K93" s="1877"/>
      <c r="L93" s="1865"/>
      <c r="M93" s="1866"/>
      <c r="N93" s="1837"/>
      <c r="O93" s="1837"/>
    </row>
    <row r="94" spans="1:24">
      <c r="A94" s="1806"/>
      <c r="B94" s="1755" t="s">
        <v>2916</v>
      </c>
      <c r="C94" s="1867" t="s">
        <v>444</v>
      </c>
      <c r="D94" s="1868"/>
      <c r="E94" s="1864">
        <v>0</v>
      </c>
      <c r="F94" s="64" t="s">
        <v>37</v>
      </c>
      <c r="G94" s="1873">
        <v>399</v>
      </c>
      <c r="H94" s="1874">
        <f t="shared" ref="H94" si="31">E94*G94</f>
        <v>0</v>
      </c>
      <c r="I94" s="1875">
        <v>222</v>
      </c>
      <c r="J94" s="1882">
        <f t="shared" ref="J94" si="32">E94*I94</f>
        <v>0</v>
      </c>
      <c r="K94" s="1877">
        <f t="shared" ref="K94" si="33">H94+J94</f>
        <v>0</v>
      </c>
      <c r="L94" s="1865"/>
      <c r="M94" s="1878"/>
      <c r="N94" s="1879"/>
      <c r="O94" s="1881"/>
    </row>
    <row r="95" spans="1:24">
      <c r="A95" s="1806"/>
      <c r="B95" s="1755"/>
      <c r="C95" s="1867" t="s">
        <v>394</v>
      </c>
      <c r="D95" s="1868"/>
      <c r="E95" s="1864"/>
      <c r="F95" s="64"/>
      <c r="G95" s="1873"/>
      <c r="H95" s="1874"/>
      <c r="I95" s="1875"/>
      <c r="J95" s="1882"/>
      <c r="K95" s="1877"/>
      <c r="L95" s="1865"/>
      <c r="M95" s="1878"/>
      <c r="N95" s="1879"/>
      <c r="O95" s="1881"/>
    </row>
    <row r="96" spans="1:24">
      <c r="A96" s="1806"/>
      <c r="B96" s="1755" t="s">
        <v>393</v>
      </c>
      <c r="C96" s="1867" t="s">
        <v>445</v>
      </c>
      <c r="D96" s="1868"/>
      <c r="E96" s="1864">
        <v>0</v>
      </c>
      <c r="F96" s="1872" t="s">
        <v>37</v>
      </c>
      <c r="G96" s="1873">
        <v>617</v>
      </c>
      <c r="H96" s="1874">
        <f t="shared" ref="H96" si="34">E96*G96</f>
        <v>0</v>
      </c>
      <c r="I96" s="1875">
        <v>242</v>
      </c>
      <c r="J96" s="1876">
        <f t="shared" ref="J96" si="35">E96*I96</f>
        <v>0</v>
      </c>
      <c r="K96" s="1877">
        <f t="shared" ref="K96" si="36">H96+J96</f>
        <v>0</v>
      </c>
      <c r="L96" s="1865"/>
      <c r="M96" s="1878" t="s">
        <v>2781</v>
      </c>
      <c r="N96" s="1879"/>
      <c r="O96" s="1883">
        <v>1.1719999999999999</v>
      </c>
    </row>
    <row r="97" spans="1:15">
      <c r="A97" s="1806"/>
      <c r="B97" s="1755"/>
      <c r="C97" s="1867" t="s">
        <v>394</v>
      </c>
      <c r="D97" s="1755"/>
      <c r="E97" s="1864"/>
      <c r="F97" s="1872"/>
      <c r="G97" s="1873"/>
      <c r="H97" s="1874"/>
      <c r="I97" s="1875"/>
      <c r="J97" s="1876"/>
      <c r="K97" s="1877"/>
      <c r="L97" s="1865"/>
      <c r="M97" s="1878"/>
      <c r="N97" s="1879"/>
      <c r="O97" s="1881">
        <f>O93*O96</f>
        <v>0</v>
      </c>
    </row>
    <row r="98" spans="1:15">
      <c r="A98" s="1806"/>
      <c r="B98" s="1755" t="s">
        <v>2917</v>
      </c>
      <c r="C98" s="1867" t="s">
        <v>445</v>
      </c>
      <c r="D98" s="1868"/>
      <c r="E98" s="1864">
        <v>0</v>
      </c>
      <c r="F98" s="64" t="s">
        <v>37</v>
      </c>
      <c r="G98" s="1873">
        <v>399</v>
      </c>
      <c r="H98" s="1874">
        <f t="shared" ref="H98" si="37">E98*G98</f>
        <v>0</v>
      </c>
      <c r="I98" s="1875">
        <v>242</v>
      </c>
      <c r="J98" s="1882">
        <f t="shared" ref="J98" si="38">E98*I98</f>
        <v>0</v>
      </c>
      <c r="K98" s="1877">
        <f t="shared" ref="K98" si="39">H98+J98</f>
        <v>0</v>
      </c>
      <c r="L98" s="1865"/>
      <c r="M98" s="1878"/>
      <c r="N98" s="1879"/>
      <c r="O98" s="1883"/>
    </row>
    <row r="99" spans="1:15">
      <c r="A99" s="1806"/>
      <c r="B99" s="1755"/>
      <c r="C99" s="1755" t="s">
        <v>394</v>
      </c>
      <c r="D99" s="1755"/>
      <c r="E99" s="1864"/>
      <c r="F99" s="1801"/>
      <c r="G99" s="2289"/>
      <c r="H99" s="2290"/>
      <c r="I99" s="2291"/>
      <c r="J99" s="1861"/>
      <c r="K99" s="1862"/>
      <c r="L99" s="1865"/>
      <c r="M99" s="1878"/>
      <c r="N99" s="1879"/>
      <c r="O99" s="1881">
        <f>O95*O98</f>
        <v>0</v>
      </c>
    </row>
    <row r="100" spans="1:15">
      <c r="A100" s="1806"/>
      <c r="B100" s="1755" t="s">
        <v>395</v>
      </c>
      <c r="C100" s="1755" t="s">
        <v>396</v>
      </c>
      <c r="D100" s="1755"/>
      <c r="E100" s="1864">
        <f>930+29</f>
        <v>959</v>
      </c>
      <c r="F100" s="1801" t="s">
        <v>37</v>
      </c>
      <c r="G100" s="2289">
        <v>420</v>
      </c>
      <c r="H100" s="2290">
        <f t="shared" ref="H100:H101" si="40">E100*G100</f>
        <v>402780</v>
      </c>
      <c r="I100" s="2291">
        <v>100</v>
      </c>
      <c r="J100" s="1861">
        <f t="shared" ref="J100:J101" si="41">E100*I100</f>
        <v>95900</v>
      </c>
      <c r="K100" s="1862">
        <f t="shared" ref="K100:K101" si="42">H100+J100</f>
        <v>498680</v>
      </c>
      <c r="L100" s="1865"/>
      <c r="M100" s="1866"/>
    </row>
    <row r="101" spans="1:15">
      <c r="A101" s="1806"/>
      <c r="B101" s="1755" t="s">
        <v>397</v>
      </c>
      <c r="C101" s="1867" t="s">
        <v>398</v>
      </c>
      <c r="D101" s="1868"/>
      <c r="E101" s="1864">
        <v>0</v>
      </c>
      <c r="F101" s="1801" t="s">
        <v>37</v>
      </c>
      <c r="G101" s="2289">
        <v>564</v>
      </c>
      <c r="H101" s="2290">
        <f t="shared" si="40"/>
        <v>0</v>
      </c>
      <c r="I101" s="2291">
        <v>283</v>
      </c>
      <c r="J101" s="1861">
        <f t="shared" si="41"/>
        <v>0</v>
      </c>
      <c r="K101" s="1862">
        <f t="shared" si="42"/>
        <v>0</v>
      </c>
      <c r="L101" s="1865"/>
      <c r="M101" s="1866"/>
    </row>
    <row r="102" spans="1:15">
      <c r="A102" s="1806"/>
      <c r="B102" s="1755"/>
      <c r="C102" s="1755" t="s">
        <v>2783</v>
      </c>
      <c r="D102" s="1755"/>
      <c r="E102" s="1864"/>
      <c r="F102" s="1885"/>
      <c r="G102" s="2289"/>
      <c r="H102" s="2290"/>
      <c r="I102" s="2291"/>
      <c r="J102" s="1861"/>
      <c r="K102" s="1862"/>
      <c r="L102" s="1865"/>
      <c r="M102" s="1866"/>
    </row>
    <row r="103" spans="1:15">
      <c r="A103" s="1806"/>
      <c r="B103" s="1755" t="s">
        <v>2784</v>
      </c>
      <c r="C103" s="1755" t="s">
        <v>399</v>
      </c>
      <c r="D103" s="1755"/>
      <c r="E103" s="1864">
        <v>0</v>
      </c>
      <c r="F103" s="1801" t="s">
        <v>37</v>
      </c>
      <c r="G103" s="2289">
        <v>3570</v>
      </c>
      <c r="H103" s="2290">
        <f t="shared" ref="H103:H115" si="43">E103*G103</f>
        <v>0</v>
      </c>
      <c r="I103" s="2291">
        <v>220</v>
      </c>
      <c r="J103" s="1861">
        <f t="shared" ref="J103:J115" si="44">E103*I103</f>
        <v>0</v>
      </c>
      <c r="K103" s="1862">
        <f t="shared" ref="K103:K115" si="45">H103+J103</f>
        <v>0</v>
      </c>
      <c r="L103" s="1865"/>
      <c r="M103" s="1866"/>
    </row>
    <row r="104" spans="1:15">
      <c r="A104" s="1806"/>
      <c r="B104" s="1755" t="s">
        <v>400</v>
      </c>
      <c r="C104" s="1755" t="s">
        <v>401</v>
      </c>
      <c r="D104" s="1755"/>
      <c r="E104" s="1864">
        <v>2</v>
      </c>
      <c r="F104" s="1801" t="s">
        <v>37</v>
      </c>
      <c r="G104" s="2289">
        <f>ROUNDUP(2227.6*0.05+5*2.95,0)</f>
        <v>127</v>
      </c>
      <c r="H104" s="2290">
        <f t="shared" si="43"/>
        <v>254</v>
      </c>
      <c r="I104" s="2291">
        <v>82</v>
      </c>
      <c r="J104" s="1861">
        <f t="shared" si="44"/>
        <v>164</v>
      </c>
      <c r="K104" s="1862">
        <f t="shared" si="45"/>
        <v>418</v>
      </c>
      <c r="L104" s="1865"/>
      <c r="M104" s="1866"/>
    </row>
    <row r="105" spans="1:15">
      <c r="A105" s="1806"/>
      <c r="B105" s="1755" t="s">
        <v>402</v>
      </c>
      <c r="C105" s="1867" t="s">
        <v>403</v>
      </c>
      <c r="D105" s="1868"/>
      <c r="E105" s="1864">
        <f>7950-29</f>
        <v>7921</v>
      </c>
      <c r="F105" s="1801" t="s">
        <v>37</v>
      </c>
      <c r="G105" s="2291">
        <v>120</v>
      </c>
      <c r="H105" s="2290">
        <f t="shared" si="43"/>
        <v>950520</v>
      </c>
      <c r="I105" s="2291">
        <v>61</v>
      </c>
      <c r="J105" s="1861">
        <f t="shared" si="44"/>
        <v>483181</v>
      </c>
      <c r="K105" s="1862">
        <f t="shared" si="45"/>
        <v>1433701</v>
      </c>
      <c r="L105" s="1865"/>
      <c r="M105" s="1866"/>
    </row>
    <row r="106" spans="1:15">
      <c r="A106" s="1806"/>
      <c r="B106" s="1755" t="s">
        <v>404</v>
      </c>
      <c r="C106" s="1755" t="s">
        <v>405</v>
      </c>
      <c r="D106" s="1755"/>
      <c r="E106" s="1864">
        <v>0</v>
      </c>
      <c r="F106" s="1801" t="s">
        <v>37</v>
      </c>
      <c r="G106" s="2289">
        <v>447</v>
      </c>
      <c r="H106" s="2290">
        <f t="shared" si="43"/>
        <v>0</v>
      </c>
      <c r="I106" s="2291">
        <v>212</v>
      </c>
      <c r="J106" s="1861">
        <f t="shared" si="44"/>
        <v>0</v>
      </c>
      <c r="K106" s="1862">
        <f t="shared" si="45"/>
        <v>0</v>
      </c>
      <c r="L106" s="1865"/>
      <c r="M106" s="1866"/>
    </row>
    <row r="107" spans="1:15">
      <c r="A107" s="1806"/>
      <c r="B107" s="1755" t="s">
        <v>406</v>
      </c>
      <c r="C107" s="1867" t="s">
        <v>407</v>
      </c>
      <c r="D107" s="1868"/>
      <c r="E107" s="1864">
        <v>0</v>
      </c>
      <c r="F107" s="1801" t="s">
        <v>37</v>
      </c>
      <c r="G107" s="2291">
        <v>240</v>
      </c>
      <c r="H107" s="2290">
        <f t="shared" si="43"/>
        <v>0</v>
      </c>
      <c r="I107" s="2291">
        <v>80</v>
      </c>
      <c r="J107" s="1861">
        <f t="shared" si="44"/>
        <v>0</v>
      </c>
      <c r="K107" s="1862">
        <f t="shared" si="45"/>
        <v>0</v>
      </c>
      <c r="L107" s="1865"/>
      <c r="M107" s="1866"/>
    </row>
    <row r="108" spans="1:15">
      <c r="A108" s="1806"/>
      <c r="B108" s="1755" t="s">
        <v>408</v>
      </c>
      <c r="C108" s="1867" t="s">
        <v>409</v>
      </c>
      <c r="D108" s="1868"/>
      <c r="E108" s="1864">
        <v>0</v>
      </c>
      <c r="F108" s="1801" t="s">
        <v>37</v>
      </c>
      <c r="G108" s="2291">
        <v>230</v>
      </c>
      <c r="H108" s="2290">
        <f t="shared" si="43"/>
        <v>0</v>
      </c>
      <c r="I108" s="2291">
        <v>50</v>
      </c>
      <c r="J108" s="1861">
        <f t="shared" si="44"/>
        <v>0</v>
      </c>
      <c r="K108" s="1862">
        <f t="shared" si="45"/>
        <v>0</v>
      </c>
      <c r="L108" s="1865"/>
      <c r="M108" s="1866"/>
    </row>
    <row r="109" spans="1:15">
      <c r="A109" s="1806"/>
      <c r="B109" s="1755" t="s">
        <v>410</v>
      </c>
      <c r="C109" s="1867" t="s">
        <v>411</v>
      </c>
      <c r="D109" s="1868"/>
      <c r="E109" s="1864">
        <v>31</v>
      </c>
      <c r="F109" s="1801" t="s">
        <v>37</v>
      </c>
      <c r="G109" s="2289">
        <v>220</v>
      </c>
      <c r="H109" s="2290">
        <f t="shared" si="43"/>
        <v>6820</v>
      </c>
      <c r="I109" s="2291">
        <v>80</v>
      </c>
      <c r="J109" s="1861">
        <f t="shared" si="44"/>
        <v>2480</v>
      </c>
      <c r="K109" s="1862">
        <f t="shared" si="45"/>
        <v>9300</v>
      </c>
      <c r="L109" s="1865"/>
      <c r="M109" s="1866"/>
    </row>
    <row r="110" spans="1:15">
      <c r="A110" s="1806"/>
      <c r="B110" s="1755" t="s">
        <v>412</v>
      </c>
      <c r="C110" s="1867" t="s">
        <v>413</v>
      </c>
      <c r="D110" s="1868"/>
      <c r="E110" s="1864">
        <v>0</v>
      </c>
      <c r="F110" s="1801" t="s">
        <v>37</v>
      </c>
      <c r="G110" s="2289">
        <v>113</v>
      </c>
      <c r="H110" s="2290">
        <f t="shared" si="43"/>
        <v>0</v>
      </c>
      <c r="I110" s="2291">
        <v>61</v>
      </c>
      <c r="J110" s="1861">
        <f t="shared" si="44"/>
        <v>0</v>
      </c>
      <c r="K110" s="1862">
        <f t="shared" si="45"/>
        <v>0</v>
      </c>
      <c r="L110" s="1865"/>
      <c r="M110" s="1866"/>
    </row>
    <row r="111" spans="1:15">
      <c r="A111" s="1806"/>
      <c r="B111" s="1755" t="s">
        <v>414</v>
      </c>
      <c r="C111" s="1867" t="s">
        <v>415</v>
      </c>
      <c r="D111" s="1868"/>
      <c r="E111" s="1864">
        <v>0</v>
      </c>
      <c r="F111" s="1801" t="s">
        <v>37</v>
      </c>
      <c r="G111" s="2289">
        <v>113</v>
      </c>
      <c r="H111" s="2290">
        <f t="shared" si="43"/>
        <v>0</v>
      </c>
      <c r="I111" s="2291">
        <v>61</v>
      </c>
      <c r="J111" s="1861">
        <f t="shared" si="44"/>
        <v>0</v>
      </c>
      <c r="K111" s="1862">
        <f t="shared" si="45"/>
        <v>0</v>
      </c>
      <c r="L111" s="1865"/>
      <c r="M111" s="1866"/>
    </row>
    <row r="112" spans="1:15">
      <c r="A112" s="1806"/>
      <c r="B112" s="1755" t="s">
        <v>416</v>
      </c>
      <c r="C112" s="1867" t="s">
        <v>417</v>
      </c>
      <c r="D112" s="1868"/>
      <c r="E112" s="1864">
        <v>0</v>
      </c>
      <c r="F112" s="1801" t="s">
        <v>37</v>
      </c>
      <c r="G112" s="2289">
        <v>113</v>
      </c>
      <c r="H112" s="2290">
        <f t="shared" si="43"/>
        <v>0</v>
      </c>
      <c r="I112" s="2291">
        <v>61</v>
      </c>
      <c r="J112" s="1861">
        <f t="shared" si="44"/>
        <v>0</v>
      </c>
      <c r="K112" s="1862">
        <f t="shared" si="45"/>
        <v>0</v>
      </c>
      <c r="L112" s="1865"/>
      <c r="M112" s="1866"/>
    </row>
    <row r="113" spans="1:24">
      <c r="A113" s="1806"/>
      <c r="B113" s="1755" t="s">
        <v>418</v>
      </c>
      <c r="C113" s="1867" t="s">
        <v>419</v>
      </c>
      <c r="D113" s="1859"/>
      <c r="E113" s="1864">
        <v>0</v>
      </c>
      <c r="F113" s="1801" t="s">
        <v>37</v>
      </c>
      <c r="G113" s="2289">
        <v>113</v>
      </c>
      <c r="H113" s="2290">
        <f t="shared" si="43"/>
        <v>0</v>
      </c>
      <c r="I113" s="2291">
        <v>61</v>
      </c>
      <c r="J113" s="1861">
        <f t="shared" si="44"/>
        <v>0</v>
      </c>
      <c r="K113" s="1862">
        <f t="shared" si="45"/>
        <v>0</v>
      </c>
      <c r="L113" s="1865"/>
      <c r="M113" s="1866"/>
    </row>
    <row r="114" spans="1:24">
      <c r="A114" s="1806"/>
      <c r="B114" s="1755" t="s">
        <v>420</v>
      </c>
      <c r="C114" s="1867" t="s">
        <v>421</v>
      </c>
      <c r="D114" s="1859"/>
      <c r="E114" s="1864">
        <v>115</v>
      </c>
      <c r="F114" s="1801" t="s">
        <v>37</v>
      </c>
      <c r="G114" s="2289">
        <v>583</v>
      </c>
      <c r="H114" s="2290">
        <f t="shared" si="43"/>
        <v>67045</v>
      </c>
      <c r="I114" s="2291">
        <v>298</v>
      </c>
      <c r="J114" s="1861">
        <f t="shared" si="44"/>
        <v>34270</v>
      </c>
      <c r="K114" s="1862">
        <f t="shared" si="45"/>
        <v>101315</v>
      </c>
      <c r="L114" s="1865"/>
      <c r="M114" s="1866"/>
    </row>
    <row r="115" spans="1:24">
      <c r="A115" s="1806"/>
      <c r="B115" s="1755" t="s">
        <v>422</v>
      </c>
      <c r="C115" s="1755" t="s">
        <v>423</v>
      </c>
      <c r="D115" s="1859"/>
      <c r="E115" s="1864">
        <v>0</v>
      </c>
      <c r="F115" s="1801" t="s">
        <v>37</v>
      </c>
      <c r="G115" s="2289">
        <v>240</v>
      </c>
      <c r="H115" s="2290">
        <f t="shared" si="43"/>
        <v>0</v>
      </c>
      <c r="I115" s="2291">
        <v>50</v>
      </c>
      <c r="J115" s="1861">
        <f t="shared" si="44"/>
        <v>0</v>
      </c>
      <c r="K115" s="1862">
        <f t="shared" si="45"/>
        <v>0</v>
      </c>
      <c r="L115" s="1865"/>
      <c r="M115" s="1866"/>
    </row>
    <row r="116" spans="1:24">
      <c r="A116" s="1806"/>
      <c r="B116" s="1755"/>
      <c r="C116" s="1755" t="s">
        <v>424</v>
      </c>
      <c r="D116" s="1859"/>
      <c r="E116" s="1864"/>
      <c r="F116" s="1801"/>
      <c r="G116" s="2289"/>
      <c r="H116" s="2290"/>
      <c r="I116" s="2291"/>
      <c r="J116" s="1861"/>
      <c r="K116" s="1862"/>
      <c r="L116" s="1865"/>
      <c r="M116" s="1866"/>
    </row>
    <row r="117" spans="1:24">
      <c r="A117" s="1806"/>
      <c r="B117" s="1887" t="s">
        <v>425</v>
      </c>
      <c r="C117" s="1755" t="s">
        <v>2785</v>
      </c>
      <c r="D117" s="1859"/>
      <c r="E117" s="1864">
        <f>E115</f>
        <v>0</v>
      </c>
      <c r="F117" s="1801" t="s">
        <v>37</v>
      </c>
      <c r="G117" s="2289">
        <v>140</v>
      </c>
      <c r="H117" s="2290">
        <f t="shared" ref="H117:H120" si="46">E117*G117</f>
        <v>0</v>
      </c>
      <c r="I117" s="2291">
        <v>40</v>
      </c>
      <c r="J117" s="1861">
        <f t="shared" ref="J117:J120" si="47">E117*I117</f>
        <v>0</v>
      </c>
      <c r="K117" s="1862">
        <f t="shared" ref="K117:K120" si="48">H117+J117</f>
        <v>0</v>
      </c>
      <c r="L117" s="1865"/>
      <c r="M117" s="1866"/>
    </row>
    <row r="118" spans="1:24">
      <c r="A118" s="2275"/>
      <c r="B118" s="1887"/>
      <c r="C118" s="1755"/>
      <c r="D118" s="1859"/>
      <c r="E118" s="1864"/>
      <c r="F118" s="1801"/>
      <c r="G118" s="2289"/>
      <c r="H118" s="2290"/>
      <c r="I118" s="2291"/>
      <c r="J118" s="1861"/>
      <c r="K118" s="1862"/>
      <c r="L118" s="1865"/>
      <c r="M118" s="1866"/>
    </row>
    <row r="119" spans="1:24">
      <c r="A119" s="2275"/>
      <c r="B119" s="1887"/>
      <c r="C119" s="1755"/>
      <c r="D119" s="1859"/>
      <c r="E119" s="1864"/>
      <c r="F119" s="1801"/>
      <c r="G119" s="2289"/>
      <c r="H119" s="2290"/>
      <c r="I119" s="2291"/>
      <c r="J119" s="1861"/>
      <c r="K119" s="1862"/>
      <c r="L119" s="1865"/>
      <c r="M119" s="1866"/>
    </row>
    <row r="120" spans="1:24">
      <c r="A120" s="2275"/>
      <c r="B120" s="1755" t="s">
        <v>426</v>
      </c>
      <c r="C120" s="1755" t="s">
        <v>427</v>
      </c>
      <c r="D120" s="1859"/>
      <c r="E120" s="1864">
        <v>0</v>
      </c>
      <c r="F120" s="1801" t="s">
        <v>37</v>
      </c>
      <c r="G120" s="2289">
        <v>0</v>
      </c>
      <c r="H120" s="2290">
        <f t="shared" si="46"/>
        <v>0</v>
      </c>
      <c r="I120" s="2291">
        <v>0</v>
      </c>
      <c r="J120" s="1861">
        <f t="shared" si="47"/>
        <v>0</v>
      </c>
      <c r="K120" s="1862">
        <f t="shared" si="48"/>
        <v>0</v>
      </c>
      <c r="L120" s="1865"/>
      <c r="M120" s="1866"/>
      <c r="O120" s="1886"/>
    </row>
    <row r="121" spans="1:24">
      <c r="A121" s="2275"/>
      <c r="B121" s="1755"/>
      <c r="C121" s="1755" t="s">
        <v>428</v>
      </c>
      <c r="D121" s="1859"/>
      <c r="E121" s="1864"/>
      <c r="F121" s="1801"/>
      <c r="G121" s="2289"/>
      <c r="H121" s="2290"/>
      <c r="I121" s="2291"/>
      <c r="J121" s="1861"/>
      <c r="K121" s="1862"/>
      <c r="L121" s="1865"/>
      <c r="M121" s="1866"/>
      <c r="O121" s="1886"/>
    </row>
    <row r="122" spans="1:24">
      <c r="A122" s="2275"/>
      <c r="B122" s="1755"/>
      <c r="C122" s="1755" t="s">
        <v>429</v>
      </c>
      <c r="D122" s="1859"/>
      <c r="E122" s="1864"/>
      <c r="F122" s="1801"/>
      <c r="G122" s="2289"/>
      <c r="H122" s="2290"/>
      <c r="I122" s="2291"/>
      <c r="J122" s="1861"/>
      <c r="K122" s="1862"/>
      <c r="L122" s="1865"/>
      <c r="M122" s="1866"/>
      <c r="O122" s="1886"/>
    </row>
    <row r="123" spans="1:24">
      <c r="A123" s="93"/>
      <c r="B123" s="1888" t="s">
        <v>430</v>
      </c>
      <c r="C123" s="1888" t="s">
        <v>2923</v>
      </c>
      <c r="D123" s="1889"/>
      <c r="E123" s="1890">
        <v>0</v>
      </c>
      <c r="F123" s="1872" t="s">
        <v>37</v>
      </c>
      <c r="G123" s="2294">
        <v>253</v>
      </c>
      <c r="H123" s="2295">
        <f t="shared" ref="H123:H124" si="49">E123*G123</f>
        <v>0</v>
      </c>
      <c r="I123" s="2296">
        <v>50</v>
      </c>
      <c r="J123" s="1876">
        <f t="shared" ref="J123:J124" si="50">E123*I123</f>
        <v>0</v>
      </c>
      <c r="K123" s="1877">
        <f t="shared" ref="K123:K124" si="51">H123+J123</f>
        <v>0</v>
      </c>
      <c r="L123" s="1865"/>
      <c r="M123" s="1866"/>
      <c r="O123" s="1886"/>
    </row>
    <row r="124" spans="1:24" ht="24" customHeight="1">
      <c r="A124" s="2275"/>
      <c r="B124" s="1755" t="s">
        <v>431</v>
      </c>
      <c r="C124" s="1755" t="s">
        <v>432</v>
      </c>
      <c r="D124" s="1859"/>
      <c r="E124" s="1864">
        <v>0</v>
      </c>
      <c r="F124" s="1801" t="s">
        <v>37</v>
      </c>
      <c r="G124" s="2289">
        <v>0</v>
      </c>
      <c r="H124" s="2290">
        <f t="shared" si="49"/>
        <v>0</v>
      </c>
      <c r="I124" s="2291">
        <v>220</v>
      </c>
      <c r="J124" s="1861">
        <f t="shared" si="50"/>
        <v>0</v>
      </c>
      <c r="K124" s="1862">
        <f t="shared" si="51"/>
        <v>0</v>
      </c>
      <c r="L124" s="1858"/>
      <c r="M124" s="1809"/>
      <c r="N124" s="1837"/>
      <c r="O124" s="1886"/>
      <c r="P124" s="1837"/>
      <c r="Q124" s="1837"/>
      <c r="R124" s="1837"/>
      <c r="S124" s="1837"/>
      <c r="T124" s="1837"/>
      <c r="U124" s="1837"/>
      <c r="V124" s="1837"/>
      <c r="W124" s="1837"/>
      <c r="X124" s="1837"/>
    </row>
    <row r="125" spans="1:24" ht="24" customHeight="1">
      <c r="A125" s="2275"/>
      <c r="B125" s="1755"/>
      <c r="C125" s="1755" t="s">
        <v>433</v>
      </c>
      <c r="D125" s="1891"/>
      <c r="E125" s="1864"/>
      <c r="F125" s="1801"/>
      <c r="G125" s="2289"/>
      <c r="H125" s="2290"/>
      <c r="I125" s="2291"/>
      <c r="J125" s="1861"/>
      <c r="K125" s="1862"/>
      <c r="L125" s="1858"/>
      <c r="M125" s="1809"/>
      <c r="N125" s="1837"/>
      <c r="O125" s="1886"/>
      <c r="P125" s="1837"/>
      <c r="Q125" s="1837"/>
      <c r="R125" s="1837"/>
      <c r="S125" s="1837"/>
      <c r="T125" s="1837"/>
      <c r="U125" s="1837"/>
      <c r="V125" s="1837"/>
      <c r="W125" s="1837"/>
      <c r="X125" s="1837"/>
    </row>
    <row r="126" spans="1:24">
      <c r="A126" s="1806"/>
      <c r="B126" s="1755" t="s">
        <v>434</v>
      </c>
      <c r="C126" s="1755" t="s">
        <v>435</v>
      </c>
      <c r="D126" s="1891"/>
      <c r="E126" s="1864">
        <v>0</v>
      </c>
      <c r="F126" s="1801" t="s">
        <v>37</v>
      </c>
      <c r="G126" s="1892">
        <v>398</v>
      </c>
      <c r="H126" s="2290">
        <f t="shared" ref="H126" si="52">E126*G126</f>
        <v>0</v>
      </c>
      <c r="I126" s="1968">
        <v>154</v>
      </c>
      <c r="J126" s="1861">
        <f t="shared" ref="J126" si="53">E126*I126</f>
        <v>0</v>
      </c>
      <c r="K126" s="1862">
        <f t="shared" ref="K126" si="54">H126+J126</f>
        <v>0</v>
      </c>
      <c r="L126" s="1864"/>
      <c r="M126" s="1894"/>
    </row>
    <row r="127" spans="1:24">
      <c r="A127" s="1806"/>
      <c r="B127" s="1755"/>
      <c r="C127" s="1895" t="s">
        <v>436</v>
      </c>
      <c r="D127" s="1891"/>
      <c r="E127" s="1864"/>
      <c r="F127" s="1801"/>
      <c r="G127" s="2289"/>
      <c r="H127" s="2290"/>
      <c r="I127" s="2291"/>
      <c r="J127" s="1861"/>
      <c r="K127" s="1862"/>
      <c r="L127" s="1865"/>
      <c r="M127" s="1866"/>
    </row>
    <row r="128" spans="1:24" s="1900" customFormat="1">
      <c r="A128" s="1896"/>
      <c r="B128" s="1895" t="s">
        <v>437</v>
      </c>
      <c r="C128" s="1895"/>
      <c r="D128" s="1895"/>
      <c r="E128" s="1897"/>
      <c r="F128" s="1806"/>
      <c r="G128" s="1789"/>
      <c r="H128" s="2290"/>
      <c r="I128" s="2083"/>
      <c r="J128" s="1861"/>
      <c r="K128" s="1862"/>
      <c r="L128" s="1899"/>
      <c r="M128" s="1737"/>
    </row>
    <row r="129" spans="1:24">
      <c r="A129" s="1901"/>
      <c r="B129" s="1902" t="s">
        <v>2924</v>
      </c>
      <c r="C129" s="2228" t="s">
        <v>446</v>
      </c>
      <c r="D129" s="2229"/>
      <c r="E129" s="1897">
        <v>44</v>
      </c>
      <c r="F129" s="1806" t="s">
        <v>438</v>
      </c>
      <c r="G129" s="60">
        <v>200</v>
      </c>
      <c r="H129" s="2295">
        <f t="shared" ref="H129:H131" si="55">E129*G129</f>
        <v>8800</v>
      </c>
      <c r="I129" s="673">
        <v>45</v>
      </c>
      <c r="J129" s="1876">
        <f t="shared" ref="J129:J131" si="56">E129*I129</f>
        <v>1980</v>
      </c>
      <c r="K129" s="1877">
        <f t="shared" ref="K129:K131" si="57">H129+J129</f>
        <v>10780</v>
      </c>
      <c r="L129" s="119"/>
      <c r="M129" s="62" t="s">
        <v>2925</v>
      </c>
    </row>
    <row r="130" spans="1:24">
      <c r="A130" s="1901"/>
      <c r="B130" s="1902" t="s">
        <v>2924</v>
      </c>
      <c r="C130" s="2228" t="s">
        <v>439</v>
      </c>
      <c r="D130" s="2229"/>
      <c r="E130" s="1897">
        <v>425</v>
      </c>
      <c r="F130" s="1806" t="s">
        <v>438</v>
      </c>
      <c r="G130" s="60">
        <v>19</v>
      </c>
      <c r="H130" s="2295">
        <f t="shared" si="55"/>
        <v>8075</v>
      </c>
      <c r="I130" s="673">
        <v>20</v>
      </c>
      <c r="J130" s="1876">
        <f t="shared" si="56"/>
        <v>8500</v>
      </c>
      <c r="K130" s="1877">
        <f t="shared" si="57"/>
        <v>16575</v>
      </c>
      <c r="L130" s="119"/>
      <c r="M130" s="62" t="s">
        <v>2925</v>
      </c>
    </row>
    <row r="131" spans="1:24">
      <c r="A131" s="1901"/>
      <c r="B131" s="2230" t="s">
        <v>425</v>
      </c>
      <c r="C131" s="2231" t="s">
        <v>440</v>
      </c>
      <c r="D131" s="2229"/>
      <c r="E131" s="1897">
        <v>0</v>
      </c>
      <c r="F131" s="1806" t="s">
        <v>438</v>
      </c>
      <c r="G131" s="1789">
        <v>0</v>
      </c>
      <c r="H131" s="2290">
        <f t="shared" si="55"/>
        <v>0</v>
      </c>
      <c r="I131" s="2083">
        <v>0</v>
      </c>
      <c r="J131" s="1861">
        <f t="shared" si="56"/>
        <v>0</v>
      </c>
      <c r="K131" s="1862">
        <f t="shared" si="57"/>
        <v>0</v>
      </c>
      <c r="L131" s="1899"/>
      <c r="M131" s="1797">
        <f>SUM(K84:K131)</f>
        <v>2307259</v>
      </c>
    </row>
    <row r="132" spans="1:24" ht="24" customHeight="1">
      <c r="A132" s="2232" t="s">
        <v>447</v>
      </c>
      <c r="B132" s="1908" t="s">
        <v>448</v>
      </c>
      <c r="C132" s="2233"/>
      <c r="D132" s="1859"/>
      <c r="E132" s="1897"/>
      <c r="F132" s="1806"/>
      <c r="G132" s="1789"/>
      <c r="H132" s="1967"/>
      <c r="I132" s="2083"/>
      <c r="J132" s="2147"/>
      <c r="K132" s="2148"/>
      <c r="L132" s="1858"/>
      <c r="M132" s="1809"/>
      <c r="P132" s="1837"/>
      <c r="Q132" s="1837"/>
      <c r="R132" s="1837"/>
      <c r="S132" s="1837"/>
      <c r="T132" s="1837"/>
      <c r="U132" s="1837"/>
      <c r="V132" s="1837"/>
      <c r="W132" s="1837"/>
      <c r="X132" s="1837"/>
    </row>
    <row r="133" spans="1:24">
      <c r="A133" s="1806"/>
      <c r="B133" s="1783"/>
      <c r="C133" s="1755" t="s">
        <v>2955</v>
      </c>
      <c r="D133" s="1859"/>
      <c r="E133" s="1860">
        <f>E135+E136+E138+E140+E142+E144+E146+E148+E149+E151+E154+E156+E157+E162+E170</f>
        <v>1776</v>
      </c>
      <c r="F133" s="1801" t="s">
        <v>37</v>
      </c>
      <c r="G133" s="2289">
        <v>113</v>
      </c>
      <c r="H133" s="2290">
        <f>E133*G133</f>
        <v>200688</v>
      </c>
      <c r="I133" s="2291">
        <v>61</v>
      </c>
      <c r="J133" s="1861">
        <f t="shared" ref="J133:J136" si="58">E133*I133</f>
        <v>108336</v>
      </c>
      <c r="K133" s="1862">
        <f t="shared" ref="K133:K136" si="59">H133+J133</f>
        <v>309024</v>
      </c>
      <c r="L133" s="2292"/>
      <c r="M133" s="2293"/>
      <c r="N133" s="1797">
        <f>SUM(E134:E173)</f>
        <v>6939</v>
      </c>
    </row>
    <row r="134" spans="1:24">
      <c r="A134" s="1806"/>
      <c r="B134" s="1755" t="s">
        <v>385</v>
      </c>
      <c r="C134" s="1755" t="s">
        <v>386</v>
      </c>
      <c r="D134" s="1859"/>
      <c r="E134" s="1864">
        <v>4933</v>
      </c>
      <c r="F134" s="1801" t="s">
        <v>37</v>
      </c>
      <c r="G134" s="2289">
        <v>113</v>
      </c>
      <c r="H134" s="2290">
        <f t="shared" ref="H134:H136" si="60">E134*G134</f>
        <v>557429</v>
      </c>
      <c r="I134" s="2291">
        <v>61</v>
      </c>
      <c r="J134" s="1861">
        <f t="shared" si="58"/>
        <v>300913</v>
      </c>
      <c r="K134" s="1862">
        <f t="shared" si="59"/>
        <v>858342</v>
      </c>
      <c r="L134" s="2292"/>
      <c r="M134" s="2293"/>
      <c r="N134" s="1797"/>
      <c r="O134" s="1797"/>
    </row>
    <row r="135" spans="1:24">
      <c r="A135" s="1806"/>
      <c r="B135" s="1755" t="s">
        <v>387</v>
      </c>
      <c r="C135" s="1755" t="s">
        <v>388</v>
      </c>
      <c r="D135" s="1755"/>
      <c r="E135" s="1864">
        <v>0</v>
      </c>
      <c r="F135" s="1801" t="s">
        <v>37</v>
      </c>
      <c r="G135" s="2289">
        <v>564</v>
      </c>
      <c r="H135" s="2290">
        <f t="shared" si="60"/>
        <v>0</v>
      </c>
      <c r="I135" s="2291">
        <v>283</v>
      </c>
      <c r="J135" s="1861">
        <f t="shared" si="58"/>
        <v>0</v>
      </c>
      <c r="K135" s="1862">
        <f t="shared" si="59"/>
        <v>0</v>
      </c>
      <c r="L135" s="1865"/>
      <c r="M135" s="1866"/>
    </row>
    <row r="136" spans="1:24">
      <c r="A136" s="1806"/>
      <c r="B136" s="1755" t="s">
        <v>389</v>
      </c>
      <c r="C136" s="1867" t="s">
        <v>390</v>
      </c>
      <c r="D136" s="1868"/>
      <c r="E136" s="1864">
        <v>0</v>
      </c>
      <c r="F136" s="1801" t="s">
        <v>37</v>
      </c>
      <c r="G136" s="2289">
        <v>295</v>
      </c>
      <c r="H136" s="2290">
        <f t="shared" si="60"/>
        <v>0</v>
      </c>
      <c r="I136" s="2291">
        <v>184</v>
      </c>
      <c r="J136" s="1861">
        <f t="shared" si="58"/>
        <v>0</v>
      </c>
      <c r="K136" s="1862">
        <f t="shared" si="59"/>
        <v>0</v>
      </c>
      <c r="L136" s="1865"/>
      <c r="M136" s="1866"/>
    </row>
    <row r="137" spans="1:24">
      <c r="A137" s="1806"/>
      <c r="B137" s="1755"/>
      <c r="C137" s="1867" t="s">
        <v>2778</v>
      </c>
      <c r="D137" s="1868"/>
      <c r="E137" s="1864"/>
      <c r="F137" s="1801"/>
      <c r="G137" s="2289"/>
      <c r="H137" s="2290"/>
      <c r="I137" s="2291"/>
      <c r="J137" s="1861"/>
      <c r="K137" s="1862"/>
      <c r="L137" s="1865"/>
      <c r="M137" s="1866"/>
    </row>
    <row r="138" spans="1:24">
      <c r="A138" s="1806"/>
      <c r="B138" s="1755" t="s">
        <v>391</v>
      </c>
      <c r="C138" s="1867" t="s">
        <v>443</v>
      </c>
      <c r="D138" s="1868"/>
      <c r="E138" s="1864">
        <v>0</v>
      </c>
      <c r="F138" s="1801" t="s">
        <v>37</v>
      </c>
      <c r="G138" s="2289">
        <v>297</v>
      </c>
      <c r="H138" s="2290">
        <f t="shared" ref="H138" si="61">E138*G138</f>
        <v>0</v>
      </c>
      <c r="I138" s="2291">
        <v>204</v>
      </c>
      <c r="J138" s="1861">
        <f t="shared" ref="J138" si="62">E138*I138</f>
        <v>0</v>
      </c>
      <c r="K138" s="1862">
        <f t="shared" ref="K138" si="63">H138+J138</f>
        <v>0</v>
      </c>
      <c r="L138" s="1865"/>
      <c r="M138" s="1866"/>
    </row>
    <row r="139" spans="1:24">
      <c r="A139" s="1806"/>
      <c r="B139" s="1755"/>
      <c r="C139" s="1867" t="s">
        <v>2786</v>
      </c>
      <c r="D139" s="1868"/>
      <c r="E139" s="1864"/>
      <c r="F139" s="1801"/>
      <c r="G139" s="2289"/>
      <c r="H139" s="2290"/>
      <c r="I139" s="2291"/>
      <c r="J139" s="1861"/>
      <c r="K139" s="1862"/>
      <c r="L139" s="1865"/>
      <c r="M139" s="1866"/>
    </row>
    <row r="140" spans="1:24">
      <c r="A140" s="1806"/>
      <c r="B140" s="1755" t="s">
        <v>392</v>
      </c>
      <c r="C140" s="1867" t="s">
        <v>444</v>
      </c>
      <c r="D140" s="1868"/>
      <c r="E140" s="1864">
        <v>0</v>
      </c>
      <c r="F140" s="1872" t="s">
        <v>37</v>
      </c>
      <c r="G140" s="1873">
        <v>609</v>
      </c>
      <c r="H140" s="1874">
        <f t="shared" ref="H140" si="64">E140*G140</f>
        <v>0</v>
      </c>
      <c r="I140" s="1875">
        <v>222</v>
      </c>
      <c r="J140" s="1876">
        <f t="shared" ref="J140" si="65">E140*I140</f>
        <v>0</v>
      </c>
      <c r="K140" s="1877">
        <f t="shared" ref="K140" si="66">H140+J140</f>
        <v>0</v>
      </c>
      <c r="L140" s="1865"/>
      <c r="M140" s="1866"/>
      <c r="N140" s="1837"/>
      <c r="O140" s="1837"/>
    </row>
    <row r="141" spans="1:24">
      <c r="A141" s="1806"/>
      <c r="B141" s="1755"/>
      <c r="C141" s="1867" t="s">
        <v>394</v>
      </c>
      <c r="D141" s="1868"/>
      <c r="E141" s="1864"/>
      <c r="F141" s="1872"/>
      <c r="G141" s="1873"/>
      <c r="H141" s="1874"/>
      <c r="I141" s="1875"/>
      <c r="J141" s="1876"/>
      <c r="K141" s="1877"/>
      <c r="L141" s="1865"/>
      <c r="M141" s="1866"/>
    </row>
    <row r="142" spans="1:24">
      <c r="A142" s="1806"/>
      <c r="B142" s="1755" t="s">
        <v>2916</v>
      </c>
      <c r="C142" s="1867" t="s">
        <v>444</v>
      </c>
      <c r="D142" s="1868"/>
      <c r="E142" s="1864">
        <v>395</v>
      </c>
      <c r="F142" s="64" t="s">
        <v>37</v>
      </c>
      <c r="G142" s="1873">
        <v>399</v>
      </c>
      <c r="H142" s="1874">
        <f t="shared" ref="H142" si="67">E142*G142</f>
        <v>157605</v>
      </c>
      <c r="I142" s="1875">
        <v>222</v>
      </c>
      <c r="J142" s="1882">
        <f t="shared" ref="J142" si="68">E142*I142</f>
        <v>87690</v>
      </c>
      <c r="K142" s="1877">
        <f t="shared" ref="K142" si="69">H142+J142</f>
        <v>245295</v>
      </c>
      <c r="L142" s="1865"/>
      <c r="M142" s="1866"/>
      <c r="N142" s="1837"/>
      <c r="O142" s="1837"/>
    </row>
    <row r="143" spans="1:24" ht="17.649999999999999" customHeight="1">
      <c r="A143" s="1806"/>
      <c r="B143" s="1755"/>
      <c r="C143" s="1867" t="s">
        <v>394</v>
      </c>
      <c r="D143" s="1868"/>
      <c r="E143" s="1864"/>
      <c r="F143" s="64"/>
      <c r="G143" s="1873"/>
      <c r="H143" s="1874"/>
      <c r="I143" s="1875"/>
      <c r="J143" s="1882"/>
      <c r="K143" s="1877"/>
      <c r="L143" s="1865"/>
      <c r="M143" s="1866"/>
    </row>
    <row r="144" spans="1:24">
      <c r="A144" s="1806"/>
      <c r="B144" s="1755" t="s">
        <v>393</v>
      </c>
      <c r="C144" s="1867" t="s">
        <v>445</v>
      </c>
      <c r="D144" s="1868"/>
      <c r="E144" s="1864">
        <v>0</v>
      </c>
      <c r="F144" s="1872" t="s">
        <v>37</v>
      </c>
      <c r="G144" s="1873">
        <v>617</v>
      </c>
      <c r="H144" s="1874">
        <f t="shared" ref="H144" si="70">E144*G144</f>
        <v>0</v>
      </c>
      <c r="I144" s="1875">
        <v>242</v>
      </c>
      <c r="J144" s="1876">
        <f t="shared" ref="J144" si="71">E144*I144</f>
        <v>0</v>
      </c>
      <c r="K144" s="1877">
        <f t="shared" ref="K144" si="72">H144+J144</f>
        <v>0</v>
      </c>
      <c r="L144" s="1865"/>
      <c r="M144" s="1866"/>
      <c r="N144" s="1837"/>
      <c r="O144" s="1837"/>
    </row>
    <row r="145" spans="1:15">
      <c r="A145" s="1806"/>
      <c r="B145" s="1755"/>
      <c r="C145" s="1867" t="s">
        <v>394</v>
      </c>
      <c r="D145" s="1755"/>
      <c r="E145" s="1864"/>
      <c r="F145" s="1872"/>
      <c r="G145" s="1873"/>
      <c r="H145" s="1874"/>
      <c r="I145" s="1875"/>
      <c r="J145" s="1876"/>
      <c r="K145" s="1877"/>
      <c r="L145" s="1865"/>
      <c r="M145" s="1866"/>
    </row>
    <row r="146" spans="1:15">
      <c r="A146" s="1806"/>
      <c r="B146" s="1755" t="s">
        <v>2917</v>
      </c>
      <c r="C146" s="1867" t="s">
        <v>445</v>
      </c>
      <c r="D146" s="1868"/>
      <c r="E146" s="1864">
        <v>241</v>
      </c>
      <c r="F146" s="64" t="s">
        <v>37</v>
      </c>
      <c r="G146" s="1873">
        <v>399</v>
      </c>
      <c r="H146" s="1874">
        <f t="shared" ref="H146" si="73">E146*G146</f>
        <v>96159</v>
      </c>
      <c r="I146" s="1875">
        <v>242</v>
      </c>
      <c r="J146" s="1882">
        <f t="shared" ref="J146" si="74">E146*I146</f>
        <v>58322</v>
      </c>
      <c r="K146" s="1877">
        <f t="shared" ref="K146" si="75">H146+J146</f>
        <v>154481</v>
      </c>
      <c r="L146" s="1865"/>
      <c r="M146" s="1866"/>
      <c r="N146" s="1837"/>
      <c r="O146" s="1837"/>
    </row>
    <row r="147" spans="1:15">
      <c r="A147" s="1806"/>
      <c r="B147" s="1755"/>
      <c r="C147" s="1755" t="s">
        <v>394</v>
      </c>
      <c r="D147" s="1755"/>
      <c r="E147" s="1864"/>
      <c r="F147" s="1801"/>
      <c r="G147" s="2289"/>
      <c r="H147" s="2290"/>
      <c r="I147" s="2291"/>
      <c r="J147" s="1861"/>
      <c r="K147" s="1862"/>
      <c r="L147" s="1865"/>
      <c r="M147" s="1866"/>
    </row>
    <row r="148" spans="1:15">
      <c r="A148" s="1806"/>
      <c r="B148" s="1755" t="s">
        <v>395</v>
      </c>
      <c r="C148" s="1755" t="s">
        <v>396</v>
      </c>
      <c r="D148" s="1755"/>
      <c r="E148" s="1864">
        <v>184</v>
      </c>
      <c r="F148" s="1801" t="s">
        <v>37</v>
      </c>
      <c r="G148" s="2289">
        <v>420</v>
      </c>
      <c r="H148" s="2290">
        <f t="shared" ref="H148:H149" si="76">E148*G148</f>
        <v>77280</v>
      </c>
      <c r="I148" s="2291">
        <v>100</v>
      </c>
      <c r="J148" s="1861">
        <f t="shared" ref="J148:J149" si="77">E148*I148</f>
        <v>18400</v>
      </c>
      <c r="K148" s="1862">
        <f t="shared" ref="K148:K149" si="78">H148+J148</f>
        <v>95680</v>
      </c>
      <c r="L148" s="1865"/>
      <c r="M148" s="1866"/>
      <c r="N148" s="1837"/>
      <c r="O148" s="1837"/>
    </row>
    <row r="149" spans="1:15">
      <c r="A149" s="1806"/>
      <c r="B149" s="1755" t="s">
        <v>397</v>
      </c>
      <c r="C149" s="1867" t="s">
        <v>398</v>
      </c>
      <c r="D149" s="1868"/>
      <c r="E149" s="1864">
        <v>0</v>
      </c>
      <c r="F149" s="1801" t="s">
        <v>37</v>
      </c>
      <c r="G149" s="2289">
        <v>564</v>
      </c>
      <c r="H149" s="2290">
        <f t="shared" si="76"/>
        <v>0</v>
      </c>
      <c r="I149" s="2291">
        <v>283</v>
      </c>
      <c r="J149" s="1861">
        <f t="shared" si="77"/>
        <v>0</v>
      </c>
      <c r="K149" s="1862">
        <f t="shared" si="78"/>
        <v>0</v>
      </c>
      <c r="L149" s="1865"/>
      <c r="M149" s="1866"/>
    </row>
    <row r="150" spans="1:15">
      <c r="A150" s="1806"/>
      <c r="B150" s="1755"/>
      <c r="C150" s="1755" t="s">
        <v>2783</v>
      </c>
      <c r="D150" s="1755"/>
      <c r="E150" s="1864"/>
      <c r="F150" s="1885"/>
      <c r="G150" s="2289"/>
      <c r="H150" s="2290"/>
      <c r="I150" s="2291"/>
      <c r="J150" s="1861"/>
      <c r="K150" s="1862"/>
      <c r="L150" s="1865"/>
      <c r="M150" s="1866"/>
    </row>
    <row r="151" spans="1:15">
      <c r="A151" s="1806"/>
      <c r="B151" s="1755" t="s">
        <v>2784</v>
      </c>
      <c r="C151" s="1755" t="s">
        <v>399</v>
      </c>
      <c r="D151" s="1755"/>
      <c r="E151" s="1864">
        <v>716</v>
      </c>
      <c r="F151" s="1801" t="s">
        <v>37</v>
      </c>
      <c r="G151" s="2289">
        <v>3570</v>
      </c>
      <c r="H151" s="2290">
        <f t="shared" ref="H151:H163" si="79">E151*G151</f>
        <v>2556120</v>
      </c>
      <c r="I151" s="2291">
        <v>220</v>
      </c>
      <c r="J151" s="1861">
        <f t="shared" ref="J151:J163" si="80">E151*I151</f>
        <v>157520</v>
      </c>
      <c r="K151" s="1862">
        <f t="shared" ref="K151:K163" si="81">H151+J151</f>
        <v>2713640</v>
      </c>
      <c r="L151" s="1865"/>
      <c r="M151" s="1866"/>
    </row>
    <row r="152" spans="1:15">
      <c r="A152" s="1806"/>
      <c r="B152" s="1755" t="s">
        <v>400</v>
      </c>
      <c r="C152" s="1755" t="s">
        <v>401</v>
      </c>
      <c r="D152" s="1755"/>
      <c r="E152" s="1864">
        <v>89</v>
      </c>
      <c r="F152" s="1801" t="s">
        <v>37</v>
      </c>
      <c r="G152" s="2289">
        <f>ROUNDUP(2227.6*0.05+5*2.95,0)</f>
        <v>127</v>
      </c>
      <c r="H152" s="2290">
        <f t="shared" si="79"/>
        <v>11303</v>
      </c>
      <c r="I152" s="2291">
        <v>82</v>
      </c>
      <c r="J152" s="1861">
        <f t="shared" si="80"/>
        <v>7298</v>
      </c>
      <c r="K152" s="1862">
        <f t="shared" si="81"/>
        <v>18601</v>
      </c>
      <c r="L152" s="1865"/>
      <c r="M152" s="1866"/>
    </row>
    <row r="153" spans="1:15">
      <c r="A153" s="1806"/>
      <c r="B153" s="1755" t="s">
        <v>402</v>
      </c>
      <c r="C153" s="1867" t="s">
        <v>403</v>
      </c>
      <c r="D153" s="1868"/>
      <c r="E153" s="1864">
        <v>0</v>
      </c>
      <c r="F153" s="1801" t="s">
        <v>37</v>
      </c>
      <c r="G153" s="2291">
        <v>120</v>
      </c>
      <c r="H153" s="2290">
        <f t="shared" si="79"/>
        <v>0</v>
      </c>
      <c r="I153" s="2291">
        <v>61</v>
      </c>
      <c r="J153" s="1861">
        <f t="shared" si="80"/>
        <v>0</v>
      </c>
      <c r="K153" s="1862">
        <f t="shared" si="81"/>
        <v>0</v>
      </c>
      <c r="L153" s="1865"/>
      <c r="M153" s="1866"/>
    </row>
    <row r="154" spans="1:15">
      <c r="A154" s="1806"/>
      <c r="B154" s="1755" t="s">
        <v>404</v>
      </c>
      <c r="C154" s="1755" t="s">
        <v>405</v>
      </c>
      <c r="D154" s="1755"/>
      <c r="E154" s="1864">
        <v>0</v>
      </c>
      <c r="F154" s="1801" t="s">
        <v>37</v>
      </c>
      <c r="G154" s="2289">
        <v>447</v>
      </c>
      <c r="H154" s="2290">
        <f t="shared" si="79"/>
        <v>0</v>
      </c>
      <c r="I154" s="2291">
        <v>212</v>
      </c>
      <c r="J154" s="1861">
        <f t="shared" si="80"/>
        <v>0</v>
      </c>
      <c r="K154" s="1862">
        <f t="shared" si="81"/>
        <v>0</v>
      </c>
      <c r="L154" s="1865"/>
      <c r="M154" s="1866"/>
    </row>
    <row r="155" spans="1:15">
      <c r="A155" s="1806"/>
      <c r="B155" s="1755" t="s">
        <v>406</v>
      </c>
      <c r="C155" s="1867" t="s">
        <v>407</v>
      </c>
      <c r="D155" s="1868"/>
      <c r="E155" s="1864">
        <v>0</v>
      </c>
      <c r="F155" s="1801" t="s">
        <v>37</v>
      </c>
      <c r="G155" s="2291">
        <v>240</v>
      </c>
      <c r="H155" s="2290">
        <f t="shared" si="79"/>
        <v>0</v>
      </c>
      <c r="I155" s="2291">
        <v>80</v>
      </c>
      <c r="J155" s="1861">
        <f t="shared" si="80"/>
        <v>0</v>
      </c>
      <c r="K155" s="1862">
        <f t="shared" si="81"/>
        <v>0</v>
      </c>
      <c r="L155" s="1865"/>
      <c r="M155" s="1866"/>
    </row>
    <row r="156" spans="1:15">
      <c r="A156" s="1806"/>
      <c r="B156" s="1755" t="s">
        <v>408</v>
      </c>
      <c r="C156" s="1867" t="s">
        <v>409</v>
      </c>
      <c r="D156" s="1868"/>
      <c r="E156" s="1864">
        <v>0</v>
      </c>
      <c r="F156" s="1801" t="s">
        <v>37</v>
      </c>
      <c r="G156" s="2291">
        <v>230</v>
      </c>
      <c r="H156" s="2290">
        <f t="shared" si="79"/>
        <v>0</v>
      </c>
      <c r="I156" s="2291">
        <v>50</v>
      </c>
      <c r="J156" s="1861">
        <f t="shared" si="80"/>
        <v>0</v>
      </c>
      <c r="K156" s="1862">
        <f t="shared" si="81"/>
        <v>0</v>
      </c>
      <c r="L156" s="1865"/>
      <c r="M156" s="1866"/>
    </row>
    <row r="157" spans="1:15">
      <c r="A157" s="1806"/>
      <c r="B157" s="1755" t="s">
        <v>410</v>
      </c>
      <c r="C157" s="1867" t="s">
        <v>411</v>
      </c>
      <c r="D157" s="1868"/>
      <c r="E157" s="1864">
        <v>61</v>
      </c>
      <c r="F157" s="1801" t="s">
        <v>37</v>
      </c>
      <c r="G157" s="2289">
        <v>220</v>
      </c>
      <c r="H157" s="2290">
        <f t="shared" si="79"/>
        <v>13420</v>
      </c>
      <c r="I157" s="2291">
        <v>80</v>
      </c>
      <c r="J157" s="1861">
        <f t="shared" si="80"/>
        <v>4880</v>
      </c>
      <c r="K157" s="1862">
        <f t="shared" si="81"/>
        <v>18300</v>
      </c>
      <c r="L157" s="1865"/>
      <c r="M157" s="1866"/>
    </row>
    <row r="158" spans="1:15">
      <c r="A158" s="1806"/>
      <c r="B158" s="1755" t="s">
        <v>412</v>
      </c>
      <c r="C158" s="1867" t="s">
        <v>413</v>
      </c>
      <c r="D158" s="1868"/>
      <c r="E158" s="1864">
        <v>0</v>
      </c>
      <c r="F158" s="1801" t="s">
        <v>37</v>
      </c>
      <c r="G158" s="2289">
        <v>113</v>
      </c>
      <c r="H158" s="2290">
        <f t="shared" si="79"/>
        <v>0</v>
      </c>
      <c r="I158" s="2291">
        <v>61</v>
      </c>
      <c r="J158" s="1861">
        <f t="shared" si="80"/>
        <v>0</v>
      </c>
      <c r="K158" s="1862">
        <f t="shared" si="81"/>
        <v>0</v>
      </c>
      <c r="L158" s="1865"/>
      <c r="M158" s="1866"/>
    </row>
    <row r="159" spans="1:15">
      <c r="A159" s="1806"/>
      <c r="B159" s="1755" t="s">
        <v>414</v>
      </c>
      <c r="C159" s="1867" t="s">
        <v>415</v>
      </c>
      <c r="D159" s="1868"/>
      <c r="E159" s="1864">
        <v>0</v>
      </c>
      <c r="F159" s="1801" t="s">
        <v>37</v>
      </c>
      <c r="G159" s="2289">
        <v>113</v>
      </c>
      <c r="H159" s="2290">
        <f t="shared" si="79"/>
        <v>0</v>
      </c>
      <c r="I159" s="2291">
        <v>61</v>
      </c>
      <c r="J159" s="1861">
        <f t="shared" si="80"/>
        <v>0</v>
      </c>
      <c r="K159" s="1862">
        <f t="shared" si="81"/>
        <v>0</v>
      </c>
      <c r="L159" s="1865"/>
      <c r="M159" s="1866"/>
    </row>
    <row r="160" spans="1:15">
      <c r="A160" s="1806"/>
      <c r="B160" s="1755" t="s">
        <v>416</v>
      </c>
      <c r="C160" s="1867" t="s">
        <v>417</v>
      </c>
      <c r="D160" s="1868"/>
      <c r="E160" s="1864">
        <v>0</v>
      </c>
      <c r="F160" s="1801" t="s">
        <v>37</v>
      </c>
      <c r="G160" s="2289">
        <v>113</v>
      </c>
      <c r="H160" s="2290">
        <f t="shared" si="79"/>
        <v>0</v>
      </c>
      <c r="I160" s="2291">
        <v>61</v>
      </c>
      <c r="J160" s="1861">
        <f t="shared" si="80"/>
        <v>0</v>
      </c>
      <c r="K160" s="1862">
        <f t="shared" si="81"/>
        <v>0</v>
      </c>
      <c r="L160" s="1865"/>
      <c r="M160" s="1866"/>
    </row>
    <row r="161" spans="1:24">
      <c r="A161" s="1806"/>
      <c r="B161" s="1755" t="s">
        <v>418</v>
      </c>
      <c r="C161" s="1867" t="s">
        <v>419</v>
      </c>
      <c r="D161" s="1859"/>
      <c r="E161" s="1864">
        <v>0</v>
      </c>
      <c r="F161" s="1801" t="s">
        <v>37</v>
      </c>
      <c r="G161" s="2289">
        <v>113</v>
      </c>
      <c r="H161" s="2290">
        <f t="shared" si="79"/>
        <v>0</v>
      </c>
      <c r="I161" s="2291">
        <v>61</v>
      </c>
      <c r="J161" s="1861">
        <f t="shared" si="80"/>
        <v>0</v>
      </c>
      <c r="K161" s="1862">
        <f t="shared" si="81"/>
        <v>0</v>
      </c>
      <c r="L161" s="1865"/>
      <c r="M161" s="1866"/>
    </row>
    <row r="162" spans="1:24">
      <c r="A162" s="1806"/>
      <c r="B162" s="1755" t="s">
        <v>420</v>
      </c>
      <c r="C162" s="1867" t="s">
        <v>421</v>
      </c>
      <c r="D162" s="1859"/>
      <c r="E162" s="1864">
        <v>179</v>
      </c>
      <c r="F162" s="1801" t="s">
        <v>37</v>
      </c>
      <c r="G162" s="2289">
        <v>583</v>
      </c>
      <c r="H162" s="2290">
        <f t="shared" si="79"/>
        <v>104357</v>
      </c>
      <c r="I162" s="2291">
        <v>298</v>
      </c>
      <c r="J162" s="1861">
        <f t="shared" si="80"/>
        <v>53342</v>
      </c>
      <c r="K162" s="1862">
        <f t="shared" si="81"/>
        <v>157699</v>
      </c>
      <c r="L162" s="1865"/>
      <c r="M162" s="1866"/>
    </row>
    <row r="163" spans="1:24">
      <c r="A163" s="1806"/>
      <c r="B163" s="1755" t="s">
        <v>422</v>
      </c>
      <c r="C163" s="1755" t="s">
        <v>423</v>
      </c>
      <c r="D163" s="1859"/>
      <c r="E163" s="1864">
        <v>0</v>
      </c>
      <c r="F163" s="1801" t="s">
        <v>37</v>
      </c>
      <c r="G163" s="2289">
        <v>240</v>
      </c>
      <c r="H163" s="2290">
        <f t="shared" si="79"/>
        <v>0</v>
      </c>
      <c r="I163" s="2291">
        <v>50</v>
      </c>
      <c r="J163" s="1861">
        <f t="shared" si="80"/>
        <v>0</v>
      </c>
      <c r="K163" s="1862">
        <f t="shared" si="81"/>
        <v>0</v>
      </c>
      <c r="L163" s="1865"/>
      <c r="M163" s="1866"/>
    </row>
    <row r="164" spans="1:24">
      <c r="A164" s="1806"/>
      <c r="B164" s="1755"/>
      <c r="C164" s="1755" t="s">
        <v>424</v>
      </c>
      <c r="D164" s="1859"/>
      <c r="E164" s="1864"/>
      <c r="F164" s="1801"/>
      <c r="G164" s="2289"/>
      <c r="H164" s="2290"/>
      <c r="I164" s="2291"/>
      <c r="J164" s="1861"/>
      <c r="K164" s="1862"/>
      <c r="L164" s="1865"/>
      <c r="M164" s="1866"/>
    </row>
    <row r="165" spans="1:24">
      <c r="A165" s="1806"/>
      <c r="B165" s="1887" t="s">
        <v>425</v>
      </c>
      <c r="C165" s="1755" t="s">
        <v>2785</v>
      </c>
      <c r="D165" s="1859"/>
      <c r="E165" s="1864">
        <f>E163</f>
        <v>0</v>
      </c>
      <c r="F165" s="1801" t="s">
        <v>37</v>
      </c>
      <c r="G165" s="2289">
        <v>140</v>
      </c>
      <c r="H165" s="2290">
        <f t="shared" ref="H165:H166" si="82">E165*G165</f>
        <v>0</v>
      </c>
      <c r="I165" s="2291">
        <v>40</v>
      </c>
      <c r="J165" s="1861">
        <f t="shared" ref="J165:J166" si="83">E165*I165</f>
        <v>0</v>
      </c>
      <c r="K165" s="1862">
        <f t="shared" ref="K165:K166" si="84">H165+J165</f>
        <v>0</v>
      </c>
      <c r="L165" s="1865"/>
      <c r="M165" s="1866"/>
    </row>
    <row r="166" spans="1:24">
      <c r="A166" s="2275"/>
      <c r="B166" s="1755" t="s">
        <v>426</v>
      </c>
      <c r="C166" s="1755" t="s">
        <v>427</v>
      </c>
      <c r="D166" s="1859"/>
      <c r="E166" s="1864">
        <v>68</v>
      </c>
      <c r="F166" s="1801" t="s">
        <v>37</v>
      </c>
      <c r="G166" s="2289">
        <v>0</v>
      </c>
      <c r="H166" s="2290">
        <f t="shared" si="82"/>
        <v>0</v>
      </c>
      <c r="I166" s="2291">
        <v>0</v>
      </c>
      <c r="J166" s="1861">
        <f t="shared" si="83"/>
        <v>0</v>
      </c>
      <c r="K166" s="1862">
        <f t="shared" si="84"/>
        <v>0</v>
      </c>
      <c r="L166" s="1865"/>
      <c r="M166" s="1866"/>
      <c r="O166" s="1886"/>
    </row>
    <row r="167" spans="1:24">
      <c r="A167" s="2275"/>
      <c r="B167" s="1755"/>
      <c r="C167" s="1755" t="s">
        <v>428</v>
      </c>
      <c r="D167" s="1859"/>
      <c r="E167" s="1864"/>
      <c r="F167" s="1801"/>
      <c r="G167" s="2289"/>
      <c r="H167" s="2290"/>
      <c r="I167" s="2291"/>
      <c r="J167" s="1861"/>
      <c r="K167" s="1862"/>
      <c r="L167" s="1865"/>
      <c r="M167" s="1866"/>
      <c r="O167" s="1886"/>
    </row>
    <row r="168" spans="1:24">
      <c r="A168" s="2275"/>
      <c r="B168" s="1755"/>
      <c r="C168" s="1755" t="s">
        <v>429</v>
      </c>
      <c r="D168" s="1859"/>
      <c r="E168" s="1864"/>
      <c r="F168" s="1801"/>
      <c r="G168" s="2289"/>
      <c r="H168" s="2290"/>
      <c r="I168" s="2291"/>
      <c r="J168" s="1861"/>
      <c r="K168" s="1862"/>
      <c r="L168" s="1865"/>
      <c r="M168" s="1866"/>
      <c r="O168" s="1886"/>
    </row>
    <row r="169" spans="1:24">
      <c r="A169" s="93"/>
      <c r="B169" s="1888" t="s">
        <v>430</v>
      </c>
      <c r="C169" s="1888" t="s">
        <v>2923</v>
      </c>
      <c r="D169" s="1889"/>
      <c r="E169" s="1890">
        <v>0</v>
      </c>
      <c r="F169" s="1872" t="s">
        <v>37</v>
      </c>
      <c r="G169" s="2294">
        <v>253</v>
      </c>
      <c r="H169" s="2295">
        <f t="shared" ref="H169:H170" si="85">E169*G169</f>
        <v>0</v>
      </c>
      <c r="I169" s="2296">
        <v>50</v>
      </c>
      <c r="J169" s="1876">
        <f t="shared" ref="J169:J170" si="86">E169*I169</f>
        <v>0</v>
      </c>
      <c r="K169" s="1877">
        <f t="shared" ref="K169:K170" si="87">H169+J169</f>
        <v>0</v>
      </c>
      <c r="L169" s="1865"/>
      <c r="M169" s="1866"/>
      <c r="O169" s="1886"/>
    </row>
    <row r="170" spans="1:24" ht="24" customHeight="1">
      <c r="A170" s="2275"/>
      <c r="B170" s="1755" t="s">
        <v>431</v>
      </c>
      <c r="C170" s="1755" t="s">
        <v>432</v>
      </c>
      <c r="D170" s="1859"/>
      <c r="E170" s="1864">
        <v>0</v>
      </c>
      <c r="F170" s="1801" t="s">
        <v>37</v>
      </c>
      <c r="G170" s="2289">
        <v>0</v>
      </c>
      <c r="H170" s="2290">
        <f t="shared" si="85"/>
        <v>0</v>
      </c>
      <c r="I170" s="2291">
        <v>220</v>
      </c>
      <c r="J170" s="1861">
        <f t="shared" si="86"/>
        <v>0</v>
      </c>
      <c r="K170" s="1862">
        <f t="shared" si="87"/>
        <v>0</v>
      </c>
      <c r="L170" s="1858"/>
      <c r="M170" s="1809"/>
      <c r="N170" s="1837"/>
      <c r="O170" s="1886"/>
      <c r="P170" s="1837"/>
      <c r="Q170" s="1837"/>
      <c r="R170" s="1837"/>
      <c r="S170" s="1837"/>
      <c r="T170" s="1837"/>
      <c r="U170" s="1837"/>
      <c r="V170" s="1837"/>
      <c r="W170" s="1837"/>
      <c r="X170" s="1837"/>
    </row>
    <row r="171" spans="1:24" ht="24" customHeight="1">
      <c r="A171" s="2275"/>
      <c r="B171" s="1755"/>
      <c r="C171" s="1755" t="s">
        <v>433</v>
      </c>
      <c r="D171" s="1891"/>
      <c r="E171" s="1864"/>
      <c r="F171" s="1801"/>
      <c r="G171" s="2289"/>
      <c r="H171" s="2290"/>
      <c r="I171" s="2291"/>
      <c r="J171" s="1861"/>
      <c r="K171" s="1862"/>
      <c r="L171" s="1858"/>
      <c r="M171" s="1809"/>
      <c r="N171" s="1837"/>
      <c r="O171" s="1886"/>
      <c r="P171" s="1837"/>
      <c r="Q171" s="1837"/>
      <c r="R171" s="1837"/>
      <c r="S171" s="1837"/>
      <c r="T171" s="1837"/>
      <c r="U171" s="1837"/>
      <c r="V171" s="1837"/>
      <c r="W171" s="1837"/>
      <c r="X171" s="1837"/>
    </row>
    <row r="172" spans="1:24">
      <c r="A172" s="1806"/>
      <c r="B172" s="1755" t="s">
        <v>434</v>
      </c>
      <c r="C172" s="1755" t="s">
        <v>435</v>
      </c>
      <c r="D172" s="1891"/>
      <c r="E172" s="1864">
        <v>73</v>
      </c>
      <c r="F172" s="1801" t="s">
        <v>37</v>
      </c>
      <c r="G172" s="1892">
        <v>398</v>
      </c>
      <c r="H172" s="2290">
        <f t="shared" ref="H172" si="88">E172*G172</f>
        <v>29054</v>
      </c>
      <c r="I172" s="1968">
        <v>154</v>
      </c>
      <c r="J172" s="1861">
        <f t="shared" ref="J172" si="89">E172*I172</f>
        <v>11242</v>
      </c>
      <c r="K172" s="1862">
        <f t="shared" ref="K172" si="90">H172+J172</f>
        <v>40296</v>
      </c>
      <c r="L172" s="1864"/>
      <c r="M172" s="1894"/>
    </row>
    <row r="173" spans="1:24">
      <c r="A173" s="1806"/>
      <c r="B173" s="1755"/>
      <c r="C173" s="1895" t="s">
        <v>436</v>
      </c>
      <c r="D173" s="1891"/>
      <c r="E173" s="1864"/>
      <c r="F173" s="1801"/>
      <c r="G173" s="2289"/>
      <c r="H173" s="2290"/>
      <c r="I173" s="2291"/>
      <c r="J173" s="1861"/>
      <c r="K173" s="1862"/>
      <c r="L173" s="1865"/>
      <c r="M173" s="1866"/>
    </row>
    <row r="174" spans="1:24">
      <c r="A174" s="1806"/>
      <c r="B174" s="1895"/>
      <c r="C174" s="1895"/>
      <c r="D174" s="1891"/>
      <c r="E174" s="1864"/>
      <c r="F174" s="1801"/>
      <c r="G174" s="2289"/>
      <c r="H174" s="2290"/>
      <c r="I174" s="2291"/>
      <c r="J174" s="1861"/>
      <c r="K174" s="1862"/>
      <c r="L174" s="1865"/>
      <c r="M174" s="1866"/>
    </row>
    <row r="175" spans="1:24">
      <c r="A175" s="1806"/>
      <c r="B175" s="1895"/>
      <c r="C175" s="1895"/>
      <c r="D175" s="1891"/>
      <c r="E175" s="1864"/>
      <c r="F175" s="1801"/>
      <c r="G175" s="2289"/>
      <c r="H175" s="2290"/>
      <c r="I175" s="2291"/>
      <c r="J175" s="1861"/>
      <c r="K175" s="1862"/>
      <c r="L175" s="1865"/>
      <c r="M175" s="1866"/>
    </row>
    <row r="176" spans="1:24" s="1900" customFormat="1">
      <c r="A176" s="1896"/>
      <c r="B176" s="1895" t="s">
        <v>437</v>
      </c>
      <c r="C176" s="1895"/>
      <c r="D176" s="1895"/>
      <c r="E176" s="1897"/>
      <c r="F176" s="1806"/>
      <c r="G176" s="1789"/>
      <c r="H176" s="2290"/>
      <c r="I176" s="2083"/>
      <c r="J176" s="1861"/>
      <c r="K176" s="1862"/>
      <c r="L176" s="1899"/>
      <c r="M176" s="1737"/>
    </row>
    <row r="177" spans="1:24">
      <c r="A177" s="1901"/>
      <c r="B177" s="1902" t="s">
        <v>2924</v>
      </c>
      <c r="C177" s="2228" t="s">
        <v>446</v>
      </c>
      <c r="D177" s="2229"/>
      <c r="E177" s="1897">
        <v>328</v>
      </c>
      <c r="F177" s="1806" t="s">
        <v>438</v>
      </c>
      <c r="G177" s="60">
        <v>200</v>
      </c>
      <c r="H177" s="2295">
        <f t="shared" ref="H177:H179" si="91">E177*G177</f>
        <v>65600</v>
      </c>
      <c r="I177" s="673">
        <v>45</v>
      </c>
      <c r="J177" s="1876">
        <f t="shared" ref="J177:J179" si="92">E177*I177</f>
        <v>14760</v>
      </c>
      <c r="K177" s="1877">
        <f t="shared" ref="K177:K179" si="93">H177+J177</f>
        <v>80360</v>
      </c>
      <c r="L177" s="119"/>
      <c r="M177" s="62" t="s">
        <v>2925</v>
      </c>
    </row>
    <row r="178" spans="1:24">
      <c r="A178" s="1901"/>
      <c r="B178" s="1902" t="s">
        <v>2924</v>
      </c>
      <c r="C178" s="2228" t="s">
        <v>439</v>
      </c>
      <c r="D178" s="2229"/>
      <c r="E178" s="1897">
        <v>217</v>
      </c>
      <c r="F178" s="1806" t="s">
        <v>438</v>
      </c>
      <c r="G178" s="60">
        <v>19</v>
      </c>
      <c r="H178" s="2295">
        <f t="shared" si="91"/>
        <v>4123</v>
      </c>
      <c r="I178" s="673">
        <v>20</v>
      </c>
      <c r="J178" s="1876">
        <f t="shared" si="92"/>
        <v>4340</v>
      </c>
      <c r="K178" s="1877">
        <f t="shared" si="93"/>
        <v>8463</v>
      </c>
      <c r="L178" s="119"/>
      <c r="M178" s="62" t="s">
        <v>2925</v>
      </c>
    </row>
    <row r="179" spans="1:24">
      <c r="A179" s="1901"/>
      <c r="B179" s="2230" t="s">
        <v>425</v>
      </c>
      <c r="C179" s="2231" t="s">
        <v>440</v>
      </c>
      <c r="D179" s="2229"/>
      <c r="E179" s="1897">
        <v>0</v>
      </c>
      <c r="F179" s="1806" t="s">
        <v>438</v>
      </c>
      <c r="G179" s="1789">
        <v>0</v>
      </c>
      <c r="H179" s="2290">
        <f t="shared" si="91"/>
        <v>0</v>
      </c>
      <c r="I179" s="2083">
        <v>0</v>
      </c>
      <c r="J179" s="1861">
        <f t="shared" si="92"/>
        <v>0</v>
      </c>
      <c r="K179" s="1862">
        <f t="shared" si="93"/>
        <v>0</v>
      </c>
      <c r="L179" s="1899"/>
      <c r="M179" s="1797">
        <f>SUM(K133:K179)</f>
        <v>4700181</v>
      </c>
    </row>
    <row r="180" spans="1:24" ht="24" customHeight="1">
      <c r="A180" s="2232" t="s">
        <v>449</v>
      </c>
      <c r="B180" s="1908" t="s">
        <v>450</v>
      </c>
      <c r="C180" s="2234"/>
      <c r="D180" s="1891"/>
      <c r="E180" s="1984"/>
      <c r="F180" s="2275"/>
      <c r="G180" s="1778"/>
      <c r="H180" s="2212"/>
      <c r="I180" s="2213"/>
      <c r="J180" s="2214"/>
      <c r="K180" s="2215"/>
      <c r="L180" s="1847"/>
      <c r="M180" s="1809"/>
      <c r="P180" s="1837"/>
      <c r="Q180" s="1837"/>
      <c r="R180" s="1837"/>
      <c r="S180" s="1837"/>
      <c r="T180" s="1837"/>
      <c r="U180" s="1837"/>
      <c r="V180" s="1837"/>
      <c r="W180" s="1837"/>
      <c r="X180" s="1837"/>
    </row>
    <row r="181" spans="1:24">
      <c r="A181" s="1806"/>
      <c r="B181" s="1783"/>
      <c r="C181" s="1755" t="s">
        <v>2955</v>
      </c>
      <c r="D181" s="1859"/>
      <c r="E181" s="1860">
        <f>E183+E184+E186+E188+E190+E192+E194+E196+E197+E199+E202+E204+E205+E210+E218</f>
        <v>1478</v>
      </c>
      <c r="F181" s="1801" t="s">
        <v>37</v>
      </c>
      <c r="G181" s="2289">
        <v>113</v>
      </c>
      <c r="H181" s="2290">
        <f>E181*G181</f>
        <v>167014</v>
      </c>
      <c r="I181" s="2291">
        <v>61</v>
      </c>
      <c r="J181" s="1861">
        <f t="shared" ref="J181:J184" si="94">E181*I181</f>
        <v>90158</v>
      </c>
      <c r="K181" s="1862">
        <f t="shared" ref="K181:K184" si="95">H181+J181</f>
        <v>257172</v>
      </c>
      <c r="L181" s="2292"/>
      <c r="M181" s="2293"/>
      <c r="N181" s="1797">
        <f>SUM(E182:E221)</f>
        <v>4967</v>
      </c>
    </row>
    <row r="182" spans="1:24">
      <c r="A182" s="1806"/>
      <c r="B182" s="1755" t="s">
        <v>385</v>
      </c>
      <c r="C182" s="1755" t="s">
        <v>386</v>
      </c>
      <c r="D182" s="1859"/>
      <c r="E182" s="1864">
        <v>3489</v>
      </c>
      <c r="F182" s="1801" t="s">
        <v>37</v>
      </c>
      <c r="G182" s="2289">
        <v>113</v>
      </c>
      <c r="H182" s="2290">
        <f t="shared" ref="H182:H184" si="96">E182*G182</f>
        <v>394257</v>
      </c>
      <c r="I182" s="2291">
        <v>61</v>
      </c>
      <c r="J182" s="1861">
        <f t="shared" si="94"/>
        <v>212829</v>
      </c>
      <c r="K182" s="1862">
        <f t="shared" si="95"/>
        <v>607086</v>
      </c>
      <c r="L182" s="2292"/>
      <c r="M182" s="2293"/>
      <c r="N182" s="1797"/>
      <c r="O182" s="1797"/>
    </row>
    <row r="183" spans="1:24">
      <c r="A183" s="1806"/>
      <c r="B183" s="1755" t="s">
        <v>387</v>
      </c>
      <c r="C183" s="1755" t="s">
        <v>388</v>
      </c>
      <c r="D183" s="1755"/>
      <c r="E183" s="1864">
        <v>0</v>
      </c>
      <c r="F183" s="1801" t="s">
        <v>37</v>
      </c>
      <c r="G183" s="2289">
        <v>564</v>
      </c>
      <c r="H183" s="2290">
        <f t="shared" si="96"/>
        <v>0</v>
      </c>
      <c r="I183" s="2291">
        <v>283</v>
      </c>
      <c r="J183" s="1861">
        <f t="shared" si="94"/>
        <v>0</v>
      </c>
      <c r="K183" s="1862">
        <f t="shared" si="95"/>
        <v>0</v>
      </c>
      <c r="L183" s="1865"/>
      <c r="M183" s="1866"/>
    </row>
    <row r="184" spans="1:24">
      <c r="A184" s="1806"/>
      <c r="B184" s="1755" t="s">
        <v>389</v>
      </c>
      <c r="C184" s="1867" t="s">
        <v>390</v>
      </c>
      <c r="D184" s="1868"/>
      <c r="E184" s="1864">
        <v>0</v>
      </c>
      <c r="F184" s="1801" t="s">
        <v>37</v>
      </c>
      <c r="G184" s="2289">
        <v>295</v>
      </c>
      <c r="H184" s="2290">
        <f t="shared" si="96"/>
        <v>0</v>
      </c>
      <c r="I184" s="2291">
        <v>184</v>
      </c>
      <c r="J184" s="1861">
        <f t="shared" si="94"/>
        <v>0</v>
      </c>
      <c r="K184" s="1862">
        <f t="shared" si="95"/>
        <v>0</v>
      </c>
      <c r="L184" s="1865"/>
      <c r="M184" s="1866"/>
    </row>
    <row r="185" spans="1:24">
      <c r="A185" s="1806"/>
      <c r="B185" s="1755"/>
      <c r="C185" s="1867" t="s">
        <v>2778</v>
      </c>
      <c r="D185" s="1868"/>
      <c r="E185" s="1864"/>
      <c r="F185" s="1801"/>
      <c r="G185" s="2289"/>
      <c r="H185" s="2290"/>
      <c r="I185" s="2291"/>
      <c r="J185" s="1861"/>
      <c r="K185" s="1862"/>
      <c r="L185" s="1865"/>
      <c r="M185" s="1866"/>
    </row>
    <row r="186" spans="1:24">
      <c r="A186" s="1806"/>
      <c r="B186" s="1755" t="s">
        <v>391</v>
      </c>
      <c r="C186" s="1867" t="s">
        <v>443</v>
      </c>
      <c r="D186" s="1868"/>
      <c r="E186" s="1864">
        <v>0</v>
      </c>
      <c r="F186" s="1801" t="s">
        <v>37</v>
      </c>
      <c r="G186" s="2289">
        <v>297</v>
      </c>
      <c r="H186" s="2290">
        <f t="shared" ref="H186" si="97">E186*G186</f>
        <v>0</v>
      </c>
      <c r="I186" s="2291">
        <v>204</v>
      </c>
      <c r="J186" s="1861">
        <f t="shared" ref="J186" si="98">E186*I186</f>
        <v>0</v>
      </c>
      <c r="K186" s="1862">
        <f t="shared" ref="K186" si="99">H186+J186</f>
        <v>0</v>
      </c>
      <c r="L186" s="1865"/>
      <c r="M186" s="1866"/>
    </row>
    <row r="187" spans="1:24">
      <c r="A187" s="1806"/>
      <c r="B187" s="1755"/>
      <c r="C187" s="1867" t="s">
        <v>2786</v>
      </c>
      <c r="D187" s="1868"/>
      <c r="E187" s="1864"/>
      <c r="F187" s="1801"/>
      <c r="G187" s="2289"/>
      <c r="H187" s="2290"/>
      <c r="I187" s="2291"/>
      <c r="J187" s="1861"/>
      <c r="K187" s="1862"/>
      <c r="L187" s="1865"/>
      <c r="M187" s="1866"/>
    </row>
    <row r="188" spans="1:24">
      <c r="A188" s="1806"/>
      <c r="B188" s="1755" t="s">
        <v>392</v>
      </c>
      <c r="C188" s="1867" t="s">
        <v>444</v>
      </c>
      <c r="D188" s="1868"/>
      <c r="E188" s="1864">
        <v>0</v>
      </c>
      <c r="F188" s="1872" t="s">
        <v>37</v>
      </c>
      <c r="G188" s="1873">
        <v>609</v>
      </c>
      <c r="H188" s="1874">
        <f t="shared" ref="H188" si="100">E188*G188</f>
        <v>0</v>
      </c>
      <c r="I188" s="1875">
        <v>222</v>
      </c>
      <c r="J188" s="1876">
        <f t="shared" ref="J188" si="101">E188*I188</f>
        <v>0</v>
      </c>
      <c r="K188" s="1877">
        <f t="shared" ref="K188" si="102">H188+J188</f>
        <v>0</v>
      </c>
      <c r="L188" s="1865"/>
      <c r="M188" s="1866"/>
      <c r="N188" s="1837"/>
      <c r="O188" s="1837"/>
    </row>
    <row r="189" spans="1:24">
      <c r="A189" s="1806"/>
      <c r="B189" s="1755"/>
      <c r="C189" s="1867" t="s">
        <v>394</v>
      </c>
      <c r="D189" s="1868"/>
      <c r="E189" s="1864"/>
      <c r="F189" s="1872"/>
      <c r="G189" s="1873"/>
      <c r="H189" s="1874"/>
      <c r="I189" s="1875"/>
      <c r="J189" s="1876"/>
      <c r="K189" s="1877"/>
      <c r="L189" s="1865"/>
      <c r="M189" s="1866"/>
      <c r="N189" s="1837"/>
      <c r="O189" s="1837"/>
    </row>
    <row r="190" spans="1:24">
      <c r="A190" s="1806"/>
      <c r="B190" s="1755" t="s">
        <v>2916</v>
      </c>
      <c r="C190" s="1867" t="s">
        <v>444</v>
      </c>
      <c r="D190" s="1868"/>
      <c r="E190" s="1864">
        <v>887</v>
      </c>
      <c r="F190" s="64" t="s">
        <v>37</v>
      </c>
      <c r="G190" s="1873">
        <v>399</v>
      </c>
      <c r="H190" s="1874">
        <f t="shared" ref="H190" si="103">E190*G190</f>
        <v>353913</v>
      </c>
      <c r="I190" s="1875">
        <v>222</v>
      </c>
      <c r="J190" s="1882">
        <f t="shared" ref="J190" si="104">E190*I190</f>
        <v>196914</v>
      </c>
      <c r="K190" s="1877">
        <f t="shared" ref="K190" si="105">H190+J190</f>
        <v>550827</v>
      </c>
      <c r="L190" s="1865"/>
      <c r="M190" s="1878"/>
      <c r="N190" s="1879"/>
      <c r="O190" s="1881"/>
    </row>
    <row r="191" spans="1:24">
      <c r="A191" s="1806"/>
      <c r="B191" s="1755"/>
      <c r="C191" s="1867" t="s">
        <v>394</v>
      </c>
      <c r="D191" s="1868"/>
      <c r="E191" s="1864"/>
      <c r="F191" s="64"/>
      <c r="G191" s="1873"/>
      <c r="H191" s="1874"/>
      <c r="I191" s="1875"/>
      <c r="J191" s="1882"/>
      <c r="K191" s="1877"/>
      <c r="L191" s="1865"/>
      <c r="M191" s="1878"/>
      <c r="N191" s="1879"/>
      <c r="O191" s="1881"/>
    </row>
    <row r="192" spans="1:24">
      <c r="A192" s="1806"/>
      <c r="B192" s="1755" t="s">
        <v>393</v>
      </c>
      <c r="C192" s="1867" t="s">
        <v>445</v>
      </c>
      <c r="D192" s="1868"/>
      <c r="E192" s="1864">
        <v>0</v>
      </c>
      <c r="F192" s="1872" t="s">
        <v>37</v>
      </c>
      <c r="G192" s="1873">
        <v>617</v>
      </c>
      <c r="H192" s="1874">
        <f t="shared" ref="H192" si="106">E192*G192</f>
        <v>0</v>
      </c>
      <c r="I192" s="1875">
        <v>242</v>
      </c>
      <c r="J192" s="1876">
        <f t="shared" ref="J192" si="107">E192*I192</f>
        <v>0</v>
      </c>
      <c r="K192" s="1877">
        <f t="shared" ref="K192" si="108">H192+J192</f>
        <v>0</v>
      </c>
      <c r="L192" s="1865"/>
      <c r="M192" s="1866"/>
      <c r="N192" s="1837"/>
      <c r="O192" s="1837"/>
    </row>
    <row r="193" spans="1:15">
      <c r="A193" s="1806"/>
      <c r="B193" s="1755"/>
      <c r="C193" s="1867" t="s">
        <v>394</v>
      </c>
      <c r="D193" s="1755"/>
      <c r="E193" s="1864"/>
      <c r="F193" s="1872"/>
      <c r="G193" s="1873"/>
      <c r="H193" s="1874"/>
      <c r="I193" s="1875"/>
      <c r="J193" s="1876"/>
      <c r="K193" s="1877"/>
      <c r="L193" s="1865"/>
      <c r="M193" s="1866"/>
      <c r="N193" s="1837"/>
      <c r="O193" s="1837"/>
    </row>
    <row r="194" spans="1:15">
      <c r="A194" s="1806"/>
      <c r="B194" s="1755" t="s">
        <v>2917</v>
      </c>
      <c r="C194" s="1867" t="s">
        <v>445</v>
      </c>
      <c r="D194" s="1868"/>
      <c r="E194" s="1864">
        <v>249</v>
      </c>
      <c r="F194" s="64" t="s">
        <v>37</v>
      </c>
      <c r="G194" s="1873">
        <v>399</v>
      </c>
      <c r="H194" s="1874">
        <f t="shared" ref="H194" si="109">E194*G194</f>
        <v>99351</v>
      </c>
      <c r="I194" s="1875">
        <v>242</v>
      </c>
      <c r="J194" s="1882">
        <f t="shared" ref="J194" si="110">E194*I194</f>
        <v>60258</v>
      </c>
      <c r="K194" s="1877">
        <f t="shared" ref="K194" si="111">H194+J194</f>
        <v>159609</v>
      </c>
      <c r="L194" s="1865"/>
      <c r="M194" s="1878"/>
      <c r="N194" s="1879"/>
      <c r="O194" s="1883"/>
    </row>
    <row r="195" spans="1:15">
      <c r="A195" s="1806"/>
      <c r="B195" s="1755"/>
      <c r="C195" s="1755" t="s">
        <v>394</v>
      </c>
      <c r="D195" s="1755"/>
      <c r="E195" s="1864"/>
      <c r="F195" s="1801"/>
      <c r="G195" s="2289"/>
      <c r="H195" s="2290"/>
      <c r="I195" s="2291"/>
      <c r="J195" s="1861"/>
      <c r="K195" s="1862"/>
      <c r="L195" s="1865"/>
      <c r="M195" s="1878"/>
      <c r="N195" s="1879"/>
      <c r="O195" s="1881">
        <f>O187*O194</f>
        <v>0</v>
      </c>
    </row>
    <row r="196" spans="1:15">
      <c r="A196" s="1806"/>
      <c r="B196" s="1755" t="s">
        <v>395</v>
      </c>
      <c r="C196" s="1755" t="s">
        <v>396</v>
      </c>
      <c r="D196" s="1755"/>
      <c r="E196" s="1864">
        <v>148</v>
      </c>
      <c r="F196" s="1801" t="s">
        <v>37</v>
      </c>
      <c r="G196" s="2289">
        <v>420</v>
      </c>
      <c r="H196" s="2290">
        <f t="shared" ref="H196:H197" si="112">E196*G196</f>
        <v>62160</v>
      </c>
      <c r="I196" s="2291">
        <v>100</v>
      </c>
      <c r="J196" s="1861">
        <f t="shared" ref="J196:J197" si="113">E196*I196</f>
        <v>14800</v>
      </c>
      <c r="K196" s="1862">
        <f t="shared" ref="K196:K197" si="114">H196+J196</f>
        <v>76960</v>
      </c>
      <c r="L196" s="1865"/>
      <c r="M196" s="1866"/>
      <c r="N196" s="1797"/>
    </row>
    <row r="197" spans="1:15">
      <c r="A197" s="1806"/>
      <c r="B197" s="1755" t="s">
        <v>397</v>
      </c>
      <c r="C197" s="1867" t="s">
        <v>398</v>
      </c>
      <c r="D197" s="1868"/>
      <c r="E197" s="1864">
        <v>0</v>
      </c>
      <c r="F197" s="1801" t="s">
        <v>37</v>
      </c>
      <c r="G197" s="2289">
        <v>564</v>
      </c>
      <c r="H197" s="2290">
        <f t="shared" si="112"/>
        <v>0</v>
      </c>
      <c r="I197" s="2291">
        <v>283</v>
      </c>
      <c r="J197" s="1861">
        <f t="shared" si="113"/>
        <v>0</v>
      </c>
      <c r="K197" s="1862">
        <f t="shared" si="114"/>
        <v>0</v>
      </c>
      <c r="L197" s="1865"/>
      <c r="M197" s="1866"/>
    </row>
    <row r="198" spans="1:15">
      <c r="A198" s="1806"/>
      <c r="B198" s="1755"/>
      <c r="C198" s="1755" t="s">
        <v>2783</v>
      </c>
      <c r="D198" s="1755"/>
      <c r="E198" s="1864"/>
      <c r="F198" s="1885"/>
      <c r="G198" s="2289"/>
      <c r="H198" s="2290"/>
      <c r="I198" s="2291"/>
      <c r="J198" s="1861"/>
      <c r="K198" s="1862"/>
      <c r="L198" s="1865"/>
      <c r="M198" s="1866"/>
    </row>
    <row r="199" spans="1:15">
      <c r="A199" s="1806"/>
      <c r="B199" s="1755" t="s">
        <v>2784</v>
      </c>
      <c r="C199" s="1755" t="s">
        <v>399</v>
      </c>
      <c r="D199" s="1755"/>
      <c r="E199" s="1864">
        <v>107</v>
      </c>
      <c r="F199" s="1801" t="s">
        <v>37</v>
      </c>
      <c r="G199" s="2289">
        <v>3570</v>
      </c>
      <c r="H199" s="2290">
        <f t="shared" ref="H199:H211" si="115">E199*G199</f>
        <v>381990</v>
      </c>
      <c r="I199" s="2291">
        <v>220</v>
      </c>
      <c r="J199" s="1861">
        <f t="shared" ref="J199:J211" si="116">E199*I199</f>
        <v>23540</v>
      </c>
      <c r="K199" s="1862">
        <f t="shared" ref="K199:K211" si="117">H199+J199</f>
        <v>405530</v>
      </c>
      <c r="L199" s="1865"/>
      <c r="M199" s="1866"/>
    </row>
    <row r="200" spans="1:15">
      <c r="A200" s="1806"/>
      <c r="B200" s="1755" t="s">
        <v>400</v>
      </c>
      <c r="C200" s="1755" t="s">
        <v>401</v>
      </c>
      <c r="D200" s="1755"/>
      <c r="E200" s="1864">
        <v>0</v>
      </c>
      <c r="F200" s="1801" t="s">
        <v>37</v>
      </c>
      <c r="G200" s="2289">
        <f>ROUNDUP(2227.6*0.05+5*2.95,0)</f>
        <v>127</v>
      </c>
      <c r="H200" s="2290">
        <f t="shared" si="115"/>
        <v>0</v>
      </c>
      <c r="I200" s="2291">
        <v>82</v>
      </c>
      <c r="J200" s="1861">
        <f t="shared" si="116"/>
        <v>0</v>
      </c>
      <c r="K200" s="1862">
        <f t="shared" si="117"/>
        <v>0</v>
      </c>
      <c r="L200" s="1865"/>
      <c r="M200" s="1866"/>
    </row>
    <row r="201" spans="1:15">
      <c r="A201" s="1806"/>
      <c r="B201" s="1755" t="s">
        <v>402</v>
      </c>
      <c r="C201" s="1867" t="s">
        <v>403</v>
      </c>
      <c r="D201" s="1868"/>
      <c r="E201" s="1864">
        <v>0</v>
      </c>
      <c r="F201" s="1801" t="s">
        <v>37</v>
      </c>
      <c r="G201" s="2291">
        <v>120</v>
      </c>
      <c r="H201" s="2290">
        <f t="shared" si="115"/>
        <v>0</v>
      </c>
      <c r="I201" s="2291">
        <v>61</v>
      </c>
      <c r="J201" s="1861">
        <f t="shared" si="116"/>
        <v>0</v>
      </c>
      <c r="K201" s="1862">
        <f t="shared" si="117"/>
        <v>0</v>
      </c>
      <c r="L201" s="1865"/>
      <c r="M201" s="1866"/>
    </row>
    <row r="202" spans="1:15">
      <c r="A202" s="1806"/>
      <c r="B202" s="1755" t="s">
        <v>404</v>
      </c>
      <c r="C202" s="1755" t="s">
        <v>405</v>
      </c>
      <c r="D202" s="1755"/>
      <c r="E202" s="1864">
        <v>0</v>
      </c>
      <c r="F202" s="1801" t="s">
        <v>37</v>
      </c>
      <c r="G202" s="2289">
        <v>447</v>
      </c>
      <c r="H202" s="2290">
        <f t="shared" si="115"/>
        <v>0</v>
      </c>
      <c r="I202" s="2291">
        <v>212</v>
      </c>
      <c r="J202" s="1861">
        <f t="shared" si="116"/>
        <v>0</v>
      </c>
      <c r="K202" s="1862">
        <f t="shared" si="117"/>
        <v>0</v>
      </c>
      <c r="L202" s="1865"/>
      <c r="M202" s="1866"/>
    </row>
    <row r="203" spans="1:15">
      <c r="A203" s="1806"/>
      <c r="B203" s="1755" t="s">
        <v>406</v>
      </c>
      <c r="C203" s="1867" t="s">
        <v>407</v>
      </c>
      <c r="D203" s="1868"/>
      <c r="E203" s="1864">
        <v>0</v>
      </c>
      <c r="F203" s="1801" t="s">
        <v>37</v>
      </c>
      <c r="G203" s="2291">
        <v>240</v>
      </c>
      <c r="H203" s="2290">
        <f t="shared" si="115"/>
        <v>0</v>
      </c>
      <c r="I203" s="2291">
        <v>80</v>
      </c>
      <c r="J203" s="1861">
        <f t="shared" si="116"/>
        <v>0</v>
      </c>
      <c r="K203" s="1862">
        <f t="shared" si="117"/>
        <v>0</v>
      </c>
      <c r="L203" s="1865"/>
      <c r="M203" s="1866"/>
    </row>
    <row r="204" spans="1:15">
      <c r="A204" s="1806"/>
      <c r="B204" s="1755" t="s">
        <v>408</v>
      </c>
      <c r="C204" s="1867" t="s">
        <v>409</v>
      </c>
      <c r="D204" s="1868"/>
      <c r="E204" s="1864">
        <v>0</v>
      </c>
      <c r="F204" s="1801" t="s">
        <v>37</v>
      </c>
      <c r="G204" s="2291">
        <v>230</v>
      </c>
      <c r="H204" s="2290">
        <f t="shared" si="115"/>
        <v>0</v>
      </c>
      <c r="I204" s="2291">
        <v>50</v>
      </c>
      <c r="J204" s="1861">
        <f t="shared" si="116"/>
        <v>0</v>
      </c>
      <c r="K204" s="1862">
        <f t="shared" si="117"/>
        <v>0</v>
      </c>
      <c r="L204" s="1865"/>
      <c r="M204" s="1866"/>
    </row>
    <row r="205" spans="1:15">
      <c r="A205" s="1806"/>
      <c r="B205" s="1755" t="s">
        <v>410</v>
      </c>
      <c r="C205" s="1867" t="s">
        <v>411</v>
      </c>
      <c r="D205" s="1868"/>
      <c r="E205" s="1864">
        <v>31</v>
      </c>
      <c r="F205" s="1801" t="s">
        <v>37</v>
      </c>
      <c r="G205" s="2289">
        <v>220</v>
      </c>
      <c r="H205" s="2290">
        <f t="shared" si="115"/>
        <v>6820</v>
      </c>
      <c r="I205" s="2291">
        <v>80</v>
      </c>
      <c r="J205" s="1861">
        <f t="shared" si="116"/>
        <v>2480</v>
      </c>
      <c r="K205" s="1862">
        <f t="shared" si="117"/>
        <v>9300</v>
      </c>
      <c r="L205" s="1865"/>
      <c r="M205" s="1866"/>
    </row>
    <row r="206" spans="1:15">
      <c r="A206" s="1806"/>
      <c r="B206" s="1755" t="s">
        <v>412</v>
      </c>
      <c r="C206" s="1867" t="s">
        <v>413</v>
      </c>
      <c r="D206" s="1868"/>
      <c r="E206" s="1864">
        <v>0</v>
      </c>
      <c r="F206" s="1801" t="s">
        <v>37</v>
      </c>
      <c r="G206" s="2289">
        <v>113</v>
      </c>
      <c r="H206" s="2290">
        <f t="shared" si="115"/>
        <v>0</v>
      </c>
      <c r="I206" s="2291">
        <v>61</v>
      </c>
      <c r="J206" s="1861">
        <f t="shared" si="116"/>
        <v>0</v>
      </c>
      <c r="K206" s="1862">
        <f t="shared" si="117"/>
        <v>0</v>
      </c>
      <c r="L206" s="1865"/>
      <c r="M206" s="1866"/>
    </row>
    <row r="207" spans="1:15">
      <c r="A207" s="1806"/>
      <c r="B207" s="1755" t="s">
        <v>414</v>
      </c>
      <c r="C207" s="1867" t="s">
        <v>415</v>
      </c>
      <c r="D207" s="1868"/>
      <c r="E207" s="1864">
        <v>0</v>
      </c>
      <c r="F207" s="1801" t="s">
        <v>37</v>
      </c>
      <c r="G207" s="2289">
        <v>113</v>
      </c>
      <c r="H207" s="2290">
        <f t="shared" si="115"/>
        <v>0</v>
      </c>
      <c r="I207" s="2291">
        <v>61</v>
      </c>
      <c r="J207" s="1861">
        <f t="shared" si="116"/>
        <v>0</v>
      </c>
      <c r="K207" s="1862">
        <f t="shared" si="117"/>
        <v>0</v>
      </c>
      <c r="L207" s="1865"/>
      <c r="M207" s="1866"/>
    </row>
    <row r="208" spans="1:15">
      <c r="A208" s="1806"/>
      <c r="B208" s="1755" t="s">
        <v>416</v>
      </c>
      <c r="C208" s="1867" t="s">
        <v>417</v>
      </c>
      <c r="D208" s="1868"/>
      <c r="E208" s="1864">
        <v>0</v>
      </c>
      <c r="F208" s="1801" t="s">
        <v>37</v>
      </c>
      <c r="G208" s="2289">
        <v>113</v>
      </c>
      <c r="H208" s="2290">
        <f t="shared" si="115"/>
        <v>0</v>
      </c>
      <c r="I208" s="2291">
        <v>61</v>
      </c>
      <c r="J208" s="1861">
        <f t="shared" si="116"/>
        <v>0</v>
      </c>
      <c r="K208" s="1862">
        <f t="shared" si="117"/>
        <v>0</v>
      </c>
      <c r="L208" s="1865"/>
      <c r="M208" s="1866"/>
    </row>
    <row r="209" spans="1:24">
      <c r="A209" s="1806"/>
      <c r="B209" s="1755" t="s">
        <v>418</v>
      </c>
      <c r="C209" s="1867" t="s">
        <v>419</v>
      </c>
      <c r="D209" s="1859"/>
      <c r="E209" s="1864">
        <v>0</v>
      </c>
      <c r="F209" s="1801" t="s">
        <v>37</v>
      </c>
      <c r="G209" s="2289">
        <v>113</v>
      </c>
      <c r="H209" s="2290">
        <f t="shared" si="115"/>
        <v>0</v>
      </c>
      <c r="I209" s="2291">
        <v>61</v>
      </c>
      <c r="J209" s="1861">
        <f t="shared" si="116"/>
        <v>0</v>
      </c>
      <c r="K209" s="1862">
        <f t="shared" si="117"/>
        <v>0</v>
      </c>
      <c r="L209" s="1865"/>
      <c r="M209" s="1866"/>
    </row>
    <row r="210" spans="1:24">
      <c r="A210" s="1806"/>
      <c r="B210" s="1755" t="s">
        <v>420</v>
      </c>
      <c r="C210" s="1867" t="s">
        <v>421</v>
      </c>
      <c r="D210" s="1859"/>
      <c r="E210" s="1864">
        <v>56</v>
      </c>
      <c r="F210" s="1801" t="s">
        <v>37</v>
      </c>
      <c r="G210" s="2289">
        <v>583</v>
      </c>
      <c r="H210" s="2290">
        <f t="shared" si="115"/>
        <v>32648</v>
      </c>
      <c r="I210" s="2291">
        <v>298</v>
      </c>
      <c r="J210" s="1861">
        <f t="shared" si="116"/>
        <v>16688</v>
      </c>
      <c r="K210" s="1862">
        <f t="shared" si="117"/>
        <v>49336</v>
      </c>
      <c r="L210" s="1865"/>
      <c r="M210" s="1866"/>
    </row>
    <row r="211" spans="1:24">
      <c r="A211" s="1806"/>
      <c r="B211" s="1755" t="s">
        <v>422</v>
      </c>
      <c r="C211" s="1755" t="s">
        <v>423</v>
      </c>
      <c r="D211" s="1859"/>
      <c r="E211" s="1864">
        <v>0</v>
      </c>
      <c r="F211" s="1801" t="s">
        <v>37</v>
      </c>
      <c r="G211" s="2289">
        <v>240</v>
      </c>
      <c r="H211" s="2290">
        <f t="shared" si="115"/>
        <v>0</v>
      </c>
      <c r="I211" s="2291">
        <v>50</v>
      </c>
      <c r="J211" s="1861">
        <f t="shared" si="116"/>
        <v>0</v>
      </c>
      <c r="K211" s="1862">
        <f t="shared" si="117"/>
        <v>0</v>
      </c>
      <c r="L211" s="1865"/>
      <c r="M211" s="1866"/>
    </row>
    <row r="212" spans="1:24">
      <c r="A212" s="1806"/>
      <c r="B212" s="1755"/>
      <c r="C212" s="1755" t="s">
        <v>424</v>
      </c>
      <c r="D212" s="1859"/>
      <c r="E212" s="1864"/>
      <c r="F212" s="1801"/>
      <c r="G212" s="2289"/>
      <c r="H212" s="2290"/>
      <c r="I212" s="2291"/>
      <c r="J212" s="1861"/>
      <c r="K212" s="1862"/>
      <c r="L212" s="1865"/>
      <c r="M212" s="1866"/>
    </row>
    <row r="213" spans="1:24">
      <c r="A213" s="1806"/>
      <c r="B213" s="1887" t="s">
        <v>425</v>
      </c>
      <c r="C213" s="1755" t="s">
        <v>2785</v>
      </c>
      <c r="D213" s="1859"/>
      <c r="E213" s="1864">
        <f>E211</f>
        <v>0</v>
      </c>
      <c r="F213" s="1801" t="s">
        <v>37</v>
      </c>
      <c r="G213" s="2289">
        <v>140</v>
      </c>
      <c r="H213" s="2290">
        <f t="shared" ref="H213:H214" si="118">E213*G213</f>
        <v>0</v>
      </c>
      <c r="I213" s="2291">
        <v>40</v>
      </c>
      <c r="J213" s="1861">
        <f t="shared" ref="J213:J214" si="119">E213*I213</f>
        <v>0</v>
      </c>
      <c r="K213" s="1862">
        <f t="shared" ref="K213:K214" si="120">H213+J213</f>
        <v>0</v>
      </c>
      <c r="L213" s="1865"/>
      <c r="M213" s="1866"/>
    </row>
    <row r="214" spans="1:24">
      <c r="A214" s="2275"/>
      <c r="B214" s="1755" t="s">
        <v>426</v>
      </c>
      <c r="C214" s="1755" t="s">
        <v>427</v>
      </c>
      <c r="D214" s="1859"/>
      <c r="E214" s="1864">
        <v>0</v>
      </c>
      <c r="F214" s="1801" t="s">
        <v>37</v>
      </c>
      <c r="G214" s="2289">
        <v>0</v>
      </c>
      <c r="H214" s="2290">
        <f t="shared" si="118"/>
        <v>0</v>
      </c>
      <c r="I214" s="2291">
        <v>0</v>
      </c>
      <c r="J214" s="1861">
        <f t="shared" si="119"/>
        <v>0</v>
      </c>
      <c r="K214" s="1862">
        <f t="shared" si="120"/>
        <v>0</v>
      </c>
      <c r="L214" s="1865"/>
      <c r="M214" s="1866"/>
      <c r="O214" s="1886"/>
    </row>
    <row r="215" spans="1:24">
      <c r="A215" s="2275"/>
      <c r="B215" s="1755"/>
      <c r="C215" s="1755" t="s">
        <v>428</v>
      </c>
      <c r="D215" s="1859"/>
      <c r="E215" s="1864"/>
      <c r="F215" s="1801"/>
      <c r="G215" s="2289"/>
      <c r="H215" s="2290"/>
      <c r="I215" s="2291"/>
      <c r="J215" s="1861"/>
      <c r="K215" s="1862"/>
      <c r="L215" s="1865"/>
      <c r="M215" s="1866"/>
      <c r="O215" s="1886"/>
    </row>
    <row r="216" spans="1:24">
      <c r="A216" s="2275"/>
      <c r="B216" s="1755"/>
      <c r="C216" s="1755" t="s">
        <v>429</v>
      </c>
      <c r="D216" s="1859"/>
      <c r="E216" s="1864"/>
      <c r="F216" s="1801"/>
      <c r="G216" s="2289"/>
      <c r="H216" s="2290"/>
      <c r="I216" s="2291"/>
      <c r="J216" s="1861"/>
      <c r="K216" s="1862"/>
      <c r="L216" s="1865"/>
      <c r="M216" s="1866"/>
      <c r="O216" s="1886"/>
    </row>
    <row r="217" spans="1:24">
      <c r="A217" s="93"/>
      <c r="B217" s="1888" t="s">
        <v>430</v>
      </c>
      <c r="C217" s="1888" t="s">
        <v>2923</v>
      </c>
      <c r="D217" s="1889"/>
      <c r="E217" s="1890">
        <v>0</v>
      </c>
      <c r="F217" s="1872" t="s">
        <v>37</v>
      </c>
      <c r="G217" s="2294">
        <v>253</v>
      </c>
      <c r="H217" s="2295">
        <f t="shared" ref="H217:H218" si="121">E217*G217</f>
        <v>0</v>
      </c>
      <c r="I217" s="2296">
        <v>50</v>
      </c>
      <c r="J217" s="1876">
        <f t="shared" ref="J217:J218" si="122">E217*I217</f>
        <v>0</v>
      </c>
      <c r="K217" s="1877">
        <f t="shared" ref="K217:K218" si="123">H217+J217</f>
        <v>0</v>
      </c>
      <c r="L217" s="1865"/>
      <c r="M217" s="1866"/>
      <c r="O217" s="1886"/>
    </row>
    <row r="218" spans="1:24" ht="24" customHeight="1">
      <c r="A218" s="2275"/>
      <c r="B218" s="1755" t="s">
        <v>431</v>
      </c>
      <c r="C218" s="1755" t="s">
        <v>432</v>
      </c>
      <c r="D218" s="1859"/>
      <c r="E218" s="1864">
        <v>0</v>
      </c>
      <c r="F218" s="1801" t="s">
        <v>37</v>
      </c>
      <c r="G218" s="2289">
        <v>0</v>
      </c>
      <c r="H218" s="2290">
        <f t="shared" si="121"/>
        <v>0</v>
      </c>
      <c r="I218" s="2291">
        <v>220</v>
      </c>
      <c r="J218" s="1861">
        <f t="shared" si="122"/>
        <v>0</v>
      </c>
      <c r="K218" s="1862">
        <f t="shared" si="123"/>
        <v>0</v>
      </c>
      <c r="L218" s="1858"/>
      <c r="M218" s="1809"/>
      <c r="N218" s="1837"/>
      <c r="O218" s="1886"/>
      <c r="P218" s="1837"/>
      <c r="Q218" s="1837"/>
      <c r="R218" s="1837"/>
      <c r="S218" s="1837"/>
      <c r="T218" s="1837"/>
      <c r="U218" s="1837"/>
      <c r="V218" s="1837"/>
      <c r="W218" s="1837"/>
      <c r="X218" s="1837"/>
    </row>
    <row r="219" spans="1:24" ht="24" customHeight="1">
      <c r="A219" s="2275"/>
      <c r="B219" s="1755"/>
      <c r="C219" s="1755" t="s">
        <v>433</v>
      </c>
      <c r="D219" s="1891"/>
      <c r="E219" s="1864"/>
      <c r="F219" s="1801"/>
      <c r="G219" s="2289"/>
      <c r="H219" s="2290"/>
      <c r="I219" s="2291"/>
      <c r="J219" s="1861"/>
      <c r="K219" s="1862"/>
      <c r="L219" s="1858"/>
      <c r="M219" s="1809"/>
      <c r="N219" s="1837"/>
      <c r="O219" s="1886"/>
      <c r="P219" s="1837"/>
      <c r="Q219" s="1837"/>
      <c r="R219" s="1837"/>
      <c r="S219" s="1837"/>
      <c r="T219" s="1837"/>
      <c r="U219" s="1837"/>
      <c r="V219" s="1837"/>
      <c r="W219" s="1837"/>
      <c r="X219" s="1837"/>
    </row>
    <row r="220" spans="1:24">
      <c r="A220" s="1806"/>
      <c r="B220" s="1755" t="s">
        <v>434</v>
      </c>
      <c r="C220" s="1755" t="s">
        <v>435</v>
      </c>
      <c r="D220" s="1891"/>
      <c r="E220" s="1864">
        <v>0</v>
      </c>
      <c r="F220" s="1801" t="s">
        <v>37</v>
      </c>
      <c r="G220" s="1892">
        <v>398</v>
      </c>
      <c r="H220" s="2290">
        <f t="shared" ref="H220" si="124">E220*G220</f>
        <v>0</v>
      </c>
      <c r="I220" s="1968">
        <v>154</v>
      </c>
      <c r="J220" s="1861">
        <f t="shared" ref="J220" si="125">E220*I220</f>
        <v>0</v>
      </c>
      <c r="K220" s="1862">
        <f t="shared" ref="K220" si="126">H220+J220</f>
        <v>0</v>
      </c>
      <c r="L220" s="1864"/>
      <c r="M220" s="1894"/>
    </row>
    <row r="221" spans="1:24">
      <c r="A221" s="1806"/>
      <c r="B221" s="1755"/>
      <c r="C221" s="1895" t="s">
        <v>436</v>
      </c>
      <c r="D221" s="1891"/>
      <c r="E221" s="1864"/>
      <c r="F221" s="1801"/>
      <c r="G221" s="2289"/>
      <c r="H221" s="2290"/>
      <c r="I221" s="2291"/>
      <c r="J221" s="1861"/>
      <c r="K221" s="1862"/>
      <c r="L221" s="1865"/>
      <c r="M221" s="1866"/>
    </row>
    <row r="222" spans="1:24" s="1900" customFormat="1">
      <c r="A222" s="1896"/>
      <c r="B222" s="1895" t="s">
        <v>437</v>
      </c>
      <c r="C222" s="1895"/>
      <c r="D222" s="1895"/>
      <c r="E222" s="1897"/>
      <c r="F222" s="1806"/>
      <c r="G222" s="1789"/>
      <c r="H222" s="2290"/>
      <c r="I222" s="2083"/>
      <c r="J222" s="1861"/>
      <c r="K222" s="1862"/>
      <c r="L222" s="1899"/>
      <c r="M222" s="1737"/>
    </row>
    <row r="223" spans="1:24">
      <c r="A223" s="1901"/>
      <c r="B223" s="1902" t="s">
        <v>2924</v>
      </c>
      <c r="C223" s="2228" t="s">
        <v>446</v>
      </c>
      <c r="D223" s="2229"/>
      <c r="E223" s="1897">
        <v>387</v>
      </c>
      <c r="F223" s="1806" t="s">
        <v>438</v>
      </c>
      <c r="G223" s="60">
        <v>200</v>
      </c>
      <c r="H223" s="2295">
        <f t="shared" ref="H223:H225" si="127">E223*G223</f>
        <v>77400</v>
      </c>
      <c r="I223" s="673">
        <v>45</v>
      </c>
      <c r="J223" s="1876">
        <f t="shared" ref="J223:J225" si="128">E223*I223</f>
        <v>17415</v>
      </c>
      <c r="K223" s="1877">
        <f t="shared" ref="K223:K225" si="129">H223+J223</f>
        <v>94815</v>
      </c>
      <c r="L223" s="119"/>
      <c r="M223" s="62" t="s">
        <v>2925</v>
      </c>
    </row>
    <row r="224" spans="1:24">
      <c r="A224" s="1901"/>
      <c r="B224" s="1902" t="s">
        <v>2924</v>
      </c>
      <c r="C224" s="2228" t="s">
        <v>439</v>
      </c>
      <c r="D224" s="2229"/>
      <c r="E224" s="1897">
        <v>332</v>
      </c>
      <c r="F224" s="1806" t="s">
        <v>438</v>
      </c>
      <c r="G224" s="60">
        <v>19</v>
      </c>
      <c r="H224" s="2295">
        <f t="shared" si="127"/>
        <v>6308</v>
      </c>
      <c r="I224" s="673">
        <v>20</v>
      </c>
      <c r="J224" s="1876">
        <f t="shared" si="128"/>
        <v>6640</v>
      </c>
      <c r="K224" s="1877">
        <f t="shared" si="129"/>
        <v>12948</v>
      </c>
      <c r="L224" s="119"/>
      <c r="M224" s="62" t="s">
        <v>2925</v>
      </c>
    </row>
    <row r="225" spans="1:24">
      <c r="A225" s="1901"/>
      <c r="B225" s="2230" t="s">
        <v>425</v>
      </c>
      <c r="C225" s="2231" t="s">
        <v>440</v>
      </c>
      <c r="D225" s="2229"/>
      <c r="E225" s="1897">
        <v>0</v>
      </c>
      <c r="F225" s="1806" t="s">
        <v>438</v>
      </c>
      <c r="G225" s="1789">
        <v>0</v>
      </c>
      <c r="H225" s="2290">
        <f t="shared" si="127"/>
        <v>0</v>
      </c>
      <c r="I225" s="2083">
        <v>0</v>
      </c>
      <c r="J225" s="1861">
        <f t="shared" si="128"/>
        <v>0</v>
      </c>
      <c r="K225" s="1862">
        <f t="shared" si="129"/>
        <v>0</v>
      </c>
      <c r="L225" s="1899"/>
      <c r="M225" s="1797">
        <f>SUM(K181:K225)</f>
        <v>2223583</v>
      </c>
    </row>
    <row r="226" spans="1:24">
      <c r="A226" s="1782"/>
      <c r="B226" s="1915"/>
      <c r="C226" s="2231"/>
      <c r="D226" s="2229"/>
      <c r="E226" s="1984"/>
      <c r="F226" s="2275"/>
      <c r="G226" s="1778"/>
      <c r="H226" s="2290"/>
      <c r="I226" s="2213"/>
      <c r="J226" s="1916"/>
      <c r="K226" s="1917"/>
      <c r="L226" s="1918"/>
      <c r="M226" s="1797"/>
    </row>
    <row r="227" spans="1:24">
      <c r="A227" s="1782"/>
      <c r="B227" s="1915"/>
      <c r="C227" s="2231"/>
      <c r="D227" s="2229"/>
      <c r="E227" s="1984"/>
      <c r="F227" s="2275"/>
      <c r="G227" s="1778"/>
      <c r="H227" s="2290"/>
      <c r="I227" s="2213"/>
      <c r="J227" s="1916"/>
      <c r="K227" s="1917"/>
      <c r="L227" s="1918"/>
      <c r="M227" s="1797"/>
    </row>
    <row r="228" spans="1:24">
      <c r="A228" s="1782"/>
      <c r="B228" s="1915"/>
      <c r="C228" s="2231"/>
      <c r="D228" s="2229"/>
      <c r="E228" s="1984"/>
      <c r="F228" s="2275"/>
      <c r="G228" s="1778"/>
      <c r="H228" s="2290"/>
      <c r="I228" s="2213"/>
      <c r="J228" s="1916"/>
      <c r="K228" s="1917"/>
      <c r="L228" s="1918"/>
      <c r="M228" s="1797"/>
    </row>
    <row r="229" spans="1:24">
      <c r="A229" s="1782"/>
      <c r="B229" s="1915"/>
      <c r="C229" s="2231"/>
      <c r="D229" s="2229"/>
      <c r="E229" s="1984"/>
      <c r="F229" s="2275"/>
      <c r="G229" s="1778"/>
      <c r="H229" s="2290"/>
      <c r="I229" s="2213"/>
      <c r="J229" s="1916"/>
      <c r="K229" s="1917"/>
      <c r="L229" s="1918"/>
      <c r="M229" s="1797"/>
    </row>
    <row r="230" spans="1:24">
      <c r="A230" s="1782"/>
      <c r="B230" s="1915"/>
      <c r="C230" s="2231"/>
      <c r="D230" s="2229"/>
      <c r="E230" s="1984"/>
      <c r="F230" s="2275"/>
      <c r="G230" s="1778"/>
      <c r="H230" s="2290"/>
      <c r="I230" s="2213"/>
      <c r="J230" s="1916"/>
      <c r="K230" s="1917"/>
      <c r="L230" s="1918"/>
      <c r="M230" s="1797"/>
    </row>
    <row r="231" spans="1:24">
      <c r="A231" s="1782"/>
      <c r="B231" s="1915"/>
      <c r="C231" s="2231"/>
      <c r="D231" s="2229"/>
      <c r="E231" s="1984"/>
      <c r="F231" s="2275"/>
      <c r="G231" s="1778"/>
      <c r="H231" s="2290"/>
      <c r="I231" s="2213"/>
      <c r="J231" s="1916"/>
      <c r="K231" s="1917"/>
      <c r="L231" s="1918"/>
      <c r="M231" s="1797"/>
    </row>
    <row r="232" spans="1:24" ht="24" customHeight="1">
      <c r="A232" s="2232" t="s">
        <v>451</v>
      </c>
      <c r="B232" s="1908" t="s">
        <v>452</v>
      </c>
      <c r="C232" s="2234"/>
      <c r="D232" s="1891"/>
      <c r="E232" s="1984"/>
      <c r="F232" s="2275"/>
      <c r="G232" s="1919"/>
      <c r="H232" s="2212"/>
      <c r="I232" s="2216"/>
      <c r="J232" s="2214"/>
      <c r="K232" s="2215"/>
      <c r="L232" s="1918"/>
      <c r="P232" s="1837"/>
      <c r="Q232" s="1837"/>
      <c r="R232" s="1837"/>
      <c r="S232" s="1837"/>
      <c r="T232" s="1837"/>
      <c r="U232" s="1837"/>
      <c r="V232" s="1837"/>
      <c r="W232" s="1837"/>
      <c r="X232" s="1837"/>
    </row>
    <row r="233" spans="1:24">
      <c r="A233" s="1806"/>
      <c r="B233" s="1783"/>
      <c r="C233" s="1755" t="s">
        <v>2955</v>
      </c>
      <c r="D233" s="1859"/>
      <c r="E233" s="1860">
        <f>E235+E236+E238+E240+E242+E244+E246+E248+E249+E251+E254+E256+E257+E262+E270</f>
        <v>1672</v>
      </c>
      <c r="F233" s="1801" t="s">
        <v>37</v>
      </c>
      <c r="G233" s="2289">
        <v>113</v>
      </c>
      <c r="H233" s="2290">
        <f>E233*G233</f>
        <v>188936</v>
      </c>
      <c r="I233" s="2291">
        <v>61</v>
      </c>
      <c r="J233" s="1861">
        <f t="shared" ref="J233:J236" si="130">E233*I233</f>
        <v>101992</v>
      </c>
      <c r="K233" s="1862">
        <f t="shared" ref="K233:K236" si="131">H233+J233</f>
        <v>290928</v>
      </c>
      <c r="L233" s="2292"/>
      <c r="M233" s="2293"/>
      <c r="N233" s="1797">
        <f>SUM(E234:E273)</f>
        <v>5697</v>
      </c>
    </row>
    <row r="234" spans="1:24">
      <c r="A234" s="1806"/>
      <c r="B234" s="1755" t="s">
        <v>385</v>
      </c>
      <c r="C234" s="1755" t="s">
        <v>386</v>
      </c>
      <c r="D234" s="1859"/>
      <c r="E234" s="1864">
        <v>4025</v>
      </c>
      <c r="F234" s="1801" t="s">
        <v>37</v>
      </c>
      <c r="G234" s="2289">
        <v>113</v>
      </c>
      <c r="H234" s="2290">
        <f t="shared" ref="H234:H236" si="132">E234*G234</f>
        <v>454825</v>
      </c>
      <c r="I234" s="2291">
        <v>61</v>
      </c>
      <c r="J234" s="1861">
        <f t="shared" si="130"/>
        <v>245525</v>
      </c>
      <c r="K234" s="1862">
        <f t="shared" si="131"/>
        <v>700350</v>
      </c>
      <c r="L234" s="2292"/>
      <c r="M234" s="2293"/>
      <c r="N234" s="1797"/>
      <c r="O234" s="1797"/>
    </row>
    <row r="235" spans="1:24">
      <c r="A235" s="1806"/>
      <c r="B235" s="1755" t="s">
        <v>387</v>
      </c>
      <c r="C235" s="1755" t="s">
        <v>388</v>
      </c>
      <c r="D235" s="1755"/>
      <c r="E235" s="1864">
        <v>0</v>
      </c>
      <c r="F235" s="1801" t="s">
        <v>37</v>
      </c>
      <c r="G235" s="2289">
        <v>564</v>
      </c>
      <c r="H235" s="2290">
        <f t="shared" si="132"/>
        <v>0</v>
      </c>
      <c r="I235" s="2291">
        <v>283</v>
      </c>
      <c r="J235" s="1861">
        <f t="shared" si="130"/>
        <v>0</v>
      </c>
      <c r="K235" s="1862">
        <f t="shared" si="131"/>
        <v>0</v>
      </c>
      <c r="L235" s="1865"/>
      <c r="M235" s="1866"/>
    </row>
    <row r="236" spans="1:24">
      <c r="A236" s="1806"/>
      <c r="B236" s="1755" t="s">
        <v>389</v>
      </c>
      <c r="C236" s="1867" t="s">
        <v>390</v>
      </c>
      <c r="D236" s="1755"/>
      <c r="E236" s="1864">
        <v>0</v>
      </c>
      <c r="F236" s="1801" t="s">
        <v>37</v>
      </c>
      <c r="G236" s="2289">
        <v>295</v>
      </c>
      <c r="H236" s="2290">
        <f t="shared" si="132"/>
        <v>0</v>
      </c>
      <c r="I236" s="2291">
        <v>184</v>
      </c>
      <c r="J236" s="1861">
        <f t="shared" si="130"/>
        <v>0</v>
      </c>
      <c r="K236" s="1862">
        <f t="shared" si="131"/>
        <v>0</v>
      </c>
      <c r="L236" s="1865"/>
      <c r="M236" s="1866"/>
    </row>
    <row r="237" spans="1:24">
      <c r="A237" s="1806"/>
      <c r="B237" s="1755"/>
      <c r="C237" s="1867" t="s">
        <v>2778</v>
      </c>
      <c r="D237" s="1868"/>
      <c r="E237" s="1864"/>
      <c r="F237" s="1801"/>
      <c r="G237" s="2289"/>
      <c r="H237" s="2290"/>
      <c r="I237" s="2291"/>
      <c r="J237" s="1861"/>
      <c r="K237" s="1862"/>
      <c r="L237" s="1865"/>
      <c r="M237" s="1866"/>
    </row>
    <row r="238" spans="1:24">
      <c r="A238" s="1806"/>
      <c r="B238" s="1755" t="s">
        <v>391</v>
      </c>
      <c r="C238" s="1867" t="s">
        <v>443</v>
      </c>
      <c r="D238" s="1755"/>
      <c r="E238" s="1864">
        <v>0</v>
      </c>
      <c r="F238" s="1801" t="s">
        <v>37</v>
      </c>
      <c r="G238" s="2289">
        <v>297</v>
      </c>
      <c r="H238" s="2290">
        <f t="shared" ref="H238" si="133">E238*G238</f>
        <v>0</v>
      </c>
      <c r="I238" s="2291">
        <v>204</v>
      </c>
      <c r="J238" s="1861">
        <f t="shared" ref="J238" si="134">E238*I238</f>
        <v>0</v>
      </c>
      <c r="K238" s="1862">
        <f t="shared" ref="K238" si="135">H238+J238</f>
        <v>0</v>
      </c>
      <c r="L238" s="1865"/>
      <c r="M238" s="1866"/>
    </row>
    <row r="239" spans="1:24">
      <c r="A239" s="1806"/>
      <c r="B239" s="1755"/>
      <c r="C239" s="1867" t="s">
        <v>2786</v>
      </c>
      <c r="D239" s="1868"/>
      <c r="E239" s="1864"/>
      <c r="F239" s="1801"/>
      <c r="G239" s="2289"/>
      <c r="H239" s="2290"/>
      <c r="I239" s="2291"/>
      <c r="J239" s="1861"/>
      <c r="K239" s="1862"/>
      <c r="L239" s="1865"/>
      <c r="M239" s="1866"/>
    </row>
    <row r="240" spans="1:24">
      <c r="A240" s="1806"/>
      <c r="B240" s="1755" t="s">
        <v>392</v>
      </c>
      <c r="C240" s="1867" t="s">
        <v>444</v>
      </c>
      <c r="D240" s="1868"/>
      <c r="E240" s="1864">
        <v>0</v>
      </c>
      <c r="F240" s="1872" t="s">
        <v>37</v>
      </c>
      <c r="G240" s="1873">
        <v>609</v>
      </c>
      <c r="H240" s="1874">
        <f t="shared" ref="H240" si="136">E240*G240</f>
        <v>0</v>
      </c>
      <c r="I240" s="1875">
        <v>222</v>
      </c>
      <c r="J240" s="1876">
        <f t="shared" ref="J240" si="137">E240*I240</f>
        <v>0</v>
      </c>
      <c r="K240" s="1877">
        <f t="shared" ref="K240" si="138">H240+J240</f>
        <v>0</v>
      </c>
      <c r="L240" s="1865"/>
      <c r="M240" s="1866"/>
    </row>
    <row r="241" spans="1:15">
      <c r="A241" s="1806"/>
      <c r="B241" s="1755"/>
      <c r="C241" s="1867" t="s">
        <v>394</v>
      </c>
      <c r="D241" s="1868"/>
      <c r="E241" s="1864"/>
      <c r="F241" s="1872"/>
      <c r="G241" s="1873"/>
      <c r="H241" s="1874"/>
      <c r="I241" s="1875"/>
      <c r="J241" s="1876"/>
      <c r="K241" s="1877"/>
      <c r="L241" s="1865"/>
      <c r="M241" s="1866"/>
      <c r="N241" s="1837"/>
      <c r="O241" s="1837"/>
    </row>
    <row r="242" spans="1:15">
      <c r="A242" s="1806"/>
      <c r="B242" s="1755" t="s">
        <v>2916</v>
      </c>
      <c r="C242" s="1867" t="s">
        <v>444</v>
      </c>
      <c r="D242" s="1868"/>
      <c r="E242" s="1864">
        <v>362</v>
      </c>
      <c r="F242" s="64" t="s">
        <v>37</v>
      </c>
      <c r="G242" s="1873">
        <v>399</v>
      </c>
      <c r="H242" s="1874">
        <f t="shared" ref="H242" si="139">E242*G242</f>
        <v>144438</v>
      </c>
      <c r="I242" s="1875">
        <v>222</v>
      </c>
      <c r="J242" s="1882">
        <f t="shared" ref="J242" si="140">E242*I242</f>
        <v>80364</v>
      </c>
      <c r="K242" s="1877">
        <f t="shared" ref="K242" si="141">H242+J242</f>
        <v>224802</v>
      </c>
      <c r="L242" s="1865"/>
      <c r="M242" s="1878"/>
      <c r="N242" s="1879"/>
      <c r="O242" s="1881"/>
    </row>
    <row r="243" spans="1:15">
      <c r="A243" s="1806"/>
      <c r="B243" s="1755"/>
      <c r="C243" s="1867" t="s">
        <v>394</v>
      </c>
      <c r="D243" s="1868"/>
      <c r="E243" s="1864"/>
      <c r="F243" s="64"/>
      <c r="G243" s="1873"/>
      <c r="H243" s="1874"/>
      <c r="I243" s="1875"/>
      <c r="J243" s="1882"/>
      <c r="K243" s="1877"/>
      <c r="L243" s="1865"/>
      <c r="M243" s="1878"/>
      <c r="N243" s="1879"/>
      <c r="O243" s="1881"/>
    </row>
    <row r="244" spans="1:15">
      <c r="A244" s="1806"/>
      <c r="B244" s="1755" t="s">
        <v>393</v>
      </c>
      <c r="C244" s="1867" t="s">
        <v>445</v>
      </c>
      <c r="D244" s="1868"/>
      <c r="E244" s="1864">
        <v>0</v>
      </c>
      <c r="F244" s="1872" t="s">
        <v>37</v>
      </c>
      <c r="G244" s="1873">
        <v>617</v>
      </c>
      <c r="H244" s="1874">
        <f t="shared" ref="H244" si="142">E244*G244</f>
        <v>0</v>
      </c>
      <c r="I244" s="1875">
        <v>242</v>
      </c>
      <c r="J244" s="1876">
        <f t="shared" ref="J244" si="143">E244*I244</f>
        <v>0</v>
      </c>
      <c r="K244" s="1877">
        <f t="shared" ref="K244" si="144">H244+J244</f>
        <v>0</v>
      </c>
      <c r="L244" s="1865"/>
      <c r="M244" s="1866"/>
    </row>
    <row r="245" spans="1:15">
      <c r="A245" s="1806"/>
      <c r="B245" s="1755"/>
      <c r="C245" s="1867" t="s">
        <v>394</v>
      </c>
      <c r="D245" s="1755"/>
      <c r="E245" s="1864"/>
      <c r="F245" s="1872"/>
      <c r="G245" s="1873"/>
      <c r="H245" s="1874"/>
      <c r="I245" s="1875"/>
      <c r="J245" s="1876"/>
      <c r="K245" s="1877"/>
      <c r="L245" s="1865"/>
      <c r="M245" s="1866"/>
      <c r="N245" s="1837"/>
      <c r="O245" s="1837"/>
    </row>
    <row r="246" spans="1:15">
      <c r="A246" s="1806"/>
      <c r="B246" s="1755" t="s">
        <v>2917</v>
      </c>
      <c r="C246" s="1867" t="s">
        <v>445</v>
      </c>
      <c r="D246" s="1868"/>
      <c r="E246" s="1864">
        <v>255</v>
      </c>
      <c r="F246" s="64" t="s">
        <v>37</v>
      </c>
      <c r="G246" s="1873">
        <v>399</v>
      </c>
      <c r="H246" s="1874">
        <f t="shared" ref="H246" si="145">E246*G246</f>
        <v>101745</v>
      </c>
      <c r="I246" s="1875">
        <v>242</v>
      </c>
      <c r="J246" s="1882">
        <f t="shared" ref="J246" si="146">E246*I246</f>
        <v>61710</v>
      </c>
      <c r="K246" s="1877">
        <f t="shared" ref="K246" si="147">H246+J246</f>
        <v>163455</v>
      </c>
      <c r="L246" s="1865"/>
      <c r="M246" s="1878"/>
      <c r="N246" s="1879"/>
      <c r="O246" s="1883"/>
    </row>
    <row r="247" spans="1:15">
      <c r="A247" s="1806"/>
      <c r="B247" s="1755"/>
      <c r="C247" s="1755" t="s">
        <v>394</v>
      </c>
      <c r="D247" s="1755"/>
      <c r="E247" s="1864"/>
      <c r="F247" s="1801"/>
      <c r="G247" s="2289"/>
      <c r="H247" s="2290"/>
      <c r="I247" s="2291"/>
      <c r="J247" s="1861"/>
      <c r="K247" s="1862"/>
      <c r="L247" s="1865"/>
      <c r="M247" s="1878"/>
      <c r="N247" s="1879"/>
      <c r="O247" s="1881">
        <f>O239*O246</f>
        <v>0</v>
      </c>
    </row>
    <row r="248" spans="1:15">
      <c r="A248" s="1806"/>
      <c r="B248" s="1755" t="s">
        <v>395</v>
      </c>
      <c r="C248" s="1755" t="s">
        <v>396</v>
      </c>
      <c r="D248" s="1755"/>
      <c r="E248" s="1864">
        <v>173</v>
      </c>
      <c r="F248" s="1801" t="s">
        <v>37</v>
      </c>
      <c r="G248" s="2289">
        <v>420</v>
      </c>
      <c r="H248" s="2290">
        <f t="shared" ref="H248:H249" si="148">E248*G248</f>
        <v>72660</v>
      </c>
      <c r="I248" s="2291">
        <v>100</v>
      </c>
      <c r="J248" s="1861">
        <f t="shared" ref="J248:J249" si="149">E248*I248</f>
        <v>17300</v>
      </c>
      <c r="K248" s="1862">
        <f t="shared" ref="K248:K249" si="150">H248+J248</f>
        <v>89960</v>
      </c>
      <c r="L248" s="1865"/>
      <c r="M248" s="1866"/>
    </row>
    <row r="249" spans="1:15">
      <c r="A249" s="1806"/>
      <c r="B249" s="1755" t="s">
        <v>397</v>
      </c>
      <c r="C249" s="1867" t="s">
        <v>398</v>
      </c>
      <c r="D249" s="1755"/>
      <c r="E249" s="1864">
        <v>0</v>
      </c>
      <c r="F249" s="1801" t="s">
        <v>37</v>
      </c>
      <c r="G249" s="2289">
        <v>564</v>
      </c>
      <c r="H249" s="2290">
        <f t="shared" si="148"/>
        <v>0</v>
      </c>
      <c r="I249" s="2291">
        <v>283</v>
      </c>
      <c r="J249" s="1861">
        <f t="shared" si="149"/>
        <v>0</v>
      </c>
      <c r="K249" s="1862">
        <f t="shared" si="150"/>
        <v>0</v>
      </c>
      <c r="L249" s="1865"/>
      <c r="M249" s="1866"/>
      <c r="N249" s="1797"/>
    </row>
    <row r="250" spans="1:15">
      <c r="A250" s="1806"/>
      <c r="B250" s="1755"/>
      <c r="C250" s="1755" t="s">
        <v>2783</v>
      </c>
      <c r="D250" s="1868"/>
      <c r="E250" s="1864"/>
      <c r="F250" s="1801"/>
      <c r="G250" s="2289"/>
      <c r="H250" s="2290"/>
      <c r="I250" s="2291"/>
      <c r="J250" s="1861"/>
      <c r="K250" s="1862"/>
      <c r="L250" s="1865"/>
      <c r="M250" s="1866"/>
    </row>
    <row r="251" spans="1:15">
      <c r="A251" s="1806"/>
      <c r="B251" s="1755" t="s">
        <v>2784</v>
      </c>
      <c r="C251" s="1755" t="s">
        <v>399</v>
      </c>
      <c r="D251" s="1755"/>
      <c r="E251" s="1864">
        <v>0</v>
      </c>
      <c r="F251" s="1801" t="s">
        <v>37</v>
      </c>
      <c r="G251" s="2289">
        <v>3570</v>
      </c>
      <c r="H251" s="2290">
        <f t="shared" ref="H251:H263" si="151">E251*G251</f>
        <v>0</v>
      </c>
      <c r="I251" s="2291">
        <v>220</v>
      </c>
      <c r="J251" s="1861">
        <f t="shared" ref="J251:J263" si="152">E251*I251</f>
        <v>0</v>
      </c>
      <c r="K251" s="1862">
        <f t="shared" ref="K251:K263" si="153">H251+J251</f>
        <v>0</v>
      </c>
      <c r="L251" s="1865"/>
      <c r="M251" s="1866"/>
    </row>
    <row r="252" spans="1:15">
      <c r="A252" s="1806"/>
      <c r="B252" s="1755" t="s">
        <v>400</v>
      </c>
      <c r="C252" s="1755" t="s">
        <v>401</v>
      </c>
      <c r="D252" s="1755"/>
      <c r="E252" s="1864">
        <v>0</v>
      </c>
      <c r="F252" s="1801" t="s">
        <v>37</v>
      </c>
      <c r="G252" s="2289">
        <f>ROUNDUP(2227.6*0.05+5*2.95,0)</f>
        <v>127</v>
      </c>
      <c r="H252" s="2290">
        <f t="shared" si="151"/>
        <v>0</v>
      </c>
      <c r="I252" s="2291">
        <v>82</v>
      </c>
      <c r="J252" s="1861">
        <f t="shared" si="152"/>
        <v>0</v>
      </c>
      <c r="K252" s="1862">
        <f t="shared" si="153"/>
        <v>0</v>
      </c>
      <c r="L252" s="1865"/>
      <c r="M252" s="1866"/>
    </row>
    <row r="253" spans="1:15">
      <c r="A253" s="1806"/>
      <c r="B253" s="1755" t="s">
        <v>402</v>
      </c>
      <c r="C253" s="1867" t="s">
        <v>403</v>
      </c>
      <c r="D253" s="1868"/>
      <c r="E253" s="1864">
        <v>0</v>
      </c>
      <c r="F253" s="1801" t="s">
        <v>37</v>
      </c>
      <c r="G253" s="2291">
        <v>120</v>
      </c>
      <c r="H253" s="2290">
        <f t="shared" si="151"/>
        <v>0</v>
      </c>
      <c r="I253" s="2291">
        <v>61</v>
      </c>
      <c r="J253" s="1861">
        <f t="shared" si="152"/>
        <v>0</v>
      </c>
      <c r="K253" s="1862">
        <f t="shared" si="153"/>
        <v>0</v>
      </c>
      <c r="L253" s="1865"/>
      <c r="M253" s="1866"/>
    </row>
    <row r="254" spans="1:15">
      <c r="A254" s="1806"/>
      <c r="B254" s="1755" t="s">
        <v>404</v>
      </c>
      <c r="C254" s="1755" t="s">
        <v>405</v>
      </c>
      <c r="D254" s="1755"/>
      <c r="E254" s="1864">
        <v>0</v>
      </c>
      <c r="F254" s="1801" t="s">
        <v>37</v>
      </c>
      <c r="G254" s="2289">
        <v>447</v>
      </c>
      <c r="H254" s="2290">
        <f t="shared" si="151"/>
        <v>0</v>
      </c>
      <c r="I254" s="2291">
        <v>212</v>
      </c>
      <c r="J254" s="1861">
        <f t="shared" si="152"/>
        <v>0</v>
      </c>
      <c r="K254" s="1862">
        <f t="shared" si="153"/>
        <v>0</v>
      </c>
      <c r="L254" s="1865"/>
      <c r="M254" s="1866"/>
    </row>
    <row r="255" spans="1:15">
      <c r="A255" s="1806"/>
      <c r="B255" s="1755" t="s">
        <v>406</v>
      </c>
      <c r="C255" s="1867" t="s">
        <v>407</v>
      </c>
      <c r="D255" s="1868"/>
      <c r="E255" s="1864">
        <v>0</v>
      </c>
      <c r="F255" s="1801" t="s">
        <v>37</v>
      </c>
      <c r="G255" s="2291">
        <v>240</v>
      </c>
      <c r="H255" s="2290">
        <f t="shared" si="151"/>
        <v>0</v>
      </c>
      <c r="I255" s="2291">
        <v>80</v>
      </c>
      <c r="J255" s="1861">
        <f t="shared" si="152"/>
        <v>0</v>
      </c>
      <c r="K255" s="1862">
        <f t="shared" si="153"/>
        <v>0</v>
      </c>
      <c r="L255" s="1865"/>
      <c r="M255" s="1866"/>
    </row>
    <row r="256" spans="1:15">
      <c r="A256" s="1806"/>
      <c r="B256" s="1755" t="s">
        <v>408</v>
      </c>
      <c r="C256" s="1867" t="s">
        <v>409</v>
      </c>
      <c r="D256" s="1868"/>
      <c r="E256" s="1864">
        <v>666</v>
      </c>
      <c r="F256" s="1801" t="s">
        <v>37</v>
      </c>
      <c r="G256" s="2291">
        <v>230</v>
      </c>
      <c r="H256" s="2290">
        <f t="shared" si="151"/>
        <v>153180</v>
      </c>
      <c r="I256" s="2291">
        <v>50</v>
      </c>
      <c r="J256" s="1861">
        <f t="shared" si="152"/>
        <v>33300</v>
      </c>
      <c r="K256" s="1862">
        <f t="shared" si="153"/>
        <v>186480</v>
      </c>
      <c r="L256" s="1865"/>
      <c r="M256" s="1866"/>
    </row>
    <row r="257" spans="1:24">
      <c r="A257" s="1806"/>
      <c r="B257" s="1755" t="s">
        <v>410</v>
      </c>
      <c r="C257" s="1867" t="s">
        <v>411</v>
      </c>
      <c r="D257" s="1868"/>
      <c r="E257" s="1864">
        <v>0</v>
      </c>
      <c r="F257" s="1801" t="s">
        <v>37</v>
      </c>
      <c r="G257" s="2289">
        <v>220</v>
      </c>
      <c r="H257" s="2290">
        <f t="shared" si="151"/>
        <v>0</v>
      </c>
      <c r="I257" s="2291">
        <v>80</v>
      </c>
      <c r="J257" s="1861">
        <f t="shared" si="152"/>
        <v>0</v>
      </c>
      <c r="K257" s="1862">
        <f t="shared" si="153"/>
        <v>0</v>
      </c>
      <c r="L257" s="1865"/>
      <c r="M257" s="1866"/>
    </row>
    <row r="258" spans="1:24">
      <c r="A258" s="1806"/>
      <c r="B258" s="1755" t="s">
        <v>412</v>
      </c>
      <c r="C258" s="1867" t="s">
        <v>413</v>
      </c>
      <c r="D258" s="1868"/>
      <c r="E258" s="1864">
        <v>0</v>
      </c>
      <c r="F258" s="1801" t="s">
        <v>37</v>
      </c>
      <c r="G258" s="2289">
        <v>113</v>
      </c>
      <c r="H258" s="2290">
        <f t="shared" si="151"/>
        <v>0</v>
      </c>
      <c r="I258" s="2291">
        <v>61</v>
      </c>
      <c r="J258" s="1861">
        <f t="shared" si="152"/>
        <v>0</v>
      </c>
      <c r="K258" s="1862">
        <f t="shared" si="153"/>
        <v>0</v>
      </c>
      <c r="L258" s="1865"/>
      <c r="M258" s="1866"/>
    </row>
    <row r="259" spans="1:24">
      <c r="A259" s="1806"/>
      <c r="B259" s="1755" t="s">
        <v>414</v>
      </c>
      <c r="C259" s="1867" t="s">
        <v>415</v>
      </c>
      <c r="D259" s="1868"/>
      <c r="E259" s="1864">
        <v>0</v>
      </c>
      <c r="F259" s="1801" t="s">
        <v>37</v>
      </c>
      <c r="G259" s="2289">
        <v>113</v>
      </c>
      <c r="H259" s="2290">
        <f t="shared" si="151"/>
        <v>0</v>
      </c>
      <c r="I259" s="2291">
        <v>61</v>
      </c>
      <c r="J259" s="1861">
        <f t="shared" si="152"/>
        <v>0</v>
      </c>
      <c r="K259" s="1862">
        <f t="shared" si="153"/>
        <v>0</v>
      </c>
      <c r="L259" s="1865"/>
      <c r="M259" s="1866"/>
    </row>
    <row r="260" spans="1:24">
      <c r="A260" s="1806"/>
      <c r="B260" s="1755" t="s">
        <v>416</v>
      </c>
      <c r="C260" s="1867" t="s">
        <v>417</v>
      </c>
      <c r="D260" s="1868"/>
      <c r="E260" s="1864">
        <v>0</v>
      </c>
      <c r="F260" s="1801" t="s">
        <v>37</v>
      </c>
      <c r="G260" s="2289">
        <v>113</v>
      </c>
      <c r="H260" s="2290">
        <f t="shared" si="151"/>
        <v>0</v>
      </c>
      <c r="I260" s="2291">
        <v>61</v>
      </c>
      <c r="J260" s="1861">
        <f t="shared" si="152"/>
        <v>0</v>
      </c>
      <c r="K260" s="1862">
        <f t="shared" si="153"/>
        <v>0</v>
      </c>
      <c r="L260" s="1865"/>
      <c r="M260" s="1866"/>
    </row>
    <row r="261" spans="1:24">
      <c r="A261" s="1806"/>
      <c r="B261" s="1755" t="s">
        <v>418</v>
      </c>
      <c r="C261" s="1867" t="s">
        <v>419</v>
      </c>
      <c r="D261" s="1859"/>
      <c r="E261" s="1864">
        <v>0</v>
      </c>
      <c r="F261" s="1801" t="s">
        <v>37</v>
      </c>
      <c r="G261" s="2289">
        <v>113</v>
      </c>
      <c r="H261" s="2290">
        <f t="shared" si="151"/>
        <v>0</v>
      </c>
      <c r="I261" s="2291">
        <v>61</v>
      </c>
      <c r="J261" s="1861">
        <f t="shared" si="152"/>
        <v>0</v>
      </c>
      <c r="K261" s="1862">
        <f t="shared" si="153"/>
        <v>0</v>
      </c>
      <c r="L261" s="1865"/>
      <c r="M261" s="1866"/>
    </row>
    <row r="262" spans="1:24">
      <c r="A262" s="1806"/>
      <c r="B262" s="1755" t="s">
        <v>420</v>
      </c>
      <c r="C262" s="1867" t="s">
        <v>421</v>
      </c>
      <c r="D262" s="1859"/>
      <c r="E262" s="1864">
        <v>216</v>
      </c>
      <c r="F262" s="1801" t="s">
        <v>37</v>
      </c>
      <c r="G262" s="2289">
        <v>583</v>
      </c>
      <c r="H262" s="2290">
        <f t="shared" si="151"/>
        <v>125928</v>
      </c>
      <c r="I262" s="2291">
        <v>298</v>
      </c>
      <c r="J262" s="1861">
        <f t="shared" si="152"/>
        <v>64368</v>
      </c>
      <c r="K262" s="1862">
        <f t="shared" si="153"/>
        <v>190296</v>
      </c>
      <c r="L262" s="1865"/>
      <c r="M262" s="1866"/>
    </row>
    <row r="263" spans="1:24">
      <c r="A263" s="1806"/>
      <c r="B263" s="1755" t="s">
        <v>422</v>
      </c>
      <c r="C263" s="1755" t="s">
        <v>423</v>
      </c>
      <c r="D263" s="1859"/>
      <c r="E263" s="1864">
        <v>0</v>
      </c>
      <c r="F263" s="1801" t="s">
        <v>37</v>
      </c>
      <c r="G263" s="2289">
        <v>240</v>
      </c>
      <c r="H263" s="2290">
        <f t="shared" si="151"/>
        <v>0</v>
      </c>
      <c r="I263" s="2291">
        <v>50</v>
      </c>
      <c r="J263" s="1861">
        <f t="shared" si="152"/>
        <v>0</v>
      </c>
      <c r="K263" s="1862">
        <f t="shared" si="153"/>
        <v>0</v>
      </c>
      <c r="L263" s="1865"/>
      <c r="M263" s="1866"/>
    </row>
    <row r="264" spans="1:24">
      <c r="A264" s="1806"/>
      <c r="B264" s="1755"/>
      <c r="C264" s="1755" t="s">
        <v>424</v>
      </c>
      <c r="D264" s="1859"/>
      <c r="E264" s="1864"/>
      <c r="F264" s="1801"/>
      <c r="G264" s="2289"/>
      <c r="H264" s="2290"/>
      <c r="I264" s="2291"/>
      <c r="J264" s="1861"/>
      <c r="K264" s="1862"/>
      <c r="L264" s="1865"/>
      <c r="M264" s="1866"/>
    </row>
    <row r="265" spans="1:24">
      <c r="A265" s="1806"/>
      <c r="B265" s="1887" t="s">
        <v>425</v>
      </c>
      <c r="C265" s="1755" t="s">
        <v>2785</v>
      </c>
      <c r="D265" s="1859"/>
      <c r="E265" s="1864">
        <f>E263</f>
        <v>0</v>
      </c>
      <c r="F265" s="1801" t="s">
        <v>37</v>
      </c>
      <c r="G265" s="2289">
        <v>140</v>
      </c>
      <c r="H265" s="2290">
        <f t="shared" ref="H265:H266" si="154">E265*G265</f>
        <v>0</v>
      </c>
      <c r="I265" s="2291">
        <v>40</v>
      </c>
      <c r="J265" s="1861">
        <f t="shared" ref="J265:J266" si="155">E265*I265</f>
        <v>0</v>
      </c>
      <c r="K265" s="1862">
        <f t="shared" ref="K265:K266" si="156">H265+J265</f>
        <v>0</v>
      </c>
      <c r="L265" s="1865"/>
      <c r="M265" s="1866"/>
    </row>
    <row r="266" spans="1:24">
      <c r="A266" s="2275"/>
      <c r="B266" s="1755" t="s">
        <v>426</v>
      </c>
      <c r="C266" s="1755" t="s">
        <v>427</v>
      </c>
      <c r="D266" s="1859"/>
      <c r="E266" s="1864">
        <v>0</v>
      </c>
      <c r="F266" s="1801" t="s">
        <v>37</v>
      </c>
      <c r="G266" s="2289">
        <v>0</v>
      </c>
      <c r="H266" s="2290">
        <f t="shared" si="154"/>
        <v>0</v>
      </c>
      <c r="I266" s="2291">
        <v>0</v>
      </c>
      <c r="J266" s="1861">
        <f t="shared" si="155"/>
        <v>0</v>
      </c>
      <c r="K266" s="1862">
        <f t="shared" si="156"/>
        <v>0</v>
      </c>
      <c r="L266" s="1865"/>
      <c r="M266" s="1866"/>
      <c r="O266" s="1886"/>
    </row>
    <row r="267" spans="1:24">
      <c r="A267" s="2275"/>
      <c r="B267" s="1755"/>
      <c r="C267" s="1755" t="s">
        <v>428</v>
      </c>
      <c r="D267" s="1859"/>
      <c r="E267" s="1864"/>
      <c r="F267" s="1801"/>
      <c r="G267" s="2289"/>
      <c r="H267" s="2290"/>
      <c r="I267" s="2291"/>
      <c r="J267" s="1861"/>
      <c r="K267" s="1862"/>
      <c r="L267" s="1865"/>
      <c r="M267" s="1866"/>
      <c r="O267" s="1886"/>
    </row>
    <row r="268" spans="1:24">
      <c r="A268" s="2275"/>
      <c r="B268" s="1755"/>
      <c r="C268" s="1755" t="s">
        <v>429</v>
      </c>
      <c r="D268" s="1859"/>
      <c r="E268" s="1864"/>
      <c r="F268" s="1801"/>
      <c r="G268" s="2289"/>
      <c r="H268" s="2290"/>
      <c r="I268" s="2291"/>
      <c r="J268" s="1861"/>
      <c r="K268" s="1862"/>
      <c r="L268" s="1865"/>
      <c r="M268" s="1866"/>
      <c r="O268" s="1886"/>
    </row>
    <row r="269" spans="1:24">
      <c r="A269" s="93"/>
      <c r="B269" s="1888" t="s">
        <v>430</v>
      </c>
      <c r="C269" s="1888" t="s">
        <v>2923</v>
      </c>
      <c r="D269" s="1889"/>
      <c r="E269" s="1890">
        <v>0</v>
      </c>
      <c r="F269" s="1872" t="s">
        <v>37</v>
      </c>
      <c r="G269" s="2294">
        <v>253</v>
      </c>
      <c r="H269" s="2295">
        <f t="shared" ref="H269:H270" si="157">E269*G269</f>
        <v>0</v>
      </c>
      <c r="I269" s="2296">
        <v>50</v>
      </c>
      <c r="J269" s="1876">
        <f t="shared" ref="J269:J270" si="158">E269*I269</f>
        <v>0</v>
      </c>
      <c r="K269" s="1877">
        <f t="shared" ref="K269:K270" si="159">H269+J269</f>
        <v>0</v>
      </c>
      <c r="L269" s="1865"/>
      <c r="M269" s="1866"/>
      <c r="O269" s="1886"/>
    </row>
    <row r="270" spans="1:24" ht="24" customHeight="1">
      <c r="A270" s="2275"/>
      <c r="B270" s="1755" t="s">
        <v>431</v>
      </c>
      <c r="C270" s="1755" t="s">
        <v>432</v>
      </c>
      <c r="D270" s="1859"/>
      <c r="E270" s="1864">
        <v>0</v>
      </c>
      <c r="F270" s="1801" t="s">
        <v>37</v>
      </c>
      <c r="G270" s="2289">
        <v>0</v>
      </c>
      <c r="H270" s="2290">
        <f t="shared" si="157"/>
        <v>0</v>
      </c>
      <c r="I270" s="2291">
        <v>220</v>
      </c>
      <c r="J270" s="1861">
        <f t="shared" si="158"/>
        <v>0</v>
      </c>
      <c r="K270" s="1862">
        <f t="shared" si="159"/>
        <v>0</v>
      </c>
      <c r="L270" s="1858"/>
      <c r="M270" s="1809"/>
      <c r="N270" s="1837"/>
      <c r="O270" s="1886"/>
      <c r="P270" s="1837"/>
      <c r="Q270" s="1837"/>
      <c r="R270" s="1837"/>
      <c r="S270" s="1837"/>
      <c r="T270" s="1837"/>
      <c r="U270" s="1837"/>
      <c r="V270" s="1837"/>
      <c r="W270" s="1837"/>
      <c r="X270" s="1837"/>
    </row>
    <row r="271" spans="1:24" ht="24" customHeight="1">
      <c r="A271" s="2275"/>
      <c r="B271" s="1755"/>
      <c r="C271" s="1755" t="s">
        <v>433</v>
      </c>
      <c r="D271" s="1891"/>
      <c r="E271" s="1864"/>
      <c r="F271" s="1801"/>
      <c r="G271" s="2289"/>
      <c r="H271" s="2290"/>
      <c r="I271" s="2291"/>
      <c r="J271" s="1861"/>
      <c r="K271" s="1862"/>
      <c r="L271" s="1858"/>
      <c r="M271" s="1809"/>
      <c r="N271" s="1837"/>
      <c r="O271" s="1886"/>
      <c r="P271" s="1837"/>
      <c r="Q271" s="1837"/>
      <c r="R271" s="1837"/>
      <c r="S271" s="1837"/>
      <c r="T271" s="1837"/>
      <c r="U271" s="1837"/>
      <c r="V271" s="1837"/>
      <c r="W271" s="1837"/>
      <c r="X271" s="1837"/>
    </row>
    <row r="272" spans="1:24">
      <c r="A272" s="1806"/>
      <c r="B272" s="1755" t="s">
        <v>434</v>
      </c>
      <c r="C272" s="1755" t="s">
        <v>435</v>
      </c>
      <c r="D272" s="1891"/>
      <c r="E272" s="1864">
        <v>0</v>
      </c>
      <c r="F272" s="1801" t="s">
        <v>37</v>
      </c>
      <c r="G272" s="1892">
        <v>398</v>
      </c>
      <c r="H272" s="2290">
        <f t="shared" ref="H272" si="160">E272*G272</f>
        <v>0</v>
      </c>
      <c r="I272" s="1968">
        <v>154</v>
      </c>
      <c r="J272" s="1861">
        <f t="shared" ref="J272" si="161">E272*I272</f>
        <v>0</v>
      </c>
      <c r="K272" s="1862">
        <f t="shared" ref="K272" si="162">H272+J272</f>
        <v>0</v>
      </c>
      <c r="L272" s="1864"/>
      <c r="M272" s="1894"/>
    </row>
    <row r="273" spans="1:24">
      <c r="A273" s="1806"/>
      <c r="B273" s="1755"/>
      <c r="C273" s="1895" t="s">
        <v>436</v>
      </c>
      <c r="D273" s="1891"/>
      <c r="E273" s="1864"/>
      <c r="F273" s="1801"/>
      <c r="G273" s="2289"/>
      <c r="H273" s="2290"/>
      <c r="I273" s="2291"/>
      <c r="J273" s="1861"/>
      <c r="K273" s="1862"/>
      <c r="L273" s="1865"/>
      <c r="M273" s="1866"/>
    </row>
    <row r="274" spans="1:24" s="1900" customFormat="1">
      <c r="A274" s="1896"/>
      <c r="B274" s="1895" t="s">
        <v>437</v>
      </c>
      <c r="C274" s="1895"/>
      <c r="D274" s="1895"/>
      <c r="E274" s="1897"/>
      <c r="F274" s="1806"/>
      <c r="G274" s="1789"/>
      <c r="H274" s="2290"/>
      <c r="I274" s="2083"/>
      <c r="J274" s="1861"/>
      <c r="K274" s="1862"/>
      <c r="L274" s="1899"/>
      <c r="M274" s="1737"/>
    </row>
    <row r="275" spans="1:24">
      <c r="A275" s="1901"/>
      <c r="B275" s="1902" t="s">
        <v>2924</v>
      </c>
      <c r="C275" s="2228" t="s">
        <v>446</v>
      </c>
      <c r="D275" s="2229"/>
      <c r="E275" s="1897">
        <v>190</v>
      </c>
      <c r="F275" s="1806" t="s">
        <v>438</v>
      </c>
      <c r="G275" s="60">
        <v>200</v>
      </c>
      <c r="H275" s="2295">
        <f t="shared" ref="H275:H277" si="163">E275*G275</f>
        <v>38000</v>
      </c>
      <c r="I275" s="673">
        <v>45</v>
      </c>
      <c r="J275" s="1876">
        <f t="shared" ref="J275:J277" si="164">E275*I275</f>
        <v>8550</v>
      </c>
      <c r="K275" s="1877">
        <f t="shared" ref="K275:K277" si="165">H275+J275</f>
        <v>46550</v>
      </c>
      <c r="L275" s="119"/>
      <c r="M275" s="62" t="s">
        <v>2925</v>
      </c>
    </row>
    <row r="276" spans="1:24">
      <c r="A276" s="1901"/>
      <c r="B276" s="1902" t="s">
        <v>2924</v>
      </c>
      <c r="C276" s="2228" t="s">
        <v>439</v>
      </c>
      <c r="D276" s="2229"/>
      <c r="E276" s="1897">
        <v>181</v>
      </c>
      <c r="F276" s="1806" t="s">
        <v>438</v>
      </c>
      <c r="G276" s="60">
        <v>19</v>
      </c>
      <c r="H276" s="2295">
        <f t="shared" si="163"/>
        <v>3439</v>
      </c>
      <c r="I276" s="673">
        <v>20</v>
      </c>
      <c r="J276" s="1876">
        <f t="shared" si="164"/>
        <v>3620</v>
      </c>
      <c r="K276" s="1877">
        <f t="shared" si="165"/>
        <v>7059</v>
      </c>
      <c r="L276" s="119"/>
      <c r="M276" s="62" t="s">
        <v>2925</v>
      </c>
    </row>
    <row r="277" spans="1:24">
      <c r="A277" s="1901"/>
      <c r="B277" s="2230" t="s">
        <v>425</v>
      </c>
      <c r="C277" s="2231" t="s">
        <v>440</v>
      </c>
      <c r="D277" s="2229"/>
      <c r="E277" s="1897">
        <v>0</v>
      </c>
      <c r="F277" s="1806" t="s">
        <v>438</v>
      </c>
      <c r="G277" s="1789">
        <v>0</v>
      </c>
      <c r="H277" s="2290">
        <f t="shared" si="163"/>
        <v>0</v>
      </c>
      <c r="I277" s="2083">
        <v>0</v>
      </c>
      <c r="J277" s="1861">
        <f t="shared" si="164"/>
        <v>0</v>
      </c>
      <c r="K277" s="1862">
        <f t="shared" si="165"/>
        <v>0</v>
      </c>
      <c r="L277" s="1899"/>
      <c r="M277" s="1797">
        <f>SUM(K232:K277)</f>
        <v>1899880</v>
      </c>
    </row>
    <row r="278" spans="1:24">
      <c r="A278" s="1782"/>
      <c r="B278" s="1915"/>
      <c r="C278" s="2231"/>
      <c r="D278" s="2229"/>
      <c r="E278" s="1984"/>
      <c r="F278" s="2275"/>
      <c r="G278" s="1778"/>
      <c r="H278" s="2290"/>
      <c r="I278" s="2213"/>
      <c r="J278" s="1916"/>
      <c r="K278" s="1917"/>
      <c r="L278" s="1918"/>
    </row>
    <row r="279" spans="1:24" ht="24" customHeight="1">
      <c r="A279" s="2232" t="s">
        <v>453</v>
      </c>
      <c r="B279" s="1908" t="s">
        <v>454</v>
      </c>
      <c r="C279" s="2234"/>
      <c r="D279" s="1891"/>
      <c r="E279" s="1984"/>
      <c r="F279" s="2275"/>
      <c r="G279" s="1924"/>
      <c r="H279" s="2212"/>
      <c r="I279" s="2217"/>
      <c r="J279" s="2214"/>
      <c r="K279" s="2215"/>
      <c r="L279" s="1918"/>
      <c r="P279" s="1837"/>
      <c r="Q279" s="1837"/>
      <c r="R279" s="1837"/>
      <c r="S279" s="1837"/>
      <c r="T279" s="1837"/>
      <c r="U279" s="1837"/>
      <c r="V279" s="1837"/>
      <c r="W279" s="1837"/>
      <c r="X279" s="1837"/>
    </row>
    <row r="280" spans="1:24">
      <c r="A280" s="1806"/>
      <c r="B280" s="1783"/>
      <c r="C280" s="1755" t="s">
        <v>2955</v>
      </c>
      <c r="D280" s="1859"/>
      <c r="E280" s="1860">
        <f>E282+E283+E285+E288+E290+E292+E294+E296+E297+E299+E302+E304+E305+E310</f>
        <v>849</v>
      </c>
      <c r="F280" s="1801" t="s">
        <v>37</v>
      </c>
      <c r="G280" s="2289">
        <v>113</v>
      </c>
      <c r="H280" s="2290">
        <f>E280*G280</f>
        <v>95937</v>
      </c>
      <c r="I280" s="2291">
        <v>61</v>
      </c>
      <c r="J280" s="1861">
        <f t="shared" ref="J280:J283" si="166">E280*I280</f>
        <v>51789</v>
      </c>
      <c r="K280" s="1862">
        <f t="shared" ref="K280:K283" si="167">H280+J280</f>
        <v>147726</v>
      </c>
      <c r="L280" s="2292"/>
      <c r="M280" s="2293"/>
      <c r="N280" s="1797">
        <f>SUM(E281:E323)</f>
        <v>4752</v>
      </c>
    </row>
    <row r="281" spans="1:24">
      <c r="A281" s="1806"/>
      <c r="B281" s="1755" t="s">
        <v>385</v>
      </c>
      <c r="C281" s="1755" t="s">
        <v>386</v>
      </c>
      <c r="D281" s="1859"/>
      <c r="E281" s="1864">
        <v>3903</v>
      </c>
      <c r="F281" s="1801" t="s">
        <v>37</v>
      </c>
      <c r="G281" s="2289">
        <v>113</v>
      </c>
      <c r="H281" s="2290">
        <f t="shared" ref="H281:H283" si="168">E281*G281</f>
        <v>441039</v>
      </c>
      <c r="I281" s="2291">
        <v>61</v>
      </c>
      <c r="J281" s="1861">
        <f t="shared" si="166"/>
        <v>238083</v>
      </c>
      <c r="K281" s="1862">
        <f t="shared" si="167"/>
        <v>679122</v>
      </c>
      <c r="L281" s="2292"/>
      <c r="M281" s="2293"/>
      <c r="N281" s="1797"/>
      <c r="O281" s="1797"/>
    </row>
    <row r="282" spans="1:24">
      <c r="A282" s="1806"/>
      <c r="B282" s="1755" t="s">
        <v>387</v>
      </c>
      <c r="C282" s="1755" t="s">
        <v>388</v>
      </c>
      <c r="D282" s="1755"/>
      <c r="E282" s="1864">
        <v>0</v>
      </c>
      <c r="F282" s="1801" t="s">
        <v>37</v>
      </c>
      <c r="G282" s="2289">
        <v>564</v>
      </c>
      <c r="H282" s="2290">
        <f t="shared" si="168"/>
        <v>0</v>
      </c>
      <c r="I282" s="2291">
        <v>283</v>
      </c>
      <c r="J282" s="1861">
        <f t="shared" si="166"/>
        <v>0</v>
      </c>
      <c r="K282" s="1862">
        <f t="shared" si="167"/>
        <v>0</v>
      </c>
      <c r="L282" s="1865"/>
      <c r="M282" s="1866"/>
    </row>
    <row r="283" spans="1:24">
      <c r="A283" s="1806"/>
      <c r="B283" s="1755" t="s">
        <v>389</v>
      </c>
      <c r="C283" s="1867" t="s">
        <v>390</v>
      </c>
      <c r="D283" s="1868"/>
      <c r="E283" s="1864">
        <v>7</v>
      </c>
      <c r="F283" s="1801" t="s">
        <v>37</v>
      </c>
      <c r="G283" s="2289">
        <v>295</v>
      </c>
      <c r="H283" s="2290">
        <f t="shared" si="168"/>
        <v>2065</v>
      </c>
      <c r="I283" s="2291">
        <v>184</v>
      </c>
      <c r="J283" s="1861">
        <f t="shared" si="166"/>
        <v>1288</v>
      </c>
      <c r="K283" s="1862">
        <f t="shared" si="167"/>
        <v>3353</v>
      </c>
      <c r="L283" s="1865"/>
      <c r="M283" s="1866"/>
    </row>
    <row r="284" spans="1:24">
      <c r="A284" s="1806"/>
      <c r="B284" s="1755"/>
      <c r="C284" s="1867" t="s">
        <v>2778</v>
      </c>
      <c r="D284" s="1868"/>
      <c r="E284" s="1864"/>
      <c r="F284" s="1801"/>
      <c r="G284" s="2289"/>
      <c r="H284" s="2290"/>
      <c r="I284" s="2291"/>
      <c r="J284" s="1861"/>
      <c r="K284" s="1862"/>
      <c r="L284" s="1865"/>
      <c r="M284" s="1866"/>
    </row>
    <row r="285" spans="1:24">
      <c r="A285" s="1806"/>
      <c r="B285" s="1755" t="s">
        <v>391</v>
      </c>
      <c r="C285" s="1867" t="s">
        <v>443</v>
      </c>
      <c r="D285" s="1868"/>
      <c r="E285" s="1864">
        <v>0</v>
      </c>
      <c r="F285" s="1801" t="s">
        <v>37</v>
      </c>
      <c r="G285" s="2289">
        <v>297</v>
      </c>
      <c r="H285" s="2290">
        <f t="shared" ref="H285" si="169">E285*G285</f>
        <v>0</v>
      </c>
      <c r="I285" s="2291">
        <v>204</v>
      </c>
      <c r="J285" s="1861">
        <f t="shared" ref="J285" si="170">E285*I285</f>
        <v>0</v>
      </c>
      <c r="K285" s="1862">
        <f t="shared" ref="K285" si="171">H285+J285</f>
        <v>0</v>
      </c>
      <c r="L285" s="1865"/>
      <c r="M285" s="1866"/>
    </row>
    <row r="286" spans="1:24">
      <c r="A286" s="1806"/>
      <c r="B286" s="1755"/>
      <c r="C286" s="1867" t="s">
        <v>2786</v>
      </c>
      <c r="D286" s="1868"/>
      <c r="E286" s="1864"/>
      <c r="F286" s="1801"/>
      <c r="G286" s="2289"/>
      <c r="H286" s="2290"/>
      <c r="I286" s="2291"/>
      <c r="J286" s="1861"/>
      <c r="K286" s="1862"/>
      <c r="L286" s="1865"/>
      <c r="M286" s="1866"/>
    </row>
    <row r="287" spans="1:24">
      <c r="A287" s="1806"/>
      <c r="B287" s="1755"/>
      <c r="C287" s="1867"/>
      <c r="D287" s="1868"/>
      <c r="E287" s="1864"/>
      <c r="F287" s="1801"/>
      <c r="G287" s="2289"/>
      <c r="H287" s="2290"/>
      <c r="I287" s="2291"/>
      <c r="J287" s="1939"/>
      <c r="K287" s="1862"/>
      <c r="L287" s="1865"/>
      <c r="M287" s="1866"/>
    </row>
    <row r="288" spans="1:24">
      <c r="A288" s="1806"/>
      <c r="B288" s="1755" t="s">
        <v>392</v>
      </c>
      <c r="C288" s="1867" t="s">
        <v>444</v>
      </c>
      <c r="D288" s="1868"/>
      <c r="E288" s="1864">
        <v>0</v>
      </c>
      <c r="F288" s="1872" t="s">
        <v>37</v>
      </c>
      <c r="G288" s="1873">
        <v>609</v>
      </c>
      <c r="H288" s="1874">
        <f t="shared" ref="H288" si="172">E288*G288</f>
        <v>0</v>
      </c>
      <c r="I288" s="1875">
        <v>222</v>
      </c>
      <c r="J288" s="1876">
        <f t="shared" ref="J288" si="173">E288*I288</f>
        <v>0</v>
      </c>
      <c r="K288" s="1877">
        <f t="shared" ref="K288" si="174">H288+J288</f>
        <v>0</v>
      </c>
      <c r="L288" s="1865"/>
      <c r="M288" s="1866"/>
      <c r="N288" s="1837"/>
      <c r="O288" s="1837"/>
    </row>
    <row r="289" spans="1:15">
      <c r="A289" s="1806"/>
      <c r="B289" s="1755"/>
      <c r="C289" s="1867" t="s">
        <v>394</v>
      </c>
      <c r="D289" s="1868"/>
      <c r="E289" s="1864"/>
      <c r="F289" s="1872"/>
      <c r="G289" s="1873"/>
      <c r="H289" s="1874"/>
      <c r="I289" s="1875"/>
      <c r="J289" s="1876"/>
      <c r="K289" s="1877"/>
      <c r="L289" s="1865"/>
      <c r="M289" s="1866"/>
      <c r="N289" s="1837"/>
      <c r="O289" s="1837"/>
    </row>
    <row r="290" spans="1:15">
      <c r="A290" s="1806"/>
      <c r="B290" s="1755" t="s">
        <v>2916</v>
      </c>
      <c r="C290" s="1867" t="s">
        <v>444</v>
      </c>
      <c r="D290" s="1868"/>
      <c r="E290" s="1864">
        <v>252</v>
      </c>
      <c r="F290" s="64" t="s">
        <v>37</v>
      </c>
      <c r="G290" s="1873">
        <v>399</v>
      </c>
      <c r="H290" s="1874">
        <f t="shared" ref="H290" si="175">E290*G290</f>
        <v>100548</v>
      </c>
      <c r="I290" s="1875">
        <v>222</v>
      </c>
      <c r="J290" s="1882">
        <f t="shared" ref="J290" si="176">E290*I290</f>
        <v>55944</v>
      </c>
      <c r="K290" s="1877">
        <f t="shared" ref="K290" si="177">H290+J290</f>
        <v>156492</v>
      </c>
      <c r="L290" s="1865"/>
      <c r="M290" s="1878"/>
      <c r="N290" s="1879"/>
      <c r="O290" s="1881"/>
    </row>
    <row r="291" spans="1:15">
      <c r="A291" s="1806"/>
      <c r="B291" s="1755"/>
      <c r="C291" s="1867" t="s">
        <v>394</v>
      </c>
      <c r="D291" s="1868"/>
      <c r="E291" s="1864"/>
      <c r="F291" s="64"/>
      <c r="G291" s="1873"/>
      <c r="H291" s="1874"/>
      <c r="I291" s="1875"/>
      <c r="J291" s="1882"/>
      <c r="K291" s="1877"/>
      <c r="L291" s="1865"/>
      <c r="M291" s="1878"/>
      <c r="N291" s="1879"/>
      <c r="O291" s="1881"/>
    </row>
    <row r="292" spans="1:15">
      <c r="A292" s="1806"/>
      <c r="B292" s="1755" t="s">
        <v>393</v>
      </c>
      <c r="C292" s="1867" t="s">
        <v>445</v>
      </c>
      <c r="D292" s="1868"/>
      <c r="E292" s="1864">
        <v>0</v>
      </c>
      <c r="F292" s="1872" t="s">
        <v>37</v>
      </c>
      <c r="G292" s="1873">
        <v>617</v>
      </c>
      <c r="H292" s="1874">
        <f t="shared" ref="H292" si="178">E292*G292</f>
        <v>0</v>
      </c>
      <c r="I292" s="1875">
        <v>242</v>
      </c>
      <c r="J292" s="1876">
        <f t="shared" ref="J292" si="179">E292*I292</f>
        <v>0</v>
      </c>
      <c r="K292" s="1877">
        <f t="shared" ref="K292" si="180">H292+J292</f>
        <v>0</v>
      </c>
      <c r="L292" s="1865"/>
      <c r="M292" s="1866"/>
      <c r="N292" s="1837"/>
      <c r="O292" s="1837"/>
    </row>
    <row r="293" spans="1:15">
      <c r="A293" s="1806"/>
      <c r="B293" s="1755"/>
      <c r="C293" s="1867" t="s">
        <v>394</v>
      </c>
      <c r="D293" s="1755"/>
      <c r="E293" s="1864"/>
      <c r="F293" s="1872"/>
      <c r="G293" s="1873"/>
      <c r="H293" s="1874"/>
      <c r="I293" s="1875"/>
      <c r="J293" s="1876"/>
      <c r="K293" s="1877"/>
      <c r="L293" s="1865"/>
      <c r="M293" s="1866"/>
      <c r="N293" s="1837"/>
      <c r="O293" s="1837"/>
    </row>
    <row r="294" spans="1:15">
      <c r="A294" s="1806"/>
      <c r="B294" s="1755" t="s">
        <v>2917</v>
      </c>
      <c r="C294" s="1867" t="s">
        <v>445</v>
      </c>
      <c r="D294" s="1868"/>
      <c r="E294" s="1864">
        <v>255</v>
      </c>
      <c r="F294" s="64" t="s">
        <v>37</v>
      </c>
      <c r="G294" s="1873">
        <v>399</v>
      </c>
      <c r="H294" s="1874">
        <f t="shared" ref="H294" si="181">E294*G294</f>
        <v>101745</v>
      </c>
      <c r="I294" s="1875">
        <v>242</v>
      </c>
      <c r="J294" s="1882">
        <f t="shared" ref="J294" si="182">E294*I294</f>
        <v>61710</v>
      </c>
      <c r="K294" s="1877">
        <f t="shared" ref="K294" si="183">H294+J294</f>
        <v>163455</v>
      </c>
      <c r="L294" s="1865"/>
      <c r="M294" s="1878"/>
      <c r="N294" s="1879"/>
      <c r="O294" s="1883"/>
    </row>
    <row r="295" spans="1:15">
      <c r="A295" s="1806"/>
      <c r="B295" s="1755"/>
      <c r="C295" s="1755" t="s">
        <v>394</v>
      </c>
      <c r="D295" s="1755"/>
      <c r="E295" s="1864"/>
      <c r="F295" s="1801"/>
      <c r="G295" s="2289"/>
      <c r="H295" s="2290"/>
      <c r="I295" s="2291"/>
      <c r="J295" s="1861"/>
      <c r="K295" s="1862"/>
      <c r="L295" s="1865"/>
      <c r="M295" s="1878"/>
      <c r="N295" s="1879"/>
      <c r="O295" s="1881">
        <f>O286*O294</f>
        <v>0</v>
      </c>
    </row>
    <row r="296" spans="1:15">
      <c r="A296" s="1806"/>
      <c r="B296" s="1755" t="s">
        <v>395</v>
      </c>
      <c r="C296" s="1755" t="s">
        <v>396</v>
      </c>
      <c r="D296" s="1755"/>
      <c r="E296" s="1864">
        <v>152</v>
      </c>
      <c r="F296" s="1801" t="s">
        <v>37</v>
      </c>
      <c r="G296" s="2289">
        <v>420</v>
      </c>
      <c r="H296" s="2290">
        <f t="shared" ref="H296:H297" si="184">E296*G296</f>
        <v>63840</v>
      </c>
      <c r="I296" s="2291">
        <v>100</v>
      </c>
      <c r="J296" s="1861">
        <f t="shared" ref="J296:J297" si="185">E296*I296</f>
        <v>15200</v>
      </c>
      <c r="K296" s="1862">
        <f t="shared" ref="K296:K297" si="186">H296+J296</f>
        <v>79040</v>
      </c>
      <c r="L296" s="1865"/>
      <c r="M296" s="1866"/>
      <c r="N296" s="1797"/>
    </row>
    <row r="297" spans="1:15">
      <c r="A297" s="1806"/>
      <c r="B297" s="1755" t="s">
        <v>397</v>
      </c>
      <c r="C297" s="1867" t="s">
        <v>398</v>
      </c>
      <c r="D297" s="1868"/>
      <c r="E297" s="1864">
        <v>0</v>
      </c>
      <c r="F297" s="1801" t="s">
        <v>37</v>
      </c>
      <c r="G297" s="2289">
        <v>564</v>
      </c>
      <c r="H297" s="2290">
        <f t="shared" si="184"/>
        <v>0</v>
      </c>
      <c r="I297" s="2291">
        <v>283</v>
      </c>
      <c r="J297" s="1861">
        <f t="shared" si="185"/>
        <v>0</v>
      </c>
      <c r="K297" s="1862">
        <f t="shared" si="186"/>
        <v>0</v>
      </c>
      <c r="L297" s="1865"/>
      <c r="M297" s="1866"/>
    </row>
    <row r="298" spans="1:15">
      <c r="A298" s="1806"/>
      <c r="B298" s="1755"/>
      <c r="C298" s="1755" t="s">
        <v>2783</v>
      </c>
      <c r="D298" s="1755"/>
      <c r="E298" s="1864"/>
      <c r="F298" s="1885"/>
      <c r="G298" s="2289"/>
      <c r="H298" s="2290"/>
      <c r="I298" s="2291"/>
      <c r="J298" s="1861"/>
      <c r="K298" s="1862"/>
      <c r="L298" s="1865"/>
      <c r="M298" s="1866"/>
    </row>
    <row r="299" spans="1:15">
      <c r="A299" s="1806"/>
      <c r="B299" s="1755" t="s">
        <v>2784</v>
      </c>
      <c r="C299" s="1755" t="s">
        <v>399</v>
      </c>
      <c r="D299" s="1755"/>
      <c r="E299" s="1864">
        <v>0</v>
      </c>
      <c r="F299" s="1801" t="s">
        <v>37</v>
      </c>
      <c r="G299" s="2289">
        <v>3570</v>
      </c>
      <c r="H299" s="2290">
        <f t="shared" ref="H299:H312" si="187">E299*G299</f>
        <v>0</v>
      </c>
      <c r="I299" s="2291">
        <v>220</v>
      </c>
      <c r="J299" s="1861">
        <f t="shared" ref="J299:J312" si="188">E299*I299</f>
        <v>0</v>
      </c>
      <c r="K299" s="1862">
        <f t="shared" ref="K299:K312" si="189">H299+J299</f>
        <v>0</v>
      </c>
      <c r="L299" s="1865"/>
      <c r="M299" s="1866"/>
    </row>
    <row r="300" spans="1:15">
      <c r="A300" s="1806"/>
      <c r="B300" s="1755" t="s">
        <v>400</v>
      </c>
      <c r="C300" s="1755" t="s">
        <v>401</v>
      </c>
      <c r="D300" s="1755"/>
      <c r="E300" s="1864">
        <v>0</v>
      </c>
      <c r="F300" s="1801" t="s">
        <v>37</v>
      </c>
      <c r="G300" s="2289">
        <f>ROUNDUP(2227.6*0.05+5*2.95,0)</f>
        <v>127</v>
      </c>
      <c r="H300" s="2290">
        <f t="shared" si="187"/>
        <v>0</v>
      </c>
      <c r="I300" s="2291">
        <v>82</v>
      </c>
      <c r="J300" s="1861">
        <f t="shared" si="188"/>
        <v>0</v>
      </c>
      <c r="K300" s="1862">
        <f t="shared" si="189"/>
        <v>0</v>
      </c>
      <c r="L300" s="1865"/>
      <c r="M300" s="1866"/>
    </row>
    <row r="301" spans="1:15">
      <c r="A301" s="1806"/>
      <c r="B301" s="1755" t="s">
        <v>402</v>
      </c>
      <c r="C301" s="1867" t="s">
        <v>403</v>
      </c>
      <c r="D301" s="1868"/>
      <c r="E301" s="1864">
        <v>0</v>
      </c>
      <c r="F301" s="1801" t="s">
        <v>37</v>
      </c>
      <c r="G301" s="2291">
        <v>120</v>
      </c>
      <c r="H301" s="2290">
        <f t="shared" si="187"/>
        <v>0</v>
      </c>
      <c r="I301" s="2291">
        <v>61</v>
      </c>
      <c r="J301" s="1861">
        <f t="shared" si="188"/>
        <v>0</v>
      </c>
      <c r="K301" s="1862">
        <f t="shared" si="189"/>
        <v>0</v>
      </c>
      <c r="L301" s="1865"/>
      <c r="M301" s="1866"/>
    </row>
    <row r="302" spans="1:15">
      <c r="A302" s="1806"/>
      <c r="B302" s="1755" t="s">
        <v>404</v>
      </c>
      <c r="C302" s="1755" t="s">
        <v>405</v>
      </c>
      <c r="D302" s="1755"/>
      <c r="E302" s="1864">
        <v>0</v>
      </c>
      <c r="F302" s="1801" t="s">
        <v>37</v>
      </c>
      <c r="G302" s="2289">
        <v>447</v>
      </c>
      <c r="H302" s="2290">
        <f t="shared" si="187"/>
        <v>0</v>
      </c>
      <c r="I302" s="2291">
        <v>212</v>
      </c>
      <c r="J302" s="1861">
        <f t="shared" si="188"/>
        <v>0</v>
      </c>
      <c r="K302" s="1862">
        <f t="shared" si="189"/>
        <v>0</v>
      </c>
      <c r="L302" s="1865"/>
      <c r="M302" s="1866"/>
    </row>
    <row r="303" spans="1:15">
      <c r="A303" s="1806"/>
      <c r="B303" s="1755" t="s">
        <v>406</v>
      </c>
      <c r="C303" s="1867" t="s">
        <v>407</v>
      </c>
      <c r="D303" s="1868"/>
      <c r="E303" s="1864">
        <v>0</v>
      </c>
      <c r="F303" s="1801" t="s">
        <v>37</v>
      </c>
      <c r="G303" s="2291">
        <v>240</v>
      </c>
      <c r="H303" s="2290">
        <f t="shared" si="187"/>
        <v>0</v>
      </c>
      <c r="I303" s="2291">
        <v>80</v>
      </c>
      <c r="J303" s="1861">
        <f t="shared" si="188"/>
        <v>0</v>
      </c>
      <c r="K303" s="1862">
        <f t="shared" si="189"/>
        <v>0</v>
      </c>
      <c r="L303" s="1865"/>
      <c r="M303" s="1866"/>
    </row>
    <row r="304" spans="1:15">
      <c r="A304" s="1806"/>
      <c r="B304" s="1755" t="s">
        <v>408</v>
      </c>
      <c r="C304" s="1867" t="s">
        <v>409</v>
      </c>
      <c r="D304" s="1868"/>
      <c r="E304" s="1864">
        <v>0</v>
      </c>
      <c r="F304" s="1801" t="s">
        <v>37</v>
      </c>
      <c r="G304" s="2291">
        <v>230</v>
      </c>
      <c r="H304" s="2290">
        <f t="shared" si="187"/>
        <v>0</v>
      </c>
      <c r="I304" s="2291">
        <v>50</v>
      </c>
      <c r="J304" s="1861">
        <f t="shared" si="188"/>
        <v>0</v>
      </c>
      <c r="K304" s="1862">
        <f t="shared" si="189"/>
        <v>0</v>
      </c>
      <c r="L304" s="1865"/>
      <c r="M304" s="1866"/>
    </row>
    <row r="305" spans="1:24">
      <c r="A305" s="1806"/>
      <c r="B305" s="1755" t="s">
        <v>410</v>
      </c>
      <c r="C305" s="1867" t="s">
        <v>411</v>
      </c>
      <c r="D305" s="1868"/>
      <c r="E305" s="1864">
        <v>157</v>
      </c>
      <c r="F305" s="1801" t="s">
        <v>37</v>
      </c>
      <c r="G305" s="2289">
        <v>220</v>
      </c>
      <c r="H305" s="2290">
        <f t="shared" si="187"/>
        <v>34540</v>
      </c>
      <c r="I305" s="2291">
        <v>80</v>
      </c>
      <c r="J305" s="1861">
        <f t="shared" si="188"/>
        <v>12560</v>
      </c>
      <c r="K305" s="1862">
        <f t="shared" si="189"/>
        <v>47100</v>
      </c>
      <c r="L305" s="1865"/>
      <c r="M305" s="1866"/>
    </row>
    <row r="306" spans="1:24">
      <c r="A306" s="1806"/>
      <c r="B306" s="1755" t="s">
        <v>412</v>
      </c>
      <c r="C306" s="1867" t="s">
        <v>413</v>
      </c>
      <c r="D306" s="1868"/>
      <c r="E306" s="1864">
        <v>0</v>
      </c>
      <c r="F306" s="1801" t="s">
        <v>37</v>
      </c>
      <c r="G306" s="2289">
        <v>113</v>
      </c>
      <c r="H306" s="2290">
        <f t="shared" si="187"/>
        <v>0</v>
      </c>
      <c r="I306" s="2291">
        <v>61</v>
      </c>
      <c r="J306" s="1861">
        <f t="shared" si="188"/>
        <v>0</v>
      </c>
      <c r="K306" s="1862">
        <f t="shared" si="189"/>
        <v>0</v>
      </c>
      <c r="L306" s="1865"/>
      <c r="M306" s="1866"/>
    </row>
    <row r="307" spans="1:24">
      <c r="A307" s="1806"/>
      <c r="B307" s="1755" t="s">
        <v>414</v>
      </c>
      <c r="C307" s="1867" t="s">
        <v>415</v>
      </c>
      <c r="D307" s="1868"/>
      <c r="E307" s="1864">
        <v>0</v>
      </c>
      <c r="F307" s="1801" t="s">
        <v>37</v>
      </c>
      <c r="G307" s="2289">
        <v>113</v>
      </c>
      <c r="H307" s="2290">
        <f t="shared" si="187"/>
        <v>0</v>
      </c>
      <c r="I307" s="2291">
        <v>61</v>
      </c>
      <c r="J307" s="1861">
        <f t="shared" si="188"/>
        <v>0</v>
      </c>
      <c r="K307" s="1862">
        <f t="shared" si="189"/>
        <v>0</v>
      </c>
      <c r="L307" s="1865"/>
      <c r="M307" s="1866"/>
    </row>
    <row r="308" spans="1:24">
      <c r="A308" s="1806"/>
      <c r="B308" s="1755" t="s">
        <v>416</v>
      </c>
      <c r="C308" s="1867" t="s">
        <v>417</v>
      </c>
      <c r="D308" s="1868"/>
      <c r="E308" s="1864">
        <v>0</v>
      </c>
      <c r="F308" s="1801" t="s">
        <v>37</v>
      </c>
      <c r="G308" s="2289">
        <v>113</v>
      </c>
      <c r="H308" s="2290">
        <f t="shared" si="187"/>
        <v>0</v>
      </c>
      <c r="I308" s="2291">
        <v>61</v>
      </c>
      <c r="J308" s="1861">
        <f t="shared" si="188"/>
        <v>0</v>
      </c>
      <c r="K308" s="1862">
        <f t="shared" si="189"/>
        <v>0</v>
      </c>
      <c r="L308" s="1865"/>
      <c r="M308" s="1866"/>
    </row>
    <row r="309" spans="1:24">
      <c r="A309" s="1806"/>
      <c r="B309" s="1755" t="s">
        <v>418</v>
      </c>
      <c r="C309" s="1867" t="s">
        <v>419</v>
      </c>
      <c r="D309" s="1859"/>
      <c r="E309" s="1864">
        <v>0</v>
      </c>
      <c r="F309" s="1801" t="s">
        <v>37</v>
      </c>
      <c r="G309" s="2289">
        <v>113</v>
      </c>
      <c r="H309" s="2290">
        <f t="shared" si="187"/>
        <v>0</v>
      </c>
      <c r="I309" s="2291">
        <v>61</v>
      </c>
      <c r="J309" s="1861">
        <f t="shared" si="188"/>
        <v>0</v>
      </c>
      <c r="K309" s="1862">
        <f t="shared" si="189"/>
        <v>0</v>
      </c>
      <c r="L309" s="1865"/>
      <c r="M309" s="1866"/>
    </row>
    <row r="310" spans="1:24">
      <c r="A310" s="1806"/>
      <c r="B310" s="1755" t="s">
        <v>420</v>
      </c>
      <c r="C310" s="1867" t="s">
        <v>421</v>
      </c>
      <c r="D310" s="1859"/>
      <c r="E310" s="1864">
        <v>26</v>
      </c>
      <c r="F310" s="1801" t="s">
        <v>37</v>
      </c>
      <c r="G310" s="2289">
        <v>583</v>
      </c>
      <c r="H310" s="2290">
        <f t="shared" si="187"/>
        <v>15158</v>
      </c>
      <c r="I310" s="2291">
        <v>298</v>
      </c>
      <c r="J310" s="1861">
        <f t="shared" si="188"/>
        <v>7748</v>
      </c>
      <c r="K310" s="1862">
        <f t="shared" si="189"/>
        <v>22906</v>
      </c>
      <c r="L310" s="1865"/>
      <c r="M310" s="1866"/>
    </row>
    <row r="311" spans="1:24">
      <c r="A311" s="1806"/>
      <c r="B311" s="1755"/>
      <c r="C311" s="1755"/>
      <c r="D311" s="1859"/>
      <c r="E311" s="1864"/>
      <c r="F311" s="1801"/>
      <c r="G311" s="2289"/>
      <c r="H311" s="2290"/>
      <c r="I311" s="2291"/>
      <c r="J311" s="1861"/>
      <c r="K311" s="1862"/>
      <c r="L311" s="1865"/>
      <c r="M311" s="1866"/>
    </row>
    <row r="312" spans="1:24">
      <c r="A312" s="1806"/>
      <c r="B312" s="1755" t="s">
        <v>422</v>
      </c>
      <c r="C312" s="1755" t="s">
        <v>423</v>
      </c>
      <c r="D312" s="1859"/>
      <c r="E312" s="1864">
        <v>0</v>
      </c>
      <c r="F312" s="1801" t="s">
        <v>37</v>
      </c>
      <c r="G312" s="2289">
        <v>240</v>
      </c>
      <c r="H312" s="2290">
        <f t="shared" si="187"/>
        <v>0</v>
      </c>
      <c r="I312" s="2291">
        <v>50</v>
      </c>
      <c r="J312" s="1861">
        <f t="shared" si="188"/>
        <v>0</v>
      </c>
      <c r="K312" s="1862">
        <f t="shared" si="189"/>
        <v>0</v>
      </c>
      <c r="L312" s="1865"/>
      <c r="M312" s="1866"/>
    </row>
    <row r="313" spans="1:24">
      <c r="A313" s="1806"/>
      <c r="B313" s="1755"/>
      <c r="C313" s="1755" t="s">
        <v>424</v>
      </c>
      <c r="D313" s="1859"/>
      <c r="E313" s="1864"/>
      <c r="F313" s="1801"/>
      <c r="G313" s="2289"/>
      <c r="H313" s="2290"/>
      <c r="I313" s="2291"/>
      <c r="J313" s="1861"/>
      <c r="K313" s="1862"/>
      <c r="L313" s="1865"/>
      <c r="M313" s="1866"/>
    </row>
    <row r="314" spans="1:24">
      <c r="A314" s="1806"/>
      <c r="B314" s="1887" t="s">
        <v>425</v>
      </c>
      <c r="C314" s="1755" t="s">
        <v>2785</v>
      </c>
      <c r="D314" s="1859"/>
      <c r="E314" s="1864">
        <f>E312</f>
        <v>0</v>
      </c>
      <c r="F314" s="1801" t="s">
        <v>37</v>
      </c>
      <c r="G314" s="2289">
        <v>140</v>
      </c>
      <c r="H314" s="2290">
        <f t="shared" ref="H314:H316" si="190">E314*G314</f>
        <v>0</v>
      </c>
      <c r="I314" s="2291">
        <v>40</v>
      </c>
      <c r="J314" s="1861">
        <f t="shared" ref="J314:J316" si="191">E314*I314</f>
        <v>0</v>
      </c>
      <c r="K314" s="1862">
        <f t="shared" ref="K314:K316" si="192">H314+J314</f>
        <v>0</v>
      </c>
      <c r="L314" s="1865"/>
      <c r="M314" s="1866"/>
    </row>
    <row r="315" spans="1:24">
      <c r="A315" s="2275"/>
      <c r="B315" s="1887"/>
      <c r="C315" s="1755"/>
      <c r="D315" s="1859"/>
      <c r="E315" s="1864"/>
      <c r="F315" s="1801"/>
      <c r="G315" s="2289"/>
      <c r="H315" s="2290"/>
      <c r="I315" s="2291"/>
      <c r="J315" s="1861"/>
      <c r="K315" s="1862"/>
      <c r="L315" s="1865"/>
      <c r="M315" s="1866"/>
    </row>
    <row r="316" spans="1:24">
      <c r="A316" s="2275"/>
      <c r="B316" s="1755" t="s">
        <v>426</v>
      </c>
      <c r="C316" s="1755" t="s">
        <v>427</v>
      </c>
      <c r="D316" s="1859"/>
      <c r="E316" s="1864">
        <v>0</v>
      </c>
      <c r="F316" s="1801" t="s">
        <v>37</v>
      </c>
      <c r="G316" s="2289">
        <v>0</v>
      </c>
      <c r="H316" s="2290">
        <f t="shared" si="190"/>
        <v>0</v>
      </c>
      <c r="I316" s="2291">
        <v>0</v>
      </c>
      <c r="J316" s="1861">
        <f t="shared" si="191"/>
        <v>0</v>
      </c>
      <c r="K316" s="1862">
        <f t="shared" si="192"/>
        <v>0</v>
      </c>
      <c r="L316" s="1865"/>
      <c r="M316" s="1866"/>
      <c r="O316" s="1886"/>
    </row>
    <row r="317" spans="1:24">
      <c r="A317" s="2275"/>
      <c r="B317" s="1755"/>
      <c r="C317" s="1755" t="s">
        <v>428</v>
      </c>
      <c r="D317" s="1859"/>
      <c r="E317" s="1864"/>
      <c r="F317" s="1801"/>
      <c r="G317" s="2289"/>
      <c r="H317" s="2290"/>
      <c r="I317" s="2291"/>
      <c r="J317" s="1861"/>
      <c r="K317" s="1862"/>
      <c r="L317" s="1865"/>
      <c r="M317" s="1866"/>
      <c r="O317" s="1886"/>
    </row>
    <row r="318" spans="1:24">
      <c r="A318" s="2275"/>
      <c r="B318" s="1755"/>
      <c r="C318" s="1755" t="s">
        <v>429</v>
      </c>
      <c r="D318" s="1859"/>
      <c r="E318" s="1864"/>
      <c r="F318" s="1801"/>
      <c r="G318" s="2289"/>
      <c r="H318" s="2290"/>
      <c r="I318" s="2291"/>
      <c r="J318" s="1861"/>
      <c r="K318" s="1862"/>
      <c r="L318" s="1865"/>
      <c r="M318" s="1866"/>
      <c r="O318" s="1886"/>
    </row>
    <row r="319" spans="1:24">
      <c r="A319" s="93"/>
      <c r="B319" s="1888" t="s">
        <v>430</v>
      </c>
      <c r="C319" s="1888" t="s">
        <v>2923</v>
      </c>
      <c r="D319" s="1889"/>
      <c r="E319" s="1890">
        <v>0</v>
      </c>
      <c r="F319" s="1872" t="s">
        <v>37</v>
      </c>
      <c r="G319" s="2294">
        <v>253</v>
      </c>
      <c r="H319" s="2295">
        <f t="shared" ref="H319:H320" si="193">E319*G319</f>
        <v>0</v>
      </c>
      <c r="I319" s="2296">
        <v>50</v>
      </c>
      <c r="J319" s="1876">
        <f t="shared" ref="J319:J320" si="194">E319*I319</f>
        <v>0</v>
      </c>
      <c r="K319" s="1877">
        <f t="shared" ref="K319:K320" si="195">H319+J319</f>
        <v>0</v>
      </c>
      <c r="L319" s="1865"/>
      <c r="M319" s="1866"/>
      <c r="O319" s="1886"/>
    </row>
    <row r="320" spans="1:24" ht="24" customHeight="1">
      <c r="A320" s="2275"/>
      <c r="B320" s="1755" t="s">
        <v>431</v>
      </c>
      <c r="C320" s="1755" t="s">
        <v>432</v>
      </c>
      <c r="D320" s="1859"/>
      <c r="E320" s="1864">
        <v>0</v>
      </c>
      <c r="F320" s="1801" t="s">
        <v>37</v>
      </c>
      <c r="G320" s="2289">
        <v>0</v>
      </c>
      <c r="H320" s="2290">
        <f t="shared" si="193"/>
        <v>0</v>
      </c>
      <c r="I320" s="2291">
        <v>220</v>
      </c>
      <c r="J320" s="1861">
        <f t="shared" si="194"/>
        <v>0</v>
      </c>
      <c r="K320" s="1862">
        <f t="shared" si="195"/>
        <v>0</v>
      </c>
      <c r="L320" s="1858"/>
      <c r="M320" s="1809"/>
      <c r="N320" s="1837"/>
      <c r="O320" s="1886"/>
      <c r="P320" s="1837"/>
      <c r="Q320" s="1837"/>
      <c r="R320" s="1837"/>
      <c r="S320" s="1837"/>
      <c r="T320" s="1837"/>
      <c r="U320" s="1837"/>
      <c r="V320" s="1837"/>
      <c r="W320" s="1837"/>
      <c r="X320" s="1837"/>
    </row>
    <row r="321" spans="1:24" ht="24" customHeight="1">
      <c r="A321" s="2275"/>
      <c r="B321" s="1755"/>
      <c r="C321" s="1755" t="s">
        <v>433</v>
      </c>
      <c r="D321" s="1891"/>
      <c r="E321" s="1864"/>
      <c r="F321" s="1801"/>
      <c r="G321" s="2289"/>
      <c r="H321" s="2290"/>
      <c r="I321" s="2291"/>
      <c r="J321" s="1861"/>
      <c r="K321" s="1862"/>
      <c r="L321" s="1858"/>
      <c r="M321" s="1809"/>
      <c r="N321" s="1837"/>
      <c r="O321" s="1886"/>
      <c r="P321" s="1837"/>
      <c r="Q321" s="1837"/>
      <c r="R321" s="1837"/>
      <c r="S321" s="1837"/>
      <c r="T321" s="1837"/>
      <c r="U321" s="1837"/>
      <c r="V321" s="1837"/>
      <c r="W321" s="1837"/>
      <c r="X321" s="1837"/>
    </row>
    <row r="322" spans="1:24">
      <c r="A322" s="1806"/>
      <c r="B322" s="1755" t="s">
        <v>434</v>
      </c>
      <c r="C322" s="1755" t="s">
        <v>435</v>
      </c>
      <c r="D322" s="1891"/>
      <c r="E322" s="1864">
        <v>0</v>
      </c>
      <c r="F322" s="1801" t="s">
        <v>37</v>
      </c>
      <c r="G322" s="1892">
        <v>398</v>
      </c>
      <c r="H322" s="2290">
        <f t="shared" ref="H322" si="196">E322*G322</f>
        <v>0</v>
      </c>
      <c r="I322" s="1968">
        <v>154</v>
      </c>
      <c r="J322" s="1861">
        <f t="shared" ref="J322" si="197">E322*I322</f>
        <v>0</v>
      </c>
      <c r="K322" s="1862">
        <f t="shared" ref="K322" si="198">H322+J322</f>
        <v>0</v>
      </c>
      <c r="L322" s="1864"/>
      <c r="M322" s="1894"/>
    </row>
    <row r="323" spans="1:24">
      <c r="A323" s="1806"/>
      <c r="B323" s="1755"/>
      <c r="C323" s="1895" t="s">
        <v>436</v>
      </c>
      <c r="D323" s="1891"/>
      <c r="E323" s="1864"/>
      <c r="F323" s="1801"/>
      <c r="G323" s="2289"/>
      <c r="H323" s="2290"/>
      <c r="I323" s="2291"/>
      <c r="J323" s="1861"/>
      <c r="K323" s="1862"/>
      <c r="L323" s="1865"/>
      <c r="M323" s="1866"/>
    </row>
    <row r="324" spans="1:24" s="1900" customFormat="1">
      <c r="A324" s="1896"/>
      <c r="B324" s="1895" t="s">
        <v>437</v>
      </c>
      <c r="C324" s="1895"/>
      <c r="D324" s="1895"/>
      <c r="E324" s="1897"/>
      <c r="F324" s="1806"/>
      <c r="G324" s="1789"/>
      <c r="H324" s="2290"/>
      <c r="I324" s="2083"/>
      <c r="J324" s="1861"/>
      <c r="K324" s="1862"/>
      <c r="L324" s="1899"/>
      <c r="M324" s="1737"/>
    </row>
    <row r="325" spans="1:24">
      <c r="A325" s="1901"/>
      <c r="B325" s="1902" t="s">
        <v>2924</v>
      </c>
      <c r="C325" s="2228" t="s">
        <v>446</v>
      </c>
      <c r="D325" s="2229"/>
      <c r="E325" s="1897">
        <v>209</v>
      </c>
      <c r="F325" s="1806" t="s">
        <v>438</v>
      </c>
      <c r="G325" s="60">
        <v>200</v>
      </c>
      <c r="H325" s="2295">
        <f t="shared" ref="H325:H327" si="199">E325*G325</f>
        <v>41800</v>
      </c>
      <c r="I325" s="673">
        <v>45</v>
      </c>
      <c r="J325" s="1876">
        <f t="shared" ref="J325:J327" si="200">E325*I325</f>
        <v>9405</v>
      </c>
      <c r="K325" s="1877">
        <f t="shared" ref="K325:K327" si="201">H325+J325</f>
        <v>51205</v>
      </c>
      <c r="L325" s="119"/>
      <c r="M325" s="62" t="s">
        <v>2925</v>
      </c>
    </row>
    <row r="326" spans="1:24">
      <c r="A326" s="1901"/>
      <c r="B326" s="1902" t="s">
        <v>2924</v>
      </c>
      <c r="C326" s="2228" t="s">
        <v>439</v>
      </c>
      <c r="D326" s="2229"/>
      <c r="E326" s="1897">
        <v>431</v>
      </c>
      <c r="F326" s="1806" t="s">
        <v>438</v>
      </c>
      <c r="G326" s="60">
        <v>19</v>
      </c>
      <c r="H326" s="2295">
        <f t="shared" si="199"/>
        <v>8189</v>
      </c>
      <c r="I326" s="673">
        <v>20</v>
      </c>
      <c r="J326" s="1876">
        <f t="shared" si="200"/>
        <v>8620</v>
      </c>
      <c r="K326" s="1877">
        <f t="shared" si="201"/>
        <v>16809</v>
      </c>
      <c r="L326" s="119"/>
      <c r="M326" s="62" t="s">
        <v>2925</v>
      </c>
    </row>
    <row r="327" spans="1:24">
      <c r="A327" s="1901"/>
      <c r="B327" s="2230" t="s">
        <v>425</v>
      </c>
      <c r="C327" s="2231" t="s">
        <v>440</v>
      </c>
      <c r="D327" s="2229"/>
      <c r="E327" s="1897">
        <v>0</v>
      </c>
      <c r="F327" s="1806" t="s">
        <v>438</v>
      </c>
      <c r="G327" s="1789">
        <v>0</v>
      </c>
      <c r="H327" s="2290">
        <f t="shared" si="199"/>
        <v>0</v>
      </c>
      <c r="I327" s="2083">
        <v>0</v>
      </c>
      <c r="J327" s="1861">
        <f t="shared" si="200"/>
        <v>0</v>
      </c>
      <c r="K327" s="1862">
        <f t="shared" si="201"/>
        <v>0</v>
      </c>
      <c r="L327" s="1899"/>
      <c r="M327" s="1797">
        <f>SUM(K280:K327)</f>
        <v>1367208</v>
      </c>
    </row>
    <row r="328" spans="1:24" ht="24" customHeight="1">
      <c r="A328" s="2232" t="s">
        <v>455</v>
      </c>
      <c r="B328" s="1908" t="s">
        <v>456</v>
      </c>
      <c r="C328" s="2234"/>
      <c r="D328" s="1891"/>
      <c r="E328" s="1984"/>
      <c r="F328" s="2275"/>
      <c r="G328" s="1924"/>
      <c r="H328" s="2212"/>
      <c r="I328" s="2217"/>
      <c r="J328" s="2214"/>
      <c r="K328" s="2215"/>
      <c r="L328" s="1918"/>
      <c r="P328" s="1837"/>
      <c r="Q328" s="1837"/>
      <c r="R328" s="1837"/>
      <c r="S328" s="1837"/>
      <c r="T328" s="1837"/>
      <c r="U328" s="1837"/>
      <c r="V328" s="1837"/>
      <c r="W328" s="1837"/>
      <c r="X328" s="1837"/>
    </row>
    <row r="329" spans="1:24">
      <c r="A329" s="1806"/>
      <c r="B329" s="1783"/>
      <c r="C329" s="1755" t="s">
        <v>2955</v>
      </c>
      <c r="D329" s="1859"/>
      <c r="E329" s="1860">
        <f>E331+E332+E334+E336+E338+E340+E344+E346+E347+E349+E352+E354+E355+E360+E368</f>
        <v>1178</v>
      </c>
      <c r="F329" s="1801" t="s">
        <v>37</v>
      </c>
      <c r="G329" s="2289">
        <v>113</v>
      </c>
      <c r="H329" s="2290">
        <f>E329*G329</f>
        <v>133114</v>
      </c>
      <c r="I329" s="2291">
        <v>61</v>
      </c>
      <c r="J329" s="1861">
        <f t="shared" ref="J329:J332" si="202">E329*I329</f>
        <v>71858</v>
      </c>
      <c r="K329" s="1862">
        <f t="shared" ref="K329:K332" si="203">H329+J329</f>
        <v>204972</v>
      </c>
      <c r="L329" s="2292"/>
      <c r="M329" s="2293"/>
      <c r="N329" s="1797">
        <f>SUM(E330:E371)</f>
        <v>5098</v>
      </c>
    </row>
    <row r="330" spans="1:24">
      <c r="A330" s="1806"/>
      <c r="B330" s="1755" t="s">
        <v>385</v>
      </c>
      <c r="C330" s="1755" t="s">
        <v>386</v>
      </c>
      <c r="D330" s="1859"/>
      <c r="E330" s="1860">
        <v>3920</v>
      </c>
      <c r="F330" s="1801" t="s">
        <v>37</v>
      </c>
      <c r="G330" s="2289">
        <v>113</v>
      </c>
      <c r="H330" s="2290">
        <f t="shared" ref="H330:H332" si="204">E330*G330</f>
        <v>442960</v>
      </c>
      <c r="I330" s="2291">
        <v>61</v>
      </c>
      <c r="J330" s="1861">
        <f t="shared" si="202"/>
        <v>239120</v>
      </c>
      <c r="K330" s="1862">
        <f t="shared" si="203"/>
        <v>682080</v>
      </c>
      <c r="L330" s="2292"/>
      <c r="M330" s="2293"/>
      <c r="N330" s="1797"/>
    </row>
    <row r="331" spans="1:24">
      <c r="A331" s="1806"/>
      <c r="B331" s="1755" t="s">
        <v>387</v>
      </c>
      <c r="C331" s="1755" t="s">
        <v>388</v>
      </c>
      <c r="D331" s="1755"/>
      <c r="E331" s="1864">
        <v>0</v>
      </c>
      <c r="F331" s="1801" t="s">
        <v>37</v>
      </c>
      <c r="G331" s="2289">
        <v>564</v>
      </c>
      <c r="H331" s="2290">
        <f t="shared" si="204"/>
        <v>0</v>
      </c>
      <c r="I331" s="2291">
        <v>283</v>
      </c>
      <c r="J331" s="1861">
        <f t="shared" si="202"/>
        <v>0</v>
      </c>
      <c r="K331" s="1862">
        <f t="shared" si="203"/>
        <v>0</v>
      </c>
      <c r="L331" s="1865"/>
      <c r="M331" s="1866"/>
    </row>
    <row r="332" spans="1:24">
      <c r="A332" s="1806"/>
      <c r="B332" s="1755" t="s">
        <v>389</v>
      </c>
      <c r="C332" s="1867" t="s">
        <v>390</v>
      </c>
      <c r="D332" s="1868"/>
      <c r="E332" s="1864">
        <v>7</v>
      </c>
      <c r="F332" s="1801" t="s">
        <v>37</v>
      </c>
      <c r="G332" s="2289">
        <v>295</v>
      </c>
      <c r="H332" s="2290">
        <f t="shared" si="204"/>
        <v>2065</v>
      </c>
      <c r="I332" s="2291">
        <v>184</v>
      </c>
      <c r="J332" s="1861">
        <f t="shared" si="202"/>
        <v>1288</v>
      </c>
      <c r="K332" s="1862">
        <f t="shared" si="203"/>
        <v>3353</v>
      </c>
      <c r="L332" s="1865"/>
      <c r="M332" s="1866"/>
    </row>
    <row r="333" spans="1:24">
      <c r="A333" s="1806"/>
      <c r="B333" s="1755"/>
      <c r="C333" s="1867" t="s">
        <v>2778</v>
      </c>
      <c r="D333" s="1868"/>
      <c r="E333" s="1864"/>
      <c r="F333" s="1801"/>
      <c r="G333" s="2289"/>
      <c r="H333" s="2290"/>
      <c r="I333" s="2291"/>
      <c r="J333" s="1861"/>
      <c r="K333" s="1862"/>
      <c r="L333" s="1865"/>
      <c r="M333" s="1866"/>
    </row>
    <row r="334" spans="1:24">
      <c r="A334" s="1806"/>
      <c r="B334" s="1755" t="s">
        <v>391</v>
      </c>
      <c r="C334" s="1867" t="s">
        <v>443</v>
      </c>
      <c r="D334" s="1868"/>
      <c r="E334" s="1864">
        <v>0</v>
      </c>
      <c r="F334" s="1801" t="s">
        <v>37</v>
      </c>
      <c r="G334" s="2289">
        <v>297</v>
      </c>
      <c r="H334" s="2290">
        <f t="shared" ref="H334" si="205">E334*G334</f>
        <v>0</v>
      </c>
      <c r="I334" s="2291">
        <v>204</v>
      </c>
      <c r="J334" s="1861">
        <f t="shared" ref="J334" si="206">E334*I334</f>
        <v>0</v>
      </c>
      <c r="K334" s="1862">
        <f t="shared" ref="K334" si="207">H334+J334</f>
        <v>0</v>
      </c>
      <c r="L334" s="1865"/>
      <c r="M334" s="1866"/>
    </row>
    <row r="335" spans="1:24">
      <c r="A335" s="1806"/>
      <c r="B335" s="1755"/>
      <c r="C335" s="1867" t="s">
        <v>2786</v>
      </c>
      <c r="D335" s="1868"/>
      <c r="E335" s="1864"/>
      <c r="F335" s="1801"/>
      <c r="G335" s="2289"/>
      <c r="H335" s="2290"/>
      <c r="I335" s="2291"/>
      <c r="J335" s="1861"/>
      <c r="K335" s="1862"/>
      <c r="L335" s="1865"/>
      <c r="M335" s="1866"/>
    </row>
    <row r="336" spans="1:24">
      <c r="A336" s="1806"/>
      <c r="B336" s="1755" t="s">
        <v>392</v>
      </c>
      <c r="C336" s="1867" t="s">
        <v>444</v>
      </c>
      <c r="D336" s="1868"/>
      <c r="E336" s="1864">
        <v>0</v>
      </c>
      <c r="F336" s="1872" t="s">
        <v>37</v>
      </c>
      <c r="G336" s="1873">
        <v>609</v>
      </c>
      <c r="H336" s="1874">
        <f t="shared" ref="H336" si="208">E336*G336</f>
        <v>0</v>
      </c>
      <c r="I336" s="1875">
        <v>222</v>
      </c>
      <c r="J336" s="1876">
        <f t="shared" ref="J336" si="209">E336*I336</f>
        <v>0</v>
      </c>
      <c r="K336" s="1877">
        <f t="shared" ref="K336" si="210">H336+J336</f>
        <v>0</v>
      </c>
      <c r="L336" s="1865"/>
      <c r="M336" s="1866"/>
      <c r="N336" s="1837"/>
      <c r="O336" s="1837"/>
    </row>
    <row r="337" spans="1:15">
      <c r="A337" s="1806"/>
      <c r="B337" s="1755"/>
      <c r="C337" s="1867" t="s">
        <v>394</v>
      </c>
      <c r="D337" s="1868"/>
      <c r="E337" s="1864"/>
      <c r="F337" s="1872"/>
      <c r="G337" s="1873"/>
      <c r="H337" s="1874"/>
      <c r="I337" s="1875"/>
      <c r="J337" s="1876"/>
      <c r="K337" s="1877"/>
      <c r="L337" s="1865"/>
      <c r="M337" s="1866"/>
      <c r="N337" s="1837"/>
      <c r="O337" s="1837"/>
    </row>
    <row r="338" spans="1:15">
      <c r="A338" s="1806"/>
      <c r="B338" s="1755" t="s">
        <v>2916</v>
      </c>
      <c r="C338" s="1867" t="s">
        <v>444</v>
      </c>
      <c r="D338" s="1868"/>
      <c r="E338" s="1864">
        <v>252</v>
      </c>
      <c r="F338" s="64" t="s">
        <v>37</v>
      </c>
      <c r="G338" s="1873">
        <v>399</v>
      </c>
      <c r="H338" s="1874">
        <f t="shared" ref="H338" si="211">E338*G338</f>
        <v>100548</v>
      </c>
      <c r="I338" s="1875">
        <v>222</v>
      </c>
      <c r="J338" s="1882">
        <f t="shared" ref="J338" si="212">E338*I338</f>
        <v>55944</v>
      </c>
      <c r="K338" s="1877">
        <f t="shared" ref="K338" si="213">H338+J338</f>
        <v>156492</v>
      </c>
      <c r="L338" s="1865"/>
      <c r="M338" s="1878"/>
      <c r="N338" s="1879"/>
      <c r="O338" s="1881"/>
    </row>
    <row r="339" spans="1:15">
      <c r="A339" s="1806"/>
      <c r="B339" s="1755"/>
      <c r="C339" s="1867" t="s">
        <v>394</v>
      </c>
      <c r="D339" s="1868"/>
      <c r="E339" s="1864"/>
      <c r="F339" s="64"/>
      <c r="G339" s="1873"/>
      <c r="H339" s="1874"/>
      <c r="I339" s="1875"/>
      <c r="J339" s="1882"/>
      <c r="K339" s="1877"/>
      <c r="L339" s="1865"/>
      <c r="M339" s="1878"/>
      <c r="N339" s="1879"/>
      <c r="O339" s="1881"/>
    </row>
    <row r="340" spans="1:15">
      <c r="A340" s="1806"/>
      <c r="B340" s="1755" t="s">
        <v>393</v>
      </c>
      <c r="C340" s="1867" t="s">
        <v>445</v>
      </c>
      <c r="D340" s="1868"/>
      <c r="E340" s="1864">
        <v>0</v>
      </c>
      <c r="F340" s="1872" t="s">
        <v>37</v>
      </c>
      <c r="G340" s="1873">
        <v>617</v>
      </c>
      <c r="H340" s="1874">
        <f t="shared" ref="H340" si="214">E340*G340</f>
        <v>0</v>
      </c>
      <c r="I340" s="1875">
        <v>242</v>
      </c>
      <c r="J340" s="1876">
        <f t="shared" ref="J340" si="215">E340*I340</f>
        <v>0</v>
      </c>
      <c r="K340" s="1877">
        <f t="shared" ref="K340" si="216">H340+J340</f>
        <v>0</v>
      </c>
      <c r="L340" s="1865"/>
      <c r="M340" s="1866"/>
      <c r="N340" s="1837"/>
      <c r="O340" s="1837"/>
    </row>
    <row r="341" spans="1:15">
      <c r="A341" s="1806"/>
      <c r="B341" s="1755"/>
      <c r="C341" s="1867" t="s">
        <v>394</v>
      </c>
      <c r="D341" s="1755"/>
      <c r="E341" s="1864"/>
      <c r="F341" s="1872"/>
      <c r="G341" s="1873"/>
      <c r="H341" s="1874"/>
      <c r="I341" s="1875"/>
      <c r="J341" s="1876"/>
      <c r="K341" s="1877"/>
      <c r="L341" s="1865"/>
      <c r="M341" s="1866"/>
      <c r="N341" s="1837"/>
      <c r="O341" s="1837"/>
    </row>
    <row r="342" spans="1:15">
      <c r="A342" s="1806"/>
      <c r="B342" s="1755"/>
      <c r="C342" s="1867"/>
      <c r="D342" s="1755"/>
      <c r="E342" s="1864"/>
      <c r="F342" s="1872"/>
      <c r="G342" s="1873"/>
      <c r="H342" s="1874"/>
      <c r="I342" s="1875"/>
      <c r="J342" s="1876"/>
      <c r="K342" s="1877"/>
      <c r="L342" s="1865"/>
      <c r="M342" s="1866"/>
      <c r="N342" s="1837"/>
      <c r="O342" s="1837"/>
    </row>
    <row r="343" spans="1:15">
      <c r="A343" s="1806"/>
      <c r="B343" s="1755"/>
      <c r="C343" s="1867"/>
      <c r="D343" s="1755"/>
      <c r="E343" s="1864"/>
      <c r="F343" s="1872"/>
      <c r="G343" s="1873"/>
      <c r="H343" s="1874"/>
      <c r="I343" s="1875"/>
      <c r="J343" s="1876"/>
      <c r="K343" s="1877"/>
      <c r="L343" s="1865"/>
      <c r="M343" s="1866"/>
      <c r="N343" s="1837"/>
      <c r="O343" s="1837"/>
    </row>
    <row r="344" spans="1:15">
      <c r="A344" s="1806"/>
      <c r="B344" s="1755" t="s">
        <v>2917</v>
      </c>
      <c r="C344" s="1867" t="s">
        <v>445</v>
      </c>
      <c r="D344" s="1868"/>
      <c r="E344" s="1864">
        <v>253</v>
      </c>
      <c r="F344" s="64" t="s">
        <v>37</v>
      </c>
      <c r="G344" s="1873">
        <v>399</v>
      </c>
      <c r="H344" s="1874">
        <f t="shared" ref="H344" si="217">E344*G344</f>
        <v>100947</v>
      </c>
      <c r="I344" s="1875">
        <v>242</v>
      </c>
      <c r="J344" s="1882">
        <f t="shared" ref="J344" si="218">E344*I344</f>
        <v>61226</v>
      </c>
      <c r="K344" s="1877">
        <f t="shared" ref="K344" si="219">H344+J344</f>
        <v>162173</v>
      </c>
      <c r="L344" s="1865"/>
      <c r="M344" s="1878"/>
      <c r="N344" s="1879"/>
      <c r="O344" s="1883"/>
    </row>
    <row r="345" spans="1:15">
      <c r="A345" s="1806"/>
      <c r="B345" s="1755"/>
      <c r="C345" s="1755" t="s">
        <v>394</v>
      </c>
      <c r="D345" s="1755"/>
      <c r="E345" s="1864"/>
      <c r="F345" s="1801"/>
      <c r="G345" s="2289"/>
      <c r="H345" s="2290"/>
      <c r="I345" s="2291"/>
      <c r="J345" s="1861"/>
      <c r="K345" s="1862"/>
      <c r="L345" s="1865"/>
      <c r="M345" s="1878"/>
      <c r="N345" s="1879"/>
      <c r="O345" s="1881">
        <f>O335*O344</f>
        <v>0</v>
      </c>
    </row>
    <row r="346" spans="1:15">
      <c r="A346" s="1806"/>
      <c r="B346" s="1755" t="s">
        <v>395</v>
      </c>
      <c r="C346" s="1755" t="s">
        <v>396</v>
      </c>
      <c r="D346" s="1755"/>
      <c r="E346" s="1864">
        <v>152</v>
      </c>
      <c r="F346" s="1801" t="s">
        <v>37</v>
      </c>
      <c r="G346" s="2289">
        <v>420</v>
      </c>
      <c r="H346" s="2290">
        <f t="shared" ref="H346:H347" si="220">E346*G346</f>
        <v>63840</v>
      </c>
      <c r="I346" s="2291">
        <v>100</v>
      </c>
      <c r="J346" s="1861">
        <f t="shared" ref="J346:J347" si="221">E346*I346</f>
        <v>15200</v>
      </c>
      <c r="K346" s="1862">
        <f t="shared" ref="K346:K347" si="222">H346+J346</f>
        <v>79040</v>
      </c>
      <c r="L346" s="1865"/>
      <c r="M346" s="1866"/>
      <c r="N346" s="1797"/>
    </row>
    <row r="347" spans="1:15">
      <c r="A347" s="1806"/>
      <c r="B347" s="1755" t="s">
        <v>397</v>
      </c>
      <c r="C347" s="1867" t="s">
        <v>398</v>
      </c>
      <c r="D347" s="1868"/>
      <c r="E347" s="1864">
        <v>0</v>
      </c>
      <c r="F347" s="1801" t="s">
        <v>37</v>
      </c>
      <c r="G347" s="2289">
        <v>564</v>
      </c>
      <c r="H347" s="2290">
        <f t="shared" si="220"/>
        <v>0</v>
      </c>
      <c r="I347" s="2291">
        <v>283</v>
      </c>
      <c r="J347" s="1861">
        <f t="shared" si="221"/>
        <v>0</v>
      </c>
      <c r="K347" s="1862">
        <f t="shared" si="222"/>
        <v>0</v>
      </c>
      <c r="L347" s="1865"/>
      <c r="M347" s="1866"/>
    </row>
    <row r="348" spans="1:15">
      <c r="A348" s="1806"/>
      <c r="B348" s="1755"/>
      <c r="C348" s="1755" t="s">
        <v>2783</v>
      </c>
      <c r="D348" s="1755"/>
      <c r="E348" s="1864"/>
      <c r="F348" s="1885"/>
      <c r="G348" s="2289"/>
      <c r="H348" s="2290"/>
      <c r="I348" s="2291"/>
      <c r="J348" s="1861"/>
      <c r="K348" s="1862"/>
      <c r="L348" s="1865"/>
      <c r="M348" s="1866"/>
    </row>
    <row r="349" spans="1:15">
      <c r="A349" s="1806"/>
      <c r="B349" s="1755" t="s">
        <v>2784</v>
      </c>
      <c r="C349" s="1755" t="s">
        <v>399</v>
      </c>
      <c r="D349" s="1755"/>
      <c r="E349" s="1864">
        <v>141</v>
      </c>
      <c r="F349" s="1801" t="s">
        <v>37</v>
      </c>
      <c r="G349" s="2289">
        <v>3570</v>
      </c>
      <c r="H349" s="2290">
        <f t="shared" ref="H349:H361" si="223">E349*G349</f>
        <v>503370</v>
      </c>
      <c r="I349" s="2291">
        <v>220</v>
      </c>
      <c r="J349" s="1861">
        <f t="shared" ref="J349:J361" si="224">E349*I349</f>
        <v>31020</v>
      </c>
      <c r="K349" s="1862">
        <f t="shared" ref="K349:K361" si="225">H349+J349</f>
        <v>534390</v>
      </c>
      <c r="L349" s="1865"/>
      <c r="M349" s="1866"/>
    </row>
    <row r="350" spans="1:15">
      <c r="A350" s="1806"/>
      <c r="B350" s="1755" t="s">
        <v>400</v>
      </c>
      <c r="C350" s="1755" t="s">
        <v>401</v>
      </c>
      <c r="D350" s="1755"/>
      <c r="E350" s="1864">
        <v>0</v>
      </c>
      <c r="F350" s="1801" t="s">
        <v>37</v>
      </c>
      <c r="G350" s="2289">
        <f>ROUNDUP(2227.6*0.05+5*2.95,0)</f>
        <v>127</v>
      </c>
      <c r="H350" s="2290">
        <f t="shared" si="223"/>
        <v>0</v>
      </c>
      <c r="I350" s="2291">
        <v>82</v>
      </c>
      <c r="J350" s="1861">
        <f t="shared" si="224"/>
        <v>0</v>
      </c>
      <c r="K350" s="1862">
        <f t="shared" si="225"/>
        <v>0</v>
      </c>
      <c r="L350" s="1865"/>
      <c r="M350" s="1866"/>
    </row>
    <row r="351" spans="1:15">
      <c r="A351" s="1806"/>
      <c r="B351" s="1755" t="s">
        <v>402</v>
      </c>
      <c r="C351" s="1867" t="s">
        <v>403</v>
      </c>
      <c r="D351" s="1868"/>
      <c r="E351" s="1864">
        <v>0</v>
      </c>
      <c r="F351" s="1801" t="s">
        <v>37</v>
      </c>
      <c r="G351" s="2291">
        <v>120</v>
      </c>
      <c r="H351" s="2290">
        <f t="shared" si="223"/>
        <v>0</v>
      </c>
      <c r="I351" s="2291">
        <v>61</v>
      </c>
      <c r="J351" s="1861">
        <f t="shared" si="224"/>
        <v>0</v>
      </c>
      <c r="K351" s="1862">
        <f t="shared" si="225"/>
        <v>0</v>
      </c>
      <c r="L351" s="1865"/>
      <c r="M351" s="1866"/>
    </row>
    <row r="352" spans="1:15">
      <c r="A352" s="1806"/>
      <c r="B352" s="1755" t="s">
        <v>404</v>
      </c>
      <c r="C352" s="1755" t="s">
        <v>405</v>
      </c>
      <c r="D352" s="1755"/>
      <c r="E352" s="1864">
        <v>0</v>
      </c>
      <c r="F352" s="1801" t="s">
        <v>37</v>
      </c>
      <c r="G352" s="2289">
        <v>447</v>
      </c>
      <c r="H352" s="2290">
        <f t="shared" si="223"/>
        <v>0</v>
      </c>
      <c r="I352" s="2291">
        <v>212</v>
      </c>
      <c r="J352" s="1861">
        <f t="shared" si="224"/>
        <v>0</v>
      </c>
      <c r="K352" s="1862">
        <f t="shared" si="225"/>
        <v>0</v>
      </c>
      <c r="L352" s="1865"/>
      <c r="M352" s="1866"/>
    </row>
    <row r="353" spans="1:24">
      <c r="A353" s="1806"/>
      <c r="B353" s="1755" t="s">
        <v>406</v>
      </c>
      <c r="C353" s="1867" t="s">
        <v>407</v>
      </c>
      <c r="D353" s="1868"/>
      <c r="E353" s="1864">
        <v>0</v>
      </c>
      <c r="F353" s="1801" t="s">
        <v>37</v>
      </c>
      <c r="G353" s="2291">
        <v>240</v>
      </c>
      <c r="H353" s="2290">
        <f t="shared" si="223"/>
        <v>0</v>
      </c>
      <c r="I353" s="2291">
        <v>80</v>
      </c>
      <c r="J353" s="1861">
        <f t="shared" si="224"/>
        <v>0</v>
      </c>
      <c r="K353" s="1862">
        <f t="shared" si="225"/>
        <v>0</v>
      </c>
      <c r="L353" s="1865"/>
      <c r="M353" s="1866"/>
    </row>
    <row r="354" spans="1:24">
      <c r="A354" s="1806"/>
      <c r="B354" s="1755" t="s">
        <v>408</v>
      </c>
      <c r="C354" s="1867" t="s">
        <v>409</v>
      </c>
      <c r="D354" s="1868"/>
      <c r="E354" s="1864">
        <v>0</v>
      </c>
      <c r="F354" s="1801" t="s">
        <v>37</v>
      </c>
      <c r="G354" s="2291">
        <v>230</v>
      </c>
      <c r="H354" s="2290">
        <f t="shared" si="223"/>
        <v>0</v>
      </c>
      <c r="I354" s="2291">
        <v>50</v>
      </c>
      <c r="J354" s="1861">
        <f t="shared" si="224"/>
        <v>0</v>
      </c>
      <c r="K354" s="1862">
        <f t="shared" si="225"/>
        <v>0</v>
      </c>
      <c r="L354" s="1865"/>
      <c r="M354" s="1866"/>
    </row>
    <row r="355" spans="1:24">
      <c r="A355" s="1806"/>
      <c r="B355" s="1755" t="s">
        <v>410</v>
      </c>
      <c r="C355" s="1867" t="s">
        <v>411</v>
      </c>
      <c r="D355" s="1868"/>
      <c r="E355" s="1864">
        <v>157</v>
      </c>
      <c r="F355" s="1801" t="s">
        <v>37</v>
      </c>
      <c r="G355" s="2289">
        <v>220</v>
      </c>
      <c r="H355" s="2290">
        <f t="shared" si="223"/>
        <v>34540</v>
      </c>
      <c r="I355" s="2291">
        <v>80</v>
      </c>
      <c r="J355" s="1861">
        <f t="shared" si="224"/>
        <v>12560</v>
      </c>
      <c r="K355" s="1862">
        <f t="shared" si="225"/>
        <v>47100</v>
      </c>
      <c r="L355" s="1865"/>
      <c r="M355" s="1866"/>
    </row>
    <row r="356" spans="1:24">
      <c r="A356" s="1806"/>
      <c r="B356" s="1755" t="s">
        <v>412</v>
      </c>
      <c r="C356" s="1867" t="s">
        <v>413</v>
      </c>
      <c r="D356" s="1868"/>
      <c r="E356" s="1864">
        <v>0</v>
      </c>
      <c r="F356" s="1801" t="s">
        <v>37</v>
      </c>
      <c r="G356" s="2289">
        <v>113</v>
      </c>
      <c r="H356" s="2290">
        <f t="shared" si="223"/>
        <v>0</v>
      </c>
      <c r="I356" s="2291">
        <v>61</v>
      </c>
      <c r="J356" s="1861">
        <f t="shared" si="224"/>
        <v>0</v>
      </c>
      <c r="K356" s="1862">
        <f t="shared" si="225"/>
        <v>0</v>
      </c>
      <c r="L356" s="1865"/>
      <c r="M356" s="1866"/>
    </row>
    <row r="357" spans="1:24">
      <c r="A357" s="1806"/>
      <c r="B357" s="1755" t="s">
        <v>414</v>
      </c>
      <c r="C357" s="1867" t="s">
        <v>415</v>
      </c>
      <c r="D357" s="1868"/>
      <c r="E357" s="1864">
        <v>0</v>
      </c>
      <c r="F357" s="1801" t="s">
        <v>37</v>
      </c>
      <c r="G357" s="2289">
        <v>113</v>
      </c>
      <c r="H357" s="2290">
        <f t="shared" si="223"/>
        <v>0</v>
      </c>
      <c r="I357" s="2291">
        <v>61</v>
      </c>
      <c r="J357" s="1861">
        <f t="shared" si="224"/>
        <v>0</v>
      </c>
      <c r="K357" s="1862">
        <f t="shared" si="225"/>
        <v>0</v>
      </c>
      <c r="L357" s="1865"/>
      <c r="M357" s="1866"/>
    </row>
    <row r="358" spans="1:24">
      <c r="A358" s="1806"/>
      <c r="B358" s="1755" t="s">
        <v>416</v>
      </c>
      <c r="C358" s="1867" t="s">
        <v>417</v>
      </c>
      <c r="D358" s="1868"/>
      <c r="E358" s="1864">
        <v>0</v>
      </c>
      <c r="F358" s="1801" t="s">
        <v>37</v>
      </c>
      <c r="G358" s="2289">
        <v>113</v>
      </c>
      <c r="H358" s="2290">
        <f t="shared" si="223"/>
        <v>0</v>
      </c>
      <c r="I358" s="2291">
        <v>61</v>
      </c>
      <c r="J358" s="1861">
        <f t="shared" si="224"/>
        <v>0</v>
      </c>
      <c r="K358" s="1862">
        <f t="shared" si="225"/>
        <v>0</v>
      </c>
      <c r="L358" s="1865"/>
      <c r="M358" s="1866"/>
    </row>
    <row r="359" spans="1:24">
      <c r="A359" s="1806"/>
      <c r="B359" s="1755" t="s">
        <v>418</v>
      </c>
      <c r="C359" s="1867" t="s">
        <v>419</v>
      </c>
      <c r="D359" s="1859"/>
      <c r="E359" s="1864">
        <v>0</v>
      </c>
      <c r="F359" s="1801" t="s">
        <v>37</v>
      </c>
      <c r="G359" s="2289">
        <v>113</v>
      </c>
      <c r="H359" s="2290">
        <f t="shared" si="223"/>
        <v>0</v>
      </c>
      <c r="I359" s="2291">
        <v>61</v>
      </c>
      <c r="J359" s="1861">
        <f t="shared" si="224"/>
        <v>0</v>
      </c>
      <c r="K359" s="1862">
        <f t="shared" si="225"/>
        <v>0</v>
      </c>
      <c r="L359" s="1865"/>
      <c r="M359" s="1866"/>
    </row>
    <row r="360" spans="1:24">
      <c r="A360" s="1806"/>
      <c r="B360" s="1755" t="s">
        <v>420</v>
      </c>
      <c r="C360" s="1867" t="s">
        <v>421</v>
      </c>
      <c r="D360" s="1859"/>
      <c r="E360" s="1864">
        <v>216</v>
      </c>
      <c r="F360" s="1801" t="s">
        <v>37</v>
      </c>
      <c r="G360" s="2289">
        <v>583</v>
      </c>
      <c r="H360" s="2290">
        <f t="shared" si="223"/>
        <v>125928</v>
      </c>
      <c r="I360" s="2291">
        <v>298</v>
      </c>
      <c r="J360" s="1861">
        <f t="shared" si="224"/>
        <v>64368</v>
      </c>
      <c r="K360" s="1862">
        <f t="shared" si="225"/>
        <v>190296</v>
      </c>
      <c r="L360" s="1865"/>
      <c r="M360" s="1866"/>
    </row>
    <row r="361" spans="1:24">
      <c r="A361" s="1806"/>
      <c r="B361" s="1755" t="s">
        <v>422</v>
      </c>
      <c r="C361" s="1755" t="s">
        <v>423</v>
      </c>
      <c r="D361" s="1859"/>
      <c r="E361" s="1864">
        <v>0</v>
      </c>
      <c r="F361" s="1801" t="s">
        <v>37</v>
      </c>
      <c r="G361" s="2289">
        <v>240</v>
      </c>
      <c r="H361" s="2290">
        <f t="shared" si="223"/>
        <v>0</v>
      </c>
      <c r="I361" s="2291">
        <v>50</v>
      </c>
      <c r="J361" s="1861">
        <f t="shared" si="224"/>
        <v>0</v>
      </c>
      <c r="K361" s="1862">
        <f t="shared" si="225"/>
        <v>0</v>
      </c>
      <c r="L361" s="1865"/>
      <c r="M361" s="1866"/>
    </row>
    <row r="362" spans="1:24">
      <c r="A362" s="1806"/>
      <c r="B362" s="1755"/>
      <c r="C362" s="1755" t="s">
        <v>424</v>
      </c>
      <c r="D362" s="1859"/>
      <c r="E362" s="1864"/>
      <c r="F362" s="1801"/>
      <c r="G362" s="2289"/>
      <c r="H362" s="2290"/>
      <c r="I362" s="2291"/>
      <c r="J362" s="1861"/>
      <c r="K362" s="1862"/>
      <c r="L362" s="1865"/>
      <c r="M362" s="1866"/>
    </row>
    <row r="363" spans="1:24">
      <c r="A363" s="1806"/>
      <c r="B363" s="1887" t="s">
        <v>425</v>
      </c>
      <c r="C363" s="1755" t="s">
        <v>2785</v>
      </c>
      <c r="D363" s="1859"/>
      <c r="E363" s="1864">
        <f>E361</f>
        <v>0</v>
      </c>
      <c r="F363" s="1801" t="s">
        <v>37</v>
      </c>
      <c r="G363" s="2289">
        <v>140</v>
      </c>
      <c r="H363" s="2290">
        <f t="shared" ref="H363:H364" si="226">E363*G363</f>
        <v>0</v>
      </c>
      <c r="I363" s="2291">
        <v>40</v>
      </c>
      <c r="J363" s="1861">
        <f t="shared" ref="J363:J364" si="227">E363*I363</f>
        <v>0</v>
      </c>
      <c r="K363" s="1862">
        <f t="shared" ref="K363:K364" si="228">H363+J363</f>
        <v>0</v>
      </c>
      <c r="L363" s="1865"/>
      <c r="M363" s="1866"/>
    </row>
    <row r="364" spans="1:24">
      <c r="A364" s="2275"/>
      <c r="B364" s="1755" t="s">
        <v>426</v>
      </c>
      <c r="C364" s="1755" t="s">
        <v>427</v>
      </c>
      <c r="D364" s="1859"/>
      <c r="E364" s="1864">
        <v>0</v>
      </c>
      <c r="F364" s="1801" t="s">
        <v>37</v>
      </c>
      <c r="G364" s="2289">
        <v>0</v>
      </c>
      <c r="H364" s="2290">
        <f t="shared" si="226"/>
        <v>0</v>
      </c>
      <c r="I364" s="2291">
        <v>0</v>
      </c>
      <c r="J364" s="1861">
        <f t="shared" si="227"/>
        <v>0</v>
      </c>
      <c r="K364" s="1862">
        <f t="shared" si="228"/>
        <v>0</v>
      </c>
      <c r="L364" s="1865"/>
      <c r="M364" s="1866"/>
      <c r="O364" s="1886"/>
    </row>
    <row r="365" spans="1:24">
      <c r="A365" s="2275"/>
      <c r="B365" s="1755"/>
      <c r="C365" s="1755" t="s">
        <v>428</v>
      </c>
      <c r="D365" s="1859"/>
      <c r="E365" s="1864"/>
      <c r="F365" s="1801"/>
      <c r="G365" s="2289"/>
      <c r="H365" s="2290"/>
      <c r="I365" s="2291"/>
      <c r="J365" s="1861"/>
      <c r="K365" s="1862"/>
      <c r="L365" s="1865"/>
      <c r="M365" s="1866"/>
      <c r="O365" s="1886"/>
    </row>
    <row r="366" spans="1:24">
      <c r="A366" s="2275"/>
      <c r="B366" s="1755"/>
      <c r="C366" s="1755" t="s">
        <v>429</v>
      </c>
      <c r="D366" s="1859"/>
      <c r="E366" s="1864"/>
      <c r="F366" s="1801"/>
      <c r="G366" s="2289"/>
      <c r="H366" s="2290"/>
      <c r="I366" s="2291"/>
      <c r="J366" s="1861"/>
      <c r="K366" s="1862"/>
      <c r="L366" s="1865"/>
      <c r="M366" s="1866"/>
      <c r="O366" s="1886"/>
    </row>
    <row r="367" spans="1:24">
      <c r="A367" s="93"/>
      <c r="B367" s="1888" t="s">
        <v>430</v>
      </c>
      <c r="C367" s="1888" t="s">
        <v>2923</v>
      </c>
      <c r="D367" s="1889"/>
      <c r="E367" s="1890">
        <v>0</v>
      </c>
      <c r="F367" s="1872" t="s">
        <v>37</v>
      </c>
      <c r="G367" s="2294">
        <v>253</v>
      </c>
      <c r="H367" s="2295">
        <f t="shared" ref="H367:H368" si="229">E367*G367</f>
        <v>0</v>
      </c>
      <c r="I367" s="2296">
        <v>50</v>
      </c>
      <c r="J367" s="1876">
        <f t="shared" ref="J367:J368" si="230">E367*I367</f>
        <v>0</v>
      </c>
      <c r="K367" s="1877">
        <f t="shared" ref="K367:K368" si="231">H367+J367</f>
        <v>0</v>
      </c>
      <c r="L367" s="1865"/>
      <c r="M367" s="1866"/>
      <c r="O367" s="1886"/>
    </row>
    <row r="368" spans="1:24" ht="24" customHeight="1">
      <c r="A368" s="2275"/>
      <c r="B368" s="1755" t="s">
        <v>431</v>
      </c>
      <c r="C368" s="1755" t="s">
        <v>432</v>
      </c>
      <c r="D368" s="1859"/>
      <c r="E368" s="1864">
        <v>0</v>
      </c>
      <c r="F368" s="1801" t="s">
        <v>37</v>
      </c>
      <c r="G368" s="2289">
        <v>0</v>
      </c>
      <c r="H368" s="2290">
        <f t="shared" si="229"/>
        <v>0</v>
      </c>
      <c r="I368" s="2291">
        <v>220</v>
      </c>
      <c r="J368" s="1861">
        <f t="shared" si="230"/>
        <v>0</v>
      </c>
      <c r="K368" s="1862">
        <f t="shared" si="231"/>
        <v>0</v>
      </c>
      <c r="L368" s="1858"/>
      <c r="M368" s="1809"/>
      <c r="N368" s="1837"/>
      <c r="O368" s="1886"/>
      <c r="P368" s="1837"/>
      <c r="Q368" s="1837"/>
      <c r="R368" s="1837"/>
      <c r="S368" s="1837"/>
      <c r="T368" s="1837"/>
      <c r="U368" s="1837"/>
      <c r="V368" s="1837"/>
      <c r="W368" s="1837"/>
      <c r="X368" s="1837"/>
    </row>
    <row r="369" spans="1:24" ht="24" customHeight="1">
      <c r="A369" s="2275"/>
      <c r="B369" s="1755"/>
      <c r="C369" s="1755" t="s">
        <v>433</v>
      </c>
      <c r="D369" s="1891"/>
      <c r="E369" s="1864"/>
      <c r="F369" s="1801"/>
      <c r="G369" s="2289"/>
      <c r="H369" s="2290"/>
      <c r="I369" s="2291"/>
      <c r="J369" s="1861"/>
      <c r="K369" s="1862"/>
      <c r="L369" s="1858"/>
      <c r="M369" s="1809"/>
      <c r="N369" s="1837"/>
      <c r="O369" s="1886"/>
      <c r="P369" s="1837"/>
      <c r="Q369" s="1837"/>
      <c r="R369" s="1837"/>
      <c r="S369" s="1837"/>
      <c r="T369" s="1837"/>
      <c r="U369" s="1837"/>
      <c r="V369" s="1837"/>
      <c r="W369" s="1837"/>
      <c r="X369" s="1837"/>
    </row>
    <row r="370" spans="1:24">
      <c r="A370" s="1806"/>
      <c r="B370" s="1755" t="s">
        <v>434</v>
      </c>
      <c r="C370" s="1755" t="s">
        <v>435</v>
      </c>
      <c r="D370" s="1891"/>
      <c r="E370" s="1864">
        <v>0</v>
      </c>
      <c r="F370" s="1801" t="s">
        <v>37</v>
      </c>
      <c r="G370" s="1892">
        <v>398</v>
      </c>
      <c r="H370" s="2290">
        <f t="shared" ref="H370" si="232">E370*G370</f>
        <v>0</v>
      </c>
      <c r="I370" s="1968">
        <v>154</v>
      </c>
      <c r="J370" s="1861">
        <f t="shared" ref="J370" si="233">E370*I370</f>
        <v>0</v>
      </c>
      <c r="K370" s="1862">
        <f t="shared" ref="K370" si="234">H370+J370</f>
        <v>0</v>
      </c>
      <c r="L370" s="1864"/>
      <c r="M370" s="1894"/>
    </row>
    <row r="371" spans="1:24">
      <c r="A371" s="1806"/>
      <c r="B371" s="1755"/>
      <c r="C371" s="1895" t="s">
        <v>436</v>
      </c>
      <c r="D371" s="1891"/>
      <c r="E371" s="1864"/>
      <c r="F371" s="1801"/>
      <c r="G371" s="2289"/>
      <c r="H371" s="2290"/>
      <c r="I371" s="2291"/>
      <c r="J371" s="1861"/>
      <c r="K371" s="1862"/>
      <c r="L371" s="1865"/>
      <c r="M371" s="1866"/>
    </row>
    <row r="372" spans="1:24" s="1900" customFormat="1">
      <c r="A372" s="1896"/>
      <c r="B372" s="1895" t="s">
        <v>437</v>
      </c>
      <c r="C372" s="1895"/>
      <c r="D372" s="1895"/>
      <c r="E372" s="1897"/>
      <c r="F372" s="1806"/>
      <c r="G372" s="1789"/>
      <c r="H372" s="2290"/>
      <c r="I372" s="2083"/>
      <c r="J372" s="1861"/>
      <c r="K372" s="1862"/>
      <c r="L372" s="1899"/>
      <c r="M372" s="1737"/>
    </row>
    <row r="373" spans="1:24">
      <c r="A373" s="1901"/>
      <c r="B373" s="1902" t="s">
        <v>2924</v>
      </c>
      <c r="C373" s="2228" t="s">
        <v>446</v>
      </c>
      <c r="D373" s="2229"/>
      <c r="E373" s="1897">
        <v>209</v>
      </c>
      <c r="F373" s="1806" t="s">
        <v>438</v>
      </c>
      <c r="G373" s="60">
        <v>200</v>
      </c>
      <c r="H373" s="2295">
        <f t="shared" ref="H373:H375" si="235">E373*G373</f>
        <v>41800</v>
      </c>
      <c r="I373" s="673">
        <v>45</v>
      </c>
      <c r="J373" s="1876">
        <f t="shared" ref="J373:J375" si="236">E373*I373</f>
        <v>9405</v>
      </c>
      <c r="K373" s="1877">
        <f t="shared" ref="K373:K375" si="237">H373+J373</f>
        <v>51205</v>
      </c>
      <c r="L373" s="119"/>
      <c r="M373" s="62" t="s">
        <v>2925</v>
      </c>
    </row>
    <row r="374" spans="1:24">
      <c r="A374" s="1901"/>
      <c r="B374" s="1902" t="s">
        <v>2924</v>
      </c>
      <c r="C374" s="2228" t="s">
        <v>439</v>
      </c>
      <c r="D374" s="2229"/>
      <c r="E374" s="1897">
        <v>431</v>
      </c>
      <c r="F374" s="1806" t="s">
        <v>438</v>
      </c>
      <c r="G374" s="60">
        <v>19</v>
      </c>
      <c r="H374" s="2295">
        <f t="shared" si="235"/>
        <v>8189</v>
      </c>
      <c r="I374" s="673">
        <v>20</v>
      </c>
      <c r="J374" s="1876">
        <f t="shared" si="236"/>
        <v>8620</v>
      </c>
      <c r="K374" s="1877">
        <f t="shared" si="237"/>
        <v>16809</v>
      </c>
      <c r="L374" s="119"/>
      <c r="M374" s="62" t="s">
        <v>2925</v>
      </c>
    </row>
    <row r="375" spans="1:24">
      <c r="A375" s="1901"/>
      <c r="B375" s="2230" t="s">
        <v>425</v>
      </c>
      <c r="C375" s="2231" t="s">
        <v>440</v>
      </c>
      <c r="D375" s="2229"/>
      <c r="E375" s="1897">
        <v>0</v>
      </c>
      <c r="F375" s="1806" t="s">
        <v>438</v>
      </c>
      <c r="G375" s="1789">
        <v>0</v>
      </c>
      <c r="H375" s="2290">
        <f t="shared" si="235"/>
        <v>0</v>
      </c>
      <c r="I375" s="2083">
        <v>0</v>
      </c>
      <c r="J375" s="1861">
        <f t="shared" si="236"/>
        <v>0</v>
      </c>
      <c r="K375" s="1862">
        <f t="shared" si="237"/>
        <v>0</v>
      </c>
      <c r="L375" s="1899"/>
      <c r="M375" s="1797">
        <f>SUM(K329:K375)</f>
        <v>2127910</v>
      </c>
    </row>
    <row r="376" spans="1:24" ht="24" customHeight="1">
      <c r="A376" s="2232" t="s">
        <v>457</v>
      </c>
      <c r="B376" s="1908" t="s">
        <v>458</v>
      </c>
      <c r="C376" s="2234"/>
      <c r="D376" s="1891"/>
      <c r="E376" s="1984"/>
      <c r="F376" s="2275"/>
      <c r="G376" s="1924"/>
      <c r="H376" s="2212"/>
      <c r="I376" s="2217"/>
      <c r="J376" s="2214"/>
      <c r="K376" s="2215"/>
      <c r="L376" s="1918"/>
      <c r="P376" s="1837"/>
      <c r="Q376" s="1837"/>
      <c r="R376" s="1837"/>
      <c r="S376" s="1837"/>
      <c r="T376" s="1837"/>
      <c r="U376" s="1837"/>
      <c r="V376" s="1837"/>
      <c r="W376" s="1837"/>
      <c r="X376" s="1837"/>
    </row>
    <row r="377" spans="1:24">
      <c r="A377" s="1806"/>
      <c r="B377" s="1783"/>
      <c r="C377" s="1755" t="s">
        <v>2955</v>
      </c>
      <c r="D377" s="1859"/>
      <c r="E377" s="1860">
        <f>E379+E380+E382+E384+E386+E388+E390+E392+E393+E395+E398+E400+E401+E406+E414</f>
        <v>1199</v>
      </c>
      <c r="F377" s="1801" t="s">
        <v>37</v>
      </c>
      <c r="G377" s="2289">
        <v>113</v>
      </c>
      <c r="H377" s="2290">
        <f>E377*G377</f>
        <v>135487</v>
      </c>
      <c r="I377" s="2291">
        <v>61</v>
      </c>
      <c r="J377" s="1861">
        <f t="shared" ref="J377:J380" si="238">E377*I377</f>
        <v>73139</v>
      </c>
      <c r="K377" s="1862">
        <f t="shared" ref="K377:K380" si="239">H377+J377</f>
        <v>208626</v>
      </c>
      <c r="L377" s="2292"/>
      <c r="M377" s="2293"/>
      <c r="N377" s="1797">
        <f>SUM(E378:E417)</f>
        <v>5096</v>
      </c>
    </row>
    <row r="378" spans="1:24">
      <c r="A378" s="1806"/>
      <c r="B378" s="1755" t="s">
        <v>385</v>
      </c>
      <c r="C378" s="1755" t="s">
        <v>386</v>
      </c>
      <c r="D378" s="1859"/>
      <c r="E378" s="1860">
        <v>3897</v>
      </c>
      <c r="F378" s="1801" t="s">
        <v>37</v>
      </c>
      <c r="G378" s="2289">
        <v>113</v>
      </c>
      <c r="H378" s="2290">
        <f t="shared" ref="H378:H380" si="240">E378*G378</f>
        <v>440361</v>
      </c>
      <c r="I378" s="2291">
        <v>61</v>
      </c>
      <c r="J378" s="1861">
        <f t="shared" si="238"/>
        <v>237717</v>
      </c>
      <c r="K378" s="1862">
        <f t="shared" si="239"/>
        <v>678078</v>
      </c>
      <c r="L378" s="2292"/>
      <c r="M378" s="2293"/>
      <c r="N378" s="1797"/>
    </row>
    <row r="379" spans="1:24">
      <c r="A379" s="1806"/>
      <c r="B379" s="1755" t="s">
        <v>387</v>
      </c>
      <c r="C379" s="1755" t="s">
        <v>388</v>
      </c>
      <c r="D379" s="1755"/>
      <c r="E379" s="1864">
        <v>0</v>
      </c>
      <c r="F379" s="1801" t="s">
        <v>37</v>
      </c>
      <c r="G379" s="2289">
        <v>564</v>
      </c>
      <c r="H379" s="2290">
        <f t="shared" si="240"/>
        <v>0</v>
      </c>
      <c r="I379" s="2291">
        <v>283</v>
      </c>
      <c r="J379" s="1861">
        <f t="shared" si="238"/>
        <v>0</v>
      </c>
      <c r="K379" s="1862">
        <f t="shared" si="239"/>
        <v>0</v>
      </c>
      <c r="L379" s="1865"/>
      <c r="M379" s="1866"/>
    </row>
    <row r="380" spans="1:24">
      <c r="A380" s="1806"/>
      <c r="B380" s="1755" t="s">
        <v>389</v>
      </c>
      <c r="C380" s="1867" t="s">
        <v>390</v>
      </c>
      <c r="D380" s="1868"/>
      <c r="E380" s="1864">
        <v>7</v>
      </c>
      <c r="F380" s="1801" t="s">
        <v>37</v>
      </c>
      <c r="G380" s="2289">
        <v>295</v>
      </c>
      <c r="H380" s="2290">
        <f t="shared" si="240"/>
        <v>2065</v>
      </c>
      <c r="I380" s="2291">
        <v>184</v>
      </c>
      <c r="J380" s="1861">
        <f t="shared" si="238"/>
        <v>1288</v>
      </c>
      <c r="K380" s="1862">
        <f t="shared" si="239"/>
        <v>3353</v>
      </c>
      <c r="L380" s="1865"/>
      <c r="M380" s="1866"/>
    </row>
    <row r="381" spans="1:24">
      <c r="A381" s="1806"/>
      <c r="B381" s="1755"/>
      <c r="C381" s="1867" t="s">
        <v>2778</v>
      </c>
      <c r="D381" s="1868"/>
      <c r="E381" s="1864"/>
      <c r="F381" s="1801"/>
      <c r="G381" s="2289"/>
      <c r="H381" s="2290"/>
      <c r="I381" s="2291"/>
      <c r="J381" s="1861"/>
      <c r="K381" s="1862"/>
      <c r="L381" s="1865"/>
      <c r="M381" s="1866"/>
    </row>
    <row r="382" spans="1:24">
      <c r="A382" s="1806"/>
      <c r="B382" s="1755" t="s">
        <v>391</v>
      </c>
      <c r="C382" s="1867" t="s">
        <v>443</v>
      </c>
      <c r="D382" s="1868"/>
      <c r="E382" s="1864">
        <v>0</v>
      </c>
      <c r="F382" s="1801" t="s">
        <v>37</v>
      </c>
      <c r="G382" s="2289">
        <v>297</v>
      </c>
      <c r="H382" s="2290">
        <f t="shared" ref="H382" si="241">E382*G382</f>
        <v>0</v>
      </c>
      <c r="I382" s="2291">
        <v>204</v>
      </c>
      <c r="J382" s="1861">
        <f t="shared" ref="J382" si="242">E382*I382</f>
        <v>0</v>
      </c>
      <c r="K382" s="1862">
        <f t="shared" ref="K382" si="243">H382+J382</f>
        <v>0</v>
      </c>
      <c r="L382" s="1865"/>
      <c r="M382" s="1866"/>
    </row>
    <row r="383" spans="1:24">
      <c r="A383" s="1806"/>
      <c r="B383" s="1755"/>
      <c r="C383" s="1867" t="s">
        <v>2786</v>
      </c>
      <c r="D383" s="1868"/>
      <c r="E383" s="1864"/>
      <c r="F383" s="1801"/>
      <c r="G383" s="2289"/>
      <c r="H383" s="2290"/>
      <c r="I383" s="2291"/>
      <c r="J383" s="1861"/>
      <c r="K383" s="1862"/>
      <c r="L383" s="1865"/>
      <c r="M383" s="1866"/>
    </row>
    <row r="384" spans="1:24">
      <c r="A384" s="1806"/>
      <c r="B384" s="1755" t="s">
        <v>392</v>
      </c>
      <c r="C384" s="1867" t="s">
        <v>444</v>
      </c>
      <c r="D384" s="1868"/>
      <c r="E384" s="1864">
        <v>0</v>
      </c>
      <c r="F384" s="1872" t="s">
        <v>37</v>
      </c>
      <c r="G384" s="1873">
        <v>609</v>
      </c>
      <c r="H384" s="1874">
        <f t="shared" ref="H384" si="244">E384*G384</f>
        <v>0</v>
      </c>
      <c r="I384" s="1875">
        <v>222</v>
      </c>
      <c r="J384" s="1876">
        <f t="shared" ref="J384" si="245">E384*I384</f>
        <v>0</v>
      </c>
      <c r="K384" s="1877">
        <f t="shared" ref="K384" si="246">H384+J384</f>
        <v>0</v>
      </c>
      <c r="L384" s="1865"/>
      <c r="M384" s="1866"/>
      <c r="N384" s="1837"/>
      <c r="O384" s="1837"/>
    </row>
    <row r="385" spans="1:15">
      <c r="A385" s="1806"/>
      <c r="B385" s="1755"/>
      <c r="C385" s="1867" t="s">
        <v>394</v>
      </c>
      <c r="D385" s="1868"/>
      <c r="E385" s="1864"/>
      <c r="F385" s="1872"/>
      <c r="G385" s="1873"/>
      <c r="H385" s="1874"/>
      <c r="I385" s="1875"/>
      <c r="J385" s="1876"/>
      <c r="K385" s="1877"/>
      <c r="L385" s="1865"/>
      <c r="M385" s="1866"/>
      <c r="N385" s="1837"/>
      <c r="O385" s="1837"/>
    </row>
    <row r="386" spans="1:15">
      <c r="A386" s="1806"/>
      <c r="B386" s="1755" t="s">
        <v>2916</v>
      </c>
      <c r="C386" s="1867" t="s">
        <v>444</v>
      </c>
      <c r="D386" s="1868"/>
      <c r="E386" s="1864">
        <v>217</v>
      </c>
      <c r="F386" s="64" t="s">
        <v>37</v>
      </c>
      <c r="G386" s="1873">
        <v>399</v>
      </c>
      <c r="H386" s="1874">
        <f t="shared" ref="H386" si="247">E386*G386</f>
        <v>86583</v>
      </c>
      <c r="I386" s="1875">
        <v>222</v>
      </c>
      <c r="J386" s="1882">
        <f t="shared" ref="J386" si="248">E386*I386</f>
        <v>48174</v>
      </c>
      <c r="K386" s="1877">
        <f t="shared" ref="K386" si="249">H386+J386</f>
        <v>134757</v>
      </c>
      <c r="L386" s="1865"/>
      <c r="M386" s="1878"/>
      <c r="N386" s="1879"/>
      <c r="O386" s="1881"/>
    </row>
    <row r="387" spans="1:15">
      <c r="A387" s="1806"/>
      <c r="B387" s="1755"/>
      <c r="C387" s="1867" t="s">
        <v>394</v>
      </c>
      <c r="D387" s="1868"/>
      <c r="E387" s="1864"/>
      <c r="F387" s="64"/>
      <c r="G387" s="1873"/>
      <c r="H387" s="1874"/>
      <c r="I387" s="1875"/>
      <c r="J387" s="1882"/>
      <c r="K387" s="1877"/>
      <c r="L387" s="1865"/>
      <c r="M387" s="1878"/>
      <c r="N387" s="1879"/>
      <c r="O387" s="1881"/>
    </row>
    <row r="388" spans="1:15">
      <c r="A388" s="1806"/>
      <c r="B388" s="1755" t="s">
        <v>393</v>
      </c>
      <c r="C388" s="1867" t="s">
        <v>445</v>
      </c>
      <c r="D388" s="1868"/>
      <c r="E388" s="1864">
        <v>0</v>
      </c>
      <c r="F388" s="1872" t="s">
        <v>37</v>
      </c>
      <c r="G388" s="1873">
        <v>617</v>
      </c>
      <c r="H388" s="1874">
        <f t="shared" ref="H388" si="250">E388*G388</f>
        <v>0</v>
      </c>
      <c r="I388" s="1875">
        <v>242</v>
      </c>
      <c r="J388" s="1876">
        <f t="shared" ref="J388" si="251">E388*I388</f>
        <v>0</v>
      </c>
      <c r="K388" s="1877">
        <f t="shared" ref="K388" si="252">H388+J388</f>
        <v>0</v>
      </c>
      <c r="L388" s="1865"/>
      <c r="M388" s="1866"/>
      <c r="N388" s="1837"/>
      <c r="O388" s="1837"/>
    </row>
    <row r="389" spans="1:15">
      <c r="A389" s="1806"/>
      <c r="B389" s="1755"/>
      <c r="C389" s="1867" t="s">
        <v>394</v>
      </c>
      <c r="D389" s="1755"/>
      <c r="E389" s="1864"/>
      <c r="F389" s="1872"/>
      <c r="G389" s="1873"/>
      <c r="H389" s="1874"/>
      <c r="I389" s="1875"/>
      <c r="J389" s="1876"/>
      <c r="K389" s="1877"/>
      <c r="L389" s="1865"/>
      <c r="M389" s="1866"/>
      <c r="N389" s="1837"/>
      <c r="O389" s="1837"/>
    </row>
    <row r="390" spans="1:15">
      <c r="A390" s="1806"/>
      <c r="B390" s="1755" t="s">
        <v>2917</v>
      </c>
      <c r="C390" s="1867" t="s">
        <v>445</v>
      </c>
      <c r="D390" s="1868"/>
      <c r="E390" s="1864">
        <v>253</v>
      </c>
      <c r="F390" s="64" t="s">
        <v>37</v>
      </c>
      <c r="G390" s="1873">
        <v>399</v>
      </c>
      <c r="H390" s="1874">
        <f t="shared" ref="H390" si="253">E390*G390</f>
        <v>100947</v>
      </c>
      <c r="I390" s="1875">
        <v>242</v>
      </c>
      <c r="J390" s="1882">
        <f t="shared" ref="J390" si="254">E390*I390</f>
        <v>61226</v>
      </c>
      <c r="K390" s="1877">
        <f t="shared" ref="K390" si="255">H390+J390</f>
        <v>162173</v>
      </c>
      <c r="L390" s="1865"/>
      <c r="M390" s="1878"/>
      <c r="N390" s="1879"/>
      <c r="O390" s="1883"/>
    </row>
    <row r="391" spans="1:15">
      <c r="A391" s="1806"/>
      <c r="B391" s="1755"/>
      <c r="C391" s="1755" t="s">
        <v>394</v>
      </c>
      <c r="D391" s="1755"/>
      <c r="E391" s="1864"/>
      <c r="F391" s="1801"/>
      <c r="G391" s="2289"/>
      <c r="H391" s="2290"/>
      <c r="I391" s="2291"/>
      <c r="J391" s="1861"/>
      <c r="K391" s="1862"/>
      <c r="L391" s="1865"/>
      <c r="M391" s="1878"/>
      <c r="N391" s="1879"/>
      <c r="O391" s="1881">
        <f>O383*O390</f>
        <v>0</v>
      </c>
    </row>
    <row r="392" spans="1:15">
      <c r="A392" s="1806"/>
      <c r="B392" s="1755" t="s">
        <v>395</v>
      </c>
      <c r="C392" s="1755" t="s">
        <v>396</v>
      </c>
      <c r="D392" s="1755"/>
      <c r="E392" s="1864">
        <v>501</v>
      </c>
      <c r="F392" s="1801" t="s">
        <v>37</v>
      </c>
      <c r="G392" s="2289">
        <v>420</v>
      </c>
      <c r="H392" s="2290">
        <f t="shared" ref="H392:H393" si="256">E392*G392</f>
        <v>210420</v>
      </c>
      <c r="I392" s="2291">
        <v>100</v>
      </c>
      <c r="J392" s="1861">
        <f t="shared" ref="J392:J393" si="257">E392*I392</f>
        <v>50100</v>
      </c>
      <c r="K392" s="1862">
        <f t="shared" ref="K392:K393" si="258">H392+J392</f>
        <v>260520</v>
      </c>
      <c r="L392" s="1865"/>
      <c r="M392" s="1866"/>
      <c r="N392" s="1797"/>
    </row>
    <row r="393" spans="1:15">
      <c r="A393" s="1806"/>
      <c r="B393" s="1755" t="s">
        <v>397</v>
      </c>
      <c r="C393" s="1867" t="s">
        <v>398</v>
      </c>
      <c r="D393" s="1868"/>
      <c r="E393" s="1864">
        <v>0</v>
      </c>
      <c r="F393" s="1801" t="s">
        <v>37</v>
      </c>
      <c r="G393" s="2289">
        <v>564</v>
      </c>
      <c r="H393" s="2290">
        <f t="shared" si="256"/>
        <v>0</v>
      </c>
      <c r="I393" s="2291">
        <v>283</v>
      </c>
      <c r="J393" s="1861">
        <f t="shared" si="257"/>
        <v>0</v>
      </c>
      <c r="K393" s="1862">
        <f t="shared" si="258"/>
        <v>0</v>
      </c>
      <c r="L393" s="1865"/>
      <c r="M393" s="1866"/>
    </row>
    <row r="394" spans="1:15">
      <c r="A394" s="1806"/>
      <c r="B394" s="1755"/>
      <c r="C394" s="1755" t="s">
        <v>2783</v>
      </c>
      <c r="D394" s="1755"/>
      <c r="E394" s="1864"/>
      <c r="F394" s="1885"/>
      <c r="G394" s="2289"/>
      <c r="H394" s="2290"/>
      <c r="I394" s="2291"/>
      <c r="J394" s="1861"/>
      <c r="K394" s="1862"/>
      <c r="L394" s="1865"/>
      <c r="M394" s="1866"/>
    </row>
    <row r="395" spans="1:15">
      <c r="A395" s="1806"/>
      <c r="B395" s="1755" t="s">
        <v>2784</v>
      </c>
      <c r="C395" s="1755" t="s">
        <v>399</v>
      </c>
      <c r="D395" s="1755"/>
      <c r="E395" s="1864">
        <v>0</v>
      </c>
      <c r="F395" s="1801" t="s">
        <v>37</v>
      </c>
      <c r="G395" s="2289">
        <v>3570</v>
      </c>
      <c r="H395" s="2290">
        <f t="shared" ref="H395:H407" si="259">E395*G395</f>
        <v>0</v>
      </c>
      <c r="I395" s="2291">
        <v>220</v>
      </c>
      <c r="J395" s="1861">
        <f t="shared" ref="J395:J407" si="260">E395*I395</f>
        <v>0</v>
      </c>
      <c r="K395" s="1862">
        <f t="shared" ref="K395:K407" si="261">H395+J395</f>
        <v>0</v>
      </c>
      <c r="L395" s="1865"/>
      <c r="M395" s="1866"/>
    </row>
    <row r="396" spans="1:15">
      <c r="A396" s="1806"/>
      <c r="B396" s="1755" t="s">
        <v>400</v>
      </c>
      <c r="C396" s="1755" t="s">
        <v>401</v>
      </c>
      <c r="D396" s="1755"/>
      <c r="E396" s="1864">
        <v>0</v>
      </c>
      <c r="F396" s="1801" t="s">
        <v>37</v>
      </c>
      <c r="G396" s="2289">
        <f>ROUNDUP(2227.6*0.05+5*2.95,0)</f>
        <v>127</v>
      </c>
      <c r="H396" s="2290">
        <f t="shared" si="259"/>
        <v>0</v>
      </c>
      <c r="I396" s="2291">
        <v>82</v>
      </c>
      <c r="J396" s="1861">
        <f t="shared" si="260"/>
        <v>0</v>
      </c>
      <c r="K396" s="1862">
        <f t="shared" si="261"/>
        <v>0</v>
      </c>
      <c r="L396" s="1865"/>
      <c r="M396" s="1866"/>
    </row>
    <row r="397" spans="1:15">
      <c r="A397" s="1806"/>
      <c r="B397" s="1755" t="s">
        <v>402</v>
      </c>
      <c r="C397" s="1867" t="s">
        <v>403</v>
      </c>
      <c r="D397" s="1868"/>
      <c r="E397" s="1864">
        <v>0</v>
      </c>
      <c r="F397" s="1801" t="s">
        <v>37</v>
      </c>
      <c r="G397" s="2291">
        <v>120</v>
      </c>
      <c r="H397" s="2290">
        <f t="shared" si="259"/>
        <v>0</v>
      </c>
      <c r="I397" s="2291">
        <v>61</v>
      </c>
      <c r="J397" s="1861">
        <f t="shared" si="260"/>
        <v>0</v>
      </c>
      <c r="K397" s="1862">
        <f t="shared" si="261"/>
        <v>0</v>
      </c>
      <c r="L397" s="1865"/>
      <c r="M397" s="1866"/>
    </row>
    <row r="398" spans="1:15">
      <c r="A398" s="1806"/>
      <c r="B398" s="1755" t="s">
        <v>404</v>
      </c>
      <c r="C398" s="1755" t="s">
        <v>405</v>
      </c>
      <c r="D398" s="1755"/>
      <c r="E398" s="1864">
        <v>0</v>
      </c>
      <c r="F398" s="1801" t="s">
        <v>37</v>
      </c>
      <c r="G398" s="2289">
        <v>447</v>
      </c>
      <c r="H398" s="2290">
        <f t="shared" si="259"/>
        <v>0</v>
      </c>
      <c r="I398" s="2291">
        <v>212</v>
      </c>
      <c r="J398" s="1861">
        <f t="shared" si="260"/>
        <v>0</v>
      </c>
      <c r="K398" s="1862">
        <f t="shared" si="261"/>
        <v>0</v>
      </c>
      <c r="L398" s="1865"/>
      <c r="M398" s="1866"/>
    </row>
    <row r="399" spans="1:15">
      <c r="A399" s="1806"/>
      <c r="B399" s="1755" t="s">
        <v>406</v>
      </c>
      <c r="C399" s="1867" t="s">
        <v>407</v>
      </c>
      <c r="D399" s="1868"/>
      <c r="E399" s="1864">
        <v>0</v>
      </c>
      <c r="F399" s="1801" t="s">
        <v>37</v>
      </c>
      <c r="G399" s="2291">
        <v>240</v>
      </c>
      <c r="H399" s="2290">
        <f t="shared" si="259"/>
        <v>0</v>
      </c>
      <c r="I399" s="2291">
        <v>80</v>
      </c>
      <c r="J399" s="1861">
        <f t="shared" si="260"/>
        <v>0</v>
      </c>
      <c r="K399" s="1862">
        <f t="shared" si="261"/>
        <v>0</v>
      </c>
      <c r="L399" s="1865"/>
      <c r="M399" s="1866"/>
    </row>
    <row r="400" spans="1:15">
      <c r="A400" s="1806"/>
      <c r="B400" s="1755" t="s">
        <v>408</v>
      </c>
      <c r="C400" s="1867" t="s">
        <v>409</v>
      </c>
      <c r="D400" s="1868"/>
      <c r="E400" s="1864">
        <v>0</v>
      </c>
      <c r="F400" s="1801" t="s">
        <v>37</v>
      </c>
      <c r="G400" s="2291">
        <v>230</v>
      </c>
      <c r="H400" s="2290">
        <f t="shared" si="259"/>
        <v>0</v>
      </c>
      <c r="I400" s="2291">
        <v>50</v>
      </c>
      <c r="J400" s="1861">
        <f t="shared" si="260"/>
        <v>0</v>
      </c>
      <c r="K400" s="1862">
        <f t="shared" si="261"/>
        <v>0</v>
      </c>
      <c r="L400" s="1865"/>
      <c r="M400" s="1866"/>
    </row>
    <row r="401" spans="1:24">
      <c r="A401" s="1806"/>
      <c r="B401" s="1755" t="s">
        <v>410</v>
      </c>
      <c r="C401" s="1867" t="s">
        <v>411</v>
      </c>
      <c r="D401" s="1868"/>
      <c r="E401" s="1864">
        <v>31</v>
      </c>
      <c r="F401" s="1801" t="s">
        <v>37</v>
      </c>
      <c r="G401" s="2289">
        <v>220</v>
      </c>
      <c r="H401" s="2290">
        <f t="shared" si="259"/>
        <v>6820</v>
      </c>
      <c r="I401" s="2291">
        <v>80</v>
      </c>
      <c r="J401" s="1861">
        <f t="shared" si="260"/>
        <v>2480</v>
      </c>
      <c r="K401" s="1862">
        <f t="shared" si="261"/>
        <v>9300</v>
      </c>
      <c r="L401" s="1865"/>
      <c r="M401" s="1866"/>
    </row>
    <row r="402" spans="1:24">
      <c r="A402" s="1806"/>
      <c r="B402" s="1755" t="s">
        <v>412</v>
      </c>
      <c r="C402" s="1867" t="s">
        <v>413</v>
      </c>
      <c r="D402" s="1868"/>
      <c r="E402" s="1864">
        <v>0</v>
      </c>
      <c r="F402" s="1801" t="s">
        <v>37</v>
      </c>
      <c r="G402" s="2289">
        <v>113</v>
      </c>
      <c r="H402" s="2290">
        <f t="shared" si="259"/>
        <v>0</v>
      </c>
      <c r="I402" s="2291">
        <v>61</v>
      </c>
      <c r="J402" s="1861">
        <f t="shared" si="260"/>
        <v>0</v>
      </c>
      <c r="K402" s="1862">
        <f t="shared" si="261"/>
        <v>0</v>
      </c>
      <c r="L402" s="1865"/>
      <c r="M402" s="1866"/>
    </row>
    <row r="403" spans="1:24">
      <c r="A403" s="1806"/>
      <c r="B403" s="1755" t="s">
        <v>414</v>
      </c>
      <c r="C403" s="1867" t="s">
        <v>415</v>
      </c>
      <c r="D403" s="1868"/>
      <c r="E403" s="1864">
        <v>0</v>
      </c>
      <c r="F403" s="1801" t="s">
        <v>37</v>
      </c>
      <c r="G403" s="2289">
        <v>113</v>
      </c>
      <c r="H403" s="2290">
        <f t="shared" si="259"/>
        <v>0</v>
      </c>
      <c r="I403" s="2291">
        <v>61</v>
      </c>
      <c r="J403" s="1861">
        <f t="shared" si="260"/>
        <v>0</v>
      </c>
      <c r="K403" s="1862">
        <f t="shared" si="261"/>
        <v>0</v>
      </c>
      <c r="L403" s="1865"/>
      <c r="M403" s="1866"/>
    </row>
    <row r="404" spans="1:24">
      <c r="A404" s="1806"/>
      <c r="B404" s="1755" t="s">
        <v>416</v>
      </c>
      <c r="C404" s="1867" t="s">
        <v>417</v>
      </c>
      <c r="D404" s="1868"/>
      <c r="E404" s="1864">
        <v>0</v>
      </c>
      <c r="F404" s="1801" t="s">
        <v>37</v>
      </c>
      <c r="G404" s="2289">
        <v>113</v>
      </c>
      <c r="H404" s="2290">
        <f t="shared" si="259"/>
        <v>0</v>
      </c>
      <c r="I404" s="2291">
        <v>61</v>
      </c>
      <c r="J404" s="1861">
        <f t="shared" si="260"/>
        <v>0</v>
      </c>
      <c r="K404" s="1862">
        <f t="shared" si="261"/>
        <v>0</v>
      </c>
      <c r="L404" s="1865"/>
      <c r="M404" s="1866"/>
    </row>
    <row r="405" spans="1:24">
      <c r="A405" s="1806"/>
      <c r="B405" s="1755" t="s">
        <v>418</v>
      </c>
      <c r="C405" s="1867" t="s">
        <v>419</v>
      </c>
      <c r="D405" s="1859"/>
      <c r="E405" s="1864">
        <v>0</v>
      </c>
      <c r="F405" s="1801" t="s">
        <v>37</v>
      </c>
      <c r="G405" s="2289">
        <v>113</v>
      </c>
      <c r="H405" s="2290">
        <f t="shared" si="259"/>
        <v>0</v>
      </c>
      <c r="I405" s="2291">
        <v>61</v>
      </c>
      <c r="J405" s="1861">
        <f t="shared" si="260"/>
        <v>0</v>
      </c>
      <c r="K405" s="1862">
        <f t="shared" si="261"/>
        <v>0</v>
      </c>
      <c r="L405" s="1865"/>
      <c r="M405" s="1866"/>
    </row>
    <row r="406" spans="1:24">
      <c r="A406" s="1806"/>
      <c r="B406" s="1755" t="s">
        <v>420</v>
      </c>
      <c r="C406" s="1867" t="s">
        <v>421</v>
      </c>
      <c r="D406" s="1859"/>
      <c r="E406" s="1864">
        <v>190</v>
      </c>
      <c r="F406" s="1801" t="s">
        <v>37</v>
      </c>
      <c r="G406" s="2289">
        <v>583</v>
      </c>
      <c r="H406" s="2290">
        <f t="shared" si="259"/>
        <v>110770</v>
      </c>
      <c r="I406" s="2291">
        <v>298</v>
      </c>
      <c r="J406" s="1861">
        <f t="shared" si="260"/>
        <v>56620</v>
      </c>
      <c r="K406" s="1862">
        <f t="shared" si="261"/>
        <v>167390</v>
      </c>
      <c r="L406" s="1865"/>
      <c r="M406" s="1866"/>
    </row>
    <row r="407" spans="1:24">
      <c r="A407" s="1806"/>
      <c r="B407" s="1755" t="s">
        <v>422</v>
      </c>
      <c r="C407" s="1755" t="s">
        <v>423</v>
      </c>
      <c r="D407" s="1859"/>
      <c r="E407" s="1864">
        <v>0</v>
      </c>
      <c r="F407" s="1801" t="s">
        <v>37</v>
      </c>
      <c r="G407" s="2289">
        <v>240</v>
      </c>
      <c r="H407" s="2290">
        <f t="shared" si="259"/>
        <v>0</v>
      </c>
      <c r="I407" s="2291">
        <v>50</v>
      </c>
      <c r="J407" s="1861">
        <f t="shared" si="260"/>
        <v>0</v>
      </c>
      <c r="K407" s="1862">
        <f t="shared" si="261"/>
        <v>0</v>
      </c>
      <c r="L407" s="1865"/>
      <c r="M407" s="1866"/>
    </row>
    <row r="408" spans="1:24">
      <c r="A408" s="1806"/>
      <c r="B408" s="1755"/>
      <c r="C408" s="1755" t="s">
        <v>424</v>
      </c>
      <c r="D408" s="1859"/>
      <c r="E408" s="1864"/>
      <c r="F408" s="1801"/>
      <c r="G408" s="2289"/>
      <c r="H408" s="2290"/>
      <c r="I408" s="2291"/>
      <c r="J408" s="1861"/>
      <c r="K408" s="1862"/>
      <c r="L408" s="1865"/>
      <c r="M408" s="1866"/>
    </row>
    <row r="409" spans="1:24">
      <c r="A409" s="1806"/>
      <c r="B409" s="1887" t="s">
        <v>425</v>
      </c>
      <c r="C409" s="1755" t="s">
        <v>2785</v>
      </c>
      <c r="D409" s="1859"/>
      <c r="E409" s="1864">
        <f>E407</f>
        <v>0</v>
      </c>
      <c r="F409" s="1801" t="s">
        <v>37</v>
      </c>
      <c r="G409" s="2289">
        <v>140</v>
      </c>
      <c r="H409" s="2290">
        <f t="shared" ref="H409:H410" si="262">E409*G409</f>
        <v>0</v>
      </c>
      <c r="I409" s="2291">
        <v>40</v>
      </c>
      <c r="J409" s="1861">
        <f t="shared" ref="J409:J410" si="263">E409*I409</f>
        <v>0</v>
      </c>
      <c r="K409" s="1862">
        <f t="shared" ref="K409:K410" si="264">H409+J409</f>
        <v>0</v>
      </c>
      <c r="L409" s="1865"/>
      <c r="M409" s="1866"/>
    </row>
    <row r="410" spans="1:24">
      <c r="A410" s="2275"/>
      <c r="B410" s="1755" t="s">
        <v>426</v>
      </c>
      <c r="C410" s="1755" t="s">
        <v>427</v>
      </c>
      <c r="D410" s="1859"/>
      <c r="E410" s="1864">
        <v>0</v>
      </c>
      <c r="F410" s="1801" t="s">
        <v>37</v>
      </c>
      <c r="G410" s="2289">
        <v>0</v>
      </c>
      <c r="H410" s="2290">
        <f t="shared" si="262"/>
        <v>0</v>
      </c>
      <c r="I410" s="2291">
        <v>0</v>
      </c>
      <c r="J410" s="1861">
        <f t="shared" si="263"/>
        <v>0</v>
      </c>
      <c r="K410" s="1862">
        <f t="shared" si="264"/>
        <v>0</v>
      </c>
      <c r="L410" s="1865"/>
      <c r="M410" s="1866"/>
      <c r="O410" s="1886"/>
    </row>
    <row r="411" spans="1:24">
      <c r="A411" s="2275"/>
      <c r="B411" s="1755"/>
      <c r="C411" s="1755" t="s">
        <v>428</v>
      </c>
      <c r="D411" s="1859"/>
      <c r="E411" s="1864"/>
      <c r="F411" s="1801"/>
      <c r="G411" s="2289"/>
      <c r="H411" s="2290"/>
      <c r="I411" s="2291"/>
      <c r="J411" s="1861"/>
      <c r="K411" s="1862"/>
      <c r="L411" s="1865"/>
      <c r="M411" s="1866"/>
      <c r="O411" s="1886"/>
    </row>
    <row r="412" spans="1:24">
      <c r="A412" s="2275"/>
      <c r="B412" s="1755"/>
      <c r="C412" s="1755" t="s">
        <v>429</v>
      </c>
      <c r="D412" s="1859"/>
      <c r="E412" s="1864"/>
      <c r="F412" s="1801"/>
      <c r="G412" s="2289"/>
      <c r="H412" s="2290"/>
      <c r="I412" s="2291"/>
      <c r="J412" s="1861"/>
      <c r="K412" s="1862"/>
      <c r="L412" s="1865"/>
      <c r="M412" s="1866"/>
      <c r="O412" s="1886"/>
    </row>
    <row r="413" spans="1:24">
      <c r="A413" s="93"/>
      <c r="B413" s="1888" t="s">
        <v>430</v>
      </c>
      <c r="C413" s="1888" t="s">
        <v>2923</v>
      </c>
      <c r="D413" s="1889"/>
      <c r="E413" s="1890">
        <v>0</v>
      </c>
      <c r="F413" s="1872" t="s">
        <v>37</v>
      </c>
      <c r="G413" s="2294">
        <v>253</v>
      </c>
      <c r="H413" s="2295">
        <f t="shared" ref="H413:H414" si="265">E413*G413</f>
        <v>0</v>
      </c>
      <c r="I413" s="2296">
        <v>50</v>
      </c>
      <c r="J413" s="1876">
        <f t="shared" ref="J413:J414" si="266">E413*I413</f>
        <v>0</v>
      </c>
      <c r="K413" s="1877">
        <f t="shared" ref="K413:K414" si="267">H413+J413</f>
        <v>0</v>
      </c>
      <c r="L413" s="1865"/>
      <c r="M413" s="1866"/>
      <c r="O413" s="1886"/>
    </row>
    <row r="414" spans="1:24" ht="24" customHeight="1">
      <c r="A414" s="2275"/>
      <c r="B414" s="1755" t="s">
        <v>431</v>
      </c>
      <c r="C414" s="1755" t="s">
        <v>432</v>
      </c>
      <c r="D414" s="1859"/>
      <c r="E414" s="1864">
        <v>0</v>
      </c>
      <c r="F414" s="1801" t="s">
        <v>37</v>
      </c>
      <c r="G414" s="2289">
        <v>0</v>
      </c>
      <c r="H414" s="2290">
        <f t="shared" si="265"/>
        <v>0</v>
      </c>
      <c r="I414" s="2291">
        <v>220</v>
      </c>
      <c r="J414" s="1861">
        <f t="shared" si="266"/>
        <v>0</v>
      </c>
      <c r="K414" s="1862">
        <f t="shared" si="267"/>
        <v>0</v>
      </c>
      <c r="L414" s="1858"/>
      <c r="M414" s="1809"/>
      <c r="N414" s="1837"/>
      <c r="O414" s="1886"/>
      <c r="P414" s="1837"/>
      <c r="Q414" s="1837"/>
      <c r="R414" s="1837"/>
      <c r="S414" s="1837"/>
      <c r="T414" s="1837"/>
      <c r="U414" s="1837"/>
      <c r="V414" s="1837"/>
      <c r="W414" s="1837"/>
      <c r="X414" s="1837"/>
    </row>
    <row r="415" spans="1:24" ht="24" customHeight="1">
      <c r="A415" s="2275"/>
      <c r="B415" s="1755"/>
      <c r="C415" s="1755" t="s">
        <v>433</v>
      </c>
      <c r="D415" s="1891"/>
      <c r="E415" s="1864"/>
      <c r="F415" s="1801"/>
      <c r="G415" s="2289"/>
      <c r="H415" s="2290"/>
      <c r="I415" s="2291"/>
      <c r="J415" s="1861"/>
      <c r="K415" s="1862"/>
      <c r="L415" s="1858"/>
      <c r="M415" s="1809"/>
      <c r="N415" s="1837"/>
      <c r="O415" s="1886"/>
      <c r="P415" s="1837"/>
      <c r="Q415" s="1837"/>
      <c r="R415" s="1837"/>
      <c r="S415" s="1837"/>
      <c r="T415" s="1837"/>
      <c r="U415" s="1837"/>
      <c r="V415" s="1837"/>
      <c r="W415" s="1837"/>
      <c r="X415" s="1837"/>
    </row>
    <row r="416" spans="1:24">
      <c r="A416" s="1806"/>
      <c r="B416" s="1755" t="s">
        <v>434</v>
      </c>
      <c r="C416" s="1755" t="s">
        <v>435</v>
      </c>
      <c r="D416" s="1891"/>
      <c r="E416" s="1864">
        <v>0</v>
      </c>
      <c r="F416" s="1801" t="s">
        <v>37</v>
      </c>
      <c r="G416" s="1892">
        <v>398</v>
      </c>
      <c r="H416" s="2290">
        <f t="shared" ref="H416" si="268">E416*G416</f>
        <v>0</v>
      </c>
      <c r="I416" s="1968">
        <v>154</v>
      </c>
      <c r="J416" s="1861">
        <f t="shared" ref="J416" si="269">E416*I416</f>
        <v>0</v>
      </c>
      <c r="K416" s="1862">
        <f t="shared" ref="K416" si="270">H416+J416</f>
        <v>0</v>
      </c>
      <c r="L416" s="1864"/>
      <c r="M416" s="1894"/>
    </row>
    <row r="417" spans="1:24">
      <c r="A417" s="1806"/>
      <c r="B417" s="1755"/>
      <c r="C417" s="1895" t="s">
        <v>436</v>
      </c>
      <c r="D417" s="1891"/>
      <c r="E417" s="1864"/>
      <c r="F417" s="1801"/>
      <c r="G417" s="2289"/>
      <c r="H417" s="2290"/>
      <c r="I417" s="2291"/>
      <c r="J417" s="1861"/>
      <c r="K417" s="1862"/>
      <c r="L417" s="1865"/>
      <c r="M417" s="1866"/>
    </row>
    <row r="418" spans="1:24" s="1900" customFormat="1">
      <c r="A418" s="1896"/>
      <c r="B418" s="1895" t="s">
        <v>437</v>
      </c>
      <c r="C418" s="1895"/>
      <c r="D418" s="1895"/>
      <c r="E418" s="1897"/>
      <c r="F418" s="1806"/>
      <c r="G418" s="1789"/>
      <c r="H418" s="2290"/>
      <c r="I418" s="2083"/>
      <c r="J418" s="1861"/>
      <c r="K418" s="1862"/>
      <c r="L418" s="1899"/>
      <c r="M418" s="1737"/>
    </row>
    <row r="419" spans="1:24">
      <c r="A419" s="1901"/>
      <c r="B419" s="1902" t="s">
        <v>2924</v>
      </c>
      <c r="C419" s="2228" t="s">
        <v>446</v>
      </c>
      <c r="D419" s="2229"/>
      <c r="E419" s="1897">
        <v>186</v>
      </c>
      <c r="F419" s="1806" t="s">
        <v>438</v>
      </c>
      <c r="G419" s="60">
        <v>200</v>
      </c>
      <c r="H419" s="2295">
        <f t="shared" ref="H419:H421" si="271">E419*G419</f>
        <v>37200</v>
      </c>
      <c r="I419" s="673">
        <v>45</v>
      </c>
      <c r="J419" s="1876">
        <f t="shared" ref="J419:J421" si="272">E419*I419</f>
        <v>8370</v>
      </c>
      <c r="K419" s="1877">
        <f t="shared" ref="K419:K421" si="273">H419+J419</f>
        <v>45570</v>
      </c>
      <c r="L419" s="119"/>
      <c r="M419" s="62" t="s">
        <v>2925</v>
      </c>
    </row>
    <row r="420" spans="1:24">
      <c r="A420" s="1901"/>
      <c r="B420" s="1902" t="s">
        <v>2924</v>
      </c>
      <c r="C420" s="2228" t="s">
        <v>439</v>
      </c>
      <c r="D420" s="2229"/>
      <c r="E420" s="1897">
        <v>375</v>
      </c>
      <c r="F420" s="1806" t="s">
        <v>438</v>
      </c>
      <c r="G420" s="60">
        <v>19</v>
      </c>
      <c r="H420" s="2295">
        <f t="shared" si="271"/>
        <v>7125</v>
      </c>
      <c r="I420" s="673">
        <v>20</v>
      </c>
      <c r="J420" s="1876">
        <f t="shared" si="272"/>
        <v>7500</v>
      </c>
      <c r="K420" s="1877">
        <f t="shared" si="273"/>
        <v>14625</v>
      </c>
      <c r="L420" s="119"/>
      <c r="M420" s="62" t="s">
        <v>2925</v>
      </c>
    </row>
    <row r="421" spans="1:24">
      <c r="A421" s="1901"/>
      <c r="B421" s="2230" t="s">
        <v>425</v>
      </c>
      <c r="C421" s="2231" t="s">
        <v>440</v>
      </c>
      <c r="D421" s="2229"/>
      <c r="E421" s="1897">
        <v>0</v>
      </c>
      <c r="F421" s="1806" t="s">
        <v>438</v>
      </c>
      <c r="G421" s="1789">
        <v>0</v>
      </c>
      <c r="H421" s="2290">
        <f t="shared" si="271"/>
        <v>0</v>
      </c>
      <c r="I421" s="2083">
        <v>0</v>
      </c>
      <c r="J421" s="1861">
        <f t="shared" si="272"/>
        <v>0</v>
      </c>
      <c r="K421" s="1862">
        <f t="shared" si="273"/>
        <v>0</v>
      </c>
      <c r="L421" s="1899"/>
      <c r="M421" s="1797">
        <f>SUM(K376:K421)</f>
        <v>1684392</v>
      </c>
    </row>
    <row r="422" spans="1:24" ht="24" customHeight="1">
      <c r="A422" s="2232" t="s">
        <v>459</v>
      </c>
      <c r="B422" s="1908" t="s">
        <v>460</v>
      </c>
      <c r="C422" s="2234"/>
      <c r="D422" s="1891"/>
      <c r="E422" s="1897"/>
      <c r="F422" s="2275"/>
      <c r="G422" s="1925"/>
      <c r="H422" s="1777"/>
      <c r="I422" s="1926"/>
      <c r="J422" s="1777"/>
      <c r="K422" s="1778"/>
      <c r="L422" s="1918"/>
      <c r="P422" s="1837"/>
      <c r="Q422" s="1837"/>
      <c r="R422" s="1837"/>
      <c r="S422" s="1837"/>
      <c r="T422" s="1837"/>
      <c r="U422" s="1837"/>
      <c r="V422" s="1837"/>
      <c r="W422" s="1837"/>
      <c r="X422" s="1837"/>
    </row>
    <row r="423" spans="1:24">
      <c r="A423" s="1806"/>
      <c r="B423" s="1783"/>
      <c r="C423" s="1755" t="s">
        <v>2955</v>
      </c>
      <c r="D423" s="1859"/>
      <c r="E423" s="1860">
        <f>E425+E426+E428+E430+E432+E434+E436+E438+E439+E441+E444+E446+E447+E452+E460</f>
        <v>1250</v>
      </c>
      <c r="F423" s="1801" t="s">
        <v>37</v>
      </c>
      <c r="G423" s="2289">
        <v>113</v>
      </c>
      <c r="H423" s="2290">
        <f>E423*G423</f>
        <v>141250</v>
      </c>
      <c r="I423" s="2291">
        <v>61</v>
      </c>
      <c r="J423" s="1861">
        <f t="shared" ref="J423:J426" si="274">E423*I423</f>
        <v>76250</v>
      </c>
      <c r="K423" s="1862">
        <f t="shared" ref="K423:K426" si="275">H423+J423</f>
        <v>217500</v>
      </c>
      <c r="L423" s="2292"/>
      <c r="M423" s="2293"/>
      <c r="N423" s="1797">
        <f>SUM(E424:E463)</f>
        <v>4641</v>
      </c>
    </row>
    <row r="424" spans="1:24">
      <c r="A424" s="1806"/>
      <c r="B424" s="1755" t="s">
        <v>385</v>
      </c>
      <c r="C424" s="1755" t="s">
        <v>386</v>
      </c>
      <c r="D424" s="1859"/>
      <c r="E424" s="1860">
        <v>3391</v>
      </c>
      <c r="F424" s="1801" t="s">
        <v>37</v>
      </c>
      <c r="G424" s="2289">
        <v>113</v>
      </c>
      <c r="H424" s="2290">
        <f t="shared" ref="H424:H426" si="276">E424*G424</f>
        <v>383183</v>
      </c>
      <c r="I424" s="2291">
        <v>61</v>
      </c>
      <c r="J424" s="1861">
        <f t="shared" si="274"/>
        <v>206851</v>
      </c>
      <c r="K424" s="1862">
        <f t="shared" si="275"/>
        <v>590034</v>
      </c>
      <c r="L424" s="2292"/>
      <c r="M424" s="2293"/>
      <c r="N424" s="1797"/>
    </row>
    <row r="425" spans="1:24">
      <c r="A425" s="1806"/>
      <c r="B425" s="1755" t="s">
        <v>387</v>
      </c>
      <c r="C425" s="1755" t="s">
        <v>388</v>
      </c>
      <c r="D425" s="1755"/>
      <c r="E425" s="1864">
        <v>0</v>
      </c>
      <c r="F425" s="1801" t="s">
        <v>37</v>
      </c>
      <c r="G425" s="2289">
        <v>564</v>
      </c>
      <c r="H425" s="2290">
        <f t="shared" si="276"/>
        <v>0</v>
      </c>
      <c r="I425" s="2291">
        <v>283</v>
      </c>
      <c r="J425" s="1861">
        <f t="shared" si="274"/>
        <v>0</v>
      </c>
      <c r="K425" s="1862">
        <f t="shared" si="275"/>
        <v>0</v>
      </c>
      <c r="L425" s="1865"/>
      <c r="M425" s="1866"/>
    </row>
    <row r="426" spans="1:24">
      <c r="A426" s="1806"/>
      <c r="B426" s="1755" t="s">
        <v>389</v>
      </c>
      <c r="C426" s="1867" t="s">
        <v>390</v>
      </c>
      <c r="D426" s="1868"/>
      <c r="E426" s="1864">
        <v>7</v>
      </c>
      <c r="F426" s="1801" t="s">
        <v>37</v>
      </c>
      <c r="G426" s="2289">
        <v>295</v>
      </c>
      <c r="H426" s="2290">
        <f t="shared" si="276"/>
        <v>2065</v>
      </c>
      <c r="I426" s="2291">
        <v>184</v>
      </c>
      <c r="J426" s="1861">
        <f t="shared" si="274"/>
        <v>1288</v>
      </c>
      <c r="K426" s="1862">
        <f t="shared" si="275"/>
        <v>3353</v>
      </c>
      <c r="L426" s="1865"/>
      <c r="M426" s="1866"/>
    </row>
    <row r="427" spans="1:24">
      <c r="A427" s="1806"/>
      <c r="B427" s="1755"/>
      <c r="C427" s="1867" t="s">
        <v>2778</v>
      </c>
      <c r="D427" s="1868"/>
      <c r="E427" s="1864"/>
      <c r="F427" s="1801"/>
      <c r="G427" s="2289"/>
      <c r="H427" s="2290"/>
      <c r="I427" s="2291"/>
      <c r="J427" s="1861"/>
      <c r="K427" s="1862"/>
      <c r="L427" s="1865"/>
      <c r="M427" s="1866"/>
    </row>
    <row r="428" spans="1:24">
      <c r="A428" s="1806"/>
      <c r="B428" s="1755" t="s">
        <v>391</v>
      </c>
      <c r="C428" s="1867" t="s">
        <v>443</v>
      </c>
      <c r="D428" s="1868"/>
      <c r="E428" s="1864">
        <v>0</v>
      </c>
      <c r="F428" s="1801" t="s">
        <v>37</v>
      </c>
      <c r="G428" s="2289">
        <v>297</v>
      </c>
      <c r="H428" s="2290">
        <f t="shared" ref="H428" si="277">E428*G428</f>
        <v>0</v>
      </c>
      <c r="I428" s="2291">
        <v>204</v>
      </c>
      <c r="J428" s="1861">
        <f t="shared" ref="J428" si="278">E428*I428</f>
        <v>0</v>
      </c>
      <c r="K428" s="1862">
        <f t="shared" ref="K428" si="279">H428+J428</f>
        <v>0</v>
      </c>
      <c r="L428" s="1865"/>
      <c r="M428" s="1866"/>
    </row>
    <row r="429" spans="1:24">
      <c r="A429" s="1806"/>
      <c r="B429" s="1755"/>
      <c r="C429" s="1867" t="s">
        <v>2786</v>
      </c>
      <c r="D429" s="1868"/>
      <c r="E429" s="1864"/>
      <c r="F429" s="1801"/>
      <c r="G429" s="2289"/>
      <c r="H429" s="2290"/>
      <c r="I429" s="2291"/>
      <c r="J429" s="1861"/>
      <c r="K429" s="1862"/>
      <c r="L429" s="1865"/>
      <c r="M429" s="1866"/>
    </row>
    <row r="430" spans="1:24">
      <c r="A430" s="1806"/>
      <c r="B430" s="1755" t="s">
        <v>392</v>
      </c>
      <c r="C430" s="1867" t="s">
        <v>444</v>
      </c>
      <c r="D430" s="1868"/>
      <c r="E430" s="1864">
        <v>0</v>
      </c>
      <c r="F430" s="1872" t="s">
        <v>37</v>
      </c>
      <c r="G430" s="1873">
        <v>609</v>
      </c>
      <c r="H430" s="1874">
        <f t="shared" ref="H430" si="280">E430*G430</f>
        <v>0</v>
      </c>
      <c r="I430" s="1875">
        <v>222</v>
      </c>
      <c r="J430" s="1876">
        <f t="shared" ref="J430" si="281">E430*I430</f>
        <v>0</v>
      </c>
      <c r="K430" s="1877">
        <f t="shared" ref="K430" si="282">H430+J430</f>
        <v>0</v>
      </c>
      <c r="L430" s="1865"/>
      <c r="M430" s="1866"/>
      <c r="N430" s="1837"/>
      <c r="O430" s="1837"/>
    </row>
    <row r="431" spans="1:24">
      <c r="A431" s="1806"/>
      <c r="B431" s="1755"/>
      <c r="C431" s="1867" t="s">
        <v>394</v>
      </c>
      <c r="D431" s="1868"/>
      <c r="E431" s="1864"/>
      <c r="F431" s="1872"/>
      <c r="G431" s="1873"/>
      <c r="H431" s="1874"/>
      <c r="I431" s="1875"/>
      <c r="J431" s="1876"/>
      <c r="K431" s="1877"/>
      <c r="L431" s="1865"/>
      <c r="M431" s="1866"/>
      <c r="N431" s="1837"/>
      <c r="O431" s="1837"/>
    </row>
    <row r="432" spans="1:24">
      <c r="A432" s="1806"/>
      <c r="B432" s="1755" t="s">
        <v>2916</v>
      </c>
      <c r="C432" s="1867" t="s">
        <v>444</v>
      </c>
      <c r="D432" s="1868"/>
      <c r="E432" s="1864">
        <v>408</v>
      </c>
      <c r="F432" s="64" t="s">
        <v>37</v>
      </c>
      <c r="G432" s="1873">
        <v>399</v>
      </c>
      <c r="H432" s="1874">
        <f t="shared" ref="H432" si="283">E432*G432</f>
        <v>162792</v>
      </c>
      <c r="I432" s="1875">
        <v>222</v>
      </c>
      <c r="J432" s="1882">
        <f t="shared" ref="J432" si="284">E432*I432</f>
        <v>90576</v>
      </c>
      <c r="K432" s="1877">
        <f t="shared" ref="K432" si="285">H432+J432</f>
        <v>253368</v>
      </c>
      <c r="L432" s="1865"/>
      <c r="M432" s="1878"/>
      <c r="N432" s="1879"/>
      <c r="O432" s="1881"/>
    </row>
    <row r="433" spans="1:15">
      <c r="A433" s="1806"/>
      <c r="B433" s="1755"/>
      <c r="C433" s="1867" t="s">
        <v>394</v>
      </c>
      <c r="D433" s="1868"/>
      <c r="E433" s="1864"/>
      <c r="F433" s="64"/>
      <c r="G433" s="1873"/>
      <c r="H433" s="1874"/>
      <c r="I433" s="1875"/>
      <c r="J433" s="1882"/>
      <c r="K433" s="1877"/>
      <c r="L433" s="1865"/>
      <c r="M433" s="1878"/>
      <c r="N433" s="1879"/>
      <c r="O433" s="1881"/>
    </row>
    <row r="434" spans="1:15">
      <c r="A434" s="1806"/>
      <c r="B434" s="1755" t="s">
        <v>393</v>
      </c>
      <c r="C434" s="1867" t="s">
        <v>445</v>
      </c>
      <c r="D434" s="1868"/>
      <c r="E434" s="1864">
        <v>0</v>
      </c>
      <c r="F434" s="1872" t="s">
        <v>37</v>
      </c>
      <c r="G434" s="1873">
        <v>617</v>
      </c>
      <c r="H434" s="1874">
        <f t="shared" ref="H434" si="286">E434*G434</f>
        <v>0</v>
      </c>
      <c r="I434" s="1875">
        <v>242</v>
      </c>
      <c r="J434" s="1876">
        <f t="shared" ref="J434" si="287">E434*I434</f>
        <v>0</v>
      </c>
      <c r="K434" s="1877">
        <f t="shared" ref="K434" si="288">H434+J434</f>
        <v>0</v>
      </c>
      <c r="L434" s="1865"/>
      <c r="M434" s="1866"/>
      <c r="N434" s="1837"/>
      <c r="O434" s="1837"/>
    </row>
    <row r="435" spans="1:15">
      <c r="A435" s="1806"/>
      <c r="B435" s="1755"/>
      <c r="C435" s="1867" t="s">
        <v>394</v>
      </c>
      <c r="D435" s="1755"/>
      <c r="E435" s="1864"/>
      <c r="F435" s="1872"/>
      <c r="G435" s="1873"/>
      <c r="H435" s="1874"/>
      <c r="I435" s="1875"/>
      <c r="J435" s="1876"/>
      <c r="K435" s="1877"/>
      <c r="L435" s="1865"/>
      <c r="M435" s="1866"/>
      <c r="N435" s="1837"/>
      <c r="O435" s="1837"/>
    </row>
    <row r="436" spans="1:15">
      <c r="A436" s="1806"/>
      <c r="B436" s="1755" t="s">
        <v>2917</v>
      </c>
      <c r="C436" s="1867" t="s">
        <v>445</v>
      </c>
      <c r="D436" s="1868"/>
      <c r="E436" s="1864">
        <v>255</v>
      </c>
      <c r="F436" s="64" t="s">
        <v>37</v>
      </c>
      <c r="G436" s="1873">
        <v>399</v>
      </c>
      <c r="H436" s="1874">
        <f t="shared" ref="H436" si="289">E436*G436</f>
        <v>101745</v>
      </c>
      <c r="I436" s="1875">
        <v>242</v>
      </c>
      <c r="J436" s="1882">
        <f t="shared" ref="J436" si="290">E436*I436</f>
        <v>61710</v>
      </c>
      <c r="K436" s="1877">
        <f t="shared" ref="K436" si="291">H436+J436</f>
        <v>163455</v>
      </c>
      <c r="L436" s="1865"/>
      <c r="M436" s="1878"/>
      <c r="N436" s="1879"/>
      <c r="O436" s="1883"/>
    </row>
    <row r="437" spans="1:15">
      <c r="A437" s="1806"/>
      <c r="B437" s="1755"/>
      <c r="C437" s="1755" t="s">
        <v>394</v>
      </c>
      <c r="D437" s="1755"/>
      <c r="E437" s="1864"/>
      <c r="F437" s="1801"/>
      <c r="G437" s="2289"/>
      <c r="H437" s="2290"/>
      <c r="I437" s="2291"/>
      <c r="J437" s="1861"/>
      <c r="K437" s="1862"/>
      <c r="L437" s="1865"/>
      <c r="M437" s="1878"/>
      <c r="N437" s="1879"/>
      <c r="O437" s="1881">
        <f>O429*O436</f>
        <v>0</v>
      </c>
    </row>
    <row r="438" spans="1:15">
      <c r="A438" s="1806"/>
      <c r="B438" s="1755" t="s">
        <v>395</v>
      </c>
      <c r="C438" s="1755" t="s">
        <v>396</v>
      </c>
      <c r="D438" s="1755"/>
      <c r="E438" s="1864">
        <v>146</v>
      </c>
      <c r="F438" s="1801" t="s">
        <v>37</v>
      </c>
      <c r="G438" s="2289">
        <v>420</v>
      </c>
      <c r="H438" s="2290">
        <f t="shared" ref="H438:H439" si="292">E438*G438</f>
        <v>61320</v>
      </c>
      <c r="I438" s="2291">
        <v>100</v>
      </c>
      <c r="J438" s="1861">
        <f t="shared" ref="J438:J439" si="293">E438*I438</f>
        <v>14600</v>
      </c>
      <c r="K438" s="1862">
        <f t="shared" ref="K438:K439" si="294">H438+J438</f>
        <v>75920</v>
      </c>
      <c r="L438" s="1865"/>
      <c r="M438" s="1866"/>
      <c r="N438" s="1797"/>
    </row>
    <row r="439" spans="1:15">
      <c r="A439" s="1806"/>
      <c r="B439" s="1755" t="s">
        <v>397</v>
      </c>
      <c r="C439" s="1867" t="s">
        <v>398</v>
      </c>
      <c r="D439" s="1868"/>
      <c r="E439" s="1864">
        <v>0</v>
      </c>
      <c r="F439" s="1801" t="s">
        <v>37</v>
      </c>
      <c r="G439" s="2289">
        <v>564</v>
      </c>
      <c r="H439" s="2290">
        <f t="shared" si="292"/>
        <v>0</v>
      </c>
      <c r="I439" s="2291">
        <v>283</v>
      </c>
      <c r="J439" s="1861">
        <f t="shared" si="293"/>
        <v>0</v>
      </c>
      <c r="K439" s="1862">
        <f t="shared" si="294"/>
        <v>0</v>
      </c>
      <c r="L439" s="1865"/>
      <c r="M439" s="1866"/>
    </row>
    <row r="440" spans="1:15">
      <c r="A440" s="1806"/>
      <c r="B440" s="1755"/>
      <c r="C440" s="1755" t="s">
        <v>2783</v>
      </c>
      <c r="D440" s="1755"/>
      <c r="E440" s="1864"/>
      <c r="F440" s="1885"/>
      <c r="G440" s="2289"/>
      <c r="H440" s="2290"/>
      <c r="I440" s="2291"/>
      <c r="J440" s="1861"/>
      <c r="K440" s="1862"/>
      <c r="L440" s="1865"/>
      <c r="M440" s="1866"/>
    </row>
    <row r="441" spans="1:15">
      <c r="A441" s="1806"/>
      <c r="B441" s="1755" t="s">
        <v>2784</v>
      </c>
      <c r="C441" s="1755" t="s">
        <v>399</v>
      </c>
      <c r="D441" s="1755"/>
      <c r="E441" s="1864">
        <v>0</v>
      </c>
      <c r="F441" s="1801" t="s">
        <v>37</v>
      </c>
      <c r="G441" s="2289">
        <v>3570</v>
      </c>
      <c r="H441" s="2290">
        <f t="shared" ref="H441:H453" si="295">E441*G441</f>
        <v>0</v>
      </c>
      <c r="I441" s="2291">
        <v>220</v>
      </c>
      <c r="J441" s="1861">
        <f t="shared" ref="J441:J453" si="296">E441*I441</f>
        <v>0</v>
      </c>
      <c r="K441" s="1862">
        <f t="shared" ref="K441:K453" si="297">H441+J441</f>
        <v>0</v>
      </c>
      <c r="L441" s="1865"/>
      <c r="M441" s="1866"/>
    </row>
    <row r="442" spans="1:15">
      <c r="A442" s="1806"/>
      <c r="B442" s="1755" t="s">
        <v>400</v>
      </c>
      <c r="C442" s="1755" t="s">
        <v>401</v>
      </c>
      <c r="D442" s="1755"/>
      <c r="E442" s="1864">
        <v>0</v>
      </c>
      <c r="F442" s="1801" t="s">
        <v>37</v>
      </c>
      <c r="G442" s="2289">
        <f>ROUNDUP(2227.6*0.05+5*2.95,0)</f>
        <v>127</v>
      </c>
      <c r="H442" s="2290">
        <f t="shared" si="295"/>
        <v>0</v>
      </c>
      <c r="I442" s="2291">
        <v>82</v>
      </c>
      <c r="J442" s="1861">
        <f t="shared" si="296"/>
        <v>0</v>
      </c>
      <c r="K442" s="1862">
        <f t="shared" si="297"/>
        <v>0</v>
      </c>
      <c r="L442" s="1865"/>
      <c r="M442" s="1866"/>
    </row>
    <row r="443" spans="1:15">
      <c r="A443" s="1806"/>
      <c r="B443" s="1755" t="s">
        <v>402</v>
      </c>
      <c r="C443" s="1867" t="s">
        <v>403</v>
      </c>
      <c r="D443" s="1868"/>
      <c r="E443" s="1864">
        <v>0</v>
      </c>
      <c r="F443" s="1801" t="s">
        <v>37</v>
      </c>
      <c r="G443" s="2291">
        <v>120</v>
      </c>
      <c r="H443" s="2290">
        <f t="shared" si="295"/>
        <v>0</v>
      </c>
      <c r="I443" s="2291">
        <v>61</v>
      </c>
      <c r="J443" s="1861">
        <f t="shared" si="296"/>
        <v>0</v>
      </c>
      <c r="K443" s="1862">
        <f t="shared" si="297"/>
        <v>0</v>
      </c>
      <c r="L443" s="1865"/>
      <c r="M443" s="1866"/>
    </row>
    <row r="444" spans="1:15">
      <c r="A444" s="1806"/>
      <c r="B444" s="1755" t="s">
        <v>404</v>
      </c>
      <c r="C444" s="1755" t="s">
        <v>405</v>
      </c>
      <c r="D444" s="1755"/>
      <c r="E444" s="1864">
        <v>0</v>
      </c>
      <c r="F444" s="1801" t="s">
        <v>37</v>
      </c>
      <c r="G444" s="2289">
        <v>447</v>
      </c>
      <c r="H444" s="2290">
        <f t="shared" si="295"/>
        <v>0</v>
      </c>
      <c r="I444" s="2291">
        <v>212</v>
      </c>
      <c r="J444" s="1861">
        <f t="shared" si="296"/>
        <v>0</v>
      </c>
      <c r="K444" s="1862">
        <f t="shared" si="297"/>
        <v>0</v>
      </c>
      <c r="L444" s="1865"/>
      <c r="M444" s="1866"/>
    </row>
    <row r="445" spans="1:15">
      <c r="A445" s="1806"/>
      <c r="B445" s="1755" t="s">
        <v>406</v>
      </c>
      <c r="C445" s="1867" t="s">
        <v>407</v>
      </c>
      <c r="D445" s="1868"/>
      <c r="E445" s="1864">
        <v>0</v>
      </c>
      <c r="F445" s="1801" t="s">
        <v>37</v>
      </c>
      <c r="G445" s="2291">
        <v>240</v>
      </c>
      <c r="H445" s="2290">
        <f t="shared" si="295"/>
        <v>0</v>
      </c>
      <c r="I445" s="2291">
        <v>80</v>
      </c>
      <c r="J445" s="1861">
        <f t="shared" si="296"/>
        <v>0</v>
      </c>
      <c r="K445" s="1862">
        <f t="shared" si="297"/>
        <v>0</v>
      </c>
      <c r="L445" s="1865"/>
      <c r="M445" s="1866"/>
    </row>
    <row r="446" spans="1:15">
      <c r="A446" s="1806"/>
      <c r="B446" s="1755" t="s">
        <v>408</v>
      </c>
      <c r="C446" s="1867" t="s">
        <v>409</v>
      </c>
      <c r="D446" s="1868"/>
      <c r="E446" s="1864">
        <v>0</v>
      </c>
      <c r="F446" s="1801" t="s">
        <v>37</v>
      </c>
      <c r="G446" s="2291">
        <v>230</v>
      </c>
      <c r="H446" s="2290">
        <f t="shared" si="295"/>
        <v>0</v>
      </c>
      <c r="I446" s="2291">
        <v>50</v>
      </c>
      <c r="J446" s="1861">
        <f t="shared" si="296"/>
        <v>0</v>
      </c>
      <c r="K446" s="1862">
        <f t="shared" si="297"/>
        <v>0</v>
      </c>
      <c r="L446" s="1865"/>
      <c r="M446" s="1866"/>
    </row>
    <row r="447" spans="1:15">
      <c r="A447" s="1806"/>
      <c r="B447" s="1755" t="s">
        <v>410</v>
      </c>
      <c r="C447" s="1867" t="s">
        <v>411</v>
      </c>
      <c r="D447" s="1868"/>
      <c r="E447" s="1864">
        <v>244</v>
      </c>
      <c r="F447" s="1801" t="s">
        <v>37</v>
      </c>
      <c r="G447" s="2289">
        <v>220</v>
      </c>
      <c r="H447" s="2290">
        <f t="shared" si="295"/>
        <v>53680</v>
      </c>
      <c r="I447" s="2291">
        <v>80</v>
      </c>
      <c r="J447" s="1861">
        <f t="shared" si="296"/>
        <v>19520</v>
      </c>
      <c r="K447" s="1862">
        <f t="shared" si="297"/>
        <v>73200</v>
      </c>
      <c r="L447" s="1865"/>
      <c r="M447" s="1866"/>
    </row>
    <row r="448" spans="1:15">
      <c r="A448" s="1806"/>
      <c r="B448" s="1755" t="s">
        <v>412</v>
      </c>
      <c r="C448" s="1867" t="s">
        <v>413</v>
      </c>
      <c r="D448" s="1868"/>
      <c r="E448" s="1864">
        <v>0</v>
      </c>
      <c r="F448" s="1801" t="s">
        <v>37</v>
      </c>
      <c r="G448" s="2289">
        <v>113</v>
      </c>
      <c r="H448" s="2290">
        <f t="shared" si="295"/>
        <v>0</v>
      </c>
      <c r="I448" s="2291">
        <v>61</v>
      </c>
      <c r="J448" s="1861">
        <f t="shared" si="296"/>
        <v>0</v>
      </c>
      <c r="K448" s="1862">
        <f t="shared" si="297"/>
        <v>0</v>
      </c>
      <c r="L448" s="1865"/>
      <c r="M448" s="1866"/>
    </row>
    <row r="449" spans="1:24">
      <c r="A449" s="1806"/>
      <c r="B449" s="1755" t="s">
        <v>414</v>
      </c>
      <c r="C449" s="1867" t="s">
        <v>415</v>
      </c>
      <c r="D449" s="1868"/>
      <c r="E449" s="1864">
        <v>0</v>
      </c>
      <c r="F449" s="1801" t="s">
        <v>37</v>
      </c>
      <c r="G449" s="2289">
        <v>113</v>
      </c>
      <c r="H449" s="2290">
        <f t="shared" si="295"/>
        <v>0</v>
      </c>
      <c r="I449" s="2291">
        <v>61</v>
      </c>
      <c r="J449" s="1861">
        <f t="shared" si="296"/>
        <v>0</v>
      </c>
      <c r="K449" s="1862">
        <f t="shared" si="297"/>
        <v>0</v>
      </c>
      <c r="L449" s="1865"/>
      <c r="M449" s="1866"/>
    </row>
    <row r="450" spans="1:24">
      <c r="A450" s="1806"/>
      <c r="B450" s="1755" t="s">
        <v>416</v>
      </c>
      <c r="C450" s="1867" t="s">
        <v>417</v>
      </c>
      <c r="D450" s="1868"/>
      <c r="E450" s="1864">
        <v>0</v>
      </c>
      <c r="F450" s="1801" t="s">
        <v>37</v>
      </c>
      <c r="G450" s="2289">
        <v>113</v>
      </c>
      <c r="H450" s="2290">
        <f t="shared" si="295"/>
        <v>0</v>
      </c>
      <c r="I450" s="2291">
        <v>61</v>
      </c>
      <c r="J450" s="1861">
        <f t="shared" si="296"/>
        <v>0</v>
      </c>
      <c r="K450" s="1862">
        <f t="shared" si="297"/>
        <v>0</v>
      </c>
      <c r="L450" s="1865"/>
      <c r="M450" s="1866"/>
    </row>
    <row r="451" spans="1:24">
      <c r="A451" s="1806"/>
      <c r="B451" s="1755" t="s">
        <v>418</v>
      </c>
      <c r="C451" s="1867" t="s">
        <v>419</v>
      </c>
      <c r="D451" s="1859"/>
      <c r="E451" s="1864">
        <v>0</v>
      </c>
      <c r="F451" s="1801" t="s">
        <v>37</v>
      </c>
      <c r="G451" s="2289">
        <v>113</v>
      </c>
      <c r="H451" s="2290">
        <f t="shared" si="295"/>
        <v>0</v>
      </c>
      <c r="I451" s="2291">
        <v>61</v>
      </c>
      <c r="J451" s="1861">
        <f t="shared" si="296"/>
        <v>0</v>
      </c>
      <c r="K451" s="1862">
        <f t="shared" si="297"/>
        <v>0</v>
      </c>
      <c r="L451" s="1865"/>
      <c r="M451" s="1866"/>
    </row>
    <row r="452" spans="1:24">
      <c r="A452" s="1806"/>
      <c r="B452" s="1755" t="s">
        <v>420</v>
      </c>
      <c r="C452" s="1867" t="s">
        <v>421</v>
      </c>
      <c r="D452" s="1859"/>
      <c r="E452" s="1864">
        <v>190</v>
      </c>
      <c r="F452" s="1801" t="s">
        <v>37</v>
      </c>
      <c r="G452" s="2289">
        <v>583</v>
      </c>
      <c r="H452" s="2290">
        <f t="shared" si="295"/>
        <v>110770</v>
      </c>
      <c r="I452" s="2291">
        <v>298</v>
      </c>
      <c r="J452" s="1861">
        <f t="shared" si="296"/>
        <v>56620</v>
      </c>
      <c r="K452" s="1862">
        <f t="shared" si="297"/>
        <v>167390</v>
      </c>
      <c r="L452" s="1865"/>
      <c r="M452" s="1866"/>
    </row>
    <row r="453" spans="1:24">
      <c r="A453" s="1806"/>
      <c r="B453" s="1755" t="s">
        <v>422</v>
      </c>
      <c r="C453" s="1755" t="s">
        <v>423</v>
      </c>
      <c r="D453" s="1859"/>
      <c r="E453" s="1864">
        <v>0</v>
      </c>
      <c r="F453" s="1801" t="s">
        <v>37</v>
      </c>
      <c r="G453" s="2289">
        <v>240</v>
      </c>
      <c r="H453" s="2290">
        <f t="shared" si="295"/>
        <v>0</v>
      </c>
      <c r="I453" s="2291">
        <v>50</v>
      </c>
      <c r="J453" s="1861">
        <f t="shared" si="296"/>
        <v>0</v>
      </c>
      <c r="K453" s="1862">
        <f t="shared" si="297"/>
        <v>0</v>
      </c>
      <c r="L453" s="1865"/>
      <c r="M453" s="1866"/>
    </row>
    <row r="454" spans="1:24">
      <c r="A454" s="1806"/>
      <c r="B454" s="1755"/>
      <c r="C454" s="1755" t="s">
        <v>424</v>
      </c>
      <c r="D454" s="1859"/>
      <c r="E454" s="1864"/>
      <c r="F454" s="1801"/>
      <c r="G454" s="2289"/>
      <c r="H454" s="2290"/>
      <c r="I454" s="2291"/>
      <c r="J454" s="1861"/>
      <c r="K454" s="1862"/>
      <c r="L454" s="1865"/>
      <c r="M454" s="1866"/>
    </row>
    <row r="455" spans="1:24">
      <c r="A455" s="1806"/>
      <c r="B455" s="1887" t="s">
        <v>425</v>
      </c>
      <c r="C455" s="1755" t="s">
        <v>2785</v>
      </c>
      <c r="D455" s="1859"/>
      <c r="E455" s="1864">
        <f>E453</f>
        <v>0</v>
      </c>
      <c r="F455" s="1801" t="s">
        <v>37</v>
      </c>
      <c r="G455" s="2289">
        <v>140</v>
      </c>
      <c r="H455" s="2290">
        <f t="shared" ref="H455:H456" si="298">E455*G455</f>
        <v>0</v>
      </c>
      <c r="I455" s="2291">
        <v>40</v>
      </c>
      <c r="J455" s="1861">
        <f t="shared" ref="J455:J456" si="299">E455*I455</f>
        <v>0</v>
      </c>
      <c r="K455" s="1862">
        <f t="shared" ref="K455:K456" si="300">H455+J455</f>
        <v>0</v>
      </c>
      <c r="L455" s="1865"/>
      <c r="M455" s="1866"/>
    </row>
    <row r="456" spans="1:24">
      <c r="A456" s="2275"/>
      <c r="B456" s="1755" t="s">
        <v>426</v>
      </c>
      <c r="C456" s="1755" t="s">
        <v>427</v>
      </c>
      <c r="D456" s="1859"/>
      <c r="E456" s="1864">
        <v>0</v>
      </c>
      <c r="F456" s="1801" t="s">
        <v>37</v>
      </c>
      <c r="G456" s="2289">
        <v>0</v>
      </c>
      <c r="H456" s="2290">
        <f t="shared" si="298"/>
        <v>0</v>
      </c>
      <c r="I456" s="2291">
        <v>0</v>
      </c>
      <c r="J456" s="1861">
        <f t="shared" si="299"/>
        <v>0</v>
      </c>
      <c r="K456" s="1862">
        <f t="shared" si="300"/>
        <v>0</v>
      </c>
      <c r="L456" s="1865"/>
      <c r="M456" s="1866"/>
      <c r="O456" s="1886"/>
    </row>
    <row r="457" spans="1:24">
      <c r="A457" s="2275"/>
      <c r="B457" s="1755"/>
      <c r="C457" s="1755" t="s">
        <v>428</v>
      </c>
      <c r="D457" s="1859"/>
      <c r="E457" s="1864"/>
      <c r="F457" s="1801"/>
      <c r="G457" s="2289"/>
      <c r="H457" s="2290"/>
      <c r="I457" s="2291"/>
      <c r="J457" s="1861"/>
      <c r="K457" s="1862"/>
      <c r="L457" s="1865"/>
      <c r="M457" s="1866"/>
      <c r="O457" s="1886"/>
    </row>
    <row r="458" spans="1:24">
      <c r="A458" s="2275"/>
      <c r="B458" s="1755"/>
      <c r="C458" s="1755" t="s">
        <v>429</v>
      </c>
      <c r="D458" s="1859"/>
      <c r="E458" s="1864"/>
      <c r="F458" s="1801"/>
      <c r="G458" s="2289"/>
      <c r="H458" s="2290"/>
      <c r="I458" s="2291"/>
      <c r="J458" s="1861"/>
      <c r="K458" s="1862"/>
      <c r="L458" s="1865"/>
      <c r="M458" s="1866"/>
      <c r="O458" s="1886"/>
    </row>
    <row r="459" spans="1:24">
      <c r="A459" s="93"/>
      <c r="B459" s="1888" t="s">
        <v>430</v>
      </c>
      <c r="C459" s="1888" t="s">
        <v>2923</v>
      </c>
      <c r="D459" s="1889"/>
      <c r="E459" s="1890">
        <v>0</v>
      </c>
      <c r="F459" s="1872" t="s">
        <v>37</v>
      </c>
      <c r="G459" s="2294">
        <v>253</v>
      </c>
      <c r="H459" s="2295">
        <f t="shared" ref="H459:H460" si="301">E459*G459</f>
        <v>0</v>
      </c>
      <c r="I459" s="2296">
        <v>50</v>
      </c>
      <c r="J459" s="1876">
        <f t="shared" ref="J459:J460" si="302">E459*I459</f>
        <v>0</v>
      </c>
      <c r="K459" s="1877">
        <f t="shared" ref="K459:K460" si="303">H459+J459</f>
        <v>0</v>
      </c>
      <c r="L459" s="1865"/>
      <c r="M459" s="1866"/>
      <c r="O459" s="1886"/>
    </row>
    <row r="460" spans="1:24" ht="24" customHeight="1">
      <c r="A460" s="2275"/>
      <c r="B460" s="1755" t="s">
        <v>431</v>
      </c>
      <c r="C460" s="1755" t="s">
        <v>432</v>
      </c>
      <c r="D460" s="1859"/>
      <c r="E460" s="1864">
        <v>0</v>
      </c>
      <c r="F460" s="1801" t="s">
        <v>37</v>
      </c>
      <c r="G460" s="2289">
        <v>0</v>
      </c>
      <c r="H460" s="2290">
        <f t="shared" si="301"/>
        <v>0</v>
      </c>
      <c r="I460" s="2291">
        <v>220</v>
      </c>
      <c r="J460" s="1861">
        <f t="shared" si="302"/>
        <v>0</v>
      </c>
      <c r="K460" s="1862">
        <f t="shared" si="303"/>
        <v>0</v>
      </c>
      <c r="L460" s="1858"/>
      <c r="M460" s="1809"/>
      <c r="N460" s="1837"/>
      <c r="O460" s="1886"/>
      <c r="P460" s="1837"/>
      <c r="Q460" s="1837"/>
      <c r="R460" s="1837"/>
      <c r="S460" s="1837"/>
      <c r="T460" s="1837"/>
      <c r="U460" s="1837"/>
      <c r="V460" s="1837"/>
      <c r="W460" s="1837"/>
      <c r="X460" s="1837"/>
    </row>
    <row r="461" spans="1:24" ht="24" customHeight="1">
      <c r="A461" s="2275"/>
      <c r="B461" s="1755"/>
      <c r="C461" s="1755" t="s">
        <v>433</v>
      </c>
      <c r="D461" s="1891"/>
      <c r="E461" s="1864"/>
      <c r="F461" s="1801"/>
      <c r="G461" s="2289"/>
      <c r="H461" s="2290"/>
      <c r="I461" s="2291"/>
      <c r="J461" s="1861"/>
      <c r="K461" s="1862"/>
      <c r="L461" s="1858"/>
      <c r="M461" s="1809"/>
      <c r="N461" s="1837"/>
      <c r="O461" s="1886"/>
      <c r="P461" s="1837"/>
      <c r="Q461" s="1837"/>
      <c r="R461" s="1837"/>
      <c r="S461" s="1837"/>
      <c r="T461" s="1837"/>
      <c r="U461" s="1837"/>
      <c r="V461" s="1837"/>
      <c r="W461" s="1837"/>
      <c r="X461" s="1837"/>
    </row>
    <row r="462" spans="1:24">
      <c r="A462" s="1806"/>
      <c r="B462" s="1755" t="s">
        <v>434</v>
      </c>
      <c r="C462" s="1755" t="s">
        <v>435</v>
      </c>
      <c r="D462" s="1891"/>
      <c r="E462" s="1864">
        <v>0</v>
      </c>
      <c r="F462" s="1801" t="s">
        <v>37</v>
      </c>
      <c r="G462" s="1892">
        <v>398</v>
      </c>
      <c r="H462" s="2290">
        <f t="shared" ref="H462" si="304">E462*G462</f>
        <v>0</v>
      </c>
      <c r="I462" s="1968">
        <v>154</v>
      </c>
      <c r="J462" s="1861">
        <f t="shared" ref="J462" si="305">E462*I462</f>
        <v>0</v>
      </c>
      <c r="K462" s="1862">
        <f t="shared" ref="K462" si="306">H462+J462</f>
        <v>0</v>
      </c>
      <c r="L462" s="1864"/>
      <c r="M462" s="1894"/>
    </row>
    <row r="463" spans="1:24">
      <c r="A463" s="1806"/>
      <c r="B463" s="1755"/>
      <c r="C463" s="1895" t="s">
        <v>436</v>
      </c>
      <c r="D463" s="1891"/>
      <c r="E463" s="1864"/>
      <c r="F463" s="1801"/>
      <c r="G463" s="2289"/>
      <c r="H463" s="2290"/>
      <c r="I463" s="2291"/>
      <c r="J463" s="1861"/>
      <c r="K463" s="1862"/>
      <c r="L463" s="1865"/>
      <c r="M463" s="1866"/>
    </row>
    <row r="464" spans="1:24" s="1900" customFormat="1">
      <c r="A464" s="1896"/>
      <c r="B464" s="1895" t="s">
        <v>437</v>
      </c>
      <c r="C464" s="1895"/>
      <c r="D464" s="1895"/>
      <c r="E464" s="1897"/>
      <c r="F464" s="1806"/>
      <c r="G464" s="1789"/>
      <c r="H464" s="2290"/>
      <c r="I464" s="2083"/>
      <c r="J464" s="1861"/>
      <c r="K464" s="1862"/>
      <c r="L464" s="1899"/>
      <c r="M464" s="1737"/>
    </row>
    <row r="465" spans="1:24">
      <c r="A465" s="1901"/>
      <c r="B465" s="1902" t="s">
        <v>2924</v>
      </c>
      <c r="C465" s="2228" t="s">
        <v>446</v>
      </c>
      <c r="D465" s="2229"/>
      <c r="E465" s="1897">
        <v>348</v>
      </c>
      <c r="F465" s="1806" t="s">
        <v>438</v>
      </c>
      <c r="G465" s="60">
        <v>200</v>
      </c>
      <c r="H465" s="2295">
        <f t="shared" ref="H465:H467" si="307">E465*G465</f>
        <v>69600</v>
      </c>
      <c r="I465" s="673">
        <v>45</v>
      </c>
      <c r="J465" s="1876">
        <f t="shared" ref="J465:J467" si="308">E465*I465</f>
        <v>15660</v>
      </c>
      <c r="K465" s="1877">
        <f t="shared" ref="K465:K467" si="309">H465+J465</f>
        <v>85260</v>
      </c>
      <c r="L465" s="119"/>
      <c r="M465" s="62" t="s">
        <v>2925</v>
      </c>
    </row>
    <row r="466" spans="1:24">
      <c r="A466" s="1901"/>
      <c r="B466" s="1902" t="s">
        <v>2924</v>
      </c>
      <c r="C466" s="2228" t="s">
        <v>439</v>
      </c>
      <c r="D466" s="2229"/>
      <c r="E466" s="1897">
        <v>260</v>
      </c>
      <c r="F466" s="1806" t="s">
        <v>438</v>
      </c>
      <c r="G466" s="60">
        <v>19</v>
      </c>
      <c r="H466" s="2295">
        <f t="shared" si="307"/>
        <v>4940</v>
      </c>
      <c r="I466" s="673">
        <v>20</v>
      </c>
      <c r="J466" s="1876">
        <f t="shared" si="308"/>
        <v>5200</v>
      </c>
      <c r="K466" s="1877">
        <f t="shared" si="309"/>
        <v>10140</v>
      </c>
      <c r="L466" s="119"/>
      <c r="M466" s="62" t="s">
        <v>2925</v>
      </c>
    </row>
    <row r="467" spans="1:24">
      <c r="A467" s="1901"/>
      <c r="B467" s="2230" t="s">
        <v>425</v>
      </c>
      <c r="C467" s="2231" t="s">
        <v>440</v>
      </c>
      <c r="D467" s="2229"/>
      <c r="E467" s="1897">
        <v>0</v>
      </c>
      <c r="F467" s="1806" t="s">
        <v>438</v>
      </c>
      <c r="G467" s="1789">
        <v>0</v>
      </c>
      <c r="H467" s="2290">
        <f t="shared" si="307"/>
        <v>0</v>
      </c>
      <c r="I467" s="2083">
        <v>0</v>
      </c>
      <c r="J467" s="1861">
        <f t="shared" si="308"/>
        <v>0</v>
      </c>
      <c r="K467" s="1862">
        <f t="shared" si="309"/>
        <v>0</v>
      </c>
      <c r="L467" s="1899"/>
      <c r="M467" s="1797">
        <f>SUM(K423:K467)</f>
        <v>1639620</v>
      </c>
    </row>
    <row r="468" spans="1:24" ht="24" customHeight="1">
      <c r="A468" s="2232" t="s">
        <v>461</v>
      </c>
      <c r="B468" s="1908" t="s">
        <v>462</v>
      </c>
      <c r="C468" s="2234"/>
      <c r="D468" s="2231"/>
      <c r="E468" s="1897"/>
      <c r="F468" s="2275"/>
      <c r="G468" s="1925"/>
      <c r="H468" s="1777"/>
      <c r="I468" s="1926"/>
      <c r="J468" s="1777"/>
      <c r="K468" s="1778"/>
      <c r="L468" s="1918"/>
      <c r="P468" s="1837"/>
      <c r="Q468" s="1837"/>
      <c r="R468" s="1837"/>
      <c r="S468" s="1837"/>
      <c r="T468" s="1837"/>
      <c r="U468" s="1837"/>
      <c r="V468" s="1837"/>
      <c r="W468" s="1837"/>
      <c r="X468" s="1837"/>
    </row>
    <row r="469" spans="1:24">
      <c r="A469" s="1806"/>
      <c r="B469" s="1783"/>
      <c r="C469" s="1755" t="s">
        <v>2955</v>
      </c>
      <c r="D469" s="1859"/>
      <c r="E469" s="1860">
        <f>E471+E472+E474+E476+E478+E480+E482+E484+E485+E487+E490+E492+E493+E498+E506</f>
        <v>2616</v>
      </c>
      <c r="F469" s="1801" t="s">
        <v>37</v>
      </c>
      <c r="G469" s="2289">
        <v>113</v>
      </c>
      <c r="H469" s="2290">
        <f>E469*G469</f>
        <v>295608</v>
      </c>
      <c r="I469" s="2291">
        <v>61</v>
      </c>
      <c r="J469" s="1861">
        <f t="shared" ref="J469:J472" si="310">E469*I469</f>
        <v>159576</v>
      </c>
      <c r="K469" s="1862">
        <f t="shared" ref="K469:K472" si="311">H469+J469</f>
        <v>455184</v>
      </c>
      <c r="L469" s="2292"/>
      <c r="M469" s="2293"/>
      <c r="N469" s="1797">
        <f>SUM(E470:E509)</f>
        <v>2748</v>
      </c>
    </row>
    <row r="470" spans="1:24">
      <c r="A470" s="1806"/>
      <c r="B470" s="1755" t="s">
        <v>385</v>
      </c>
      <c r="C470" s="1755" t="s">
        <v>386</v>
      </c>
      <c r="D470" s="1859"/>
      <c r="E470" s="1860">
        <v>0</v>
      </c>
      <c r="F470" s="1801" t="s">
        <v>37</v>
      </c>
      <c r="G470" s="2289">
        <v>113</v>
      </c>
      <c r="H470" s="2290">
        <f t="shared" ref="H470:H472" si="312">E470*G470</f>
        <v>0</v>
      </c>
      <c r="I470" s="2291">
        <v>61</v>
      </c>
      <c r="J470" s="1861">
        <f t="shared" si="310"/>
        <v>0</v>
      </c>
      <c r="K470" s="1862">
        <f t="shared" si="311"/>
        <v>0</v>
      </c>
      <c r="L470" s="2292"/>
      <c r="M470" s="2293"/>
      <c r="N470" s="1797"/>
    </row>
    <row r="471" spans="1:24">
      <c r="A471" s="1806"/>
      <c r="B471" s="1755" t="s">
        <v>387</v>
      </c>
      <c r="C471" s="1755" t="s">
        <v>388</v>
      </c>
      <c r="D471" s="1755"/>
      <c r="E471" s="1864">
        <v>0</v>
      </c>
      <c r="F471" s="1801" t="s">
        <v>37</v>
      </c>
      <c r="G471" s="2289">
        <v>564</v>
      </c>
      <c r="H471" s="2290">
        <f t="shared" si="312"/>
        <v>0</v>
      </c>
      <c r="I471" s="2291">
        <v>283</v>
      </c>
      <c r="J471" s="1861">
        <f t="shared" si="310"/>
        <v>0</v>
      </c>
      <c r="K471" s="1862">
        <f t="shared" si="311"/>
        <v>0</v>
      </c>
      <c r="L471" s="1865"/>
      <c r="M471" s="1866"/>
    </row>
    <row r="472" spans="1:24">
      <c r="A472" s="1806"/>
      <c r="B472" s="1755" t="s">
        <v>389</v>
      </c>
      <c r="C472" s="1867" t="s">
        <v>390</v>
      </c>
      <c r="D472" s="1868"/>
      <c r="E472" s="1864">
        <v>0</v>
      </c>
      <c r="F472" s="1801" t="s">
        <v>37</v>
      </c>
      <c r="G472" s="2289">
        <v>295</v>
      </c>
      <c r="H472" s="2290">
        <f t="shared" si="312"/>
        <v>0</v>
      </c>
      <c r="I472" s="2291">
        <v>184</v>
      </c>
      <c r="J472" s="1861">
        <f t="shared" si="310"/>
        <v>0</v>
      </c>
      <c r="K472" s="1862">
        <f t="shared" si="311"/>
        <v>0</v>
      </c>
      <c r="L472" s="1865"/>
      <c r="M472" s="1866"/>
    </row>
    <row r="473" spans="1:24">
      <c r="A473" s="1806"/>
      <c r="B473" s="1755"/>
      <c r="C473" s="1867" t="s">
        <v>2778</v>
      </c>
      <c r="D473" s="1868"/>
      <c r="E473" s="1864"/>
      <c r="F473" s="1801"/>
      <c r="G473" s="2289"/>
      <c r="H473" s="2290"/>
      <c r="I473" s="2291"/>
      <c r="J473" s="1861"/>
      <c r="K473" s="1862"/>
      <c r="L473" s="1865"/>
      <c r="M473" s="1866"/>
    </row>
    <row r="474" spans="1:24">
      <c r="A474" s="1806"/>
      <c r="B474" s="1755" t="s">
        <v>391</v>
      </c>
      <c r="C474" s="1867" t="s">
        <v>443</v>
      </c>
      <c r="D474" s="1868"/>
      <c r="E474" s="1864">
        <v>0</v>
      </c>
      <c r="F474" s="1801" t="s">
        <v>37</v>
      </c>
      <c r="G474" s="2289">
        <v>297</v>
      </c>
      <c r="H474" s="2290">
        <f t="shared" ref="H474" si="313">E474*G474</f>
        <v>0</v>
      </c>
      <c r="I474" s="2291">
        <v>204</v>
      </c>
      <c r="J474" s="1861">
        <f t="shared" ref="J474" si="314">E474*I474</f>
        <v>0</v>
      </c>
      <c r="K474" s="1862">
        <f t="shared" ref="K474" si="315">H474+J474</f>
        <v>0</v>
      </c>
      <c r="L474" s="1865"/>
      <c r="M474" s="1866"/>
    </row>
    <row r="475" spans="1:24">
      <c r="A475" s="1806"/>
      <c r="B475" s="1755"/>
      <c r="C475" s="1867" t="s">
        <v>2786</v>
      </c>
      <c r="D475" s="1868"/>
      <c r="E475" s="1864"/>
      <c r="F475" s="1801"/>
      <c r="G475" s="2289"/>
      <c r="H475" s="2290"/>
      <c r="I475" s="2291"/>
      <c r="J475" s="1861"/>
      <c r="K475" s="1862"/>
      <c r="L475" s="1865"/>
      <c r="M475" s="1866"/>
    </row>
    <row r="476" spans="1:24">
      <c r="A476" s="1806"/>
      <c r="B476" s="1755" t="s">
        <v>392</v>
      </c>
      <c r="C476" s="1867" t="s">
        <v>444</v>
      </c>
      <c r="D476" s="1868"/>
      <c r="E476" s="1864">
        <v>0</v>
      </c>
      <c r="F476" s="1872" t="s">
        <v>37</v>
      </c>
      <c r="G476" s="1873">
        <v>609</v>
      </c>
      <c r="H476" s="1874">
        <f t="shared" ref="H476" si="316">E476*G476</f>
        <v>0</v>
      </c>
      <c r="I476" s="1875">
        <v>222</v>
      </c>
      <c r="J476" s="1876">
        <f t="shared" ref="J476" si="317">E476*I476</f>
        <v>0</v>
      </c>
      <c r="K476" s="1877">
        <f t="shared" ref="K476" si="318">H476+J476</f>
        <v>0</v>
      </c>
      <c r="L476" s="1865"/>
      <c r="M476" s="1866"/>
      <c r="N476" s="1837"/>
      <c r="O476" s="1837"/>
    </row>
    <row r="477" spans="1:24">
      <c r="A477" s="1806"/>
      <c r="B477" s="1755"/>
      <c r="C477" s="1867" t="s">
        <v>394</v>
      </c>
      <c r="D477" s="1868"/>
      <c r="E477" s="1864"/>
      <c r="F477" s="1872"/>
      <c r="G477" s="1873"/>
      <c r="H477" s="1874"/>
      <c r="I477" s="1875"/>
      <c r="J477" s="1876"/>
      <c r="K477" s="1877"/>
      <c r="L477" s="1865"/>
      <c r="M477" s="1866"/>
      <c r="N477" s="1837"/>
      <c r="O477" s="1837"/>
    </row>
    <row r="478" spans="1:24">
      <c r="A478" s="1806"/>
      <c r="B478" s="1755" t="s">
        <v>2916</v>
      </c>
      <c r="C478" s="1867" t="s">
        <v>444</v>
      </c>
      <c r="D478" s="1868"/>
      <c r="E478" s="1864">
        <v>0</v>
      </c>
      <c r="F478" s="64" t="s">
        <v>37</v>
      </c>
      <c r="G478" s="1873">
        <v>399</v>
      </c>
      <c r="H478" s="1874">
        <f t="shared" ref="H478" si="319">E478*G478</f>
        <v>0</v>
      </c>
      <c r="I478" s="1875">
        <v>222</v>
      </c>
      <c r="J478" s="1882">
        <f t="shared" ref="J478" si="320">E478*I478</f>
        <v>0</v>
      </c>
      <c r="K478" s="1877">
        <f t="shared" ref="K478" si="321">H478+J478</f>
        <v>0</v>
      </c>
      <c r="L478" s="1865"/>
      <c r="M478" s="1878"/>
      <c r="N478" s="1879"/>
      <c r="O478" s="1881"/>
    </row>
    <row r="479" spans="1:24">
      <c r="A479" s="1806"/>
      <c r="B479" s="1755"/>
      <c r="C479" s="1867" t="s">
        <v>394</v>
      </c>
      <c r="D479" s="1868"/>
      <c r="E479" s="1864"/>
      <c r="F479" s="64"/>
      <c r="G479" s="1873"/>
      <c r="H479" s="1874"/>
      <c r="I479" s="1875"/>
      <c r="J479" s="1882"/>
      <c r="K479" s="1877"/>
      <c r="L479" s="1865"/>
      <c r="M479" s="1878"/>
      <c r="N479" s="1879"/>
      <c r="O479" s="1881"/>
    </row>
    <row r="480" spans="1:24">
      <c r="A480" s="1806"/>
      <c r="B480" s="1755" t="s">
        <v>393</v>
      </c>
      <c r="C480" s="1867" t="s">
        <v>445</v>
      </c>
      <c r="D480" s="1868"/>
      <c r="E480" s="1864">
        <v>0</v>
      </c>
      <c r="F480" s="1872" t="s">
        <v>37</v>
      </c>
      <c r="G480" s="1873">
        <v>617</v>
      </c>
      <c r="H480" s="1874">
        <f t="shared" ref="H480" si="322">E480*G480</f>
        <v>0</v>
      </c>
      <c r="I480" s="1875">
        <v>242</v>
      </c>
      <c r="J480" s="1876">
        <f t="shared" ref="J480" si="323">E480*I480</f>
        <v>0</v>
      </c>
      <c r="K480" s="1877">
        <f t="shared" ref="K480" si="324">H480+J480</f>
        <v>0</v>
      </c>
      <c r="L480" s="1865"/>
      <c r="M480" s="1866"/>
      <c r="N480" s="1837"/>
      <c r="O480" s="1837"/>
    </row>
    <row r="481" spans="1:15">
      <c r="A481" s="1806"/>
      <c r="B481" s="1755"/>
      <c r="C481" s="1867" t="s">
        <v>394</v>
      </c>
      <c r="D481" s="1755"/>
      <c r="E481" s="1864"/>
      <c r="F481" s="1872"/>
      <c r="G481" s="1873"/>
      <c r="H481" s="1874"/>
      <c r="I481" s="1875"/>
      <c r="J481" s="1876"/>
      <c r="K481" s="1877"/>
      <c r="L481" s="1865"/>
      <c r="M481" s="1866"/>
      <c r="N481" s="1837"/>
      <c r="O481" s="1837"/>
    </row>
    <row r="482" spans="1:15">
      <c r="A482" s="1806"/>
      <c r="B482" s="1755" t="s">
        <v>2917</v>
      </c>
      <c r="C482" s="1867" t="s">
        <v>445</v>
      </c>
      <c r="D482" s="1868"/>
      <c r="E482" s="1864">
        <v>0</v>
      </c>
      <c r="F482" s="64" t="s">
        <v>37</v>
      </c>
      <c r="G482" s="1873">
        <v>399</v>
      </c>
      <c r="H482" s="1874">
        <f t="shared" ref="H482" si="325">E482*G482</f>
        <v>0</v>
      </c>
      <c r="I482" s="1875">
        <v>242</v>
      </c>
      <c r="J482" s="1882">
        <f t="shared" ref="J482" si="326">E482*I482</f>
        <v>0</v>
      </c>
      <c r="K482" s="1877">
        <f t="shared" ref="K482" si="327">H482+J482</f>
        <v>0</v>
      </c>
      <c r="L482" s="1865"/>
      <c r="M482" s="1878"/>
      <c r="N482" s="1879"/>
      <c r="O482" s="1883"/>
    </row>
    <row r="483" spans="1:15">
      <c r="A483" s="1806"/>
      <c r="B483" s="1755"/>
      <c r="C483" s="1755" t="s">
        <v>394</v>
      </c>
      <c r="D483" s="1755"/>
      <c r="E483" s="1864"/>
      <c r="F483" s="1801"/>
      <c r="G483" s="2289"/>
      <c r="H483" s="2290"/>
      <c r="I483" s="2291"/>
      <c r="J483" s="1861"/>
      <c r="K483" s="1862"/>
      <c r="L483" s="1865"/>
      <c r="M483" s="1878"/>
      <c r="N483" s="1879"/>
      <c r="O483" s="1881">
        <f>O475*O482</f>
        <v>0</v>
      </c>
    </row>
    <row r="484" spans="1:15">
      <c r="A484" s="1806"/>
      <c r="B484" s="1755" t="s">
        <v>395</v>
      </c>
      <c r="C484" s="1755" t="s">
        <v>396</v>
      </c>
      <c r="D484" s="1755"/>
      <c r="E484" s="1864">
        <v>1664</v>
      </c>
      <c r="F484" s="1801" t="s">
        <v>37</v>
      </c>
      <c r="G484" s="2289">
        <v>420</v>
      </c>
      <c r="H484" s="2290">
        <f t="shared" ref="H484:H485" si="328">E484*G484</f>
        <v>698880</v>
      </c>
      <c r="I484" s="2291">
        <v>100</v>
      </c>
      <c r="J484" s="1861">
        <f t="shared" ref="J484:J485" si="329">E484*I484</f>
        <v>166400</v>
      </c>
      <c r="K484" s="1862">
        <f t="shared" ref="K484:K485" si="330">H484+J484</f>
        <v>865280</v>
      </c>
      <c r="L484" s="1865"/>
      <c r="M484" s="1866"/>
      <c r="N484" s="1797"/>
    </row>
    <row r="485" spans="1:15">
      <c r="A485" s="1806"/>
      <c r="B485" s="1755" t="s">
        <v>397</v>
      </c>
      <c r="C485" s="1867" t="s">
        <v>398</v>
      </c>
      <c r="D485" s="1868"/>
      <c r="E485" s="1864">
        <v>0</v>
      </c>
      <c r="F485" s="1801" t="s">
        <v>37</v>
      </c>
      <c r="G485" s="2289">
        <v>564</v>
      </c>
      <c r="H485" s="2290">
        <f t="shared" si="328"/>
        <v>0</v>
      </c>
      <c r="I485" s="2291">
        <v>283</v>
      </c>
      <c r="J485" s="1861">
        <f t="shared" si="329"/>
        <v>0</v>
      </c>
      <c r="K485" s="1862">
        <f t="shared" si="330"/>
        <v>0</v>
      </c>
      <c r="L485" s="1865"/>
      <c r="M485" s="1866"/>
    </row>
    <row r="486" spans="1:15">
      <c r="A486" s="1806"/>
      <c r="B486" s="1755"/>
      <c r="C486" s="1755" t="s">
        <v>2783</v>
      </c>
      <c r="D486" s="1755"/>
      <c r="E486" s="1864"/>
      <c r="F486" s="1885"/>
      <c r="G486" s="2289"/>
      <c r="H486" s="2290"/>
      <c r="I486" s="2291"/>
      <c r="J486" s="1861"/>
      <c r="K486" s="1862"/>
      <c r="L486" s="1865"/>
      <c r="M486" s="1866"/>
    </row>
    <row r="487" spans="1:15">
      <c r="A487" s="1806"/>
      <c r="B487" s="1755" t="s">
        <v>2784</v>
      </c>
      <c r="C487" s="1755" t="s">
        <v>399</v>
      </c>
      <c r="D487" s="1755"/>
      <c r="E487" s="1864">
        <v>0</v>
      </c>
      <c r="F487" s="1801" t="s">
        <v>37</v>
      </c>
      <c r="G487" s="2289">
        <v>3570</v>
      </c>
      <c r="H487" s="2290">
        <f t="shared" ref="H487:H499" si="331">E487*G487</f>
        <v>0</v>
      </c>
      <c r="I487" s="2291">
        <v>220</v>
      </c>
      <c r="J487" s="1861">
        <f t="shared" ref="J487:J499" si="332">E487*I487</f>
        <v>0</v>
      </c>
      <c r="K487" s="1862">
        <f t="shared" ref="K487:K499" si="333">H487+J487</f>
        <v>0</v>
      </c>
      <c r="L487" s="1865"/>
      <c r="M487" s="1866"/>
    </row>
    <row r="488" spans="1:15">
      <c r="A488" s="1806"/>
      <c r="B488" s="1755" t="s">
        <v>400</v>
      </c>
      <c r="C488" s="1755" t="s">
        <v>401</v>
      </c>
      <c r="D488" s="1755"/>
      <c r="E488" s="1864">
        <v>132</v>
      </c>
      <c r="F488" s="1801" t="s">
        <v>37</v>
      </c>
      <c r="G488" s="2289">
        <f>ROUNDUP(2227.6*0.05+5*2.95,0)</f>
        <v>127</v>
      </c>
      <c r="H488" s="2290">
        <f t="shared" si="331"/>
        <v>16764</v>
      </c>
      <c r="I488" s="2291">
        <v>82</v>
      </c>
      <c r="J488" s="1861">
        <f t="shared" si="332"/>
        <v>10824</v>
      </c>
      <c r="K488" s="1862">
        <f t="shared" si="333"/>
        <v>27588</v>
      </c>
      <c r="L488" s="1865"/>
      <c r="M488" s="1866"/>
    </row>
    <row r="489" spans="1:15">
      <c r="A489" s="1806"/>
      <c r="B489" s="1755" t="s">
        <v>402</v>
      </c>
      <c r="C489" s="1867" t="s">
        <v>403</v>
      </c>
      <c r="D489" s="1868"/>
      <c r="E489" s="1864">
        <v>0</v>
      </c>
      <c r="F489" s="1801" t="s">
        <v>37</v>
      </c>
      <c r="G489" s="2291">
        <v>120</v>
      </c>
      <c r="H489" s="2290">
        <f t="shared" si="331"/>
        <v>0</v>
      </c>
      <c r="I489" s="2291">
        <v>61</v>
      </c>
      <c r="J489" s="1861">
        <f t="shared" si="332"/>
        <v>0</v>
      </c>
      <c r="K489" s="1862">
        <f t="shared" si="333"/>
        <v>0</v>
      </c>
      <c r="L489" s="1865"/>
      <c r="M489" s="1866"/>
    </row>
    <row r="490" spans="1:15">
      <c r="A490" s="1806"/>
      <c r="B490" s="1755" t="s">
        <v>404</v>
      </c>
      <c r="C490" s="1755" t="s">
        <v>405</v>
      </c>
      <c r="D490" s="1755"/>
      <c r="E490" s="1864">
        <v>0</v>
      </c>
      <c r="F490" s="1801" t="s">
        <v>37</v>
      </c>
      <c r="G490" s="2289">
        <v>447</v>
      </c>
      <c r="H490" s="2290">
        <f t="shared" si="331"/>
        <v>0</v>
      </c>
      <c r="I490" s="2291">
        <v>212</v>
      </c>
      <c r="J490" s="1861">
        <f t="shared" si="332"/>
        <v>0</v>
      </c>
      <c r="K490" s="1862">
        <f t="shared" si="333"/>
        <v>0</v>
      </c>
      <c r="L490" s="1865"/>
      <c r="M490" s="1866"/>
    </row>
    <row r="491" spans="1:15">
      <c r="A491" s="1806"/>
      <c r="B491" s="1755" t="s">
        <v>406</v>
      </c>
      <c r="C491" s="1867" t="s">
        <v>407</v>
      </c>
      <c r="D491" s="1868"/>
      <c r="E491" s="1864">
        <v>0</v>
      </c>
      <c r="F491" s="1801" t="s">
        <v>37</v>
      </c>
      <c r="G491" s="2291">
        <v>240</v>
      </c>
      <c r="H491" s="2290">
        <f t="shared" si="331"/>
        <v>0</v>
      </c>
      <c r="I491" s="2291">
        <v>80</v>
      </c>
      <c r="J491" s="1861">
        <f t="shared" si="332"/>
        <v>0</v>
      </c>
      <c r="K491" s="1862">
        <f t="shared" si="333"/>
        <v>0</v>
      </c>
      <c r="L491" s="1865"/>
      <c r="M491" s="1866"/>
    </row>
    <row r="492" spans="1:15">
      <c r="A492" s="1806"/>
      <c r="B492" s="1755" t="s">
        <v>408</v>
      </c>
      <c r="C492" s="1867" t="s">
        <v>409</v>
      </c>
      <c r="D492" s="1868"/>
      <c r="E492" s="1864">
        <v>626</v>
      </c>
      <c r="F492" s="1801" t="s">
        <v>37</v>
      </c>
      <c r="G492" s="2291">
        <v>230</v>
      </c>
      <c r="H492" s="2290">
        <f t="shared" si="331"/>
        <v>143980</v>
      </c>
      <c r="I492" s="2291">
        <v>50</v>
      </c>
      <c r="J492" s="1861">
        <f t="shared" si="332"/>
        <v>31300</v>
      </c>
      <c r="K492" s="1862">
        <f t="shared" si="333"/>
        <v>175280</v>
      </c>
      <c r="L492" s="1865"/>
      <c r="M492" s="1866"/>
    </row>
    <row r="493" spans="1:15">
      <c r="A493" s="1806"/>
      <c r="B493" s="1755" t="s">
        <v>410</v>
      </c>
      <c r="C493" s="1867" t="s">
        <v>411</v>
      </c>
      <c r="D493" s="1868"/>
      <c r="E493" s="1864">
        <v>247</v>
      </c>
      <c r="F493" s="1801" t="s">
        <v>37</v>
      </c>
      <c r="G493" s="2289">
        <v>220</v>
      </c>
      <c r="H493" s="2290">
        <f t="shared" si="331"/>
        <v>54340</v>
      </c>
      <c r="I493" s="2291">
        <v>80</v>
      </c>
      <c r="J493" s="1861">
        <f t="shared" si="332"/>
        <v>19760</v>
      </c>
      <c r="K493" s="1862">
        <f t="shared" si="333"/>
        <v>74100</v>
      </c>
      <c r="L493" s="1865"/>
      <c r="M493" s="1866"/>
    </row>
    <row r="494" spans="1:15">
      <c r="A494" s="1806"/>
      <c r="B494" s="1755" t="s">
        <v>412</v>
      </c>
      <c r="C494" s="1867" t="s">
        <v>413</v>
      </c>
      <c r="D494" s="1868"/>
      <c r="E494" s="1864">
        <v>0</v>
      </c>
      <c r="F494" s="1801" t="s">
        <v>37</v>
      </c>
      <c r="G494" s="2289">
        <v>113</v>
      </c>
      <c r="H494" s="2290">
        <f t="shared" si="331"/>
        <v>0</v>
      </c>
      <c r="I494" s="2291">
        <v>61</v>
      </c>
      <c r="J494" s="1861">
        <f t="shared" si="332"/>
        <v>0</v>
      </c>
      <c r="K494" s="1862">
        <f t="shared" si="333"/>
        <v>0</v>
      </c>
      <c r="L494" s="1865"/>
      <c r="M494" s="1866"/>
    </row>
    <row r="495" spans="1:15">
      <c r="A495" s="1806"/>
      <c r="B495" s="1755" t="s">
        <v>414</v>
      </c>
      <c r="C495" s="1867" t="s">
        <v>415</v>
      </c>
      <c r="D495" s="1868"/>
      <c r="E495" s="1864">
        <v>0</v>
      </c>
      <c r="F495" s="1801" t="s">
        <v>37</v>
      </c>
      <c r="G495" s="2289">
        <v>113</v>
      </c>
      <c r="H495" s="2290">
        <f t="shared" si="331"/>
        <v>0</v>
      </c>
      <c r="I495" s="2291">
        <v>61</v>
      </c>
      <c r="J495" s="1861">
        <f t="shared" si="332"/>
        <v>0</v>
      </c>
      <c r="K495" s="1862">
        <f t="shared" si="333"/>
        <v>0</v>
      </c>
      <c r="L495" s="1865"/>
      <c r="M495" s="1866"/>
    </row>
    <row r="496" spans="1:15">
      <c r="A496" s="1806"/>
      <c r="B496" s="1755" t="s">
        <v>416</v>
      </c>
      <c r="C496" s="1867" t="s">
        <v>417</v>
      </c>
      <c r="D496" s="1868"/>
      <c r="E496" s="1864">
        <v>0</v>
      </c>
      <c r="F496" s="1801" t="s">
        <v>37</v>
      </c>
      <c r="G496" s="2289">
        <v>113</v>
      </c>
      <c r="H496" s="2290">
        <f t="shared" si="331"/>
        <v>0</v>
      </c>
      <c r="I496" s="2291">
        <v>61</v>
      </c>
      <c r="J496" s="1861">
        <f t="shared" si="332"/>
        <v>0</v>
      </c>
      <c r="K496" s="1862">
        <f t="shared" si="333"/>
        <v>0</v>
      </c>
      <c r="L496" s="1865"/>
      <c r="M496" s="1866"/>
    </row>
    <row r="497" spans="1:24">
      <c r="A497" s="1806"/>
      <c r="B497" s="1755" t="s">
        <v>418</v>
      </c>
      <c r="C497" s="1867" t="s">
        <v>419</v>
      </c>
      <c r="D497" s="1859"/>
      <c r="E497" s="1864">
        <v>0</v>
      </c>
      <c r="F497" s="1801" t="s">
        <v>37</v>
      </c>
      <c r="G497" s="2289">
        <v>113</v>
      </c>
      <c r="H497" s="2290">
        <f t="shared" si="331"/>
        <v>0</v>
      </c>
      <c r="I497" s="2291">
        <v>61</v>
      </c>
      <c r="J497" s="1861">
        <f t="shared" si="332"/>
        <v>0</v>
      </c>
      <c r="K497" s="1862">
        <f t="shared" si="333"/>
        <v>0</v>
      </c>
      <c r="L497" s="1865"/>
      <c r="M497" s="1866"/>
    </row>
    <row r="498" spans="1:24">
      <c r="A498" s="1806"/>
      <c r="B498" s="1755" t="s">
        <v>420</v>
      </c>
      <c r="C498" s="1867" t="s">
        <v>421</v>
      </c>
      <c r="D498" s="1859"/>
      <c r="E498" s="1864">
        <v>79</v>
      </c>
      <c r="F498" s="1801" t="s">
        <v>37</v>
      </c>
      <c r="G498" s="2289">
        <v>583</v>
      </c>
      <c r="H498" s="2290">
        <f t="shared" si="331"/>
        <v>46057</v>
      </c>
      <c r="I498" s="2291">
        <v>298</v>
      </c>
      <c r="J498" s="1861">
        <f t="shared" si="332"/>
        <v>23542</v>
      </c>
      <c r="K498" s="1862">
        <f t="shared" si="333"/>
        <v>69599</v>
      </c>
      <c r="L498" s="1865"/>
      <c r="M498" s="1866"/>
    </row>
    <row r="499" spans="1:24">
      <c r="A499" s="1806"/>
      <c r="B499" s="1755" t="s">
        <v>422</v>
      </c>
      <c r="C499" s="1755" t="s">
        <v>423</v>
      </c>
      <c r="D499" s="1859"/>
      <c r="E499" s="1864">
        <v>0</v>
      </c>
      <c r="F499" s="1801" t="s">
        <v>37</v>
      </c>
      <c r="G499" s="2289">
        <v>240</v>
      </c>
      <c r="H499" s="2290">
        <f t="shared" si="331"/>
        <v>0</v>
      </c>
      <c r="I499" s="2291">
        <v>50</v>
      </c>
      <c r="J499" s="1861">
        <f t="shared" si="332"/>
        <v>0</v>
      </c>
      <c r="K499" s="1862">
        <f t="shared" si="333"/>
        <v>0</v>
      </c>
      <c r="L499" s="1865"/>
      <c r="M499" s="1866"/>
    </row>
    <row r="500" spans="1:24">
      <c r="A500" s="1806"/>
      <c r="B500" s="1755"/>
      <c r="C500" s="1755" t="s">
        <v>424</v>
      </c>
      <c r="D500" s="1859"/>
      <c r="E500" s="1864"/>
      <c r="F500" s="1801"/>
      <c r="G500" s="2289"/>
      <c r="H500" s="2290"/>
      <c r="I500" s="2291"/>
      <c r="J500" s="1861"/>
      <c r="K500" s="1862"/>
      <c r="L500" s="1865"/>
      <c r="M500" s="1866"/>
    </row>
    <row r="501" spans="1:24">
      <c r="A501" s="1806"/>
      <c r="B501" s="1887" t="s">
        <v>425</v>
      </c>
      <c r="C501" s="1755" t="s">
        <v>2785</v>
      </c>
      <c r="D501" s="1859"/>
      <c r="E501" s="1864">
        <f>E499</f>
        <v>0</v>
      </c>
      <c r="F501" s="1801" t="s">
        <v>37</v>
      </c>
      <c r="G501" s="2289">
        <v>140</v>
      </c>
      <c r="H501" s="2290">
        <f t="shared" ref="H501:H502" si="334">E501*G501</f>
        <v>0</v>
      </c>
      <c r="I501" s="2291">
        <v>40</v>
      </c>
      <c r="J501" s="1861">
        <f t="shared" ref="J501:J502" si="335">E501*I501</f>
        <v>0</v>
      </c>
      <c r="K501" s="1862">
        <f t="shared" ref="K501:K502" si="336">H501+J501</f>
        <v>0</v>
      </c>
      <c r="L501" s="1865"/>
      <c r="M501" s="1866"/>
    </row>
    <row r="502" spans="1:24">
      <c r="A502" s="2275"/>
      <c r="B502" s="1755" t="s">
        <v>426</v>
      </c>
      <c r="C502" s="1755" t="s">
        <v>427</v>
      </c>
      <c r="D502" s="1859"/>
      <c r="E502" s="1864">
        <v>0</v>
      </c>
      <c r="F502" s="1801" t="s">
        <v>37</v>
      </c>
      <c r="G502" s="2289">
        <v>0</v>
      </c>
      <c r="H502" s="2290">
        <f t="shared" si="334"/>
        <v>0</v>
      </c>
      <c r="I502" s="2291">
        <v>0</v>
      </c>
      <c r="J502" s="1861">
        <f t="shared" si="335"/>
        <v>0</v>
      </c>
      <c r="K502" s="1862">
        <f t="shared" si="336"/>
        <v>0</v>
      </c>
      <c r="L502" s="1865"/>
      <c r="M502" s="1866"/>
      <c r="O502" s="1886"/>
    </row>
    <row r="503" spans="1:24">
      <c r="A503" s="2275"/>
      <c r="B503" s="1755"/>
      <c r="C503" s="1755" t="s">
        <v>428</v>
      </c>
      <c r="D503" s="1859"/>
      <c r="E503" s="1864"/>
      <c r="F503" s="1801"/>
      <c r="G503" s="2289"/>
      <c r="H503" s="2290"/>
      <c r="I503" s="2291"/>
      <c r="J503" s="1861"/>
      <c r="K503" s="1862"/>
      <c r="L503" s="1865"/>
      <c r="M503" s="1866"/>
      <c r="O503" s="1886"/>
    </row>
    <row r="504" spans="1:24">
      <c r="A504" s="2275"/>
      <c r="B504" s="1755"/>
      <c r="C504" s="1755" t="s">
        <v>429</v>
      </c>
      <c r="D504" s="1859"/>
      <c r="E504" s="1864"/>
      <c r="F504" s="1801"/>
      <c r="G504" s="2289"/>
      <c r="H504" s="2290"/>
      <c r="I504" s="2291"/>
      <c r="J504" s="1861"/>
      <c r="K504" s="1862"/>
      <c r="L504" s="1865"/>
      <c r="M504" s="1866"/>
      <c r="O504" s="1886"/>
    </row>
    <row r="505" spans="1:24">
      <c r="A505" s="93"/>
      <c r="B505" s="1888" t="s">
        <v>430</v>
      </c>
      <c r="C505" s="1888" t="s">
        <v>2923</v>
      </c>
      <c r="D505" s="1889"/>
      <c r="E505" s="1890">
        <v>0</v>
      </c>
      <c r="F505" s="1872" t="s">
        <v>37</v>
      </c>
      <c r="G505" s="2294">
        <v>253</v>
      </c>
      <c r="H505" s="2295">
        <f t="shared" ref="H505:H506" si="337">E505*G505</f>
        <v>0</v>
      </c>
      <c r="I505" s="2296">
        <v>50</v>
      </c>
      <c r="J505" s="1876">
        <f t="shared" ref="J505:J506" si="338">E505*I505</f>
        <v>0</v>
      </c>
      <c r="K505" s="1877">
        <f t="shared" ref="K505:K506" si="339">H505+J505</f>
        <v>0</v>
      </c>
      <c r="L505" s="1865"/>
      <c r="M505" s="1866"/>
      <c r="O505" s="1886"/>
    </row>
    <row r="506" spans="1:24" ht="24" customHeight="1">
      <c r="A506" s="2275"/>
      <c r="B506" s="1755" t="s">
        <v>431</v>
      </c>
      <c r="C506" s="1755" t="s">
        <v>432</v>
      </c>
      <c r="D506" s="1859"/>
      <c r="E506" s="1864">
        <v>0</v>
      </c>
      <c r="F506" s="1801" t="s">
        <v>37</v>
      </c>
      <c r="G506" s="2289">
        <v>0</v>
      </c>
      <c r="H506" s="2290">
        <f t="shared" si="337"/>
        <v>0</v>
      </c>
      <c r="I506" s="2291">
        <v>220</v>
      </c>
      <c r="J506" s="1861">
        <f t="shared" si="338"/>
        <v>0</v>
      </c>
      <c r="K506" s="1862">
        <f t="shared" si="339"/>
        <v>0</v>
      </c>
      <c r="L506" s="1858"/>
      <c r="M506" s="1809"/>
      <c r="N506" s="1837"/>
      <c r="O506" s="1886"/>
      <c r="P506" s="1837"/>
      <c r="Q506" s="1837"/>
      <c r="R506" s="1837"/>
      <c r="S506" s="1837"/>
      <c r="T506" s="1837"/>
      <c r="U506" s="1837"/>
      <c r="V506" s="1837"/>
      <c r="W506" s="1837"/>
      <c r="X506" s="1837"/>
    </row>
    <row r="507" spans="1:24" ht="24" customHeight="1">
      <c r="A507" s="2275"/>
      <c r="B507" s="1755"/>
      <c r="C507" s="1755" t="s">
        <v>433</v>
      </c>
      <c r="D507" s="1891"/>
      <c r="E507" s="1864"/>
      <c r="F507" s="1801"/>
      <c r="G507" s="2289"/>
      <c r="H507" s="2290"/>
      <c r="I507" s="2291"/>
      <c r="J507" s="1861"/>
      <c r="K507" s="1862"/>
      <c r="L507" s="1858"/>
      <c r="M507" s="1809"/>
      <c r="N507" s="1837"/>
      <c r="O507" s="1886"/>
      <c r="P507" s="1837"/>
      <c r="Q507" s="1837"/>
      <c r="R507" s="1837"/>
      <c r="S507" s="1837"/>
      <c r="T507" s="1837"/>
      <c r="U507" s="1837"/>
      <c r="V507" s="1837"/>
      <c r="W507" s="1837"/>
      <c r="X507" s="1837"/>
    </row>
    <row r="508" spans="1:24">
      <c r="A508" s="1806"/>
      <c r="B508" s="1755" t="s">
        <v>434</v>
      </c>
      <c r="C508" s="1755" t="s">
        <v>435</v>
      </c>
      <c r="D508" s="1891"/>
      <c r="E508" s="1864">
        <v>0</v>
      </c>
      <c r="F508" s="1801" t="s">
        <v>37</v>
      </c>
      <c r="G508" s="1892">
        <v>398</v>
      </c>
      <c r="H508" s="2290">
        <f t="shared" ref="H508" si="340">E508*G508</f>
        <v>0</v>
      </c>
      <c r="I508" s="1968">
        <v>154</v>
      </c>
      <c r="J508" s="1861">
        <f t="shared" ref="J508" si="341">E508*I508</f>
        <v>0</v>
      </c>
      <c r="K508" s="1862">
        <f t="shared" ref="K508" si="342">H508+J508</f>
        <v>0</v>
      </c>
      <c r="L508" s="1864"/>
      <c r="M508" s="1894"/>
    </row>
    <row r="509" spans="1:24">
      <c r="A509" s="1806"/>
      <c r="B509" s="1755"/>
      <c r="C509" s="1895" t="s">
        <v>436</v>
      </c>
      <c r="D509" s="1891"/>
      <c r="E509" s="1864"/>
      <c r="F509" s="1801"/>
      <c r="G509" s="2289"/>
      <c r="H509" s="2290"/>
      <c r="I509" s="2291"/>
      <c r="J509" s="1861"/>
      <c r="K509" s="1862"/>
      <c r="L509" s="1865"/>
      <c r="M509" s="1866"/>
    </row>
    <row r="510" spans="1:24">
      <c r="A510" s="1806"/>
      <c r="B510" s="1895"/>
      <c r="C510" s="1895"/>
      <c r="D510" s="1891"/>
      <c r="E510" s="1864"/>
      <c r="F510" s="1801"/>
      <c r="G510" s="2289"/>
      <c r="H510" s="2290"/>
      <c r="I510" s="2291"/>
      <c r="J510" s="1861"/>
      <c r="K510" s="1862"/>
      <c r="L510" s="1865"/>
      <c r="M510" s="1866"/>
    </row>
    <row r="511" spans="1:24">
      <c r="A511" s="1806"/>
      <c r="B511" s="1895"/>
      <c r="C511" s="1895"/>
      <c r="D511" s="1891"/>
      <c r="E511" s="1864"/>
      <c r="F511" s="1801"/>
      <c r="G511" s="2289"/>
      <c r="H511" s="2290"/>
      <c r="I511" s="2291"/>
      <c r="J511" s="1861"/>
      <c r="K511" s="1862"/>
      <c r="L511" s="1865"/>
      <c r="M511" s="1866"/>
    </row>
    <row r="512" spans="1:24" s="1900" customFormat="1">
      <c r="A512" s="1896"/>
      <c r="B512" s="1895" t="s">
        <v>437</v>
      </c>
      <c r="C512" s="1895"/>
      <c r="D512" s="1895"/>
      <c r="E512" s="1897"/>
      <c r="F512" s="1806"/>
      <c r="G512" s="1789"/>
      <c r="H512" s="2290"/>
      <c r="I512" s="2083"/>
      <c r="J512" s="1861"/>
      <c r="K512" s="1862"/>
      <c r="L512" s="1899"/>
      <c r="M512" s="1737"/>
    </row>
    <row r="513" spans="1:24">
      <c r="A513" s="1901"/>
      <c r="B513" s="1902" t="s">
        <v>2924</v>
      </c>
      <c r="C513" s="2228" t="s">
        <v>446</v>
      </c>
      <c r="D513" s="2229"/>
      <c r="E513" s="1897">
        <v>0</v>
      </c>
      <c r="F513" s="1806" t="s">
        <v>438</v>
      </c>
      <c r="G513" s="60">
        <v>200</v>
      </c>
      <c r="H513" s="2295">
        <f t="shared" ref="H513:H515" si="343">E513*G513</f>
        <v>0</v>
      </c>
      <c r="I513" s="673">
        <v>45</v>
      </c>
      <c r="J513" s="1876">
        <f t="shared" ref="J513:J515" si="344">E513*I513</f>
        <v>0</v>
      </c>
      <c r="K513" s="1877">
        <f t="shared" ref="K513:K515" si="345">H513+J513</f>
        <v>0</v>
      </c>
      <c r="L513" s="119"/>
      <c r="M513" s="62" t="s">
        <v>2925</v>
      </c>
    </row>
    <row r="514" spans="1:24">
      <c r="A514" s="1901"/>
      <c r="B514" s="1902" t="s">
        <v>2924</v>
      </c>
      <c r="C514" s="2228" t="s">
        <v>439</v>
      </c>
      <c r="D514" s="2229"/>
      <c r="E514" s="1897">
        <v>1244</v>
      </c>
      <c r="F514" s="1806" t="s">
        <v>438</v>
      </c>
      <c r="G514" s="60">
        <v>19</v>
      </c>
      <c r="H514" s="2295">
        <f t="shared" si="343"/>
        <v>23636</v>
      </c>
      <c r="I514" s="673">
        <v>20</v>
      </c>
      <c r="J514" s="1876">
        <f t="shared" si="344"/>
        <v>24880</v>
      </c>
      <c r="K514" s="1877">
        <f t="shared" si="345"/>
        <v>48516</v>
      </c>
      <c r="L514" s="119"/>
      <c r="M514" s="62" t="s">
        <v>2925</v>
      </c>
    </row>
    <row r="515" spans="1:24">
      <c r="A515" s="1901"/>
      <c r="B515" s="2230" t="s">
        <v>425</v>
      </c>
      <c r="C515" s="2231" t="s">
        <v>440</v>
      </c>
      <c r="D515" s="2229"/>
      <c r="E515" s="1897">
        <v>0</v>
      </c>
      <c r="F515" s="1806" t="s">
        <v>438</v>
      </c>
      <c r="G515" s="1789">
        <v>0</v>
      </c>
      <c r="H515" s="2290">
        <f t="shared" si="343"/>
        <v>0</v>
      </c>
      <c r="I515" s="2083">
        <v>0</v>
      </c>
      <c r="J515" s="1861">
        <f t="shared" si="344"/>
        <v>0</v>
      </c>
      <c r="K515" s="1862">
        <f t="shared" si="345"/>
        <v>0</v>
      </c>
      <c r="L515" s="1899"/>
      <c r="M515" s="1797">
        <f>SUM(K468:K515)</f>
        <v>1715547</v>
      </c>
    </row>
    <row r="516" spans="1:24">
      <c r="A516" s="1782"/>
      <c r="B516" s="1915"/>
      <c r="C516" s="2231"/>
      <c r="D516" s="2229"/>
      <c r="E516" s="1897"/>
      <c r="F516" s="2275"/>
      <c r="G516" s="1778"/>
      <c r="H516" s="2290"/>
      <c r="I516" s="2218"/>
      <c r="J516" s="1927"/>
      <c r="K516" s="1917"/>
      <c r="L516" s="1918"/>
    </row>
    <row r="517" spans="1:24" ht="24" customHeight="1">
      <c r="A517" s="2232" t="s">
        <v>463</v>
      </c>
      <c r="B517" s="1908" t="s">
        <v>464</v>
      </c>
      <c r="C517" s="2234"/>
      <c r="D517" s="1891"/>
      <c r="E517" s="1897"/>
      <c r="F517" s="2275"/>
      <c r="G517" s="1925"/>
      <c r="H517" s="1777"/>
      <c r="I517" s="1926"/>
      <c r="J517" s="1777"/>
      <c r="K517" s="1778"/>
      <c r="L517" s="1918"/>
      <c r="P517" s="1837"/>
      <c r="Q517" s="1837"/>
      <c r="R517" s="1837"/>
      <c r="S517" s="1837"/>
      <c r="T517" s="1837"/>
      <c r="U517" s="1837"/>
      <c r="V517" s="1837"/>
      <c r="W517" s="1837"/>
      <c r="X517" s="1837"/>
    </row>
    <row r="518" spans="1:24">
      <c r="A518" s="1806"/>
      <c r="B518" s="1783"/>
      <c r="C518" s="1755" t="s">
        <v>2955</v>
      </c>
      <c r="D518" s="1859"/>
      <c r="E518" s="1860">
        <f>E520+E521+E523+E525+E527+E529+E531+E533+E534+E536+E539+E541+E542+E547+E555</f>
        <v>744</v>
      </c>
      <c r="F518" s="1801" t="s">
        <v>37</v>
      </c>
      <c r="G518" s="2289">
        <v>113</v>
      </c>
      <c r="H518" s="2290">
        <f>E518*G518</f>
        <v>84072</v>
      </c>
      <c r="I518" s="2291">
        <v>61</v>
      </c>
      <c r="J518" s="1861">
        <f t="shared" ref="J518:J521" si="346">E518*I518</f>
        <v>45384</v>
      </c>
      <c r="K518" s="1862">
        <f t="shared" ref="K518:K521" si="347">H518+J518</f>
        <v>129456</v>
      </c>
      <c r="L518" s="2292"/>
      <c r="M518" s="2293"/>
      <c r="N518" s="1797">
        <f>SUM(E519:E558)</f>
        <v>744</v>
      </c>
    </row>
    <row r="519" spans="1:24">
      <c r="A519" s="1806"/>
      <c r="B519" s="1755" t="s">
        <v>385</v>
      </c>
      <c r="C519" s="1755" t="s">
        <v>386</v>
      </c>
      <c r="D519" s="1859"/>
      <c r="E519" s="1860">
        <v>0</v>
      </c>
      <c r="F519" s="1801" t="s">
        <v>37</v>
      </c>
      <c r="G519" s="2289">
        <v>113</v>
      </c>
      <c r="H519" s="2290">
        <f t="shared" ref="H519:H521" si="348">E519*G519</f>
        <v>0</v>
      </c>
      <c r="I519" s="2291">
        <v>61</v>
      </c>
      <c r="J519" s="1861">
        <f t="shared" si="346"/>
        <v>0</v>
      </c>
      <c r="K519" s="1862">
        <f t="shared" si="347"/>
        <v>0</v>
      </c>
      <c r="L519" s="2292"/>
      <c r="M519" s="2293"/>
      <c r="N519" s="1797"/>
    </row>
    <row r="520" spans="1:24">
      <c r="A520" s="1806"/>
      <c r="B520" s="1755" t="s">
        <v>387</v>
      </c>
      <c r="C520" s="1755" t="s">
        <v>388</v>
      </c>
      <c r="D520" s="1755"/>
      <c r="E520" s="1864">
        <v>0</v>
      </c>
      <c r="F520" s="1801" t="s">
        <v>37</v>
      </c>
      <c r="G520" s="2289">
        <v>564</v>
      </c>
      <c r="H520" s="2290">
        <f t="shared" si="348"/>
        <v>0</v>
      </c>
      <c r="I520" s="2291">
        <v>283</v>
      </c>
      <c r="J520" s="1861">
        <f t="shared" si="346"/>
        <v>0</v>
      </c>
      <c r="K520" s="1862">
        <f t="shared" si="347"/>
        <v>0</v>
      </c>
      <c r="L520" s="1865"/>
      <c r="M520" s="1866"/>
    </row>
    <row r="521" spans="1:24">
      <c r="A521" s="1806"/>
      <c r="B521" s="1755" t="s">
        <v>389</v>
      </c>
      <c r="C521" s="1867" t="s">
        <v>390</v>
      </c>
      <c r="D521" s="1868"/>
      <c r="E521" s="1864">
        <v>0</v>
      </c>
      <c r="F521" s="1801" t="s">
        <v>37</v>
      </c>
      <c r="G521" s="2289">
        <v>295</v>
      </c>
      <c r="H521" s="2290">
        <f t="shared" si="348"/>
        <v>0</v>
      </c>
      <c r="I521" s="2291">
        <v>184</v>
      </c>
      <c r="J521" s="1861">
        <f t="shared" si="346"/>
        <v>0</v>
      </c>
      <c r="K521" s="1862">
        <f t="shared" si="347"/>
        <v>0</v>
      </c>
      <c r="L521" s="1865"/>
      <c r="M521" s="1866"/>
    </row>
    <row r="522" spans="1:24">
      <c r="A522" s="1806"/>
      <c r="B522" s="1755"/>
      <c r="C522" s="1867" t="s">
        <v>2778</v>
      </c>
      <c r="D522" s="1868"/>
      <c r="E522" s="1864"/>
      <c r="F522" s="1801"/>
      <c r="G522" s="2289"/>
      <c r="H522" s="2290"/>
      <c r="I522" s="2291"/>
      <c r="J522" s="1861"/>
      <c r="K522" s="1862"/>
      <c r="L522" s="1865"/>
      <c r="M522" s="1866"/>
    </row>
    <row r="523" spans="1:24">
      <c r="A523" s="1806"/>
      <c r="B523" s="1755" t="s">
        <v>391</v>
      </c>
      <c r="C523" s="1867" t="s">
        <v>443</v>
      </c>
      <c r="D523" s="1868"/>
      <c r="E523" s="1864">
        <v>0</v>
      </c>
      <c r="F523" s="1801" t="s">
        <v>37</v>
      </c>
      <c r="G523" s="2289">
        <v>297</v>
      </c>
      <c r="H523" s="2290">
        <f t="shared" ref="H523" si="349">E523*G523</f>
        <v>0</v>
      </c>
      <c r="I523" s="2291">
        <v>204</v>
      </c>
      <c r="J523" s="1861">
        <f t="shared" ref="J523" si="350">E523*I523</f>
        <v>0</v>
      </c>
      <c r="K523" s="1862">
        <f t="shared" ref="K523" si="351">H523+J523</f>
        <v>0</v>
      </c>
      <c r="L523" s="1865"/>
      <c r="M523" s="1866"/>
    </row>
    <row r="524" spans="1:24">
      <c r="A524" s="1806"/>
      <c r="B524" s="1755"/>
      <c r="C524" s="1867" t="s">
        <v>2786</v>
      </c>
      <c r="D524" s="1868"/>
      <c r="E524" s="1864"/>
      <c r="F524" s="1801"/>
      <c r="G524" s="2289"/>
      <c r="H524" s="2290"/>
      <c r="I524" s="2291"/>
      <c r="J524" s="1861"/>
      <c r="K524" s="1862"/>
      <c r="L524" s="1865"/>
      <c r="M524" s="1866"/>
    </row>
    <row r="525" spans="1:24">
      <c r="A525" s="1806"/>
      <c r="B525" s="1755" t="s">
        <v>392</v>
      </c>
      <c r="C525" s="1867" t="s">
        <v>444</v>
      </c>
      <c r="D525" s="1868"/>
      <c r="E525" s="1864">
        <v>0</v>
      </c>
      <c r="F525" s="1872" t="s">
        <v>37</v>
      </c>
      <c r="G525" s="1873">
        <v>609</v>
      </c>
      <c r="H525" s="1874">
        <f t="shared" ref="H525" si="352">E525*G525</f>
        <v>0</v>
      </c>
      <c r="I525" s="1875">
        <v>222</v>
      </c>
      <c r="J525" s="1876">
        <f t="shared" ref="J525" si="353">E525*I525</f>
        <v>0</v>
      </c>
      <c r="K525" s="1877">
        <f t="shared" ref="K525" si="354">H525+J525</f>
        <v>0</v>
      </c>
      <c r="L525" s="1865"/>
      <c r="M525" s="1866"/>
      <c r="N525" s="1837"/>
      <c r="O525" s="1837"/>
    </row>
    <row r="526" spans="1:24">
      <c r="A526" s="1806"/>
      <c r="B526" s="1755"/>
      <c r="C526" s="1867" t="s">
        <v>394</v>
      </c>
      <c r="D526" s="1868"/>
      <c r="E526" s="1864"/>
      <c r="F526" s="1872"/>
      <c r="G526" s="1873"/>
      <c r="H526" s="1874"/>
      <c r="I526" s="1875"/>
      <c r="J526" s="1876"/>
      <c r="K526" s="1877"/>
      <c r="L526" s="1865"/>
      <c r="M526" s="1866"/>
      <c r="N526" s="1837"/>
      <c r="O526" s="1837"/>
    </row>
    <row r="527" spans="1:24">
      <c r="A527" s="1806"/>
      <c r="B527" s="1755" t="s">
        <v>2916</v>
      </c>
      <c r="C527" s="1867" t="s">
        <v>444</v>
      </c>
      <c r="D527" s="1868"/>
      <c r="E527" s="1864">
        <v>0</v>
      </c>
      <c r="F527" s="64" t="s">
        <v>37</v>
      </c>
      <c r="G527" s="1873">
        <v>399</v>
      </c>
      <c r="H527" s="1874">
        <f t="shared" ref="H527" si="355">E527*G527</f>
        <v>0</v>
      </c>
      <c r="I527" s="1875">
        <v>222</v>
      </c>
      <c r="J527" s="1882">
        <f t="shared" ref="J527" si="356">E527*I527</f>
        <v>0</v>
      </c>
      <c r="K527" s="1877">
        <f t="shared" ref="K527" si="357">H527+J527</f>
        <v>0</v>
      </c>
      <c r="L527" s="1865"/>
      <c r="M527" s="1878"/>
      <c r="N527" s="1879"/>
      <c r="O527" s="1881"/>
    </row>
    <row r="528" spans="1:24">
      <c r="A528" s="1806"/>
      <c r="B528" s="1755"/>
      <c r="C528" s="1867" t="s">
        <v>394</v>
      </c>
      <c r="D528" s="1868"/>
      <c r="E528" s="1864"/>
      <c r="F528" s="64"/>
      <c r="G528" s="1873"/>
      <c r="H528" s="1874"/>
      <c r="I528" s="1875"/>
      <c r="J528" s="1882"/>
      <c r="K528" s="1877"/>
      <c r="L528" s="1865"/>
      <c r="M528" s="1878"/>
      <c r="N528" s="1879"/>
      <c r="O528" s="1881"/>
    </row>
    <row r="529" spans="1:15">
      <c r="A529" s="1806"/>
      <c r="B529" s="1755" t="s">
        <v>393</v>
      </c>
      <c r="C529" s="1867" t="s">
        <v>445</v>
      </c>
      <c r="D529" s="1868"/>
      <c r="E529" s="1864">
        <v>0</v>
      </c>
      <c r="F529" s="1872" t="s">
        <v>37</v>
      </c>
      <c r="G529" s="1873">
        <v>617</v>
      </c>
      <c r="H529" s="1874">
        <f t="shared" ref="H529" si="358">E529*G529</f>
        <v>0</v>
      </c>
      <c r="I529" s="1875">
        <v>242</v>
      </c>
      <c r="J529" s="1876">
        <f t="shared" ref="J529" si="359">E529*I529</f>
        <v>0</v>
      </c>
      <c r="K529" s="1877">
        <f t="shared" ref="K529" si="360">H529+J529</f>
        <v>0</v>
      </c>
      <c r="L529" s="1865"/>
      <c r="M529" s="1866"/>
      <c r="N529" s="1837"/>
      <c r="O529" s="1837"/>
    </row>
    <row r="530" spans="1:15">
      <c r="A530" s="1806"/>
      <c r="B530" s="1755"/>
      <c r="C530" s="1867" t="s">
        <v>394</v>
      </c>
      <c r="D530" s="1755"/>
      <c r="E530" s="1864"/>
      <c r="F530" s="1872"/>
      <c r="G530" s="1873"/>
      <c r="H530" s="1874"/>
      <c r="I530" s="1875"/>
      <c r="J530" s="1876"/>
      <c r="K530" s="1877"/>
      <c r="L530" s="1865"/>
      <c r="M530" s="1866"/>
      <c r="N530" s="1837"/>
      <c r="O530" s="1837"/>
    </row>
    <row r="531" spans="1:15">
      <c r="A531" s="1806"/>
      <c r="B531" s="1755" t="s">
        <v>2917</v>
      </c>
      <c r="C531" s="1867" t="s">
        <v>445</v>
      </c>
      <c r="D531" s="1868"/>
      <c r="E531" s="1864">
        <v>0</v>
      </c>
      <c r="F531" s="64" t="s">
        <v>37</v>
      </c>
      <c r="G531" s="1873">
        <v>399</v>
      </c>
      <c r="H531" s="1874">
        <f t="shared" ref="H531" si="361">E531*G531</f>
        <v>0</v>
      </c>
      <c r="I531" s="1875">
        <v>242</v>
      </c>
      <c r="J531" s="1882">
        <f t="shared" ref="J531" si="362">E531*I531</f>
        <v>0</v>
      </c>
      <c r="K531" s="1877">
        <f t="shared" ref="K531" si="363">H531+J531</f>
        <v>0</v>
      </c>
      <c r="L531" s="1865"/>
      <c r="M531" s="1878"/>
      <c r="N531" s="1879"/>
      <c r="O531" s="1883"/>
    </row>
    <row r="532" spans="1:15">
      <c r="A532" s="1806"/>
      <c r="B532" s="1755"/>
      <c r="C532" s="1755" t="s">
        <v>394</v>
      </c>
      <c r="D532" s="1755"/>
      <c r="E532" s="1864"/>
      <c r="F532" s="1801"/>
      <c r="G532" s="2289"/>
      <c r="H532" s="2290"/>
      <c r="I532" s="2291"/>
      <c r="J532" s="1861"/>
      <c r="K532" s="1862"/>
      <c r="L532" s="1865"/>
      <c r="M532" s="1878"/>
      <c r="N532" s="1879"/>
      <c r="O532" s="1881">
        <f>O524*O531</f>
        <v>0</v>
      </c>
    </row>
    <row r="533" spans="1:15">
      <c r="A533" s="1806"/>
      <c r="B533" s="1755" t="s">
        <v>395</v>
      </c>
      <c r="C533" s="1755" t="s">
        <v>396</v>
      </c>
      <c r="D533" s="1755"/>
      <c r="E533" s="1864">
        <v>145</v>
      </c>
      <c r="F533" s="1801" t="s">
        <v>37</v>
      </c>
      <c r="G533" s="2289">
        <v>420</v>
      </c>
      <c r="H533" s="2290">
        <f t="shared" ref="H533:H534" si="364">E533*G533</f>
        <v>60900</v>
      </c>
      <c r="I533" s="2291">
        <v>100</v>
      </c>
      <c r="J533" s="1861">
        <f t="shared" ref="J533:J534" si="365">E533*I533</f>
        <v>14500</v>
      </c>
      <c r="K533" s="1862">
        <f t="shared" ref="K533:K534" si="366">H533+J533</f>
        <v>75400</v>
      </c>
      <c r="L533" s="1865"/>
      <c r="M533" s="1866"/>
      <c r="N533" s="1797"/>
    </row>
    <row r="534" spans="1:15">
      <c r="A534" s="1806"/>
      <c r="B534" s="1755" t="s">
        <v>397</v>
      </c>
      <c r="C534" s="1867" t="s">
        <v>398</v>
      </c>
      <c r="D534" s="1868"/>
      <c r="E534" s="1864">
        <v>0</v>
      </c>
      <c r="F534" s="1801" t="s">
        <v>37</v>
      </c>
      <c r="G534" s="2289">
        <v>564</v>
      </c>
      <c r="H534" s="2290">
        <f t="shared" si="364"/>
        <v>0</v>
      </c>
      <c r="I534" s="2291">
        <v>283</v>
      </c>
      <c r="J534" s="1861">
        <f t="shared" si="365"/>
        <v>0</v>
      </c>
      <c r="K534" s="1862">
        <f t="shared" si="366"/>
        <v>0</v>
      </c>
      <c r="L534" s="1865"/>
      <c r="M534" s="1866"/>
    </row>
    <row r="535" spans="1:15">
      <c r="A535" s="1806"/>
      <c r="B535" s="1755"/>
      <c r="C535" s="1755" t="s">
        <v>2783</v>
      </c>
      <c r="D535" s="1755"/>
      <c r="E535" s="1864"/>
      <c r="F535" s="1885"/>
      <c r="G535" s="2289"/>
      <c r="H535" s="2290"/>
      <c r="I535" s="2291"/>
      <c r="J535" s="1861"/>
      <c r="K535" s="1862"/>
      <c r="L535" s="1865"/>
      <c r="M535" s="1866"/>
    </row>
    <row r="536" spans="1:15">
      <c r="A536" s="1806"/>
      <c r="B536" s="1755" t="s">
        <v>2784</v>
      </c>
      <c r="C536" s="1755" t="s">
        <v>399</v>
      </c>
      <c r="D536" s="1755"/>
      <c r="E536" s="1864">
        <v>0</v>
      </c>
      <c r="F536" s="1801" t="s">
        <v>37</v>
      </c>
      <c r="G536" s="2289">
        <v>3570</v>
      </c>
      <c r="H536" s="2290">
        <f t="shared" ref="H536:H548" si="367">E536*G536</f>
        <v>0</v>
      </c>
      <c r="I536" s="2291">
        <v>220</v>
      </c>
      <c r="J536" s="1861">
        <f t="shared" ref="J536:J548" si="368">E536*I536</f>
        <v>0</v>
      </c>
      <c r="K536" s="1862">
        <f t="shared" ref="K536:K548" si="369">H536+J536</f>
        <v>0</v>
      </c>
      <c r="L536" s="1865"/>
      <c r="M536" s="1866"/>
    </row>
    <row r="537" spans="1:15">
      <c r="A537" s="1806"/>
      <c r="B537" s="1755" t="s">
        <v>400</v>
      </c>
      <c r="C537" s="1755" t="s">
        <v>401</v>
      </c>
      <c r="D537" s="1755"/>
      <c r="E537" s="1864">
        <v>0</v>
      </c>
      <c r="F537" s="1801" t="s">
        <v>37</v>
      </c>
      <c r="G537" s="2289">
        <f>ROUNDUP(2227.6*0.05+5*2.95,0)</f>
        <v>127</v>
      </c>
      <c r="H537" s="2290">
        <f t="shared" si="367"/>
        <v>0</v>
      </c>
      <c r="I537" s="2291">
        <v>82</v>
      </c>
      <c r="J537" s="1861">
        <f t="shared" si="368"/>
        <v>0</v>
      </c>
      <c r="K537" s="1862">
        <f t="shared" si="369"/>
        <v>0</v>
      </c>
      <c r="L537" s="1865"/>
      <c r="M537" s="1866"/>
    </row>
    <row r="538" spans="1:15">
      <c r="A538" s="1806"/>
      <c r="B538" s="1755" t="s">
        <v>402</v>
      </c>
      <c r="C538" s="1867" t="s">
        <v>403</v>
      </c>
      <c r="D538" s="1868"/>
      <c r="E538" s="1864">
        <v>0</v>
      </c>
      <c r="F538" s="1801" t="s">
        <v>37</v>
      </c>
      <c r="G538" s="2291">
        <v>120</v>
      </c>
      <c r="H538" s="2290">
        <f t="shared" si="367"/>
        <v>0</v>
      </c>
      <c r="I538" s="2291">
        <v>61</v>
      </c>
      <c r="J538" s="1861">
        <f t="shared" si="368"/>
        <v>0</v>
      </c>
      <c r="K538" s="1862">
        <f t="shared" si="369"/>
        <v>0</v>
      </c>
      <c r="L538" s="1865"/>
      <c r="M538" s="1866"/>
    </row>
    <row r="539" spans="1:15">
      <c r="A539" s="1806"/>
      <c r="B539" s="1755" t="s">
        <v>404</v>
      </c>
      <c r="C539" s="1755" t="s">
        <v>405</v>
      </c>
      <c r="D539" s="1755"/>
      <c r="E539" s="1864">
        <v>0</v>
      </c>
      <c r="F539" s="1801" t="s">
        <v>37</v>
      </c>
      <c r="G539" s="2289">
        <v>447</v>
      </c>
      <c r="H539" s="2290">
        <f t="shared" si="367"/>
        <v>0</v>
      </c>
      <c r="I539" s="2291">
        <v>212</v>
      </c>
      <c r="J539" s="1861">
        <f t="shared" si="368"/>
        <v>0</v>
      </c>
      <c r="K539" s="1862">
        <f t="shared" si="369"/>
        <v>0</v>
      </c>
      <c r="L539" s="1865"/>
      <c r="M539" s="1866"/>
    </row>
    <row r="540" spans="1:15">
      <c r="A540" s="1806"/>
      <c r="B540" s="1755" t="s">
        <v>406</v>
      </c>
      <c r="C540" s="1867" t="s">
        <v>407</v>
      </c>
      <c r="D540" s="1868"/>
      <c r="E540" s="1864">
        <v>0</v>
      </c>
      <c r="F540" s="1801" t="s">
        <v>37</v>
      </c>
      <c r="G540" s="2291">
        <v>240</v>
      </c>
      <c r="H540" s="2290">
        <f t="shared" si="367"/>
        <v>0</v>
      </c>
      <c r="I540" s="2291">
        <v>80</v>
      </c>
      <c r="J540" s="1861">
        <f t="shared" si="368"/>
        <v>0</v>
      </c>
      <c r="K540" s="1862">
        <f t="shared" si="369"/>
        <v>0</v>
      </c>
      <c r="L540" s="1865"/>
      <c r="M540" s="1866"/>
    </row>
    <row r="541" spans="1:15">
      <c r="A541" s="1806"/>
      <c r="B541" s="1755" t="s">
        <v>408</v>
      </c>
      <c r="C541" s="1867" t="s">
        <v>409</v>
      </c>
      <c r="D541" s="1868"/>
      <c r="E541" s="1864">
        <v>599</v>
      </c>
      <c r="F541" s="1801" t="s">
        <v>37</v>
      </c>
      <c r="G541" s="2291">
        <v>230</v>
      </c>
      <c r="H541" s="2290">
        <f t="shared" si="367"/>
        <v>137770</v>
      </c>
      <c r="I541" s="2291">
        <v>50</v>
      </c>
      <c r="J541" s="1861">
        <f t="shared" si="368"/>
        <v>29950</v>
      </c>
      <c r="K541" s="1862">
        <f t="shared" si="369"/>
        <v>167720</v>
      </c>
      <c r="L541" s="1865"/>
      <c r="M541" s="1866"/>
    </row>
    <row r="542" spans="1:15">
      <c r="A542" s="1806"/>
      <c r="B542" s="1755" t="s">
        <v>410</v>
      </c>
      <c r="C542" s="1867" t="s">
        <v>411</v>
      </c>
      <c r="D542" s="1868"/>
      <c r="E542" s="1864">
        <v>0</v>
      </c>
      <c r="F542" s="1801" t="s">
        <v>37</v>
      </c>
      <c r="G542" s="2289">
        <v>220</v>
      </c>
      <c r="H542" s="2290">
        <f t="shared" si="367"/>
        <v>0</v>
      </c>
      <c r="I542" s="2291">
        <v>80</v>
      </c>
      <c r="J542" s="1861">
        <f t="shared" si="368"/>
        <v>0</v>
      </c>
      <c r="K542" s="1862">
        <f t="shared" si="369"/>
        <v>0</v>
      </c>
      <c r="L542" s="1865"/>
      <c r="M542" s="1866"/>
    </row>
    <row r="543" spans="1:15">
      <c r="A543" s="1806"/>
      <c r="B543" s="1755" t="s">
        <v>412</v>
      </c>
      <c r="C543" s="1867" t="s">
        <v>413</v>
      </c>
      <c r="D543" s="1868"/>
      <c r="E543" s="1864">
        <v>0</v>
      </c>
      <c r="F543" s="1801" t="s">
        <v>37</v>
      </c>
      <c r="G543" s="2289">
        <v>113</v>
      </c>
      <c r="H543" s="2290">
        <f t="shared" si="367"/>
        <v>0</v>
      </c>
      <c r="I543" s="2291">
        <v>61</v>
      </c>
      <c r="J543" s="1861">
        <f t="shared" si="368"/>
        <v>0</v>
      </c>
      <c r="K543" s="1862">
        <f t="shared" si="369"/>
        <v>0</v>
      </c>
      <c r="L543" s="1865"/>
      <c r="M543" s="1866"/>
    </row>
    <row r="544" spans="1:15">
      <c r="A544" s="1806"/>
      <c r="B544" s="1755" t="s">
        <v>414</v>
      </c>
      <c r="C544" s="1867" t="s">
        <v>415</v>
      </c>
      <c r="D544" s="1868"/>
      <c r="E544" s="1864">
        <v>0</v>
      </c>
      <c r="F544" s="1801" t="s">
        <v>37</v>
      </c>
      <c r="G544" s="2289">
        <v>113</v>
      </c>
      <c r="H544" s="2290">
        <f t="shared" si="367"/>
        <v>0</v>
      </c>
      <c r="I544" s="2291">
        <v>61</v>
      </c>
      <c r="J544" s="1861">
        <f t="shared" si="368"/>
        <v>0</v>
      </c>
      <c r="K544" s="1862">
        <f t="shared" si="369"/>
        <v>0</v>
      </c>
      <c r="L544" s="1865"/>
      <c r="M544" s="1866"/>
    </row>
    <row r="545" spans="1:24">
      <c r="A545" s="1806"/>
      <c r="B545" s="1755" t="s">
        <v>416</v>
      </c>
      <c r="C545" s="1867" t="s">
        <v>417</v>
      </c>
      <c r="D545" s="1868"/>
      <c r="E545" s="1864">
        <v>0</v>
      </c>
      <c r="F545" s="1801" t="s">
        <v>37</v>
      </c>
      <c r="G545" s="2289">
        <v>113</v>
      </c>
      <c r="H545" s="2290">
        <f t="shared" si="367"/>
        <v>0</v>
      </c>
      <c r="I545" s="2291">
        <v>61</v>
      </c>
      <c r="J545" s="1861">
        <f t="shared" si="368"/>
        <v>0</v>
      </c>
      <c r="K545" s="1862">
        <f t="shared" si="369"/>
        <v>0</v>
      </c>
      <c r="L545" s="1865"/>
      <c r="M545" s="1866"/>
    </row>
    <row r="546" spans="1:24">
      <c r="A546" s="1806"/>
      <c r="B546" s="1755" t="s">
        <v>418</v>
      </c>
      <c r="C546" s="1867" t="s">
        <v>419</v>
      </c>
      <c r="D546" s="1859"/>
      <c r="E546" s="1864">
        <v>0</v>
      </c>
      <c r="F546" s="1801" t="s">
        <v>37</v>
      </c>
      <c r="G546" s="2289">
        <v>113</v>
      </c>
      <c r="H546" s="2290">
        <f t="shared" si="367"/>
        <v>0</v>
      </c>
      <c r="I546" s="2291">
        <v>61</v>
      </c>
      <c r="J546" s="1861">
        <f t="shared" si="368"/>
        <v>0</v>
      </c>
      <c r="K546" s="1862">
        <f t="shared" si="369"/>
        <v>0</v>
      </c>
      <c r="L546" s="1865"/>
      <c r="M546" s="1866"/>
    </row>
    <row r="547" spans="1:24">
      <c r="A547" s="1806"/>
      <c r="B547" s="1755" t="s">
        <v>420</v>
      </c>
      <c r="C547" s="1867" t="s">
        <v>421</v>
      </c>
      <c r="D547" s="1859"/>
      <c r="E547" s="1864">
        <v>0</v>
      </c>
      <c r="F547" s="1801" t="s">
        <v>37</v>
      </c>
      <c r="G547" s="2289">
        <v>583</v>
      </c>
      <c r="H547" s="2290">
        <f t="shared" si="367"/>
        <v>0</v>
      </c>
      <c r="I547" s="2291">
        <v>298</v>
      </c>
      <c r="J547" s="1861">
        <f t="shared" si="368"/>
        <v>0</v>
      </c>
      <c r="K547" s="1862">
        <f t="shared" si="369"/>
        <v>0</v>
      </c>
      <c r="L547" s="1865"/>
      <c r="M547" s="1866"/>
    </row>
    <row r="548" spans="1:24">
      <c r="A548" s="1806"/>
      <c r="B548" s="1755" t="s">
        <v>422</v>
      </c>
      <c r="C548" s="1755" t="s">
        <v>423</v>
      </c>
      <c r="D548" s="1859"/>
      <c r="E548" s="1864">
        <v>0</v>
      </c>
      <c r="F548" s="1801" t="s">
        <v>37</v>
      </c>
      <c r="G548" s="2289">
        <v>240</v>
      </c>
      <c r="H548" s="2290">
        <f t="shared" si="367"/>
        <v>0</v>
      </c>
      <c r="I548" s="2291">
        <v>50</v>
      </c>
      <c r="J548" s="1861">
        <f t="shared" si="368"/>
        <v>0</v>
      </c>
      <c r="K548" s="1862">
        <f t="shared" si="369"/>
        <v>0</v>
      </c>
      <c r="L548" s="1865"/>
      <c r="M548" s="1866"/>
    </row>
    <row r="549" spans="1:24">
      <c r="A549" s="1806"/>
      <c r="B549" s="1755"/>
      <c r="C549" s="1755" t="s">
        <v>424</v>
      </c>
      <c r="D549" s="1859"/>
      <c r="E549" s="1864"/>
      <c r="F549" s="1801"/>
      <c r="G549" s="2289"/>
      <c r="H549" s="2290"/>
      <c r="I549" s="2291"/>
      <c r="J549" s="1861"/>
      <c r="K549" s="1862"/>
      <c r="L549" s="1865"/>
      <c r="M549" s="1866"/>
    </row>
    <row r="550" spans="1:24">
      <c r="A550" s="1806"/>
      <c r="B550" s="1887" t="s">
        <v>425</v>
      </c>
      <c r="C550" s="1755" t="s">
        <v>2785</v>
      </c>
      <c r="D550" s="1859"/>
      <c r="E550" s="1864">
        <f>E548</f>
        <v>0</v>
      </c>
      <c r="F550" s="1801" t="s">
        <v>37</v>
      </c>
      <c r="G550" s="2289">
        <v>140</v>
      </c>
      <c r="H550" s="2290">
        <f t="shared" ref="H550:H551" si="370">E550*G550</f>
        <v>0</v>
      </c>
      <c r="I550" s="2291">
        <v>40</v>
      </c>
      <c r="J550" s="1861">
        <f t="shared" ref="J550:J551" si="371">E550*I550</f>
        <v>0</v>
      </c>
      <c r="K550" s="1862">
        <f t="shared" ref="K550:K551" si="372">H550+J550</f>
        <v>0</v>
      </c>
      <c r="L550" s="1865"/>
      <c r="M550" s="1866"/>
    </row>
    <row r="551" spans="1:24">
      <c r="A551" s="2275"/>
      <c r="B551" s="1755" t="s">
        <v>426</v>
      </c>
      <c r="C551" s="1755" t="s">
        <v>427</v>
      </c>
      <c r="D551" s="1859"/>
      <c r="E551" s="1864">
        <v>0</v>
      </c>
      <c r="F551" s="1801" t="s">
        <v>37</v>
      </c>
      <c r="G551" s="2289">
        <v>0</v>
      </c>
      <c r="H551" s="2290">
        <f t="shared" si="370"/>
        <v>0</v>
      </c>
      <c r="I551" s="2291">
        <v>0</v>
      </c>
      <c r="J551" s="1861">
        <f t="shared" si="371"/>
        <v>0</v>
      </c>
      <c r="K551" s="1862">
        <f t="shared" si="372"/>
        <v>0</v>
      </c>
      <c r="L551" s="1865"/>
      <c r="M551" s="1866"/>
      <c r="O551" s="1886"/>
    </row>
    <row r="552" spans="1:24">
      <c r="A552" s="2275"/>
      <c r="B552" s="1755"/>
      <c r="C552" s="1755" t="s">
        <v>428</v>
      </c>
      <c r="D552" s="1859"/>
      <c r="E552" s="1864"/>
      <c r="F552" s="1801"/>
      <c r="G552" s="2289"/>
      <c r="H552" s="2290"/>
      <c r="I552" s="2291"/>
      <c r="J552" s="1861"/>
      <c r="K552" s="1862"/>
      <c r="L552" s="1865"/>
      <c r="M552" s="1866"/>
      <c r="O552" s="1886"/>
    </row>
    <row r="553" spans="1:24">
      <c r="A553" s="2275"/>
      <c r="B553" s="1755"/>
      <c r="C553" s="1755" t="s">
        <v>429</v>
      </c>
      <c r="D553" s="1859"/>
      <c r="E553" s="1864"/>
      <c r="F553" s="1801"/>
      <c r="G553" s="2289"/>
      <c r="H553" s="2290"/>
      <c r="I553" s="2291"/>
      <c r="J553" s="1861"/>
      <c r="K553" s="1862"/>
      <c r="L553" s="1865"/>
      <c r="M553" s="1866"/>
      <c r="O553" s="1886"/>
    </row>
    <row r="554" spans="1:24">
      <c r="A554" s="93"/>
      <c r="B554" s="1888" t="s">
        <v>430</v>
      </c>
      <c r="C554" s="1888" t="s">
        <v>2923</v>
      </c>
      <c r="D554" s="1889"/>
      <c r="E554" s="1890">
        <v>0</v>
      </c>
      <c r="F554" s="1872" t="s">
        <v>37</v>
      </c>
      <c r="G554" s="2294">
        <v>253</v>
      </c>
      <c r="H554" s="2295">
        <f t="shared" ref="H554:H555" si="373">E554*G554</f>
        <v>0</v>
      </c>
      <c r="I554" s="2296">
        <v>50</v>
      </c>
      <c r="J554" s="1876">
        <f t="shared" ref="J554:J555" si="374">E554*I554</f>
        <v>0</v>
      </c>
      <c r="K554" s="1877">
        <f t="shared" ref="K554:K555" si="375">H554+J554</f>
        <v>0</v>
      </c>
      <c r="L554" s="1865"/>
      <c r="M554" s="1866"/>
      <c r="O554" s="1886"/>
    </row>
    <row r="555" spans="1:24" ht="24" customHeight="1">
      <c r="A555" s="2275"/>
      <c r="B555" s="1755" t="s">
        <v>431</v>
      </c>
      <c r="C555" s="1755" t="s">
        <v>432</v>
      </c>
      <c r="D555" s="1859"/>
      <c r="E555" s="1864">
        <v>0</v>
      </c>
      <c r="F555" s="1801" t="s">
        <v>37</v>
      </c>
      <c r="G555" s="2289">
        <v>0</v>
      </c>
      <c r="H555" s="2290">
        <f t="shared" si="373"/>
        <v>0</v>
      </c>
      <c r="I555" s="2291">
        <v>220</v>
      </c>
      <c r="J555" s="1861">
        <f t="shared" si="374"/>
        <v>0</v>
      </c>
      <c r="K555" s="1862">
        <f t="shared" si="375"/>
        <v>0</v>
      </c>
      <c r="L555" s="1858"/>
      <c r="M555" s="1809"/>
      <c r="N555" s="1837"/>
      <c r="O555" s="1886"/>
      <c r="P555" s="1837"/>
      <c r="Q555" s="1837"/>
      <c r="R555" s="1837"/>
      <c r="S555" s="1837"/>
      <c r="T555" s="1837"/>
      <c r="U555" s="1837"/>
      <c r="V555" s="1837"/>
      <c r="W555" s="1837"/>
      <c r="X555" s="1837"/>
    </row>
    <row r="556" spans="1:24" ht="24" customHeight="1">
      <c r="A556" s="2275"/>
      <c r="B556" s="1755"/>
      <c r="C556" s="1755" t="s">
        <v>433</v>
      </c>
      <c r="D556" s="1891"/>
      <c r="E556" s="1864"/>
      <c r="F556" s="1801"/>
      <c r="G556" s="2289"/>
      <c r="H556" s="2290"/>
      <c r="I556" s="2291"/>
      <c r="J556" s="1861"/>
      <c r="K556" s="1862"/>
      <c r="L556" s="1858"/>
      <c r="M556" s="1809"/>
      <c r="N556" s="1837"/>
      <c r="O556" s="1886"/>
      <c r="P556" s="1837"/>
      <c r="Q556" s="1837"/>
      <c r="R556" s="1837"/>
      <c r="S556" s="1837"/>
      <c r="T556" s="1837"/>
      <c r="U556" s="1837"/>
      <c r="V556" s="1837"/>
      <c r="W556" s="1837"/>
      <c r="X556" s="1837"/>
    </row>
    <row r="557" spans="1:24">
      <c r="A557" s="1806"/>
      <c r="B557" s="1755" t="s">
        <v>434</v>
      </c>
      <c r="C557" s="1755" t="s">
        <v>435</v>
      </c>
      <c r="D557" s="1891"/>
      <c r="E557" s="1864">
        <v>0</v>
      </c>
      <c r="F557" s="1801" t="s">
        <v>37</v>
      </c>
      <c r="G557" s="1892">
        <v>398</v>
      </c>
      <c r="H557" s="2290">
        <f t="shared" ref="H557" si="376">E557*G557</f>
        <v>0</v>
      </c>
      <c r="I557" s="1968">
        <v>154</v>
      </c>
      <c r="J557" s="1861">
        <f t="shared" ref="J557" si="377">E557*I557</f>
        <v>0</v>
      </c>
      <c r="K557" s="1862">
        <f t="shared" ref="K557" si="378">H557+J557</f>
        <v>0</v>
      </c>
      <c r="L557" s="1864"/>
      <c r="M557" s="1894"/>
    </row>
    <row r="558" spans="1:24">
      <c r="A558" s="1806"/>
      <c r="B558" s="1887"/>
      <c r="C558" s="1755" t="s">
        <v>436</v>
      </c>
      <c r="D558" s="1859"/>
      <c r="E558" s="1864"/>
      <c r="F558" s="1801"/>
      <c r="G558" s="2289"/>
      <c r="H558" s="2290"/>
      <c r="I558" s="2291"/>
      <c r="J558" s="1861"/>
      <c r="K558" s="1862"/>
      <c r="L558" s="1865"/>
      <c r="M558" s="1866"/>
    </row>
    <row r="559" spans="1:24" s="1900" customFormat="1">
      <c r="A559" s="2275"/>
      <c r="B559" s="1755" t="s">
        <v>437</v>
      </c>
      <c r="C559" s="1755"/>
      <c r="D559" s="1859"/>
      <c r="E559" s="1864"/>
      <c r="F559" s="1801"/>
      <c r="G559" s="2289"/>
      <c r="H559" s="2290"/>
      <c r="I559" s="2291"/>
      <c r="J559" s="1861"/>
      <c r="K559" s="1862"/>
      <c r="L559" s="1865"/>
      <c r="M559" s="1737"/>
    </row>
    <row r="560" spans="1:24">
      <c r="A560" s="2275"/>
      <c r="B560" s="1755" t="s">
        <v>2924</v>
      </c>
      <c r="C560" s="1755" t="s">
        <v>446</v>
      </c>
      <c r="D560" s="1859"/>
      <c r="E560" s="1864">
        <v>0</v>
      </c>
      <c r="F560" s="1801" t="s">
        <v>438</v>
      </c>
      <c r="G560" s="2289">
        <v>200</v>
      </c>
      <c r="H560" s="2290">
        <f t="shared" ref="H560:H562" si="379">E560*G560</f>
        <v>0</v>
      </c>
      <c r="I560" s="2291">
        <v>45</v>
      </c>
      <c r="J560" s="1861">
        <f t="shared" ref="J560:J562" si="380">E560*I560</f>
        <v>0</v>
      </c>
      <c r="K560" s="1862">
        <f t="shared" ref="K560:K562" si="381">H560+J560</f>
        <v>0</v>
      </c>
      <c r="L560" s="1865"/>
      <c r="M560" s="62" t="s">
        <v>2925</v>
      </c>
    </row>
    <row r="561" spans="1:24">
      <c r="A561" s="2275"/>
      <c r="B561" s="1755" t="s">
        <v>2924</v>
      </c>
      <c r="C561" s="1755" t="s">
        <v>439</v>
      </c>
      <c r="D561" s="1859"/>
      <c r="E561" s="1864">
        <v>120</v>
      </c>
      <c r="F561" s="1801" t="s">
        <v>438</v>
      </c>
      <c r="G561" s="2289">
        <v>19</v>
      </c>
      <c r="H561" s="2290">
        <f t="shared" si="379"/>
        <v>2280</v>
      </c>
      <c r="I561" s="2291">
        <v>20</v>
      </c>
      <c r="J561" s="1861">
        <f t="shared" si="380"/>
        <v>2400</v>
      </c>
      <c r="K561" s="1862">
        <f t="shared" si="381"/>
        <v>4680</v>
      </c>
      <c r="L561" s="1865"/>
      <c r="M561" s="62" t="s">
        <v>2925</v>
      </c>
    </row>
    <row r="562" spans="1:24">
      <c r="A562" s="93"/>
      <c r="B562" s="1888" t="s">
        <v>425</v>
      </c>
      <c r="C562" s="1888" t="s">
        <v>440</v>
      </c>
      <c r="D562" s="1889"/>
      <c r="E562" s="1890">
        <v>0</v>
      </c>
      <c r="F562" s="1872" t="s">
        <v>438</v>
      </c>
      <c r="G562" s="2294">
        <v>0</v>
      </c>
      <c r="H562" s="2295">
        <f t="shared" si="379"/>
        <v>0</v>
      </c>
      <c r="I562" s="2296">
        <v>0</v>
      </c>
      <c r="J562" s="1876">
        <f t="shared" si="380"/>
        <v>0</v>
      </c>
      <c r="K562" s="1877">
        <f t="shared" si="381"/>
        <v>0</v>
      </c>
      <c r="L562" s="1865"/>
      <c r="M562" s="1797">
        <f>SUM(K518:K562)</f>
        <v>377256</v>
      </c>
    </row>
    <row r="563" spans="1:24">
      <c r="A563" s="2275"/>
      <c r="B563" s="1755"/>
      <c r="C563" s="1755"/>
      <c r="D563" s="1859"/>
      <c r="E563" s="1864"/>
      <c r="F563" s="1801"/>
      <c r="G563" s="2289"/>
      <c r="H563" s="2290"/>
      <c r="I563" s="2291"/>
      <c r="J563" s="1861"/>
      <c r="K563" s="1862"/>
      <c r="L563" s="1858"/>
      <c r="M563" s="1797"/>
    </row>
    <row r="564" spans="1:24">
      <c r="A564" s="1806"/>
      <c r="B564" s="1887"/>
      <c r="C564" s="1755"/>
      <c r="D564" s="1859"/>
      <c r="E564" s="1864"/>
      <c r="F564" s="1801"/>
      <c r="G564" s="2289"/>
      <c r="H564" s="2290"/>
      <c r="I564" s="2291"/>
      <c r="J564" s="1861"/>
      <c r="K564" s="1862"/>
      <c r="L564" s="1865"/>
      <c r="M564" s="1797"/>
    </row>
    <row r="565" spans="1:24">
      <c r="A565" s="2275"/>
      <c r="B565" s="1755"/>
      <c r="C565" s="1755"/>
      <c r="D565" s="1859"/>
      <c r="E565" s="1864"/>
      <c r="F565" s="1801"/>
      <c r="G565" s="2289"/>
      <c r="H565" s="2290"/>
      <c r="I565" s="2291"/>
      <c r="J565" s="1861"/>
      <c r="K565" s="1862"/>
      <c r="L565" s="1865"/>
      <c r="M565" s="1797"/>
    </row>
    <row r="566" spans="1:24" ht="24" customHeight="1">
      <c r="A566" s="1827"/>
      <c r="B566" s="2450" t="str">
        <f>"รวมราคารายการที่ "&amp;A36</f>
        <v>รวมราคารายการที่ 2.1</v>
      </c>
      <c r="C566" s="2449"/>
      <c r="D566" s="2451"/>
      <c r="E566" s="1826"/>
      <c r="F566" s="1827"/>
      <c r="G566" s="1928"/>
      <c r="H566" s="1929">
        <f>SUBTOTAL(9,H36:H562)</f>
        <v>16309122</v>
      </c>
      <c r="I566" s="1930"/>
      <c r="J566" s="1931">
        <f>SUBTOTAL(9,J36:J562)</f>
        <v>6183732</v>
      </c>
      <c r="K566" s="1827">
        <f>SUBTOTAL(9,K36:K562)</f>
        <v>22492854</v>
      </c>
      <c r="L566" s="1932"/>
      <c r="N566" s="1837"/>
      <c r="O566" s="1837"/>
      <c r="P566" s="1837"/>
      <c r="Q566" s="1837"/>
      <c r="R566" s="1837"/>
      <c r="S566" s="1837"/>
      <c r="T566" s="1837"/>
      <c r="U566" s="1837"/>
      <c r="V566" s="1837"/>
      <c r="W566" s="1837"/>
      <c r="X566" s="1837"/>
    </row>
    <row r="567" spans="1:24" ht="24" customHeight="1">
      <c r="A567" s="1933">
        <v>2.2000000000000002</v>
      </c>
      <c r="B567" s="1908" t="s">
        <v>465</v>
      </c>
      <c r="C567" s="1840"/>
      <c r="D567" s="1841"/>
      <c r="E567" s="1934"/>
      <c r="F567" s="1842"/>
      <c r="G567" s="1843"/>
      <c r="H567" s="1935"/>
      <c r="I567" s="1845"/>
      <c r="J567" s="1846"/>
      <c r="K567" s="1843"/>
      <c r="L567" s="1847"/>
      <c r="N567" s="1837"/>
      <c r="O567" s="1837"/>
      <c r="P567" s="1837"/>
      <c r="Q567" s="1837"/>
      <c r="R567" s="1837"/>
      <c r="S567" s="1837"/>
      <c r="T567" s="1837"/>
      <c r="U567" s="1837"/>
      <c r="V567" s="1837"/>
      <c r="W567" s="1837"/>
      <c r="X567" s="1837"/>
    </row>
    <row r="568" spans="1:24" ht="24" customHeight="1">
      <c r="A568" s="1933" t="s">
        <v>466</v>
      </c>
      <c r="B568" s="1908" t="s">
        <v>467</v>
      </c>
      <c r="C568" s="1840"/>
      <c r="D568" s="1841"/>
      <c r="E568" s="1934"/>
      <c r="F568" s="1842"/>
      <c r="G568" s="1843"/>
      <c r="H568" s="1844"/>
      <c r="I568" s="1845"/>
      <c r="J568" s="1846"/>
      <c r="K568" s="1843"/>
      <c r="L568" s="1847"/>
      <c r="N568" s="1837"/>
      <c r="O568" s="1837"/>
      <c r="P568" s="1837"/>
      <c r="Q568" s="1837"/>
      <c r="R568" s="1837"/>
      <c r="S568" s="1837"/>
      <c r="T568" s="1837"/>
      <c r="U568" s="1837"/>
      <c r="V568" s="1837"/>
      <c r="W568" s="1837"/>
      <c r="X568" s="1837"/>
    </row>
    <row r="569" spans="1:24">
      <c r="A569" s="1901"/>
      <c r="B569" s="1783"/>
      <c r="C569" s="1867" t="s">
        <v>468</v>
      </c>
      <c r="D569" s="1859"/>
      <c r="E569" s="1860">
        <v>1217</v>
      </c>
      <c r="F569" s="1806" t="s">
        <v>37</v>
      </c>
      <c r="G569" s="1936">
        <v>281</v>
      </c>
      <c r="H569" s="1937">
        <f>E569*G569</f>
        <v>341977</v>
      </c>
      <c r="I569" s="1938">
        <v>80</v>
      </c>
      <c r="J569" s="1939">
        <f>E569*I569</f>
        <v>97360</v>
      </c>
      <c r="K569" s="1864">
        <f>H569+J569</f>
        <v>439337</v>
      </c>
      <c r="L569" s="1940"/>
      <c r="M569" s="1941"/>
    </row>
    <row r="570" spans="1:24">
      <c r="A570" s="1901"/>
      <c r="B570" s="1783"/>
      <c r="C570" s="1867" t="s">
        <v>469</v>
      </c>
      <c r="D570" s="1859"/>
      <c r="E570" s="1860">
        <f>+E616</f>
        <v>0</v>
      </c>
      <c r="F570" s="1806" t="s">
        <v>37</v>
      </c>
      <c r="G570" s="1936">
        <v>712</v>
      </c>
      <c r="H570" s="1937">
        <f t="shared" ref="H570:H585" si="382">E570*G570</f>
        <v>0</v>
      </c>
      <c r="I570" s="1938">
        <v>98</v>
      </c>
      <c r="J570" s="1939">
        <f t="shared" ref="J570:J585" si="383">E570*I570</f>
        <v>0</v>
      </c>
      <c r="K570" s="1864">
        <f t="shared" ref="K570:K585" si="384">H570+J570</f>
        <v>0</v>
      </c>
      <c r="L570" s="1940"/>
      <c r="M570" s="1941"/>
    </row>
    <row r="571" spans="1:24">
      <c r="A571" s="1901"/>
      <c r="B571" s="1783"/>
      <c r="C571" s="1867" t="s">
        <v>470</v>
      </c>
      <c r="D571" s="1859"/>
      <c r="E571" s="1860">
        <f>+E569*1.33</f>
        <v>1618.6100000000001</v>
      </c>
      <c r="F571" s="1806" t="s">
        <v>438</v>
      </c>
      <c r="G571" s="1936">
        <v>119</v>
      </c>
      <c r="H571" s="1937">
        <f t="shared" si="382"/>
        <v>192614.59000000003</v>
      </c>
      <c r="I571" s="1938">
        <v>44</v>
      </c>
      <c r="J571" s="1939">
        <f t="shared" si="383"/>
        <v>71218.840000000011</v>
      </c>
      <c r="K571" s="1864">
        <f t="shared" si="384"/>
        <v>263833.43000000005</v>
      </c>
      <c r="L571" s="1940" t="s">
        <v>2878</v>
      </c>
      <c r="M571" s="1941"/>
    </row>
    <row r="572" spans="1:24">
      <c r="A572" s="1901"/>
      <c r="B572" s="1783"/>
      <c r="C572" s="1867" t="s">
        <v>471</v>
      </c>
      <c r="D572" s="1859"/>
      <c r="E572" s="1860">
        <f>+E570*1.33</f>
        <v>0</v>
      </c>
      <c r="F572" s="1806" t="s">
        <v>438</v>
      </c>
      <c r="G572" s="1936">
        <v>208</v>
      </c>
      <c r="H572" s="1937">
        <f t="shared" si="382"/>
        <v>0</v>
      </c>
      <c r="I572" s="1938">
        <v>78</v>
      </c>
      <c r="J572" s="1939">
        <f t="shared" si="383"/>
        <v>0</v>
      </c>
      <c r="K572" s="1864">
        <f t="shared" si="384"/>
        <v>0</v>
      </c>
      <c r="L572" s="1940" t="s">
        <v>2878</v>
      </c>
      <c r="M572" s="1941"/>
    </row>
    <row r="573" spans="1:24">
      <c r="A573" s="1901"/>
      <c r="B573" s="1783"/>
      <c r="C573" s="1867" t="s">
        <v>472</v>
      </c>
      <c r="D573" s="1859"/>
      <c r="E573" s="1860">
        <v>0</v>
      </c>
      <c r="F573" s="1806" t="s">
        <v>37</v>
      </c>
      <c r="G573" s="1936">
        <v>88</v>
      </c>
      <c r="H573" s="1937">
        <f t="shared" si="382"/>
        <v>0</v>
      </c>
      <c r="I573" s="1938">
        <v>82</v>
      </c>
      <c r="J573" s="1939">
        <f t="shared" si="383"/>
        <v>0</v>
      </c>
      <c r="K573" s="1864">
        <f t="shared" si="384"/>
        <v>0</v>
      </c>
      <c r="L573" s="1940" t="s">
        <v>2879</v>
      </c>
      <c r="M573" s="1941"/>
    </row>
    <row r="574" spans="1:24">
      <c r="A574" s="1901"/>
      <c r="B574" s="1783"/>
      <c r="C574" s="1867" t="s">
        <v>473</v>
      </c>
      <c r="D574" s="1859"/>
      <c r="E574" s="1860">
        <v>2407</v>
      </c>
      <c r="F574" s="1806" t="s">
        <v>37</v>
      </c>
      <c r="G574" s="1936">
        <v>88</v>
      </c>
      <c r="H574" s="1937">
        <f t="shared" si="382"/>
        <v>211816</v>
      </c>
      <c r="I574" s="1938">
        <v>82</v>
      </c>
      <c r="J574" s="1939">
        <f t="shared" si="383"/>
        <v>197374</v>
      </c>
      <c r="K574" s="1864">
        <f t="shared" si="384"/>
        <v>409190</v>
      </c>
      <c r="L574" s="1940"/>
      <c r="M574" s="1941"/>
    </row>
    <row r="575" spans="1:24">
      <c r="A575" s="1901"/>
      <c r="B575" s="1783"/>
      <c r="C575" s="1867" t="s">
        <v>474</v>
      </c>
      <c r="D575" s="1859"/>
      <c r="E575" s="1860">
        <v>0</v>
      </c>
      <c r="F575" s="1806" t="s">
        <v>37</v>
      </c>
      <c r="G575" s="1936">
        <v>88</v>
      </c>
      <c r="H575" s="1937">
        <f t="shared" si="382"/>
        <v>0</v>
      </c>
      <c r="I575" s="1938">
        <v>95</v>
      </c>
      <c r="J575" s="1939">
        <f t="shared" si="383"/>
        <v>0</v>
      </c>
      <c r="K575" s="1864">
        <f t="shared" si="384"/>
        <v>0</v>
      </c>
      <c r="L575" s="1940"/>
      <c r="M575" s="1941"/>
    </row>
    <row r="576" spans="1:24">
      <c r="A576" s="1901"/>
      <c r="B576" s="1755" t="s">
        <v>475</v>
      </c>
      <c r="C576" s="1867" t="s">
        <v>476</v>
      </c>
      <c r="D576" s="1868"/>
      <c r="E576" s="1942">
        <v>0</v>
      </c>
      <c r="F576" s="1806" t="s">
        <v>37</v>
      </c>
      <c r="G576" s="1936">
        <v>88</v>
      </c>
      <c r="H576" s="1937">
        <f t="shared" si="382"/>
        <v>0</v>
      </c>
      <c r="I576" s="1938">
        <v>95</v>
      </c>
      <c r="J576" s="1939">
        <f t="shared" si="383"/>
        <v>0</v>
      </c>
      <c r="K576" s="1864">
        <f t="shared" si="384"/>
        <v>0</v>
      </c>
      <c r="L576" s="1940" t="s">
        <v>2880</v>
      </c>
      <c r="M576" s="1941"/>
    </row>
    <row r="577" spans="1:13">
      <c r="A577" s="1901"/>
      <c r="B577" s="1755"/>
      <c r="C577" s="1867" t="s">
        <v>477</v>
      </c>
      <c r="D577" s="1868"/>
      <c r="E577" s="1942">
        <v>0</v>
      </c>
      <c r="F577" s="1806" t="s">
        <v>37</v>
      </c>
      <c r="G577" s="2297">
        <v>69</v>
      </c>
      <c r="H577" s="1937">
        <f t="shared" si="382"/>
        <v>0</v>
      </c>
      <c r="I577" s="2298">
        <v>28</v>
      </c>
      <c r="J577" s="1939">
        <f t="shared" si="383"/>
        <v>0</v>
      </c>
      <c r="K577" s="1864">
        <f t="shared" si="384"/>
        <v>0</v>
      </c>
      <c r="L577" s="2299"/>
      <c r="M577" s="2300"/>
    </row>
    <row r="578" spans="1:13">
      <c r="A578" s="1901"/>
      <c r="B578" s="1755" t="s">
        <v>478</v>
      </c>
      <c r="C578" s="1867" t="s">
        <v>479</v>
      </c>
      <c r="D578" s="1868"/>
      <c r="E578" s="1942">
        <v>0</v>
      </c>
      <c r="F578" s="1806" t="s">
        <v>37</v>
      </c>
      <c r="G578" s="1936">
        <v>88</v>
      </c>
      <c r="H578" s="1937">
        <f t="shared" si="382"/>
        <v>0</v>
      </c>
      <c r="I578" s="1938">
        <v>82</v>
      </c>
      <c r="J578" s="1939">
        <f t="shared" si="383"/>
        <v>0</v>
      </c>
      <c r="K578" s="1864">
        <f t="shared" si="384"/>
        <v>0</v>
      </c>
      <c r="L578" s="1940"/>
      <c r="M578" s="1941"/>
    </row>
    <row r="579" spans="1:13">
      <c r="A579" s="1901"/>
      <c r="B579" s="1755" t="s">
        <v>480</v>
      </c>
      <c r="C579" s="1867" t="s">
        <v>476</v>
      </c>
      <c r="D579" s="1868"/>
      <c r="E579" s="1942">
        <v>3111</v>
      </c>
      <c r="F579" s="1806" t="s">
        <v>37</v>
      </c>
      <c r="G579" s="1936">
        <v>88</v>
      </c>
      <c r="H579" s="1937">
        <f t="shared" si="382"/>
        <v>273768</v>
      </c>
      <c r="I579" s="1938">
        <v>82</v>
      </c>
      <c r="J579" s="1939">
        <f t="shared" si="383"/>
        <v>255102</v>
      </c>
      <c r="K579" s="1864">
        <f t="shared" si="384"/>
        <v>528870</v>
      </c>
      <c r="L579" s="1940" t="s">
        <v>2880</v>
      </c>
      <c r="M579" s="1941"/>
    </row>
    <row r="580" spans="1:13">
      <c r="A580" s="1901"/>
      <c r="B580" s="1755"/>
      <c r="C580" s="1867" t="s">
        <v>481</v>
      </c>
      <c r="D580" s="1868"/>
      <c r="E580" s="1942">
        <f>E579</f>
        <v>3111</v>
      </c>
      <c r="F580" s="1806" t="s">
        <v>37</v>
      </c>
      <c r="G580" s="2297">
        <v>69</v>
      </c>
      <c r="H580" s="1937">
        <f t="shared" si="382"/>
        <v>214659</v>
      </c>
      <c r="I580" s="2298">
        <v>28</v>
      </c>
      <c r="J580" s="1939">
        <f t="shared" si="383"/>
        <v>87108</v>
      </c>
      <c r="K580" s="1864">
        <f t="shared" si="384"/>
        <v>301767</v>
      </c>
      <c r="L580" s="2299"/>
      <c r="M580" s="2300"/>
    </row>
    <row r="581" spans="1:13">
      <c r="A581" s="1901"/>
      <c r="B581" s="1755" t="s">
        <v>2787</v>
      </c>
      <c r="C581" s="1867" t="s">
        <v>2788</v>
      </c>
      <c r="D581" s="1868"/>
      <c r="E581" s="1942">
        <v>0</v>
      </c>
      <c r="F581" s="1806" t="s">
        <v>37</v>
      </c>
      <c r="G581" s="1936">
        <v>103</v>
      </c>
      <c r="H581" s="1937">
        <f t="shared" si="382"/>
        <v>0</v>
      </c>
      <c r="I581" s="1938">
        <v>115</v>
      </c>
      <c r="J581" s="1939">
        <f t="shared" si="383"/>
        <v>0</v>
      </c>
      <c r="K581" s="1864">
        <f t="shared" si="384"/>
        <v>0</v>
      </c>
      <c r="L581" s="1940" t="s">
        <v>2880</v>
      </c>
      <c r="M581" s="1941"/>
    </row>
    <row r="582" spans="1:13">
      <c r="A582" s="1901"/>
      <c r="B582" s="1755"/>
      <c r="C582" s="1867" t="s">
        <v>482</v>
      </c>
      <c r="D582" s="1868"/>
      <c r="E582" s="1942">
        <v>0</v>
      </c>
      <c r="F582" s="1806" t="s">
        <v>37</v>
      </c>
      <c r="G582" s="2297">
        <v>69</v>
      </c>
      <c r="H582" s="1937">
        <f t="shared" si="382"/>
        <v>0</v>
      </c>
      <c r="I582" s="2298">
        <v>28</v>
      </c>
      <c r="J582" s="1939">
        <f t="shared" si="383"/>
        <v>0</v>
      </c>
      <c r="K582" s="1864">
        <f t="shared" si="384"/>
        <v>0</v>
      </c>
      <c r="L582" s="2299"/>
      <c r="M582" s="2300"/>
    </row>
    <row r="583" spans="1:13">
      <c r="A583" s="1901"/>
      <c r="B583" s="1755" t="s">
        <v>483</v>
      </c>
      <c r="C583" s="1867" t="s">
        <v>484</v>
      </c>
      <c r="D583" s="1868"/>
      <c r="E583" s="1942">
        <f>E582</f>
        <v>0</v>
      </c>
      <c r="F583" s="1806" t="s">
        <v>37</v>
      </c>
      <c r="G583" s="1943">
        <v>1500</v>
      </c>
      <c r="H583" s="1937">
        <f t="shared" si="382"/>
        <v>0</v>
      </c>
      <c r="I583" s="1944">
        <v>500</v>
      </c>
      <c r="J583" s="1939">
        <f t="shared" si="383"/>
        <v>0</v>
      </c>
      <c r="K583" s="1864">
        <f t="shared" si="384"/>
        <v>0</v>
      </c>
      <c r="L583" s="1865"/>
      <c r="M583" s="1866"/>
    </row>
    <row r="584" spans="1:13">
      <c r="A584" s="1901"/>
      <c r="B584" s="1755"/>
      <c r="C584" s="1867" t="s">
        <v>482</v>
      </c>
      <c r="D584" s="1868"/>
      <c r="E584" s="1942">
        <v>0</v>
      </c>
      <c r="F584" s="1806" t="s">
        <v>37</v>
      </c>
      <c r="G584" s="2297">
        <v>69</v>
      </c>
      <c r="H584" s="1937">
        <f t="shared" si="382"/>
        <v>0</v>
      </c>
      <c r="I584" s="2298">
        <v>28</v>
      </c>
      <c r="J584" s="1939">
        <f t="shared" si="383"/>
        <v>0</v>
      </c>
      <c r="K584" s="1864">
        <f t="shared" si="384"/>
        <v>0</v>
      </c>
      <c r="L584" s="2299"/>
      <c r="M584" s="2300"/>
    </row>
    <row r="585" spans="1:13">
      <c r="A585" s="1901"/>
      <c r="B585" s="1755" t="s">
        <v>485</v>
      </c>
      <c r="C585" s="1867" t="s">
        <v>2789</v>
      </c>
      <c r="D585" s="1868"/>
      <c r="E585" s="1942">
        <v>0</v>
      </c>
      <c r="F585" s="1806" t="s">
        <v>37</v>
      </c>
      <c r="G585" s="1943">
        <v>492</v>
      </c>
      <c r="H585" s="1937">
        <f t="shared" si="382"/>
        <v>0</v>
      </c>
      <c r="I585" s="1944">
        <v>130</v>
      </c>
      <c r="J585" s="1939">
        <f t="shared" si="383"/>
        <v>0</v>
      </c>
      <c r="K585" s="1864">
        <f t="shared" si="384"/>
        <v>0</v>
      </c>
      <c r="L585" s="2299"/>
      <c r="M585" s="2300"/>
    </row>
    <row r="586" spans="1:13">
      <c r="A586" s="1901"/>
      <c r="B586" s="1755"/>
      <c r="C586" s="1867" t="s">
        <v>2790</v>
      </c>
      <c r="D586" s="1868"/>
      <c r="E586" s="1860"/>
      <c r="F586" s="1860"/>
      <c r="G586" s="1943"/>
      <c r="H586" s="1861"/>
      <c r="I586" s="1944"/>
      <c r="J586" s="1939"/>
      <c r="K586" s="1864"/>
      <c r="L586" s="2299"/>
      <c r="M586" s="2300"/>
    </row>
    <row r="587" spans="1:13">
      <c r="A587" s="1901"/>
      <c r="B587" s="1755"/>
      <c r="C587" s="1867" t="s">
        <v>486</v>
      </c>
      <c r="D587" s="1868"/>
      <c r="E587" s="1860"/>
      <c r="F587" s="1860"/>
      <c r="G587" s="1943"/>
      <c r="H587" s="1861"/>
      <c r="I587" s="1944"/>
      <c r="J587" s="1939"/>
      <c r="K587" s="1864"/>
      <c r="L587" s="2299"/>
      <c r="M587" s="2300"/>
    </row>
    <row r="588" spans="1:13">
      <c r="A588" s="1901"/>
      <c r="B588" s="1755" t="s">
        <v>487</v>
      </c>
      <c r="C588" s="1867" t="s">
        <v>2789</v>
      </c>
      <c r="D588" s="1868"/>
      <c r="E588" s="1942">
        <v>0</v>
      </c>
      <c r="F588" s="1806" t="s">
        <v>37</v>
      </c>
      <c r="G588" s="1943">
        <v>256</v>
      </c>
      <c r="H588" s="1861">
        <f>E588*G588</f>
        <v>0</v>
      </c>
      <c r="I588" s="1944">
        <v>100</v>
      </c>
      <c r="J588" s="1939">
        <f>E588*I588</f>
        <v>0</v>
      </c>
      <c r="K588" s="1864">
        <f t="shared" ref="K588" si="385">H588+J588</f>
        <v>0</v>
      </c>
      <c r="L588" s="2299"/>
      <c r="M588" s="2300"/>
    </row>
    <row r="589" spans="1:13">
      <c r="A589" s="1901"/>
      <c r="B589" s="1755"/>
      <c r="C589" s="1867" t="s">
        <v>2791</v>
      </c>
      <c r="D589" s="1868"/>
      <c r="E589" s="1860"/>
      <c r="F589" s="1860"/>
      <c r="G589" s="1943"/>
      <c r="H589" s="1861"/>
      <c r="I589" s="1944"/>
      <c r="J589" s="1939"/>
      <c r="K589" s="1864"/>
      <c r="L589" s="2299"/>
      <c r="M589" s="2300"/>
    </row>
    <row r="590" spans="1:13">
      <c r="A590" s="1901"/>
      <c r="B590" s="1755"/>
      <c r="C590" s="1867" t="s">
        <v>486</v>
      </c>
      <c r="D590" s="1868"/>
      <c r="E590" s="1860"/>
      <c r="F590" s="1860"/>
      <c r="G590" s="1943"/>
      <c r="H590" s="1861"/>
      <c r="I590" s="1944"/>
      <c r="J590" s="1939"/>
      <c r="K590" s="1864"/>
      <c r="L590" s="2299"/>
      <c r="M590" s="2300"/>
    </row>
    <row r="591" spans="1:13">
      <c r="A591" s="1901"/>
      <c r="B591" s="1755" t="s">
        <v>488</v>
      </c>
      <c r="C591" s="1867" t="s">
        <v>2926</v>
      </c>
      <c r="D591" s="1868"/>
      <c r="E591" s="1942">
        <v>0</v>
      </c>
      <c r="F591" s="1806" t="s">
        <v>37</v>
      </c>
      <c r="G591" s="1943">
        <v>350</v>
      </c>
      <c r="H591" s="1861">
        <f>E591*G591</f>
        <v>0</v>
      </c>
      <c r="I591" s="1944">
        <v>100</v>
      </c>
      <c r="J591" s="1939">
        <f>E591*I591</f>
        <v>0</v>
      </c>
      <c r="K591" s="1864">
        <f t="shared" ref="K591" si="386">H591+J591</f>
        <v>0</v>
      </c>
      <c r="L591" s="2299"/>
      <c r="M591" s="2300"/>
    </row>
    <row r="592" spans="1:13">
      <c r="A592" s="1901"/>
      <c r="B592" s="1755"/>
      <c r="C592" s="1867" t="s">
        <v>2793</v>
      </c>
      <c r="D592" s="1868"/>
      <c r="E592" s="1860"/>
      <c r="F592" s="1860"/>
      <c r="G592" s="1943"/>
      <c r="H592" s="1861"/>
      <c r="I592" s="1944"/>
      <c r="J592" s="1939"/>
      <c r="K592" s="1864"/>
      <c r="L592" s="1940"/>
      <c r="M592" s="1941"/>
    </row>
    <row r="593" spans="1:24">
      <c r="A593" s="1901"/>
      <c r="B593" s="1755"/>
      <c r="C593" s="1867" t="s">
        <v>489</v>
      </c>
      <c r="D593" s="1868"/>
      <c r="E593" s="1942">
        <f>E591</f>
        <v>0</v>
      </c>
      <c r="F593" s="1806" t="s">
        <v>37</v>
      </c>
      <c r="G593" s="2297">
        <v>69</v>
      </c>
      <c r="H593" s="1861">
        <f>E593*G593</f>
        <v>0</v>
      </c>
      <c r="I593" s="2298">
        <v>28</v>
      </c>
      <c r="J593" s="1939">
        <f>E593*I593</f>
        <v>0</v>
      </c>
      <c r="K593" s="1864">
        <f t="shared" ref="K593:K598" si="387">H593+J593</f>
        <v>0</v>
      </c>
      <c r="L593" s="2299"/>
      <c r="M593" s="2300"/>
    </row>
    <row r="594" spans="1:24">
      <c r="A594" s="1901"/>
      <c r="B594" s="1755"/>
      <c r="C594" s="1867"/>
      <c r="D594" s="1868"/>
      <c r="E594" s="1942"/>
      <c r="F594" s="1806"/>
      <c r="G594" s="2297"/>
      <c r="H594" s="1939"/>
      <c r="I594" s="2298"/>
      <c r="J594" s="1939"/>
      <c r="K594" s="1864"/>
      <c r="L594" s="2299"/>
      <c r="M594" s="2300"/>
    </row>
    <row r="595" spans="1:24" ht="24" customHeight="1">
      <c r="A595" s="1901"/>
      <c r="B595" s="1945" t="s">
        <v>2901</v>
      </c>
      <c r="C595" s="1867" t="s">
        <v>2902</v>
      </c>
      <c r="D595" s="1868"/>
      <c r="E595" s="1942">
        <v>0</v>
      </c>
      <c r="F595" s="1806" t="s">
        <v>37</v>
      </c>
      <c r="G595" s="1944">
        <v>195</v>
      </c>
      <c r="H595" s="1939">
        <f>E595*G595</f>
        <v>0</v>
      </c>
      <c r="I595" s="1944">
        <v>150</v>
      </c>
      <c r="J595" s="1939">
        <f t="shared" ref="J595" si="388">E595*I595</f>
        <v>0</v>
      </c>
      <c r="K595" s="1864">
        <f t="shared" si="387"/>
        <v>0</v>
      </c>
      <c r="L595" s="2299"/>
      <c r="N595" s="1836"/>
      <c r="O595" s="1837"/>
      <c r="P595" s="1837"/>
      <c r="Q595" s="1837"/>
      <c r="R595" s="1837"/>
      <c r="S595" s="1837"/>
      <c r="T595" s="1837"/>
      <c r="U595" s="1837"/>
      <c r="V595" s="1837"/>
      <c r="W595" s="1837"/>
      <c r="X595" s="1837"/>
    </row>
    <row r="596" spans="1:24" ht="24" customHeight="1">
      <c r="A596" s="1901"/>
      <c r="B596" s="1755"/>
      <c r="C596" s="1867" t="s">
        <v>2903</v>
      </c>
      <c r="D596" s="1868"/>
      <c r="E596" s="1860"/>
      <c r="F596" s="1860"/>
      <c r="G596" s="1944"/>
      <c r="H596" s="1939"/>
      <c r="I596" s="1944"/>
      <c r="J596" s="1939"/>
      <c r="K596" s="1864"/>
      <c r="L596" s="1940"/>
      <c r="M596" s="1946"/>
      <c r="N596" s="1836"/>
      <c r="O596" s="1837"/>
      <c r="P596" s="1837"/>
      <c r="Q596" s="1837"/>
      <c r="R596" s="1837"/>
      <c r="S596" s="1837"/>
      <c r="T596" s="1837"/>
      <c r="U596" s="1837"/>
      <c r="V596" s="1837"/>
      <c r="W596" s="1837"/>
      <c r="X596" s="1837"/>
    </row>
    <row r="597" spans="1:24" ht="24" customHeight="1">
      <c r="A597" s="1901"/>
      <c r="B597" s="1755"/>
      <c r="C597" s="1867" t="s">
        <v>2904</v>
      </c>
      <c r="D597" s="1868"/>
      <c r="E597" s="1942">
        <f>E595</f>
        <v>0</v>
      </c>
      <c r="F597" s="1806" t="s">
        <v>37</v>
      </c>
      <c r="G597" s="2298">
        <v>120</v>
      </c>
      <c r="H597" s="1947">
        <f>SUM(E597*G597)</f>
        <v>0</v>
      </c>
      <c r="I597" s="2298">
        <v>56</v>
      </c>
      <c r="J597" s="1939">
        <f>E597*I597</f>
        <v>0</v>
      </c>
      <c r="K597" s="1864">
        <f>H597+J597</f>
        <v>0</v>
      </c>
      <c r="L597" s="2299"/>
      <c r="M597" s="1946"/>
      <c r="N597" s="1836"/>
      <c r="O597" s="1837"/>
      <c r="P597" s="1837"/>
      <c r="Q597" s="1837"/>
      <c r="R597" s="1837"/>
      <c r="S597" s="1837"/>
      <c r="T597" s="1837"/>
      <c r="U597" s="1837"/>
      <c r="V597" s="1837"/>
      <c r="W597" s="1837"/>
      <c r="X597" s="1837"/>
    </row>
    <row r="598" spans="1:24">
      <c r="A598" s="1901"/>
      <c r="B598" s="1755" t="s">
        <v>490</v>
      </c>
      <c r="C598" s="1867" t="s">
        <v>2789</v>
      </c>
      <c r="D598" s="1868"/>
      <c r="E598" s="1942">
        <v>0</v>
      </c>
      <c r="F598" s="1806" t="s">
        <v>37</v>
      </c>
      <c r="G598" s="1943">
        <v>592</v>
      </c>
      <c r="H598" s="1861">
        <f>E598*G598</f>
        <v>0</v>
      </c>
      <c r="I598" s="1944">
        <v>165</v>
      </c>
      <c r="J598" s="1939">
        <f>E598*I598</f>
        <v>0</v>
      </c>
      <c r="K598" s="1864">
        <f t="shared" si="387"/>
        <v>0</v>
      </c>
      <c r="L598" s="2299"/>
      <c r="M598" s="2300"/>
    </row>
    <row r="599" spans="1:24">
      <c r="A599" s="1901"/>
      <c r="B599" s="1755"/>
      <c r="C599" s="1867" t="s">
        <v>2790</v>
      </c>
      <c r="D599" s="1868"/>
      <c r="E599" s="1860"/>
      <c r="F599" s="1860"/>
      <c r="G599" s="1943"/>
      <c r="H599" s="1861"/>
      <c r="I599" s="1944"/>
      <c r="J599" s="1939"/>
      <c r="K599" s="1864"/>
      <c r="L599" s="1940"/>
      <c r="M599" s="1941"/>
    </row>
    <row r="600" spans="1:24">
      <c r="A600" s="1901"/>
      <c r="B600" s="1755"/>
      <c r="C600" s="1867" t="s">
        <v>2794</v>
      </c>
      <c r="D600" s="1868"/>
      <c r="E600" s="1860"/>
      <c r="F600" s="1860"/>
      <c r="G600" s="1943"/>
      <c r="H600" s="1861"/>
      <c r="I600" s="1944"/>
      <c r="J600" s="1939"/>
      <c r="K600" s="1864"/>
      <c r="L600" s="1940"/>
      <c r="M600" s="1941"/>
    </row>
    <row r="601" spans="1:24">
      <c r="A601" s="1901"/>
      <c r="B601" s="1755"/>
      <c r="C601" s="1867" t="s">
        <v>2795</v>
      </c>
      <c r="D601" s="1868"/>
      <c r="E601" s="1860"/>
      <c r="F601" s="1860"/>
      <c r="G601" s="1943"/>
      <c r="H601" s="1861"/>
      <c r="I601" s="1944"/>
      <c r="J601" s="1939"/>
      <c r="K601" s="1864"/>
      <c r="L601" s="1940"/>
      <c r="M601" s="1941"/>
    </row>
    <row r="602" spans="1:24">
      <c r="A602" s="1901"/>
      <c r="B602" s="1755" t="s">
        <v>491</v>
      </c>
      <c r="C602" s="1867" t="s">
        <v>2792</v>
      </c>
      <c r="D602" s="1868"/>
      <c r="E602" s="1942">
        <v>0</v>
      </c>
      <c r="F602" s="1806" t="s">
        <v>37</v>
      </c>
      <c r="G602" s="1943">
        <v>642</v>
      </c>
      <c r="H602" s="1861">
        <f>E602*G602</f>
        <v>0</v>
      </c>
      <c r="I602" s="1944">
        <v>183</v>
      </c>
      <c r="J602" s="1939">
        <f>E602*I602</f>
        <v>0</v>
      </c>
      <c r="K602" s="1864">
        <f t="shared" ref="K602" si="389">H602+J602</f>
        <v>0</v>
      </c>
      <c r="L602" s="2299"/>
      <c r="M602" s="2300"/>
    </row>
    <row r="603" spans="1:24">
      <c r="A603" s="1901"/>
      <c r="B603" s="1755"/>
      <c r="C603" s="1867" t="s">
        <v>542</v>
      </c>
      <c r="D603" s="1868"/>
      <c r="E603" s="1860"/>
      <c r="F603" s="1860"/>
      <c r="G603" s="1943"/>
      <c r="H603" s="1861"/>
      <c r="I603" s="1944"/>
      <c r="J603" s="1939"/>
      <c r="K603" s="1864"/>
      <c r="L603" s="1940"/>
      <c r="M603" s="1941"/>
    </row>
    <row r="604" spans="1:24">
      <c r="A604" s="1901"/>
      <c r="B604" s="1755"/>
      <c r="C604" s="1867" t="s">
        <v>2796</v>
      </c>
      <c r="D604" s="1868"/>
      <c r="E604" s="1860"/>
      <c r="F604" s="1860"/>
      <c r="G604" s="1943"/>
      <c r="H604" s="1861"/>
      <c r="I604" s="1944"/>
      <c r="J604" s="1939"/>
      <c r="K604" s="1864"/>
      <c r="L604" s="1940"/>
      <c r="M604" s="1941"/>
    </row>
    <row r="605" spans="1:24">
      <c r="A605" s="1901"/>
      <c r="B605" s="1755" t="s">
        <v>492</v>
      </c>
      <c r="C605" s="1867" t="s">
        <v>2797</v>
      </c>
      <c r="D605" s="1868"/>
      <c r="E605" s="1942">
        <v>0</v>
      </c>
      <c r="F605" s="1806" t="s">
        <v>37</v>
      </c>
      <c r="G605" s="1943">
        <v>520</v>
      </c>
      <c r="H605" s="1861">
        <f>E605*G605</f>
        <v>0</v>
      </c>
      <c r="I605" s="1944">
        <v>270</v>
      </c>
      <c r="J605" s="1939">
        <f>E605*I605</f>
        <v>0</v>
      </c>
      <c r="K605" s="1864">
        <f t="shared" ref="K605" si="390">H605+J605</f>
        <v>0</v>
      </c>
      <c r="L605" s="1948"/>
      <c r="M605" s="1949"/>
    </row>
    <row r="606" spans="1:24">
      <c r="A606" s="1901"/>
      <c r="B606" s="1755"/>
      <c r="C606" s="1867" t="s">
        <v>2798</v>
      </c>
      <c r="D606" s="1868"/>
      <c r="E606" s="1860"/>
      <c r="F606" s="1860"/>
      <c r="G606" s="1943"/>
      <c r="H606" s="1861"/>
      <c r="I606" s="1944"/>
      <c r="J606" s="1939"/>
      <c r="K606" s="1864"/>
      <c r="L606" s="1940"/>
      <c r="M606" s="1941"/>
    </row>
    <row r="607" spans="1:24">
      <c r="A607" s="1901"/>
      <c r="B607" s="1755"/>
      <c r="C607" s="1867" t="s">
        <v>493</v>
      </c>
      <c r="D607" s="1868"/>
      <c r="E607" s="1860"/>
      <c r="F607" s="1860"/>
      <c r="G607" s="1943"/>
      <c r="H607" s="1861"/>
      <c r="I607" s="1944"/>
      <c r="J607" s="1939"/>
      <c r="K607" s="1864"/>
      <c r="L607" s="1940"/>
      <c r="M607" s="1941"/>
    </row>
    <row r="608" spans="1:24">
      <c r="A608" s="1901"/>
      <c r="B608" s="1755" t="s">
        <v>494</v>
      </c>
      <c r="C608" s="1867" t="s">
        <v>2799</v>
      </c>
      <c r="D608" s="1868"/>
      <c r="E608" s="1942">
        <v>0</v>
      </c>
      <c r="F608" s="1806" t="s">
        <v>37</v>
      </c>
      <c r="G608" s="1943">
        <v>256</v>
      </c>
      <c r="H608" s="1861">
        <f>E608*G608</f>
        <v>0</v>
      </c>
      <c r="I608" s="1944">
        <v>100</v>
      </c>
      <c r="J608" s="1939">
        <f>E608*I608</f>
        <v>0</v>
      </c>
      <c r="K608" s="1864">
        <f>H608+J608</f>
        <v>0</v>
      </c>
      <c r="L608" s="2299"/>
      <c r="M608" s="2300"/>
    </row>
    <row r="609" spans="1:13">
      <c r="A609" s="1901"/>
      <c r="B609" s="1755"/>
      <c r="C609" s="1867" t="s">
        <v>2800</v>
      </c>
      <c r="D609" s="1868"/>
      <c r="E609" s="1860"/>
      <c r="F609" s="1860"/>
      <c r="G609" s="1943"/>
      <c r="H609" s="1861"/>
      <c r="I609" s="1944"/>
      <c r="J609" s="1939"/>
      <c r="K609" s="1864"/>
      <c r="L609" s="1940"/>
      <c r="M609" s="1941"/>
    </row>
    <row r="610" spans="1:13">
      <c r="A610" s="1901"/>
      <c r="B610" s="1755"/>
      <c r="C610" s="1867" t="s">
        <v>495</v>
      </c>
      <c r="D610" s="1868"/>
      <c r="E610" s="1860"/>
      <c r="F610" s="1860"/>
      <c r="G610" s="1943"/>
      <c r="H610" s="1861"/>
      <c r="I610" s="1944"/>
      <c r="J610" s="1939"/>
      <c r="K610" s="1864"/>
      <c r="L610" s="1940"/>
      <c r="M610" s="1941"/>
    </row>
    <row r="611" spans="1:13">
      <c r="A611" s="1901"/>
      <c r="B611" s="1755"/>
      <c r="C611" s="1867" t="s">
        <v>496</v>
      </c>
      <c r="D611" s="1868"/>
      <c r="E611" s="1860">
        <f>+E608</f>
        <v>0</v>
      </c>
      <c r="F611" s="1806" t="s">
        <v>37</v>
      </c>
      <c r="G611" s="1936">
        <v>520</v>
      </c>
      <c r="H611" s="1861">
        <f>E611*G611</f>
        <v>0</v>
      </c>
      <c r="I611" s="1938">
        <v>30</v>
      </c>
      <c r="J611" s="1939">
        <f>E611*I611</f>
        <v>0</v>
      </c>
      <c r="K611" s="1864">
        <f>H611+J611</f>
        <v>0</v>
      </c>
      <c r="L611" s="1940" t="s">
        <v>2881</v>
      </c>
      <c r="M611" s="1941"/>
    </row>
    <row r="612" spans="1:13">
      <c r="A612" s="1901"/>
      <c r="B612" s="1755" t="s">
        <v>497</v>
      </c>
      <c r="C612" s="1867" t="s">
        <v>498</v>
      </c>
      <c r="D612" s="1868"/>
      <c r="E612" s="1942">
        <v>0</v>
      </c>
      <c r="F612" s="1806" t="s">
        <v>37</v>
      </c>
      <c r="G612" s="1936">
        <v>91</v>
      </c>
      <c r="H612" s="1861">
        <f t="shared" ref="H612:H618" si="391">E612*G612</f>
        <v>0</v>
      </c>
      <c r="I612" s="1938">
        <v>100</v>
      </c>
      <c r="J612" s="1939">
        <f t="shared" ref="J612:J618" si="392">E612*I612</f>
        <v>0</v>
      </c>
      <c r="K612" s="1864">
        <f t="shared" ref="K612:K618" si="393">H612+J612</f>
        <v>0</v>
      </c>
      <c r="L612" s="1940"/>
      <c r="M612" s="1941"/>
    </row>
    <row r="613" spans="1:13">
      <c r="A613" s="1901"/>
      <c r="B613" s="1755" t="s">
        <v>499</v>
      </c>
      <c r="C613" s="1867" t="s">
        <v>500</v>
      </c>
      <c r="D613" s="1868"/>
      <c r="E613" s="1942">
        <v>0</v>
      </c>
      <c r="F613" s="1806" t="s">
        <v>37</v>
      </c>
      <c r="G613" s="1936">
        <v>294</v>
      </c>
      <c r="H613" s="1861">
        <f t="shared" si="391"/>
        <v>0</v>
      </c>
      <c r="I613" s="1938">
        <v>189</v>
      </c>
      <c r="J613" s="1939">
        <f t="shared" si="392"/>
        <v>0</v>
      </c>
      <c r="K613" s="1864">
        <f t="shared" si="393"/>
        <v>0</v>
      </c>
      <c r="L613" s="1940"/>
      <c r="M613" s="1941"/>
    </row>
    <row r="614" spans="1:13">
      <c r="A614" s="1901"/>
      <c r="B614" s="1755" t="s">
        <v>501</v>
      </c>
      <c r="C614" s="1867" t="s">
        <v>502</v>
      </c>
      <c r="D614" s="1868"/>
      <c r="E614" s="1950">
        <v>0</v>
      </c>
      <c r="F614" s="119" t="s">
        <v>37</v>
      </c>
      <c r="G614" s="2294">
        <v>608</v>
      </c>
      <c r="H614" s="1882">
        <f t="shared" si="391"/>
        <v>0</v>
      </c>
      <c r="I614" s="1951">
        <v>189</v>
      </c>
      <c r="J614" s="1876">
        <f t="shared" si="392"/>
        <v>0</v>
      </c>
      <c r="K614" s="1890">
        <f t="shared" si="393"/>
        <v>0</v>
      </c>
      <c r="L614" s="1940"/>
      <c r="M614" s="1941"/>
    </row>
    <row r="615" spans="1:13">
      <c r="A615" s="1901"/>
      <c r="B615" s="1755" t="s">
        <v>2918</v>
      </c>
      <c r="C615" s="1867" t="s">
        <v>502</v>
      </c>
      <c r="D615" s="1868"/>
      <c r="E615" s="1952">
        <v>0</v>
      </c>
      <c r="F615" s="67" t="s">
        <v>37</v>
      </c>
      <c r="G615" s="2294">
        <v>399</v>
      </c>
      <c r="H615" s="1882">
        <f t="shared" si="391"/>
        <v>0</v>
      </c>
      <c r="I615" s="1951">
        <v>189</v>
      </c>
      <c r="J615" s="1876">
        <f t="shared" si="392"/>
        <v>0</v>
      </c>
      <c r="K615" s="1890">
        <f t="shared" si="393"/>
        <v>0</v>
      </c>
      <c r="L615" s="1940"/>
      <c r="M615" s="1941"/>
    </row>
    <row r="616" spans="1:13">
      <c r="A616" s="1901"/>
      <c r="B616" s="1755" t="s">
        <v>503</v>
      </c>
      <c r="C616" s="1867" t="s">
        <v>2801</v>
      </c>
      <c r="D616" s="1868"/>
      <c r="E616" s="1942">
        <v>0</v>
      </c>
      <c r="F616" s="1806" t="s">
        <v>37</v>
      </c>
      <c r="G616" s="1936">
        <v>88</v>
      </c>
      <c r="H616" s="1861">
        <f t="shared" si="391"/>
        <v>0</v>
      </c>
      <c r="I616" s="1938">
        <v>82</v>
      </c>
      <c r="J616" s="1939">
        <f t="shared" si="392"/>
        <v>0</v>
      </c>
      <c r="K616" s="1864">
        <f t="shared" si="393"/>
        <v>0</v>
      </c>
      <c r="L616" s="1940" t="s">
        <v>2882</v>
      </c>
      <c r="M616" s="1941"/>
    </row>
    <row r="617" spans="1:13">
      <c r="A617" s="1901"/>
      <c r="B617" s="1755"/>
      <c r="C617" s="1867" t="s">
        <v>504</v>
      </c>
      <c r="D617" s="1868"/>
      <c r="E617" s="1942">
        <v>0</v>
      </c>
      <c r="F617" s="1806" t="s">
        <v>37</v>
      </c>
      <c r="G617" s="2297">
        <v>69</v>
      </c>
      <c r="H617" s="1861">
        <f t="shared" si="391"/>
        <v>0</v>
      </c>
      <c r="I617" s="2301">
        <v>28</v>
      </c>
      <c r="J617" s="1939">
        <f t="shared" si="392"/>
        <v>0</v>
      </c>
      <c r="K617" s="1864">
        <f t="shared" si="393"/>
        <v>0</v>
      </c>
      <c r="L617" s="1940"/>
      <c r="M617" s="1941"/>
    </row>
    <row r="618" spans="1:13">
      <c r="A618" s="1901"/>
      <c r="B618" s="1755" t="s">
        <v>505</v>
      </c>
      <c r="C618" s="1867" t="s">
        <v>502</v>
      </c>
      <c r="D618" s="1868"/>
      <c r="E618" s="1942">
        <v>0</v>
      </c>
      <c r="F618" s="1806" t="s">
        <v>37</v>
      </c>
      <c r="G618" s="1936">
        <v>870</v>
      </c>
      <c r="H618" s="1861">
        <f t="shared" si="391"/>
        <v>0</v>
      </c>
      <c r="I618" s="1938">
        <v>242</v>
      </c>
      <c r="J618" s="1939">
        <f t="shared" si="392"/>
        <v>0</v>
      </c>
      <c r="K618" s="1864">
        <f t="shared" si="393"/>
        <v>0</v>
      </c>
      <c r="L618" s="1940"/>
      <c r="M618" s="1941"/>
    </row>
    <row r="619" spans="1:13">
      <c r="A619" s="1901"/>
      <c r="B619" s="1755"/>
      <c r="C619" s="1867" t="s">
        <v>506</v>
      </c>
      <c r="D619" s="1868"/>
      <c r="E619" s="1860"/>
      <c r="F619" s="1860"/>
      <c r="G619" s="1943"/>
      <c r="H619" s="1861"/>
      <c r="I619" s="1944"/>
      <c r="J619" s="1939"/>
      <c r="K619" s="1864"/>
      <c r="L619" s="1940"/>
      <c r="M619" s="1941"/>
    </row>
    <row r="620" spans="1:13">
      <c r="A620" s="1901"/>
      <c r="B620" s="1755" t="s">
        <v>2919</v>
      </c>
      <c r="C620" s="1867" t="s">
        <v>502</v>
      </c>
      <c r="D620" s="1868"/>
      <c r="E620" s="1942">
        <v>0</v>
      </c>
      <c r="F620" s="1806" t="s">
        <v>37</v>
      </c>
      <c r="G620" s="1953">
        <v>765</v>
      </c>
      <c r="H620" s="1882">
        <f>E620*G620</f>
        <v>0</v>
      </c>
      <c r="I620" s="1951">
        <v>242</v>
      </c>
      <c r="J620" s="1939">
        <f t="shared" ref="J620" si="394">E620*I620</f>
        <v>0</v>
      </c>
      <c r="K620" s="1864">
        <f t="shared" ref="K620" si="395">H620+J620</f>
        <v>0</v>
      </c>
      <c r="L620" s="1940"/>
      <c r="M620" s="1941"/>
    </row>
    <row r="621" spans="1:13">
      <c r="A621" s="1901"/>
      <c r="B621" s="1755"/>
      <c r="C621" s="1867" t="s">
        <v>506</v>
      </c>
      <c r="D621" s="1868"/>
      <c r="E621" s="1860"/>
      <c r="F621" s="1860"/>
      <c r="G621" s="1943"/>
      <c r="H621" s="1861"/>
      <c r="I621" s="1944"/>
      <c r="J621" s="1939"/>
      <c r="K621" s="1864"/>
      <c r="L621" s="1940"/>
      <c r="M621" s="1941"/>
    </row>
    <row r="622" spans="1:13">
      <c r="A622" s="1901"/>
      <c r="B622" s="1755" t="s">
        <v>507</v>
      </c>
      <c r="C622" s="1867" t="s">
        <v>508</v>
      </c>
      <c r="D622" s="1868"/>
      <c r="E622" s="1942">
        <v>0</v>
      </c>
      <c r="F622" s="1806" t="s">
        <v>37</v>
      </c>
      <c r="G622" s="1936">
        <v>0</v>
      </c>
      <c r="H622" s="1861">
        <f t="shared" ref="H622:H623" si="396">E622*G622</f>
        <v>0</v>
      </c>
      <c r="I622" s="1938">
        <v>0</v>
      </c>
      <c r="J622" s="1939">
        <f t="shared" ref="J622:J623" si="397">E622*I622</f>
        <v>0</v>
      </c>
      <c r="K622" s="1864">
        <f t="shared" ref="K622:K623" si="398">H622+J622</f>
        <v>0</v>
      </c>
      <c r="L622" s="1940"/>
      <c r="M622" s="1941"/>
    </row>
    <row r="623" spans="1:13">
      <c r="A623" s="1901"/>
      <c r="B623" s="1755" t="s">
        <v>510</v>
      </c>
      <c r="C623" s="1755" t="s">
        <v>2802</v>
      </c>
      <c r="D623" s="1755"/>
      <c r="E623" s="1942">
        <v>0</v>
      </c>
      <c r="F623" s="1806" t="s">
        <v>37</v>
      </c>
      <c r="G623" s="1936">
        <v>1296</v>
      </c>
      <c r="H623" s="1861">
        <f t="shared" si="396"/>
        <v>0</v>
      </c>
      <c r="I623" s="1938">
        <v>1600</v>
      </c>
      <c r="J623" s="1939">
        <f t="shared" si="397"/>
        <v>0</v>
      </c>
      <c r="K623" s="1864">
        <f t="shared" si="398"/>
        <v>0</v>
      </c>
      <c r="L623" s="1940"/>
      <c r="M623" s="1941"/>
    </row>
    <row r="624" spans="1:13">
      <c r="A624" s="1901"/>
      <c r="B624" s="1755"/>
      <c r="C624" s="1755" t="s">
        <v>512</v>
      </c>
      <c r="D624" s="1755"/>
      <c r="E624" s="1860"/>
      <c r="F624" s="1860"/>
      <c r="G624" s="1936"/>
      <c r="H624" s="1937"/>
      <c r="I624" s="1938"/>
      <c r="J624" s="1939"/>
      <c r="K624" s="1864"/>
      <c r="L624" s="1940"/>
      <c r="M624" s="1941"/>
    </row>
    <row r="625" spans="1:13">
      <c r="A625" s="1901"/>
      <c r="B625" s="1755" t="s">
        <v>513</v>
      </c>
      <c r="C625" s="1867" t="s">
        <v>514</v>
      </c>
      <c r="D625" s="1868"/>
      <c r="E625" s="1942">
        <v>0</v>
      </c>
      <c r="F625" s="1806" t="s">
        <v>37</v>
      </c>
      <c r="G625" s="1936">
        <v>1090</v>
      </c>
      <c r="H625" s="1861">
        <f t="shared" ref="H625:H643" si="399">E625*G625</f>
        <v>0</v>
      </c>
      <c r="I625" s="1938">
        <v>900</v>
      </c>
      <c r="J625" s="1939">
        <f t="shared" ref="J625:J626" si="400">E625*I625</f>
        <v>0</v>
      </c>
      <c r="K625" s="1864">
        <f t="shared" ref="K625:K626" si="401">H625+J625</f>
        <v>0</v>
      </c>
      <c r="L625" s="1940"/>
      <c r="M625" s="1941"/>
    </row>
    <row r="626" spans="1:13">
      <c r="A626" s="1901"/>
      <c r="B626" s="1755" t="s">
        <v>515</v>
      </c>
      <c r="C626" s="1867" t="s">
        <v>2905</v>
      </c>
      <c r="D626" s="1868"/>
      <c r="E626" s="1942">
        <v>0</v>
      </c>
      <c r="F626" s="1806" t="s">
        <v>37</v>
      </c>
      <c r="G626" s="1936">
        <v>1600</v>
      </c>
      <c r="H626" s="1861">
        <f t="shared" si="399"/>
        <v>0</v>
      </c>
      <c r="I626" s="1938">
        <v>500</v>
      </c>
      <c r="J626" s="1939">
        <f t="shared" si="400"/>
        <v>0</v>
      </c>
      <c r="K626" s="1864">
        <f t="shared" si="401"/>
        <v>0</v>
      </c>
      <c r="L626" s="1940"/>
      <c r="M626" s="1941"/>
    </row>
    <row r="627" spans="1:13">
      <c r="A627" s="1901"/>
      <c r="B627" s="1755"/>
      <c r="C627" s="1867" t="s">
        <v>517</v>
      </c>
      <c r="D627" s="1868"/>
      <c r="E627" s="1942"/>
      <c r="F627" s="1806"/>
      <c r="G627" s="1936"/>
      <c r="H627" s="1937"/>
      <c r="I627" s="1938"/>
      <c r="J627" s="1939"/>
      <c r="K627" s="1864"/>
      <c r="L627" s="1940"/>
      <c r="M627" s="1941"/>
    </row>
    <row r="628" spans="1:13">
      <c r="A628" s="1901"/>
      <c r="B628" s="1755" t="s">
        <v>518</v>
      </c>
      <c r="C628" s="1867" t="s">
        <v>519</v>
      </c>
      <c r="D628" s="1868"/>
      <c r="E628" s="1942">
        <v>0</v>
      </c>
      <c r="F628" s="1806" t="s">
        <v>37</v>
      </c>
      <c r="G628" s="1936">
        <v>2540</v>
      </c>
      <c r="H628" s="1861">
        <f t="shared" si="399"/>
        <v>0</v>
      </c>
      <c r="I628" s="1938">
        <v>700</v>
      </c>
      <c r="J628" s="1939">
        <f t="shared" ref="J628" si="402">E628*I628</f>
        <v>0</v>
      </c>
      <c r="K628" s="1864">
        <f t="shared" ref="K628" si="403">H628+J628</f>
        <v>0</v>
      </c>
      <c r="L628" s="1940"/>
      <c r="M628" s="1941"/>
    </row>
    <row r="629" spans="1:13">
      <c r="A629" s="1901"/>
      <c r="B629" s="1755"/>
      <c r="C629" s="1867" t="s">
        <v>520</v>
      </c>
      <c r="D629" s="1868"/>
      <c r="E629" s="1942"/>
      <c r="F629" s="1806"/>
      <c r="G629" s="1936"/>
      <c r="H629" s="1937"/>
      <c r="I629" s="1938"/>
      <c r="J629" s="1939"/>
      <c r="K629" s="1864"/>
      <c r="L629" s="1940"/>
      <c r="M629" s="1941"/>
    </row>
    <row r="630" spans="1:13">
      <c r="A630" s="1901"/>
      <c r="B630" s="1755" t="s">
        <v>521</v>
      </c>
      <c r="C630" s="1867" t="s">
        <v>522</v>
      </c>
      <c r="D630" s="1868"/>
      <c r="E630" s="1942">
        <v>0</v>
      </c>
      <c r="F630" s="1806" t="s">
        <v>37</v>
      </c>
      <c r="G630" s="1943">
        <v>15000</v>
      </c>
      <c r="H630" s="1861">
        <f t="shared" si="399"/>
        <v>0</v>
      </c>
      <c r="I630" s="1944">
        <v>500</v>
      </c>
      <c r="J630" s="1939">
        <f t="shared" ref="J630:J632" si="404">E630*I630</f>
        <v>0</v>
      </c>
      <c r="K630" s="1864">
        <f t="shared" ref="K630:K632" si="405">H630+J630</f>
        <v>0</v>
      </c>
      <c r="L630" s="1865"/>
      <c r="M630" s="1866"/>
    </row>
    <row r="631" spans="1:13">
      <c r="A631" s="1901"/>
      <c r="B631" s="1755" t="s">
        <v>523</v>
      </c>
      <c r="C631" s="1867" t="s">
        <v>524</v>
      </c>
      <c r="D631" s="1868"/>
      <c r="E631" s="1942">
        <v>646</v>
      </c>
      <c r="F631" s="1806" t="s">
        <v>37</v>
      </c>
      <c r="G631" s="1936">
        <v>88</v>
      </c>
      <c r="H631" s="1861">
        <f t="shared" si="399"/>
        <v>56848</v>
      </c>
      <c r="I631" s="1938">
        <v>82</v>
      </c>
      <c r="J631" s="1939">
        <f t="shared" si="404"/>
        <v>52972</v>
      </c>
      <c r="K631" s="1864">
        <f t="shared" si="405"/>
        <v>109820</v>
      </c>
      <c r="L631" s="1940" t="s">
        <v>2883</v>
      </c>
      <c r="M631" s="1941"/>
    </row>
    <row r="632" spans="1:13">
      <c r="A632" s="1901"/>
      <c r="B632" s="1755" t="s">
        <v>525</v>
      </c>
      <c r="C632" s="1867" t="s">
        <v>526</v>
      </c>
      <c r="D632" s="1868"/>
      <c r="E632" s="1942">
        <v>0</v>
      </c>
      <c r="F632" s="1806" t="s">
        <v>37</v>
      </c>
      <c r="G632" s="1936">
        <v>1955</v>
      </c>
      <c r="H632" s="1861">
        <f t="shared" si="399"/>
        <v>0</v>
      </c>
      <c r="I632" s="1938">
        <v>1700</v>
      </c>
      <c r="J632" s="1939">
        <f t="shared" si="404"/>
        <v>0</v>
      </c>
      <c r="K632" s="1864">
        <f t="shared" si="405"/>
        <v>0</v>
      </c>
      <c r="L632" s="1940"/>
      <c r="M632" s="1941"/>
    </row>
    <row r="633" spans="1:13">
      <c r="A633" s="1901"/>
      <c r="B633" s="1755"/>
      <c r="C633" s="1867" t="s">
        <v>2804</v>
      </c>
      <c r="D633" s="1868"/>
      <c r="E633" s="1942"/>
      <c r="F633" s="1806"/>
      <c r="G633" s="1936"/>
      <c r="H633" s="1937"/>
      <c r="I633" s="1938"/>
      <c r="J633" s="1939"/>
      <c r="K633" s="1864"/>
      <c r="L633" s="1940"/>
      <c r="M633" s="1941"/>
    </row>
    <row r="634" spans="1:13">
      <c r="A634" s="1901"/>
      <c r="B634" s="1755"/>
      <c r="C634" s="1867" t="s">
        <v>527</v>
      </c>
      <c r="D634" s="1868"/>
      <c r="E634" s="1942">
        <v>0</v>
      </c>
      <c r="F634" s="1806" t="s">
        <v>37</v>
      </c>
      <c r="G634" s="1943">
        <v>165</v>
      </c>
      <c r="H634" s="1861">
        <f t="shared" si="399"/>
        <v>0</v>
      </c>
      <c r="I634" s="1944">
        <v>25</v>
      </c>
      <c r="J634" s="1939">
        <f t="shared" ref="J634:J635" si="406">E634*I634</f>
        <v>0</v>
      </c>
      <c r="K634" s="1864">
        <f t="shared" ref="K634:K635" si="407">H634+J634</f>
        <v>0</v>
      </c>
      <c r="L634" s="1940" t="s">
        <v>2884</v>
      </c>
      <c r="M634" s="1941"/>
    </row>
    <row r="635" spans="1:13">
      <c r="A635" s="1901"/>
      <c r="B635" s="1755" t="s">
        <v>528</v>
      </c>
      <c r="C635" s="1867" t="s">
        <v>526</v>
      </c>
      <c r="D635" s="1868"/>
      <c r="E635" s="1942">
        <v>0</v>
      </c>
      <c r="F635" s="1806" t="s">
        <v>37</v>
      </c>
      <c r="G635" s="1936">
        <v>1296</v>
      </c>
      <c r="H635" s="1861">
        <f t="shared" si="399"/>
        <v>0</v>
      </c>
      <c r="I635" s="1938">
        <v>1600</v>
      </c>
      <c r="J635" s="1939">
        <f t="shared" si="406"/>
        <v>0</v>
      </c>
      <c r="K635" s="1864">
        <f t="shared" si="407"/>
        <v>0</v>
      </c>
      <c r="L635" s="1940"/>
      <c r="M635" s="1941"/>
    </row>
    <row r="636" spans="1:13">
      <c r="A636" s="1901"/>
      <c r="B636" s="1755"/>
      <c r="C636" s="1867" t="s">
        <v>2804</v>
      </c>
      <c r="D636" s="1868"/>
      <c r="E636" s="1942"/>
      <c r="F636" s="1806"/>
      <c r="G636" s="1936"/>
      <c r="H636" s="1937"/>
      <c r="I636" s="1938"/>
      <c r="J636" s="1939"/>
      <c r="K636" s="1864"/>
      <c r="L636" s="1940"/>
      <c r="M636" s="1941"/>
    </row>
    <row r="637" spans="1:13">
      <c r="A637" s="1901"/>
      <c r="B637" s="1755"/>
      <c r="C637" s="1867" t="s">
        <v>527</v>
      </c>
      <c r="D637" s="1868"/>
      <c r="E637" s="1942">
        <v>0</v>
      </c>
      <c r="F637" s="1806" t="s">
        <v>37</v>
      </c>
      <c r="G637" s="1943">
        <v>165</v>
      </c>
      <c r="H637" s="1861">
        <f t="shared" si="399"/>
        <v>0</v>
      </c>
      <c r="I637" s="1944">
        <v>25</v>
      </c>
      <c r="J637" s="1939">
        <f t="shared" ref="J637:J638" si="408">E637*I637</f>
        <v>0</v>
      </c>
      <c r="K637" s="1864">
        <f t="shared" ref="K637:K638" si="409">H637+J637</f>
        <v>0</v>
      </c>
      <c r="L637" s="1940" t="s">
        <v>2884</v>
      </c>
      <c r="M637" s="1941"/>
    </row>
    <row r="638" spans="1:13">
      <c r="A638" s="1901"/>
      <c r="B638" s="1755" t="s">
        <v>529</v>
      </c>
      <c r="C638" s="1867" t="s">
        <v>526</v>
      </c>
      <c r="D638" s="1868"/>
      <c r="E638" s="1942">
        <v>0</v>
      </c>
      <c r="F638" s="1806" t="s">
        <v>37</v>
      </c>
      <c r="G638" s="1936">
        <v>5900</v>
      </c>
      <c r="H638" s="1861">
        <f t="shared" si="399"/>
        <v>0</v>
      </c>
      <c r="I638" s="1938">
        <v>1200</v>
      </c>
      <c r="J638" s="1939">
        <f t="shared" si="408"/>
        <v>0</v>
      </c>
      <c r="K638" s="1864">
        <f t="shared" si="409"/>
        <v>0</v>
      </c>
      <c r="L638" s="1940"/>
      <c r="M638" s="1941"/>
    </row>
    <row r="639" spans="1:13">
      <c r="A639" s="1901"/>
      <c r="B639" s="1755"/>
      <c r="C639" s="1867" t="s">
        <v>2804</v>
      </c>
      <c r="D639" s="1868"/>
      <c r="E639" s="1942"/>
      <c r="F639" s="1806"/>
      <c r="G639" s="1936"/>
      <c r="H639" s="1937"/>
      <c r="I639" s="1938"/>
      <c r="J639" s="1939"/>
      <c r="K639" s="1864"/>
      <c r="L639" s="1940"/>
      <c r="M639" s="1941"/>
    </row>
    <row r="640" spans="1:13">
      <c r="A640" s="1901"/>
      <c r="B640" s="1755" t="s">
        <v>530</v>
      </c>
      <c r="C640" s="1867" t="s">
        <v>526</v>
      </c>
      <c r="D640" s="1868"/>
      <c r="E640" s="1942">
        <v>0</v>
      </c>
      <c r="F640" s="1806" t="s">
        <v>37</v>
      </c>
      <c r="G640" s="1936">
        <v>6000</v>
      </c>
      <c r="H640" s="1861">
        <f t="shared" si="399"/>
        <v>0</v>
      </c>
      <c r="I640" s="1938">
        <v>1550</v>
      </c>
      <c r="J640" s="1939">
        <f t="shared" ref="J640" si="410">E640*I640</f>
        <v>0</v>
      </c>
      <c r="K640" s="1864">
        <f t="shared" ref="K640" si="411">H640+J640</f>
        <v>0</v>
      </c>
      <c r="L640" s="1940"/>
      <c r="M640" s="1941"/>
    </row>
    <row r="641" spans="1:24">
      <c r="A641" s="1901"/>
      <c r="B641" s="1755"/>
      <c r="C641" s="1867" t="s">
        <v>2805</v>
      </c>
      <c r="D641" s="1868"/>
      <c r="E641" s="2033"/>
      <c r="F641" s="1806"/>
      <c r="G641" s="1936"/>
      <c r="H641" s="1937"/>
      <c r="I641" s="1938"/>
      <c r="J641" s="1939"/>
      <c r="K641" s="1864"/>
      <c r="L641" s="1940"/>
      <c r="M641" s="1941"/>
    </row>
    <row r="642" spans="1:24">
      <c r="A642" s="1901"/>
      <c r="B642" s="1755" t="s">
        <v>531</v>
      </c>
      <c r="C642" s="1867" t="s">
        <v>532</v>
      </c>
      <c r="D642" s="1868"/>
      <c r="E642" s="2033">
        <v>1219</v>
      </c>
      <c r="F642" s="1806" t="s">
        <v>37</v>
      </c>
      <c r="G642" s="2297">
        <f>13+69</f>
        <v>82</v>
      </c>
      <c r="H642" s="1861">
        <f t="shared" si="399"/>
        <v>99958</v>
      </c>
      <c r="I642" s="2301">
        <f>30+28</f>
        <v>58</v>
      </c>
      <c r="J642" s="1939">
        <f t="shared" ref="J642:J643" si="412">E642*I642</f>
        <v>70702</v>
      </c>
      <c r="K642" s="1864">
        <f t="shared" ref="K642:K643" si="413">H642+J642</f>
        <v>170660</v>
      </c>
      <c r="L642" s="2299"/>
      <c r="M642" s="1954" t="s">
        <v>509</v>
      </c>
      <c r="N642" s="1797">
        <f>SUM(K569:K643)</f>
        <v>2223477.4300000002</v>
      </c>
    </row>
    <row r="643" spans="1:24">
      <c r="A643" s="1901"/>
      <c r="B643" s="1755" t="s">
        <v>533</v>
      </c>
      <c r="C643" s="1867" t="s">
        <v>534</v>
      </c>
      <c r="D643" s="1868"/>
      <c r="E643" s="2033">
        <v>0</v>
      </c>
      <c r="F643" s="1806" t="s">
        <v>37</v>
      </c>
      <c r="G643" s="1936">
        <v>0</v>
      </c>
      <c r="H643" s="1861">
        <f t="shared" si="399"/>
        <v>0</v>
      </c>
      <c r="I643" s="1938">
        <v>0</v>
      </c>
      <c r="J643" s="1939">
        <f t="shared" si="412"/>
        <v>0</v>
      </c>
      <c r="K643" s="1864">
        <f t="shared" si="413"/>
        <v>0</v>
      </c>
      <c r="L643" s="1940"/>
      <c r="M643" s="1955"/>
    </row>
    <row r="644" spans="1:24">
      <c r="A644" s="1901"/>
      <c r="B644" s="1755"/>
      <c r="C644" s="1755" t="s">
        <v>535</v>
      </c>
      <c r="D644" s="1868"/>
      <c r="E644" s="2033"/>
      <c r="F644" s="1806"/>
      <c r="G644" s="1936"/>
      <c r="H644" s="1937"/>
      <c r="I644" s="1938"/>
      <c r="J644" s="1939"/>
      <c r="K644" s="1864"/>
      <c r="L644" s="1940"/>
      <c r="M644" s="1941"/>
    </row>
    <row r="645" spans="1:24" ht="24" customHeight="1">
      <c r="A645" s="1933" t="s">
        <v>536</v>
      </c>
      <c r="B645" s="1908" t="s">
        <v>537</v>
      </c>
      <c r="C645" s="1840"/>
      <c r="D645" s="1841"/>
      <c r="E645" s="2255"/>
      <c r="F645" s="1842"/>
      <c r="G645" s="1778"/>
      <c r="H645" s="1844"/>
      <c r="I645" s="1845"/>
      <c r="J645" s="1846"/>
      <c r="K645" s="1843"/>
      <c r="L645" s="1847"/>
      <c r="M645" s="1809"/>
      <c r="N645" s="1837"/>
      <c r="O645" s="1837"/>
      <c r="P645" s="1837"/>
      <c r="Q645" s="1837"/>
      <c r="R645" s="1837"/>
      <c r="S645" s="1837"/>
      <c r="T645" s="1837"/>
      <c r="U645" s="1837"/>
      <c r="V645" s="1837"/>
      <c r="W645" s="1837"/>
      <c r="X645" s="1837"/>
    </row>
    <row r="646" spans="1:24">
      <c r="A646" s="1901"/>
      <c r="B646" s="1783"/>
      <c r="C646" s="1867" t="s">
        <v>538</v>
      </c>
      <c r="D646" s="1859"/>
      <c r="E646" s="2038">
        <f>1607+31</f>
        <v>1638</v>
      </c>
      <c r="F646" s="1806" t="s">
        <v>37</v>
      </c>
      <c r="G646" s="1936">
        <v>281</v>
      </c>
      <c r="H646" s="1937">
        <f>E646*G646</f>
        <v>460278</v>
      </c>
      <c r="I646" s="1938">
        <v>80</v>
      </c>
      <c r="J646" s="1939">
        <f>E646*I646</f>
        <v>131040</v>
      </c>
      <c r="K646" s="1864">
        <f>H646+J646</f>
        <v>591318</v>
      </c>
      <c r="L646" s="1940"/>
      <c r="M646" s="1941"/>
    </row>
    <row r="647" spans="1:24">
      <c r="A647" s="1901"/>
      <c r="B647" s="1783"/>
      <c r="C647" s="1867" t="s">
        <v>539</v>
      </c>
      <c r="D647" s="1859"/>
      <c r="E647" s="2038">
        <f>+E694</f>
        <v>0</v>
      </c>
      <c r="F647" s="1806" t="s">
        <v>37</v>
      </c>
      <c r="G647" s="1936">
        <v>712</v>
      </c>
      <c r="H647" s="1937">
        <f t="shared" ref="H647:H662" si="414">E647*G647</f>
        <v>0</v>
      </c>
      <c r="I647" s="1938">
        <v>98</v>
      </c>
      <c r="J647" s="1939">
        <f t="shared" ref="J647:J662" si="415">E647*I647</f>
        <v>0</v>
      </c>
      <c r="K647" s="1864">
        <f t="shared" ref="K647:K662" si="416">H647+J647</f>
        <v>0</v>
      </c>
      <c r="L647" s="1940"/>
      <c r="M647" s="1941"/>
    </row>
    <row r="648" spans="1:24">
      <c r="A648" s="1901"/>
      <c r="B648" s="1783"/>
      <c r="C648" s="1867" t="s">
        <v>470</v>
      </c>
      <c r="D648" s="1859"/>
      <c r="E648" s="2038">
        <f>+E646*1.33</f>
        <v>2178.54</v>
      </c>
      <c r="F648" s="1806" t="s">
        <v>438</v>
      </c>
      <c r="G648" s="1936">
        <v>119</v>
      </c>
      <c r="H648" s="1937">
        <f t="shared" si="414"/>
        <v>259246.26</v>
      </c>
      <c r="I648" s="1938">
        <v>44</v>
      </c>
      <c r="J648" s="1939">
        <f t="shared" si="415"/>
        <v>95855.76</v>
      </c>
      <c r="K648" s="1864">
        <f t="shared" si="416"/>
        <v>355102.02</v>
      </c>
      <c r="L648" s="1940" t="s">
        <v>2878</v>
      </c>
      <c r="M648" s="1941"/>
    </row>
    <row r="649" spans="1:24">
      <c r="A649" s="1901"/>
      <c r="B649" s="1783"/>
      <c r="C649" s="1867" t="s">
        <v>471</v>
      </c>
      <c r="D649" s="1859"/>
      <c r="E649" s="2038">
        <f>+E647*1.33</f>
        <v>0</v>
      </c>
      <c r="F649" s="1806" t="s">
        <v>438</v>
      </c>
      <c r="G649" s="1936">
        <v>208</v>
      </c>
      <c r="H649" s="1937">
        <f t="shared" si="414"/>
        <v>0</v>
      </c>
      <c r="I649" s="1938">
        <v>78</v>
      </c>
      <c r="J649" s="1939">
        <f t="shared" si="415"/>
        <v>0</v>
      </c>
      <c r="K649" s="1864">
        <f t="shared" si="416"/>
        <v>0</v>
      </c>
      <c r="L649" s="1940" t="s">
        <v>2878</v>
      </c>
      <c r="M649" s="1941"/>
    </row>
    <row r="650" spans="1:24">
      <c r="A650" s="1901"/>
      <c r="B650" s="1783"/>
      <c r="C650" s="1867" t="s">
        <v>472</v>
      </c>
      <c r="D650" s="1859"/>
      <c r="E650" s="2038">
        <v>0</v>
      </c>
      <c r="F650" s="1806" t="s">
        <v>37</v>
      </c>
      <c r="G650" s="1936">
        <v>88</v>
      </c>
      <c r="H650" s="1937">
        <f t="shared" si="414"/>
        <v>0</v>
      </c>
      <c r="I650" s="1938">
        <v>82</v>
      </c>
      <c r="J650" s="1939">
        <f t="shared" si="415"/>
        <v>0</v>
      </c>
      <c r="K650" s="1864">
        <f t="shared" si="416"/>
        <v>0</v>
      </c>
      <c r="L650" s="1940" t="s">
        <v>2885</v>
      </c>
      <c r="M650" s="1941"/>
    </row>
    <row r="651" spans="1:24">
      <c r="A651" s="1901"/>
      <c r="B651" s="1783"/>
      <c r="C651" s="1867" t="s">
        <v>540</v>
      </c>
      <c r="D651" s="1859"/>
      <c r="E651" s="2038">
        <v>3213</v>
      </c>
      <c r="F651" s="1806" t="s">
        <v>37</v>
      </c>
      <c r="G651" s="1936">
        <v>88</v>
      </c>
      <c r="H651" s="1937">
        <f t="shared" si="414"/>
        <v>282744</v>
      </c>
      <c r="I651" s="1938">
        <v>82</v>
      </c>
      <c r="J651" s="1939">
        <f t="shared" si="415"/>
        <v>263466</v>
      </c>
      <c r="K651" s="1864">
        <f t="shared" si="416"/>
        <v>546210</v>
      </c>
      <c r="L651" s="1940"/>
      <c r="M651" s="1941"/>
    </row>
    <row r="652" spans="1:24">
      <c r="A652" s="1901"/>
      <c r="B652" s="1783"/>
      <c r="C652" s="1867" t="s">
        <v>541</v>
      </c>
      <c r="D652" s="1859"/>
      <c r="E652" s="2038">
        <v>0</v>
      </c>
      <c r="F652" s="1806" t="s">
        <v>37</v>
      </c>
      <c r="G652" s="1936">
        <v>88</v>
      </c>
      <c r="H652" s="1937">
        <f t="shared" si="414"/>
        <v>0</v>
      </c>
      <c r="I652" s="1938">
        <v>95</v>
      </c>
      <c r="J652" s="1939">
        <f t="shared" si="415"/>
        <v>0</v>
      </c>
      <c r="K652" s="1864">
        <f t="shared" si="416"/>
        <v>0</v>
      </c>
      <c r="L652" s="1940"/>
      <c r="M652" s="1941"/>
    </row>
    <row r="653" spans="1:24">
      <c r="A653" s="1901"/>
      <c r="B653" s="1755" t="s">
        <v>475</v>
      </c>
      <c r="C653" s="1867" t="s">
        <v>476</v>
      </c>
      <c r="D653" s="1868"/>
      <c r="E653" s="2033">
        <v>0</v>
      </c>
      <c r="F653" s="1806" t="s">
        <v>37</v>
      </c>
      <c r="G653" s="1936">
        <v>88</v>
      </c>
      <c r="H653" s="1937">
        <f t="shared" si="414"/>
        <v>0</v>
      </c>
      <c r="I653" s="1938">
        <v>95</v>
      </c>
      <c r="J653" s="1939">
        <f t="shared" si="415"/>
        <v>0</v>
      </c>
      <c r="K653" s="1864">
        <f t="shared" si="416"/>
        <v>0</v>
      </c>
      <c r="L653" s="1940" t="s">
        <v>2880</v>
      </c>
      <c r="M653" s="1941"/>
    </row>
    <row r="654" spans="1:24">
      <c r="A654" s="1901"/>
      <c r="B654" s="1755"/>
      <c r="C654" s="1867" t="s">
        <v>477</v>
      </c>
      <c r="D654" s="1868"/>
      <c r="E654" s="2033">
        <v>0</v>
      </c>
      <c r="F654" s="1806" t="s">
        <v>37</v>
      </c>
      <c r="G654" s="2297">
        <v>69</v>
      </c>
      <c r="H654" s="1937">
        <f t="shared" si="414"/>
        <v>0</v>
      </c>
      <c r="I654" s="2298">
        <v>28</v>
      </c>
      <c r="J654" s="1939">
        <f t="shared" si="415"/>
        <v>0</v>
      </c>
      <c r="K654" s="1864">
        <f t="shared" si="416"/>
        <v>0</v>
      </c>
      <c r="L654" s="2299"/>
      <c r="M654" s="2300"/>
    </row>
    <row r="655" spans="1:24">
      <c r="A655" s="1901"/>
      <c r="B655" s="1755" t="s">
        <v>478</v>
      </c>
      <c r="C655" s="1867" t="s">
        <v>479</v>
      </c>
      <c r="D655" s="1868"/>
      <c r="E655" s="2033">
        <v>0</v>
      </c>
      <c r="F655" s="1806" t="s">
        <v>37</v>
      </c>
      <c r="G655" s="1936">
        <v>88</v>
      </c>
      <c r="H655" s="1937">
        <f t="shared" si="414"/>
        <v>0</v>
      </c>
      <c r="I655" s="1938">
        <v>82</v>
      </c>
      <c r="J655" s="1939">
        <f t="shared" si="415"/>
        <v>0</v>
      </c>
      <c r="K655" s="1864">
        <f t="shared" si="416"/>
        <v>0</v>
      </c>
      <c r="L655" s="1940"/>
      <c r="M655" s="1941"/>
    </row>
    <row r="656" spans="1:24">
      <c r="A656" s="1901"/>
      <c r="B656" s="1755" t="s">
        <v>480</v>
      </c>
      <c r="C656" s="1867" t="s">
        <v>476</v>
      </c>
      <c r="D656" s="1868"/>
      <c r="E656" s="2033">
        <f>4195+31</f>
        <v>4226</v>
      </c>
      <c r="F656" s="1806" t="s">
        <v>37</v>
      </c>
      <c r="G656" s="1936">
        <v>88</v>
      </c>
      <c r="H656" s="1937">
        <f t="shared" si="414"/>
        <v>371888</v>
      </c>
      <c r="I656" s="1938">
        <v>82</v>
      </c>
      <c r="J656" s="1939">
        <f t="shared" si="415"/>
        <v>346532</v>
      </c>
      <c r="K656" s="1864">
        <f t="shared" si="416"/>
        <v>718420</v>
      </c>
      <c r="L656" s="1940" t="s">
        <v>2880</v>
      </c>
      <c r="M656" s="1941"/>
    </row>
    <row r="657" spans="1:24">
      <c r="A657" s="1901"/>
      <c r="B657" s="1755"/>
      <c r="C657" s="1867" t="s">
        <v>481</v>
      </c>
      <c r="D657" s="1868"/>
      <c r="E657" s="2033">
        <f>E656</f>
        <v>4226</v>
      </c>
      <c r="F657" s="1806" t="s">
        <v>37</v>
      </c>
      <c r="G657" s="2297">
        <v>69</v>
      </c>
      <c r="H657" s="1937">
        <f t="shared" si="414"/>
        <v>291594</v>
      </c>
      <c r="I657" s="2298">
        <v>28</v>
      </c>
      <c r="J657" s="1939">
        <f t="shared" si="415"/>
        <v>118328</v>
      </c>
      <c r="K657" s="1864">
        <f t="shared" si="416"/>
        <v>409922</v>
      </c>
      <c r="L657" s="2299"/>
      <c r="M657" s="2300"/>
    </row>
    <row r="658" spans="1:24">
      <c r="A658" s="1901"/>
      <c r="B658" s="1755" t="s">
        <v>2787</v>
      </c>
      <c r="C658" s="1867" t="s">
        <v>2788</v>
      </c>
      <c r="D658" s="1868"/>
      <c r="E658" s="2033">
        <v>0</v>
      </c>
      <c r="F658" s="1806" t="s">
        <v>37</v>
      </c>
      <c r="G658" s="1936">
        <v>103</v>
      </c>
      <c r="H658" s="1937">
        <f t="shared" si="414"/>
        <v>0</v>
      </c>
      <c r="I658" s="1938">
        <v>115</v>
      </c>
      <c r="J658" s="1939">
        <f t="shared" si="415"/>
        <v>0</v>
      </c>
      <c r="K658" s="1864">
        <f t="shared" si="416"/>
        <v>0</v>
      </c>
      <c r="L658" s="1940" t="s">
        <v>2880</v>
      </c>
      <c r="M658" s="1941"/>
    </row>
    <row r="659" spans="1:24">
      <c r="A659" s="1901"/>
      <c r="B659" s="1755"/>
      <c r="C659" s="1867" t="s">
        <v>482</v>
      </c>
      <c r="D659" s="1868"/>
      <c r="E659" s="2033">
        <v>0</v>
      </c>
      <c r="F659" s="1806" t="s">
        <v>37</v>
      </c>
      <c r="G659" s="2297">
        <v>69</v>
      </c>
      <c r="H659" s="1937">
        <f t="shared" si="414"/>
        <v>0</v>
      </c>
      <c r="I659" s="2298">
        <v>28</v>
      </c>
      <c r="J659" s="1939">
        <f t="shared" si="415"/>
        <v>0</v>
      </c>
      <c r="K659" s="1864">
        <f t="shared" si="416"/>
        <v>0</v>
      </c>
      <c r="L659" s="2299"/>
      <c r="M659" s="2300"/>
    </row>
    <row r="660" spans="1:24">
      <c r="A660" s="1901"/>
      <c r="B660" s="1755" t="s">
        <v>483</v>
      </c>
      <c r="C660" s="1867" t="s">
        <v>484</v>
      </c>
      <c r="D660" s="1868"/>
      <c r="E660" s="1942">
        <f>E659</f>
        <v>0</v>
      </c>
      <c r="F660" s="1806" t="s">
        <v>37</v>
      </c>
      <c r="G660" s="1943">
        <v>1500</v>
      </c>
      <c r="H660" s="1937">
        <f t="shared" si="414"/>
        <v>0</v>
      </c>
      <c r="I660" s="1944">
        <v>500</v>
      </c>
      <c r="J660" s="1939">
        <f t="shared" si="415"/>
        <v>0</v>
      </c>
      <c r="K660" s="1864">
        <f t="shared" si="416"/>
        <v>0</v>
      </c>
      <c r="L660" s="1865"/>
      <c r="M660" s="1866"/>
    </row>
    <row r="661" spans="1:24">
      <c r="A661" s="1901"/>
      <c r="B661" s="1755"/>
      <c r="C661" s="1867" t="s">
        <v>482</v>
      </c>
      <c r="D661" s="1868"/>
      <c r="E661" s="1942">
        <v>0</v>
      </c>
      <c r="F661" s="1806" t="s">
        <v>37</v>
      </c>
      <c r="G661" s="2297">
        <v>69</v>
      </c>
      <c r="H661" s="1937">
        <f t="shared" si="414"/>
        <v>0</v>
      </c>
      <c r="I661" s="2298">
        <v>28</v>
      </c>
      <c r="J661" s="1939">
        <f t="shared" si="415"/>
        <v>0</v>
      </c>
      <c r="K661" s="1864">
        <f t="shared" si="416"/>
        <v>0</v>
      </c>
      <c r="L661" s="2299"/>
      <c r="M661" s="2300"/>
    </row>
    <row r="662" spans="1:24">
      <c r="A662" s="1901"/>
      <c r="B662" s="1755" t="s">
        <v>485</v>
      </c>
      <c r="C662" s="1867" t="s">
        <v>2789</v>
      </c>
      <c r="D662" s="1868"/>
      <c r="E662" s="1942">
        <v>0</v>
      </c>
      <c r="F662" s="1806" t="s">
        <v>37</v>
      </c>
      <c r="G662" s="1943">
        <v>492</v>
      </c>
      <c r="H662" s="1937">
        <f t="shared" si="414"/>
        <v>0</v>
      </c>
      <c r="I662" s="1944">
        <v>130</v>
      </c>
      <c r="J662" s="1939">
        <f t="shared" si="415"/>
        <v>0</v>
      </c>
      <c r="K662" s="1864">
        <f t="shared" si="416"/>
        <v>0</v>
      </c>
      <c r="L662" s="2299"/>
      <c r="M662" s="2300"/>
    </row>
    <row r="663" spans="1:24">
      <c r="A663" s="1901"/>
      <c r="B663" s="1755"/>
      <c r="C663" s="1867" t="s">
        <v>2790</v>
      </c>
      <c r="D663" s="1868"/>
      <c r="E663" s="1860"/>
      <c r="F663" s="1860"/>
      <c r="G663" s="1943"/>
      <c r="H663" s="1861"/>
      <c r="I663" s="1944"/>
      <c r="J663" s="1939"/>
      <c r="K663" s="1864"/>
      <c r="L663" s="2299"/>
      <c r="M663" s="2300"/>
    </row>
    <row r="664" spans="1:24">
      <c r="A664" s="1901"/>
      <c r="B664" s="1755"/>
      <c r="C664" s="1867" t="s">
        <v>486</v>
      </c>
      <c r="D664" s="1868"/>
      <c r="E664" s="1860"/>
      <c r="F664" s="1860"/>
      <c r="G664" s="1943"/>
      <c r="H664" s="1861"/>
      <c r="I664" s="1944"/>
      <c r="J664" s="1939"/>
      <c r="K664" s="1864"/>
      <c r="L664" s="2299"/>
      <c r="M664" s="2300"/>
    </row>
    <row r="665" spans="1:24">
      <c r="A665" s="1901"/>
      <c r="B665" s="1755" t="s">
        <v>487</v>
      </c>
      <c r="C665" s="1867" t="s">
        <v>2789</v>
      </c>
      <c r="D665" s="1868"/>
      <c r="E665" s="1942">
        <v>0</v>
      </c>
      <c r="F665" s="1806" t="s">
        <v>37</v>
      </c>
      <c r="G665" s="1943">
        <v>256</v>
      </c>
      <c r="H665" s="1861">
        <f>E665*G665</f>
        <v>0</v>
      </c>
      <c r="I665" s="1944">
        <v>100</v>
      </c>
      <c r="J665" s="1939">
        <f>E665*I665</f>
        <v>0</v>
      </c>
      <c r="K665" s="1864">
        <f t="shared" ref="K665" si="417">H665+J665</f>
        <v>0</v>
      </c>
      <c r="L665" s="2299"/>
      <c r="M665" s="2300"/>
    </row>
    <row r="666" spans="1:24">
      <c r="A666" s="1901"/>
      <c r="B666" s="1755"/>
      <c r="C666" s="1867" t="s">
        <v>2791</v>
      </c>
      <c r="D666" s="1868"/>
      <c r="E666" s="1860"/>
      <c r="F666" s="1860"/>
      <c r="G666" s="1943"/>
      <c r="H666" s="1861"/>
      <c r="I666" s="1944"/>
      <c r="J666" s="1939"/>
      <c r="K666" s="1864"/>
      <c r="L666" s="2299"/>
      <c r="M666" s="2300"/>
    </row>
    <row r="667" spans="1:24">
      <c r="A667" s="1901"/>
      <c r="B667" s="1755"/>
      <c r="C667" s="1867" t="s">
        <v>486</v>
      </c>
      <c r="D667" s="1868"/>
      <c r="E667" s="1860"/>
      <c r="F667" s="1860"/>
      <c r="G667" s="1943"/>
      <c r="H667" s="1861"/>
      <c r="I667" s="1944"/>
      <c r="J667" s="1939"/>
      <c r="K667" s="1864"/>
      <c r="L667" s="2299"/>
      <c r="M667" s="2300"/>
    </row>
    <row r="668" spans="1:24">
      <c r="A668" s="1901"/>
      <c r="B668" s="1755" t="s">
        <v>488</v>
      </c>
      <c r="C668" s="1867" t="s">
        <v>2926</v>
      </c>
      <c r="D668" s="1868"/>
      <c r="E668" s="1942">
        <v>0</v>
      </c>
      <c r="F668" s="1806" t="s">
        <v>37</v>
      </c>
      <c r="G668" s="1943">
        <v>350</v>
      </c>
      <c r="H668" s="1861">
        <f>E668*G668</f>
        <v>0</v>
      </c>
      <c r="I668" s="1944">
        <v>100</v>
      </c>
      <c r="J668" s="1939">
        <f>E668*I668</f>
        <v>0</v>
      </c>
      <c r="K668" s="1864">
        <f t="shared" ref="K668" si="418">H668+J668</f>
        <v>0</v>
      </c>
      <c r="L668" s="2299"/>
      <c r="M668" s="2300"/>
    </row>
    <row r="669" spans="1:24">
      <c r="A669" s="1901"/>
      <c r="B669" s="1755"/>
      <c r="C669" s="1867" t="s">
        <v>2793</v>
      </c>
      <c r="D669" s="1868"/>
      <c r="E669" s="1860"/>
      <c r="F669" s="1860"/>
      <c r="G669" s="1943"/>
      <c r="H669" s="1861"/>
      <c r="I669" s="1944"/>
      <c r="J669" s="1939"/>
      <c r="K669" s="1864"/>
      <c r="L669" s="1940"/>
      <c r="M669" s="1941"/>
    </row>
    <row r="670" spans="1:24">
      <c r="A670" s="1901"/>
      <c r="B670" s="1755"/>
      <c r="C670" s="1867" t="s">
        <v>489</v>
      </c>
      <c r="D670" s="1868"/>
      <c r="E670" s="1942">
        <f>E668</f>
        <v>0</v>
      </c>
      <c r="F670" s="1806" t="s">
        <v>37</v>
      </c>
      <c r="G670" s="2297">
        <v>69</v>
      </c>
      <c r="H670" s="1861">
        <f>E670*G670</f>
        <v>0</v>
      </c>
      <c r="I670" s="2298">
        <v>28</v>
      </c>
      <c r="J670" s="1939">
        <f>E670*I670</f>
        <v>0</v>
      </c>
      <c r="K670" s="1864">
        <f t="shared" ref="K670:K674" si="419">H670+J670</f>
        <v>0</v>
      </c>
      <c r="L670" s="2299"/>
      <c r="M670" s="2300"/>
    </row>
    <row r="671" spans="1:24" ht="24" customHeight="1">
      <c r="A671" s="1901"/>
      <c r="B671" s="1945" t="s">
        <v>2901</v>
      </c>
      <c r="C671" s="1867" t="s">
        <v>2902</v>
      </c>
      <c r="D671" s="1868"/>
      <c r="E671" s="1942">
        <v>0</v>
      </c>
      <c r="F671" s="1806" t="s">
        <v>37</v>
      </c>
      <c r="G671" s="1944">
        <v>195</v>
      </c>
      <c r="H671" s="1939">
        <f>E671*G671</f>
        <v>0</v>
      </c>
      <c r="I671" s="1944">
        <v>150</v>
      </c>
      <c r="J671" s="1939">
        <f t="shared" ref="J671" si="420">E671*I671</f>
        <v>0</v>
      </c>
      <c r="K671" s="1864">
        <f t="shared" si="419"/>
        <v>0</v>
      </c>
      <c r="L671" s="2299"/>
      <c r="N671" s="1836"/>
      <c r="O671" s="1837"/>
      <c r="P671" s="1837"/>
      <c r="Q671" s="1837"/>
      <c r="R671" s="1837"/>
      <c r="S671" s="1837"/>
      <c r="T671" s="1837"/>
      <c r="U671" s="1837"/>
      <c r="V671" s="1837"/>
      <c r="W671" s="1837"/>
      <c r="X671" s="1837"/>
    </row>
    <row r="672" spans="1:24" ht="24" customHeight="1">
      <c r="A672" s="1901"/>
      <c r="B672" s="1755"/>
      <c r="C672" s="1867" t="s">
        <v>2903</v>
      </c>
      <c r="D672" s="1868"/>
      <c r="E672" s="1860"/>
      <c r="F672" s="1860"/>
      <c r="G672" s="1944"/>
      <c r="H672" s="1939"/>
      <c r="I672" s="1944"/>
      <c r="J672" s="1939"/>
      <c r="K672" s="1864"/>
      <c r="L672" s="1940"/>
      <c r="M672" s="1946"/>
      <c r="N672" s="1836"/>
      <c r="O672" s="1837"/>
      <c r="P672" s="1837"/>
      <c r="Q672" s="1837"/>
      <c r="R672" s="1837"/>
      <c r="S672" s="1837"/>
      <c r="T672" s="1837"/>
      <c r="U672" s="1837"/>
      <c r="V672" s="1837"/>
      <c r="W672" s="1837"/>
      <c r="X672" s="1837"/>
    </row>
    <row r="673" spans="1:24" ht="24" customHeight="1">
      <c r="A673" s="1901"/>
      <c r="B673" s="1755"/>
      <c r="C673" s="1867" t="s">
        <v>2904</v>
      </c>
      <c r="D673" s="1868"/>
      <c r="E673" s="1942">
        <f>E671</f>
        <v>0</v>
      </c>
      <c r="F673" s="1806" t="s">
        <v>37</v>
      </c>
      <c r="G673" s="2298">
        <v>120</v>
      </c>
      <c r="H673" s="1947">
        <f>SUM(E673*G673)</f>
        <v>0</v>
      </c>
      <c r="I673" s="2298">
        <v>56</v>
      </c>
      <c r="J673" s="1939">
        <f>E673*I673</f>
        <v>0</v>
      </c>
      <c r="K673" s="1864">
        <f>H673+J673</f>
        <v>0</v>
      </c>
      <c r="L673" s="2299"/>
      <c r="M673" s="1946"/>
      <c r="N673" s="1836"/>
      <c r="O673" s="1837"/>
      <c r="P673" s="1837"/>
      <c r="Q673" s="1837"/>
      <c r="R673" s="1837"/>
      <c r="S673" s="1837"/>
      <c r="T673" s="1837"/>
      <c r="U673" s="1837"/>
      <c r="V673" s="1837"/>
      <c r="W673" s="1837"/>
      <c r="X673" s="1837"/>
    </row>
    <row r="674" spans="1:24">
      <c r="A674" s="1901"/>
      <c r="B674" s="1755" t="s">
        <v>490</v>
      </c>
      <c r="C674" s="1867" t="s">
        <v>2789</v>
      </c>
      <c r="D674" s="1868"/>
      <c r="E674" s="1942">
        <v>0</v>
      </c>
      <c r="F674" s="1806" t="s">
        <v>37</v>
      </c>
      <c r="G674" s="1943">
        <v>592</v>
      </c>
      <c r="H674" s="1861">
        <f>E674*G674</f>
        <v>0</v>
      </c>
      <c r="I674" s="1944">
        <v>165</v>
      </c>
      <c r="J674" s="1939">
        <f>E674*I674</f>
        <v>0</v>
      </c>
      <c r="K674" s="1864">
        <f t="shared" si="419"/>
        <v>0</v>
      </c>
      <c r="L674" s="2299"/>
      <c r="M674" s="2300"/>
    </row>
    <row r="675" spans="1:24">
      <c r="A675" s="1901"/>
      <c r="B675" s="1755"/>
      <c r="C675" s="1867" t="s">
        <v>2790</v>
      </c>
      <c r="D675" s="1868"/>
      <c r="E675" s="1860"/>
      <c r="F675" s="1860"/>
      <c r="G675" s="1943"/>
      <c r="H675" s="1861"/>
      <c r="I675" s="1944"/>
      <c r="J675" s="1939"/>
      <c r="K675" s="1864"/>
      <c r="L675" s="1940"/>
      <c r="M675" s="1941"/>
    </row>
    <row r="676" spans="1:24">
      <c r="A676" s="1901"/>
      <c r="B676" s="1755"/>
      <c r="C676" s="1867" t="s">
        <v>2794</v>
      </c>
      <c r="D676" s="1868"/>
      <c r="E676" s="1860"/>
      <c r="F676" s="1860"/>
      <c r="G676" s="1943"/>
      <c r="H676" s="1861"/>
      <c r="I676" s="1944"/>
      <c r="J676" s="1939"/>
      <c r="K676" s="1864"/>
      <c r="L676" s="1940"/>
      <c r="M676" s="1941"/>
    </row>
    <row r="677" spans="1:24">
      <c r="A677" s="1901"/>
      <c r="B677" s="1755"/>
      <c r="C677" s="1755"/>
      <c r="D677" s="1755"/>
      <c r="E677" s="1860"/>
      <c r="F677" s="1860"/>
      <c r="G677" s="1943"/>
      <c r="H677" s="1861"/>
      <c r="I677" s="1944"/>
      <c r="J677" s="1939"/>
      <c r="K677" s="1864"/>
      <c r="L677" s="1940"/>
      <c r="M677" s="1941"/>
    </row>
    <row r="678" spans="1:24">
      <c r="A678" s="1901"/>
      <c r="B678" s="1755"/>
      <c r="C678" s="1755"/>
      <c r="D678" s="1755"/>
      <c r="E678" s="1860"/>
      <c r="F678" s="1860"/>
      <c r="G678" s="1943"/>
      <c r="H678" s="1861"/>
      <c r="I678" s="1944"/>
      <c r="J678" s="1939"/>
      <c r="K678" s="1864"/>
      <c r="L678" s="1940"/>
      <c r="M678" s="1941"/>
    </row>
    <row r="679" spans="1:24">
      <c r="A679" s="1901"/>
      <c r="B679" s="1755" t="s">
        <v>491</v>
      </c>
      <c r="C679" s="1867" t="s">
        <v>2795</v>
      </c>
      <c r="D679" s="1868"/>
      <c r="E679" s="1942">
        <v>0</v>
      </c>
      <c r="F679" s="1806" t="s">
        <v>37</v>
      </c>
      <c r="G679" s="1943"/>
      <c r="H679" s="1861"/>
      <c r="I679" s="1944"/>
      <c r="J679" s="1939"/>
      <c r="K679" s="1864"/>
      <c r="L679" s="2299"/>
      <c r="M679" s="2300"/>
    </row>
    <row r="680" spans="1:24">
      <c r="A680" s="1901"/>
      <c r="B680" s="1755"/>
      <c r="C680" s="1867" t="s">
        <v>2792</v>
      </c>
      <c r="D680" s="1956"/>
      <c r="E680" s="1860"/>
      <c r="F680" s="1860"/>
      <c r="G680" s="1943">
        <v>642</v>
      </c>
      <c r="H680" s="1861">
        <f>E680*G680</f>
        <v>0</v>
      </c>
      <c r="I680" s="1944">
        <v>183</v>
      </c>
      <c r="J680" s="1939">
        <f>E680*I680</f>
        <v>0</v>
      </c>
      <c r="K680" s="1864">
        <f t="shared" ref="K680" si="421">H680+J680</f>
        <v>0</v>
      </c>
      <c r="L680" s="1940"/>
      <c r="M680" s="1941"/>
    </row>
    <row r="681" spans="1:24">
      <c r="A681" s="1901"/>
      <c r="B681" s="1755"/>
      <c r="C681" s="1867" t="s">
        <v>542</v>
      </c>
      <c r="D681" s="1868"/>
      <c r="E681" s="1860"/>
      <c r="F681" s="1860"/>
      <c r="G681" s="1943"/>
      <c r="H681" s="1861"/>
      <c r="I681" s="1944"/>
      <c r="J681" s="1939"/>
      <c r="K681" s="1864"/>
      <c r="L681" s="1940"/>
      <c r="M681" s="1941"/>
    </row>
    <row r="682" spans="1:24">
      <c r="A682" s="1901"/>
      <c r="B682" s="1755"/>
      <c r="C682" s="1867" t="s">
        <v>2796</v>
      </c>
      <c r="D682" s="1868"/>
      <c r="E682" s="1860"/>
      <c r="F682" s="1860"/>
      <c r="G682" s="1943"/>
      <c r="H682" s="1861"/>
      <c r="I682" s="1944"/>
      <c r="J682" s="1939"/>
      <c r="K682" s="1864"/>
      <c r="L682" s="1940"/>
      <c r="M682" s="1941"/>
    </row>
    <row r="683" spans="1:24">
      <c r="A683" s="1901"/>
      <c r="B683" s="1755" t="s">
        <v>492</v>
      </c>
      <c r="C683" s="1867" t="s">
        <v>2797</v>
      </c>
      <c r="D683" s="1868"/>
      <c r="E683" s="1942">
        <v>0</v>
      </c>
      <c r="F683" s="1806" t="s">
        <v>37</v>
      </c>
      <c r="G683" s="1943">
        <v>520</v>
      </c>
      <c r="H683" s="1861">
        <f>E683*G683</f>
        <v>0</v>
      </c>
      <c r="I683" s="1944">
        <v>270</v>
      </c>
      <c r="J683" s="1939">
        <f>E683*I683</f>
        <v>0</v>
      </c>
      <c r="K683" s="1864">
        <f t="shared" ref="K683" si="422">H683+J683</f>
        <v>0</v>
      </c>
      <c r="L683" s="1948"/>
      <c r="M683" s="1949"/>
    </row>
    <row r="684" spans="1:24">
      <c r="A684" s="1901"/>
      <c r="B684" s="1755"/>
      <c r="C684" s="1867" t="s">
        <v>2798</v>
      </c>
      <c r="D684" s="1868"/>
      <c r="E684" s="1860">
        <v>0</v>
      </c>
      <c r="F684" s="1860"/>
      <c r="G684" s="1943"/>
      <c r="H684" s="1861"/>
      <c r="I684" s="1944"/>
      <c r="J684" s="1939"/>
      <c r="K684" s="1864"/>
      <c r="L684" s="1940"/>
      <c r="M684" s="1941"/>
    </row>
    <row r="685" spans="1:24">
      <c r="A685" s="1901"/>
      <c r="B685" s="1755"/>
      <c r="C685" s="1867" t="s">
        <v>493</v>
      </c>
      <c r="D685" s="1868"/>
      <c r="E685" s="1860"/>
      <c r="F685" s="1860"/>
      <c r="G685" s="1943"/>
      <c r="H685" s="1861"/>
      <c r="I685" s="1944"/>
      <c r="J685" s="1939"/>
      <c r="K685" s="1864"/>
      <c r="L685" s="1940"/>
      <c r="M685" s="1941"/>
    </row>
    <row r="686" spans="1:24">
      <c r="A686" s="1901"/>
      <c r="B686" s="1755" t="s">
        <v>494</v>
      </c>
      <c r="C686" s="1867" t="s">
        <v>2799</v>
      </c>
      <c r="D686" s="1868"/>
      <c r="E686" s="1942">
        <v>0</v>
      </c>
      <c r="F686" s="1806" t="s">
        <v>37</v>
      </c>
      <c r="G686" s="1943">
        <v>256</v>
      </c>
      <c r="H686" s="1861">
        <f>E686*G686</f>
        <v>0</v>
      </c>
      <c r="I686" s="1944">
        <v>100</v>
      </c>
      <c r="J686" s="1939">
        <f>E686*I686</f>
        <v>0</v>
      </c>
      <c r="K686" s="1864">
        <f>H686+J686</f>
        <v>0</v>
      </c>
      <c r="L686" s="2299"/>
      <c r="M686" s="2300"/>
    </row>
    <row r="687" spans="1:24">
      <c r="A687" s="1901"/>
      <c r="B687" s="1755"/>
      <c r="C687" s="1867" t="s">
        <v>2800</v>
      </c>
      <c r="D687" s="1868"/>
      <c r="E687" s="1860"/>
      <c r="F687" s="1860"/>
      <c r="G687" s="1943"/>
      <c r="H687" s="1861"/>
      <c r="I687" s="1944"/>
      <c r="J687" s="1939"/>
      <c r="K687" s="1864"/>
      <c r="L687" s="1940"/>
      <c r="M687" s="1941"/>
    </row>
    <row r="688" spans="1:24">
      <c r="A688" s="1901"/>
      <c r="B688" s="1755"/>
      <c r="C688" s="1867" t="s">
        <v>495</v>
      </c>
      <c r="D688" s="1868"/>
      <c r="E688" s="1860"/>
      <c r="F688" s="1860"/>
      <c r="G688" s="1943"/>
      <c r="H688" s="1861"/>
      <c r="I688" s="1944"/>
      <c r="J688" s="1939"/>
      <c r="K688" s="1864"/>
      <c r="L688" s="1940"/>
      <c r="M688" s="1941"/>
    </row>
    <row r="689" spans="1:13">
      <c r="A689" s="1901"/>
      <c r="B689" s="1755"/>
      <c r="C689" s="1867" t="s">
        <v>496</v>
      </c>
      <c r="D689" s="1868"/>
      <c r="E689" s="1860">
        <f>+E686</f>
        <v>0</v>
      </c>
      <c r="F689" s="1806" t="s">
        <v>37</v>
      </c>
      <c r="G689" s="1936">
        <v>520</v>
      </c>
      <c r="H689" s="1861">
        <f>E689*G689</f>
        <v>0</v>
      </c>
      <c r="I689" s="1938">
        <v>30</v>
      </c>
      <c r="J689" s="1939">
        <f>E689*I689</f>
        <v>0</v>
      </c>
      <c r="K689" s="1864">
        <f>H689+J689</f>
        <v>0</v>
      </c>
      <c r="L689" s="1940" t="s">
        <v>2881</v>
      </c>
      <c r="M689" s="1941"/>
    </row>
    <row r="690" spans="1:13">
      <c r="A690" s="1901"/>
      <c r="B690" s="1755" t="s">
        <v>497</v>
      </c>
      <c r="C690" s="1867" t="s">
        <v>498</v>
      </c>
      <c r="D690" s="1868"/>
      <c r="E690" s="1942">
        <v>0</v>
      </c>
      <c r="F690" s="1806" t="s">
        <v>37</v>
      </c>
      <c r="G690" s="1936">
        <v>91</v>
      </c>
      <c r="H690" s="1861">
        <f t="shared" ref="H690:H696" si="423">E690*G690</f>
        <v>0</v>
      </c>
      <c r="I690" s="1938">
        <v>100</v>
      </c>
      <c r="J690" s="1939">
        <f t="shared" ref="J690:J696" si="424">E690*I690</f>
        <v>0</v>
      </c>
      <c r="K690" s="1864">
        <f t="shared" ref="K690:K696" si="425">H690+J690</f>
        <v>0</v>
      </c>
      <c r="L690" s="1940"/>
      <c r="M690" s="1941"/>
    </row>
    <row r="691" spans="1:13">
      <c r="A691" s="1901"/>
      <c r="B691" s="1755" t="s">
        <v>499</v>
      </c>
      <c r="C691" s="1867" t="s">
        <v>500</v>
      </c>
      <c r="D691" s="1868"/>
      <c r="E691" s="1942">
        <v>0</v>
      </c>
      <c r="F691" s="1806" t="s">
        <v>37</v>
      </c>
      <c r="G691" s="1936">
        <v>294</v>
      </c>
      <c r="H691" s="1861">
        <f t="shared" si="423"/>
        <v>0</v>
      </c>
      <c r="I691" s="1938">
        <v>189</v>
      </c>
      <c r="J691" s="1939">
        <f t="shared" si="424"/>
        <v>0</v>
      </c>
      <c r="K691" s="1864">
        <f t="shared" si="425"/>
        <v>0</v>
      </c>
      <c r="L691" s="1940"/>
      <c r="M691" s="1941"/>
    </row>
    <row r="692" spans="1:13">
      <c r="A692" s="1901"/>
      <c r="B692" s="1755" t="s">
        <v>501</v>
      </c>
      <c r="C692" s="1867" t="s">
        <v>502</v>
      </c>
      <c r="D692" s="1868"/>
      <c r="E692" s="1942">
        <v>0</v>
      </c>
      <c r="F692" s="119" t="s">
        <v>37</v>
      </c>
      <c r="G692" s="2294">
        <v>608</v>
      </c>
      <c r="H692" s="1882">
        <f t="shared" si="423"/>
        <v>0</v>
      </c>
      <c r="I692" s="1951">
        <v>189</v>
      </c>
      <c r="J692" s="1876">
        <f t="shared" si="424"/>
        <v>0</v>
      </c>
      <c r="K692" s="1890">
        <f t="shared" si="425"/>
        <v>0</v>
      </c>
      <c r="L692" s="1940"/>
      <c r="M692" s="1941"/>
    </row>
    <row r="693" spans="1:13">
      <c r="A693" s="1901"/>
      <c r="B693" s="1755" t="s">
        <v>2918</v>
      </c>
      <c r="C693" s="1867" t="s">
        <v>502</v>
      </c>
      <c r="D693" s="1868"/>
      <c r="E693" s="1942">
        <v>0</v>
      </c>
      <c r="F693" s="67" t="s">
        <v>37</v>
      </c>
      <c r="G693" s="2294">
        <v>399</v>
      </c>
      <c r="H693" s="1882">
        <f t="shared" si="423"/>
        <v>0</v>
      </c>
      <c r="I693" s="1951">
        <v>189</v>
      </c>
      <c r="J693" s="1876">
        <f t="shared" si="424"/>
        <v>0</v>
      </c>
      <c r="K693" s="1890">
        <f t="shared" si="425"/>
        <v>0</v>
      </c>
      <c r="L693" s="1940"/>
      <c r="M693" s="1941"/>
    </row>
    <row r="694" spans="1:13">
      <c r="A694" s="1901"/>
      <c r="B694" s="1755" t="s">
        <v>503</v>
      </c>
      <c r="C694" s="1867" t="s">
        <v>2801</v>
      </c>
      <c r="D694" s="1868"/>
      <c r="E694" s="1942">
        <v>0</v>
      </c>
      <c r="F694" s="1806" t="s">
        <v>37</v>
      </c>
      <c r="G694" s="1936">
        <v>88</v>
      </c>
      <c r="H694" s="1861">
        <f t="shared" si="423"/>
        <v>0</v>
      </c>
      <c r="I694" s="1938">
        <v>82</v>
      </c>
      <c r="J694" s="1939">
        <f t="shared" si="424"/>
        <v>0</v>
      </c>
      <c r="K694" s="1864">
        <f t="shared" si="425"/>
        <v>0</v>
      </c>
      <c r="L694" s="1940" t="s">
        <v>2882</v>
      </c>
      <c r="M694" s="1941"/>
    </row>
    <row r="695" spans="1:13">
      <c r="A695" s="1901"/>
      <c r="B695" s="1755"/>
      <c r="C695" s="1867" t="s">
        <v>504</v>
      </c>
      <c r="D695" s="1868"/>
      <c r="E695" s="1942">
        <v>0</v>
      </c>
      <c r="F695" s="1806" t="s">
        <v>37</v>
      </c>
      <c r="G695" s="2297">
        <v>69</v>
      </c>
      <c r="H695" s="1861">
        <f t="shared" si="423"/>
        <v>0</v>
      </c>
      <c r="I695" s="2301">
        <v>28</v>
      </c>
      <c r="J695" s="1939">
        <f t="shared" si="424"/>
        <v>0</v>
      </c>
      <c r="K695" s="1864">
        <f t="shared" si="425"/>
        <v>0</v>
      </c>
      <c r="L695" s="1940"/>
      <c r="M695" s="1941"/>
    </row>
    <row r="696" spans="1:13">
      <c r="A696" s="1901"/>
      <c r="B696" s="1755" t="s">
        <v>505</v>
      </c>
      <c r="C696" s="1867" t="s">
        <v>502</v>
      </c>
      <c r="D696" s="1868"/>
      <c r="E696" s="1942">
        <v>0</v>
      </c>
      <c r="F696" s="1806" t="s">
        <v>37</v>
      </c>
      <c r="G696" s="1936">
        <v>870</v>
      </c>
      <c r="H696" s="1861">
        <f t="shared" si="423"/>
        <v>0</v>
      </c>
      <c r="I696" s="1938">
        <v>242</v>
      </c>
      <c r="J696" s="1939">
        <f t="shared" si="424"/>
        <v>0</v>
      </c>
      <c r="K696" s="1864">
        <f t="shared" si="425"/>
        <v>0</v>
      </c>
      <c r="L696" s="1940"/>
      <c r="M696" s="1941"/>
    </row>
    <row r="697" spans="1:13">
      <c r="A697" s="1901"/>
      <c r="B697" s="1755"/>
      <c r="C697" s="1867" t="s">
        <v>506</v>
      </c>
      <c r="D697" s="1868"/>
      <c r="E697" s="1860"/>
      <c r="F697" s="1860"/>
      <c r="G697" s="1943"/>
      <c r="H697" s="1861"/>
      <c r="I697" s="1944"/>
      <c r="J697" s="1939"/>
      <c r="K697" s="1864"/>
      <c r="L697" s="1940"/>
      <c r="M697" s="1941"/>
    </row>
    <row r="698" spans="1:13">
      <c r="A698" s="1901"/>
      <c r="B698" s="1755" t="s">
        <v>2919</v>
      </c>
      <c r="C698" s="1867" t="s">
        <v>502</v>
      </c>
      <c r="D698" s="1868"/>
      <c r="E698" s="1942">
        <v>0</v>
      </c>
      <c r="F698" s="1806" t="s">
        <v>37</v>
      </c>
      <c r="G698" s="1953">
        <v>765</v>
      </c>
      <c r="H698" s="1882">
        <f>E698*G698</f>
        <v>0</v>
      </c>
      <c r="I698" s="1951">
        <v>242</v>
      </c>
      <c r="J698" s="1939">
        <f t="shared" ref="J698" si="426">E698*I698</f>
        <v>0</v>
      </c>
      <c r="K698" s="1864">
        <f t="shared" ref="K698" si="427">H698+J698</f>
        <v>0</v>
      </c>
      <c r="L698" s="1940"/>
      <c r="M698" s="1941"/>
    </row>
    <row r="699" spans="1:13">
      <c r="A699" s="1901"/>
      <c r="B699" s="1755"/>
      <c r="C699" s="1867" t="s">
        <v>506</v>
      </c>
      <c r="D699" s="1868"/>
      <c r="E699" s="1860"/>
      <c r="F699" s="1860"/>
      <c r="G699" s="1943"/>
      <c r="H699" s="1861"/>
      <c r="I699" s="1944"/>
      <c r="J699" s="1939"/>
      <c r="K699" s="1864"/>
      <c r="L699" s="1940"/>
      <c r="M699" s="1941"/>
    </row>
    <row r="700" spans="1:13">
      <c r="A700" s="1901"/>
      <c r="B700" s="1755" t="s">
        <v>507</v>
      </c>
      <c r="C700" s="1867" t="s">
        <v>508</v>
      </c>
      <c r="D700" s="1868"/>
      <c r="E700" s="1942">
        <v>0</v>
      </c>
      <c r="F700" s="1806" t="s">
        <v>37</v>
      </c>
      <c r="G700" s="1936">
        <v>0</v>
      </c>
      <c r="H700" s="1861">
        <f t="shared" ref="H700:H701" si="428">E700*G700</f>
        <v>0</v>
      </c>
      <c r="I700" s="1938">
        <v>0</v>
      </c>
      <c r="J700" s="1939">
        <f t="shared" ref="J700:J701" si="429">E700*I700</f>
        <v>0</v>
      </c>
      <c r="K700" s="1864">
        <f t="shared" ref="K700:K701" si="430">H700+J700</f>
        <v>0</v>
      </c>
      <c r="L700" s="1940"/>
      <c r="M700" s="1941"/>
    </row>
    <row r="701" spans="1:13">
      <c r="A701" s="1901"/>
      <c r="B701" s="1755" t="s">
        <v>510</v>
      </c>
      <c r="C701" s="1755" t="s">
        <v>2802</v>
      </c>
      <c r="D701" s="1755"/>
      <c r="E701" s="1942">
        <v>0</v>
      </c>
      <c r="F701" s="1806" t="s">
        <v>37</v>
      </c>
      <c r="G701" s="1936">
        <v>1296</v>
      </c>
      <c r="H701" s="1861">
        <f t="shared" si="428"/>
        <v>0</v>
      </c>
      <c r="I701" s="1938">
        <v>1600</v>
      </c>
      <c r="J701" s="1939">
        <f t="shared" si="429"/>
        <v>0</v>
      </c>
      <c r="K701" s="1864">
        <f t="shared" si="430"/>
        <v>0</v>
      </c>
      <c r="L701" s="1940"/>
      <c r="M701" s="1941"/>
    </row>
    <row r="702" spans="1:13">
      <c r="A702" s="1901"/>
      <c r="B702" s="1755"/>
      <c r="C702" s="1755" t="s">
        <v>512</v>
      </c>
      <c r="D702" s="1755"/>
      <c r="E702" s="2038"/>
      <c r="F702" s="1860"/>
      <c r="G702" s="1936"/>
      <c r="H702" s="1937"/>
      <c r="I702" s="1938"/>
      <c r="J702" s="1939"/>
      <c r="K702" s="1864"/>
      <c r="L702" s="1940"/>
      <c r="M702" s="1941"/>
    </row>
    <row r="703" spans="1:13">
      <c r="A703" s="1901"/>
      <c r="B703" s="1755" t="s">
        <v>513</v>
      </c>
      <c r="C703" s="1867" t="s">
        <v>514</v>
      </c>
      <c r="D703" s="1868"/>
      <c r="E703" s="2033">
        <v>0</v>
      </c>
      <c r="F703" s="1806" t="s">
        <v>37</v>
      </c>
      <c r="G703" s="1936">
        <v>1090</v>
      </c>
      <c r="H703" s="1861">
        <f t="shared" ref="H703:H704" si="431">E703*G703</f>
        <v>0</v>
      </c>
      <c r="I703" s="1938">
        <v>900</v>
      </c>
      <c r="J703" s="1939">
        <f t="shared" ref="J703:J704" si="432">E703*I703</f>
        <v>0</v>
      </c>
      <c r="K703" s="1864">
        <f t="shared" ref="K703:K704" si="433">H703+J703</f>
        <v>0</v>
      </c>
      <c r="L703" s="1940"/>
      <c r="M703" s="1941"/>
    </row>
    <row r="704" spans="1:13">
      <c r="A704" s="1901"/>
      <c r="B704" s="1755" t="s">
        <v>515</v>
      </c>
      <c r="C704" s="1867" t="s">
        <v>2905</v>
      </c>
      <c r="D704" s="1868"/>
      <c r="E704" s="2033">
        <v>0</v>
      </c>
      <c r="F704" s="1806" t="s">
        <v>37</v>
      </c>
      <c r="G704" s="1936">
        <v>1600</v>
      </c>
      <c r="H704" s="1861">
        <f t="shared" si="431"/>
        <v>0</v>
      </c>
      <c r="I704" s="1938">
        <v>500</v>
      </c>
      <c r="J704" s="1939">
        <f t="shared" si="432"/>
        <v>0</v>
      </c>
      <c r="K704" s="1864">
        <f t="shared" si="433"/>
        <v>0</v>
      </c>
      <c r="L704" s="1940"/>
      <c r="M704" s="1941"/>
    </row>
    <row r="705" spans="1:13">
      <c r="A705" s="1901"/>
      <c r="B705" s="1755"/>
      <c r="C705" s="1867" t="s">
        <v>517</v>
      </c>
      <c r="D705" s="1868"/>
      <c r="E705" s="2033"/>
      <c r="F705" s="1806"/>
      <c r="G705" s="1936"/>
      <c r="H705" s="1937"/>
      <c r="I705" s="1938"/>
      <c r="J705" s="1939"/>
      <c r="K705" s="1864"/>
      <c r="L705" s="1940"/>
      <c r="M705" s="1941"/>
    </row>
    <row r="706" spans="1:13">
      <c r="A706" s="1901"/>
      <c r="B706" s="1755"/>
      <c r="C706" s="1867"/>
      <c r="D706" s="1868"/>
      <c r="E706" s="2033"/>
      <c r="F706" s="1806"/>
      <c r="G706" s="1936"/>
      <c r="H706" s="1937"/>
      <c r="I706" s="1938"/>
      <c r="J706" s="1939"/>
      <c r="K706" s="1864"/>
      <c r="L706" s="1940"/>
      <c r="M706" s="1941"/>
    </row>
    <row r="707" spans="1:13">
      <c r="A707" s="1901"/>
      <c r="B707" s="1755" t="s">
        <v>518</v>
      </c>
      <c r="C707" s="1867" t="s">
        <v>519</v>
      </c>
      <c r="D707" s="1868"/>
      <c r="E707" s="2033">
        <v>0</v>
      </c>
      <c r="F707" s="1806" t="s">
        <v>37</v>
      </c>
      <c r="G707" s="1936">
        <v>2540</v>
      </c>
      <c r="H707" s="1861">
        <f t="shared" ref="H707" si="434">E707*G707</f>
        <v>0</v>
      </c>
      <c r="I707" s="1938">
        <v>700</v>
      </c>
      <c r="J707" s="1939">
        <f t="shared" ref="J707" si="435">E707*I707</f>
        <v>0</v>
      </c>
      <c r="K707" s="1864">
        <f t="shared" ref="K707" si="436">H707+J707</f>
        <v>0</v>
      </c>
      <c r="L707" s="1940"/>
      <c r="M707" s="1941"/>
    </row>
    <row r="708" spans="1:13">
      <c r="A708" s="1901"/>
      <c r="B708" s="1755"/>
      <c r="C708" s="1867" t="s">
        <v>520</v>
      </c>
      <c r="D708" s="1868"/>
      <c r="E708" s="2033"/>
      <c r="F708" s="1806"/>
      <c r="G708" s="1936"/>
      <c r="H708" s="1937"/>
      <c r="I708" s="1938"/>
      <c r="J708" s="1939"/>
      <c r="K708" s="1864"/>
      <c r="L708" s="1940"/>
      <c r="M708" s="1941"/>
    </row>
    <row r="709" spans="1:13">
      <c r="A709" s="1901"/>
      <c r="B709" s="1879" t="s">
        <v>521</v>
      </c>
      <c r="C709" s="2023" t="s">
        <v>522</v>
      </c>
      <c r="D709" s="2235"/>
      <c r="E709" s="2033">
        <v>23</v>
      </c>
      <c r="F709" s="1997" t="s">
        <v>37</v>
      </c>
      <c r="G709" s="2236">
        <v>15000</v>
      </c>
      <c r="H709" s="2237">
        <f t="shared" ref="H709:H711" si="437">E709*G709</f>
        <v>345000</v>
      </c>
      <c r="I709" s="2238">
        <v>500</v>
      </c>
      <c r="J709" s="2036">
        <f t="shared" ref="J709:J711" si="438">E709*I709</f>
        <v>11500</v>
      </c>
      <c r="K709" s="2037">
        <f t="shared" ref="K709:K711" si="439">H709+J709</f>
        <v>356500</v>
      </c>
      <c r="L709" s="2239"/>
      <c r="M709" s="1866"/>
    </row>
    <row r="710" spans="1:13">
      <c r="A710" s="1901"/>
      <c r="B710" s="1755" t="s">
        <v>523</v>
      </c>
      <c r="C710" s="1867" t="s">
        <v>524</v>
      </c>
      <c r="D710" s="1868"/>
      <c r="E710" s="2033">
        <f>635+31</f>
        <v>666</v>
      </c>
      <c r="F710" s="1806" t="s">
        <v>37</v>
      </c>
      <c r="G710" s="1936">
        <v>88</v>
      </c>
      <c r="H710" s="1861">
        <f t="shared" si="437"/>
        <v>58608</v>
      </c>
      <c r="I710" s="1938">
        <v>82</v>
      </c>
      <c r="J710" s="1939">
        <f t="shared" si="438"/>
        <v>54612</v>
      </c>
      <c r="K710" s="1864">
        <f t="shared" si="439"/>
        <v>113220</v>
      </c>
      <c r="L710" s="1940" t="s">
        <v>2883</v>
      </c>
      <c r="M710" s="1941"/>
    </row>
    <row r="711" spans="1:13">
      <c r="A711" s="1901"/>
      <c r="B711" s="1755" t="s">
        <v>525</v>
      </c>
      <c r="C711" s="1867" t="s">
        <v>526</v>
      </c>
      <c r="D711" s="1868"/>
      <c r="E711" s="2033">
        <v>0</v>
      </c>
      <c r="F711" s="1806" t="s">
        <v>37</v>
      </c>
      <c r="G711" s="1936">
        <v>1955</v>
      </c>
      <c r="H711" s="1861">
        <f t="shared" si="437"/>
        <v>0</v>
      </c>
      <c r="I711" s="1938">
        <v>1700</v>
      </c>
      <c r="J711" s="1939">
        <f t="shared" si="438"/>
        <v>0</v>
      </c>
      <c r="K711" s="1864">
        <f t="shared" si="439"/>
        <v>0</v>
      </c>
      <c r="L711" s="1940"/>
      <c r="M711" s="1941"/>
    </row>
    <row r="712" spans="1:13">
      <c r="A712" s="1901"/>
      <c r="B712" s="1755"/>
      <c r="C712" s="1867" t="s">
        <v>2804</v>
      </c>
      <c r="D712" s="1868"/>
      <c r="E712" s="2033"/>
      <c r="F712" s="1806"/>
      <c r="G712" s="1936"/>
      <c r="H712" s="1937"/>
      <c r="I712" s="1938"/>
      <c r="J712" s="1939"/>
      <c r="K712" s="1864"/>
      <c r="L712" s="1940"/>
      <c r="M712" s="1941"/>
    </row>
    <row r="713" spans="1:13">
      <c r="A713" s="1901"/>
      <c r="B713" s="1755"/>
      <c r="C713" s="1867" t="s">
        <v>527</v>
      </c>
      <c r="D713" s="1868"/>
      <c r="E713" s="2033"/>
      <c r="F713" s="1806"/>
      <c r="G713" s="1943">
        <v>165</v>
      </c>
      <c r="H713" s="1861">
        <f t="shared" ref="H713:H714" si="440">E713*G713</f>
        <v>0</v>
      </c>
      <c r="I713" s="1944">
        <v>25</v>
      </c>
      <c r="J713" s="1939">
        <f t="shared" ref="J713:J714" si="441">E713*I713</f>
        <v>0</v>
      </c>
      <c r="K713" s="1864">
        <f t="shared" ref="K713:K714" si="442">H713+J713</f>
        <v>0</v>
      </c>
      <c r="L713" s="1940"/>
      <c r="M713" s="1941"/>
    </row>
    <row r="714" spans="1:13">
      <c r="A714" s="1901"/>
      <c r="B714" s="1755" t="s">
        <v>528</v>
      </c>
      <c r="C714" s="1867" t="s">
        <v>526</v>
      </c>
      <c r="D714" s="1868"/>
      <c r="E714" s="2033">
        <v>0</v>
      </c>
      <c r="F714" s="1806" t="s">
        <v>37</v>
      </c>
      <c r="G714" s="1936">
        <v>1296</v>
      </c>
      <c r="H714" s="1861">
        <f t="shared" si="440"/>
        <v>0</v>
      </c>
      <c r="I714" s="1938">
        <v>1600</v>
      </c>
      <c r="J714" s="1939">
        <f t="shared" si="441"/>
        <v>0</v>
      </c>
      <c r="K714" s="1864">
        <f t="shared" si="442"/>
        <v>0</v>
      </c>
      <c r="L714" s="1940"/>
      <c r="M714" s="1941"/>
    </row>
    <row r="715" spans="1:13">
      <c r="A715" s="1901"/>
      <c r="B715" s="1755"/>
      <c r="C715" s="1867" t="s">
        <v>2804</v>
      </c>
      <c r="D715" s="1868"/>
      <c r="E715" s="1942"/>
      <c r="F715" s="1806"/>
      <c r="G715" s="1936"/>
      <c r="H715" s="1937"/>
      <c r="I715" s="1938"/>
      <c r="J715" s="1939"/>
      <c r="K715" s="1864"/>
      <c r="L715" s="1940"/>
      <c r="M715" s="1941"/>
    </row>
    <row r="716" spans="1:13">
      <c r="A716" s="1901"/>
      <c r="B716" s="1755"/>
      <c r="C716" s="1867" t="s">
        <v>527</v>
      </c>
      <c r="D716" s="1868"/>
      <c r="E716" s="1942"/>
      <c r="F716" s="1806"/>
      <c r="G716" s="1943">
        <v>165</v>
      </c>
      <c r="H716" s="1861">
        <f t="shared" ref="H716:H717" si="443">E716*G716</f>
        <v>0</v>
      </c>
      <c r="I716" s="1944">
        <v>25</v>
      </c>
      <c r="J716" s="1939">
        <f t="shared" ref="J716:J717" si="444">E716*I716</f>
        <v>0</v>
      </c>
      <c r="K716" s="1864">
        <f t="shared" ref="K716:K717" si="445">H716+J716</f>
        <v>0</v>
      </c>
      <c r="L716" s="1940"/>
      <c r="M716" s="1941"/>
    </row>
    <row r="717" spans="1:13">
      <c r="A717" s="1901"/>
      <c r="B717" s="1755" t="s">
        <v>529</v>
      </c>
      <c r="C717" s="1867" t="s">
        <v>526</v>
      </c>
      <c r="D717" s="1868"/>
      <c r="E717" s="1942">
        <v>0</v>
      </c>
      <c r="F717" s="1806" t="s">
        <v>37</v>
      </c>
      <c r="G717" s="1936">
        <v>5900</v>
      </c>
      <c r="H717" s="1861">
        <f t="shared" si="443"/>
        <v>0</v>
      </c>
      <c r="I717" s="1938">
        <v>1200</v>
      </c>
      <c r="J717" s="1939">
        <f t="shared" si="444"/>
        <v>0</v>
      </c>
      <c r="K717" s="1864">
        <f t="shared" si="445"/>
        <v>0</v>
      </c>
      <c r="L717" s="1940"/>
      <c r="M717" s="1941"/>
    </row>
    <row r="718" spans="1:13">
      <c r="A718" s="1901"/>
      <c r="B718" s="1755"/>
      <c r="C718" s="1867" t="s">
        <v>2804</v>
      </c>
      <c r="D718" s="1868"/>
      <c r="E718" s="1942"/>
      <c r="F718" s="1806"/>
      <c r="G718" s="1936"/>
      <c r="H718" s="1937"/>
      <c r="I718" s="1938"/>
      <c r="J718" s="1939"/>
      <c r="K718" s="1864"/>
      <c r="L718" s="1940"/>
      <c r="M718" s="1941"/>
    </row>
    <row r="719" spans="1:13">
      <c r="A719" s="1901"/>
      <c r="B719" s="1755" t="s">
        <v>530</v>
      </c>
      <c r="C719" s="1867" t="s">
        <v>526</v>
      </c>
      <c r="D719" s="1868"/>
      <c r="E719" s="1942">
        <v>0</v>
      </c>
      <c r="F719" s="1806" t="s">
        <v>37</v>
      </c>
      <c r="G719" s="1936">
        <v>6000</v>
      </c>
      <c r="H719" s="1861">
        <f t="shared" ref="H719" si="446">E719*G719</f>
        <v>0</v>
      </c>
      <c r="I719" s="1938">
        <v>1550</v>
      </c>
      <c r="J719" s="1939">
        <f t="shared" ref="J719" si="447">E719*I719</f>
        <v>0</v>
      </c>
      <c r="K719" s="1864">
        <f t="shared" ref="K719" si="448">H719+J719</f>
        <v>0</v>
      </c>
      <c r="L719" s="1940"/>
      <c r="M719" s="1941"/>
    </row>
    <row r="720" spans="1:13">
      <c r="A720" s="1901"/>
      <c r="B720" s="1755"/>
      <c r="C720" s="1867" t="s">
        <v>2805</v>
      </c>
      <c r="D720" s="1868"/>
      <c r="E720" s="1942"/>
      <c r="F720" s="1806"/>
      <c r="G720" s="1936"/>
      <c r="H720" s="1937"/>
      <c r="I720" s="1938"/>
      <c r="J720" s="1939"/>
      <c r="K720" s="1864"/>
      <c r="L720" s="1940"/>
      <c r="M720" s="1941"/>
    </row>
    <row r="721" spans="1:24">
      <c r="A721" s="1901"/>
      <c r="B721" s="1755" t="s">
        <v>531</v>
      </c>
      <c r="C721" s="1867" t="s">
        <v>532</v>
      </c>
      <c r="D721" s="1868"/>
      <c r="E721" s="1942">
        <v>1374</v>
      </c>
      <c r="F721" s="1806" t="s">
        <v>37</v>
      </c>
      <c r="G721" s="2297">
        <f>13+69</f>
        <v>82</v>
      </c>
      <c r="H721" s="1861">
        <f t="shared" ref="H721:H722" si="449">E721*G721</f>
        <v>112668</v>
      </c>
      <c r="I721" s="2301">
        <f>30+28</f>
        <v>58</v>
      </c>
      <c r="J721" s="1939">
        <f t="shared" ref="J721:J722" si="450">E721*I721</f>
        <v>79692</v>
      </c>
      <c r="K721" s="1864">
        <f t="shared" ref="K721:K722" si="451">H721+J721</f>
        <v>192360</v>
      </c>
      <c r="L721" s="2299"/>
      <c r="M721" s="2300"/>
    </row>
    <row r="722" spans="1:24">
      <c r="A722" s="1901"/>
      <c r="B722" s="1755" t="s">
        <v>533</v>
      </c>
      <c r="C722" s="1867" t="s">
        <v>534</v>
      </c>
      <c r="D722" s="1868"/>
      <c r="E722" s="1942">
        <v>0</v>
      </c>
      <c r="F722" s="1806" t="s">
        <v>37</v>
      </c>
      <c r="G722" s="1936">
        <v>0</v>
      </c>
      <c r="H722" s="1861">
        <f t="shared" si="449"/>
        <v>0</v>
      </c>
      <c r="I722" s="1938">
        <v>0</v>
      </c>
      <c r="J722" s="1939">
        <f t="shared" si="450"/>
        <v>0</v>
      </c>
      <c r="K722" s="1864">
        <f t="shared" si="451"/>
        <v>0</v>
      </c>
      <c r="L722" s="1940"/>
      <c r="M722" s="1941"/>
    </row>
    <row r="723" spans="1:24">
      <c r="A723" s="1901"/>
      <c r="B723" s="1755"/>
      <c r="C723" s="1755" t="s">
        <v>535</v>
      </c>
      <c r="D723" s="1868"/>
      <c r="E723" s="1942"/>
      <c r="F723" s="1806"/>
      <c r="G723" s="1936"/>
      <c r="H723" s="1937"/>
      <c r="I723" s="1938"/>
      <c r="J723" s="1939"/>
      <c r="K723" s="1864"/>
      <c r="L723" s="1940"/>
      <c r="M723" s="1941"/>
      <c r="N723" s="1797">
        <f>SUM(K646:K723)</f>
        <v>3283052.02</v>
      </c>
    </row>
    <row r="724" spans="1:24" ht="24" customHeight="1">
      <c r="A724" s="1896" t="s">
        <v>543</v>
      </c>
      <c r="B724" s="1957" t="s">
        <v>544</v>
      </c>
      <c r="C724" s="1958"/>
      <c r="D724" s="1959"/>
      <c r="E724" s="1960"/>
      <c r="F724" s="1806"/>
      <c r="G724" s="1789"/>
      <c r="H724" s="1854"/>
      <c r="I724" s="1855"/>
      <c r="J724" s="1856"/>
      <c r="K724" s="1857"/>
      <c r="L724" s="1858"/>
      <c r="M724" s="1809"/>
      <c r="N724" s="1837"/>
      <c r="O724" s="1837"/>
      <c r="P724" s="1837"/>
      <c r="Q724" s="1837"/>
      <c r="R724" s="1837"/>
      <c r="S724" s="1837"/>
      <c r="T724" s="1837"/>
      <c r="U724" s="1837"/>
      <c r="V724" s="1837"/>
      <c r="W724" s="1837"/>
      <c r="X724" s="1837"/>
    </row>
    <row r="725" spans="1:24">
      <c r="A725" s="1901"/>
      <c r="B725" s="1783"/>
      <c r="C725" s="1867" t="s">
        <v>538</v>
      </c>
      <c r="D725" s="1859"/>
      <c r="E725" s="1860">
        <v>2478</v>
      </c>
      <c r="F725" s="1806" t="s">
        <v>37</v>
      </c>
      <c r="G725" s="1936">
        <v>281</v>
      </c>
      <c r="H725" s="1937">
        <f>E725*G725</f>
        <v>696318</v>
      </c>
      <c r="I725" s="1938">
        <v>80</v>
      </c>
      <c r="J725" s="1939">
        <f>E725*I725</f>
        <v>198240</v>
      </c>
      <c r="K725" s="1864">
        <f>H725+J725</f>
        <v>894558</v>
      </c>
      <c r="L725" s="1940"/>
      <c r="M725" s="1941"/>
    </row>
    <row r="726" spans="1:24">
      <c r="A726" s="1901"/>
      <c r="B726" s="1783"/>
      <c r="C726" s="1867" t="s">
        <v>539</v>
      </c>
      <c r="D726" s="1859"/>
      <c r="E726" s="1860">
        <f>+E771</f>
        <v>0</v>
      </c>
      <c r="F726" s="1806" t="s">
        <v>37</v>
      </c>
      <c r="G726" s="1936">
        <v>712</v>
      </c>
      <c r="H726" s="1937">
        <f t="shared" ref="H726:H741" si="452">E726*G726</f>
        <v>0</v>
      </c>
      <c r="I726" s="1938">
        <v>98</v>
      </c>
      <c r="J726" s="1939">
        <f t="shared" ref="J726:J741" si="453">E726*I726</f>
        <v>0</v>
      </c>
      <c r="K726" s="1864">
        <f t="shared" ref="K726:K741" si="454">H726+J726</f>
        <v>0</v>
      </c>
      <c r="L726" s="1940"/>
      <c r="M726" s="1941"/>
    </row>
    <row r="727" spans="1:24">
      <c r="A727" s="1901"/>
      <c r="B727" s="1783"/>
      <c r="C727" s="1867" t="s">
        <v>470</v>
      </c>
      <c r="D727" s="1859"/>
      <c r="E727" s="1860">
        <f>+E725*1.33</f>
        <v>3295.7400000000002</v>
      </c>
      <c r="F727" s="1806" t="s">
        <v>438</v>
      </c>
      <c r="G727" s="1936">
        <v>119</v>
      </c>
      <c r="H727" s="1937">
        <f t="shared" si="452"/>
        <v>392193.06000000006</v>
      </c>
      <c r="I727" s="1938">
        <v>44</v>
      </c>
      <c r="J727" s="1939">
        <f t="shared" si="453"/>
        <v>145012.56</v>
      </c>
      <c r="K727" s="1864">
        <f t="shared" si="454"/>
        <v>537205.62000000011</v>
      </c>
      <c r="L727" s="1940" t="s">
        <v>2878</v>
      </c>
      <c r="M727" s="1941"/>
    </row>
    <row r="728" spans="1:24">
      <c r="A728" s="1901"/>
      <c r="B728" s="1783"/>
      <c r="C728" s="1867" t="s">
        <v>471</v>
      </c>
      <c r="D728" s="1859"/>
      <c r="E728" s="1860">
        <f>+E726*1.33</f>
        <v>0</v>
      </c>
      <c r="F728" s="1806" t="s">
        <v>438</v>
      </c>
      <c r="G728" s="1936">
        <v>208</v>
      </c>
      <c r="H728" s="1937">
        <f t="shared" si="452"/>
        <v>0</v>
      </c>
      <c r="I728" s="1938">
        <v>78</v>
      </c>
      <c r="J728" s="1939">
        <f t="shared" si="453"/>
        <v>0</v>
      </c>
      <c r="K728" s="1864">
        <f t="shared" si="454"/>
        <v>0</v>
      </c>
      <c r="L728" s="1940" t="s">
        <v>2878</v>
      </c>
      <c r="M728" s="1941"/>
    </row>
    <row r="729" spans="1:24">
      <c r="A729" s="1901"/>
      <c r="B729" s="1783"/>
      <c r="C729" s="1867" t="s">
        <v>472</v>
      </c>
      <c r="D729" s="1859"/>
      <c r="E729" s="1860">
        <v>586</v>
      </c>
      <c r="F729" s="1806" t="s">
        <v>37</v>
      </c>
      <c r="G729" s="1936">
        <v>88</v>
      </c>
      <c r="H729" s="1937">
        <f t="shared" si="452"/>
        <v>51568</v>
      </c>
      <c r="I729" s="1938">
        <v>82</v>
      </c>
      <c r="J729" s="1939">
        <f t="shared" si="453"/>
        <v>48052</v>
      </c>
      <c r="K729" s="1864">
        <f t="shared" si="454"/>
        <v>99620</v>
      </c>
      <c r="L729" s="1940" t="s">
        <v>2885</v>
      </c>
      <c r="M729" s="1941"/>
      <c r="O729" s="1737" t="s">
        <v>545</v>
      </c>
    </row>
    <row r="730" spans="1:24">
      <c r="A730" s="1901"/>
      <c r="B730" s="1783"/>
      <c r="C730" s="1867" t="s">
        <v>540</v>
      </c>
      <c r="D730" s="1859"/>
      <c r="E730" s="1860">
        <v>2874</v>
      </c>
      <c r="F730" s="1806" t="s">
        <v>37</v>
      </c>
      <c r="G730" s="1936">
        <v>88</v>
      </c>
      <c r="H730" s="1937">
        <f t="shared" si="452"/>
        <v>252912</v>
      </c>
      <c r="I730" s="1938">
        <v>82</v>
      </c>
      <c r="J730" s="1939">
        <f t="shared" si="453"/>
        <v>235668</v>
      </c>
      <c r="K730" s="1864">
        <f t="shared" si="454"/>
        <v>488580</v>
      </c>
      <c r="L730" s="1940"/>
      <c r="M730" s="1941"/>
    </row>
    <row r="731" spans="1:24">
      <c r="A731" s="1901"/>
      <c r="B731" s="1783"/>
      <c r="C731" s="1867" t="s">
        <v>541</v>
      </c>
      <c r="D731" s="1859"/>
      <c r="E731" s="1860">
        <v>164</v>
      </c>
      <c r="F731" s="1806" t="s">
        <v>37</v>
      </c>
      <c r="G731" s="1936">
        <v>88</v>
      </c>
      <c r="H731" s="1937">
        <f t="shared" si="452"/>
        <v>14432</v>
      </c>
      <c r="I731" s="1938">
        <v>95</v>
      </c>
      <c r="J731" s="1939">
        <f t="shared" si="453"/>
        <v>15580</v>
      </c>
      <c r="K731" s="1864">
        <f t="shared" si="454"/>
        <v>30012</v>
      </c>
      <c r="L731" s="1940"/>
      <c r="M731" s="1941"/>
    </row>
    <row r="732" spans="1:24">
      <c r="A732" s="1901"/>
      <c r="B732" s="1755" t="s">
        <v>475</v>
      </c>
      <c r="C732" s="1867" t="s">
        <v>476</v>
      </c>
      <c r="D732" s="1868"/>
      <c r="E732" s="1942">
        <v>346</v>
      </c>
      <c r="F732" s="1806" t="s">
        <v>37</v>
      </c>
      <c r="G732" s="1936">
        <v>88</v>
      </c>
      <c r="H732" s="1937">
        <f t="shared" si="452"/>
        <v>30448</v>
      </c>
      <c r="I732" s="1938">
        <v>95</v>
      </c>
      <c r="J732" s="1939">
        <f t="shared" si="453"/>
        <v>32870</v>
      </c>
      <c r="K732" s="1864">
        <f t="shared" si="454"/>
        <v>63318</v>
      </c>
      <c r="L732" s="1940" t="s">
        <v>2880</v>
      </c>
      <c r="M732" s="1941"/>
    </row>
    <row r="733" spans="1:24">
      <c r="A733" s="1901"/>
      <c r="B733" s="1755"/>
      <c r="C733" s="1867" t="s">
        <v>477</v>
      </c>
      <c r="D733" s="1868"/>
      <c r="E733" s="1942">
        <f>E732</f>
        <v>346</v>
      </c>
      <c r="F733" s="1806" t="s">
        <v>37</v>
      </c>
      <c r="G733" s="2297">
        <v>69</v>
      </c>
      <c r="H733" s="1937">
        <f t="shared" si="452"/>
        <v>23874</v>
      </c>
      <c r="I733" s="2298">
        <v>28</v>
      </c>
      <c r="J733" s="1939">
        <f t="shared" si="453"/>
        <v>9688</v>
      </c>
      <c r="K733" s="1864">
        <f t="shared" si="454"/>
        <v>33562</v>
      </c>
      <c r="L733" s="2299"/>
      <c r="M733" s="2300"/>
    </row>
    <row r="734" spans="1:24">
      <c r="A734" s="1901"/>
      <c r="B734" s="1755" t="s">
        <v>478</v>
      </c>
      <c r="C734" s="1867" t="s">
        <v>479</v>
      </c>
      <c r="D734" s="1868"/>
      <c r="E734" s="1942">
        <v>78</v>
      </c>
      <c r="F734" s="1806" t="s">
        <v>37</v>
      </c>
      <c r="G734" s="1936">
        <v>88</v>
      </c>
      <c r="H734" s="1937">
        <f t="shared" si="452"/>
        <v>6864</v>
      </c>
      <c r="I734" s="1938">
        <v>82</v>
      </c>
      <c r="J734" s="1939">
        <f t="shared" si="453"/>
        <v>6396</v>
      </c>
      <c r="K734" s="1864">
        <f t="shared" si="454"/>
        <v>13260</v>
      </c>
      <c r="L734" s="1940"/>
      <c r="M734" s="1941"/>
    </row>
    <row r="735" spans="1:24">
      <c r="A735" s="1901"/>
      <c r="B735" s="1755" t="s">
        <v>480</v>
      </c>
      <c r="C735" s="1867" t="s">
        <v>476</v>
      </c>
      <c r="D735" s="1868"/>
      <c r="E735" s="1942">
        <v>5212</v>
      </c>
      <c r="F735" s="1806" t="s">
        <v>37</v>
      </c>
      <c r="G735" s="1936">
        <v>88</v>
      </c>
      <c r="H735" s="1937">
        <f t="shared" si="452"/>
        <v>458656</v>
      </c>
      <c r="I735" s="1938">
        <v>82</v>
      </c>
      <c r="J735" s="1939">
        <f t="shared" si="453"/>
        <v>427384</v>
      </c>
      <c r="K735" s="1864">
        <f t="shared" si="454"/>
        <v>886040</v>
      </c>
      <c r="L735" s="1940" t="s">
        <v>2880</v>
      </c>
      <c r="M735" s="1941"/>
    </row>
    <row r="736" spans="1:24">
      <c r="A736" s="1901"/>
      <c r="B736" s="1755"/>
      <c r="C736" s="1867" t="s">
        <v>481</v>
      </c>
      <c r="D736" s="1868"/>
      <c r="E736" s="1942">
        <f>E735</f>
        <v>5212</v>
      </c>
      <c r="F736" s="1806" t="s">
        <v>37</v>
      </c>
      <c r="G736" s="2297">
        <v>69</v>
      </c>
      <c r="H736" s="1937">
        <f t="shared" si="452"/>
        <v>359628</v>
      </c>
      <c r="I736" s="2298">
        <v>28</v>
      </c>
      <c r="J736" s="1939">
        <f t="shared" si="453"/>
        <v>145936</v>
      </c>
      <c r="K736" s="1864">
        <f t="shared" si="454"/>
        <v>505564</v>
      </c>
      <c r="L736" s="2299"/>
      <c r="M736" s="2300"/>
    </row>
    <row r="737" spans="1:24">
      <c r="A737" s="1901"/>
      <c r="B737" s="1755" t="s">
        <v>2787</v>
      </c>
      <c r="C737" s="1867" t="s">
        <v>2788</v>
      </c>
      <c r="D737" s="1868"/>
      <c r="E737" s="1942">
        <v>120</v>
      </c>
      <c r="F737" s="1806" t="s">
        <v>37</v>
      </c>
      <c r="G737" s="1936">
        <v>103</v>
      </c>
      <c r="H737" s="1937">
        <f t="shared" si="452"/>
        <v>12360</v>
      </c>
      <c r="I737" s="1938">
        <v>115</v>
      </c>
      <c r="J737" s="1939">
        <f t="shared" si="453"/>
        <v>13800</v>
      </c>
      <c r="K737" s="1864">
        <f t="shared" si="454"/>
        <v>26160</v>
      </c>
      <c r="L737" s="1940" t="s">
        <v>2880</v>
      </c>
      <c r="M737" s="1941"/>
    </row>
    <row r="738" spans="1:24">
      <c r="A738" s="1901"/>
      <c r="B738" s="1755"/>
      <c r="C738" s="1867" t="s">
        <v>482</v>
      </c>
      <c r="D738" s="1868"/>
      <c r="E738" s="1942">
        <f>E737</f>
        <v>120</v>
      </c>
      <c r="F738" s="1806" t="s">
        <v>37</v>
      </c>
      <c r="G738" s="2297">
        <v>69</v>
      </c>
      <c r="H738" s="1937">
        <f t="shared" si="452"/>
        <v>8280</v>
      </c>
      <c r="I738" s="2298">
        <v>28</v>
      </c>
      <c r="J738" s="1939">
        <f t="shared" si="453"/>
        <v>3360</v>
      </c>
      <c r="K738" s="1864">
        <f t="shared" si="454"/>
        <v>11640</v>
      </c>
      <c r="L738" s="2299"/>
      <c r="M738" s="2300"/>
    </row>
    <row r="739" spans="1:24">
      <c r="A739" s="1901"/>
      <c r="B739" s="1755" t="s">
        <v>483</v>
      </c>
      <c r="C739" s="1867" t="s">
        <v>484</v>
      </c>
      <c r="D739" s="1868"/>
      <c r="E739" s="1942">
        <v>0</v>
      </c>
      <c r="F739" s="1806" t="s">
        <v>37</v>
      </c>
      <c r="G739" s="1943">
        <v>1500</v>
      </c>
      <c r="H739" s="1937">
        <f t="shared" si="452"/>
        <v>0</v>
      </c>
      <c r="I739" s="1944">
        <v>500</v>
      </c>
      <c r="J739" s="1939">
        <f t="shared" si="453"/>
        <v>0</v>
      </c>
      <c r="K739" s="1864">
        <f t="shared" si="454"/>
        <v>0</v>
      </c>
      <c r="L739" s="1865"/>
      <c r="M739" s="1866"/>
    </row>
    <row r="740" spans="1:24">
      <c r="A740" s="1901"/>
      <c r="B740" s="1755"/>
      <c r="C740" s="1867" t="s">
        <v>482</v>
      </c>
      <c r="D740" s="1868"/>
      <c r="E740" s="1942">
        <v>0</v>
      </c>
      <c r="F740" s="1806" t="s">
        <v>37</v>
      </c>
      <c r="G740" s="2297">
        <v>69</v>
      </c>
      <c r="H740" s="1937">
        <f t="shared" si="452"/>
        <v>0</v>
      </c>
      <c r="I740" s="2298">
        <v>28</v>
      </c>
      <c r="J740" s="1939">
        <f t="shared" si="453"/>
        <v>0</v>
      </c>
      <c r="K740" s="1864">
        <f t="shared" si="454"/>
        <v>0</v>
      </c>
      <c r="L740" s="2299"/>
      <c r="M740" s="2300"/>
    </row>
    <row r="741" spans="1:24">
      <c r="A741" s="1901"/>
      <c r="B741" s="1755" t="s">
        <v>485</v>
      </c>
      <c r="C741" s="1867" t="s">
        <v>2789</v>
      </c>
      <c r="D741" s="1868"/>
      <c r="E741" s="1942">
        <v>0</v>
      </c>
      <c r="F741" s="1806" t="s">
        <v>37</v>
      </c>
      <c r="G741" s="1943">
        <v>492</v>
      </c>
      <c r="H741" s="1937">
        <f t="shared" si="452"/>
        <v>0</v>
      </c>
      <c r="I741" s="1944">
        <v>130</v>
      </c>
      <c r="J741" s="1939">
        <f t="shared" si="453"/>
        <v>0</v>
      </c>
      <c r="K741" s="1864">
        <f t="shared" si="454"/>
        <v>0</v>
      </c>
      <c r="L741" s="2299"/>
      <c r="M741" s="2300"/>
    </row>
    <row r="742" spans="1:24">
      <c r="A742" s="1901"/>
      <c r="B742" s="1755"/>
      <c r="C742" s="1867" t="s">
        <v>2790</v>
      </c>
      <c r="D742" s="1868"/>
      <c r="E742" s="1860"/>
      <c r="F742" s="1860"/>
      <c r="G742" s="1943"/>
      <c r="H742" s="1861"/>
      <c r="I742" s="1944"/>
      <c r="J742" s="1939"/>
      <c r="K742" s="1864"/>
      <c r="L742" s="2299"/>
      <c r="M742" s="2300"/>
    </row>
    <row r="743" spans="1:24">
      <c r="A743" s="1901"/>
      <c r="B743" s="1755"/>
      <c r="C743" s="1867" t="s">
        <v>486</v>
      </c>
      <c r="D743" s="1868"/>
      <c r="E743" s="1860"/>
      <c r="F743" s="1860"/>
      <c r="G743" s="1943"/>
      <c r="H743" s="1861"/>
      <c r="I743" s="1944"/>
      <c r="J743" s="1939"/>
      <c r="K743" s="1864"/>
      <c r="L743" s="2299"/>
      <c r="M743" s="2300"/>
    </row>
    <row r="744" spans="1:24">
      <c r="A744" s="1901"/>
      <c r="B744" s="1755" t="s">
        <v>487</v>
      </c>
      <c r="C744" s="1867" t="s">
        <v>2789</v>
      </c>
      <c r="D744" s="1868"/>
      <c r="E744" s="1942">
        <v>0</v>
      </c>
      <c r="F744" s="1806" t="s">
        <v>37</v>
      </c>
      <c r="G744" s="1943">
        <v>256</v>
      </c>
      <c r="H744" s="1861">
        <f>E744*G744</f>
        <v>0</v>
      </c>
      <c r="I744" s="1944">
        <v>100</v>
      </c>
      <c r="J744" s="1939">
        <f>E744*I744</f>
        <v>0</v>
      </c>
      <c r="K744" s="1864">
        <f t="shared" ref="K744" si="455">H744+J744</f>
        <v>0</v>
      </c>
      <c r="L744" s="2299"/>
      <c r="M744" s="2300"/>
    </row>
    <row r="745" spans="1:24">
      <c r="A745" s="1901"/>
      <c r="B745" s="1755"/>
      <c r="C745" s="1867" t="s">
        <v>2791</v>
      </c>
      <c r="D745" s="1868"/>
      <c r="E745" s="1860"/>
      <c r="F745" s="1860"/>
      <c r="G745" s="1943"/>
      <c r="H745" s="1861"/>
      <c r="I745" s="1944"/>
      <c r="J745" s="1939"/>
      <c r="K745" s="1864"/>
      <c r="L745" s="2299"/>
      <c r="M745" s="2300"/>
    </row>
    <row r="746" spans="1:24">
      <c r="A746" s="1901"/>
      <c r="B746" s="1755"/>
      <c r="C746" s="1867" t="s">
        <v>486</v>
      </c>
      <c r="D746" s="1868"/>
      <c r="E746" s="1860"/>
      <c r="F746" s="1860"/>
      <c r="G746" s="1943"/>
      <c r="H746" s="1861"/>
      <c r="I746" s="1944"/>
      <c r="J746" s="1939"/>
      <c r="K746" s="1864"/>
      <c r="L746" s="2299"/>
      <c r="M746" s="2300"/>
    </row>
    <row r="747" spans="1:24">
      <c r="A747" s="1901"/>
      <c r="B747" s="1755" t="s">
        <v>488</v>
      </c>
      <c r="C747" s="1867" t="s">
        <v>2926</v>
      </c>
      <c r="D747" s="1868"/>
      <c r="E747" s="1942">
        <v>28</v>
      </c>
      <c r="F747" s="1806" t="s">
        <v>37</v>
      </c>
      <c r="G747" s="1943">
        <v>350</v>
      </c>
      <c r="H747" s="1861">
        <f>E747*G747</f>
        <v>9800</v>
      </c>
      <c r="I747" s="1944">
        <v>100</v>
      </c>
      <c r="J747" s="1939">
        <f>E747*I747</f>
        <v>2800</v>
      </c>
      <c r="K747" s="1864">
        <f t="shared" ref="K747" si="456">H747+J747</f>
        <v>12600</v>
      </c>
      <c r="L747" s="2299"/>
      <c r="M747" s="2300"/>
    </row>
    <row r="748" spans="1:24">
      <c r="A748" s="1901"/>
      <c r="B748" s="1755"/>
      <c r="C748" s="1867" t="s">
        <v>2793</v>
      </c>
      <c r="D748" s="1868"/>
      <c r="E748" s="1860"/>
      <c r="F748" s="1860"/>
      <c r="G748" s="1943"/>
      <c r="H748" s="1861"/>
      <c r="I748" s="1944"/>
      <c r="J748" s="1939"/>
      <c r="K748" s="1864"/>
      <c r="L748" s="1940"/>
      <c r="M748" s="1941"/>
    </row>
    <row r="749" spans="1:24">
      <c r="A749" s="1901"/>
      <c r="B749" s="1755"/>
      <c r="C749" s="1867" t="s">
        <v>489</v>
      </c>
      <c r="D749" s="1868"/>
      <c r="E749" s="1942">
        <f>E747</f>
        <v>28</v>
      </c>
      <c r="F749" s="1806" t="s">
        <v>37</v>
      </c>
      <c r="G749" s="2297">
        <v>69</v>
      </c>
      <c r="H749" s="1861">
        <f>E749*G749</f>
        <v>1932</v>
      </c>
      <c r="I749" s="2298">
        <v>28</v>
      </c>
      <c r="J749" s="1939">
        <f>E749*I749</f>
        <v>784</v>
      </c>
      <c r="K749" s="1864">
        <f t="shared" ref="K749:K753" si="457">H749+J749</f>
        <v>2716</v>
      </c>
      <c r="L749" s="2299"/>
      <c r="M749" s="2300"/>
    </row>
    <row r="750" spans="1:24" ht="24" customHeight="1">
      <c r="A750" s="1901"/>
      <c r="B750" s="1945" t="s">
        <v>2901</v>
      </c>
      <c r="C750" s="1867" t="s">
        <v>2902</v>
      </c>
      <c r="D750" s="1868"/>
      <c r="E750" s="1942">
        <v>0</v>
      </c>
      <c r="F750" s="1806" t="s">
        <v>37</v>
      </c>
      <c r="G750" s="1944">
        <v>195</v>
      </c>
      <c r="H750" s="1939">
        <f>E750*G750</f>
        <v>0</v>
      </c>
      <c r="I750" s="1944">
        <v>150</v>
      </c>
      <c r="J750" s="1939">
        <f t="shared" ref="J750" si="458">E750*I750</f>
        <v>0</v>
      </c>
      <c r="K750" s="1864">
        <f t="shared" si="457"/>
        <v>0</v>
      </c>
      <c r="L750" s="2299"/>
      <c r="N750" s="1836"/>
      <c r="O750" s="1837"/>
      <c r="P750" s="1837"/>
      <c r="Q750" s="1837"/>
      <c r="R750" s="1837"/>
      <c r="S750" s="1837"/>
      <c r="T750" s="1837"/>
      <c r="U750" s="1837"/>
      <c r="V750" s="1837"/>
      <c r="W750" s="1837"/>
      <c r="X750" s="1837"/>
    </row>
    <row r="751" spans="1:24" ht="24" customHeight="1">
      <c r="A751" s="1901"/>
      <c r="B751" s="1755"/>
      <c r="C751" s="1867" t="s">
        <v>2903</v>
      </c>
      <c r="D751" s="1868"/>
      <c r="E751" s="1860"/>
      <c r="F751" s="1860"/>
      <c r="G751" s="1944"/>
      <c r="H751" s="1939"/>
      <c r="I751" s="1944"/>
      <c r="J751" s="1939"/>
      <c r="K751" s="1864"/>
      <c r="L751" s="1940"/>
      <c r="M751" s="1946"/>
      <c r="N751" s="1836"/>
      <c r="O751" s="1837"/>
      <c r="P751" s="1837"/>
      <c r="Q751" s="1837"/>
      <c r="R751" s="1837"/>
      <c r="S751" s="1837"/>
      <c r="T751" s="1837"/>
      <c r="U751" s="1837"/>
      <c r="V751" s="1837"/>
      <c r="W751" s="1837"/>
      <c r="X751" s="1837"/>
    </row>
    <row r="752" spans="1:24" ht="24" customHeight="1">
      <c r="A752" s="1901"/>
      <c r="B752" s="1755"/>
      <c r="C752" s="1867" t="s">
        <v>2904</v>
      </c>
      <c r="D752" s="1868"/>
      <c r="E752" s="1942">
        <f>E750</f>
        <v>0</v>
      </c>
      <c r="F752" s="1806" t="s">
        <v>37</v>
      </c>
      <c r="G752" s="2298">
        <v>120</v>
      </c>
      <c r="H752" s="1947">
        <f>SUM(E752*G752)</f>
        <v>0</v>
      </c>
      <c r="I752" s="2298">
        <v>56</v>
      </c>
      <c r="J752" s="1939">
        <f>E752*I752</f>
        <v>0</v>
      </c>
      <c r="K752" s="1864">
        <f>H752+J752</f>
        <v>0</v>
      </c>
      <c r="L752" s="2299"/>
      <c r="M752" s="1946"/>
      <c r="N752" s="1836"/>
      <c r="O752" s="1837"/>
      <c r="P752" s="1837"/>
      <c r="Q752" s="1837"/>
      <c r="R752" s="1837"/>
      <c r="S752" s="1837"/>
      <c r="T752" s="1837"/>
      <c r="U752" s="1837"/>
      <c r="V752" s="1837"/>
      <c r="W752" s="1837"/>
      <c r="X752" s="1837"/>
    </row>
    <row r="753" spans="1:13">
      <c r="A753" s="1901"/>
      <c r="B753" s="1755" t="s">
        <v>490</v>
      </c>
      <c r="C753" s="1867" t="s">
        <v>2789</v>
      </c>
      <c r="D753" s="1868"/>
      <c r="E753" s="1942">
        <v>0</v>
      </c>
      <c r="F753" s="1806" t="s">
        <v>37</v>
      </c>
      <c r="G753" s="1943">
        <v>592</v>
      </c>
      <c r="H753" s="1861">
        <f>E753*G753</f>
        <v>0</v>
      </c>
      <c r="I753" s="1944">
        <v>165</v>
      </c>
      <c r="J753" s="1939">
        <f>E753*I753</f>
        <v>0</v>
      </c>
      <c r="K753" s="1864">
        <f t="shared" si="457"/>
        <v>0</v>
      </c>
      <c r="L753" s="2299"/>
      <c r="M753" s="2300"/>
    </row>
    <row r="754" spans="1:13">
      <c r="A754" s="1901"/>
      <c r="B754" s="1755"/>
      <c r="C754" s="1867" t="s">
        <v>2790</v>
      </c>
      <c r="D754" s="1868"/>
      <c r="E754" s="1860"/>
      <c r="F754" s="1860"/>
      <c r="G754" s="1943"/>
      <c r="H754" s="1861"/>
      <c r="I754" s="1944"/>
      <c r="J754" s="1939"/>
      <c r="K754" s="1864"/>
      <c r="L754" s="1940"/>
      <c r="M754" s="1941"/>
    </row>
    <row r="755" spans="1:13">
      <c r="A755" s="1901"/>
      <c r="B755" s="1755"/>
      <c r="C755" s="1867" t="s">
        <v>2794</v>
      </c>
      <c r="D755" s="1868"/>
      <c r="E755" s="1860"/>
      <c r="F755" s="1860"/>
      <c r="G755" s="1943"/>
      <c r="H755" s="1861"/>
      <c r="I755" s="1944"/>
      <c r="J755" s="1939"/>
      <c r="K755" s="1864"/>
      <c r="L755" s="1940"/>
      <c r="M755" s="1941"/>
    </row>
    <row r="756" spans="1:13">
      <c r="A756" s="1901"/>
      <c r="B756" s="1755" t="s">
        <v>491</v>
      </c>
      <c r="C756" s="1867" t="s">
        <v>2795</v>
      </c>
      <c r="D756" s="1868"/>
      <c r="E756" s="1942">
        <v>0</v>
      </c>
      <c r="F756" s="1806" t="s">
        <v>37</v>
      </c>
      <c r="G756" s="1943"/>
      <c r="H756" s="1861"/>
      <c r="I756" s="1944"/>
      <c r="J756" s="1939"/>
      <c r="K756" s="1864"/>
      <c r="L756" s="2299"/>
      <c r="M756" s="2300"/>
    </row>
    <row r="757" spans="1:13">
      <c r="A757" s="1901"/>
      <c r="B757" s="1755"/>
      <c r="C757" s="1867" t="s">
        <v>2792</v>
      </c>
      <c r="D757" s="1868"/>
      <c r="E757" s="1860"/>
      <c r="F757" s="1860"/>
      <c r="G757" s="1943">
        <v>642</v>
      </c>
      <c r="H757" s="1861">
        <f>E757*G757</f>
        <v>0</v>
      </c>
      <c r="I757" s="1944">
        <v>183</v>
      </c>
      <c r="J757" s="1939">
        <f>E757*I757</f>
        <v>0</v>
      </c>
      <c r="K757" s="1864">
        <f t="shared" ref="K757" si="459">H757+J757</f>
        <v>0</v>
      </c>
      <c r="L757" s="1940"/>
      <c r="M757" s="1941"/>
    </row>
    <row r="758" spans="1:13">
      <c r="A758" s="1901"/>
      <c r="B758" s="1755"/>
      <c r="C758" s="1867" t="s">
        <v>542</v>
      </c>
      <c r="D758" s="1868"/>
      <c r="E758" s="1860"/>
      <c r="F758" s="1860"/>
      <c r="G758" s="1943"/>
      <c r="H758" s="1861"/>
      <c r="I758" s="1944"/>
      <c r="J758" s="1939"/>
      <c r="K758" s="1864"/>
      <c r="L758" s="1940"/>
      <c r="M758" s="1941"/>
    </row>
    <row r="759" spans="1:13">
      <c r="A759" s="1901"/>
      <c r="B759" s="1755"/>
      <c r="C759" s="1867" t="s">
        <v>2796</v>
      </c>
      <c r="D759" s="1868"/>
      <c r="E759" s="1860"/>
      <c r="F759" s="1860"/>
      <c r="G759" s="1943"/>
      <c r="H759" s="1861"/>
      <c r="I759" s="1944"/>
      <c r="J759" s="1939"/>
      <c r="K759" s="1864"/>
      <c r="L759" s="1940"/>
      <c r="M759" s="1941"/>
    </row>
    <row r="760" spans="1:13">
      <c r="A760" s="1901"/>
      <c r="B760" s="1755" t="s">
        <v>492</v>
      </c>
      <c r="C760" s="1867" t="s">
        <v>2797</v>
      </c>
      <c r="D760" s="1868"/>
      <c r="E760" s="1942">
        <v>0</v>
      </c>
      <c r="F760" s="1806" t="s">
        <v>37</v>
      </c>
      <c r="G760" s="1943">
        <v>520</v>
      </c>
      <c r="H760" s="1861">
        <f>E760*G760</f>
        <v>0</v>
      </c>
      <c r="I760" s="1944">
        <v>270</v>
      </c>
      <c r="J760" s="1939">
        <f>E760*I760</f>
        <v>0</v>
      </c>
      <c r="K760" s="1864">
        <f t="shared" ref="K760" si="460">H760+J760</f>
        <v>0</v>
      </c>
      <c r="L760" s="1948"/>
      <c r="M760" s="1949"/>
    </row>
    <row r="761" spans="1:13">
      <c r="A761" s="1901"/>
      <c r="B761" s="1755"/>
      <c r="C761" s="1867" t="s">
        <v>2798</v>
      </c>
      <c r="D761" s="1868"/>
      <c r="E761" s="1860">
        <v>0</v>
      </c>
      <c r="F761" s="1860"/>
      <c r="G761" s="1943"/>
      <c r="H761" s="1861"/>
      <c r="I761" s="1944"/>
      <c r="J761" s="1939"/>
      <c r="K761" s="1864"/>
      <c r="L761" s="1940"/>
      <c r="M761" s="1941"/>
    </row>
    <row r="762" spans="1:13">
      <c r="A762" s="1901"/>
      <c r="B762" s="1755"/>
      <c r="C762" s="1867" t="s">
        <v>493</v>
      </c>
      <c r="D762" s="1868"/>
      <c r="E762" s="1860"/>
      <c r="F762" s="1860"/>
      <c r="G762" s="1943"/>
      <c r="H762" s="1861"/>
      <c r="I762" s="1944"/>
      <c r="J762" s="1939"/>
      <c r="K762" s="1864"/>
      <c r="L762" s="1940"/>
      <c r="M762" s="1941"/>
    </row>
    <row r="763" spans="1:13">
      <c r="A763" s="1901"/>
      <c r="B763" s="1755" t="s">
        <v>494</v>
      </c>
      <c r="C763" s="1867" t="s">
        <v>2799</v>
      </c>
      <c r="D763" s="1868"/>
      <c r="E763" s="1942">
        <v>0</v>
      </c>
      <c r="F763" s="1806" t="s">
        <v>37</v>
      </c>
      <c r="G763" s="1943">
        <v>256</v>
      </c>
      <c r="H763" s="1861">
        <f>E763*G763</f>
        <v>0</v>
      </c>
      <c r="I763" s="1944">
        <v>100</v>
      </c>
      <c r="J763" s="1939">
        <f>E763*I763</f>
        <v>0</v>
      </c>
      <c r="K763" s="1864">
        <f>H763+J763</f>
        <v>0</v>
      </c>
      <c r="L763" s="2299"/>
      <c r="M763" s="2300"/>
    </row>
    <row r="764" spans="1:13">
      <c r="A764" s="1901"/>
      <c r="B764" s="1755"/>
      <c r="C764" s="1867" t="s">
        <v>2800</v>
      </c>
      <c r="D764" s="1868"/>
      <c r="E764" s="1860"/>
      <c r="F764" s="1860"/>
      <c r="G764" s="1943"/>
      <c r="H764" s="1861"/>
      <c r="I764" s="1944"/>
      <c r="J764" s="1939"/>
      <c r="K764" s="1864"/>
      <c r="L764" s="1940"/>
      <c r="M764" s="1941"/>
    </row>
    <row r="765" spans="1:13">
      <c r="A765" s="1901"/>
      <c r="B765" s="1755"/>
      <c r="C765" s="1867" t="s">
        <v>495</v>
      </c>
      <c r="D765" s="1868"/>
      <c r="E765" s="1860"/>
      <c r="F765" s="1860"/>
      <c r="G765" s="1943"/>
      <c r="H765" s="1861"/>
      <c r="I765" s="1944"/>
      <c r="J765" s="1939"/>
      <c r="K765" s="1864"/>
      <c r="L765" s="1940"/>
      <c r="M765" s="1941"/>
    </row>
    <row r="766" spans="1:13">
      <c r="A766" s="1901"/>
      <c r="B766" s="1755"/>
      <c r="C766" s="1867" t="s">
        <v>496</v>
      </c>
      <c r="D766" s="1868"/>
      <c r="E766" s="1860">
        <f>+E763</f>
        <v>0</v>
      </c>
      <c r="F766" s="1806" t="s">
        <v>37</v>
      </c>
      <c r="G766" s="1936">
        <v>520</v>
      </c>
      <c r="H766" s="1861">
        <f>E766*G766</f>
        <v>0</v>
      </c>
      <c r="I766" s="1938">
        <v>30</v>
      </c>
      <c r="J766" s="1939">
        <f>E766*I766</f>
        <v>0</v>
      </c>
      <c r="K766" s="1864">
        <f>H766+J766</f>
        <v>0</v>
      </c>
      <c r="L766" s="1940" t="s">
        <v>2881</v>
      </c>
      <c r="M766" s="1941"/>
    </row>
    <row r="767" spans="1:13">
      <c r="A767" s="1901"/>
      <c r="B767" s="1755" t="s">
        <v>497</v>
      </c>
      <c r="C767" s="1867" t="s">
        <v>498</v>
      </c>
      <c r="D767" s="1868"/>
      <c r="E767" s="1942">
        <v>0</v>
      </c>
      <c r="F767" s="1806" t="s">
        <v>37</v>
      </c>
      <c r="G767" s="1936">
        <v>91</v>
      </c>
      <c r="H767" s="1861">
        <f t="shared" ref="H767:H773" si="461">E767*G767</f>
        <v>0</v>
      </c>
      <c r="I767" s="1938">
        <v>100</v>
      </c>
      <c r="J767" s="1939">
        <f t="shared" ref="J767:J773" si="462">E767*I767</f>
        <v>0</v>
      </c>
      <c r="K767" s="1864">
        <f t="shared" ref="K767:K773" si="463">H767+J767</f>
        <v>0</v>
      </c>
      <c r="L767" s="1940"/>
      <c r="M767" s="1941"/>
    </row>
    <row r="768" spans="1:13">
      <c r="A768" s="1901"/>
      <c r="B768" s="1755" t="s">
        <v>499</v>
      </c>
      <c r="C768" s="1867" t="s">
        <v>500</v>
      </c>
      <c r="D768" s="1868"/>
      <c r="E768" s="1942">
        <v>0</v>
      </c>
      <c r="F768" s="1806" t="s">
        <v>37</v>
      </c>
      <c r="G768" s="1936">
        <v>294</v>
      </c>
      <c r="H768" s="1861">
        <f t="shared" si="461"/>
        <v>0</v>
      </c>
      <c r="I768" s="1938">
        <v>189</v>
      </c>
      <c r="J768" s="1939">
        <f t="shared" si="462"/>
        <v>0</v>
      </c>
      <c r="K768" s="1864">
        <f t="shared" si="463"/>
        <v>0</v>
      </c>
      <c r="L768" s="1940"/>
      <c r="M768" s="1941"/>
    </row>
    <row r="769" spans="1:13">
      <c r="A769" s="1901"/>
      <c r="B769" s="1755" t="s">
        <v>501</v>
      </c>
      <c r="C769" s="1867" t="s">
        <v>502</v>
      </c>
      <c r="D769" s="1868"/>
      <c r="E769" s="1942">
        <v>0</v>
      </c>
      <c r="F769" s="119" t="s">
        <v>37</v>
      </c>
      <c r="G769" s="2294">
        <v>608</v>
      </c>
      <c r="H769" s="1882">
        <f t="shared" si="461"/>
        <v>0</v>
      </c>
      <c r="I769" s="1951">
        <v>189</v>
      </c>
      <c r="J769" s="1876">
        <f t="shared" si="462"/>
        <v>0</v>
      </c>
      <c r="K769" s="1890">
        <f t="shared" si="463"/>
        <v>0</v>
      </c>
      <c r="L769" s="1940"/>
      <c r="M769" s="1941"/>
    </row>
    <row r="770" spans="1:13">
      <c r="A770" s="1901"/>
      <c r="B770" s="1755" t="s">
        <v>2918</v>
      </c>
      <c r="C770" s="1867" t="s">
        <v>502</v>
      </c>
      <c r="D770" s="1868"/>
      <c r="E770" s="1942">
        <v>545</v>
      </c>
      <c r="F770" s="67" t="s">
        <v>37</v>
      </c>
      <c r="G770" s="2294">
        <v>399</v>
      </c>
      <c r="H770" s="1882">
        <f t="shared" si="461"/>
        <v>217455</v>
      </c>
      <c r="I770" s="1951">
        <v>189</v>
      </c>
      <c r="J770" s="1876">
        <f t="shared" si="462"/>
        <v>103005</v>
      </c>
      <c r="K770" s="1890">
        <f t="shared" si="463"/>
        <v>320460</v>
      </c>
      <c r="L770" s="1940"/>
      <c r="M770" s="1941"/>
    </row>
    <row r="771" spans="1:13">
      <c r="A771" s="1901"/>
      <c r="B771" s="1755" t="s">
        <v>503</v>
      </c>
      <c r="C771" s="1867" t="s">
        <v>2801</v>
      </c>
      <c r="D771" s="1868"/>
      <c r="E771" s="1942">
        <v>0</v>
      </c>
      <c r="F771" s="1806" t="s">
        <v>37</v>
      </c>
      <c r="G771" s="1936">
        <v>88</v>
      </c>
      <c r="H771" s="1861">
        <f t="shared" si="461"/>
        <v>0</v>
      </c>
      <c r="I771" s="1938">
        <v>82</v>
      </c>
      <c r="J771" s="1939">
        <f t="shared" si="462"/>
        <v>0</v>
      </c>
      <c r="K771" s="1864">
        <f t="shared" si="463"/>
        <v>0</v>
      </c>
      <c r="L771" s="1940" t="s">
        <v>2882</v>
      </c>
      <c r="M771" s="1941"/>
    </row>
    <row r="772" spans="1:13">
      <c r="A772" s="1901"/>
      <c r="B772" s="1755"/>
      <c r="C772" s="1867" t="s">
        <v>504</v>
      </c>
      <c r="D772" s="1868"/>
      <c r="E772" s="1942">
        <v>0</v>
      </c>
      <c r="F772" s="1806" t="s">
        <v>37</v>
      </c>
      <c r="G772" s="2297">
        <v>69</v>
      </c>
      <c r="H772" s="1861">
        <f t="shared" si="461"/>
        <v>0</v>
      </c>
      <c r="I772" s="2301">
        <v>28</v>
      </c>
      <c r="J772" s="1939">
        <f t="shared" si="462"/>
        <v>0</v>
      </c>
      <c r="K772" s="1864">
        <f t="shared" si="463"/>
        <v>0</v>
      </c>
      <c r="L772" s="1940"/>
      <c r="M772" s="1941"/>
    </row>
    <row r="773" spans="1:13">
      <c r="A773" s="1901"/>
      <c r="B773" s="1755" t="s">
        <v>505</v>
      </c>
      <c r="C773" s="1867" t="s">
        <v>502</v>
      </c>
      <c r="D773" s="1868"/>
      <c r="E773" s="1942">
        <v>41</v>
      </c>
      <c r="F773" s="1806" t="s">
        <v>37</v>
      </c>
      <c r="G773" s="1936">
        <v>870</v>
      </c>
      <c r="H773" s="1861">
        <f t="shared" si="461"/>
        <v>35670</v>
      </c>
      <c r="I773" s="1938">
        <v>242</v>
      </c>
      <c r="J773" s="1939">
        <f t="shared" si="462"/>
        <v>9922</v>
      </c>
      <c r="K773" s="1864">
        <f t="shared" si="463"/>
        <v>45592</v>
      </c>
      <c r="L773" s="1940"/>
      <c r="M773" s="1941"/>
    </row>
    <row r="774" spans="1:13">
      <c r="A774" s="1901"/>
      <c r="B774" s="1755"/>
      <c r="C774" s="1867" t="s">
        <v>506</v>
      </c>
      <c r="D774" s="1868"/>
      <c r="E774" s="1860"/>
      <c r="F774" s="1860"/>
      <c r="G774" s="1943"/>
      <c r="H774" s="1861"/>
      <c r="I774" s="1944"/>
      <c r="J774" s="1939"/>
      <c r="K774" s="1864"/>
      <c r="L774" s="1940"/>
      <c r="M774" s="1941"/>
    </row>
    <row r="775" spans="1:13">
      <c r="A775" s="1901"/>
      <c r="B775" s="1755" t="s">
        <v>2919</v>
      </c>
      <c r="C775" s="1867" t="s">
        <v>502</v>
      </c>
      <c r="D775" s="1868"/>
      <c r="E775" s="1942">
        <v>41</v>
      </c>
      <c r="F775" s="1806" t="s">
        <v>37</v>
      </c>
      <c r="G775" s="1953">
        <v>765</v>
      </c>
      <c r="H775" s="1882">
        <f>E775*G775</f>
        <v>31365</v>
      </c>
      <c r="I775" s="1951">
        <v>242</v>
      </c>
      <c r="J775" s="1939">
        <f t="shared" ref="J775" si="464">E775*I775</f>
        <v>9922</v>
      </c>
      <c r="K775" s="1864">
        <f t="shared" ref="K775" si="465">H775+J775</f>
        <v>41287</v>
      </c>
      <c r="L775" s="1940"/>
      <c r="M775" s="1941"/>
    </row>
    <row r="776" spans="1:13">
      <c r="A776" s="1901"/>
      <c r="B776" s="1755"/>
      <c r="C776" s="1867" t="s">
        <v>506</v>
      </c>
      <c r="D776" s="1868"/>
      <c r="E776" s="1860"/>
      <c r="F776" s="1860"/>
      <c r="G776" s="1943"/>
      <c r="H776" s="1861"/>
      <c r="I776" s="1944"/>
      <c r="J776" s="1939"/>
      <c r="K776" s="1864"/>
      <c r="L776" s="1940"/>
      <c r="M776" s="1941"/>
    </row>
    <row r="777" spans="1:13">
      <c r="A777" s="1901"/>
      <c r="B777" s="1755" t="s">
        <v>507</v>
      </c>
      <c r="C777" s="1867" t="s">
        <v>508</v>
      </c>
      <c r="D777" s="1868"/>
      <c r="E777" s="1942">
        <v>0</v>
      </c>
      <c r="F777" s="1806" t="s">
        <v>37</v>
      </c>
      <c r="G777" s="1936">
        <v>0</v>
      </c>
      <c r="H777" s="1861">
        <f t="shared" ref="H777:H778" si="466">E777*G777</f>
        <v>0</v>
      </c>
      <c r="I777" s="1938">
        <v>0</v>
      </c>
      <c r="J777" s="1939">
        <f t="shared" ref="J777:J778" si="467">E777*I777</f>
        <v>0</v>
      </c>
      <c r="K777" s="1864">
        <f t="shared" ref="K777:K778" si="468">H777+J777</f>
        <v>0</v>
      </c>
      <c r="L777" s="1940"/>
      <c r="M777" s="1941"/>
    </row>
    <row r="778" spans="1:13">
      <c r="A778" s="1901"/>
      <c r="B778" s="1755" t="s">
        <v>510</v>
      </c>
      <c r="C778" s="1755" t="s">
        <v>2802</v>
      </c>
      <c r="D778" s="1755"/>
      <c r="E778" s="1942">
        <v>1545</v>
      </c>
      <c r="F778" s="1806" t="s">
        <v>37</v>
      </c>
      <c r="G778" s="1936">
        <v>1296</v>
      </c>
      <c r="H778" s="1861">
        <f t="shared" si="466"/>
        <v>2002320</v>
      </c>
      <c r="I778" s="1938">
        <v>1600</v>
      </c>
      <c r="J778" s="1939">
        <f t="shared" si="467"/>
        <v>2472000</v>
      </c>
      <c r="K778" s="1864">
        <f t="shared" si="468"/>
        <v>4474320</v>
      </c>
      <c r="L778" s="1940"/>
      <c r="M778" s="1941"/>
    </row>
    <row r="779" spans="1:13">
      <c r="A779" s="1901"/>
      <c r="B779" s="1755"/>
      <c r="C779" s="1755" t="s">
        <v>512</v>
      </c>
      <c r="D779" s="1755"/>
      <c r="E779" s="1860"/>
      <c r="F779" s="1860"/>
      <c r="G779" s="1936"/>
      <c r="H779" s="1937"/>
      <c r="I779" s="1938"/>
      <c r="J779" s="1939"/>
      <c r="K779" s="1864"/>
      <c r="L779" s="1940"/>
      <c r="M779" s="1941"/>
    </row>
    <row r="780" spans="1:13">
      <c r="A780" s="1901"/>
      <c r="B780" s="1755" t="s">
        <v>513</v>
      </c>
      <c r="C780" s="1867" t="s">
        <v>514</v>
      </c>
      <c r="D780" s="1868"/>
      <c r="E780" s="1942">
        <v>0</v>
      </c>
      <c r="F780" s="1806" t="s">
        <v>37</v>
      </c>
      <c r="G780" s="1936">
        <v>1090</v>
      </c>
      <c r="H780" s="1861">
        <f t="shared" ref="H780:H781" si="469">E780*G780</f>
        <v>0</v>
      </c>
      <c r="I780" s="1938">
        <v>900</v>
      </c>
      <c r="J780" s="1939">
        <f t="shared" ref="J780:J781" si="470">E780*I780</f>
        <v>0</v>
      </c>
      <c r="K780" s="1864">
        <f t="shared" ref="K780:K781" si="471">H780+J780</f>
        <v>0</v>
      </c>
      <c r="L780" s="1940"/>
      <c r="M780" s="1941"/>
    </row>
    <row r="781" spans="1:13">
      <c r="A781" s="1901"/>
      <c r="B781" s="1755" t="s">
        <v>515</v>
      </c>
      <c r="C781" s="1867" t="s">
        <v>2905</v>
      </c>
      <c r="D781" s="1868"/>
      <c r="E781" s="1942">
        <v>0</v>
      </c>
      <c r="F781" s="1806" t="s">
        <v>37</v>
      </c>
      <c r="G781" s="1936">
        <v>1600</v>
      </c>
      <c r="H781" s="1861">
        <f t="shared" si="469"/>
        <v>0</v>
      </c>
      <c r="I781" s="1938">
        <v>500</v>
      </c>
      <c r="J781" s="1939">
        <f t="shared" si="470"/>
        <v>0</v>
      </c>
      <c r="K781" s="1864">
        <f t="shared" si="471"/>
        <v>0</v>
      </c>
      <c r="L781" s="1940"/>
      <c r="M781" s="1941"/>
    </row>
    <row r="782" spans="1:13">
      <c r="A782" s="1901"/>
      <c r="B782" s="1755"/>
      <c r="C782" s="1867" t="s">
        <v>517</v>
      </c>
      <c r="D782" s="1868"/>
      <c r="E782" s="1942"/>
      <c r="F782" s="1806"/>
      <c r="G782" s="1936"/>
      <c r="H782" s="1937"/>
      <c r="I782" s="1938"/>
      <c r="J782" s="1939"/>
      <c r="K782" s="1864"/>
      <c r="L782" s="1940"/>
      <c r="M782" s="1941"/>
    </row>
    <row r="783" spans="1:13">
      <c r="A783" s="1901"/>
      <c r="B783" s="1755" t="s">
        <v>518</v>
      </c>
      <c r="C783" s="1867" t="s">
        <v>519</v>
      </c>
      <c r="D783" s="1868"/>
      <c r="E783" s="1942">
        <v>30</v>
      </c>
      <c r="F783" s="1806" t="s">
        <v>37</v>
      </c>
      <c r="G783" s="1936">
        <v>2540</v>
      </c>
      <c r="H783" s="1861">
        <f t="shared" ref="H783" si="472">E783*G783</f>
        <v>76200</v>
      </c>
      <c r="I783" s="1938">
        <v>700</v>
      </c>
      <c r="J783" s="1939">
        <f t="shared" ref="J783" si="473">E783*I783</f>
        <v>21000</v>
      </c>
      <c r="K783" s="1864">
        <f t="shared" ref="K783" si="474">H783+J783</f>
        <v>97200</v>
      </c>
      <c r="L783" s="1940"/>
      <c r="M783" s="1941"/>
    </row>
    <row r="784" spans="1:13">
      <c r="A784" s="1901"/>
      <c r="B784" s="1755"/>
      <c r="C784" s="1867" t="s">
        <v>520</v>
      </c>
      <c r="D784" s="1868"/>
      <c r="E784" s="1942"/>
      <c r="F784" s="1806"/>
      <c r="G784" s="1936"/>
      <c r="H784" s="1937"/>
      <c r="I784" s="1938"/>
      <c r="J784" s="1939"/>
      <c r="K784" s="1864"/>
      <c r="L784" s="1940"/>
      <c r="M784" s="1941"/>
    </row>
    <row r="785" spans="1:14">
      <c r="A785" s="1901"/>
      <c r="B785" s="1755" t="s">
        <v>521</v>
      </c>
      <c r="C785" s="1867" t="s">
        <v>522</v>
      </c>
      <c r="D785" s="1868"/>
      <c r="E785" s="1942">
        <v>0</v>
      </c>
      <c r="F785" s="1806" t="s">
        <v>37</v>
      </c>
      <c r="G785" s="1943">
        <v>15000</v>
      </c>
      <c r="H785" s="1861">
        <f t="shared" ref="H785:H788" si="475">E785*G785</f>
        <v>0</v>
      </c>
      <c r="I785" s="1944">
        <v>500</v>
      </c>
      <c r="J785" s="1939">
        <f t="shared" ref="J785:J788" si="476">E785*I785</f>
        <v>0</v>
      </c>
      <c r="K785" s="1864">
        <f t="shared" ref="K785:K788" si="477">H785+J785</f>
        <v>0</v>
      </c>
      <c r="L785" s="1865"/>
      <c r="M785" s="1866"/>
    </row>
    <row r="786" spans="1:14">
      <c r="A786" s="1901"/>
      <c r="B786" s="1755" t="s">
        <v>523</v>
      </c>
      <c r="C786" s="1867" t="s">
        <v>524</v>
      </c>
      <c r="D786" s="1868"/>
      <c r="E786" s="1942">
        <v>299</v>
      </c>
      <c r="F786" s="1806" t="s">
        <v>37</v>
      </c>
      <c r="G786" s="1936">
        <v>88</v>
      </c>
      <c r="H786" s="1861">
        <f t="shared" si="475"/>
        <v>26312</v>
      </c>
      <c r="I786" s="1938">
        <v>82</v>
      </c>
      <c r="J786" s="1939">
        <f t="shared" si="476"/>
        <v>24518</v>
      </c>
      <c r="K786" s="1864">
        <f t="shared" si="477"/>
        <v>50830</v>
      </c>
      <c r="L786" s="1940" t="s">
        <v>2883</v>
      </c>
      <c r="M786" s="1941"/>
    </row>
    <row r="787" spans="1:14">
      <c r="A787" s="1901"/>
      <c r="B787" s="1755"/>
      <c r="C787" s="1867"/>
      <c r="D787" s="1868"/>
      <c r="E787" s="1942"/>
      <c r="F787" s="1806"/>
      <c r="G787" s="1936"/>
      <c r="H787" s="1861"/>
      <c r="I787" s="1938"/>
      <c r="J787" s="1939"/>
      <c r="K787" s="1864"/>
      <c r="L787" s="1940"/>
      <c r="M787" s="1941"/>
    </row>
    <row r="788" spans="1:14">
      <c r="A788" s="1901"/>
      <c r="B788" s="1755" t="s">
        <v>525</v>
      </c>
      <c r="C788" s="1867" t="s">
        <v>526</v>
      </c>
      <c r="D788" s="1868"/>
      <c r="E788" s="1942">
        <v>241</v>
      </c>
      <c r="F788" s="1806" t="s">
        <v>37</v>
      </c>
      <c r="G788" s="1936">
        <v>1955</v>
      </c>
      <c r="H788" s="1861">
        <f t="shared" si="475"/>
        <v>471155</v>
      </c>
      <c r="I788" s="1938">
        <v>1700</v>
      </c>
      <c r="J788" s="1939">
        <f t="shared" si="476"/>
        <v>409700</v>
      </c>
      <c r="K788" s="1864">
        <f t="shared" si="477"/>
        <v>880855</v>
      </c>
      <c r="L788" s="1940"/>
      <c r="M788" s="1941"/>
    </row>
    <row r="789" spans="1:14">
      <c r="A789" s="1901"/>
      <c r="B789" s="1755"/>
      <c r="C789" s="1867" t="s">
        <v>2804</v>
      </c>
      <c r="D789" s="1868"/>
      <c r="E789" s="1942"/>
      <c r="F789" s="1806"/>
      <c r="G789" s="1936"/>
      <c r="H789" s="1937"/>
      <c r="I789" s="1938"/>
      <c r="J789" s="1939"/>
      <c r="K789" s="1864"/>
      <c r="L789" s="1940"/>
      <c r="M789" s="1941"/>
    </row>
    <row r="790" spans="1:14">
      <c r="A790" s="1901"/>
      <c r="B790" s="1755"/>
      <c r="C790" s="1867" t="s">
        <v>527</v>
      </c>
      <c r="D790" s="1868"/>
      <c r="E790" s="1942"/>
      <c r="F790" s="1806"/>
      <c r="G790" s="1943">
        <v>165</v>
      </c>
      <c r="H790" s="1861">
        <f t="shared" ref="H790:H791" si="478">E790*G790</f>
        <v>0</v>
      </c>
      <c r="I790" s="1944">
        <v>25</v>
      </c>
      <c r="J790" s="1939">
        <f t="shared" ref="J790:J791" si="479">E790*I790</f>
        <v>0</v>
      </c>
      <c r="K790" s="1864">
        <f t="shared" ref="K790:K791" si="480">H790+J790</f>
        <v>0</v>
      </c>
      <c r="L790" s="1940"/>
      <c r="M790" s="1941"/>
    </row>
    <row r="791" spans="1:14">
      <c r="A791" s="1901"/>
      <c r="B791" s="1755" t="s">
        <v>528</v>
      </c>
      <c r="C791" s="1867" t="s">
        <v>526</v>
      </c>
      <c r="D791" s="1868"/>
      <c r="E791" s="1942">
        <v>0</v>
      </c>
      <c r="F791" s="1806" t="s">
        <v>37</v>
      </c>
      <c r="G791" s="1936">
        <v>1296</v>
      </c>
      <c r="H791" s="1861">
        <f t="shared" si="478"/>
        <v>0</v>
      </c>
      <c r="I791" s="1938">
        <v>1600</v>
      </c>
      <c r="J791" s="1939">
        <f t="shared" si="479"/>
        <v>0</v>
      </c>
      <c r="K791" s="1864">
        <f t="shared" si="480"/>
        <v>0</v>
      </c>
      <c r="L791" s="1940"/>
      <c r="M791" s="1941"/>
    </row>
    <row r="792" spans="1:14">
      <c r="A792" s="1901"/>
      <c r="B792" s="1755"/>
      <c r="C792" s="1867" t="s">
        <v>2804</v>
      </c>
      <c r="D792" s="1868"/>
      <c r="E792" s="1942"/>
      <c r="F792" s="1806"/>
      <c r="G792" s="1936"/>
      <c r="H792" s="1937"/>
      <c r="I792" s="1938"/>
      <c r="J792" s="1939"/>
      <c r="K792" s="1864"/>
      <c r="L792" s="1940"/>
      <c r="M792" s="1941"/>
    </row>
    <row r="793" spans="1:14">
      <c r="A793" s="1901"/>
      <c r="B793" s="1755"/>
      <c r="C793" s="1867" t="s">
        <v>527</v>
      </c>
      <c r="D793" s="1868"/>
      <c r="E793" s="1942"/>
      <c r="F793" s="1806"/>
      <c r="G793" s="1943">
        <v>165</v>
      </c>
      <c r="H793" s="1861">
        <f t="shared" ref="H793:H794" si="481">E793*G793</f>
        <v>0</v>
      </c>
      <c r="I793" s="1944">
        <v>25</v>
      </c>
      <c r="J793" s="1939">
        <f t="shared" ref="J793:J794" si="482">E793*I793</f>
        <v>0</v>
      </c>
      <c r="K793" s="1864">
        <f t="shared" ref="K793:K794" si="483">H793+J793</f>
        <v>0</v>
      </c>
      <c r="L793" s="1940"/>
      <c r="M793" s="1941"/>
    </row>
    <row r="794" spans="1:14">
      <c r="A794" s="1901"/>
      <c r="B794" s="1755" t="s">
        <v>529</v>
      </c>
      <c r="C794" s="1867" t="s">
        <v>526</v>
      </c>
      <c r="D794" s="1868"/>
      <c r="E794" s="1942">
        <v>106</v>
      </c>
      <c r="F794" s="1806" t="s">
        <v>37</v>
      </c>
      <c r="G794" s="1936">
        <v>5900</v>
      </c>
      <c r="H794" s="1861">
        <f t="shared" si="481"/>
        <v>625400</v>
      </c>
      <c r="I794" s="1938">
        <v>1200</v>
      </c>
      <c r="J794" s="1939">
        <f t="shared" si="482"/>
        <v>127200</v>
      </c>
      <c r="K794" s="1864">
        <f t="shared" si="483"/>
        <v>752600</v>
      </c>
      <c r="L794" s="1940"/>
      <c r="M794" s="1941"/>
    </row>
    <row r="795" spans="1:14">
      <c r="A795" s="1901"/>
      <c r="B795" s="1755"/>
      <c r="C795" s="1867" t="s">
        <v>2804</v>
      </c>
      <c r="D795" s="1868"/>
      <c r="E795" s="1942"/>
      <c r="F795" s="1806"/>
      <c r="G795" s="1936"/>
      <c r="H795" s="1937"/>
      <c r="I795" s="1938"/>
      <c r="J795" s="1939"/>
      <c r="K795" s="1864"/>
      <c r="L795" s="1940"/>
      <c r="M795" s="1941"/>
    </row>
    <row r="796" spans="1:14">
      <c r="A796" s="1901"/>
      <c r="B796" s="1755" t="s">
        <v>530</v>
      </c>
      <c r="C796" s="1867" t="s">
        <v>526</v>
      </c>
      <c r="D796" s="1868"/>
      <c r="E796" s="1942">
        <v>0</v>
      </c>
      <c r="F796" s="1806" t="s">
        <v>37</v>
      </c>
      <c r="G796" s="1936">
        <v>6000</v>
      </c>
      <c r="H796" s="1861">
        <f t="shared" ref="H796" si="484">E796*G796</f>
        <v>0</v>
      </c>
      <c r="I796" s="1938">
        <v>1550</v>
      </c>
      <c r="J796" s="1939">
        <f t="shared" ref="J796" si="485">E796*I796</f>
        <v>0</v>
      </c>
      <c r="K796" s="1864">
        <f t="shared" ref="K796" si="486">H796+J796</f>
        <v>0</v>
      </c>
      <c r="L796" s="1940"/>
      <c r="M796" s="1941"/>
    </row>
    <row r="797" spans="1:14">
      <c r="A797" s="1901"/>
      <c r="B797" s="1755"/>
      <c r="C797" s="1867" t="s">
        <v>2805</v>
      </c>
      <c r="D797" s="1868"/>
      <c r="E797" s="1942"/>
      <c r="F797" s="1806"/>
      <c r="G797" s="1936"/>
      <c r="H797" s="1937"/>
      <c r="I797" s="1938"/>
      <c r="J797" s="1939"/>
      <c r="K797" s="1864"/>
      <c r="L797" s="1940"/>
      <c r="M797" s="1941"/>
    </row>
    <row r="798" spans="1:14">
      <c r="A798" s="1901"/>
      <c r="B798" s="1755" t="s">
        <v>531</v>
      </c>
      <c r="C798" s="1867" t="s">
        <v>532</v>
      </c>
      <c r="D798" s="1868"/>
      <c r="E798" s="1942">
        <v>0</v>
      </c>
      <c r="F798" s="1806" t="s">
        <v>37</v>
      </c>
      <c r="G798" s="2297">
        <f>13+69</f>
        <v>82</v>
      </c>
      <c r="H798" s="1861">
        <f t="shared" ref="H798:H799" si="487">E798*G798</f>
        <v>0</v>
      </c>
      <c r="I798" s="2301">
        <f>30+28</f>
        <v>58</v>
      </c>
      <c r="J798" s="1939">
        <f t="shared" ref="J798:J799" si="488">E798*I798</f>
        <v>0</v>
      </c>
      <c r="K798" s="1864">
        <f t="shared" ref="K798:K799" si="489">H798+J798</f>
        <v>0</v>
      </c>
      <c r="L798" s="2299"/>
      <c r="M798" s="2300"/>
    </row>
    <row r="799" spans="1:14">
      <c r="A799" s="1901"/>
      <c r="B799" s="1755" t="s">
        <v>533</v>
      </c>
      <c r="C799" s="1867" t="s">
        <v>534</v>
      </c>
      <c r="D799" s="1868"/>
      <c r="E799" s="1942">
        <v>0</v>
      </c>
      <c r="F799" s="1806" t="s">
        <v>37</v>
      </c>
      <c r="G799" s="1936">
        <v>0</v>
      </c>
      <c r="H799" s="1861">
        <f t="shared" si="487"/>
        <v>0</v>
      </c>
      <c r="I799" s="1938">
        <v>0</v>
      </c>
      <c r="J799" s="1939">
        <f t="shared" si="488"/>
        <v>0</v>
      </c>
      <c r="K799" s="1864">
        <f t="shared" si="489"/>
        <v>0</v>
      </c>
      <c r="L799" s="1940"/>
      <c r="M799" s="1941"/>
    </row>
    <row r="800" spans="1:14">
      <c r="A800" s="1901"/>
      <c r="B800" s="1755"/>
      <c r="C800" s="1755" t="s">
        <v>535</v>
      </c>
      <c r="D800" s="1868"/>
      <c r="E800" s="1942"/>
      <c r="F800" s="1806"/>
      <c r="G800" s="1936"/>
      <c r="H800" s="1937"/>
      <c r="I800" s="1938"/>
      <c r="J800" s="1939"/>
      <c r="K800" s="1864"/>
      <c r="L800" s="1940"/>
      <c r="M800" s="1941"/>
      <c r="N800" s="1797">
        <f>SUM(K725:K800)</f>
        <v>10267979.620000001</v>
      </c>
    </row>
    <row r="801" spans="1:24" ht="24" customHeight="1">
      <c r="A801" s="1933" t="s">
        <v>546</v>
      </c>
      <c r="B801" s="1908" t="s">
        <v>547</v>
      </c>
      <c r="C801" s="1755"/>
      <c r="D801" s="1961"/>
      <c r="E801" s="1960"/>
      <c r="F801" s="1806"/>
      <c r="G801" s="1789"/>
      <c r="H801" s="1854"/>
      <c r="I801" s="1855"/>
      <c r="J801" s="1856"/>
      <c r="K801" s="1857"/>
      <c r="L801" s="1858"/>
      <c r="M801" s="1809"/>
      <c r="N801" s="1837"/>
      <c r="O801" s="1837"/>
      <c r="P801" s="1837"/>
      <c r="Q801" s="1837"/>
      <c r="R801" s="1837"/>
      <c r="S801" s="1837"/>
      <c r="T801" s="1837"/>
      <c r="U801" s="1837"/>
      <c r="V801" s="1837"/>
      <c r="W801" s="1837"/>
      <c r="X801" s="1837"/>
    </row>
    <row r="802" spans="1:24">
      <c r="A802" s="1901"/>
      <c r="B802" s="1783"/>
      <c r="C802" s="1867" t="s">
        <v>538</v>
      </c>
      <c r="D802" s="1859"/>
      <c r="E802" s="1860">
        <v>2030</v>
      </c>
      <c r="F802" s="1806" t="s">
        <v>37</v>
      </c>
      <c r="G802" s="1936">
        <v>281</v>
      </c>
      <c r="H802" s="1937">
        <f>E802*G802</f>
        <v>570430</v>
      </c>
      <c r="I802" s="1938">
        <v>80</v>
      </c>
      <c r="J802" s="1939">
        <f>E802*I802</f>
        <v>162400</v>
      </c>
      <c r="K802" s="1864">
        <f>H802+J802</f>
        <v>732830</v>
      </c>
      <c r="L802" s="1940"/>
      <c r="M802" s="1941"/>
    </row>
    <row r="803" spans="1:24">
      <c r="A803" s="1901"/>
      <c r="B803" s="1783"/>
      <c r="C803" s="1867" t="s">
        <v>539</v>
      </c>
      <c r="D803" s="1859"/>
      <c r="E803" s="1860">
        <f>+E851</f>
        <v>0</v>
      </c>
      <c r="F803" s="1806" t="s">
        <v>37</v>
      </c>
      <c r="G803" s="1936">
        <v>712</v>
      </c>
      <c r="H803" s="1937">
        <f t="shared" ref="H803:H819" si="490">E803*G803</f>
        <v>0</v>
      </c>
      <c r="I803" s="1938">
        <v>98</v>
      </c>
      <c r="J803" s="1939">
        <f t="shared" ref="J803:J819" si="491">E803*I803</f>
        <v>0</v>
      </c>
      <c r="K803" s="1864">
        <f t="shared" ref="K803:K819" si="492">H803+J803</f>
        <v>0</v>
      </c>
      <c r="L803" s="1940"/>
      <c r="M803" s="1941"/>
    </row>
    <row r="804" spans="1:24">
      <c r="A804" s="1901"/>
      <c r="B804" s="1783"/>
      <c r="C804" s="1867" t="s">
        <v>470</v>
      </c>
      <c r="D804" s="1859"/>
      <c r="E804" s="1860">
        <f>+E802*1.33</f>
        <v>2699.9</v>
      </c>
      <c r="F804" s="1806" t="s">
        <v>438</v>
      </c>
      <c r="G804" s="1936">
        <v>119</v>
      </c>
      <c r="H804" s="1937">
        <f t="shared" si="490"/>
        <v>321288.10000000003</v>
      </c>
      <c r="I804" s="1938">
        <v>44</v>
      </c>
      <c r="J804" s="1939">
        <f t="shared" si="491"/>
        <v>118795.6</v>
      </c>
      <c r="K804" s="1864">
        <f t="shared" si="492"/>
        <v>440083.70000000007</v>
      </c>
      <c r="L804" s="1940" t="s">
        <v>2878</v>
      </c>
      <c r="M804" s="1941"/>
    </row>
    <row r="805" spans="1:24">
      <c r="A805" s="1901"/>
      <c r="B805" s="1783"/>
      <c r="C805" s="1867" t="s">
        <v>471</v>
      </c>
      <c r="D805" s="1859"/>
      <c r="E805" s="1860">
        <f>+E803*1.33</f>
        <v>0</v>
      </c>
      <c r="F805" s="1806" t="s">
        <v>438</v>
      </c>
      <c r="G805" s="1936">
        <v>208</v>
      </c>
      <c r="H805" s="1937">
        <f t="shared" si="490"/>
        <v>0</v>
      </c>
      <c r="I805" s="1938">
        <v>78</v>
      </c>
      <c r="J805" s="1939">
        <f t="shared" si="491"/>
        <v>0</v>
      </c>
      <c r="K805" s="1864">
        <f t="shared" si="492"/>
        <v>0</v>
      </c>
      <c r="L805" s="1940" t="s">
        <v>2878</v>
      </c>
      <c r="M805" s="1941"/>
    </row>
    <row r="806" spans="1:24">
      <c r="A806" s="1901"/>
      <c r="B806" s="1783"/>
      <c r="C806" s="1867" t="s">
        <v>472</v>
      </c>
      <c r="D806" s="1859"/>
      <c r="E806" s="1860">
        <v>694</v>
      </c>
      <c r="F806" s="1806" t="s">
        <v>37</v>
      </c>
      <c r="G806" s="1936">
        <v>88</v>
      </c>
      <c r="H806" s="1937">
        <f t="shared" si="490"/>
        <v>61072</v>
      </c>
      <c r="I806" s="1938">
        <v>82</v>
      </c>
      <c r="J806" s="1939">
        <f t="shared" si="491"/>
        <v>56908</v>
      </c>
      <c r="K806" s="1864">
        <f t="shared" si="492"/>
        <v>117980</v>
      </c>
      <c r="L806" s="1940" t="s">
        <v>2885</v>
      </c>
      <c r="M806" s="1941"/>
    </row>
    <row r="807" spans="1:24">
      <c r="A807" s="1901"/>
      <c r="B807" s="1783"/>
      <c r="C807" s="1867" t="s">
        <v>540</v>
      </c>
      <c r="D807" s="1859"/>
      <c r="E807" s="1860">
        <v>2106</v>
      </c>
      <c r="F807" s="1806" t="s">
        <v>37</v>
      </c>
      <c r="G807" s="1936">
        <v>88</v>
      </c>
      <c r="H807" s="1937">
        <f t="shared" si="490"/>
        <v>185328</v>
      </c>
      <c r="I807" s="1938">
        <v>82</v>
      </c>
      <c r="J807" s="1939">
        <f t="shared" si="491"/>
        <v>172692</v>
      </c>
      <c r="K807" s="1864">
        <f t="shared" si="492"/>
        <v>358020</v>
      </c>
      <c r="L807" s="1940"/>
      <c r="M807" s="1941"/>
    </row>
    <row r="808" spans="1:24">
      <c r="A808" s="1901"/>
      <c r="B808" s="1783"/>
      <c r="C808" s="1867" t="s">
        <v>541</v>
      </c>
      <c r="D808" s="1859"/>
      <c r="E808" s="1860">
        <v>698</v>
      </c>
      <c r="F808" s="1806" t="s">
        <v>37</v>
      </c>
      <c r="G808" s="1936">
        <v>88</v>
      </c>
      <c r="H808" s="1937">
        <f t="shared" si="490"/>
        <v>61424</v>
      </c>
      <c r="I808" s="1938">
        <v>95</v>
      </c>
      <c r="J808" s="1939">
        <f t="shared" si="491"/>
        <v>66310</v>
      </c>
      <c r="K808" s="1864">
        <f t="shared" si="492"/>
        <v>127734</v>
      </c>
      <c r="L808" s="1940"/>
      <c r="M808" s="1941"/>
    </row>
    <row r="809" spans="1:24">
      <c r="A809" s="1901"/>
      <c r="B809" s="1755" t="s">
        <v>475</v>
      </c>
      <c r="C809" s="1867" t="s">
        <v>476</v>
      </c>
      <c r="D809" s="1868"/>
      <c r="E809" s="1962">
        <v>0</v>
      </c>
      <c r="F809" s="1806" t="s">
        <v>37</v>
      </c>
      <c r="G809" s="1936">
        <v>88</v>
      </c>
      <c r="H809" s="1937">
        <f t="shared" si="490"/>
        <v>0</v>
      </c>
      <c r="I809" s="1938">
        <v>95</v>
      </c>
      <c r="J809" s="1939">
        <f t="shared" si="491"/>
        <v>0</v>
      </c>
      <c r="K809" s="1864">
        <f t="shared" si="492"/>
        <v>0</v>
      </c>
      <c r="L809" s="1940" t="s">
        <v>2880</v>
      </c>
      <c r="M809" s="1941"/>
    </row>
    <row r="810" spans="1:24">
      <c r="A810" s="1901"/>
      <c r="B810" s="1755"/>
      <c r="C810" s="1867" t="s">
        <v>477</v>
      </c>
      <c r="D810" s="1868"/>
      <c r="E810" s="1962">
        <f>E809</f>
        <v>0</v>
      </c>
      <c r="F810" s="1806" t="s">
        <v>37</v>
      </c>
      <c r="G810" s="2297">
        <v>69</v>
      </c>
      <c r="H810" s="1937">
        <f t="shared" si="490"/>
        <v>0</v>
      </c>
      <c r="I810" s="2298">
        <v>28</v>
      </c>
      <c r="J810" s="1939">
        <f t="shared" si="491"/>
        <v>0</v>
      </c>
      <c r="K810" s="1864">
        <f t="shared" si="492"/>
        <v>0</v>
      </c>
      <c r="L810" s="2299"/>
      <c r="M810" s="2300"/>
    </row>
    <row r="811" spans="1:24">
      <c r="A811" s="1901"/>
      <c r="B811" s="1755" t="s">
        <v>478</v>
      </c>
      <c r="C811" s="1867" t="s">
        <v>479</v>
      </c>
      <c r="D811" s="1868"/>
      <c r="E811" s="1962">
        <v>396</v>
      </c>
      <c r="F811" s="1806" t="s">
        <v>37</v>
      </c>
      <c r="G811" s="1936">
        <v>88</v>
      </c>
      <c r="H811" s="1937">
        <f t="shared" si="490"/>
        <v>34848</v>
      </c>
      <c r="I811" s="1938">
        <v>82</v>
      </c>
      <c r="J811" s="1939">
        <f t="shared" si="491"/>
        <v>32472</v>
      </c>
      <c r="K811" s="1864">
        <f t="shared" si="492"/>
        <v>67320</v>
      </c>
      <c r="L811" s="1940"/>
      <c r="M811" s="1941"/>
    </row>
    <row r="812" spans="1:24">
      <c r="A812" s="1901"/>
      <c r="B812" s="1755" t="s">
        <v>480</v>
      </c>
      <c r="C812" s="1867" t="s">
        <v>476</v>
      </c>
      <c r="D812" s="1868"/>
      <c r="E812" s="1962">
        <v>3307</v>
      </c>
      <c r="F812" s="1806" t="s">
        <v>37</v>
      </c>
      <c r="G812" s="1936">
        <v>88</v>
      </c>
      <c r="H812" s="1937">
        <f t="shared" si="490"/>
        <v>291016</v>
      </c>
      <c r="I812" s="1938">
        <v>82</v>
      </c>
      <c r="J812" s="1939">
        <f t="shared" si="491"/>
        <v>271174</v>
      </c>
      <c r="K812" s="1864">
        <f t="shared" si="492"/>
        <v>562190</v>
      </c>
      <c r="L812" s="1940" t="s">
        <v>2880</v>
      </c>
      <c r="M812" s="1941"/>
    </row>
    <row r="813" spans="1:24">
      <c r="A813" s="1901"/>
      <c r="B813" s="1755"/>
      <c r="C813" s="1867" t="s">
        <v>481</v>
      </c>
      <c r="D813" s="1868"/>
      <c r="E813" s="1962">
        <f>E812</f>
        <v>3307</v>
      </c>
      <c r="F813" s="1806" t="s">
        <v>37</v>
      </c>
      <c r="G813" s="2297">
        <v>69</v>
      </c>
      <c r="H813" s="1937">
        <f t="shared" si="490"/>
        <v>228183</v>
      </c>
      <c r="I813" s="2298">
        <v>28</v>
      </c>
      <c r="J813" s="1939">
        <f t="shared" si="491"/>
        <v>92596</v>
      </c>
      <c r="K813" s="1864">
        <f t="shared" si="492"/>
        <v>320779</v>
      </c>
      <c r="L813" s="2299"/>
      <c r="M813" s="2300"/>
    </row>
    <row r="814" spans="1:24">
      <c r="A814" s="1901"/>
      <c r="B814" s="1755" t="s">
        <v>2787</v>
      </c>
      <c r="C814" s="1867" t="s">
        <v>2788</v>
      </c>
      <c r="D814" s="1868"/>
      <c r="E814" s="1942">
        <v>0</v>
      </c>
      <c r="F814" s="1806" t="s">
        <v>37</v>
      </c>
      <c r="G814" s="1936">
        <v>103</v>
      </c>
      <c r="H814" s="1937">
        <f t="shared" si="490"/>
        <v>0</v>
      </c>
      <c r="I814" s="1938">
        <v>115</v>
      </c>
      <c r="J814" s="1939">
        <f t="shared" si="491"/>
        <v>0</v>
      </c>
      <c r="K814" s="1864">
        <f t="shared" si="492"/>
        <v>0</v>
      </c>
      <c r="L814" s="1940" t="s">
        <v>2880</v>
      </c>
      <c r="M814" s="1941"/>
    </row>
    <row r="815" spans="1:24">
      <c r="A815" s="1901"/>
      <c r="B815" s="1755"/>
      <c r="C815" s="1867" t="s">
        <v>482</v>
      </c>
      <c r="D815" s="1868"/>
      <c r="E815" s="1942">
        <f>E814</f>
        <v>0</v>
      </c>
      <c r="F815" s="1806" t="s">
        <v>37</v>
      </c>
      <c r="G815" s="2297">
        <v>69</v>
      </c>
      <c r="H815" s="1937">
        <f t="shared" si="490"/>
        <v>0</v>
      </c>
      <c r="I815" s="2298">
        <v>28</v>
      </c>
      <c r="J815" s="1939">
        <f t="shared" si="491"/>
        <v>0</v>
      </c>
      <c r="K815" s="1864">
        <f t="shared" si="492"/>
        <v>0</v>
      </c>
      <c r="L815" s="2299"/>
      <c r="M815" s="2300"/>
    </row>
    <row r="816" spans="1:24">
      <c r="A816" s="1901"/>
      <c r="B816" s="1755" t="s">
        <v>483</v>
      </c>
      <c r="C816" s="1867" t="s">
        <v>484</v>
      </c>
      <c r="D816" s="1868"/>
      <c r="E816" s="1942">
        <v>0</v>
      </c>
      <c r="F816" s="1806" t="s">
        <v>37</v>
      </c>
      <c r="G816" s="1943">
        <v>1500</v>
      </c>
      <c r="H816" s="1937">
        <f t="shared" si="490"/>
        <v>0</v>
      </c>
      <c r="I816" s="1944">
        <v>500</v>
      </c>
      <c r="J816" s="1939">
        <f t="shared" si="491"/>
        <v>0</v>
      </c>
      <c r="K816" s="1864">
        <f t="shared" si="492"/>
        <v>0</v>
      </c>
      <c r="L816" s="1865"/>
      <c r="M816" s="1866"/>
    </row>
    <row r="817" spans="1:24">
      <c r="A817" s="1901"/>
      <c r="B817" s="1755"/>
      <c r="C817" s="1867" t="s">
        <v>482</v>
      </c>
      <c r="D817" s="1868"/>
      <c r="E817" s="1942">
        <v>0</v>
      </c>
      <c r="F817" s="1806" t="s">
        <v>37</v>
      </c>
      <c r="G817" s="2297">
        <v>69</v>
      </c>
      <c r="H817" s="1937">
        <f t="shared" si="490"/>
        <v>0</v>
      </c>
      <c r="I817" s="2298">
        <v>28</v>
      </c>
      <c r="J817" s="1939">
        <f t="shared" si="491"/>
        <v>0</v>
      </c>
      <c r="K817" s="1864">
        <f t="shared" si="492"/>
        <v>0</v>
      </c>
      <c r="L817" s="2299"/>
      <c r="M817" s="2300"/>
    </row>
    <row r="818" spans="1:24">
      <c r="A818" s="1901"/>
      <c r="B818" s="1755"/>
      <c r="C818" s="1867"/>
      <c r="D818" s="1868"/>
      <c r="E818" s="1942"/>
      <c r="F818" s="1806"/>
      <c r="G818" s="2297"/>
      <c r="H818" s="1937"/>
      <c r="I818" s="2298"/>
      <c r="J818" s="1939"/>
      <c r="K818" s="1864"/>
      <c r="L818" s="2299"/>
      <c r="M818" s="2300"/>
    </row>
    <row r="819" spans="1:24">
      <c r="A819" s="1901"/>
      <c r="B819" s="1755" t="s">
        <v>485</v>
      </c>
      <c r="C819" s="1867" t="s">
        <v>2789</v>
      </c>
      <c r="D819" s="1868"/>
      <c r="E819" s="1942">
        <v>0</v>
      </c>
      <c r="F819" s="1806" t="s">
        <v>37</v>
      </c>
      <c r="G819" s="1943">
        <v>492</v>
      </c>
      <c r="H819" s="1937">
        <f t="shared" si="490"/>
        <v>0</v>
      </c>
      <c r="I819" s="1944">
        <v>130</v>
      </c>
      <c r="J819" s="1939">
        <f t="shared" si="491"/>
        <v>0</v>
      </c>
      <c r="K819" s="1864">
        <f t="shared" si="492"/>
        <v>0</v>
      </c>
      <c r="L819" s="2299"/>
      <c r="M819" s="2300"/>
    </row>
    <row r="820" spans="1:24">
      <c r="A820" s="1901"/>
      <c r="B820" s="1755"/>
      <c r="C820" s="1867" t="s">
        <v>2790</v>
      </c>
      <c r="D820" s="1868"/>
      <c r="E820" s="1860"/>
      <c r="F820" s="1860"/>
      <c r="G820" s="1943"/>
      <c r="H820" s="1861"/>
      <c r="I820" s="1944"/>
      <c r="J820" s="1939"/>
      <c r="K820" s="1864"/>
      <c r="L820" s="2299"/>
      <c r="M820" s="2300"/>
    </row>
    <row r="821" spans="1:24">
      <c r="A821" s="1901"/>
      <c r="B821" s="1755"/>
      <c r="C821" s="1867" t="s">
        <v>486</v>
      </c>
      <c r="D821" s="1868"/>
      <c r="E821" s="1860"/>
      <c r="F821" s="1860"/>
      <c r="G821" s="1943"/>
      <c r="H821" s="1861"/>
      <c r="I821" s="1944"/>
      <c r="J821" s="1939"/>
      <c r="K821" s="1864"/>
      <c r="L821" s="2299"/>
      <c r="M821" s="2300"/>
    </row>
    <row r="822" spans="1:24">
      <c r="A822" s="1901"/>
      <c r="B822" s="1755" t="s">
        <v>487</v>
      </c>
      <c r="C822" s="1867" t="s">
        <v>2789</v>
      </c>
      <c r="D822" s="1868"/>
      <c r="E822" s="1942">
        <v>0</v>
      </c>
      <c r="F822" s="1806" t="s">
        <v>37</v>
      </c>
      <c r="G822" s="1943">
        <v>256</v>
      </c>
      <c r="H822" s="1861">
        <f>E822*G822</f>
        <v>0</v>
      </c>
      <c r="I822" s="1944">
        <v>100</v>
      </c>
      <c r="J822" s="1939">
        <f>E822*I822</f>
        <v>0</v>
      </c>
      <c r="K822" s="1864">
        <f t="shared" ref="K822" si="493">H822+J822</f>
        <v>0</v>
      </c>
      <c r="L822" s="2299"/>
      <c r="M822" s="2300"/>
    </row>
    <row r="823" spans="1:24">
      <c r="A823" s="1901"/>
      <c r="B823" s="1755"/>
      <c r="C823" s="1867" t="s">
        <v>2791</v>
      </c>
      <c r="D823" s="1868"/>
      <c r="E823" s="1860"/>
      <c r="F823" s="1860"/>
      <c r="G823" s="1943"/>
      <c r="H823" s="1861"/>
      <c r="I823" s="1944"/>
      <c r="J823" s="1939"/>
      <c r="K823" s="1864"/>
      <c r="L823" s="2299"/>
      <c r="M823" s="2300"/>
    </row>
    <row r="824" spans="1:24">
      <c r="A824" s="1901"/>
      <c r="B824" s="1755"/>
      <c r="C824" s="1867" t="s">
        <v>486</v>
      </c>
      <c r="D824" s="1868"/>
      <c r="E824" s="1860"/>
      <c r="F824" s="1860"/>
      <c r="G824" s="1943"/>
      <c r="H824" s="1861"/>
      <c r="I824" s="1944"/>
      <c r="J824" s="1939"/>
      <c r="K824" s="1864"/>
      <c r="L824" s="2299"/>
      <c r="M824" s="2300"/>
    </row>
    <row r="825" spans="1:24">
      <c r="A825" s="1901"/>
      <c r="B825" s="1755" t="s">
        <v>488</v>
      </c>
      <c r="C825" s="1867" t="s">
        <v>2926</v>
      </c>
      <c r="D825" s="1868"/>
      <c r="E825" s="1942">
        <v>0</v>
      </c>
      <c r="F825" s="1806" t="s">
        <v>37</v>
      </c>
      <c r="G825" s="1943">
        <v>350</v>
      </c>
      <c r="H825" s="1861">
        <f>E825*G825</f>
        <v>0</v>
      </c>
      <c r="I825" s="1944">
        <v>100</v>
      </c>
      <c r="J825" s="1939">
        <f>E825*I825</f>
        <v>0</v>
      </c>
      <c r="K825" s="1864">
        <f t="shared" ref="K825" si="494">H825+J825</f>
        <v>0</v>
      </c>
      <c r="L825" s="2299"/>
      <c r="M825" s="2300"/>
    </row>
    <row r="826" spans="1:24">
      <c r="A826" s="1901"/>
      <c r="B826" s="1755"/>
      <c r="C826" s="1867" t="s">
        <v>2793</v>
      </c>
      <c r="D826" s="1868"/>
      <c r="E826" s="1860"/>
      <c r="F826" s="1860"/>
      <c r="G826" s="1943"/>
      <c r="H826" s="1861"/>
      <c r="I826" s="1944"/>
      <c r="J826" s="1939"/>
      <c r="K826" s="1864"/>
      <c r="L826" s="1940"/>
      <c r="M826" s="1941"/>
    </row>
    <row r="827" spans="1:24">
      <c r="A827" s="1901"/>
      <c r="B827" s="1755"/>
      <c r="C827" s="1867" t="s">
        <v>489</v>
      </c>
      <c r="D827" s="1868"/>
      <c r="E827" s="1942">
        <f>E825</f>
        <v>0</v>
      </c>
      <c r="F827" s="1806" t="s">
        <v>37</v>
      </c>
      <c r="G827" s="2297">
        <v>69</v>
      </c>
      <c r="H827" s="1861">
        <f>E827*G827</f>
        <v>0</v>
      </c>
      <c r="I827" s="2298">
        <v>28</v>
      </c>
      <c r="J827" s="1939">
        <f>E827*I827</f>
        <v>0</v>
      </c>
      <c r="K827" s="1864">
        <f t="shared" ref="K827:K831" si="495">H827+J827</f>
        <v>0</v>
      </c>
      <c r="L827" s="2299"/>
      <c r="M827" s="2300"/>
    </row>
    <row r="828" spans="1:24" ht="24" customHeight="1">
      <c r="A828" s="1901"/>
      <c r="B828" s="1945" t="s">
        <v>2901</v>
      </c>
      <c r="C828" s="1867" t="s">
        <v>2902</v>
      </c>
      <c r="D828" s="1868"/>
      <c r="E828" s="1942">
        <v>0</v>
      </c>
      <c r="F828" s="1806" t="s">
        <v>37</v>
      </c>
      <c r="G828" s="1944">
        <v>195</v>
      </c>
      <c r="H828" s="1939">
        <f>E828*G828</f>
        <v>0</v>
      </c>
      <c r="I828" s="1944">
        <v>150</v>
      </c>
      <c r="J828" s="1939">
        <f t="shared" ref="J828" si="496">E828*I828</f>
        <v>0</v>
      </c>
      <c r="K828" s="1864">
        <f t="shared" si="495"/>
        <v>0</v>
      </c>
      <c r="L828" s="2299"/>
      <c r="N828" s="1836"/>
      <c r="O828" s="1837"/>
      <c r="P828" s="1837"/>
      <c r="Q828" s="1837"/>
      <c r="R828" s="1837"/>
      <c r="S828" s="1837"/>
      <c r="T828" s="1837"/>
      <c r="U828" s="1837"/>
      <c r="V828" s="1837"/>
      <c r="W828" s="1837"/>
      <c r="X828" s="1837"/>
    </row>
    <row r="829" spans="1:24" ht="24" customHeight="1">
      <c r="A829" s="1901"/>
      <c r="B829" s="1755"/>
      <c r="C829" s="1867" t="s">
        <v>2903</v>
      </c>
      <c r="D829" s="1868"/>
      <c r="E829" s="1860"/>
      <c r="F829" s="1860"/>
      <c r="G829" s="1944"/>
      <c r="H829" s="1939"/>
      <c r="I829" s="1944"/>
      <c r="J829" s="1939"/>
      <c r="K829" s="1864"/>
      <c r="L829" s="1940"/>
      <c r="M829" s="1946"/>
      <c r="N829" s="1836"/>
      <c r="O829" s="1837"/>
      <c r="P829" s="1837"/>
      <c r="Q829" s="1837"/>
      <c r="R829" s="1837"/>
      <c r="S829" s="1837"/>
      <c r="T829" s="1837"/>
      <c r="U829" s="1837"/>
      <c r="V829" s="1837"/>
      <c r="W829" s="1837"/>
      <c r="X829" s="1837"/>
    </row>
    <row r="830" spans="1:24" ht="24" customHeight="1">
      <c r="A830" s="1901"/>
      <c r="B830" s="1755"/>
      <c r="C830" s="1867" t="s">
        <v>2904</v>
      </c>
      <c r="D830" s="1868"/>
      <c r="E830" s="1942">
        <f>E828</f>
        <v>0</v>
      </c>
      <c r="F830" s="1806" t="s">
        <v>37</v>
      </c>
      <c r="G830" s="2298">
        <v>120</v>
      </c>
      <c r="H830" s="1947">
        <f>SUM(E830*G830)</f>
        <v>0</v>
      </c>
      <c r="I830" s="2298">
        <v>56</v>
      </c>
      <c r="J830" s="1939">
        <f>E830*I830</f>
        <v>0</v>
      </c>
      <c r="K830" s="1864">
        <f>H830+J830</f>
        <v>0</v>
      </c>
      <c r="L830" s="2299"/>
      <c r="M830" s="1946"/>
      <c r="N830" s="1836"/>
      <c r="O830" s="1837"/>
      <c r="P830" s="1837"/>
      <c r="Q830" s="1837"/>
      <c r="R830" s="1837"/>
      <c r="S830" s="1837"/>
      <c r="T830" s="1837"/>
      <c r="U830" s="1837"/>
      <c r="V830" s="1837"/>
      <c r="W830" s="1837"/>
      <c r="X830" s="1837"/>
    </row>
    <row r="831" spans="1:24">
      <c r="A831" s="1901"/>
      <c r="B831" s="1755" t="s">
        <v>490</v>
      </c>
      <c r="C831" s="1867" t="s">
        <v>2789</v>
      </c>
      <c r="D831" s="1868"/>
      <c r="E831" s="1942">
        <v>0</v>
      </c>
      <c r="F831" s="1806" t="s">
        <v>37</v>
      </c>
      <c r="G831" s="1943">
        <v>592</v>
      </c>
      <c r="H831" s="1861">
        <f>E831*G831</f>
        <v>0</v>
      </c>
      <c r="I831" s="1944">
        <v>165</v>
      </c>
      <c r="J831" s="1939">
        <f>E831*I831</f>
        <v>0</v>
      </c>
      <c r="K831" s="1864">
        <f t="shared" si="495"/>
        <v>0</v>
      </c>
      <c r="L831" s="2299"/>
      <c r="M831" s="2300"/>
    </row>
    <row r="832" spans="1:24">
      <c r="A832" s="1901"/>
      <c r="B832" s="1755"/>
      <c r="C832" s="1867" t="s">
        <v>2790</v>
      </c>
      <c r="D832" s="1868"/>
      <c r="E832" s="1860"/>
      <c r="F832" s="1860"/>
      <c r="G832" s="1943"/>
      <c r="H832" s="1861"/>
      <c r="I832" s="1944"/>
      <c r="J832" s="1939"/>
      <c r="K832" s="1864"/>
      <c r="L832" s="1940"/>
      <c r="M832" s="1941"/>
    </row>
    <row r="833" spans="1:13">
      <c r="A833" s="1901"/>
      <c r="B833" s="1755"/>
      <c r="C833" s="1867" t="s">
        <v>2794</v>
      </c>
      <c r="D833" s="1868"/>
      <c r="E833" s="1860"/>
      <c r="F833" s="1860"/>
      <c r="G833" s="1943"/>
      <c r="H833" s="1861"/>
      <c r="I833" s="1944"/>
      <c r="J833" s="1939"/>
      <c r="K833" s="1864"/>
      <c r="L833" s="1940"/>
      <c r="M833" s="1941"/>
    </row>
    <row r="834" spans="1:13">
      <c r="A834" s="1901"/>
      <c r="B834" s="1755" t="s">
        <v>491</v>
      </c>
      <c r="C834" s="1867" t="s">
        <v>2795</v>
      </c>
      <c r="D834" s="1868"/>
      <c r="E834" s="1942">
        <v>0</v>
      </c>
      <c r="F834" s="1806" t="s">
        <v>37</v>
      </c>
      <c r="G834" s="1943"/>
      <c r="H834" s="1861"/>
      <c r="I834" s="1944"/>
      <c r="J834" s="1939"/>
      <c r="K834" s="1864"/>
      <c r="L834" s="2299"/>
      <c r="M834" s="2300"/>
    </row>
    <row r="835" spans="1:13">
      <c r="A835" s="1901"/>
      <c r="B835" s="1755"/>
      <c r="C835" s="1867" t="s">
        <v>2792</v>
      </c>
      <c r="D835" s="1868"/>
      <c r="E835" s="1860"/>
      <c r="F835" s="1860"/>
      <c r="G835" s="1943">
        <v>642</v>
      </c>
      <c r="H835" s="1861">
        <f>E835*G835</f>
        <v>0</v>
      </c>
      <c r="I835" s="1944">
        <v>183</v>
      </c>
      <c r="J835" s="1939">
        <f>E835*I835</f>
        <v>0</v>
      </c>
      <c r="K835" s="1864">
        <f t="shared" ref="K835" si="497">H835+J835</f>
        <v>0</v>
      </c>
      <c r="L835" s="1940"/>
      <c r="M835" s="1941"/>
    </row>
    <row r="836" spans="1:13">
      <c r="A836" s="1901"/>
      <c r="B836" s="1755"/>
      <c r="C836" s="1867" t="s">
        <v>542</v>
      </c>
      <c r="D836" s="1868"/>
      <c r="E836" s="1860"/>
      <c r="F836" s="1860"/>
      <c r="G836" s="1943"/>
      <c r="H836" s="1861"/>
      <c r="I836" s="1944"/>
      <c r="J836" s="1939"/>
      <c r="K836" s="1864"/>
      <c r="L836" s="1940"/>
      <c r="M836" s="1941"/>
    </row>
    <row r="837" spans="1:13">
      <c r="A837" s="1901"/>
      <c r="B837" s="1755"/>
      <c r="C837" s="1867" t="s">
        <v>2796</v>
      </c>
      <c r="D837" s="1868"/>
      <c r="E837" s="1860"/>
      <c r="F837" s="1860"/>
      <c r="G837" s="1943"/>
      <c r="H837" s="1861"/>
      <c r="I837" s="1944"/>
      <c r="J837" s="1939"/>
      <c r="K837" s="1864"/>
      <c r="L837" s="1940"/>
      <c r="M837" s="1941"/>
    </row>
    <row r="838" spans="1:13">
      <c r="A838" s="1901"/>
      <c r="B838" s="1755" t="s">
        <v>492</v>
      </c>
      <c r="C838" s="1867" t="s">
        <v>2797</v>
      </c>
      <c r="D838" s="1868"/>
      <c r="E838" s="1942">
        <v>0</v>
      </c>
      <c r="F838" s="1806" t="s">
        <v>37</v>
      </c>
      <c r="G838" s="1943">
        <v>520</v>
      </c>
      <c r="H838" s="1861">
        <f>E838*G838</f>
        <v>0</v>
      </c>
      <c r="I838" s="1944">
        <v>270</v>
      </c>
      <c r="J838" s="1939">
        <f>E838*I838</f>
        <v>0</v>
      </c>
      <c r="K838" s="1864">
        <f t="shared" ref="K838" si="498">H838+J838</f>
        <v>0</v>
      </c>
      <c r="L838" s="1948"/>
      <c r="M838" s="1949"/>
    </row>
    <row r="839" spans="1:13">
      <c r="A839" s="1901"/>
      <c r="B839" s="1755"/>
      <c r="C839" s="1867" t="s">
        <v>2798</v>
      </c>
      <c r="D839" s="1868"/>
      <c r="E839" s="1860">
        <v>0</v>
      </c>
      <c r="F839" s="1860"/>
      <c r="G839" s="1943"/>
      <c r="H839" s="1861"/>
      <c r="I839" s="1944"/>
      <c r="J839" s="1939"/>
      <c r="K839" s="1864"/>
      <c r="L839" s="1940"/>
      <c r="M839" s="1941"/>
    </row>
    <row r="840" spans="1:13">
      <c r="A840" s="1901"/>
      <c r="B840" s="1755"/>
      <c r="C840" s="1867" t="s">
        <v>493</v>
      </c>
      <c r="D840" s="1868"/>
      <c r="E840" s="1860"/>
      <c r="F840" s="1860"/>
      <c r="G840" s="1943"/>
      <c r="H840" s="1861"/>
      <c r="I840" s="1944"/>
      <c r="J840" s="1939"/>
      <c r="K840" s="1864"/>
      <c r="L840" s="1940"/>
      <c r="M840" s="1941"/>
    </row>
    <row r="841" spans="1:13">
      <c r="A841" s="1901"/>
      <c r="B841" s="1755"/>
      <c r="C841" s="1867"/>
      <c r="D841" s="1868"/>
      <c r="E841" s="1860"/>
      <c r="F841" s="1860"/>
      <c r="G841" s="1943"/>
      <c r="H841" s="1861"/>
      <c r="I841" s="1944"/>
      <c r="J841" s="1939"/>
      <c r="K841" s="1864"/>
      <c r="L841" s="1940"/>
      <c r="M841" s="1941"/>
    </row>
    <row r="842" spans="1:13">
      <c r="A842" s="1901"/>
      <c r="B842" s="1755"/>
      <c r="C842" s="1867"/>
      <c r="D842" s="1868"/>
      <c r="E842" s="1860"/>
      <c r="F842" s="1860"/>
      <c r="G842" s="1943"/>
      <c r="H842" s="1861"/>
      <c r="I842" s="1944"/>
      <c r="J842" s="1939"/>
      <c r="K842" s="1864"/>
      <c r="L842" s="1940"/>
      <c r="M842" s="1941"/>
    </row>
    <row r="843" spans="1:13">
      <c r="A843" s="1901"/>
      <c r="B843" s="1755" t="s">
        <v>494</v>
      </c>
      <c r="C843" s="1867" t="s">
        <v>2799</v>
      </c>
      <c r="D843" s="1868"/>
      <c r="E843" s="1942">
        <v>0</v>
      </c>
      <c r="F843" s="1806" t="s">
        <v>37</v>
      </c>
      <c r="G843" s="1943">
        <v>256</v>
      </c>
      <c r="H843" s="1861">
        <f>E843*G843</f>
        <v>0</v>
      </c>
      <c r="I843" s="1944">
        <v>100</v>
      </c>
      <c r="J843" s="1939">
        <f>E843*I843</f>
        <v>0</v>
      </c>
      <c r="K843" s="1864">
        <f>H843+J843</f>
        <v>0</v>
      </c>
      <c r="L843" s="2299"/>
      <c r="M843" s="2300"/>
    </row>
    <row r="844" spans="1:13">
      <c r="A844" s="1901"/>
      <c r="B844" s="1755"/>
      <c r="C844" s="1867" t="s">
        <v>2800</v>
      </c>
      <c r="D844" s="1868"/>
      <c r="E844" s="1860"/>
      <c r="F844" s="1860"/>
      <c r="G844" s="1943"/>
      <c r="H844" s="1861"/>
      <c r="I844" s="1944"/>
      <c r="J844" s="1939"/>
      <c r="K844" s="1864"/>
      <c r="L844" s="1940"/>
      <c r="M844" s="1941"/>
    </row>
    <row r="845" spans="1:13">
      <c r="A845" s="1901"/>
      <c r="B845" s="1755"/>
      <c r="C845" s="1867" t="s">
        <v>495</v>
      </c>
      <c r="D845" s="1868"/>
      <c r="E845" s="1860"/>
      <c r="F845" s="1860"/>
      <c r="G845" s="1943"/>
      <c r="H845" s="1861"/>
      <c r="I845" s="1944"/>
      <c r="J845" s="1939"/>
      <c r="K845" s="1864"/>
      <c r="L845" s="1940"/>
      <c r="M845" s="1941"/>
    </row>
    <row r="846" spans="1:13">
      <c r="A846" s="1901"/>
      <c r="B846" s="1755"/>
      <c r="C846" s="1867" t="s">
        <v>496</v>
      </c>
      <c r="D846" s="1868"/>
      <c r="E846" s="1860">
        <f>+E843</f>
        <v>0</v>
      </c>
      <c r="F846" s="1806" t="s">
        <v>37</v>
      </c>
      <c r="G846" s="1936">
        <v>520</v>
      </c>
      <c r="H846" s="1861">
        <f>E846*G846</f>
        <v>0</v>
      </c>
      <c r="I846" s="1938">
        <v>30</v>
      </c>
      <c r="J846" s="1939">
        <f>E846*I846</f>
        <v>0</v>
      </c>
      <c r="K846" s="1864">
        <f>H846+J846</f>
        <v>0</v>
      </c>
      <c r="L846" s="1940" t="s">
        <v>2881</v>
      </c>
      <c r="M846" s="1941"/>
    </row>
    <row r="847" spans="1:13">
      <c r="A847" s="1901"/>
      <c r="B847" s="1755" t="s">
        <v>497</v>
      </c>
      <c r="C847" s="1867" t="s">
        <v>498</v>
      </c>
      <c r="D847" s="1868"/>
      <c r="E847" s="1942">
        <v>0</v>
      </c>
      <c r="F847" s="1806" t="s">
        <v>37</v>
      </c>
      <c r="G847" s="1936">
        <v>91</v>
      </c>
      <c r="H847" s="1861">
        <f t="shared" ref="H847:H853" si="499">E847*G847</f>
        <v>0</v>
      </c>
      <c r="I847" s="1938">
        <v>100</v>
      </c>
      <c r="J847" s="1939">
        <f t="shared" ref="J847:J853" si="500">E847*I847</f>
        <v>0</v>
      </c>
      <c r="K847" s="1864">
        <f t="shared" ref="K847:K853" si="501">H847+J847</f>
        <v>0</v>
      </c>
      <c r="L847" s="1940"/>
      <c r="M847" s="1941"/>
    </row>
    <row r="848" spans="1:13">
      <c r="A848" s="1901"/>
      <c r="B848" s="1755" t="s">
        <v>499</v>
      </c>
      <c r="C848" s="1867" t="s">
        <v>500</v>
      </c>
      <c r="D848" s="1868"/>
      <c r="E848" s="1942">
        <v>0</v>
      </c>
      <c r="F848" s="1806" t="s">
        <v>37</v>
      </c>
      <c r="G848" s="1936">
        <v>294</v>
      </c>
      <c r="H848" s="1861">
        <f t="shared" si="499"/>
        <v>0</v>
      </c>
      <c r="I848" s="1938">
        <v>189</v>
      </c>
      <c r="J848" s="1939">
        <f t="shared" si="500"/>
        <v>0</v>
      </c>
      <c r="K848" s="1864">
        <f t="shared" si="501"/>
        <v>0</v>
      </c>
      <c r="L848" s="1940"/>
      <c r="M848" s="1941"/>
    </row>
    <row r="849" spans="1:13">
      <c r="A849" s="1901"/>
      <c r="B849" s="1755" t="s">
        <v>501</v>
      </c>
      <c r="C849" s="1867" t="s">
        <v>502</v>
      </c>
      <c r="D849" s="1868"/>
      <c r="E849" s="1942">
        <v>0</v>
      </c>
      <c r="F849" s="119" t="s">
        <v>37</v>
      </c>
      <c r="G849" s="2294">
        <v>608</v>
      </c>
      <c r="H849" s="1882">
        <f t="shared" si="499"/>
        <v>0</v>
      </c>
      <c r="I849" s="1951">
        <v>189</v>
      </c>
      <c r="J849" s="1876">
        <f t="shared" si="500"/>
        <v>0</v>
      </c>
      <c r="K849" s="1890">
        <f t="shared" si="501"/>
        <v>0</v>
      </c>
      <c r="L849" s="1940"/>
      <c r="M849" s="1941"/>
    </row>
    <row r="850" spans="1:13">
      <c r="A850" s="1901"/>
      <c r="B850" s="1755" t="s">
        <v>2918</v>
      </c>
      <c r="C850" s="1867" t="s">
        <v>502</v>
      </c>
      <c r="D850" s="1868"/>
      <c r="E850" s="1942">
        <v>545</v>
      </c>
      <c r="F850" s="67" t="s">
        <v>37</v>
      </c>
      <c r="G850" s="2294">
        <v>399</v>
      </c>
      <c r="H850" s="1882">
        <f t="shared" si="499"/>
        <v>217455</v>
      </c>
      <c r="I850" s="1951">
        <v>189</v>
      </c>
      <c r="J850" s="1876">
        <f t="shared" si="500"/>
        <v>103005</v>
      </c>
      <c r="K850" s="1890">
        <f t="shared" si="501"/>
        <v>320460</v>
      </c>
      <c r="L850" s="1940"/>
      <c r="M850" s="1941"/>
    </row>
    <row r="851" spans="1:13">
      <c r="A851" s="1901"/>
      <c r="B851" s="1755" t="s">
        <v>503</v>
      </c>
      <c r="C851" s="1867" t="s">
        <v>2801</v>
      </c>
      <c r="D851" s="1868"/>
      <c r="E851" s="1942">
        <v>0</v>
      </c>
      <c r="F851" s="1806" t="s">
        <v>37</v>
      </c>
      <c r="G851" s="1936">
        <v>88</v>
      </c>
      <c r="H851" s="1861">
        <f t="shared" si="499"/>
        <v>0</v>
      </c>
      <c r="I851" s="1938">
        <v>82</v>
      </c>
      <c r="J851" s="1939">
        <f t="shared" si="500"/>
        <v>0</v>
      </c>
      <c r="K851" s="1864">
        <f t="shared" si="501"/>
        <v>0</v>
      </c>
      <c r="L851" s="1940" t="s">
        <v>2882</v>
      </c>
      <c r="M851" s="1941"/>
    </row>
    <row r="852" spans="1:13">
      <c r="A852" s="1901"/>
      <c r="B852" s="1755"/>
      <c r="C852" s="1867" t="s">
        <v>504</v>
      </c>
      <c r="D852" s="1868"/>
      <c r="E852" s="1942">
        <v>0</v>
      </c>
      <c r="F852" s="1806" t="s">
        <v>37</v>
      </c>
      <c r="G852" s="2297">
        <v>69</v>
      </c>
      <c r="H852" s="1861">
        <f t="shared" si="499"/>
        <v>0</v>
      </c>
      <c r="I852" s="2301">
        <v>28</v>
      </c>
      <c r="J852" s="1939">
        <f t="shared" si="500"/>
        <v>0</v>
      </c>
      <c r="K852" s="1864">
        <f t="shared" si="501"/>
        <v>0</v>
      </c>
      <c r="L852" s="1940"/>
      <c r="M852" s="1941"/>
    </row>
    <row r="853" spans="1:13">
      <c r="A853" s="1901"/>
      <c r="B853" s="1755" t="s">
        <v>505</v>
      </c>
      <c r="C853" s="1867" t="s">
        <v>502</v>
      </c>
      <c r="D853" s="1868"/>
      <c r="E853" s="1942">
        <v>0</v>
      </c>
      <c r="F853" s="1806" t="s">
        <v>37</v>
      </c>
      <c r="G853" s="1936">
        <v>870</v>
      </c>
      <c r="H853" s="1861">
        <f t="shared" si="499"/>
        <v>0</v>
      </c>
      <c r="I853" s="1938">
        <v>242</v>
      </c>
      <c r="J853" s="1939">
        <f t="shared" si="500"/>
        <v>0</v>
      </c>
      <c r="K853" s="1864">
        <f t="shared" si="501"/>
        <v>0</v>
      </c>
      <c r="L853" s="1940"/>
      <c r="M853" s="1941"/>
    </row>
    <row r="854" spans="1:13">
      <c r="A854" s="1901"/>
      <c r="B854" s="1755"/>
      <c r="C854" s="1867" t="s">
        <v>506</v>
      </c>
      <c r="D854" s="1868"/>
      <c r="E854" s="1860"/>
      <c r="F854" s="1860"/>
      <c r="G854" s="1943"/>
      <c r="H854" s="1861"/>
      <c r="I854" s="1944"/>
      <c r="J854" s="1939"/>
      <c r="K854" s="1864"/>
      <c r="L854" s="1940"/>
      <c r="M854" s="1941"/>
    </row>
    <row r="855" spans="1:13">
      <c r="A855" s="1901"/>
      <c r="B855" s="1755" t="s">
        <v>2919</v>
      </c>
      <c r="C855" s="1867" t="s">
        <v>502</v>
      </c>
      <c r="D855" s="1868"/>
      <c r="E855" s="1942">
        <v>41</v>
      </c>
      <c r="F855" s="1806" t="s">
        <v>37</v>
      </c>
      <c r="G855" s="1953">
        <v>765</v>
      </c>
      <c r="H855" s="1882">
        <f>E855*G855</f>
        <v>31365</v>
      </c>
      <c r="I855" s="1951">
        <v>242</v>
      </c>
      <c r="J855" s="1939">
        <f t="shared" ref="J855" si="502">E855*I855</f>
        <v>9922</v>
      </c>
      <c r="K855" s="1864">
        <f t="shared" ref="K855" si="503">H855+J855</f>
        <v>41287</v>
      </c>
      <c r="L855" s="1940"/>
      <c r="M855" s="1941"/>
    </row>
    <row r="856" spans="1:13">
      <c r="A856" s="1901"/>
      <c r="B856" s="1755"/>
      <c r="C856" s="1867" t="s">
        <v>506</v>
      </c>
      <c r="D856" s="1868"/>
      <c r="E856" s="1860"/>
      <c r="F856" s="1860"/>
      <c r="G856" s="1943"/>
      <c r="H856" s="1861"/>
      <c r="I856" s="1944"/>
      <c r="J856" s="1939"/>
      <c r="K856" s="1864"/>
      <c r="L856" s="1940"/>
      <c r="M856" s="1941"/>
    </row>
    <row r="857" spans="1:13">
      <c r="A857" s="1901"/>
      <c r="B857" s="1755" t="s">
        <v>507</v>
      </c>
      <c r="C857" s="1867" t="s">
        <v>508</v>
      </c>
      <c r="D857" s="1868"/>
      <c r="E857" s="1942">
        <v>0</v>
      </c>
      <c r="F857" s="1806" t="s">
        <v>37</v>
      </c>
      <c r="G857" s="1936">
        <v>0</v>
      </c>
      <c r="H857" s="1861">
        <f t="shared" ref="H857:H858" si="504">E857*G857</f>
        <v>0</v>
      </c>
      <c r="I857" s="1938">
        <v>0</v>
      </c>
      <c r="J857" s="1939">
        <f t="shared" ref="J857:J858" si="505">E857*I857</f>
        <v>0</v>
      </c>
      <c r="K857" s="1864">
        <f t="shared" ref="K857:K858" si="506">H857+J857</f>
        <v>0</v>
      </c>
      <c r="L857" s="1940"/>
      <c r="M857" s="1941"/>
    </row>
    <row r="858" spans="1:13">
      <c r="A858" s="1901"/>
      <c r="B858" s="1755" t="s">
        <v>510</v>
      </c>
      <c r="C858" s="1755" t="s">
        <v>2802</v>
      </c>
      <c r="D858" s="1755"/>
      <c r="E858" s="1942">
        <v>297</v>
      </c>
      <c r="F858" s="1806" t="s">
        <v>37</v>
      </c>
      <c r="G858" s="1936">
        <v>1296</v>
      </c>
      <c r="H858" s="1861">
        <f t="shared" si="504"/>
        <v>384912</v>
      </c>
      <c r="I858" s="1938">
        <v>1600</v>
      </c>
      <c r="J858" s="1939">
        <f t="shared" si="505"/>
        <v>475200</v>
      </c>
      <c r="K858" s="1864">
        <f t="shared" si="506"/>
        <v>860112</v>
      </c>
      <c r="L858" s="1940"/>
      <c r="M858" s="1941"/>
    </row>
    <row r="859" spans="1:13">
      <c r="A859" s="1901"/>
      <c r="B859" s="1755"/>
      <c r="C859" s="1755" t="s">
        <v>512</v>
      </c>
      <c r="D859" s="1755"/>
      <c r="E859" s="1860"/>
      <c r="F859" s="1860"/>
      <c r="G859" s="1936"/>
      <c r="H859" s="1937"/>
      <c r="I859" s="1938"/>
      <c r="J859" s="1939"/>
      <c r="K859" s="1864"/>
      <c r="L859" s="1940"/>
      <c r="M859" s="1941"/>
    </row>
    <row r="860" spans="1:13">
      <c r="A860" s="1901"/>
      <c r="B860" s="1755" t="s">
        <v>513</v>
      </c>
      <c r="C860" s="1867" t="s">
        <v>514</v>
      </c>
      <c r="D860" s="1868"/>
      <c r="E860" s="1942">
        <v>0</v>
      </c>
      <c r="F860" s="1806" t="s">
        <v>37</v>
      </c>
      <c r="G860" s="1936">
        <v>1090</v>
      </c>
      <c r="H860" s="1861">
        <f t="shared" ref="H860:H861" si="507">E860*G860</f>
        <v>0</v>
      </c>
      <c r="I860" s="1938">
        <v>900</v>
      </c>
      <c r="J860" s="1939">
        <f t="shared" ref="J860:J861" si="508">E860*I860</f>
        <v>0</v>
      </c>
      <c r="K860" s="1864">
        <f t="shared" ref="K860:K861" si="509">H860+J860</f>
        <v>0</v>
      </c>
      <c r="L860" s="1940"/>
      <c r="M860" s="1941"/>
    </row>
    <row r="861" spans="1:13">
      <c r="A861" s="1901"/>
      <c r="B861" s="1755" t="s">
        <v>515</v>
      </c>
      <c r="C861" s="1867" t="s">
        <v>2905</v>
      </c>
      <c r="D861" s="1868"/>
      <c r="E861" s="1942">
        <v>0</v>
      </c>
      <c r="F861" s="1806" t="s">
        <v>37</v>
      </c>
      <c r="G861" s="1936">
        <v>1600</v>
      </c>
      <c r="H861" s="1861">
        <f t="shared" si="507"/>
        <v>0</v>
      </c>
      <c r="I861" s="1938">
        <v>500</v>
      </c>
      <c r="J861" s="1939">
        <f t="shared" si="508"/>
        <v>0</v>
      </c>
      <c r="K861" s="1864">
        <f t="shared" si="509"/>
        <v>0</v>
      </c>
      <c r="L861" s="1940"/>
      <c r="M861" s="1941"/>
    </row>
    <row r="862" spans="1:13">
      <c r="A862" s="1901"/>
      <c r="B862" s="1755"/>
      <c r="C862" s="1867" t="s">
        <v>517</v>
      </c>
      <c r="D862" s="1868"/>
      <c r="E862" s="1942"/>
      <c r="F862" s="1806"/>
      <c r="G862" s="1936"/>
      <c r="H862" s="1937"/>
      <c r="I862" s="1938"/>
      <c r="J862" s="1939"/>
      <c r="K862" s="1864"/>
      <c r="L862" s="1940"/>
      <c r="M862" s="1941"/>
    </row>
    <row r="863" spans="1:13">
      <c r="A863" s="1901"/>
      <c r="B863" s="1755" t="s">
        <v>518</v>
      </c>
      <c r="C863" s="1867" t="s">
        <v>519</v>
      </c>
      <c r="D863" s="1868"/>
      <c r="E863" s="1942">
        <v>0</v>
      </c>
      <c r="F863" s="1806" t="s">
        <v>37</v>
      </c>
      <c r="G863" s="1936">
        <v>2540</v>
      </c>
      <c r="H863" s="1861">
        <f t="shared" ref="H863" si="510">E863*G863</f>
        <v>0</v>
      </c>
      <c r="I863" s="1938">
        <v>700</v>
      </c>
      <c r="J863" s="1939">
        <f t="shared" ref="J863" si="511">E863*I863</f>
        <v>0</v>
      </c>
      <c r="K863" s="1864">
        <f t="shared" ref="K863" si="512">H863+J863</f>
        <v>0</v>
      </c>
      <c r="L863" s="1940"/>
      <c r="M863" s="1941"/>
    </row>
    <row r="864" spans="1:13">
      <c r="A864" s="1901"/>
      <c r="B864" s="1755"/>
      <c r="C864" s="1867" t="s">
        <v>520</v>
      </c>
      <c r="D864" s="1868"/>
      <c r="E864" s="1942"/>
      <c r="F864" s="1806"/>
      <c r="G864" s="1936"/>
      <c r="H864" s="1937"/>
      <c r="I864" s="1938"/>
      <c r="J864" s="1939"/>
      <c r="K864" s="1864"/>
      <c r="L864" s="1940"/>
      <c r="M864" s="1941"/>
    </row>
    <row r="865" spans="1:13">
      <c r="A865" s="1901"/>
      <c r="B865" s="1755" t="s">
        <v>521</v>
      </c>
      <c r="C865" s="1867" t="s">
        <v>522</v>
      </c>
      <c r="D865" s="1868"/>
      <c r="E865" s="1942">
        <v>0</v>
      </c>
      <c r="F865" s="1806" t="s">
        <v>37</v>
      </c>
      <c r="G865" s="1943">
        <v>15000</v>
      </c>
      <c r="H865" s="1861">
        <f t="shared" ref="H865:H867" si="513">E865*G865</f>
        <v>0</v>
      </c>
      <c r="I865" s="1944">
        <v>500</v>
      </c>
      <c r="J865" s="1939">
        <f t="shared" ref="J865:J867" si="514">E865*I865</f>
        <v>0</v>
      </c>
      <c r="K865" s="1864">
        <f t="shared" ref="K865:K867" si="515">H865+J865</f>
        <v>0</v>
      </c>
      <c r="L865" s="1865"/>
      <c r="M865" s="1941"/>
    </row>
    <row r="866" spans="1:13">
      <c r="A866" s="1901"/>
      <c r="B866" s="1755" t="s">
        <v>523</v>
      </c>
      <c r="C866" s="1867" t="s">
        <v>524</v>
      </c>
      <c r="D866" s="1868"/>
      <c r="E866" s="1942">
        <v>179</v>
      </c>
      <c r="F866" s="1806" t="s">
        <v>37</v>
      </c>
      <c r="G866" s="1936">
        <v>88</v>
      </c>
      <c r="H866" s="1861">
        <f t="shared" si="513"/>
        <v>15752</v>
      </c>
      <c r="I866" s="1938">
        <v>82</v>
      </c>
      <c r="J866" s="1939">
        <f t="shared" si="514"/>
        <v>14678</v>
      </c>
      <c r="K866" s="1864">
        <f t="shared" si="515"/>
        <v>30430</v>
      </c>
      <c r="L866" s="1940" t="s">
        <v>2883</v>
      </c>
      <c r="M866" s="1941"/>
    </row>
    <row r="867" spans="1:13">
      <c r="A867" s="1901"/>
      <c r="B867" s="1755" t="s">
        <v>525</v>
      </c>
      <c r="C867" s="1867" t="s">
        <v>526</v>
      </c>
      <c r="D867" s="1868"/>
      <c r="E867" s="1942">
        <v>0</v>
      </c>
      <c r="F867" s="1806" t="s">
        <v>37</v>
      </c>
      <c r="G867" s="1936">
        <v>1955</v>
      </c>
      <c r="H867" s="1861">
        <f t="shared" si="513"/>
        <v>0</v>
      </c>
      <c r="I867" s="1938">
        <v>1700</v>
      </c>
      <c r="J867" s="1939">
        <f t="shared" si="514"/>
        <v>0</v>
      </c>
      <c r="K867" s="1864">
        <f t="shared" si="515"/>
        <v>0</v>
      </c>
      <c r="L867" s="1940"/>
      <c r="M867" s="1941"/>
    </row>
    <row r="868" spans="1:13">
      <c r="A868" s="1901"/>
      <c r="B868" s="1755"/>
      <c r="C868" s="1867" t="s">
        <v>2804</v>
      </c>
      <c r="D868" s="1868"/>
      <c r="E868" s="1942"/>
      <c r="F868" s="1806"/>
      <c r="G868" s="1936"/>
      <c r="H868" s="1937"/>
      <c r="I868" s="1938"/>
      <c r="J868" s="1939"/>
      <c r="K868" s="1864"/>
      <c r="L868" s="1940"/>
      <c r="M868" s="1941"/>
    </row>
    <row r="869" spans="1:13">
      <c r="A869" s="1901"/>
      <c r="B869" s="1755"/>
      <c r="C869" s="1867" t="s">
        <v>527</v>
      </c>
      <c r="D869" s="1868"/>
      <c r="E869" s="1942"/>
      <c r="F869" s="1806"/>
      <c r="G869" s="1943">
        <v>165</v>
      </c>
      <c r="H869" s="1861">
        <f t="shared" ref="H869:H871" si="516">E869*G869</f>
        <v>0</v>
      </c>
      <c r="I869" s="1944">
        <v>25</v>
      </c>
      <c r="J869" s="1939">
        <f t="shared" ref="J869:J871" si="517">E869*I869</f>
        <v>0</v>
      </c>
      <c r="K869" s="1864">
        <f t="shared" ref="K869:K871" si="518">H869+J869</f>
        <v>0</v>
      </c>
      <c r="L869" s="1940"/>
      <c r="M869" s="1941"/>
    </row>
    <row r="870" spans="1:13">
      <c r="A870" s="1901"/>
      <c r="B870" s="1755"/>
      <c r="C870" s="1867"/>
      <c r="D870" s="1868"/>
      <c r="E870" s="1942"/>
      <c r="F870" s="1806"/>
      <c r="G870" s="1943"/>
      <c r="H870" s="1861"/>
      <c r="I870" s="1944"/>
      <c r="J870" s="1939"/>
      <c r="K870" s="1864"/>
      <c r="L870" s="1940"/>
      <c r="M870" s="1941"/>
    </row>
    <row r="871" spans="1:13">
      <c r="A871" s="1901"/>
      <c r="B871" s="1755" t="s">
        <v>528</v>
      </c>
      <c r="C871" s="1867" t="s">
        <v>526</v>
      </c>
      <c r="D871" s="1868"/>
      <c r="E871" s="1942">
        <v>0</v>
      </c>
      <c r="F871" s="1806" t="s">
        <v>37</v>
      </c>
      <c r="G871" s="1936">
        <v>1296</v>
      </c>
      <c r="H871" s="1861">
        <f t="shared" si="516"/>
        <v>0</v>
      </c>
      <c r="I871" s="1938">
        <v>1600</v>
      </c>
      <c r="J871" s="1939">
        <f t="shared" si="517"/>
        <v>0</v>
      </c>
      <c r="K871" s="1864">
        <f t="shared" si="518"/>
        <v>0</v>
      </c>
      <c r="L871" s="1940"/>
      <c r="M871" s="1941"/>
    </row>
    <row r="872" spans="1:13">
      <c r="A872" s="1901"/>
      <c r="B872" s="1755"/>
      <c r="C872" s="1867" t="s">
        <v>2804</v>
      </c>
      <c r="D872" s="1868"/>
      <c r="E872" s="1942"/>
      <c r="F872" s="1806"/>
      <c r="G872" s="1936"/>
      <c r="H872" s="1937"/>
      <c r="I872" s="1938"/>
      <c r="J872" s="1939"/>
      <c r="K872" s="1864"/>
      <c r="L872" s="1940"/>
      <c r="M872" s="1941"/>
    </row>
    <row r="873" spans="1:13">
      <c r="A873" s="1901"/>
      <c r="B873" s="1755"/>
      <c r="C873" s="1867" t="s">
        <v>527</v>
      </c>
      <c r="D873" s="1868"/>
      <c r="E873" s="1942"/>
      <c r="F873" s="1806"/>
      <c r="G873" s="1943">
        <v>165</v>
      </c>
      <c r="H873" s="1861">
        <f t="shared" ref="H873:H875" si="519">E873*G873</f>
        <v>0</v>
      </c>
      <c r="I873" s="1944">
        <v>25</v>
      </c>
      <c r="J873" s="1939">
        <f t="shared" ref="J873:J875" si="520">E873*I873</f>
        <v>0</v>
      </c>
      <c r="K873" s="1864">
        <f t="shared" ref="K873:K875" si="521">H873+J873</f>
        <v>0</v>
      </c>
      <c r="L873" s="1940"/>
      <c r="M873" s="1941"/>
    </row>
    <row r="874" spans="1:13">
      <c r="A874" s="1901"/>
      <c r="B874" s="1755"/>
      <c r="C874" s="1867"/>
      <c r="D874" s="1868"/>
      <c r="E874" s="1942"/>
      <c r="F874" s="1806"/>
      <c r="G874" s="1943"/>
      <c r="H874" s="1861"/>
      <c r="I874" s="1944"/>
      <c r="J874" s="1939"/>
      <c r="K874" s="1864"/>
      <c r="L874" s="1940"/>
      <c r="M874" s="1941"/>
    </row>
    <row r="875" spans="1:13">
      <c r="A875" s="1901"/>
      <c r="B875" s="1755" t="s">
        <v>529</v>
      </c>
      <c r="C875" s="1867" t="s">
        <v>526</v>
      </c>
      <c r="D875" s="1868"/>
      <c r="E875" s="1942">
        <v>0</v>
      </c>
      <c r="F875" s="1806" t="s">
        <v>37</v>
      </c>
      <c r="G875" s="1936">
        <v>5900</v>
      </c>
      <c r="H875" s="1861">
        <f t="shared" si="519"/>
        <v>0</v>
      </c>
      <c r="I875" s="1938">
        <v>1200</v>
      </c>
      <c r="J875" s="1939">
        <f t="shared" si="520"/>
        <v>0</v>
      </c>
      <c r="K875" s="1864">
        <f t="shared" si="521"/>
        <v>0</v>
      </c>
      <c r="L875" s="1940"/>
      <c r="M875" s="1941"/>
    </row>
    <row r="876" spans="1:13">
      <c r="A876" s="1901"/>
      <c r="B876" s="1755"/>
      <c r="C876" s="1867" t="s">
        <v>2804</v>
      </c>
      <c r="D876" s="1868"/>
      <c r="E876" s="1942"/>
      <c r="F876" s="1806"/>
      <c r="G876" s="1936"/>
      <c r="H876" s="1937"/>
      <c r="I876" s="1938"/>
      <c r="J876" s="1939"/>
      <c r="K876" s="1864"/>
      <c r="L876" s="1940"/>
      <c r="M876" s="1941"/>
    </row>
    <row r="877" spans="1:13">
      <c r="A877" s="1901"/>
      <c r="B877" s="1755" t="s">
        <v>530</v>
      </c>
      <c r="C877" s="1867" t="s">
        <v>526</v>
      </c>
      <c r="D877" s="1868"/>
      <c r="E877" s="1942">
        <v>0</v>
      </c>
      <c r="F877" s="1806" t="s">
        <v>37</v>
      </c>
      <c r="G877" s="1936">
        <v>6000</v>
      </c>
      <c r="H877" s="1861">
        <f t="shared" ref="H877" si="522">E877*G877</f>
        <v>0</v>
      </c>
      <c r="I877" s="1938">
        <v>1550</v>
      </c>
      <c r="J877" s="1939">
        <f t="shared" ref="J877" si="523">E877*I877</f>
        <v>0</v>
      </c>
      <c r="K877" s="1864">
        <f t="shared" ref="K877" si="524">H877+J877</f>
        <v>0</v>
      </c>
      <c r="L877" s="1940"/>
      <c r="M877" s="1941"/>
    </row>
    <row r="878" spans="1:13">
      <c r="A878" s="1901"/>
      <c r="B878" s="1755"/>
      <c r="C878" s="1867" t="s">
        <v>2805</v>
      </c>
      <c r="D878" s="1868"/>
      <c r="E878" s="1942"/>
      <c r="F878" s="1806"/>
      <c r="G878" s="1936"/>
      <c r="H878" s="1937"/>
      <c r="I878" s="1938"/>
      <c r="J878" s="1939"/>
      <c r="K878" s="1864"/>
      <c r="L878" s="1940"/>
      <c r="M878" s="2300"/>
    </row>
    <row r="879" spans="1:13">
      <c r="A879" s="1901"/>
      <c r="B879" s="1755" t="s">
        <v>531</v>
      </c>
      <c r="C879" s="1867" t="s">
        <v>532</v>
      </c>
      <c r="D879" s="1868"/>
      <c r="E879" s="1942">
        <v>0</v>
      </c>
      <c r="F879" s="1806" t="s">
        <v>37</v>
      </c>
      <c r="G879" s="2297">
        <f>13+69</f>
        <v>82</v>
      </c>
      <c r="H879" s="1861">
        <f t="shared" ref="H879:H880" si="525">E879*G879</f>
        <v>0</v>
      </c>
      <c r="I879" s="2301">
        <f>30+28</f>
        <v>58</v>
      </c>
      <c r="J879" s="1939">
        <f t="shared" ref="J879:J880" si="526">E879*I879</f>
        <v>0</v>
      </c>
      <c r="K879" s="1864">
        <f t="shared" ref="K879:K880" si="527">H879+J879</f>
        <v>0</v>
      </c>
      <c r="L879" s="2299"/>
      <c r="M879" s="1941"/>
    </row>
    <row r="880" spans="1:13">
      <c r="A880" s="1901"/>
      <c r="B880" s="1755" t="s">
        <v>533</v>
      </c>
      <c r="C880" s="1867" t="s">
        <v>534</v>
      </c>
      <c r="D880" s="1868"/>
      <c r="E880" s="1942">
        <v>0</v>
      </c>
      <c r="F880" s="1806" t="s">
        <v>37</v>
      </c>
      <c r="G880" s="1936">
        <v>0</v>
      </c>
      <c r="H880" s="1861">
        <f t="shared" si="525"/>
        <v>0</v>
      </c>
      <c r="I880" s="1938">
        <v>0</v>
      </c>
      <c r="J880" s="1939">
        <f t="shared" si="526"/>
        <v>0</v>
      </c>
      <c r="K880" s="1864">
        <f t="shared" si="527"/>
        <v>0</v>
      </c>
      <c r="L880" s="1940"/>
      <c r="M880" s="1941"/>
    </row>
    <row r="881" spans="1:24">
      <c r="A881" s="1901"/>
      <c r="B881" s="1755"/>
      <c r="C881" s="1755" t="s">
        <v>535</v>
      </c>
      <c r="D881" s="1868"/>
      <c r="E881" s="1942"/>
      <c r="F881" s="1806"/>
      <c r="G881" s="1936"/>
      <c r="H881" s="1937"/>
      <c r="I881" s="1938"/>
      <c r="J881" s="1939"/>
      <c r="K881" s="1864"/>
      <c r="L881" s="1940"/>
      <c r="N881" s="1797">
        <f>SUM(K802:K881)</f>
        <v>3979225.7</v>
      </c>
    </row>
    <row r="882" spans="1:24" ht="24" customHeight="1">
      <c r="A882" s="1933" t="s">
        <v>548</v>
      </c>
      <c r="B882" s="1908" t="s">
        <v>549</v>
      </c>
      <c r="C882" s="1850"/>
      <c r="D882" s="1963"/>
      <c r="E882" s="1897"/>
      <c r="F882" s="1806"/>
      <c r="G882" s="1964"/>
      <c r="H882" s="1854"/>
      <c r="I882" s="1893"/>
      <c r="J882" s="1856"/>
      <c r="K882" s="1857"/>
      <c r="L882" s="1858"/>
      <c r="M882" s="1809"/>
      <c r="N882" s="1837"/>
      <c r="O882" s="1837"/>
      <c r="P882" s="1837"/>
      <c r="Q882" s="1837"/>
      <c r="R882" s="1837"/>
      <c r="S882" s="1837"/>
      <c r="T882" s="1837"/>
      <c r="U882" s="1837"/>
      <c r="V882" s="1837"/>
      <c r="W882" s="1837"/>
      <c r="X882" s="1837"/>
    </row>
    <row r="883" spans="1:24">
      <c r="A883" s="1901"/>
      <c r="B883" s="1783"/>
      <c r="C883" s="1867" t="s">
        <v>538</v>
      </c>
      <c r="D883" s="1859"/>
      <c r="E883" s="1860">
        <v>2940</v>
      </c>
      <c r="F883" s="1806" t="s">
        <v>37</v>
      </c>
      <c r="G883" s="1936">
        <v>281</v>
      </c>
      <c r="H883" s="1937">
        <f>E883*G883</f>
        <v>826140</v>
      </c>
      <c r="I883" s="1938">
        <v>80</v>
      </c>
      <c r="J883" s="1939">
        <f>E883*I883</f>
        <v>235200</v>
      </c>
      <c r="K883" s="1864">
        <f>H883+J883</f>
        <v>1061340</v>
      </c>
      <c r="L883" s="1940"/>
      <c r="M883" s="1941"/>
    </row>
    <row r="884" spans="1:24">
      <c r="A884" s="1901"/>
      <c r="B884" s="1783"/>
      <c r="C884" s="1867" t="s">
        <v>539</v>
      </c>
      <c r="D884" s="1859"/>
      <c r="E884" s="1860">
        <f>+E931</f>
        <v>0</v>
      </c>
      <c r="F884" s="1806" t="s">
        <v>37</v>
      </c>
      <c r="G884" s="1936">
        <v>712</v>
      </c>
      <c r="H884" s="1937">
        <f t="shared" ref="H884:H899" si="528">E884*G884</f>
        <v>0</v>
      </c>
      <c r="I884" s="1938">
        <v>98</v>
      </c>
      <c r="J884" s="1939">
        <f t="shared" ref="J884:J899" si="529">E884*I884</f>
        <v>0</v>
      </c>
      <c r="K884" s="1864">
        <f t="shared" ref="K884:K899" si="530">H884+J884</f>
        <v>0</v>
      </c>
      <c r="L884" s="1940"/>
      <c r="M884" s="1941"/>
    </row>
    <row r="885" spans="1:24">
      <c r="A885" s="1901"/>
      <c r="B885" s="1783"/>
      <c r="C885" s="1867" t="s">
        <v>470</v>
      </c>
      <c r="D885" s="1859"/>
      <c r="E885" s="1860">
        <f>+E883*1.33</f>
        <v>3910.2000000000003</v>
      </c>
      <c r="F885" s="1806" t="s">
        <v>438</v>
      </c>
      <c r="G885" s="1936">
        <v>119</v>
      </c>
      <c r="H885" s="1937">
        <f t="shared" si="528"/>
        <v>465313.80000000005</v>
      </c>
      <c r="I885" s="1938">
        <v>44</v>
      </c>
      <c r="J885" s="1939">
        <f t="shared" si="529"/>
        <v>172048.80000000002</v>
      </c>
      <c r="K885" s="1864">
        <f t="shared" si="530"/>
        <v>637362.60000000009</v>
      </c>
      <c r="L885" s="1940" t="s">
        <v>2878</v>
      </c>
      <c r="M885" s="1941"/>
    </row>
    <row r="886" spans="1:24">
      <c r="A886" s="1901"/>
      <c r="B886" s="1783"/>
      <c r="C886" s="1867" t="s">
        <v>471</v>
      </c>
      <c r="D886" s="1859"/>
      <c r="E886" s="1860">
        <f>+E884*1.33</f>
        <v>0</v>
      </c>
      <c r="F886" s="1806" t="s">
        <v>438</v>
      </c>
      <c r="G886" s="1936">
        <v>208</v>
      </c>
      <c r="H886" s="1937">
        <f t="shared" si="528"/>
        <v>0</v>
      </c>
      <c r="I886" s="1938">
        <v>78</v>
      </c>
      <c r="J886" s="1939">
        <f t="shared" si="529"/>
        <v>0</v>
      </c>
      <c r="K886" s="1864">
        <f t="shared" si="530"/>
        <v>0</v>
      </c>
      <c r="L886" s="1940" t="s">
        <v>2878</v>
      </c>
      <c r="M886" s="1941"/>
    </row>
    <row r="887" spans="1:24">
      <c r="A887" s="1901"/>
      <c r="B887" s="1783"/>
      <c r="C887" s="1867" t="s">
        <v>472</v>
      </c>
      <c r="D887" s="1859"/>
      <c r="E887" s="1860">
        <v>809</v>
      </c>
      <c r="F887" s="1806" t="s">
        <v>37</v>
      </c>
      <c r="G887" s="1936">
        <v>88</v>
      </c>
      <c r="H887" s="1937">
        <f t="shared" si="528"/>
        <v>71192</v>
      </c>
      <c r="I887" s="1938">
        <v>82</v>
      </c>
      <c r="J887" s="1939">
        <f t="shared" si="529"/>
        <v>66338</v>
      </c>
      <c r="K887" s="1864">
        <f t="shared" si="530"/>
        <v>137530</v>
      </c>
      <c r="L887" s="1940" t="s">
        <v>2885</v>
      </c>
      <c r="M887" s="1941"/>
    </row>
    <row r="888" spans="1:24">
      <c r="A888" s="1901"/>
      <c r="B888" s="1783"/>
      <c r="C888" s="1867" t="s">
        <v>540</v>
      </c>
      <c r="D888" s="1859"/>
      <c r="E888" s="1860">
        <v>2968</v>
      </c>
      <c r="F888" s="1806" t="s">
        <v>37</v>
      </c>
      <c r="G888" s="1936">
        <v>88</v>
      </c>
      <c r="H888" s="1937">
        <f t="shared" si="528"/>
        <v>261184</v>
      </c>
      <c r="I888" s="1938">
        <v>82</v>
      </c>
      <c r="J888" s="1939">
        <f t="shared" si="529"/>
        <v>243376</v>
      </c>
      <c r="K888" s="1864">
        <f t="shared" si="530"/>
        <v>504560</v>
      </c>
      <c r="L888" s="1940"/>
      <c r="M888" s="1941"/>
    </row>
    <row r="889" spans="1:24">
      <c r="A889" s="1901"/>
      <c r="B889" s="1783"/>
      <c r="C889" s="1867" t="s">
        <v>541</v>
      </c>
      <c r="D889" s="1859"/>
      <c r="E889" s="1860">
        <v>477</v>
      </c>
      <c r="F889" s="1806" t="s">
        <v>37</v>
      </c>
      <c r="G889" s="1936">
        <v>88</v>
      </c>
      <c r="H889" s="1937">
        <f t="shared" si="528"/>
        <v>41976</v>
      </c>
      <c r="I889" s="1938">
        <v>95</v>
      </c>
      <c r="J889" s="1939">
        <f t="shared" si="529"/>
        <v>45315</v>
      </c>
      <c r="K889" s="1864">
        <f t="shared" si="530"/>
        <v>87291</v>
      </c>
      <c r="L889" s="1940"/>
      <c r="M889" s="1941"/>
    </row>
    <row r="890" spans="1:24">
      <c r="A890" s="1901"/>
      <c r="B890" s="1755" t="s">
        <v>475</v>
      </c>
      <c r="C890" s="1867" t="s">
        <v>476</v>
      </c>
      <c r="D890" s="1868"/>
      <c r="E890" s="1962">
        <v>0</v>
      </c>
      <c r="F890" s="1806" t="s">
        <v>37</v>
      </c>
      <c r="G890" s="1936">
        <v>88</v>
      </c>
      <c r="H890" s="1937">
        <f t="shared" si="528"/>
        <v>0</v>
      </c>
      <c r="I890" s="1938">
        <v>95</v>
      </c>
      <c r="J890" s="1939">
        <f t="shared" si="529"/>
        <v>0</v>
      </c>
      <c r="K890" s="1864">
        <f t="shared" si="530"/>
        <v>0</v>
      </c>
      <c r="L890" s="1940" t="s">
        <v>2880</v>
      </c>
      <c r="M890" s="1941"/>
    </row>
    <row r="891" spans="1:24">
      <c r="A891" s="1901"/>
      <c r="B891" s="1755"/>
      <c r="C891" s="1867" t="s">
        <v>477</v>
      </c>
      <c r="D891" s="1868"/>
      <c r="E891" s="1962">
        <f>E890</f>
        <v>0</v>
      </c>
      <c r="F891" s="1806" t="s">
        <v>37</v>
      </c>
      <c r="G891" s="2297">
        <v>69</v>
      </c>
      <c r="H891" s="1937">
        <f t="shared" si="528"/>
        <v>0</v>
      </c>
      <c r="I891" s="2298">
        <v>28</v>
      </c>
      <c r="J891" s="1939">
        <f t="shared" si="529"/>
        <v>0</v>
      </c>
      <c r="K891" s="1864">
        <f t="shared" si="530"/>
        <v>0</v>
      </c>
      <c r="L891" s="2299"/>
      <c r="M891" s="2300"/>
    </row>
    <row r="892" spans="1:24">
      <c r="A892" s="1901"/>
      <c r="B892" s="1755" t="s">
        <v>478</v>
      </c>
      <c r="C892" s="1867" t="s">
        <v>479</v>
      </c>
      <c r="D892" s="1868"/>
      <c r="E892" s="1962">
        <v>1570</v>
      </c>
      <c r="F892" s="1806" t="s">
        <v>37</v>
      </c>
      <c r="G892" s="1936">
        <v>88</v>
      </c>
      <c r="H892" s="1937">
        <f t="shared" si="528"/>
        <v>138160</v>
      </c>
      <c r="I892" s="1938">
        <v>82</v>
      </c>
      <c r="J892" s="1939">
        <f t="shared" si="529"/>
        <v>128740</v>
      </c>
      <c r="K892" s="1864">
        <f t="shared" si="530"/>
        <v>266900</v>
      </c>
      <c r="L892" s="1940"/>
      <c r="M892" s="1941"/>
    </row>
    <row r="893" spans="1:24">
      <c r="A893" s="1901"/>
      <c r="B893" s="1755" t="s">
        <v>480</v>
      </c>
      <c r="C893" s="1867" t="s">
        <v>476</v>
      </c>
      <c r="D893" s="1868"/>
      <c r="E893" s="1942">
        <v>2516</v>
      </c>
      <c r="F893" s="1806" t="s">
        <v>37</v>
      </c>
      <c r="G893" s="1936">
        <v>88</v>
      </c>
      <c r="H893" s="1937">
        <f t="shared" si="528"/>
        <v>221408</v>
      </c>
      <c r="I893" s="1938">
        <v>82</v>
      </c>
      <c r="J893" s="1939">
        <f t="shared" si="529"/>
        <v>206312</v>
      </c>
      <c r="K893" s="1864">
        <f t="shared" si="530"/>
        <v>427720</v>
      </c>
      <c r="L893" s="1940" t="s">
        <v>2880</v>
      </c>
      <c r="M893" s="1941"/>
    </row>
    <row r="894" spans="1:24">
      <c r="A894" s="1901"/>
      <c r="B894" s="1755"/>
      <c r="C894" s="1867" t="s">
        <v>481</v>
      </c>
      <c r="D894" s="1868"/>
      <c r="E894" s="1942">
        <f>E893</f>
        <v>2516</v>
      </c>
      <c r="F894" s="1806" t="s">
        <v>37</v>
      </c>
      <c r="G894" s="2297">
        <v>69</v>
      </c>
      <c r="H894" s="1937">
        <f t="shared" si="528"/>
        <v>173604</v>
      </c>
      <c r="I894" s="2298">
        <v>28</v>
      </c>
      <c r="J894" s="1939">
        <f t="shared" si="529"/>
        <v>70448</v>
      </c>
      <c r="K894" s="1864">
        <f t="shared" si="530"/>
        <v>244052</v>
      </c>
      <c r="L894" s="2299"/>
      <c r="M894" s="2300"/>
    </row>
    <row r="895" spans="1:24">
      <c r="A895" s="1901"/>
      <c r="B895" s="1755" t="s">
        <v>2787</v>
      </c>
      <c r="C895" s="1867" t="s">
        <v>2788</v>
      </c>
      <c r="D895" s="1868"/>
      <c r="E895" s="1942">
        <v>0</v>
      </c>
      <c r="F895" s="1806" t="s">
        <v>37</v>
      </c>
      <c r="G895" s="1936">
        <v>103</v>
      </c>
      <c r="H895" s="1937">
        <f t="shared" si="528"/>
        <v>0</v>
      </c>
      <c r="I895" s="1938">
        <v>115</v>
      </c>
      <c r="J895" s="1939">
        <f t="shared" si="529"/>
        <v>0</v>
      </c>
      <c r="K895" s="1864">
        <f t="shared" si="530"/>
        <v>0</v>
      </c>
      <c r="L895" s="1940" t="s">
        <v>2880</v>
      </c>
      <c r="M895" s="1941"/>
    </row>
    <row r="896" spans="1:24">
      <c r="A896" s="1901"/>
      <c r="B896" s="1755"/>
      <c r="C896" s="1867" t="s">
        <v>482</v>
      </c>
      <c r="D896" s="1868"/>
      <c r="E896" s="1942">
        <f>E895</f>
        <v>0</v>
      </c>
      <c r="F896" s="1806" t="s">
        <v>37</v>
      </c>
      <c r="G896" s="2297">
        <v>69</v>
      </c>
      <c r="H896" s="1937">
        <f t="shared" si="528"/>
        <v>0</v>
      </c>
      <c r="I896" s="2298">
        <v>28</v>
      </c>
      <c r="J896" s="1939">
        <f t="shared" si="529"/>
        <v>0</v>
      </c>
      <c r="K896" s="1864">
        <f t="shared" si="530"/>
        <v>0</v>
      </c>
      <c r="L896" s="2299"/>
      <c r="M896" s="2300"/>
    </row>
    <row r="897" spans="1:24">
      <c r="A897" s="1901"/>
      <c r="B897" s="1755" t="s">
        <v>483</v>
      </c>
      <c r="C897" s="1867" t="s">
        <v>484</v>
      </c>
      <c r="D897" s="1868"/>
      <c r="E897" s="1942">
        <v>0</v>
      </c>
      <c r="F897" s="1806" t="s">
        <v>37</v>
      </c>
      <c r="G897" s="1943">
        <v>1500</v>
      </c>
      <c r="H897" s="1937">
        <f t="shared" si="528"/>
        <v>0</v>
      </c>
      <c r="I897" s="1944">
        <v>500</v>
      </c>
      <c r="J897" s="1939">
        <f t="shared" si="529"/>
        <v>0</v>
      </c>
      <c r="K897" s="1864">
        <f t="shared" si="530"/>
        <v>0</v>
      </c>
      <c r="L897" s="1865"/>
      <c r="M897" s="1866"/>
    </row>
    <row r="898" spans="1:24">
      <c r="A898" s="1901"/>
      <c r="B898" s="1755"/>
      <c r="C898" s="1867" t="s">
        <v>482</v>
      </c>
      <c r="D898" s="1868"/>
      <c r="E898" s="1942">
        <v>0</v>
      </c>
      <c r="F898" s="1806" t="s">
        <v>37</v>
      </c>
      <c r="G898" s="2297">
        <v>69</v>
      </c>
      <c r="H898" s="1937">
        <f t="shared" si="528"/>
        <v>0</v>
      </c>
      <c r="I898" s="2298">
        <v>28</v>
      </c>
      <c r="J898" s="1939">
        <f t="shared" si="529"/>
        <v>0</v>
      </c>
      <c r="K898" s="1864">
        <f t="shared" si="530"/>
        <v>0</v>
      </c>
      <c r="L898" s="2299"/>
      <c r="M898" s="2300"/>
    </row>
    <row r="899" spans="1:24">
      <c r="A899" s="1901"/>
      <c r="B899" s="1755" t="s">
        <v>485</v>
      </c>
      <c r="C899" s="1867" t="s">
        <v>2789</v>
      </c>
      <c r="D899" s="1868"/>
      <c r="E899" s="1942">
        <v>0</v>
      </c>
      <c r="F899" s="1806" t="s">
        <v>37</v>
      </c>
      <c r="G899" s="1943">
        <v>492</v>
      </c>
      <c r="H899" s="1937">
        <f t="shared" si="528"/>
        <v>0</v>
      </c>
      <c r="I899" s="1944">
        <v>130</v>
      </c>
      <c r="J899" s="1939">
        <f t="shared" si="529"/>
        <v>0</v>
      </c>
      <c r="K899" s="1864">
        <f t="shared" si="530"/>
        <v>0</v>
      </c>
      <c r="L899" s="2299"/>
      <c r="M899" s="2300"/>
    </row>
    <row r="900" spans="1:24">
      <c r="A900" s="1901"/>
      <c r="B900" s="1755"/>
      <c r="C900" s="1867" t="s">
        <v>2790</v>
      </c>
      <c r="D900" s="1868"/>
      <c r="E900" s="1860"/>
      <c r="F900" s="1860"/>
      <c r="G900" s="1943"/>
      <c r="H900" s="1861"/>
      <c r="I900" s="1944"/>
      <c r="J900" s="1939"/>
      <c r="K900" s="1864"/>
      <c r="L900" s="2299"/>
      <c r="M900" s="2300"/>
    </row>
    <row r="901" spans="1:24">
      <c r="A901" s="1901"/>
      <c r="B901" s="1755"/>
      <c r="C901" s="1867" t="s">
        <v>486</v>
      </c>
      <c r="D901" s="1868"/>
      <c r="E901" s="1860"/>
      <c r="F901" s="1860"/>
      <c r="G901" s="1943"/>
      <c r="H901" s="1861"/>
      <c r="I901" s="1944"/>
      <c r="J901" s="1939"/>
      <c r="K901" s="1864"/>
      <c r="L901" s="2299"/>
      <c r="M901" s="2300"/>
    </row>
    <row r="902" spans="1:24">
      <c r="A902" s="1901"/>
      <c r="B902" s="1755"/>
      <c r="C902" s="1867"/>
      <c r="D902" s="1868"/>
      <c r="E902" s="1860"/>
      <c r="F902" s="1860"/>
      <c r="G902" s="1943"/>
      <c r="H902" s="1861"/>
      <c r="I902" s="1944"/>
      <c r="J902" s="1939"/>
      <c r="K902" s="1864"/>
      <c r="L902" s="2299"/>
      <c r="M902" s="2300"/>
    </row>
    <row r="903" spans="1:24">
      <c r="A903" s="1901"/>
      <c r="B903" s="1755" t="s">
        <v>487</v>
      </c>
      <c r="C903" s="1867" t="s">
        <v>2789</v>
      </c>
      <c r="D903" s="1868"/>
      <c r="E903" s="1942">
        <v>0</v>
      </c>
      <c r="F903" s="1806" t="s">
        <v>37</v>
      </c>
      <c r="G903" s="1943">
        <v>256</v>
      </c>
      <c r="H903" s="1861">
        <f>E903*G903</f>
        <v>0</v>
      </c>
      <c r="I903" s="1944">
        <v>100</v>
      </c>
      <c r="J903" s="1939">
        <f>E903*I903</f>
        <v>0</v>
      </c>
      <c r="K903" s="1864">
        <f t="shared" ref="K903" si="531">H903+J903</f>
        <v>0</v>
      </c>
      <c r="L903" s="2299"/>
      <c r="M903" s="2300"/>
    </row>
    <row r="904" spans="1:24">
      <c r="A904" s="1901"/>
      <c r="B904" s="1755"/>
      <c r="C904" s="1867" t="s">
        <v>2791</v>
      </c>
      <c r="D904" s="1868"/>
      <c r="E904" s="1860"/>
      <c r="F904" s="1860"/>
      <c r="G904" s="1943"/>
      <c r="H904" s="1861"/>
      <c r="I904" s="1944"/>
      <c r="J904" s="1939"/>
      <c r="K904" s="1864"/>
      <c r="L904" s="2299"/>
      <c r="M904" s="2300"/>
    </row>
    <row r="905" spans="1:24">
      <c r="A905" s="1901"/>
      <c r="B905" s="1755"/>
      <c r="C905" s="1867" t="s">
        <v>486</v>
      </c>
      <c r="D905" s="1868"/>
      <c r="E905" s="1860"/>
      <c r="F905" s="1860"/>
      <c r="G905" s="1943"/>
      <c r="H905" s="1861"/>
      <c r="I905" s="1944"/>
      <c r="J905" s="1939"/>
      <c r="K905" s="1864"/>
      <c r="L905" s="2299"/>
      <c r="M905" s="2300"/>
    </row>
    <row r="906" spans="1:24">
      <c r="A906" s="1901"/>
      <c r="B906" s="1755" t="s">
        <v>488</v>
      </c>
      <c r="C906" s="1867" t="s">
        <v>2926</v>
      </c>
      <c r="D906" s="1868"/>
      <c r="E906" s="1942">
        <v>0</v>
      </c>
      <c r="F906" s="1806" t="s">
        <v>37</v>
      </c>
      <c r="G906" s="1943">
        <v>350</v>
      </c>
      <c r="H906" s="1861">
        <f>E906*G906</f>
        <v>0</v>
      </c>
      <c r="I906" s="1944">
        <v>100</v>
      </c>
      <c r="J906" s="1939">
        <f>E906*I906</f>
        <v>0</v>
      </c>
      <c r="K906" s="1864">
        <f t="shared" ref="K906" si="532">H906+J906</f>
        <v>0</v>
      </c>
      <c r="L906" s="2299"/>
      <c r="M906" s="2300"/>
    </row>
    <row r="907" spans="1:24">
      <c r="A907" s="1901"/>
      <c r="B907" s="1755"/>
      <c r="C907" s="1867" t="s">
        <v>2793</v>
      </c>
      <c r="D907" s="1868"/>
      <c r="E907" s="1860"/>
      <c r="F907" s="1860"/>
      <c r="G907" s="1943"/>
      <c r="H907" s="1861"/>
      <c r="I907" s="1944"/>
      <c r="J907" s="1939"/>
      <c r="K907" s="1864"/>
      <c r="L907" s="1940"/>
      <c r="M907" s="1941"/>
    </row>
    <row r="908" spans="1:24">
      <c r="A908" s="1901"/>
      <c r="B908" s="1755"/>
      <c r="C908" s="1867" t="s">
        <v>489</v>
      </c>
      <c r="D908" s="1868"/>
      <c r="E908" s="1942">
        <f>E906</f>
        <v>0</v>
      </c>
      <c r="F908" s="1806" t="s">
        <v>37</v>
      </c>
      <c r="G908" s="2297">
        <v>69</v>
      </c>
      <c r="H908" s="1861">
        <f>E908*G908</f>
        <v>0</v>
      </c>
      <c r="I908" s="2298">
        <v>28</v>
      </c>
      <c r="J908" s="1939">
        <f>E908*I908</f>
        <v>0</v>
      </c>
      <c r="K908" s="1864">
        <f t="shared" ref="K908:K912" si="533">H908+J908</f>
        <v>0</v>
      </c>
      <c r="L908" s="2299"/>
      <c r="M908" s="2300"/>
    </row>
    <row r="909" spans="1:24" ht="24" customHeight="1">
      <c r="A909" s="1901"/>
      <c r="B909" s="1945" t="s">
        <v>2901</v>
      </c>
      <c r="C909" s="1867" t="s">
        <v>2902</v>
      </c>
      <c r="D909" s="1868"/>
      <c r="E909" s="1942">
        <v>0</v>
      </c>
      <c r="F909" s="1806" t="s">
        <v>37</v>
      </c>
      <c r="G909" s="1944">
        <v>195</v>
      </c>
      <c r="H909" s="1939">
        <f>E909*G909</f>
        <v>0</v>
      </c>
      <c r="I909" s="1944">
        <v>150</v>
      </c>
      <c r="J909" s="1939">
        <f t="shared" ref="J909" si="534">E909*I909</f>
        <v>0</v>
      </c>
      <c r="K909" s="1864">
        <f t="shared" si="533"/>
        <v>0</v>
      </c>
      <c r="L909" s="2299"/>
      <c r="N909" s="1836"/>
      <c r="O909" s="1837"/>
      <c r="P909" s="1837"/>
      <c r="Q909" s="1837"/>
      <c r="R909" s="1837"/>
      <c r="S909" s="1837"/>
      <c r="T909" s="1837"/>
      <c r="U909" s="1837"/>
      <c r="V909" s="1837"/>
      <c r="W909" s="1837"/>
      <c r="X909" s="1837"/>
    </row>
    <row r="910" spans="1:24" ht="24" customHeight="1">
      <c r="A910" s="1901"/>
      <c r="B910" s="1755"/>
      <c r="C910" s="1867" t="s">
        <v>2903</v>
      </c>
      <c r="D910" s="1868"/>
      <c r="E910" s="1860"/>
      <c r="F910" s="1860"/>
      <c r="G910" s="1944"/>
      <c r="H910" s="1939"/>
      <c r="I910" s="1944"/>
      <c r="J910" s="1939"/>
      <c r="K910" s="1864"/>
      <c r="L910" s="1940"/>
      <c r="M910" s="1946"/>
      <c r="N910" s="1836"/>
      <c r="O910" s="1837"/>
      <c r="P910" s="1837"/>
      <c r="Q910" s="1837"/>
      <c r="R910" s="1837"/>
      <c r="S910" s="1837"/>
      <c r="T910" s="1837"/>
      <c r="U910" s="1837"/>
      <c r="V910" s="1837"/>
      <c r="W910" s="1837"/>
      <c r="X910" s="1837"/>
    </row>
    <row r="911" spans="1:24" ht="24" customHeight="1">
      <c r="A911" s="1901"/>
      <c r="B911" s="1755"/>
      <c r="C911" s="1867" t="s">
        <v>2904</v>
      </c>
      <c r="D911" s="1868"/>
      <c r="E911" s="1942">
        <f>E909</f>
        <v>0</v>
      </c>
      <c r="F911" s="1806" t="s">
        <v>37</v>
      </c>
      <c r="G911" s="2298">
        <v>120</v>
      </c>
      <c r="H911" s="1947">
        <f>SUM(E911*G911)</f>
        <v>0</v>
      </c>
      <c r="I911" s="2298">
        <v>56</v>
      </c>
      <c r="J911" s="1939">
        <f>E911*I911</f>
        <v>0</v>
      </c>
      <c r="K911" s="1864">
        <f>H911+J911</f>
        <v>0</v>
      </c>
      <c r="L911" s="2299"/>
      <c r="M911" s="1946"/>
      <c r="N911" s="1836"/>
      <c r="O911" s="1837"/>
      <c r="P911" s="1837"/>
      <c r="Q911" s="1837"/>
      <c r="R911" s="1837"/>
      <c r="S911" s="1837"/>
      <c r="T911" s="1837"/>
      <c r="U911" s="1837"/>
      <c r="V911" s="1837"/>
      <c r="W911" s="1837"/>
      <c r="X911" s="1837"/>
    </row>
    <row r="912" spans="1:24">
      <c r="A912" s="1901"/>
      <c r="B912" s="1755" t="s">
        <v>490</v>
      </c>
      <c r="C912" s="1867" t="s">
        <v>2789</v>
      </c>
      <c r="D912" s="1868"/>
      <c r="E912" s="1942">
        <v>0</v>
      </c>
      <c r="F912" s="1806" t="s">
        <v>37</v>
      </c>
      <c r="G912" s="1943">
        <v>592</v>
      </c>
      <c r="H912" s="1861">
        <f>E912*G912</f>
        <v>0</v>
      </c>
      <c r="I912" s="1944">
        <v>165</v>
      </c>
      <c r="J912" s="1939">
        <f>E912*I912</f>
        <v>0</v>
      </c>
      <c r="K912" s="1864">
        <f t="shared" si="533"/>
        <v>0</v>
      </c>
      <c r="L912" s="2299"/>
      <c r="M912" s="2300"/>
    </row>
    <row r="913" spans="1:13">
      <c r="A913" s="1901"/>
      <c r="B913" s="1755"/>
      <c r="C913" s="1867" t="s">
        <v>2790</v>
      </c>
      <c r="D913" s="1868"/>
      <c r="E913" s="1860"/>
      <c r="F913" s="1860"/>
      <c r="G913" s="1943"/>
      <c r="H913" s="1861"/>
      <c r="I913" s="1944"/>
      <c r="J913" s="1939"/>
      <c r="K913" s="1864"/>
      <c r="L913" s="1940"/>
      <c r="M913" s="1941"/>
    </row>
    <row r="914" spans="1:13">
      <c r="A914" s="1901"/>
      <c r="B914" s="1755"/>
      <c r="C914" s="1867" t="s">
        <v>2794</v>
      </c>
      <c r="D914" s="1868"/>
      <c r="E914" s="1860"/>
      <c r="F914" s="1860"/>
      <c r="G914" s="1943"/>
      <c r="H914" s="1861"/>
      <c r="I914" s="1944"/>
      <c r="J914" s="1939"/>
      <c r="K914" s="1864"/>
      <c r="L914" s="1940"/>
      <c r="M914" s="1941"/>
    </row>
    <row r="915" spans="1:13">
      <c r="A915" s="1901"/>
      <c r="B915" s="1755" t="s">
        <v>491</v>
      </c>
      <c r="C915" s="1867" t="s">
        <v>2795</v>
      </c>
      <c r="D915" s="1868"/>
      <c r="E915" s="1942">
        <v>0</v>
      </c>
      <c r="F915" s="1806" t="s">
        <v>37</v>
      </c>
      <c r="G915" s="1943"/>
      <c r="H915" s="1861"/>
      <c r="I915" s="1944"/>
      <c r="J915" s="1939"/>
      <c r="K915" s="1864"/>
      <c r="L915" s="2299"/>
      <c r="M915" s="2300"/>
    </row>
    <row r="916" spans="1:13">
      <c r="A916" s="1901"/>
      <c r="B916" s="1755"/>
      <c r="C916" s="1867" t="s">
        <v>2792</v>
      </c>
      <c r="D916" s="1868"/>
      <c r="E916" s="1860"/>
      <c r="F916" s="1860"/>
      <c r="G916" s="1943">
        <v>642</v>
      </c>
      <c r="H916" s="1861">
        <f>E916*G916</f>
        <v>0</v>
      </c>
      <c r="I916" s="1944">
        <v>183</v>
      </c>
      <c r="J916" s="1939">
        <f>E916*I916</f>
        <v>0</v>
      </c>
      <c r="K916" s="1864">
        <f t="shared" ref="K916" si="535">H916+J916</f>
        <v>0</v>
      </c>
      <c r="L916" s="1940"/>
      <c r="M916" s="1941"/>
    </row>
    <row r="917" spans="1:13">
      <c r="A917" s="1901"/>
      <c r="B917" s="1755"/>
      <c r="C917" s="1867" t="s">
        <v>542</v>
      </c>
      <c r="D917" s="1868"/>
      <c r="E917" s="1860"/>
      <c r="F917" s="1860"/>
      <c r="G917" s="1943"/>
      <c r="H917" s="1861"/>
      <c r="I917" s="1944"/>
      <c r="J917" s="1939"/>
      <c r="K917" s="1864"/>
      <c r="L917" s="1940"/>
      <c r="M917" s="1941"/>
    </row>
    <row r="918" spans="1:13">
      <c r="A918" s="1901"/>
      <c r="B918" s="1755"/>
      <c r="C918" s="1867" t="s">
        <v>2796</v>
      </c>
      <c r="D918" s="1868"/>
      <c r="E918" s="1860"/>
      <c r="F918" s="1860"/>
      <c r="G918" s="1943"/>
      <c r="H918" s="1861"/>
      <c r="I918" s="1944"/>
      <c r="J918" s="1939"/>
      <c r="K918" s="1864"/>
      <c r="L918" s="1940"/>
      <c r="M918" s="1941"/>
    </row>
    <row r="919" spans="1:13">
      <c r="A919" s="1901"/>
      <c r="B919" s="1755" t="s">
        <v>492</v>
      </c>
      <c r="C919" s="1867" t="s">
        <v>2797</v>
      </c>
      <c r="D919" s="1868"/>
      <c r="E919" s="1942">
        <v>0</v>
      </c>
      <c r="F919" s="1806" t="s">
        <v>37</v>
      </c>
      <c r="G919" s="1943">
        <v>520</v>
      </c>
      <c r="H919" s="1861">
        <f>E919*G919</f>
        <v>0</v>
      </c>
      <c r="I919" s="1944">
        <v>270</v>
      </c>
      <c r="J919" s="1939">
        <f>E919*I919</f>
        <v>0</v>
      </c>
      <c r="K919" s="1864">
        <f t="shared" ref="K919" si="536">H919+J919</f>
        <v>0</v>
      </c>
      <c r="L919" s="1948"/>
      <c r="M919" s="1949"/>
    </row>
    <row r="920" spans="1:13">
      <c r="A920" s="1901"/>
      <c r="B920" s="1755"/>
      <c r="C920" s="1867" t="s">
        <v>2798</v>
      </c>
      <c r="D920" s="1868"/>
      <c r="E920" s="1860">
        <v>0</v>
      </c>
      <c r="F920" s="1860"/>
      <c r="G920" s="1943"/>
      <c r="H920" s="1861"/>
      <c r="I920" s="1944"/>
      <c r="J920" s="1939"/>
      <c r="K920" s="1864"/>
      <c r="L920" s="1940"/>
      <c r="M920" s="1941"/>
    </row>
    <row r="921" spans="1:13">
      <c r="A921" s="1901"/>
      <c r="B921" s="1755"/>
      <c r="C921" s="1867" t="s">
        <v>493</v>
      </c>
      <c r="D921" s="1868"/>
      <c r="E921" s="1860"/>
      <c r="F921" s="1860"/>
      <c r="G921" s="1943"/>
      <c r="H921" s="1861"/>
      <c r="I921" s="1944"/>
      <c r="J921" s="1939"/>
      <c r="K921" s="1864"/>
      <c r="L921" s="1940"/>
      <c r="M921" s="1941"/>
    </row>
    <row r="922" spans="1:13">
      <c r="A922" s="1901"/>
      <c r="B922" s="1755" t="s">
        <v>494</v>
      </c>
      <c r="C922" s="1867" t="s">
        <v>2799</v>
      </c>
      <c r="D922" s="1868"/>
      <c r="E922" s="1942">
        <v>0</v>
      </c>
      <c r="F922" s="1806" t="s">
        <v>37</v>
      </c>
      <c r="G922" s="1943">
        <v>256</v>
      </c>
      <c r="H922" s="1861">
        <f>E922*G922</f>
        <v>0</v>
      </c>
      <c r="I922" s="1944">
        <v>100</v>
      </c>
      <c r="J922" s="1939">
        <f>E922*I922</f>
        <v>0</v>
      </c>
      <c r="K922" s="1864">
        <f>H922+J922</f>
        <v>0</v>
      </c>
      <c r="L922" s="2299"/>
      <c r="M922" s="2300"/>
    </row>
    <row r="923" spans="1:13">
      <c r="A923" s="1901"/>
      <c r="B923" s="1755"/>
      <c r="C923" s="1867" t="s">
        <v>2800</v>
      </c>
      <c r="D923" s="1868"/>
      <c r="E923" s="1860"/>
      <c r="F923" s="1860"/>
      <c r="G923" s="1943"/>
      <c r="H923" s="1861"/>
      <c r="I923" s="1944"/>
      <c r="J923" s="1939"/>
      <c r="K923" s="1864"/>
      <c r="L923" s="1940"/>
      <c r="M923" s="1941"/>
    </row>
    <row r="924" spans="1:13">
      <c r="A924" s="1901"/>
      <c r="B924" s="1755"/>
      <c r="C924" s="1867" t="s">
        <v>495</v>
      </c>
      <c r="D924" s="1868"/>
      <c r="E924" s="1860"/>
      <c r="F924" s="1860"/>
      <c r="G924" s="1943"/>
      <c r="H924" s="1861"/>
      <c r="I924" s="1944"/>
      <c r="J924" s="1939"/>
      <c r="K924" s="1864"/>
      <c r="L924" s="1940"/>
      <c r="M924" s="1941"/>
    </row>
    <row r="925" spans="1:13">
      <c r="A925" s="1901"/>
      <c r="B925" s="1755"/>
      <c r="C925" s="1867" t="s">
        <v>496</v>
      </c>
      <c r="D925" s="1868"/>
      <c r="E925" s="1860">
        <f>+E922</f>
        <v>0</v>
      </c>
      <c r="F925" s="1806" t="s">
        <v>37</v>
      </c>
      <c r="G925" s="1936">
        <v>520</v>
      </c>
      <c r="H925" s="1861">
        <f>E925*G925</f>
        <v>0</v>
      </c>
      <c r="I925" s="1938">
        <v>30</v>
      </c>
      <c r="J925" s="1939">
        <f>E925*I925</f>
        <v>0</v>
      </c>
      <c r="K925" s="1864">
        <f>H925+J925</f>
        <v>0</v>
      </c>
      <c r="L925" s="1940" t="s">
        <v>2881</v>
      </c>
      <c r="M925" s="1941"/>
    </row>
    <row r="926" spans="1:13">
      <c r="A926" s="1901"/>
      <c r="B926" s="1755" t="s">
        <v>497</v>
      </c>
      <c r="C926" s="1867" t="s">
        <v>498</v>
      </c>
      <c r="D926" s="1868"/>
      <c r="E926" s="1942">
        <v>111</v>
      </c>
      <c r="F926" s="1806" t="s">
        <v>37</v>
      </c>
      <c r="G926" s="1936">
        <v>91</v>
      </c>
      <c r="H926" s="1861">
        <f t="shared" ref="H926:H933" si="537">E926*G926</f>
        <v>10101</v>
      </c>
      <c r="I926" s="1938">
        <v>100</v>
      </c>
      <c r="J926" s="1939">
        <f t="shared" ref="J926:J933" si="538">E926*I926</f>
        <v>11100</v>
      </c>
      <c r="K926" s="1864">
        <f t="shared" ref="K926:K933" si="539">H926+J926</f>
        <v>21201</v>
      </c>
      <c r="L926" s="1940"/>
      <c r="M926" s="1941"/>
    </row>
    <row r="927" spans="1:13">
      <c r="A927" s="1901"/>
      <c r="B927" s="1755" t="s">
        <v>499</v>
      </c>
      <c r="C927" s="1867" t="s">
        <v>500</v>
      </c>
      <c r="D927" s="1868"/>
      <c r="E927" s="1942">
        <v>271</v>
      </c>
      <c r="F927" s="1806" t="s">
        <v>37</v>
      </c>
      <c r="G927" s="1936">
        <v>294</v>
      </c>
      <c r="H927" s="1861">
        <f t="shared" si="537"/>
        <v>79674</v>
      </c>
      <c r="I927" s="1938">
        <v>189</v>
      </c>
      <c r="J927" s="1939">
        <f t="shared" si="538"/>
        <v>51219</v>
      </c>
      <c r="K927" s="1864">
        <f t="shared" si="539"/>
        <v>130893</v>
      </c>
      <c r="L927" s="1940"/>
      <c r="M927" s="1941"/>
    </row>
    <row r="928" spans="1:13">
      <c r="A928" s="1901"/>
      <c r="B928" s="1755" t="s">
        <v>501</v>
      </c>
      <c r="C928" s="1867" t="s">
        <v>502</v>
      </c>
      <c r="D928" s="1868"/>
      <c r="E928" s="1942">
        <v>0</v>
      </c>
      <c r="F928" s="119" t="s">
        <v>37</v>
      </c>
      <c r="G928" s="2294">
        <v>608</v>
      </c>
      <c r="H928" s="1882">
        <f t="shared" si="537"/>
        <v>0</v>
      </c>
      <c r="I928" s="1951">
        <v>189</v>
      </c>
      <c r="J928" s="1876">
        <f t="shared" si="538"/>
        <v>0</v>
      </c>
      <c r="K928" s="1890">
        <f t="shared" si="539"/>
        <v>0</v>
      </c>
      <c r="L928" s="1940"/>
      <c r="M928" s="1941"/>
    </row>
    <row r="929" spans="1:13">
      <c r="A929" s="1901"/>
      <c r="B929" s="1755" t="s">
        <v>2918</v>
      </c>
      <c r="C929" s="1867" t="s">
        <v>502</v>
      </c>
      <c r="D929" s="1868"/>
      <c r="E929" s="1942">
        <v>638</v>
      </c>
      <c r="F929" s="67" t="s">
        <v>37</v>
      </c>
      <c r="G929" s="2294">
        <v>399</v>
      </c>
      <c r="H929" s="1882">
        <f t="shared" si="537"/>
        <v>254562</v>
      </c>
      <c r="I929" s="1951">
        <v>189</v>
      </c>
      <c r="J929" s="1876">
        <f t="shared" si="538"/>
        <v>120582</v>
      </c>
      <c r="K929" s="1890">
        <f t="shared" si="539"/>
        <v>375144</v>
      </c>
      <c r="L929" s="1940"/>
      <c r="M929" s="1941"/>
    </row>
    <row r="930" spans="1:13">
      <c r="A930" s="1901"/>
      <c r="B930" s="1755"/>
      <c r="C930" s="1867"/>
      <c r="D930" s="1868"/>
      <c r="E930" s="1942"/>
      <c r="F930" s="67"/>
      <c r="G930" s="2294"/>
      <c r="H930" s="1882"/>
      <c r="I930" s="1951"/>
      <c r="J930" s="1876"/>
      <c r="K930" s="1890"/>
      <c r="L930" s="1940"/>
      <c r="M930" s="1941"/>
    </row>
    <row r="931" spans="1:13">
      <c r="A931" s="1901"/>
      <c r="B931" s="1755" t="s">
        <v>503</v>
      </c>
      <c r="C931" s="1867" t="s">
        <v>2801</v>
      </c>
      <c r="D931" s="1868"/>
      <c r="E931" s="1942">
        <v>0</v>
      </c>
      <c r="F931" s="1806" t="s">
        <v>37</v>
      </c>
      <c r="G931" s="1936">
        <v>88</v>
      </c>
      <c r="H931" s="1861">
        <f t="shared" si="537"/>
        <v>0</v>
      </c>
      <c r="I931" s="1938">
        <v>82</v>
      </c>
      <c r="J931" s="1939">
        <f t="shared" si="538"/>
        <v>0</v>
      </c>
      <c r="K931" s="1864">
        <f t="shared" si="539"/>
        <v>0</v>
      </c>
      <c r="L931" s="1940" t="s">
        <v>2882</v>
      </c>
      <c r="M931" s="1941"/>
    </row>
    <row r="932" spans="1:13">
      <c r="A932" s="1901"/>
      <c r="B932" s="1755"/>
      <c r="C932" s="1867" t="s">
        <v>504</v>
      </c>
      <c r="D932" s="1868"/>
      <c r="E932" s="1942">
        <v>0</v>
      </c>
      <c r="F932" s="1806" t="s">
        <v>37</v>
      </c>
      <c r="G932" s="2297">
        <v>69</v>
      </c>
      <c r="H932" s="1861">
        <f t="shared" si="537"/>
        <v>0</v>
      </c>
      <c r="I932" s="2301">
        <v>28</v>
      </c>
      <c r="J932" s="1939">
        <f t="shared" si="538"/>
        <v>0</v>
      </c>
      <c r="K932" s="1864">
        <f t="shared" si="539"/>
        <v>0</v>
      </c>
      <c r="L932" s="1940"/>
      <c r="M932" s="1941"/>
    </row>
    <row r="933" spans="1:13">
      <c r="A933" s="1901"/>
      <c r="B933" s="1755" t="s">
        <v>505</v>
      </c>
      <c r="C933" s="1867" t="s">
        <v>502</v>
      </c>
      <c r="D933" s="1868"/>
      <c r="E933" s="1942">
        <v>0</v>
      </c>
      <c r="F933" s="1806" t="s">
        <v>37</v>
      </c>
      <c r="G933" s="1936">
        <v>870</v>
      </c>
      <c r="H933" s="1861">
        <f t="shared" si="537"/>
        <v>0</v>
      </c>
      <c r="I933" s="1938">
        <v>242</v>
      </c>
      <c r="J933" s="1939">
        <f t="shared" si="538"/>
        <v>0</v>
      </c>
      <c r="K933" s="1864">
        <f t="shared" si="539"/>
        <v>0</v>
      </c>
      <c r="L933" s="1940"/>
      <c r="M933" s="1941"/>
    </row>
    <row r="934" spans="1:13">
      <c r="A934" s="1901"/>
      <c r="B934" s="1755"/>
      <c r="C934" s="1867" t="s">
        <v>506</v>
      </c>
      <c r="D934" s="1868"/>
      <c r="E934" s="1860"/>
      <c r="F934" s="1860"/>
      <c r="G934" s="1943"/>
      <c r="H934" s="1861"/>
      <c r="I934" s="1944"/>
      <c r="J934" s="1939"/>
      <c r="K934" s="1864"/>
      <c r="L934" s="1940"/>
      <c r="M934" s="1941"/>
    </row>
    <row r="935" spans="1:13">
      <c r="A935" s="1901"/>
      <c r="B935" s="1755" t="s">
        <v>2919</v>
      </c>
      <c r="C935" s="1867" t="s">
        <v>502</v>
      </c>
      <c r="D935" s="1868"/>
      <c r="E935" s="1942">
        <v>47</v>
      </c>
      <c r="F935" s="1806" t="s">
        <v>37</v>
      </c>
      <c r="G935" s="1953">
        <v>765</v>
      </c>
      <c r="H935" s="1882">
        <f>E935*G935</f>
        <v>35955</v>
      </c>
      <c r="I935" s="1951">
        <v>242</v>
      </c>
      <c r="J935" s="1939">
        <f t="shared" ref="J935" si="540">E935*I935</f>
        <v>11374</v>
      </c>
      <c r="K935" s="1864">
        <f t="shared" ref="K935" si="541">H935+J935</f>
        <v>47329</v>
      </c>
      <c r="L935" s="1940"/>
      <c r="M935" s="1941"/>
    </row>
    <row r="936" spans="1:13">
      <c r="A936" s="1901"/>
      <c r="B936" s="1755"/>
      <c r="C936" s="1867" t="s">
        <v>506</v>
      </c>
      <c r="D936" s="1868"/>
      <c r="E936" s="1860"/>
      <c r="F936" s="1860"/>
      <c r="G936" s="1943"/>
      <c r="H936" s="1861"/>
      <c r="I936" s="1944"/>
      <c r="J936" s="1939"/>
      <c r="K936" s="1864"/>
      <c r="L936" s="1940"/>
      <c r="M936" s="1941"/>
    </row>
    <row r="937" spans="1:13">
      <c r="A937" s="1901"/>
      <c r="B937" s="1755" t="s">
        <v>507</v>
      </c>
      <c r="C937" s="1867" t="s">
        <v>508</v>
      </c>
      <c r="D937" s="1868"/>
      <c r="E937" s="1942">
        <v>0</v>
      </c>
      <c r="F937" s="1806" t="s">
        <v>37</v>
      </c>
      <c r="G937" s="1936">
        <v>0</v>
      </c>
      <c r="H937" s="1861">
        <f t="shared" ref="H937:H938" si="542">E937*G937</f>
        <v>0</v>
      </c>
      <c r="I937" s="1938">
        <v>0</v>
      </c>
      <c r="J937" s="1939">
        <f t="shared" ref="J937:J938" si="543">E937*I937</f>
        <v>0</v>
      </c>
      <c r="K937" s="1864">
        <f t="shared" ref="K937:K938" si="544">H937+J937</f>
        <v>0</v>
      </c>
      <c r="L937" s="1940"/>
      <c r="M937" s="1941"/>
    </row>
    <row r="938" spans="1:13">
      <c r="A938" s="1901"/>
      <c r="B938" s="1755" t="s">
        <v>510</v>
      </c>
      <c r="C938" s="1755" t="s">
        <v>2802</v>
      </c>
      <c r="D938" s="1755"/>
      <c r="E938" s="1942">
        <v>0</v>
      </c>
      <c r="F938" s="1806" t="s">
        <v>37</v>
      </c>
      <c r="G938" s="1936">
        <v>1296</v>
      </c>
      <c r="H938" s="1861">
        <f t="shared" si="542"/>
        <v>0</v>
      </c>
      <c r="I938" s="1938">
        <v>1600</v>
      </c>
      <c r="J938" s="1939">
        <f t="shared" si="543"/>
        <v>0</v>
      </c>
      <c r="K938" s="1864">
        <f t="shared" si="544"/>
        <v>0</v>
      </c>
      <c r="L938" s="1940"/>
      <c r="M938" s="1941"/>
    </row>
    <row r="939" spans="1:13">
      <c r="A939" s="1901"/>
      <c r="B939" s="1755"/>
      <c r="C939" s="1755" t="s">
        <v>512</v>
      </c>
      <c r="D939" s="1755"/>
      <c r="E939" s="1860"/>
      <c r="F939" s="1860"/>
      <c r="G939" s="1936"/>
      <c r="H939" s="1937"/>
      <c r="I939" s="1938"/>
      <c r="J939" s="1939"/>
      <c r="K939" s="1864"/>
      <c r="L939" s="1940"/>
      <c r="M939" s="1941"/>
    </row>
    <row r="940" spans="1:13">
      <c r="A940" s="1901"/>
      <c r="B940" s="1755" t="s">
        <v>513</v>
      </c>
      <c r="C940" s="1867" t="s">
        <v>514</v>
      </c>
      <c r="D940" s="1868"/>
      <c r="E940" s="1942">
        <v>0</v>
      </c>
      <c r="F940" s="1806" t="s">
        <v>37</v>
      </c>
      <c r="G940" s="1936">
        <v>1090</v>
      </c>
      <c r="H940" s="1861">
        <f t="shared" ref="H940:H941" si="545">E940*G940</f>
        <v>0</v>
      </c>
      <c r="I940" s="1938">
        <v>900</v>
      </c>
      <c r="J940" s="1939">
        <f t="shared" ref="J940:J941" si="546">E940*I940</f>
        <v>0</v>
      </c>
      <c r="K940" s="1864">
        <f t="shared" ref="K940:K941" si="547">H940+J940</f>
        <v>0</v>
      </c>
      <c r="L940" s="1940"/>
      <c r="M940" s="1941"/>
    </row>
    <row r="941" spans="1:13">
      <c r="A941" s="1901"/>
      <c r="B941" s="1755" t="s">
        <v>515</v>
      </c>
      <c r="C941" s="1867" t="s">
        <v>2905</v>
      </c>
      <c r="D941" s="1868"/>
      <c r="E941" s="1942">
        <v>0</v>
      </c>
      <c r="F941" s="1806" t="s">
        <v>37</v>
      </c>
      <c r="G941" s="1936">
        <v>1600</v>
      </c>
      <c r="H941" s="1861">
        <f t="shared" si="545"/>
        <v>0</v>
      </c>
      <c r="I941" s="1938">
        <v>500</v>
      </c>
      <c r="J941" s="1939">
        <f t="shared" si="546"/>
        <v>0</v>
      </c>
      <c r="K941" s="1864">
        <f t="shared" si="547"/>
        <v>0</v>
      </c>
      <c r="L941" s="1940"/>
      <c r="M941" s="1941"/>
    </row>
    <row r="942" spans="1:13">
      <c r="A942" s="1901"/>
      <c r="B942" s="1755"/>
      <c r="C942" s="1867" t="s">
        <v>517</v>
      </c>
      <c r="D942" s="1868"/>
      <c r="E942" s="1942"/>
      <c r="F942" s="1806"/>
      <c r="G942" s="1936"/>
      <c r="H942" s="1937"/>
      <c r="I942" s="1938"/>
      <c r="J942" s="1939"/>
      <c r="K942" s="1864"/>
      <c r="L942" s="1940"/>
      <c r="M942" s="1941"/>
    </row>
    <row r="943" spans="1:13">
      <c r="A943" s="1901"/>
      <c r="B943" s="1755" t="s">
        <v>518</v>
      </c>
      <c r="C943" s="1867" t="s">
        <v>519</v>
      </c>
      <c r="D943" s="1868"/>
      <c r="E943" s="1942">
        <v>0</v>
      </c>
      <c r="F943" s="1806" t="s">
        <v>37</v>
      </c>
      <c r="G943" s="1936">
        <v>2540</v>
      </c>
      <c r="H943" s="1861">
        <f t="shared" ref="H943" si="548">E943*G943</f>
        <v>0</v>
      </c>
      <c r="I943" s="1938">
        <v>700</v>
      </c>
      <c r="J943" s="1939">
        <f t="shared" ref="J943" si="549">E943*I943</f>
        <v>0</v>
      </c>
      <c r="K943" s="1864">
        <f t="shared" ref="K943" si="550">H943+J943</f>
        <v>0</v>
      </c>
      <c r="L943" s="1940"/>
      <c r="M943" s="1941"/>
    </row>
    <row r="944" spans="1:13">
      <c r="A944" s="1901"/>
      <c r="B944" s="1755"/>
      <c r="C944" s="1867" t="s">
        <v>520</v>
      </c>
      <c r="D944" s="1868"/>
      <c r="E944" s="1942"/>
      <c r="F944" s="1806"/>
      <c r="G944" s="1936"/>
      <c r="H944" s="1937"/>
      <c r="I944" s="1938"/>
      <c r="J944" s="1939"/>
      <c r="K944" s="1864"/>
      <c r="L944" s="1940"/>
      <c r="M944" s="1941"/>
    </row>
    <row r="945" spans="1:13">
      <c r="A945" s="1901"/>
      <c r="B945" s="1755" t="s">
        <v>521</v>
      </c>
      <c r="C945" s="1867" t="s">
        <v>522</v>
      </c>
      <c r="D945" s="1868"/>
      <c r="E945" s="1942">
        <v>0</v>
      </c>
      <c r="F945" s="1806" t="s">
        <v>37</v>
      </c>
      <c r="G945" s="1943">
        <v>15000</v>
      </c>
      <c r="H945" s="1861">
        <f t="shared" ref="H945:H947" si="551">E945*G945</f>
        <v>0</v>
      </c>
      <c r="I945" s="1944">
        <v>500</v>
      </c>
      <c r="J945" s="1939">
        <f t="shared" ref="J945:J947" si="552">E945*I945</f>
        <v>0</v>
      </c>
      <c r="K945" s="1864">
        <f t="shared" ref="K945:K947" si="553">H945+J945</f>
        <v>0</v>
      </c>
      <c r="L945" s="1865"/>
      <c r="M945" s="1941"/>
    </row>
    <row r="946" spans="1:13">
      <c r="A946" s="1901"/>
      <c r="B946" s="1755" t="s">
        <v>523</v>
      </c>
      <c r="C946" s="1867" t="s">
        <v>524</v>
      </c>
      <c r="D946" s="1868"/>
      <c r="E946" s="1942">
        <v>389</v>
      </c>
      <c r="F946" s="1806" t="s">
        <v>37</v>
      </c>
      <c r="G946" s="1936">
        <v>88</v>
      </c>
      <c r="H946" s="1861">
        <f t="shared" si="551"/>
        <v>34232</v>
      </c>
      <c r="I946" s="1938">
        <v>82</v>
      </c>
      <c r="J946" s="1939">
        <f t="shared" si="552"/>
        <v>31898</v>
      </c>
      <c r="K946" s="1864">
        <f t="shared" si="553"/>
        <v>66130</v>
      </c>
      <c r="L946" s="1940" t="s">
        <v>2883</v>
      </c>
      <c r="M946" s="1941"/>
    </row>
    <row r="947" spans="1:13">
      <c r="A947" s="1901"/>
      <c r="B947" s="1755" t="s">
        <v>525</v>
      </c>
      <c r="C947" s="1867" t="s">
        <v>526</v>
      </c>
      <c r="D947" s="1868"/>
      <c r="E947" s="1942">
        <v>0</v>
      </c>
      <c r="F947" s="1806" t="s">
        <v>37</v>
      </c>
      <c r="G947" s="1936">
        <v>1955</v>
      </c>
      <c r="H947" s="1861">
        <f t="shared" si="551"/>
        <v>0</v>
      </c>
      <c r="I947" s="1938">
        <v>1700</v>
      </c>
      <c r="J947" s="1939">
        <f t="shared" si="552"/>
        <v>0</v>
      </c>
      <c r="K947" s="1864">
        <f t="shared" si="553"/>
        <v>0</v>
      </c>
      <c r="L947" s="1940"/>
      <c r="M947" s="1941"/>
    </row>
    <row r="948" spans="1:13">
      <c r="A948" s="1901"/>
      <c r="B948" s="1755"/>
      <c r="C948" s="1867" t="s">
        <v>2804</v>
      </c>
      <c r="D948" s="1868"/>
      <c r="E948" s="1942"/>
      <c r="F948" s="1806"/>
      <c r="G948" s="1936"/>
      <c r="H948" s="1937"/>
      <c r="I948" s="1938"/>
      <c r="J948" s="1939"/>
      <c r="K948" s="1864"/>
      <c r="L948" s="1940"/>
      <c r="M948" s="1941"/>
    </row>
    <row r="949" spans="1:13">
      <c r="A949" s="1901"/>
      <c r="B949" s="1755"/>
      <c r="C949" s="1867" t="s">
        <v>527</v>
      </c>
      <c r="D949" s="1868"/>
      <c r="E949" s="1942"/>
      <c r="F949" s="1806"/>
      <c r="G949" s="1943">
        <v>165</v>
      </c>
      <c r="H949" s="1861">
        <f t="shared" ref="H949:H950" si="554">E949*G949</f>
        <v>0</v>
      </c>
      <c r="I949" s="1944">
        <v>25</v>
      </c>
      <c r="J949" s="1939">
        <f t="shared" ref="J949:J950" si="555">E949*I949</f>
        <v>0</v>
      </c>
      <c r="K949" s="1864">
        <f t="shared" ref="K949:K950" si="556">H949+J949</f>
        <v>0</v>
      </c>
      <c r="L949" s="1940"/>
      <c r="M949" s="1941"/>
    </row>
    <row r="950" spans="1:13">
      <c r="A950" s="1901"/>
      <c r="B950" s="1755" t="s">
        <v>528</v>
      </c>
      <c r="C950" s="1867" t="s">
        <v>526</v>
      </c>
      <c r="D950" s="1868"/>
      <c r="E950" s="1942">
        <v>0</v>
      </c>
      <c r="F950" s="1806" t="s">
        <v>37</v>
      </c>
      <c r="G950" s="1936">
        <v>1296</v>
      </c>
      <c r="H950" s="1861">
        <f t="shared" si="554"/>
        <v>0</v>
      </c>
      <c r="I950" s="1938">
        <v>1600</v>
      </c>
      <c r="J950" s="1939">
        <f t="shared" si="555"/>
        <v>0</v>
      </c>
      <c r="K950" s="1864">
        <f t="shared" si="556"/>
        <v>0</v>
      </c>
      <c r="L950" s="1940"/>
      <c r="M950" s="1941"/>
    </row>
    <row r="951" spans="1:13">
      <c r="A951" s="1901"/>
      <c r="B951" s="1755"/>
      <c r="C951" s="1867" t="s">
        <v>2804</v>
      </c>
      <c r="D951" s="1868"/>
      <c r="E951" s="1942"/>
      <c r="F951" s="1806"/>
      <c r="G951" s="1936"/>
      <c r="H951" s="1937"/>
      <c r="I951" s="1938"/>
      <c r="J951" s="1939"/>
      <c r="K951" s="1864"/>
      <c r="L951" s="1940"/>
      <c r="M951" s="1941"/>
    </row>
    <row r="952" spans="1:13">
      <c r="A952" s="1901"/>
      <c r="B952" s="1755"/>
      <c r="C952" s="1867" t="s">
        <v>527</v>
      </c>
      <c r="D952" s="1868"/>
      <c r="E952" s="1942"/>
      <c r="F952" s="1806"/>
      <c r="G952" s="1943">
        <v>165</v>
      </c>
      <c r="H952" s="1861">
        <f t="shared" ref="H952:H954" si="557">E952*G952</f>
        <v>0</v>
      </c>
      <c r="I952" s="1944">
        <v>25</v>
      </c>
      <c r="J952" s="1939">
        <f t="shared" ref="J952:J954" si="558">E952*I952</f>
        <v>0</v>
      </c>
      <c r="K952" s="1864">
        <f t="shared" ref="K952:K954" si="559">H952+J952</f>
        <v>0</v>
      </c>
      <c r="L952" s="1940"/>
      <c r="M952" s="1941"/>
    </row>
    <row r="953" spans="1:13">
      <c r="A953" s="1901"/>
      <c r="B953" s="1755"/>
      <c r="C953" s="1867"/>
      <c r="D953" s="1868"/>
      <c r="E953" s="1942"/>
      <c r="F953" s="1806"/>
      <c r="G953" s="1943"/>
      <c r="H953" s="1861"/>
      <c r="I953" s="1944"/>
      <c r="J953" s="1939"/>
      <c r="K953" s="1864"/>
      <c r="L953" s="1940"/>
      <c r="M953" s="1941"/>
    </row>
    <row r="954" spans="1:13">
      <c r="A954" s="1901"/>
      <c r="B954" s="1755" t="s">
        <v>529</v>
      </c>
      <c r="C954" s="1867" t="s">
        <v>526</v>
      </c>
      <c r="D954" s="1868"/>
      <c r="E954" s="1942">
        <v>0</v>
      </c>
      <c r="F954" s="1806" t="s">
        <v>37</v>
      </c>
      <c r="G954" s="1936">
        <v>5900</v>
      </c>
      <c r="H954" s="1861">
        <f t="shared" si="557"/>
        <v>0</v>
      </c>
      <c r="I954" s="1938">
        <v>1200</v>
      </c>
      <c r="J954" s="1939">
        <f t="shared" si="558"/>
        <v>0</v>
      </c>
      <c r="K954" s="1864">
        <f t="shared" si="559"/>
        <v>0</v>
      </c>
      <c r="L954" s="1940"/>
      <c r="M954" s="1941"/>
    </row>
    <row r="955" spans="1:13">
      <c r="A955" s="1901"/>
      <c r="B955" s="1755"/>
      <c r="C955" s="1867" t="s">
        <v>2804</v>
      </c>
      <c r="D955" s="1868"/>
      <c r="E955" s="1942"/>
      <c r="F955" s="1806"/>
      <c r="G955" s="1936"/>
      <c r="H955" s="1937"/>
      <c r="I955" s="1938"/>
      <c r="J955" s="1939"/>
      <c r="K955" s="1864"/>
      <c r="L955" s="1940"/>
      <c r="M955" s="2300"/>
    </row>
    <row r="956" spans="1:13">
      <c r="A956" s="1901"/>
      <c r="B956" s="1755" t="s">
        <v>530</v>
      </c>
      <c r="C956" s="1867" t="s">
        <v>526</v>
      </c>
      <c r="D956" s="1868"/>
      <c r="E956" s="1942">
        <v>0</v>
      </c>
      <c r="F956" s="1806" t="s">
        <v>37</v>
      </c>
      <c r="G956" s="1936">
        <v>6000</v>
      </c>
      <c r="H956" s="1861">
        <f t="shared" ref="H956" si="560">E956*G956</f>
        <v>0</v>
      </c>
      <c r="I956" s="1938">
        <v>1550</v>
      </c>
      <c r="J956" s="1939">
        <f t="shared" ref="J956" si="561">E956*I956</f>
        <v>0</v>
      </c>
      <c r="K956" s="1864">
        <f t="shared" ref="K956" si="562">H956+J956</f>
        <v>0</v>
      </c>
      <c r="L956" s="1940"/>
      <c r="M956" s="1941"/>
    </row>
    <row r="957" spans="1:13">
      <c r="A957" s="1901"/>
      <c r="B957" s="1755"/>
      <c r="C957" s="1867" t="s">
        <v>2805</v>
      </c>
      <c r="D957" s="1868"/>
      <c r="E957" s="1942"/>
      <c r="F957" s="1806"/>
      <c r="G957" s="1936"/>
      <c r="H957" s="1937"/>
      <c r="I957" s="1938"/>
      <c r="J957" s="1939"/>
      <c r="K957" s="1864"/>
      <c r="L957" s="1940"/>
      <c r="M957" s="1941"/>
    </row>
    <row r="958" spans="1:13">
      <c r="A958" s="1901"/>
      <c r="B958" s="1755" t="s">
        <v>531</v>
      </c>
      <c r="C958" s="1867" t="s">
        <v>532</v>
      </c>
      <c r="D958" s="1868"/>
      <c r="E958" s="1942">
        <v>0</v>
      </c>
      <c r="F958" s="1806" t="s">
        <v>37</v>
      </c>
      <c r="G958" s="2297">
        <f>13+69</f>
        <v>82</v>
      </c>
      <c r="H958" s="1861">
        <f t="shared" ref="H958:H960" si="563">E958*G958</f>
        <v>0</v>
      </c>
      <c r="I958" s="2301">
        <f>30+28</f>
        <v>58</v>
      </c>
      <c r="J958" s="1939">
        <f t="shared" ref="J958:J960" si="564">E958*I958</f>
        <v>0</v>
      </c>
      <c r="K958" s="1864">
        <f t="shared" ref="K958:K960" si="565">H958+J958</f>
        <v>0</v>
      </c>
      <c r="L958" s="2299"/>
    </row>
    <row r="959" spans="1:13">
      <c r="A959" s="1901"/>
      <c r="B959" s="1755"/>
      <c r="C959" s="1867"/>
      <c r="D959" s="1868"/>
      <c r="E959" s="1942"/>
      <c r="F959" s="1806"/>
      <c r="G959" s="2297"/>
      <c r="H959" s="1861"/>
      <c r="I959" s="2301"/>
      <c r="J959" s="1939"/>
      <c r="K959" s="1864"/>
      <c r="L959" s="2299"/>
    </row>
    <row r="960" spans="1:13">
      <c r="A960" s="1901"/>
      <c r="B960" s="1755" t="s">
        <v>533</v>
      </c>
      <c r="C960" s="1867" t="s">
        <v>534</v>
      </c>
      <c r="D960" s="1868"/>
      <c r="E960" s="1942">
        <v>0</v>
      </c>
      <c r="F960" s="1806" t="s">
        <v>37</v>
      </c>
      <c r="G960" s="1936">
        <v>0</v>
      </c>
      <c r="H960" s="1861">
        <f t="shared" si="563"/>
        <v>0</v>
      </c>
      <c r="I960" s="1938">
        <v>0</v>
      </c>
      <c r="J960" s="1939">
        <f t="shared" si="564"/>
        <v>0</v>
      </c>
      <c r="K960" s="1864">
        <f t="shared" si="565"/>
        <v>0</v>
      </c>
      <c r="L960" s="1940"/>
    </row>
    <row r="961" spans="1:24">
      <c r="A961" s="1901"/>
      <c r="B961" s="1755"/>
      <c r="C961" s="1755" t="s">
        <v>535</v>
      </c>
      <c r="D961" s="1868"/>
      <c r="E961" s="1942"/>
      <c r="F961" s="1806"/>
      <c r="G961" s="1936"/>
      <c r="H961" s="1937"/>
      <c r="I961" s="1938"/>
      <c r="J961" s="1939"/>
      <c r="K961" s="1864"/>
      <c r="L961" s="1940"/>
      <c r="N961" s="1797">
        <f>SUM(K883:K961)</f>
        <v>4007452.6</v>
      </c>
    </row>
    <row r="962" spans="1:24" ht="24" customHeight="1">
      <c r="A962" s="1933" t="s">
        <v>550</v>
      </c>
      <c r="B962" s="1908" t="s">
        <v>551</v>
      </c>
      <c r="C962" s="1850"/>
      <c r="D962" s="1965"/>
      <c r="E962" s="1897"/>
      <c r="F962" s="1806"/>
      <c r="G962" s="1966"/>
      <c r="H962" s="1967"/>
      <c r="I962" s="1968"/>
      <c r="J962" s="1856"/>
      <c r="K962" s="1857"/>
      <c r="L962" s="1858"/>
      <c r="M962" s="1809"/>
      <c r="N962" s="1837"/>
      <c r="O962" s="1837"/>
      <c r="P962" s="1837"/>
      <c r="Q962" s="1837"/>
      <c r="R962" s="1837"/>
      <c r="S962" s="1837"/>
      <c r="T962" s="1837"/>
      <c r="U962" s="1837"/>
      <c r="V962" s="1837"/>
      <c r="W962" s="1837"/>
      <c r="X962" s="1837"/>
    </row>
    <row r="963" spans="1:24">
      <c r="A963" s="1901"/>
      <c r="B963" s="1783"/>
      <c r="C963" s="1867" t="s">
        <v>538</v>
      </c>
      <c r="D963" s="1859"/>
      <c r="E963" s="1860">
        <v>2811</v>
      </c>
      <c r="F963" s="1806" t="s">
        <v>37</v>
      </c>
      <c r="G963" s="1936">
        <v>281</v>
      </c>
      <c r="H963" s="1937">
        <f>E963*G963</f>
        <v>789891</v>
      </c>
      <c r="I963" s="1938">
        <v>80</v>
      </c>
      <c r="J963" s="1939">
        <f>E963*I963</f>
        <v>224880</v>
      </c>
      <c r="K963" s="1864">
        <f>H963+J963</f>
        <v>1014771</v>
      </c>
      <c r="L963" s="1940"/>
      <c r="M963" s="1941"/>
    </row>
    <row r="964" spans="1:24">
      <c r="A964" s="1901"/>
      <c r="B964" s="1783"/>
      <c r="C964" s="1867" t="s">
        <v>539</v>
      </c>
      <c r="D964" s="1859"/>
      <c r="E964" s="1860">
        <f>+E1012</f>
        <v>0</v>
      </c>
      <c r="F964" s="1806" t="s">
        <v>37</v>
      </c>
      <c r="G964" s="1936">
        <v>712</v>
      </c>
      <c r="H964" s="1937">
        <f t="shared" ref="H964:H979" si="566">E964*G964</f>
        <v>0</v>
      </c>
      <c r="I964" s="1938">
        <v>98</v>
      </c>
      <c r="J964" s="1939">
        <f t="shared" ref="J964:J979" si="567">E964*I964</f>
        <v>0</v>
      </c>
      <c r="K964" s="1864">
        <f t="shared" ref="K964:K979" si="568">H964+J964</f>
        <v>0</v>
      </c>
      <c r="L964" s="1940"/>
      <c r="M964" s="1941"/>
    </row>
    <row r="965" spans="1:24">
      <c r="A965" s="1901"/>
      <c r="B965" s="1783"/>
      <c r="C965" s="1867" t="s">
        <v>470</v>
      </c>
      <c r="D965" s="1859"/>
      <c r="E965" s="1860">
        <f>+E963*1.33</f>
        <v>3738.63</v>
      </c>
      <c r="F965" s="1806" t="s">
        <v>438</v>
      </c>
      <c r="G965" s="1936">
        <v>119</v>
      </c>
      <c r="H965" s="1937">
        <f t="shared" si="566"/>
        <v>444896.97000000003</v>
      </c>
      <c r="I965" s="1938">
        <v>44</v>
      </c>
      <c r="J965" s="1939">
        <f t="shared" si="567"/>
        <v>164499.72</v>
      </c>
      <c r="K965" s="1864">
        <f t="shared" si="568"/>
        <v>609396.69000000006</v>
      </c>
      <c r="L965" s="1940" t="s">
        <v>2878</v>
      </c>
      <c r="M965" s="1941"/>
    </row>
    <row r="966" spans="1:24">
      <c r="A966" s="1901"/>
      <c r="B966" s="1783"/>
      <c r="C966" s="1867" t="s">
        <v>471</v>
      </c>
      <c r="D966" s="1859"/>
      <c r="E966" s="1860">
        <f>+E964*1.33</f>
        <v>0</v>
      </c>
      <c r="F966" s="1806" t="s">
        <v>438</v>
      </c>
      <c r="G966" s="1936">
        <v>208</v>
      </c>
      <c r="H966" s="1937">
        <f t="shared" si="566"/>
        <v>0</v>
      </c>
      <c r="I966" s="1938">
        <v>78</v>
      </c>
      <c r="J966" s="1939">
        <f t="shared" si="567"/>
        <v>0</v>
      </c>
      <c r="K966" s="1864">
        <f t="shared" si="568"/>
        <v>0</v>
      </c>
      <c r="L966" s="1940" t="s">
        <v>2878</v>
      </c>
      <c r="M966" s="1941"/>
    </row>
    <row r="967" spans="1:24">
      <c r="A967" s="1901"/>
      <c r="B967" s="1783"/>
      <c r="C967" s="1867" t="s">
        <v>472</v>
      </c>
      <c r="D967" s="1859"/>
      <c r="E967" s="1860">
        <v>715</v>
      </c>
      <c r="F967" s="1806" t="s">
        <v>37</v>
      </c>
      <c r="G967" s="1936">
        <v>88</v>
      </c>
      <c r="H967" s="1937">
        <f t="shared" si="566"/>
        <v>62920</v>
      </c>
      <c r="I967" s="1938">
        <v>82</v>
      </c>
      <c r="J967" s="1939">
        <f t="shared" si="567"/>
        <v>58630</v>
      </c>
      <c r="K967" s="1864">
        <f t="shared" si="568"/>
        <v>121550</v>
      </c>
      <c r="L967" s="1940" t="s">
        <v>2885</v>
      </c>
      <c r="M967" s="1941"/>
    </row>
    <row r="968" spans="1:24">
      <c r="A968" s="1901"/>
      <c r="B968" s="1783"/>
      <c r="C968" s="1867" t="s">
        <v>540</v>
      </c>
      <c r="D968" s="1859"/>
      <c r="E968" s="1860">
        <v>2943</v>
      </c>
      <c r="F968" s="1806" t="s">
        <v>37</v>
      </c>
      <c r="G968" s="1936">
        <v>88</v>
      </c>
      <c r="H968" s="1937">
        <f t="shared" si="566"/>
        <v>258984</v>
      </c>
      <c r="I968" s="1938">
        <v>82</v>
      </c>
      <c r="J968" s="1939">
        <f t="shared" si="567"/>
        <v>241326</v>
      </c>
      <c r="K968" s="1864">
        <f t="shared" si="568"/>
        <v>500310</v>
      </c>
      <c r="L968" s="1940"/>
      <c r="M968" s="1941"/>
    </row>
    <row r="969" spans="1:24">
      <c r="A969" s="1901"/>
      <c r="B969" s="1783"/>
      <c r="C969" s="1867" t="s">
        <v>541</v>
      </c>
      <c r="D969" s="1859"/>
      <c r="E969" s="1860">
        <v>511</v>
      </c>
      <c r="F969" s="1806" t="s">
        <v>37</v>
      </c>
      <c r="G969" s="1936">
        <v>88</v>
      </c>
      <c r="H969" s="1937">
        <f t="shared" si="566"/>
        <v>44968</v>
      </c>
      <c r="I969" s="1938">
        <v>95</v>
      </c>
      <c r="J969" s="1939">
        <f t="shared" si="567"/>
        <v>48545</v>
      </c>
      <c r="K969" s="1864">
        <f t="shared" si="568"/>
        <v>93513</v>
      </c>
      <c r="L969" s="1940"/>
      <c r="M969" s="1941"/>
    </row>
    <row r="970" spans="1:24">
      <c r="A970" s="1901"/>
      <c r="B970" s="1755" t="s">
        <v>475</v>
      </c>
      <c r="C970" s="1867" t="s">
        <v>476</v>
      </c>
      <c r="D970" s="1868"/>
      <c r="E970" s="1962">
        <v>0</v>
      </c>
      <c r="F970" s="1806" t="s">
        <v>37</v>
      </c>
      <c r="G970" s="1936">
        <v>88</v>
      </c>
      <c r="H970" s="1937">
        <f t="shared" si="566"/>
        <v>0</v>
      </c>
      <c r="I970" s="1938">
        <v>95</v>
      </c>
      <c r="J970" s="1939">
        <f t="shared" si="567"/>
        <v>0</v>
      </c>
      <c r="K970" s="1864">
        <f t="shared" si="568"/>
        <v>0</v>
      </c>
      <c r="L970" s="1940" t="s">
        <v>2880</v>
      </c>
      <c r="M970" s="1941"/>
    </row>
    <row r="971" spans="1:24">
      <c r="A971" s="1901"/>
      <c r="B971" s="1755"/>
      <c r="C971" s="1867" t="s">
        <v>477</v>
      </c>
      <c r="D971" s="1868"/>
      <c r="E971" s="1962">
        <f>E970</f>
        <v>0</v>
      </c>
      <c r="F971" s="1806" t="s">
        <v>37</v>
      </c>
      <c r="G971" s="2297">
        <v>69</v>
      </c>
      <c r="H971" s="1937">
        <f t="shared" si="566"/>
        <v>0</v>
      </c>
      <c r="I971" s="2301">
        <v>28</v>
      </c>
      <c r="J971" s="1939">
        <f t="shared" si="567"/>
        <v>0</v>
      </c>
      <c r="K971" s="1864">
        <f t="shared" si="568"/>
        <v>0</v>
      </c>
      <c r="L971" s="2299"/>
      <c r="M971" s="2300"/>
    </row>
    <row r="972" spans="1:24">
      <c r="A972" s="1901"/>
      <c r="B972" s="1755" t="s">
        <v>478</v>
      </c>
      <c r="C972" s="1867" t="s">
        <v>479</v>
      </c>
      <c r="D972" s="1868"/>
      <c r="E972" s="1962">
        <v>1494</v>
      </c>
      <c r="F972" s="1806" t="s">
        <v>37</v>
      </c>
      <c r="G972" s="1936">
        <v>88</v>
      </c>
      <c r="H972" s="1937">
        <f t="shared" si="566"/>
        <v>131472</v>
      </c>
      <c r="I972" s="1938">
        <v>82</v>
      </c>
      <c r="J972" s="1939">
        <f t="shared" si="567"/>
        <v>122508</v>
      </c>
      <c r="K972" s="1864">
        <f t="shared" si="568"/>
        <v>253980</v>
      </c>
      <c r="L972" s="1940"/>
      <c r="M972" s="1941"/>
    </row>
    <row r="973" spans="1:24">
      <c r="A973" s="1901"/>
      <c r="B973" s="1755" t="s">
        <v>480</v>
      </c>
      <c r="C973" s="1867" t="s">
        <v>476</v>
      </c>
      <c r="D973" s="1868"/>
      <c r="E973" s="1942">
        <v>2661</v>
      </c>
      <c r="F973" s="1806" t="s">
        <v>37</v>
      </c>
      <c r="G973" s="1936">
        <v>88</v>
      </c>
      <c r="H973" s="1937">
        <f t="shared" si="566"/>
        <v>234168</v>
      </c>
      <c r="I973" s="1938">
        <v>82</v>
      </c>
      <c r="J973" s="1939">
        <f t="shared" si="567"/>
        <v>218202</v>
      </c>
      <c r="K973" s="1864">
        <f t="shared" si="568"/>
        <v>452370</v>
      </c>
      <c r="L973" s="1940" t="s">
        <v>2880</v>
      </c>
      <c r="M973" s="1941"/>
    </row>
    <row r="974" spans="1:24">
      <c r="A974" s="1901"/>
      <c r="B974" s="1755"/>
      <c r="C974" s="1867" t="s">
        <v>481</v>
      </c>
      <c r="D974" s="1868"/>
      <c r="E974" s="1942">
        <f>E973</f>
        <v>2661</v>
      </c>
      <c r="F974" s="1806" t="s">
        <v>37</v>
      </c>
      <c r="G974" s="2297">
        <v>69</v>
      </c>
      <c r="H974" s="1937">
        <f t="shared" si="566"/>
        <v>183609</v>
      </c>
      <c r="I974" s="2301">
        <v>28</v>
      </c>
      <c r="J974" s="1939">
        <f t="shared" si="567"/>
        <v>74508</v>
      </c>
      <c r="K974" s="1864">
        <f t="shared" si="568"/>
        <v>258117</v>
      </c>
      <c r="L974" s="2299"/>
      <c r="M974" s="2300"/>
    </row>
    <row r="975" spans="1:24">
      <c r="A975" s="1901"/>
      <c r="B975" s="1755" t="s">
        <v>2787</v>
      </c>
      <c r="C975" s="1867" t="s">
        <v>2788</v>
      </c>
      <c r="D975" s="1868"/>
      <c r="E975" s="1942">
        <v>0</v>
      </c>
      <c r="F975" s="1806" t="s">
        <v>37</v>
      </c>
      <c r="G975" s="1936">
        <v>103</v>
      </c>
      <c r="H975" s="1937">
        <f t="shared" si="566"/>
        <v>0</v>
      </c>
      <c r="I975" s="1938">
        <v>115</v>
      </c>
      <c r="J975" s="1939">
        <f t="shared" si="567"/>
        <v>0</v>
      </c>
      <c r="K975" s="1864">
        <f t="shared" si="568"/>
        <v>0</v>
      </c>
      <c r="L975" s="1940" t="s">
        <v>2880</v>
      </c>
      <c r="M975" s="1941"/>
    </row>
    <row r="976" spans="1:24">
      <c r="A976" s="1901"/>
      <c r="B976" s="1755"/>
      <c r="C976" s="1867" t="s">
        <v>482</v>
      </c>
      <c r="D976" s="1868"/>
      <c r="E976" s="1942">
        <f>E975</f>
        <v>0</v>
      </c>
      <c r="F976" s="1806" t="s">
        <v>37</v>
      </c>
      <c r="G976" s="2297">
        <v>69</v>
      </c>
      <c r="H976" s="1937">
        <f t="shared" si="566"/>
        <v>0</v>
      </c>
      <c r="I976" s="2301">
        <v>28</v>
      </c>
      <c r="J976" s="1939">
        <f t="shared" si="567"/>
        <v>0</v>
      </c>
      <c r="K976" s="1864">
        <f t="shared" si="568"/>
        <v>0</v>
      </c>
      <c r="L976" s="2299"/>
      <c r="M976" s="2300"/>
    </row>
    <row r="977" spans="1:24">
      <c r="A977" s="1901"/>
      <c r="B977" s="1755" t="s">
        <v>483</v>
      </c>
      <c r="C977" s="1867" t="s">
        <v>484</v>
      </c>
      <c r="D977" s="1868"/>
      <c r="E977" s="1942">
        <v>0</v>
      </c>
      <c r="F977" s="1806" t="s">
        <v>37</v>
      </c>
      <c r="G977" s="1943">
        <v>1500</v>
      </c>
      <c r="H977" s="1937">
        <f t="shared" si="566"/>
        <v>0</v>
      </c>
      <c r="I977" s="1944">
        <v>500</v>
      </c>
      <c r="J977" s="1939">
        <f t="shared" si="567"/>
        <v>0</v>
      </c>
      <c r="K977" s="1864">
        <f t="shared" si="568"/>
        <v>0</v>
      </c>
      <c r="L977" s="1865"/>
      <c r="M977" s="1866"/>
    </row>
    <row r="978" spans="1:24">
      <c r="A978" s="1901"/>
      <c r="B978" s="1755"/>
      <c r="C978" s="1867" t="s">
        <v>482</v>
      </c>
      <c r="D978" s="1868"/>
      <c r="E978" s="1942">
        <v>0</v>
      </c>
      <c r="F978" s="1806" t="s">
        <v>37</v>
      </c>
      <c r="G978" s="2297">
        <v>69</v>
      </c>
      <c r="H978" s="1937">
        <f t="shared" si="566"/>
        <v>0</v>
      </c>
      <c r="I978" s="2301">
        <v>28</v>
      </c>
      <c r="J978" s="1939">
        <f t="shared" si="567"/>
        <v>0</v>
      </c>
      <c r="K978" s="1864">
        <f t="shared" si="568"/>
        <v>0</v>
      </c>
      <c r="L978" s="2299"/>
      <c r="M978" s="2300"/>
    </row>
    <row r="979" spans="1:24">
      <c r="A979" s="1901"/>
      <c r="B979" s="1755" t="s">
        <v>485</v>
      </c>
      <c r="C979" s="1867" t="s">
        <v>2789</v>
      </c>
      <c r="D979" s="1868"/>
      <c r="E979" s="1942">
        <v>0</v>
      </c>
      <c r="F979" s="1806" t="s">
        <v>37</v>
      </c>
      <c r="G979" s="1943">
        <v>492</v>
      </c>
      <c r="H979" s="1937">
        <f t="shared" si="566"/>
        <v>0</v>
      </c>
      <c r="I979" s="1944">
        <v>130</v>
      </c>
      <c r="J979" s="1939">
        <f t="shared" si="567"/>
        <v>0</v>
      </c>
      <c r="K979" s="1864">
        <f t="shared" si="568"/>
        <v>0</v>
      </c>
      <c r="L979" s="2299"/>
      <c r="M979" s="2300"/>
    </row>
    <row r="980" spans="1:24">
      <c r="A980" s="1901"/>
      <c r="B980" s="1755"/>
      <c r="C980" s="1867" t="s">
        <v>2790</v>
      </c>
      <c r="D980" s="1868"/>
      <c r="E980" s="1860"/>
      <c r="F980" s="1860"/>
      <c r="G980" s="1943"/>
      <c r="H980" s="1861"/>
      <c r="I980" s="1944"/>
      <c r="J980" s="1939"/>
      <c r="K980" s="1864"/>
      <c r="L980" s="2299"/>
      <c r="M980" s="2300"/>
    </row>
    <row r="981" spans="1:24">
      <c r="A981" s="1901"/>
      <c r="B981" s="1755"/>
      <c r="C981" s="1867" t="s">
        <v>486</v>
      </c>
      <c r="D981" s="1868"/>
      <c r="E981" s="1860"/>
      <c r="F981" s="1860"/>
      <c r="G981" s="1943"/>
      <c r="H981" s="1861"/>
      <c r="I981" s="1944"/>
      <c r="J981" s="1939"/>
      <c r="K981" s="1864"/>
      <c r="L981" s="2299"/>
      <c r="M981" s="2300"/>
    </row>
    <row r="982" spans="1:24">
      <c r="A982" s="1901"/>
      <c r="B982" s="1755"/>
      <c r="C982" s="1867"/>
      <c r="D982" s="1868"/>
      <c r="E982" s="1860"/>
      <c r="F982" s="1860"/>
      <c r="G982" s="1943"/>
      <c r="H982" s="1861"/>
      <c r="I982" s="1944"/>
      <c r="J982" s="1939"/>
      <c r="K982" s="1864"/>
      <c r="L982" s="2299"/>
      <c r="M982" s="2300"/>
    </row>
    <row r="983" spans="1:24">
      <c r="A983" s="1901"/>
      <c r="B983" s="1755"/>
      <c r="C983" s="1867"/>
      <c r="D983" s="1868"/>
      <c r="E983" s="1860"/>
      <c r="F983" s="1860"/>
      <c r="G983" s="1943"/>
      <c r="H983" s="1861"/>
      <c r="I983" s="1944"/>
      <c r="J983" s="1939"/>
      <c r="K983" s="1864"/>
      <c r="L983" s="2299"/>
      <c r="M983" s="2300"/>
    </row>
    <row r="984" spans="1:24">
      <c r="A984" s="1901"/>
      <c r="B984" s="1755" t="s">
        <v>487</v>
      </c>
      <c r="C984" s="1867" t="s">
        <v>2789</v>
      </c>
      <c r="D984" s="1868"/>
      <c r="E984" s="1942">
        <v>0</v>
      </c>
      <c r="F984" s="1806" t="s">
        <v>37</v>
      </c>
      <c r="G984" s="1943">
        <v>256</v>
      </c>
      <c r="H984" s="1861">
        <f>E984*G984</f>
        <v>0</v>
      </c>
      <c r="I984" s="1944">
        <v>100</v>
      </c>
      <c r="J984" s="1939">
        <f>E984*I984</f>
        <v>0</v>
      </c>
      <c r="K984" s="1864">
        <f t="shared" ref="K984" si="569">H984+J984</f>
        <v>0</v>
      </c>
      <c r="L984" s="2299"/>
      <c r="M984" s="2300"/>
    </row>
    <row r="985" spans="1:24">
      <c r="A985" s="1901"/>
      <c r="B985" s="1755"/>
      <c r="C985" s="1867" t="s">
        <v>2791</v>
      </c>
      <c r="D985" s="1868"/>
      <c r="E985" s="1860"/>
      <c r="F985" s="1860"/>
      <c r="G985" s="1943"/>
      <c r="H985" s="1861"/>
      <c r="I985" s="1944"/>
      <c r="J985" s="1939"/>
      <c r="K985" s="1864"/>
      <c r="L985" s="2299"/>
      <c r="M985" s="2300"/>
    </row>
    <row r="986" spans="1:24">
      <c r="A986" s="1901"/>
      <c r="B986" s="1755"/>
      <c r="C986" s="1867" t="s">
        <v>486</v>
      </c>
      <c r="D986" s="1868"/>
      <c r="E986" s="1860"/>
      <c r="F986" s="1860"/>
      <c r="G986" s="1943"/>
      <c r="H986" s="1861"/>
      <c r="I986" s="1944"/>
      <c r="J986" s="1939"/>
      <c r="K986" s="1864"/>
      <c r="L986" s="2299"/>
      <c r="M986" s="1941"/>
    </row>
    <row r="987" spans="1:24">
      <c r="A987" s="1901"/>
      <c r="B987" s="1755"/>
      <c r="C987" s="1867"/>
      <c r="D987" s="1868"/>
      <c r="E987" s="1860"/>
      <c r="F987" s="1860"/>
      <c r="G987" s="1943"/>
      <c r="H987" s="1861"/>
      <c r="I987" s="1944"/>
      <c r="J987" s="1939"/>
      <c r="K987" s="1864"/>
      <c r="L987" s="2299"/>
      <c r="M987" s="1941"/>
    </row>
    <row r="988" spans="1:24">
      <c r="A988" s="1901"/>
      <c r="B988" s="1755" t="s">
        <v>488</v>
      </c>
      <c r="C988" s="1867" t="s">
        <v>2926</v>
      </c>
      <c r="D988" s="1868"/>
      <c r="E988" s="1942">
        <v>0</v>
      </c>
      <c r="F988" s="1806" t="s">
        <v>37</v>
      </c>
      <c r="G988" s="1943">
        <v>350</v>
      </c>
      <c r="H988" s="1861">
        <f>E988*G988</f>
        <v>0</v>
      </c>
      <c r="I988" s="1944">
        <v>100</v>
      </c>
      <c r="J988" s="1939">
        <f>E988*I988</f>
        <v>0</v>
      </c>
      <c r="K988" s="1864">
        <f t="shared" ref="K988" si="570">H988+J988</f>
        <v>0</v>
      </c>
      <c r="L988" s="2299"/>
      <c r="M988" s="2300"/>
    </row>
    <row r="989" spans="1:24">
      <c r="A989" s="1901"/>
      <c r="B989" s="1755"/>
      <c r="C989" s="1867" t="s">
        <v>2793</v>
      </c>
      <c r="D989" s="1868"/>
      <c r="E989" s="1860"/>
      <c r="F989" s="1860"/>
      <c r="G989" s="1943"/>
      <c r="H989" s="1861"/>
      <c r="I989" s="1944"/>
      <c r="J989" s="1939"/>
      <c r="K989" s="1864"/>
      <c r="L989" s="1940"/>
      <c r="M989" s="2300"/>
    </row>
    <row r="990" spans="1:24">
      <c r="A990" s="1901"/>
      <c r="B990" s="1755"/>
      <c r="C990" s="1867" t="s">
        <v>489</v>
      </c>
      <c r="D990" s="1868"/>
      <c r="E990" s="1942">
        <f>E988</f>
        <v>0</v>
      </c>
      <c r="F990" s="1806" t="s">
        <v>37</v>
      </c>
      <c r="G990" s="2297">
        <v>69</v>
      </c>
      <c r="H990" s="1861">
        <f>E990*G990</f>
        <v>0</v>
      </c>
      <c r="I990" s="2298">
        <v>28</v>
      </c>
      <c r="J990" s="1939">
        <f>E990*I990</f>
        <v>0</v>
      </c>
      <c r="K990" s="1864">
        <f t="shared" ref="K990:K994" si="571">H990+J990</f>
        <v>0</v>
      </c>
      <c r="L990" s="2299"/>
      <c r="M990" s="1941"/>
    </row>
    <row r="991" spans="1:24" ht="24" customHeight="1">
      <c r="A991" s="1901"/>
      <c r="B991" s="1945" t="s">
        <v>2901</v>
      </c>
      <c r="C991" s="1867" t="s">
        <v>2902</v>
      </c>
      <c r="D991" s="1868"/>
      <c r="E991" s="1942">
        <v>0</v>
      </c>
      <c r="F991" s="1806" t="s">
        <v>37</v>
      </c>
      <c r="G991" s="1944">
        <v>195</v>
      </c>
      <c r="H991" s="1939">
        <f>E991*G991</f>
        <v>0</v>
      </c>
      <c r="I991" s="1944">
        <v>150</v>
      </c>
      <c r="J991" s="1939">
        <f t="shared" ref="J991" si="572">E991*I991</f>
        <v>0</v>
      </c>
      <c r="K991" s="1864">
        <f t="shared" si="571"/>
        <v>0</v>
      </c>
      <c r="L991" s="2299"/>
      <c r="N991" s="1836"/>
      <c r="O991" s="1837"/>
      <c r="P991" s="1837"/>
      <c r="Q991" s="1837"/>
      <c r="R991" s="1837"/>
      <c r="S991" s="1837"/>
      <c r="T991" s="1837"/>
      <c r="U991" s="1837"/>
      <c r="V991" s="1837"/>
      <c r="W991" s="1837"/>
      <c r="X991" s="1837"/>
    </row>
    <row r="992" spans="1:24" ht="24" customHeight="1">
      <c r="A992" s="1901"/>
      <c r="B992" s="1755"/>
      <c r="C992" s="1867" t="s">
        <v>2903</v>
      </c>
      <c r="D992" s="1868"/>
      <c r="E992" s="1860"/>
      <c r="F992" s="1860"/>
      <c r="G992" s="1944"/>
      <c r="H992" s="1939"/>
      <c r="I992" s="1944"/>
      <c r="J992" s="1939"/>
      <c r="K992" s="1864"/>
      <c r="L992" s="1940"/>
      <c r="M992" s="1946"/>
      <c r="N992" s="1836"/>
      <c r="O992" s="1837"/>
      <c r="P992" s="1837"/>
      <c r="Q992" s="1837"/>
      <c r="R992" s="1837"/>
      <c r="S992" s="1837"/>
      <c r="T992" s="1837"/>
      <c r="U992" s="1837"/>
      <c r="V992" s="1837"/>
      <c r="W992" s="1837"/>
      <c r="X992" s="1837"/>
    </row>
    <row r="993" spans="1:24" ht="24" customHeight="1">
      <c r="A993" s="1901"/>
      <c r="B993" s="1755"/>
      <c r="C993" s="1867" t="s">
        <v>2904</v>
      </c>
      <c r="D993" s="1868"/>
      <c r="E993" s="1942">
        <f>E991</f>
        <v>0</v>
      </c>
      <c r="F993" s="1806" t="s">
        <v>37</v>
      </c>
      <c r="G993" s="2298">
        <v>120</v>
      </c>
      <c r="H993" s="1947">
        <f>SUM(E993*G993)</f>
        <v>0</v>
      </c>
      <c r="I993" s="2298">
        <v>56</v>
      </c>
      <c r="J993" s="1939">
        <f>E993*I993</f>
        <v>0</v>
      </c>
      <c r="K993" s="1864">
        <f>H993+J993</f>
        <v>0</v>
      </c>
      <c r="L993" s="2299"/>
      <c r="M993" s="1946"/>
      <c r="N993" s="1836"/>
      <c r="O993" s="1837"/>
      <c r="P993" s="1837"/>
      <c r="Q993" s="1837"/>
      <c r="R993" s="1837"/>
      <c r="S993" s="1837"/>
      <c r="T993" s="1837"/>
      <c r="U993" s="1837"/>
      <c r="V993" s="1837"/>
      <c r="W993" s="1837"/>
      <c r="X993" s="1837"/>
    </row>
    <row r="994" spans="1:24">
      <c r="A994" s="1901"/>
      <c r="B994" s="1755" t="s">
        <v>490</v>
      </c>
      <c r="C994" s="1867" t="s">
        <v>2789</v>
      </c>
      <c r="D994" s="1868"/>
      <c r="E994" s="1942">
        <v>0</v>
      </c>
      <c r="F994" s="1806" t="s">
        <v>37</v>
      </c>
      <c r="G994" s="1943">
        <v>592</v>
      </c>
      <c r="H994" s="1861">
        <f>E994*G994</f>
        <v>0</v>
      </c>
      <c r="I994" s="1944">
        <v>165</v>
      </c>
      <c r="J994" s="1939">
        <f>E994*I994</f>
        <v>0</v>
      </c>
      <c r="K994" s="1864">
        <f t="shared" si="571"/>
        <v>0</v>
      </c>
      <c r="L994" s="2299"/>
      <c r="M994" s="2300"/>
    </row>
    <row r="995" spans="1:24">
      <c r="A995" s="1901"/>
      <c r="B995" s="1755"/>
      <c r="C995" s="1867" t="s">
        <v>2790</v>
      </c>
      <c r="D995" s="1868"/>
      <c r="E995" s="1860"/>
      <c r="F995" s="1860"/>
      <c r="G995" s="1943"/>
      <c r="H995" s="1861"/>
      <c r="I995" s="1944"/>
      <c r="J995" s="1939"/>
      <c r="K995" s="1864"/>
      <c r="L995" s="1940"/>
      <c r="M995" s="1941"/>
    </row>
    <row r="996" spans="1:24">
      <c r="A996" s="1901"/>
      <c r="B996" s="1755"/>
      <c r="C996" s="1867" t="s">
        <v>2794</v>
      </c>
      <c r="D996" s="1868"/>
      <c r="E996" s="1860"/>
      <c r="F996" s="1860"/>
      <c r="G996" s="1943"/>
      <c r="H996" s="1861"/>
      <c r="I996" s="1944"/>
      <c r="J996" s="1939"/>
      <c r="K996" s="1864"/>
      <c r="L996" s="1940"/>
      <c r="M996" s="1941"/>
    </row>
    <row r="997" spans="1:24">
      <c r="A997" s="1901"/>
      <c r="B997" s="1755" t="s">
        <v>491</v>
      </c>
      <c r="C997" s="1867" t="s">
        <v>2795</v>
      </c>
      <c r="D997" s="1868"/>
      <c r="E997" s="1942">
        <v>0</v>
      </c>
      <c r="F997" s="1806" t="s">
        <v>37</v>
      </c>
      <c r="G997" s="1943"/>
      <c r="H997" s="1861"/>
      <c r="I997" s="1944"/>
      <c r="J997" s="1939"/>
      <c r="K997" s="1864"/>
      <c r="L997" s="2299"/>
      <c r="M997" s="1949"/>
    </row>
    <row r="998" spans="1:24">
      <c r="A998" s="1901"/>
      <c r="B998" s="1755"/>
      <c r="C998" s="1867" t="s">
        <v>2792</v>
      </c>
      <c r="D998" s="1868"/>
      <c r="E998" s="1860"/>
      <c r="F998" s="1860"/>
      <c r="G998" s="1943">
        <v>642</v>
      </c>
      <c r="H998" s="1861">
        <f>E998*G998</f>
        <v>0</v>
      </c>
      <c r="I998" s="1944">
        <v>183</v>
      </c>
      <c r="J998" s="1939">
        <f>E998*I998</f>
        <v>0</v>
      </c>
      <c r="K998" s="1864">
        <f t="shared" ref="K998" si="573">H998+J998</f>
        <v>0</v>
      </c>
      <c r="L998" s="1940"/>
      <c r="M998" s="1941"/>
    </row>
    <row r="999" spans="1:24">
      <c r="A999" s="1901"/>
      <c r="B999" s="1755"/>
      <c r="C999" s="1867" t="s">
        <v>542</v>
      </c>
      <c r="D999" s="1868"/>
      <c r="E999" s="1860"/>
      <c r="F999" s="1860"/>
      <c r="G999" s="1943"/>
      <c r="H999" s="1861"/>
      <c r="I999" s="1944"/>
      <c r="J999" s="1939"/>
      <c r="K999" s="1864"/>
      <c r="L999" s="1940"/>
      <c r="M999" s="2300"/>
    </row>
    <row r="1000" spans="1:24">
      <c r="A1000" s="1901"/>
      <c r="B1000" s="1755"/>
      <c r="C1000" s="1867" t="s">
        <v>2796</v>
      </c>
      <c r="D1000" s="1868"/>
      <c r="E1000" s="1860"/>
      <c r="F1000" s="1860"/>
      <c r="G1000" s="1943"/>
      <c r="H1000" s="1861"/>
      <c r="I1000" s="1944"/>
      <c r="J1000" s="1939"/>
      <c r="K1000" s="1864"/>
      <c r="L1000" s="1940"/>
      <c r="M1000" s="1941"/>
    </row>
    <row r="1001" spans="1:24">
      <c r="A1001" s="1901"/>
      <c r="B1001" s="1755" t="s">
        <v>492</v>
      </c>
      <c r="C1001" s="1867" t="s">
        <v>2797</v>
      </c>
      <c r="D1001" s="1868"/>
      <c r="E1001" s="1942">
        <v>0</v>
      </c>
      <c r="F1001" s="1806" t="s">
        <v>37</v>
      </c>
      <c r="G1001" s="1943">
        <v>520</v>
      </c>
      <c r="H1001" s="1861">
        <f>E1001*G1001</f>
        <v>0</v>
      </c>
      <c r="I1001" s="1944">
        <v>270</v>
      </c>
      <c r="J1001" s="1939">
        <f>E1001*I1001</f>
        <v>0</v>
      </c>
      <c r="K1001" s="1864">
        <f t="shared" ref="K1001" si="574">H1001+J1001</f>
        <v>0</v>
      </c>
      <c r="L1001" s="1948"/>
      <c r="M1001" s="1941"/>
    </row>
    <row r="1002" spans="1:24">
      <c r="A1002" s="1901"/>
      <c r="B1002" s="1755"/>
      <c r="C1002" s="1867" t="s">
        <v>2798</v>
      </c>
      <c r="D1002" s="1868"/>
      <c r="E1002" s="1860">
        <v>0</v>
      </c>
      <c r="F1002" s="1860"/>
      <c r="G1002" s="1943"/>
      <c r="H1002" s="1861"/>
      <c r="I1002" s="1944"/>
      <c r="J1002" s="1939"/>
      <c r="K1002" s="1864"/>
      <c r="L1002" s="1940"/>
      <c r="M1002" s="1941"/>
    </row>
    <row r="1003" spans="1:24">
      <c r="A1003" s="1901"/>
      <c r="B1003" s="1755"/>
      <c r="C1003" s="1867" t="s">
        <v>493</v>
      </c>
      <c r="D1003" s="1868"/>
      <c r="E1003" s="1860"/>
      <c r="F1003" s="1860"/>
      <c r="G1003" s="1943"/>
      <c r="H1003" s="1861"/>
      <c r="I1003" s="1944"/>
      <c r="J1003" s="1939"/>
      <c r="K1003" s="1864"/>
      <c r="L1003" s="1940"/>
      <c r="M1003" s="1941"/>
    </row>
    <row r="1004" spans="1:24">
      <c r="A1004" s="1901"/>
      <c r="B1004" s="1755" t="s">
        <v>494</v>
      </c>
      <c r="C1004" s="1867" t="s">
        <v>2799</v>
      </c>
      <c r="D1004" s="1868"/>
      <c r="E1004" s="1942">
        <v>0</v>
      </c>
      <c r="F1004" s="1806" t="s">
        <v>37</v>
      </c>
      <c r="G1004" s="1943">
        <v>256</v>
      </c>
      <c r="H1004" s="1861">
        <f>E1004*G1004</f>
        <v>0</v>
      </c>
      <c r="I1004" s="1944">
        <v>100</v>
      </c>
      <c r="J1004" s="1939">
        <f>E1004*I1004</f>
        <v>0</v>
      </c>
      <c r="K1004" s="1864">
        <f>H1004+J1004</f>
        <v>0</v>
      </c>
      <c r="L1004" s="2299"/>
      <c r="M1004" s="1941"/>
    </row>
    <row r="1005" spans="1:24">
      <c r="A1005" s="1901"/>
      <c r="B1005" s="1755"/>
      <c r="C1005" s="1867" t="s">
        <v>2800</v>
      </c>
      <c r="D1005" s="1868"/>
      <c r="E1005" s="1860"/>
      <c r="F1005" s="1860"/>
      <c r="G1005" s="1943"/>
      <c r="H1005" s="1861"/>
      <c r="I1005" s="1944"/>
      <c r="J1005" s="1939"/>
      <c r="K1005" s="1864"/>
      <c r="L1005" s="1940"/>
      <c r="M1005" s="1941"/>
    </row>
    <row r="1006" spans="1:24">
      <c r="A1006" s="1901"/>
      <c r="B1006" s="1755"/>
      <c r="C1006" s="1867" t="s">
        <v>495</v>
      </c>
      <c r="D1006" s="1868"/>
      <c r="E1006" s="1860"/>
      <c r="F1006" s="1860"/>
      <c r="G1006" s="1943"/>
      <c r="H1006" s="1861"/>
      <c r="I1006" s="1944"/>
      <c r="J1006" s="1939"/>
      <c r="K1006" s="1864"/>
      <c r="L1006" s="1940"/>
      <c r="M1006" s="1941"/>
    </row>
    <row r="1007" spans="1:24">
      <c r="A1007" s="1901"/>
      <c r="B1007" s="1755"/>
      <c r="C1007" s="1867" t="s">
        <v>496</v>
      </c>
      <c r="D1007" s="1868"/>
      <c r="E1007" s="1860">
        <f>+E1004</f>
        <v>0</v>
      </c>
      <c r="F1007" s="1806" t="s">
        <v>37</v>
      </c>
      <c r="G1007" s="1936">
        <v>520</v>
      </c>
      <c r="H1007" s="1861">
        <f>E1007*G1007</f>
        <v>0</v>
      </c>
      <c r="I1007" s="1938">
        <v>30</v>
      </c>
      <c r="J1007" s="1939">
        <f>E1007*I1007</f>
        <v>0</v>
      </c>
      <c r="K1007" s="1864">
        <f>H1007+J1007</f>
        <v>0</v>
      </c>
      <c r="L1007" s="1940" t="s">
        <v>2881</v>
      </c>
      <c r="M1007" s="1941"/>
    </row>
    <row r="1008" spans="1:24">
      <c r="A1008" s="1901"/>
      <c r="B1008" s="1755" t="s">
        <v>497</v>
      </c>
      <c r="C1008" s="1867" t="s">
        <v>498</v>
      </c>
      <c r="D1008" s="1868"/>
      <c r="E1008" s="1942">
        <v>266</v>
      </c>
      <c r="F1008" s="1806" t="s">
        <v>37</v>
      </c>
      <c r="G1008" s="1936">
        <v>91</v>
      </c>
      <c r="H1008" s="1861">
        <f t="shared" ref="H1008:H1015" si="575">E1008*G1008</f>
        <v>24206</v>
      </c>
      <c r="I1008" s="1938">
        <v>100</v>
      </c>
      <c r="J1008" s="1939">
        <f t="shared" ref="J1008:J1015" si="576">E1008*I1008</f>
        <v>26600</v>
      </c>
      <c r="K1008" s="1864">
        <f t="shared" ref="K1008:K1015" si="577">H1008+J1008</f>
        <v>50806</v>
      </c>
      <c r="L1008" s="1940"/>
      <c r="M1008" s="1941"/>
    </row>
    <row r="1009" spans="1:13">
      <c r="A1009" s="1901"/>
      <c r="B1009" s="1755" t="s">
        <v>499</v>
      </c>
      <c r="C1009" s="1867" t="s">
        <v>500</v>
      </c>
      <c r="D1009" s="1868"/>
      <c r="E1009" s="1942">
        <v>247</v>
      </c>
      <c r="F1009" s="1806" t="s">
        <v>37</v>
      </c>
      <c r="G1009" s="1936">
        <v>294</v>
      </c>
      <c r="H1009" s="1861">
        <f t="shared" si="575"/>
        <v>72618</v>
      </c>
      <c r="I1009" s="1938">
        <v>189</v>
      </c>
      <c r="J1009" s="1939">
        <f t="shared" si="576"/>
        <v>46683</v>
      </c>
      <c r="K1009" s="1864">
        <f t="shared" si="577"/>
        <v>119301</v>
      </c>
      <c r="L1009" s="1940"/>
      <c r="M1009" s="1941"/>
    </row>
    <row r="1010" spans="1:13">
      <c r="A1010" s="1901"/>
      <c r="B1010" s="1755" t="s">
        <v>501</v>
      </c>
      <c r="C1010" s="1867" t="s">
        <v>502</v>
      </c>
      <c r="D1010" s="1868"/>
      <c r="E1010" s="1942">
        <v>0</v>
      </c>
      <c r="F1010" s="119" t="s">
        <v>37</v>
      </c>
      <c r="G1010" s="2294">
        <v>608</v>
      </c>
      <c r="H1010" s="1882">
        <f t="shared" si="575"/>
        <v>0</v>
      </c>
      <c r="I1010" s="1951">
        <v>189</v>
      </c>
      <c r="J1010" s="1876">
        <f t="shared" si="576"/>
        <v>0</v>
      </c>
      <c r="K1010" s="1890">
        <f t="shared" si="577"/>
        <v>0</v>
      </c>
      <c r="L1010" s="1940"/>
      <c r="M1010" s="1941"/>
    </row>
    <row r="1011" spans="1:13">
      <c r="A1011" s="1901"/>
      <c r="B1011" s="1755" t="s">
        <v>2918</v>
      </c>
      <c r="C1011" s="1867" t="s">
        <v>502</v>
      </c>
      <c r="D1011" s="1868"/>
      <c r="E1011" s="1942">
        <v>635</v>
      </c>
      <c r="F1011" s="67" t="s">
        <v>37</v>
      </c>
      <c r="G1011" s="2294">
        <v>399</v>
      </c>
      <c r="H1011" s="1882">
        <f t="shared" si="575"/>
        <v>253365</v>
      </c>
      <c r="I1011" s="1951">
        <v>189</v>
      </c>
      <c r="J1011" s="1876">
        <f t="shared" si="576"/>
        <v>120015</v>
      </c>
      <c r="K1011" s="1890">
        <f t="shared" si="577"/>
        <v>373380</v>
      </c>
      <c r="L1011" s="1940"/>
      <c r="M1011" s="1941"/>
    </row>
    <row r="1012" spans="1:13">
      <c r="A1012" s="1901"/>
      <c r="B1012" s="1755" t="s">
        <v>503</v>
      </c>
      <c r="C1012" s="1867" t="s">
        <v>2801</v>
      </c>
      <c r="D1012" s="1868"/>
      <c r="E1012" s="1942">
        <v>0</v>
      </c>
      <c r="F1012" s="1806" t="s">
        <v>37</v>
      </c>
      <c r="G1012" s="1936">
        <v>88</v>
      </c>
      <c r="H1012" s="1861">
        <f t="shared" si="575"/>
        <v>0</v>
      </c>
      <c r="I1012" s="1938">
        <v>82</v>
      </c>
      <c r="J1012" s="1939">
        <f t="shared" si="576"/>
        <v>0</v>
      </c>
      <c r="K1012" s="1864">
        <f t="shared" si="577"/>
        <v>0</v>
      </c>
      <c r="L1012" s="1940" t="s">
        <v>2882</v>
      </c>
      <c r="M1012" s="1941"/>
    </row>
    <row r="1013" spans="1:13">
      <c r="A1013" s="1901"/>
      <c r="B1013" s="1755"/>
      <c r="C1013" s="1867" t="s">
        <v>504</v>
      </c>
      <c r="D1013" s="1868"/>
      <c r="E1013" s="1942">
        <v>0</v>
      </c>
      <c r="F1013" s="1806" t="s">
        <v>37</v>
      </c>
      <c r="G1013" s="2297">
        <v>69</v>
      </c>
      <c r="H1013" s="1861">
        <f t="shared" si="575"/>
        <v>0</v>
      </c>
      <c r="I1013" s="2301">
        <v>28</v>
      </c>
      <c r="J1013" s="1939">
        <f t="shared" si="576"/>
        <v>0</v>
      </c>
      <c r="K1013" s="1864">
        <f t="shared" si="577"/>
        <v>0</v>
      </c>
      <c r="L1013" s="1940"/>
      <c r="M1013" s="1941"/>
    </row>
    <row r="1014" spans="1:13">
      <c r="A1014" s="1901"/>
      <c r="B1014" s="1755"/>
      <c r="C1014" s="1867"/>
      <c r="D1014" s="1868"/>
      <c r="E1014" s="1942"/>
      <c r="F1014" s="1806"/>
      <c r="G1014" s="2297"/>
      <c r="H1014" s="1861"/>
      <c r="I1014" s="2301"/>
      <c r="J1014" s="1939"/>
      <c r="K1014" s="1864"/>
      <c r="L1014" s="1940"/>
      <c r="M1014" s="1941"/>
    </row>
    <row r="1015" spans="1:13">
      <c r="A1015" s="1901"/>
      <c r="B1015" s="1755" t="s">
        <v>505</v>
      </c>
      <c r="C1015" s="1867" t="s">
        <v>502</v>
      </c>
      <c r="D1015" s="1868"/>
      <c r="E1015" s="1942">
        <v>0</v>
      </c>
      <c r="F1015" s="1806" t="s">
        <v>37</v>
      </c>
      <c r="G1015" s="1936">
        <v>870</v>
      </c>
      <c r="H1015" s="1861">
        <f t="shared" si="575"/>
        <v>0</v>
      </c>
      <c r="I1015" s="1938">
        <v>242</v>
      </c>
      <c r="J1015" s="1939">
        <f t="shared" si="576"/>
        <v>0</v>
      </c>
      <c r="K1015" s="1864">
        <f t="shared" si="577"/>
        <v>0</v>
      </c>
      <c r="L1015" s="1940"/>
      <c r="M1015" s="1941"/>
    </row>
    <row r="1016" spans="1:13">
      <c r="A1016" s="1901"/>
      <c r="B1016" s="1755"/>
      <c r="C1016" s="1867" t="s">
        <v>506</v>
      </c>
      <c r="D1016" s="1868"/>
      <c r="E1016" s="1860"/>
      <c r="F1016" s="1860"/>
      <c r="G1016" s="1943"/>
      <c r="H1016" s="1861"/>
      <c r="I1016" s="1944"/>
      <c r="J1016" s="1939"/>
      <c r="K1016" s="1864"/>
      <c r="L1016" s="1940"/>
      <c r="M1016" s="1866"/>
    </row>
    <row r="1017" spans="1:13">
      <c r="A1017" s="1901"/>
      <c r="B1017" s="1755" t="s">
        <v>2919</v>
      </c>
      <c r="C1017" s="1867" t="s">
        <v>502</v>
      </c>
      <c r="D1017" s="1868"/>
      <c r="E1017" s="1942">
        <v>47</v>
      </c>
      <c r="F1017" s="1806" t="s">
        <v>37</v>
      </c>
      <c r="G1017" s="1953">
        <v>765</v>
      </c>
      <c r="H1017" s="1882">
        <f>E1017*G1017</f>
        <v>35955</v>
      </c>
      <c r="I1017" s="1951">
        <v>242</v>
      </c>
      <c r="J1017" s="1939">
        <f t="shared" ref="J1017" si="578">E1017*I1017</f>
        <v>11374</v>
      </c>
      <c r="K1017" s="1864">
        <f t="shared" ref="K1017" si="579">H1017+J1017</f>
        <v>47329</v>
      </c>
      <c r="L1017" s="1940"/>
      <c r="M1017" s="1941"/>
    </row>
    <row r="1018" spans="1:13">
      <c r="A1018" s="1901"/>
      <c r="B1018" s="1755"/>
      <c r="C1018" s="1867" t="s">
        <v>506</v>
      </c>
      <c r="D1018" s="1868"/>
      <c r="E1018" s="1860"/>
      <c r="F1018" s="1860"/>
      <c r="G1018" s="1943"/>
      <c r="H1018" s="1861"/>
      <c r="I1018" s="1944"/>
      <c r="J1018" s="1939"/>
      <c r="K1018" s="1864"/>
      <c r="L1018" s="1940"/>
      <c r="M1018" s="1941"/>
    </row>
    <row r="1019" spans="1:13">
      <c r="A1019" s="1901"/>
      <c r="B1019" s="1755" t="s">
        <v>507</v>
      </c>
      <c r="C1019" s="1867" t="s">
        <v>508</v>
      </c>
      <c r="D1019" s="1868"/>
      <c r="E1019" s="1942">
        <v>0</v>
      </c>
      <c r="F1019" s="1806" t="s">
        <v>37</v>
      </c>
      <c r="G1019" s="1936">
        <v>0</v>
      </c>
      <c r="H1019" s="1861">
        <f t="shared" ref="H1019:H1020" si="580">E1019*G1019</f>
        <v>0</v>
      </c>
      <c r="I1019" s="1938">
        <v>0</v>
      </c>
      <c r="J1019" s="1939">
        <f t="shared" ref="J1019:J1020" si="581">E1019*I1019</f>
        <v>0</v>
      </c>
      <c r="K1019" s="1864">
        <f t="shared" ref="K1019:K1020" si="582">H1019+J1019</f>
        <v>0</v>
      </c>
      <c r="L1019" s="1940"/>
      <c r="M1019" s="1941"/>
    </row>
    <row r="1020" spans="1:13">
      <c r="A1020" s="1901"/>
      <c r="B1020" s="1755" t="s">
        <v>510</v>
      </c>
      <c r="C1020" s="1755" t="s">
        <v>2802</v>
      </c>
      <c r="D1020" s="1755"/>
      <c r="E1020" s="1942">
        <v>0</v>
      </c>
      <c r="F1020" s="1806" t="s">
        <v>37</v>
      </c>
      <c r="G1020" s="1936">
        <v>1296</v>
      </c>
      <c r="H1020" s="1861">
        <f t="shared" si="580"/>
        <v>0</v>
      </c>
      <c r="I1020" s="1938">
        <v>1600</v>
      </c>
      <c r="J1020" s="1939">
        <f t="shared" si="581"/>
        <v>0</v>
      </c>
      <c r="K1020" s="1864">
        <f t="shared" si="582"/>
        <v>0</v>
      </c>
      <c r="L1020" s="1940"/>
      <c r="M1020" s="1941"/>
    </row>
    <row r="1021" spans="1:13">
      <c r="A1021" s="1901"/>
      <c r="B1021" s="1755"/>
      <c r="C1021" s="1755" t="s">
        <v>512</v>
      </c>
      <c r="D1021" s="1755"/>
      <c r="E1021" s="1860"/>
      <c r="F1021" s="1860"/>
      <c r="G1021" s="1936"/>
      <c r="H1021" s="1937"/>
      <c r="I1021" s="1938"/>
      <c r="J1021" s="1939"/>
      <c r="K1021" s="1864"/>
      <c r="L1021" s="1940"/>
      <c r="M1021" s="1941"/>
    </row>
    <row r="1022" spans="1:13">
      <c r="A1022" s="1901"/>
      <c r="B1022" s="1755" t="s">
        <v>513</v>
      </c>
      <c r="C1022" s="1867" t="s">
        <v>514</v>
      </c>
      <c r="D1022" s="1868"/>
      <c r="E1022" s="1942">
        <v>0</v>
      </c>
      <c r="F1022" s="1806" t="s">
        <v>37</v>
      </c>
      <c r="G1022" s="1936">
        <v>1090</v>
      </c>
      <c r="H1022" s="1861">
        <f t="shared" ref="H1022:H1023" si="583">E1022*G1022</f>
        <v>0</v>
      </c>
      <c r="I1022" s="1938">
        <v>900</v>
      </c>
      <c r="J1022" s="1939">
        <f t="shared" ref="J1022:J1023" si="584">E1022*I1022</f>
        <v>0</v>
      </c>
      <c r="K1022" s="1864">
        <f t="shared" ref="K1022:K1023" si="585">H1022+J1022</f>
        <v>0</v>
      </c>
      <c r="L1022" s="1940"/>
      <c r="M1022" s="1941"/>
    </row>
    <row r="1023" spans="1:13">
      <c r="A1023" s="1901"/>
      <c r="B1023" s="1755" t="s">
        <v>515</v>
      </c>
      <c r="C1023" s="1867" t="s">
        <v>2905</v>
      </c>
      <c r="D1023" s="1868"/>
      <c r="E1023" s="1942">
        <v>0</v>
      </c>
      <c r="F1023" s="1806" t="s">
        <v>37</v>
      </c>
      <c r="G1023" s="1936">
        <v>1600</v>
      </c>
      <c r="H1023" s="1861">
        <f t="shared" si="583"/>
        <v>0</v>
      </c>
      <c r="I1023" s="1938">
        <v>500</v>
      </c>
      <c r="J1023" s="1939">
        <f t="shared" si="584"/>
        <v>0</v>
      </c>
      <c r="K1023" s="1864">
        <f t="shared" si="585"/>
        <v>0</v>
      </c>
      <c r="L1023" s="1940"/>
      <c r="M1023" s="2300"/>
    </row>
    <row r="1024" spans="1:13">
      <c r="A1024" s="1901"/>
      <c r="B1024" s="1755"/>
      <c r="C1024" s="1867" t="s">
        <v>517</v>
      </c>
      <c r="D1024" s="1868"/>
      <c r="E1024" s="1942"/>
      <c r="F1024" s="1806"/>
      <c r="G1024" s="1936"/>
      <c r="H1024" s="1937"/>
      <c r="I1024" s="1938"/>
      <c r="J1024" s="1939"/>
      <c r="K1024" s="1864"/>
      <c r="L1024" s="1940"/>
      <c r="M1024" s="1941"/>
    </row>
    <row r="1025" spans="1:13">
      <c r="A1025" s="1901"/>
      <c r="B1025" s="1755" t="s">
        <v>518</v>
      </c>
      <c r="C1025" s="1867" t="s">
        <v>519</v>
      </c>
      <c r="D1025" s="1868"/>
      <c r="E1025" s="1942">
        <v>0</v>
      </c>
      <c r="F1025" s="1806" t="s">
        <v>37</v>
      </c>
      <c r="G1025" s="1936">
        <v>2540</v>
      </c>
      <c r="H1025" s="1861">
        <f t="shared" ref="H1025" si="586">E1025*G1025</f>
        <v>0</v>
      </c>
      <c r="I1025" s="1938">
        <v>700</v>
      </c>
      <c r="J1025" s="1939">
        <f t="shared" ref="J1025" si="587">E1025*I1025</f>
        <v>0</v>
      </c>
      <c r="K1025" s="1864">
        <f t="shared" ref="K1025" si="588">H1025+J1025</f>
        <v>0</v>
      </c>
      <c r="L1025" s="1940"/>
      <c r="M1025" s="1941"/>
    </row>
    <row r="1026" spans="1:13">
      <c r="A1026" s="1901"/>
      <c r="B1026" s="1755"/>
      <c r="C1026" s="1867" t="s">
        <v>520</v>
      </c>
      <c r="D1026" s="1868"/>
      <c r="E1026" s="1942"/>
      <c r="F1026" s="1806"/>
      <c r="G1026" s="1936"/>
      <c r="H1026" s="1937"/>
      <c r="I1026" s="1938"/>
      <c r="J1026" s="1939"/>
      <c r="K1026" s="1864"/>
      <c r="L1026" s="1940"/>
      <c r="M1026" s="1941"/>
    </row>
    <row r="1027" spans="1:13">
      <c r="A1027" s="1901"/>
      <c r="B1027" s="1755" t="s">
        <v>521</v>
      </c>
      <c r="C1027" s="1867" t="s">
        <v>522</v>
      </c>
      <c r="D1027" s="1868"/>
      <c r="E1027" s="1942">
        <v>0</v>
      </c>
      <c r="F1027" s="1806" t="s">
        <v>37</v>
      </c>
      <c r="G1027" s="1943">
        <v>15000</v>
      </c>
      <c r="H1027" s="1861">
        <f t="shared" ref="H1027:H1029" si="589">E1027*G1027</f>
        <v>0</v>
      </c>
      <c r="I1027" s="1944">
        <v>500</v>
      </c>
      <c r="J1027" s="1939">
        <f t="shared" ref="J1027:J1029" si="590">E1027*I1027</f>
        <v>0</v>
      </c>
      <c r="K1027" s="1864">
        <f t="shared" ref="K1027:K1029" si="591">H1027+J1027</f>
        <v>0</v>
      </c>
      <c r="L1027" s="1865"/>
    </row>
    <row r="1028" spans="1:13">
      <c r="A1028" s="1782"/>
      <c r="B1028" s="1755" t="s">
        <v>523</v>
      </c>
      <c r="C1028" s="1867" t="s">
        <v>524</v>
      </c>
      <c r="D1028" s="1868"/>
      <c r="E1028" s="1942">
        <v>351</v>
      </c>
      <c r="F1028" s="1806" t="s">
        <v>37</v>
      </c>
      <c r="G1028" s="1936">
        <v>88</v>
      </c>
      <c r="H1028" s="1861">
        <f t="shared" si="589"/>
        <v>30888</v>
      </c>
      <c r="I1028" s="1938">
        <v>82</v>
      </c>
      <c r="J1028" s="1939">
        <f t="shared" si="590"/>
        <v>28782</v>
      </c>
      <c r="K1028" s="1864">
        <f t="shared" si="591"/>
        <v>59670</v>
      </c>
      <c r="L1028" s="1940" t="s">
        <v>2883</v>
      </c>
    </row>
    <row r="1029" spans="1:13">
      <c r="A1029" s="1782"/>
      <c r="B1029" s="1755" t="s">
        <v>525</v>
      </c>
      <c r="C1029" s="1867" t="s">
        <v>526</v>
      </c>
      <c r="D1029" s="1868"/>
      <c r="E1029" s="1942">
        <v>0</v>
      </c>
      <c r="F1029" s="1806" t="s">
        <v>37</v>
      </c>
      <c r="G1029" s="1936">
        <v>1955</v>
      </c>
      <c r="H1029" s="1861">
        <f t="shared" si="589"/>
        <v>0</v>
      </c>
      <c r="I1029" s="1938">
        <v>1700</v>
      </c>
      <c r="J1029" s="1939">
        <f t="shared" si="590"/>
        <v>0</v>
      </c>
      <c r="K1029" s="1864">
        <f t="shared" si="591"/>
        <v>0</v>
      </c>
      <c r="L1029" s="1940"/>
    </row>
    <row r="1030" spans="1:13">
      <c r="A1030" s="1782"/>
      <c r="B1030" s="1755"/>
      <c r="C1030" s="1867" t="s">
        <v>2804</v>
      </c>
      <c r="D1030" s="1868"/>
      <c r="E1030" s="1942"/>
      <c r="F1030" s="1806"/>
      <c r="G1030" s="1936"/>
      <c r="H1030" s="1937"/>
      <c r="I1030" s="1938"/>
      <c r="J1030" s="1939"/>
      <c r="K1030" s="1864"/>
      <c r="L1030" s="1940"/>
    </row>
    <row r="1031" spans="1:13">
      <c r="A1031" s="1782"/>
      <c r="B1031" s="1755"/>
      <c r="C1031" s="1867" t="s">
        <v>527</v>
      </c>
      <c r="D1031" s="1868"/>
      <c r="E1031" s="1942"/>
      <c r="F1031" s="1806"/>
      <c r="G1031" s="1943">
        <v>165</v>
      </c>
      <c r="H1031" s="1861">
        <f t="shared" ref="H1031:H1032" si="592">E1031*G1031</f>
        <v>0</v>
      </c>
      <c r="I1031" s="1944">
        <v>25</v>
      </c>
      <c r="J1031" s="1939">
        <f t="shared" ref="J1031:J1032" si="593">E1031*I1031</f>
        <v>0</v>
      </c>
      <c r="K1031" s="1864">
        <f t="shared" ref="K1031:K1032" si="594">H1031+J1031</f>
        <v>0</v>
      </c>
      <c r="L1031" s="1940"/>
    </row>
    <row r="1032" spans="1:13">
      <c r="A1032" s="1782"/>
      <c r="B1032" s="1755" t="s">
        <v>528</v>
      </c>
      <c r="C1032" s="1867" t="s">
        <v>526</v>
      </c>
      <c r="D1032" s="1868"/>
      <c r="E1032" s="1942">
        <v>0</v>
      </c>
      <c r="F1032" s="1806" t="s">
        <v>37</v>
      </c>
      <c r="G1032" s="1936">
        <v>1296</v>
      </c>
      <c r="H1032" s="1861">
        <f t="shared" si="592"/>
        <v>0</v>
      </c>
      <c r="I1032" s="1938">
        <v>1600</v>
      </c>
      <c r="J1032" s="1939">
        <f t="shared" si="593"/>
        <v>0</v>
      </c>
      <c r="K1032" s="1864">
        <f t="shared" si="594"/>
        <v>0</v>
      </c>
      <c r="L1032" s="1940"/>
    </row>
    <row r="1033" spans="1:13">
      <c r="A1033" s="1782"/>
      <c r="B1033" s="1755"/>
      <c r="C1033" s="1867" t="s">
        <v>2804</v>
      </c>
      <c r="D1033" s="1868"/>
      <c r="E1033" s="1942"/>
      <c r="F1033" s="1806"/>
      <c r="G1033" s="1936"/>
      <c r="H1033" s="1937"/>
      <c r="I1033" s="1938"/>
      <c r="J1033" s="1939"/>
      <c r="K1033" s="1864"/>
      <c r="L1033" s="1940"/>
    </row>
    <row r="1034" spans="1:13">
      <c r="A1034" s="1782"/>
      <c r="B1034" s="1755"/>
      <c r="C1034" s="1867" t="s">
        <v>527</v>
      </c>
      <c r="D1034" s="1868"/>
      <c r="E1034" s="1942"/>
      <c r="F1034" s="1806"/>
      <c r="G1034" s="1943">
        <v>165</v>
      </c>
      <c r="H1034" s="1861">
        <f t="shared" ref="H1034:H1035" si="595">E1034*G1034</f>
        <v>0</v>
      </c>
      <c r="I1034" s="1944">
        <v>25</v>
      </c>
      <c r="J1034" s="1939">
        <f t="shared" ref="J1034:J1035" si="596">E1034*I1034</f>
        <v>0</v>
      </c>
      <c r="K1034" s="1864">
        <f t="shared" ref="K1034:K1035" si="597">H1034+J1034</f>
        <v>0</v>
      </c>
      <c r="L1034" s="1940"/>
    </row>
    <row r="1035" spans="1:13">
      <c r="A1035" s="1782"/>
      <c r="B1035" s="1755" t="s">
        <v>529</v>
      </c>
      <c r="C1035" s="1867" t="s">
        <v>526</v>
      </c>
      <c r="D1035" s="1868"/>
      <c r="E1035" s="1942">
        <v>0</v>
      </c>
      <c r="F1035" s="1806" t="s">
        <v>37</v>
      </c>
      <c r="G1035" s="1936">
        <v>5900</v>
      </c>
      <c r="H1035" s="1861">
        <f t="shared" si="595"/>
        <v>0</v>
      </c>
      <c r="I1035" s="1938">
        <v>1200</v>
      </c>
      <c r="J1035" s="1939">
        <f t="shared" si="596"/>
        <v>0</v>
      </c>
      <c r="K1035" s="1864">
        <f t="shared" si="597"/>
        <v>0</v>
      </c>
      <c r="L1035" s="1940"/>
    </row>
    <row r="1036" spans="1:13">
      <c r="A1036" s="1782"/>
      <c r="B1036" s="1755"/>
      <c r="C1036" s="1867" t="s">
        <v>2804</v>
      </c>
      <c r="D1036" s="1868"/>
      <c r="E1036" s="1942"/>
      <c r="F1036" s="1806"/>
      <c r="G1036" s="1936"/>
      <c r="H1036" s="1937"/>
      <c r="I1036" s="1938"/>
      <c r="J1036" s="1939"/>
      <c r="K1036" s="1864"/>
      <c r="L1036" s="1940"/>
    </row>
    <row r="1037" spans="1:13">
      <c r="A1037" s="1782"/>
      <c r="B1037" s="1755"/>
      <c r="C1037" s="1867"/>
      <c r="D1037" s="1868"/>
      <c r="E1037" s="1942"/>
      <c r="F1037" s="1806"/>
      <c r="G1037" s="1936"/>
      <c r="H1037" s="1937"/>
      <c r="I1037" s="1938"/>
      <c r="J1037" s="1939"/>
      <c r="K1037" s="1864"/>
      <c r="L1037" s="1940"/>
    </row>
    <row r="1038" spans="1:13">
      <c r="A1038" s="1782"/>
      <c r="B1038" s="1755" t="s">
        <v>530</v>
      </c>
      <c r="C1038" s="1867" t="s">
        <v>526</v>
      </c>
      <c r="D1038" s="1868"/>
      <c r="E1038" s="1942">
        <v>0</v>
      </c>
      <c r="F1038" s="1806" t="s">
        <v>37</v>
      </c>
      <c r="G1038" s="1936">
        <v>6000</v>
      </c>
      <c r="H1038" s="1861">
        <f t="shared" ref="H1038" si="598">E1038*G1038</f>
        <v>0</v>
      </c>
      <c r="I1038" s="1938">
        <v>1550</v>
      </c>
      <c r="J1038" s="1939">
        <f t="shared" ref="J1038" si="599">E1038*I1038</f>
        <v>0</v>
      </c>
      <c r="K1038" s="1864">
        <f t="shared" ref="K1038" si="600">H1038+J1038</f>
        <v>0</v>
      </c>
      <c r="L1038" s="1940"/>
    </row>
    <row r="1039" spans="1:13">
      <c r="A1039" s="1782"/>
      <c r="B1039" s="1755"/>
      <c r="C1039" s="1867" t="s">
        <v>2805</v>
      </c>
      <c r="D1039" s="1868"/>
      <c r="E1039" s="1942"/>
      <c r="F1039" s="1806"/>
      <c r="G1039" s="1936"/>
      <c r="H1039" s="1937"/>
      <c r="I1039" s="1938"/>
      <c r="J1039" s="1939"/>
      <c r="K1039" s="1864"/>
      <c r="L1039" s="1940"/>
    </row>
    <row r="1040" spans="1:13">
      <c r="A1040" s="1782"/>
      <c r="B1040" s="1755" t="s">
        <v>531</v>
      </c>
      <c r="C1040" s="1867" t="s">
        <v>532</v>
      </c>
      <c r="D1040" s="1868"/>
      <c r="E1040" s="1942">
        <v>0</v>
      </c>
      <c r="F1040" s="1806" t="s">
        <v>37</v>
      </c>
      <c r="G1040" s="2297">
        <f>13+69</f>
        <v>82</v>
      </c>
      <c r="H1040" s="1861">
        <f t="shared" ref="H1040:H1041" si="601">E1040*G1040</f>
        <v>0</v>
      </c>
      <c r="I1040" s="2301">
        <f>30+28</f>
        <v>58</v>
      </c>
      <c r="J1040" s="1939">
        <f t="shared" ref="J1040:J1041" si="602">E1040*I1040</f>
        <v>0</v>
      </c>
      <c r="K1040" s="1864">
        <f t="shared" ref="K1040:K1041" si="603">H1040+J1040</f>
        <v>0</v>
      </c>
      <c r="L1040" s="2299"/>
    </row>
    <row r="1041" spans="1:24">
      <c r="A1041" s="1782"/>
      <c r="B1041" s="1755" t="s">
        <v>533</v>
      </c>
      <c r="C1041" s="1867" t="s">
        <v>534</v>
      </c>
      <c r="D1041" s="1868"/>
      <c r="E1041" s="1942">
        <v>0</v>
      </c>
      <c r="F1041" s="1806" t="s">
        <v>37</v>
      </c>
      <c r="G1041" s="1936">
        <v>0</v>
      </c>
      <c r="H1041" s="1861">
        <f t="shared" si="601"/>
        <v>0</v>
      </c>
      <c r="I1041" s="1938">
        <v>0</v>
      </c>
      <c r="J1041" s="1939">
        <f t="shared" si="602"/>
        <v>0</v>
      </c>
      <c r="K1041" s="1864">
        <f t="shared" si="603"/>
        <v>0</v>
      </c>
      <c r="L1041" s="1940"/>
    </row>
    <row r="1042" spans="1:24">
      <c r="A1042" s="1782"/>
      <c r="B1042" s="1755"/>
      <c r="C1042" s="1755" t="s">
        <v>535</v>
      </c>
      <c r="D1042" s="1868"/>
      <c r="E1042" s="1942"/>
      <c r="F1042" s="1806"/>
      <c r="G1042" s="1936"/>
      <c r="H1042" s="1937"/>
      <c r="I1042" s="1938"/>
      <c r="J1042" s="1939"/>
      <c r="K1042" s="1864"/>
      <c r="L1042" s="1940"/>
      <c r="N1042" s="1797">
        <f>SUM(K963:K1041)</f>
        <v>3954493.69</v>
      </c>
    </row>
    <row r="1043" spans="1:24">
      <c r="A1043" s="1782"/>
      <c r="B1043" s="1895"/>
      <c r="C1043" s="1755"/>
      <c r="D1043" s="1755"/>
      <c r="E1043" s="1942"/>
      <c r="F1043" s="1806"/>
      <c r="G1043" s="2190"/>
      <c r="H1043" s="1937"/>
      <c r="I1043" s="1938"/>
      <c r="J1043" s="1939"/>
      <c r="K1043" s="1943"/>
      <c r="L1043" s="1940"/>
      <c r="N1043" s="1797"/>
    </row>
    <row r="1044" spans="1:24">
      <c r="A1044" s="1782"/>
      <c r="B1044" s="1895"/>
      <c r="C1044" s="1755"/>
      <c r="D1044" s="1755"/>
      <c r="E1044" s="1942"/>
      <c r="F1044" s="1806"/>
      <c r="G1044" s="2190"/>
      <c r="H1044" s="1937"/>
      <c r="I1044" s="1938"/>
      <c r="J1044" s="1939"/>
      <c r="K1044" s="1943"/>
      <c r="L1044" s="1940"/>
      <c r="N1044" s="1797"/>
    </row>
    <row r="1045" spans="1:24" ht="24" customHeight="1">
      <c r="A1045" s="1933" t="s">
        <v>552</v>
      </c>
      <c r="B1045" s="1908" t="s">
        <v>553</v>
      </c>
      <c r="C1045" s="1850"/>
      <c r="D1045" s="1965"/>
      <c r="E1045" s="1897"/>
      <c r="F1045" s="1806"/>
      <c r="G1045" s="1966"/>
      <c r="H1045" s="1967"/>
      <c r="I1045" s="1893"/>
      <c r="J1045" s="1856"/>
      <c r="K1045" s="1857"/>
      <c r="L1045" s="1858"/>
      <c r="M1045" s="1809"/>
      <c r="N1045" s="1837"/>
      <c r="O1045" s="1837"/>
      <c r="P1045" s="1837"/>
      <c r="Q1045" s="1837"/>
      <c r="R1045" s="1837"/>
      <c r="S1045" s="1837"/>
      <c r="T1045" s="1837"/>
      <c r="U1045" s="1837"/>
      <c r="V1045" s="1837"/>
      <c r="W1045" s="1837"/>
      <c r="X1045" s="1837"/>
    </row>
    <row r="1046" spans="1:24">
      <c r="A1046" s="1901"/>
      <c r="B1046" s="1783"/>
      <c r="C1046" s="1867" t="s">
        <v>538</v>
      </c>
      <c r="D1046" s="1859"/>
      <c r="E1046" s="1860">
        <v>3236</v>
      </c>
      <c r="F1046" s="1806" t="s">
        <v>37</v>
      </c>
      <c r="G1046" s="1936">
        <v>281</v>
      </c>
      <c r="H1046" s="1937">
        <f>E1046*G1046</f>
        <v>909316</v>
      </c>
      <c r="I1046" s="1938">
        <v>80</v>
      </c>
      <c r="J1046" s="1939">
        <f>E1046*I1046</f>
        <v>258880</v>
      </c>
      <c r="K1046" s="1864">
        <f>H1046+J1046</f>
        <v>1168196</v>
      </c>
      <c r="L1046" s="1940"/>
      <c r="M1046" s="1941"/>
    </row>
    <row r="1047" spans="1:24">
      <c r="A1047" s="1901"/>
      <c r="B1047" s="1783"/>
      <c r="C1047" s="1867" t="s">
        <v>539</v>
      </c>
      <c r="D1047" s="1859"/>
      <c r="E1047" s="1860">
        <f>+E1093</f>
        <v>0</v>
      </c>
      <c r="F1047" s="1806" t="s">
        <v>37</v>
      </c>
      <c r="G1047" s="1936">
        <v>712</v>
      </c>
      <c r="H1047" s="1937">
        <f t="shared" ref="H1047:H1062" si="604">E1047*G1047</f>
        <v>0</v>
      </c>
      <c r="I1047" s="1938">
        <v>98</v>
      </c>
      <c r="J1047" s="1939">
        <f t="shared" ref="J1047:J1062" si="605">E1047*I1047</f>
        <v>0</v>
      </c>
      <c r="K1047" s="1864">
        <f t="shared" ref="K1047:K1062" si="606">H1047+J1047</f>
        <v>0</v>
      </c>
      <c r="L1047" s="1940"/>
      <c r="M1047" s="1941"/>
    </row>
    <row r="1048" spans="1:24">
      <c r="A1048" s="1901"/>
      <c r="B1048" s="1783"/>
      <c r="C1048" s="1867" t="s">
        <v>470</v>
      </c>
      <c r="D1048" s="1859"/>
      <c r="E1048" s="1860">
        <f>+E1046*1.33</f>
        <v>4303.88</v>
      </c>
      <c r="F1048" s="1806" t="s">
        <v>438</v>
      </c>
      <c r="G1048" s="1936">
        <v>119</v>
      </c>
      <c r="H1048" s="1937">
        <f t="shared" si="604"/>
        <v>512161.72000000003</v>
      </c>
      <c r="I1048" s="1938">
        <v>44</v>
      </c>
      <c r="J1048" s="1939">
        <f t="shared" si="605"/>
        <v>189370.72</v>
      </c>
      <c r="K1048" s="1864">
        <f t="shared" si="606"/>
        <v>701532.44000000006</v>
      </c>
      <c r="L1048" s="1940" t="s">
        <v>2878</v>
      </c>
      <c r="M1048" s="1941"/>
    </row>
    <row r="1049" spans="1:24">
      <c r="A1049" s="1901"/>
      <c r="B1049" s="1783"/>
      <c r="C1049" s="1867" t="s">
        <v>471</v>
      </c>
      <c r="D1049" s="1859"/>
      <c r="E1049" s="1860">
        <f>+E1047*1.33</f>
        <v>0</v>
      </c>
      <c r="F1049" s="1806" t="s">
        <v>438</v>
      </c>
      <c r="G1049" s="1936">
        <v>208</v>
      </c>
      <c r="H1049" s="1937">
        <f t="shared" si="604"/>
        <v>0</v>
      </c>
      <c r="I1049" s="1938">
        <v>78</v>
      </c>
      <c r="J1049" s="1939">
        <f t="shared" si="605"/>
        <v>0</v>
      </c>
      <c r="K1049" s="1864">
        <f t="shared" si="606"/>
        <v>0</v>
      </c>
      <c r="L1049" s="1940" t="s">
        <v>2878</v>
      </c>
      <c r="M1049" s="1941"/>
    </row>
    <row r="1050" spans="1:24">
      <c r="A1050" s="1901"/>
      <c r="B1050" s="1783"/>
      <c r="C1050" s="1867" t="s">
        <v>472</v>
      </c>
      <c r="D1050" s="1859"/>
      <c r="E1050" s="1860">
        <v>677</v>
      </c>
      <c r="F1050" s="1806" t="s">
        <v>37</v>
      </c>
      <c r="G1050" s="1936">
        <v>88</v>
      </c>
      <c r="H1050" s="1937">
        <f t="shared" si="604"/>
        <v>59576</v>
      </c>
      <c r="I1050" s="1938">
        <v>82</v>
      </c>
      <c r="J1050" s="1939">
        <f t="shared" si="605"/>
        <v>55514</v>
      </c>
      <c r="K1050" s="1864">
        <f t="shared" si="606"/>
        <v>115090</v>
      </c>
      <c r="L1050" s="1940" t="s">
        <v>2885</v>
      </c>
      <c r="M1050" s="1941"/>
    </row>
    <row r="1051" spans="1:24">
      <c r="A1051" s="1901"/>
      <c r="B1051" s="1783"/>
      <c r="C1051" s="1867" t="s">
        <v>540</v>
      </c>
      <c r="D1051" s="1859"/>
      <c r="E1051" s="1860">
        <v>3724</v>
      </c>
      <c r="F1051" s="1806" t="s">
        <v>37</v>
      </c>
      <c r="G1051" s="1936">
        <v>88</v>
      </c>
      <c r="H1051" s="1937">
        <f t="shared" si="604"/>
        <v>327712</v>
      </c>
      <c r="I1051" s="1938">
        <v>82</v>
      </c>
      <c r="J1051" s="1939">
        <f t="shared" si="605"/>
        <v>305368</v>
      </c>
      <c r="K1051" s="1864">
        <f t="shared" si="606"/>
        <v>633080</v>
      </c>
      <c r="L1051" s="1940"/>
      <c r="M1051" s="1941"/>
    </row>
    <row r="1052" spans="1:24">
      <c r="A1052" s="1901"/>
      <c r="B1052" s="1783"/>
      <c r="C1052" s="1867" t="s">
        <v>541</v>
      </c>
      <c r="D1052" s="1859"/>
      <c r="E1052" s="1860">
        <v>636</v>
      </c>
      <c r="F1052" s="1806" t="s">
        <v>37</v>
      </c>
      <c r="G1052" s="1936">
        <v>88</v>
      </c>
      <c r="H1052" s="1937">
        <f t="shared" si="604"/>
        <v>55968</v>
      </c>
      <c r="I1052" s="1938">
        <v>95</v>
      </c>
      <c r="J1052" s="1939">
        <f t="shared" si="605"/>
        <v>60420</v>
      </c>
      <c r="K1052" s="1864">
        <f t="shared" si="606"/>
        <v>116388</v>
      </c>
      <c r="L1052" s="1940"/>
      <c r="M1052" s="1941"/>
    </row>
    <row r="1053" spans="1:24">
      <c r="A1053" s="1901"/>
      <c r="B1053" s="1755" t="s">
        <v>475</v>
      </c>
      <c r="C1053" s="1867" t="s">
        <v>476</v>
      </c>
      <c r="D1053" s="1868"/>
      <c r="E1053" s="1962">
        <v>2502</v>
      </c>
      <c r="F1053" s="1806" t="s">
        <v>37</v>
      </c>
      <c r="G1053" s="1936">
        <v>88</v>
      </c>
      <c r="H1053" s="1937">
        <f t="shared" si="604"/>
        <v>220176</v>
      </c>
      <c r="I1053" s="1938">
        <v>95</v>
      </c>
      <c r="J1053" s="1939">
        <f t="shared" si="605"/>
        <v>237690</v>
      </c>
      <c r="K1053" s="1864">
        <f t="shared" si="606"/>
        <v>457866</v>
      </c>
      <c r="L1053" s="1940" t="s">
        <v>2880</v>
      </c>
      <c r="M1053" s="1941"/>
    </row>
    <row r="1054" spans="1:24">
      <c r="A1054" s="1901"/>
      <c r="B1054" s="1755"/>
      <c r="C1054" s="1867" t="s">
        <v>477</v>
      </c>
      <c r="D1054" s="1868"/>
      <c r="E1054" s="1962">
        <f>E1053</f>
        <v>2502</v>
      </c>
      <c r="F1054" s="1806" t="s">
        <v>37</v>
      </c>
      <c r="G1054" s="2297">
        <v>69</v>
      </c>
      <c r="H1054" s="1937">
        <f t="shared" si="604"/>
        <v>172638</v>
      </c>
      <c r="I1054" s="2298">
        <v>28</v>
      </c>
      <c r="J1054" s="1939">
        <f t="shared" si="605"/>
        <v>70056</v>
      </c>
      <c r="K1054" s="1864">
        <f t="shared" si="606"/>
        <v>242694</v>
      </c>
      <c r="L1054" s="2299"/>
      <c r="M1054" s="2300"/>
    </row>
    <row r="1055" spans="1:24">
      <c r="A1055" s="1901"/>
      <c r="B1055" s="1755" t="s">
        <v>478</v>
      </c>
      <c r="C1055" s="1867" t="s">
        <v>479</v>
      </c>
      <c r="D1055" s="1868"/>
      <c r="E1055" s="1962">
        <v>1591</v>
      </c>
      <c r="F1055" s="1806" t="s">
        <v>37</v>
      </c>
      <c r="G1055" s="1936">
        <v>88</v>
      </c>
      <c r="H1055" s="1937">
        <f t="shared" si="604"/>
        <v>140008</v>
      </c>
      <c r="I1055" s="1938">
        <v>82</v>
      </c>
      <c r="J1055" s="1939">
        <f t="shared" si="605"/>
        <v>130462</v>
      </c>
      <c r="K1055" s="1864">
        <f t="shared" si="606"/>
        <v>270470</v>
      </c>
      <c r="L1055" s="1940"/>
      <c r="M1055" s="1941"/>
    </row>
    <row r="1056" spans="1:24">
      <c r="A1056" s="1901"/>
      <c r="B1056" s="1755" t="s">
        <v>480</v>
      </c>
      <c r="C1056" s="1867" t="s">
        <v>476</v>
      </c>
      <c r="D1056" s="1868"/>
      <c r="E1056" s="1962">
        <v>3443</v>
      </c>
      <c r="F1056" s="1806" t="s">
        <v>37</v>
      </c>
      <c r="G1056" s="1936">
        <v>88</v>
      </c>
      <c r="H1056" s="1937">
        <f t="shared" si="604"/>
        <v>302984</v>
      </c>
      <c r="I1056" s="1938">
        <v>82</v>
      </c>
      <c r="J1056" s="1939">
        <f t="shared" si="605"/>
        <v>282326</v>
      </c>
      <c r="K1056" s="1864">
        <f t="shared" si="606"/>
        <v>585310</v>
      </c>
      <c r="L1056" s="1940" t="s">
        <v>2880</v>
      </c>
      <c r="M1056" s="1941"/>
    </row>
    <row r="1057" spans="1:24">
      <c r="A1057" s="1901"/>
      <c r="B1057" s="1755"/>
      <c r="C1057" s="1867" t="s">
        <v>481</v>
      </c>
      <c r="D1057" s="1868"/>
      <c r="E1057" s="1962">
        <f>E1056</f>
        <v>3443</v>
      </c>
      <c r="F1057" s="1806" t="s">
        <v>37</v>
      </c>
      <c r="G1057" s="2297">
        <v>69</v>
      </c>
      <c r="H1057" s="1937">
        <f t="shared" si="604"/>
        <v>237567</v>
      </c>
      <c r="I1057" s="2298">
        <v>28</v>
      </c>
      <c r="J1057" s="1939">
        <f t="shared" si="605"/>
        <v>96404</v>
      </c>
      <c r="K1057" s="1864">
        <f t="shared" si="606"/>
        <v>333971</v>
      </c>
      <c r="L1057" s="2299"/>
      <c r="M1057" s="2300"/>
    </row>
    <row r="1058" spans="1:24">
      <c r="A1058" s="1901"/>
      <c r="B1058" s="1755" t="s">
        <v>2787</v>
      </c>
      <c r="C1058" s="1867" t="s">
        <v>2788</v>
      </c>
      <c r="D1058" s="1868"/>
      <c r="E1058" s="1942">
        <v>0</v>
      </c>
      <c r="F1058" s="1806" t="s">
        <v>37</v>
      </c>
      <c r="G1058" s="1936">
        <v>103</v>
      </c>
      <c r="H1058" s="1937">
        <f t="shared" si="604"/>
        <v>0</v>
      </c>
      <c r="I1058" s="1938">
        <v>115</v>
      </c>
      <c r="J1058" s="1939">
        <f t="shared" si="605"/>
        <v>0</v>
      </c>
      <c r="K1058" s="1864">
        <f t="shared" si="606"/>
        <v>0</v>
      </c>
      <c r="L1058" s="1940" t="s">
        <v>2880</v>
      </c>
      <c r="M1058" s="1941"/>
    </row>
    <row r="1059" spans="1:24">
      <c r="A1059" s="1901"/>
      <c r="B1059" s="1755"/>
      <c r="C1059" s="1867" t="s">
        <v>482</v>
      </c>
      <c r="D1059" s="1868"/>
      <c r="E1059" s="1942">
        <f>E1058</f>
        <v>0</v>
      </c>
      <c r="F1059" s="1806" t="s">
        <v>37</v>
      </c>
      <c r="G1059" s="2297">
        <v>69</v>
      </c>
      <c r="H1059" s="1937">
        <f t="shared" si="604"/>
        <v>0</v>
      </c>
      <c r="I1059" s="2298">
        <v>28</v>
      </c>
      <c r="J1059" s="1939">
        <f t="shared" si="605"/>
        <v>0</v>
      </c>
      <c r="K1059" s="1864">
        <f t="shared" si="606"/>
        <v>0</v>
      </c>
      <c r="L1059" s="2299"/>
      <c r="M1059" s="2300"/>
    </row>
    <row r="1060" spans="1:24">
      <c r="A1060" s="1901"/>
      <c r="B1060" s="1755" t="s">
        <v>483</v>
      </c>
      <c r="C1060" s="1867" t="s">
        <v>484</v>
      </c>
      <c r="D1060" s="1868"/>
      <c r="E1060" s="1942">
        <v>0</v>
      </c>
      <c r="F1060" s="1806" t="s">
        <v>37</v>
      </c>
      <c r="G1060" s="1943">
        <v>1500</v>
      </c>
      <c r="H1060" s="1937">
        <f t="shared" si="604"/>
        <v>0</v>
      </c>
      <c r="I1060" s="1944">
        <v>500</v>
      </c>
      <c r="J1060" s="1939">
        <f t="shared" si="605"/>
        <v>0</v>
      </c>
      <c r="K1060" s="1864">
        <f t="shared" si="606"/>
        <v>0</v>
      </c>
      <c r="L1060" s="1865"/>
      <c r="M1060" s="1866"/>
    </row>
    <row r="1061" spans="1:24">
      <c r="A1061" s="1901"/>
      <c r="B1061" s="1755"/>
      <c r="C1061" s="1867" t="s">
        <v>482</v>
      </c>
      <c r="D1061" s="1868"/>
      <c r="E1061" s="1942">
        <v>0</v>
      </c>
      <c r="F1061" s="1806" t="s">
        <v>37</v>
      </c>
      <c r="G1061" s="2297">
        <v>69</v>
      </c>
      <c r="H1061" s="1937">
        <f t="shared" si="604"/>
        <v>0</v>
      </c>
      <c r="I1061" s="2298">
        <v>28</v>
      </c>
      <c r="J1061" s="1939">
        <f t="shared" si="605"/>
        <v>0</v>
      </c>
      <c r="K1061" s="1864">
        <f t="shared" si="606"/>
        <v>0</v>
      </c>
      <c r="L1061" s="2299"/>
      <c r="M1061" s="2300"/>
    </row>
    <row r="1062" spans="1:24">
      <c r="A1062" s="1901"/>
      <c r="B1062" s="1755" t="s">
        <v>485</v>
      </c>
      <c r="C1062" s="1867" t="s">
        <v>2789</v>
      </c>
      <c r="D1062" s="1868"/>
      <c r="E1062" s="1942">
        <v>0</v>
      </c>
      <c r="F1062" s="1806" t="s">
        <v>37</v>
      </c>
      <c r="G1062" s="1943">
        <v>492</v>
      </c>
      <c r="H1062" s="1937">
        <f t="shared" si="604"/>
        <v>0</v>
      </c>
      <c r="I1062" s="1944">
        <v>130</v>
      </c>
      <c r="J1062" s="1939">
        <f t="shared" si="605"/>
        <v>0</v>
      </c>
      <c r="K1062" s="1864">
        <f t="shared" si="606"/>
        <v>0</v>
      </c>
      <c r="L1062" s="2299"/>
      <c r="M1062" s="2300"/>
    </row>
    <row r="1063" spans="1:24">
      <c r="A1063" s="1901"/>
      <c r="B1063" s="1755"/>
      <c r="C1063" s="1867" t="s">
        <v>2790</v>
      </c>
      <c r="D1063" s="1868"/>
      <c r="E1063" s="1860"/>
      <c r="F1063" s="1860"/>
      <c r="G1063" s="1943"/>
      <c r="H1063" s="1861"/>
      <c r="I1063" s="1944"/>
      <c r="J1063" s="1939"/>
      <c r="K1063" s="1864"/>
      <c r="L1063" s="2299"/>
      <c r="M1063" s="2300"/>
    </row>
    <row r="1064" spans="1:24">
      <c r="A1064" s="1901"/>
      <c r="B1064" s="1755"/>
      <c r="C1064" s="1867" t="s">
        <v>486</v>
      </c>
      <c r="D1064" s="1868"/>
      <c r="E1064" s="1860"/>
      <c r="F1064" s="1860"/>
      <c r="G1064" s="1943"/>
      <c r="H1064" s="1861"/>
      <c r="I1064" s="1944"/>
      <c r="J1064" s="1939"/>
      <c r="K1064" s="1864"/>
      <c r="L1064" s="2299"/>
      <c r="M1064" s="2300"/>
    </row>
    <row r="1065" spans="1:24">
      <c r="A1065" s="1901"/>
      <c r="B1065" s="1755" t="s">
        <v>487</v>
      </c>
      <c r="C1065" s="1867" t="s">
        <v>2789</v>
      </c>
      <c r="D1065" s="1868"/>
      <c r="E1065" s="1942">
        <v>0</v>
      </c>
      <c r="F1065" s="1806" t="s">
        <v>37</v>
      </c>
      <c r="G1065" s="1943">
        <v>256</v>
      </c>
      <c r="H1065" s="1861">
        <f>E1065*G1065</f>
        <v>0</v>
      </c>
      <c r="I1065" s="1944">
        <v>100</v>
      </c>
      <c r="J1065" s="1939">
        <f>E1065*I1065</f>
        <v>0</v>
      </c>
      <c r="K1065" s="1864">
        <f t="shared" ref="K1065" si="607">H1065+J1065</f>
        <v>0</v>
      </c>
      <c r="L1065" s="2299"/>
      <c r="M1065" s="2300"/>
    </row>
    <row r="1066" spans="1:24">
      <c r="A1066" s="1901"/>
      <c r="B1066" s="1755"/>
      <c r="C1066" s="1867" t="s">
        <v>2791</v>
      </c>
      <c r="D1066" s="1868"/>
      <c r="E1066" s="1860"/>
      <c r="F1066" s="1860"/>
      <c r="G1066" s="1943"/>
      <c r="H1066" s="1861"/>
      <c r="I1066" s="1944"/>
      <c r="J1066" s="1939"/>
      <c r="K1066" s="1864"/>
      <c r="L1066" s="2299"/>
      <c r="M1066" s="2300"/>
    </row>
    <row r="1067" spans="1:24">
      <c r="A1067" s="1901"/>
      <c r="B1067" s="1755"/>
      <c r="C1067" s="1867" t="s">
        <v>486</v>
      </c>
      <c r="D1067" s="1868"/>
      <c r="E1067" s="1860"/>
      <c r="F1067" s="1860"/>
      <c r="G1067" s="1943"/>
      <c r="H1067" s="1861"/>
      <c r="I1067" s="1944"/>
      <c r="J1067" s="1939"/>
      <c r="K1067" s="1864"/>
      <c r="L1067" s="2299"/>
      <c r="M1067" s="1941"/>
    </row>
    <row r="1068" spans="1:24">
      <c r="A1068" s="1901"/>
      <c r="B1068" s="1755" t="s">
        <v>488</v>
      </c>
      <c r="C1068" s="1867" t="s">
        <v>2926</v>
      </c>
      <c r="D1068" s="1868"/>
      <c r="E1068" s="1942">
        <v>0</v>
      </c>
      <c r="F1068" s="1806" t="s">
        <v>37</v>
      </c>
      <c r="G1068" s="1943">
        <v>350</v>
      </c>
      <c r="H1068" s="1861">
        <f>E1068*G1068</f>
        <v>0</v>
      </c>
      <c r="I1068" s="1944">
        <v>100</v>
      </c>
      <c r="J1068" s="1939">
        <f>E1068*I1068</f>
        <v>0</v>
      </c>
      <c r="K1068" s="1864">
        <f t="shared" ref="K1068" si="608">H1068+J1068</f>
        <v>0</v>
      </c>
      <c r="L1068" s="2299"/>
      <c r="M1068" s="2300"/>
    </row>
    <row r="1069" spans="1:24">
      <c r="A1069" s="1901"/>
      <c r="B1069" s="1755"/>
      <c r="C1069" s="1867" t="s">
        <v>2793</v>
      </c>
      <c r="D1069" s="1868"/>
      <c r="E1069" s="1860"/>
      <c r="F1069" s="1860"/>
      <c r="G1069" s="1943"/>
      <c r="H1069" s="1861"/>
      <c r="I1069" s="1944"/>
      <c r="J1069" s="1939"/>
      <c r="K1069" s="1864"/>
      <c r="L1069" s="1940"/>
      <c r="M1069" s="2300"/>
    </row>
    <row r="1070" spans="1:24">
      <c r="A1070" s="1901"/>
      <c r="B1070" s="1755"/>
      <c r="C1070" s="1867" t="s">
        <v>489</v>
      </c>
      <c r="D1070" s="1868"/>
      <c r="E1070" s="1942">
        <f>E1068</f>
        <v>0</v>
      </c>
      <c r="F1070" s="1806" t="s">
        <v>37</v>
      </c>
      <c r="G1070" s="2297">
        <v>69</v>
      </c>
      <c r="H1070" s="1861">
        <f>E1070*G1070</f>
        <v>0</v>
      </c>
      <c r="I1070" s="2298">
        <v>28</v>
      </c>
      <c r="J1070" s="1939">
        <f>E1070*I1070</f>
        <v>0</v>
      </c>
      <c r="K1070" s="1864">
        <f t="shared" ref="K1070:K1075" si="609">H1070+J1070</f>
        <v>0</v>
      </c>
      <c r="L1070" s="2299"/>
      <c r="M1070" s="1941"/>
    </row>
    <row r="1071" spans="1:24">
      <c r="A1071" s="1901"/>
      <c r="B1071" s="1755"/>
      <c r="C1071" s="1867"/>
      <c r="D1071" s="1868"/>
      <c r="E1071" s="1942"/>
      <c r="F1071" s="1806"/>
      <c r="G1071" s="2297"/>
      <c r="H1071" s="1939"/>
      <c r="I1071" s="2298"/>
      <c r="J1071" s="1939"/>
      <c r="K1071" s="1864"/>
      <c r="L1071" s="2299"/>
      <c r="M1071" s="1941"/>
    </row>
    <row r="1072" spans="1:24" ht="24" customHeight="1">
      <c r="A1072" s="1901"/>
      <c r="B1072" s="1945" t="s">
        <v>2901</v>
      </c>
      <c r="C1072" s="1867" t="s">
        <v>2902</v>
      </c>
      <c r="D1072" s="1868"/>
      <c r="E1072" s="1942">
        <v>0</v>
      </c>
      <c r="F1072" s="1806" t="s">
        <v>37</v>
      </c>
      <c r="G1072" s="1944">
        <v>195</v>
      </c>
      <c r="H1072" s="1939">
        <f>E1072*G1072</f>
        <v>0</v>
      </c>
      <c r="I1072" s="1944">
        <v>150</v>
      </c>
      <c r="J1072" s="1939">
        <f t="shared" ref="J1072" si="610">E1072*I1072</f>
        <v>0</v>
      </c>
      <c r="K1072" s="1864">
        <f t="shared" si="609"/>
        <v>0</v>
      </c>
      <c r="L1072" s="2299"/>
      <c r="N1072" s="1836"/>
      <c r="O1072" s="1837"/>
      <c r="P1072" s="1837"/>
      <c r="Q1072" s="1837"/>
      <c r="R1072" s="1837"/>
      <c r="S1072" s="1837"/>
      <c r="T1072" s="1837"/>
      <c r="U1072" s="1837"/>
      <c r="V1072" s="1837"/>
      <c r="W1072" s="1837"/>
      <c r="X1072" s="1837"/>
    </row>
    <row r="1073" spans="1:24" ht="24" customHeight="1">
      <c r="A1073" s="1901"/>
      <c r="B1073" s="1755"/>
      <c r="C1073" s="1867" t="s">
        <v>2903</v>
      </c>
      <c r="D1073" s="1868"/>
      <c r="E1073" s="1860"/>
      <c r="F1073" s="1860"/>
      <c r="G1073" s="1944"/>
      <c r="H1073" s="1939"/>
      <c r="I1073" s="1944"/>
      <c r="J1073" s="1939"/>
      <c r="K1073" s="1864"/>
      <c r="L1073" s="1940"/>
      <c r="M1073" s="1946"/>
      <c r="N1073" s="1836"/>
      <c r="O1073" s="1837"/>
      <c r="P1073" s="1837"/>
      <c r="Q1073" s="1837"/>
      <c r="R1073" s="1837"/>
      <c r="S1073" s="1837"/>
      <c r="T1073" s="1837"/>
      <c r="U1073" s="1837"/>
      <c r="V1073" s="1837"/>
      <c r="W1073" s="1837"/>
      <c r="X1073" s="1837"/>
    </row>
    <row r="1074" spans="1:24" ht="24" customHeight="1">
      <c r="A1074" s="1901"/>
      <c r="B1074" s="1755"/>
      <c r="C1074" s="1867" t="s">
        <v>2904</v>
      </c>
      <c r="D1074" s="1868"/>
      <c r="E1074" s="1942">
        <f>E1072</f>
        <v>0</v>
      </c>
      <c r="F1074" s="1806" t="s">
        <v>37</v>
      </c>
      <c r="G1074" s="2298">
        <v>120</v>
      </c>
      <c r="H1074" s="1947">
        <f>SUM(E1074*G1074)</f>
        <v>0</v>
      </c>
      <c r="I1074" s="2298">
        <v>56</v>
      </c>
      <c r="J1074" s="1939">
        <f>E1074*I1074</f>
        <v>0</v>
      </c>
      <c r="K1074" s="1864">
        <f>H1074+J1074</f>
        <v>0</v>
      </c>
      <c r="L1074" s="2299"/>
      <c r="M1074" s="1946"/>
      <c r="N1074" s="1836"/>
      <c r="O1074" s="1837"/>
      <c r="P1074" s="1837"/>
      <c r="Q1074" s="1837"/>
      <c r="R1074" s="1837"/>
      <c r="S1074" s="1837"/>
      <c r="T1074" s="1837"/>
      <c r="U1074" s="1837"/>
      <c r="V1074" s="1837"/>
      <c r="W1074" s="1837"/>
      <c r="X1074" s="1837"/>
    </row>
    <row r="1075" spans="1:24">
      <c r="A1075" s="1901"/>
      <c r="B1075" s="1755" t="s">
        <v>490</v>
      </c>
      <c r="C1075" s="1867" t="s">
        <v>2789</v>
      </c>
      <c r="D1075" s="1868"/>
      <c r="E1075" s="1942">
        <v>0</v>
      </c>
      <c r="F1075" s="1806" t="s">
        <v>37</v>
      </c>
      <c r="G1075" s="1943">
        <v>592</v>
      </c>
      <c r="H1075" s="1861">
        <f>E1075*G1075</f>
        <v>0</v>
      </c>
      <c r="I1075" s="1944">
        <v>165</v>
      </c>
      <c r="J1075" s="1939">
        <f>E1075*I1075</f>
        <v>0</v>
      </c>
      <c r="K1075" s="1864">
        <f t="shared" si="609"/>
        <v>0</v>
      </c>
      <c r="L1075" s="2299"/>
      <c r="M1075" s="2300"/>
    </row>
    <row r="1076" spans="1:24">
      <c r="A1076" s="1901"/>
      <c r="B1076" s="1755"/>
      <c r="C1076" s="1867" t="s">
        <v>2790</v>
      </c>
      <c r="D1076" s="1868"/>
      <c r="E1076" s="1860"/>
      <c r="F1076" s="1860"/>
      <c r="G1076" s="1943"/>
      <c r="H1076" s="1861"/>
      <c r="I1076" s="1944"/>
      <c r="J1076" s="1939"/>
      <c r="K1076" s="1864"/>
      <c r="L1076" s="1940"/>
      <c r="M1076" s="1941"/>
    </row>
    <row r="1077" spans="1:24">
      <c r="A1077" s="1901"/>
      <c r="B1077" s="1755"/>
      <c r="C1077" s="1867" t="s">
        <v>2794</v>
      </c>
      <c r="D1077" s="1868"/>
      <c r="E1077" s="1860"/>
      <c r="F1077" s="1860"/>
      <c r="G1077" s="1943"/>
      <c r="H1077" s="1861"/>
      <c r="I1077" s="1944"/>
      <c r="J1077" s="1939"/>
      <c r="K1077" s="1864"/>
      <c r="L1077" s="1940"/>
      <c r="M1077" s="1941"/>
    </row>
    <row r="1078" spans="1:24">
      <c r="A1078" s="1901"/>
      <c r="B1078" s="1755" t="s">
        <v>491</v>
      </c>
      <c r="C1078" s="1867" t="s">
        <v>2795</v>
      </c>
      <c r="D1078" s="1868"/>
      <c r="E1078" s="1942">
        <v>0</v>
      </c>
      <c r="F1078" s="1806" t="s">
        <v>37</v>
      </c>
      <c r="G1078" s="1943"/>
      <c r="H1078" s="1861"/>
      <c r="I1078" s="1944"/>
      <c r="J1078" s="1939"/>
      <c r="K1078" s="1864"/>
      <c r="L1078" s="2299"/>
      <c r="M1078" s="1949"/>
    </row>
    <row r="1079" spans="1:24">
      <c r="A1079" s="1901"/>
      <c r="B1079" s="1755"/>
      <c r="C1079" s="1867" t="s">
        <v>2792</v>
      </c>
      <c r="D1079" s="1868"/>
      <c r="E1079" s="1860"/>
      <c r="F1079" s="1860"/>
      <c r="G1079" s="1943">
        <v>642</v>
      </c>
      <c r="H1079" s="1861">
        <f>E1079*G1079</f>
        <v>0</v>
      </c>
      <c r="I1079" s="1944">
        <v>183</v>
      </c>
      <c r="J1079" s="1939">
        <f>E1079*I1079</f>
        <v>0</v>
      </c>
      <c r="K1079" s="1864">
        <f t="shared" ref="K1079" si="611">H1079+J1079</f>
        <v>0</v>
      </c>
      <c r="L1079" s="1940"/>
      <c r="M1079" s="1941"/>
    </row>
    <row r="1080" spans="1:24">
      <c r="A1080" s="1901"/>
      <c r="B1080" s="1755"/>
      <c r="C1080" s="1867" t="s">
        <v>542</v>
      </c>
      <c r="D1080" s="1868"/>
      <c r="E1080" s="1860"/>
      <c r="F1080" s="1860"/>
      <c r="G1080" s="1943"/>
      <c r="H1080" s="1861"/>
      <c r="I1080" s="1944"/>
      <c r="J1080" s="1939"/>
      <c r="K1080" s="1864"/>
      <c r="L1080" s="1940"/>
      <c r="M1080" s="2300"/>
    </row>
    <row r="1081" spans="1:24">
      <c r="A1081" s="1901"/>
      <c r="B1081" s="1755"/>
      <c r="C1081" s="1867" t="s">
        <v>2796</v>
      </c>
      <c r="D1081" s="1868"/>
      <c r="E1081" s="1860"/>
      <c r="F1081" s="1860"/>
      <c r="G1081" s="1943"/>
      <c r="H1081" s="1861"/>
      <c r="I1081" s="1944"/>
      <c r="J1081" s="1939"/>
      <c r="K1081" s="1864"/>
      <c r="L1081" s="1940"/>
      <c r="M1081" s="1941"/>
    </row>
    <row r="1082" spans="1:24">
      <c r="A1082" s="1901"/>
      <c r="B1082" s="1755" t="s">
        <v>492</v>
      </c>
      <c r="C1082" s="1867" t="s">
        <v>2797</v>
      </c>
      <c r="D1082" s="1868"/>
      <c r="E1082" s="1942">
        <v>0</v>
      </c>
      <c r="F1082" s="1806" t="s">
        <v>37</v>
      </c>
      <c r="G1082" s="1943">
        <v>520</v>
      </c>
      <c r="H1082" s="1861">
        <f>E1082*G1082</f>
        <v>0</v>
      </c>
      <c r="I1082" s="1944">
        <v>270</v>
      </c>
      <c r="J1082" s="1939">
        <f>E1082*I1082</f>
        <v>0</v>
      </c>
      <c r="K1082" s="1864">
        <f t="shared" ref="K1082" si="612">H1082+J1082</f>
        <v>0</v>
      </c>
      <c r="L1082" s="1948"/>
      <c r="M1082" s="1941"/>
    </row>
    <row r="1083" spans="1:24">
      <c r="A1083" s="1901"/>
      <c r="B1083" s="1755"/>
      <c r="C1083" s="1867" t="s">
        <v>2798</v>
      </c>
      <c r="D1083" s="1868"/>
      <c r="E1083" s="1860">
        <v>0</v>
      </c>
      <c r="F1083" s="1860"/>
      <c r="G1083" s="1943"/>
      <c r="H1083" s="1861"/>
      <c r="I1083" s="1944"/>
      <c r="J1083" s="1939"/>
      <c r="K1083" s="1864"/>
      <c r="L1083" s="1940"/>
      <c r="M1083" s="1941"/>
    </row>
    <row r="1084" spans="1:24">
      <c r="A1084" s="1901"/>
      <c r="B1084" s="1755"/>
      <c r="C1084" s="1867" t="s">
        <v>493</v>
      </c>
      <c r="D1084" s="1868"/>
      <c r="E1084" s="1860"/>
      <c r="F1084" s="1860"/>
      <c r="G1084" s="1943"/>
      <c r="H1084" s="1861"/>
      <c r="I1084" s="1944"/>
      <c r="J1084" s="1939"/>
      <c r="K1084" s="1864"/>
      <c r="L1084" s="1940"/>
      <c r="M1084" s="1941"/>
    </row>
    <row r="1085" spans="1:24">
      <c r="A1085" s="1901"/>
      <c r="B1085" s="1755" t="s">
        <v>494</v>
      </c>
      <c r="C1085" s="1867" t="s">
        <v>2799</v>
      </c>
      <c r="D1085" s="1868"/>
      <c r="E1085" s="1942">
        <v>0</v>
      </c>
      <c r="F1085" s="1806" t="s">
        <v>37</v>
      </c>
      <c r="G1085" s="1943">
        <v>256</v>
      </c>
      <c r="H1085" s="1861">
        <f>E1085*G1085</f>
        <v>0</v>
      </c>
      <c r="I1085" s="1944">
        <v>100</v>
      </c>
      <c r="J1085" s="1939">
        <f>E1085*I1085</f>
        <v>0</v>
      </c>
      <c r="K1085" s="1864">
        <f>H1085+J1085</f>
        <v>0</v>
      </c>
      <c r="L1085" s="2299"/>
      <c r="M1085" s="1941"/>
    </row>
    <row r="1086" spans="1:24">
      <c r="A1086" s="1901"/>
      <c r="B1086" s="1755"/>
      <c r="C1086" s="1867" t="s">
        <v>2800</v>
      </c>
      <c r="D1086" s="1868"/>
      <c r="E1086" s="1860"/>
      <c r="F1086" s="1860"/>
      <c r="G1086" s="1943"/>
      <c r="H1086" s="1861"/>
      <c r="I1086" s="1944"/>
      <c r="J1086" s="1939"/>
      <c r="K1086" s="1864"/>
      <c r="L1086" s="1940"/>
      <c r="M1086" s="1941"/>
    </row>
    <row r="1087" spans="1:24">
      <c r="A1087" s="1901"/>
      <c r="B1087" s="1755"/>
      <c r="C1087" s="1867" t="s">
        <v>495</v>
      </c>
      <c r="D1087" s="1868"/>
      <c r="E1087" s="1860"/>
      <c r="F1087" s="1860"/>
      <c r="G1087" s="1943"/>
      <c r="H1087" s="1861"/>
      <c r="I1087" s="1944"/>
      <c r="J1087" s="1939"/>
      <c r="K1087" s="1864"/>
      <c r="L1087" s="1940"/>
      <c r="M1087" s="1941"/>
    </row>
    <row r="1088" spans="1:24">
      <c r="A1088" s="1901"/>
      <c r="B1088" s="1755"/>
      <c r="C1088" s="1867" t="s">
        <v>496</v>
      </c>
      <c r="D1088" s="1868"/>
      <c r="E1088" s="1860">
        <f>+E1085</f>
        <v>0</v>
      </c>
      <c r="F1088" s="1806" t="s">
        <v>37</v>
      </c>
      <c r="G1088" s="1936">
        <v>520</v>
      </c>
      <c r="H1088" s="1861">
        <f>E1088*G1088</f>
        <v>0</v>
      </c>
      <c r="I1088" s="1938">
        <v>30</v>
      </c>
      <c r="J1088" s="1939">
        <f>E1088*I1088</f>
        <v>0</v>
      </c>
      <c r="K1088" s="1864">
        <f>H1088+J1088</f>
        <v>0</v>
      </c>
      <c r="L1088" s="1940" t="s">
        <v>2881</v>
      </c>
      <c r="M1088" s="1941"/>
    </row>
    <row r="1089" spans="1:13">
      <c r="A1089" s="1901"/>
      <c r="B1089" s="1755" t="s">
        <v>497</v>
      </c>
      <c r="C1089" s="1867" t="s">
        <v>498</v>
      </c>
      <c r="D1089" s="1868"/>
      <c r="E1089" s="1942">
        <v>266</v>
      </c>
      <c r="F1089" s="1806" t="s">
        <v>37</v>
      </c>
      <c r="G1089" s="1936">
        <v>91</v>
      </c>
      <c r="H1089" s="1861">
        <f t="shared" ref="H1089:H1095" si="613">E1089*G1089</f>
        <v>24206</v>
      </c>
      <c r="I1089" s="1938">
        <v>100</v>
      </c>
      <c r="J1089" s="1939">
        <f t="shared" ref="J1089:J1095" si="614">E1089*I1089</f>
        <v>26600</v>
      </c>
      <c r="K1089" s="1864">
        <f t="shared" ref="K1089:K1095" si="615">H1089+J1089</f>
        <v>50806</v>
      </c>
      <c r="L1089" s="1940"/>
      <c r="M1089" s="1941"/>
    </row>
    <row r="1090" spans="1:13">
      <c r="A1090" s="1901"/>
      <c r="B1090" s="1755" t="s">
        <v>499</v>
      </c>
      <c r="C1090" s="1867" t="s">
        <v>500</v>
      </c>
      <c r="D1090" s="1868"/>
      <c r="E1090" s="1942">
        <v>250</v>
      </c>
      <c r="F1090" s="1806" t="s">
        <v>37</v>
      </c>
      <c r="G1090" s="1936">
        <v>294</v>
      </c>
      <c r="H1090" s="1861">
        <f t="shared" si="613"/>
        <v>73500</v>
      </c>
      <c r="I1090" s="1938">
        <v>189</v>
      </c>
      <c r="J1090" s="1939">
        <f t="shared" si="614"/>
        <v>47250</v>
      </c>
      <c r="K1090" s="1864">
        <f t="shared" si="615"/>
        <v>120750</v>
      </c>
      <c r="L1090" s="1940"/>
      <c r="M1090" s="1941"/>
    </row>
    <row r="1091" spans="1:13">
      <c r="A1091" s="1901"/>
      <c r="B1091" s="1755" t="s">
        <v>501</v>
      </c>
      <c r="C1091" s="1867" t="s">
        <v>502</v>
      </c>
      <c r="D1091" s="1868"/>
      <c r="E1091" s="1942">
        <v>0</v>
      </c>
      <c r="F1091" s="119" t="s">
        <v>37</v>
      </c>
      <c r="G1091" s="2294">
        <v>608</v>
      </c>
      <c r="H1091" s="1882">
        <f t="shared" si="613"/>
        <v>0</v>
      </c>
      <c r="I1091" s="1951">
        <v>189</v>
      </c>
      <c r="J1091" s="1876">
        <f t="shared" si="614"/>
        <v>0</v>
      </c>
      <c r="K1091" s="1890">
        <f t="shared" si="615"/>
        <v>0</v>
      </c>
      <c r="L1091" s="1940"/>
      <c r="M1091" s="1941"/>
    </row>
    <row r="1092" spans="1:13">
      <c r="A1092" s="1901"/>
      <c r="B1092" s="1755" t="s">
        <v>2918</v>
      </c>
      <c r="C1092" s="1867" t="s">
        <v>502</v>
      </c>
      <c r="D1092" s="1868"/>
      <c r="E1092" s="1942">
        <v>613</v>
      </c>
      <c r="F1092" s="67" t="s">
        <v>37</v>
      </c>
      <c r="G1092" s="2294">
        <v>399</v>
      </c>
      <c r="H1092" s="1882">
        <f t="shared" si="613"/>
        <v>244587</v>
      </c>
      <c r="I1092" s="1951">
        <v>189</v>
      </c>
      <c r="J1092" s="1876">
        <f t="shared" si="614"/>
        <v>115857</v>
      </c>
      <c r="K1092" s="1890">
        <f t="shared" si="615"/>
        <v>360444</v>
      </c>
      <c r="L1092" s="1940"/>
      <c r="M1092" s="1941"/>
    </row>
    <row r="1093" spans="1:13">
      <c r="A1093" s="1901"/>
      <c r="B1093" s="1755" t="s">
        <v>503</v>
      </c>
      <c r="C1093" s="1867" t="s">
        <v>2801</v>
      </c>
      <c r="D1093" s="1868"/>
      <c r="E1093" s="1942">
        <v>0</v>
      </c>
      <c r="F1093" s="1806" t="s">
        <v>37</v>
      </c>
      <c r="G1093" s="1936">
        <v>88</v>
      </c>
      <c r="H1093" s="1861">
        <f t="shared" si="613"/>
        <v>0</v>
      </c>
      <c r="I1093" s="1938">
        <v>82</v>
      </c>
      <c r="J1093" s="1939">
        <f t="shared" si="614"/>
        <v>0</v>
      </c>
      <c r="K1093" s="1864">
        <f t="shared" si="615"/>
        <v>0</v>
      </c>
      <c r="L1093" s="1940" t="s">
        <v>2882</v>
      </c>
      <c r="M1093" s="1941"/>
    </row>
    <row r="1094" spans="1:13">
      <c r="A1094" s="1901"/>
      <c r="B1094" s="1755"/>
      <c r="C1094" s="1867" t="s">
        <v>504</v>
      </c>
      <c r="D1094" s="1868"/>
      <c r="E1094" s="1942">
        <v>0</v>
      </c>
      <c r="F1094" s="1806" t="s">
        <v>37</v>
      </c>
      <c r="G1094" s="2297">
        <v>69</v>
      </c>
      <c r="H1094" s="1861">
        <f t="shared" si="613"/>
        <v>0</v>
      </c>
      <c r="I1094" s="2301">
        <v>28</v>
      </c>
      <c r="J1094" s="1939">
        <f t="shared" si="614"/>
        <v>0</v>
      </c>
      <c r="K1094" s="1864">
        <f t="shared" si="615"/>
        <v>0</v>
      </c>
      <c r="L1094" s="1940"/>
      <c r="M1094" s="1941"/>
    </row>
    <row r="1095" spans="1:13">
      <c r="A1095" s="1901"/>
      <c r="B1095" s="1755" t="s">
        <v>505</v>
      </c>
      <c r="C1095" s="1867" t="s">
        <v>502</v>
      </c>
      <c r="D1095" s="1868"/>
      <c r="E1095" s="1942">
        <v>0</v>
      </c>
      <c r="F1095" s="1806" t="s">
        <v>37</v>
      </c>
      <c r="G1095" s="1936">
        <v>870</v>
      </c>
      <c r="H1095" s="1861">
        <f t="shared" si="613"/>
        <v>0</v>
      </c>
      <c r="I1095" s="1938">
        <v>242</v>
      </c>
      <c r="J1095" s="1939">
        <f t="shared" si="614"/>
        <v>0</v>
      </c>
      <c r="K1095" s="1864">
        <f t="shared" si="615"/>
        <v>0</v>
      </c>
      <c r="L1095" s="1940"/>
      <c r="M1095" s="1941"/>
    </row>
    <row r="1096" spans="1:13">
      <c r="A1096" s="1901"/>
      <c r="B1096" s="1755"/>
      <c r="C1096" s="1867" t="s">
        <v>506</v>
      </c>
      <c r="D1096" s="1868"/>
      <c r="E1096" s="1860"/>
      <c r="F1096" s="1860"/>
      <c r="G1096" s="1943"/>
      <c r="H1096" s="1861"/>
      <c r="I1096" s="1944"/>
      <c r="J1096" s="1939"/>
      <c r="K1096" s="1864"/>
      <c r="L1096" s="1940"/>
      <c r="M1096" s="1866"/>
    </row>
    <row r="1097" spans="1:13">
      <c r="A1097" s="1901"/>
      <c r="B1097" s="1755" t="s">
        <v>2919</v>
      </c>
      <c r="C1097" s="1867" t="s">
        <v>502</v>
      </c>
      <c r="D1097" s="1868"/>
      <c r="E1097" s="1942">
        <v>47</v>
      </c>
      <c r="F1097" s="1806" t="s">
        <v>37</v>
      </c>
      <c r="G1097" s="1953">
        <v>765</v>
      </c>
      <c r="H1097" s="1882">
        <f>E1097*G1097</f>
        <v>35955</v>
      </c>
      <c r="I1097" s="1951">
        <v>242</v>
      </c>
      <c r="J1097" s="1939">
        <f t="shared" ref="J1097" si="616">E1097*I1097</f>
        <v>11374</v>
      </c>
      <c r="K1097" s="1864">
        <f t="shared" ref="K1097" si="617">H1097+J1097</f>
        <v>47329</v>
      </c>
      <c r="L1097" s="1940"/>
      <c r="M1097" s="1941"/>
    </row>
    <row r="1098" spans="1:13">
      <c r="A1098" s="1901"/>
      <c r="B1098" s="1755"/>
      <c r="C1098" s="1867" t="s">
        <v>506</v>
      </c>
      <c r="D1098" s="1868"/>
      <c r="E1098" s="1860"/>
      <c r="F1098" s="1860"/>
      <c r="G1098" s="1943"/>
      <c r="H1098" s="1861"/>
      <c r="I1098" s="1944"/>
      <c r="J1098" s="1939"/>
      <c r="K1098" s="1864"/>
      <c r="L1098" s="1940"/>
      <c r="M1098" s="1941"/>
    </row>
    <row r="1099" spans="1:13">
      <c r="A1099" s="1901"/>
      <c r="B1099" s="1755" t="s">
        <v>507</v>
      </c>
      <c r="C1099" s="1867" t="s">
        <v>508</v>
      </c>
      <c r="D1099" s="1868"/>
      <c r="E1099" s="1942">
        <v>0</v>
      </c>
      <c r="F1099" s="1806" t="s">
        <v>37</v>
      </c>
      <c r="G1099" s="1936">
        <v>0</v>
      </c>
      <c r="H1099" s="1861">
        <f t="shared" ref="H1099:H1100" si="618">E1099*G1099</f>
        <v>0</v>
      </c>
      <c r="I1099" s="1938">
        <v>0</v>
      </c>
      <c r="J1099" s="1939">
        <f t="shared" ref="J1099:J1100" si="619">E1099*I1099</f>
        <v>0</v>
      </c>
      <c r="K1099" s="1864">
        <f t="shared" ref="K1099:K1100" si="620">H1099+J1099</f>
        <v>0</v>
      </c>
      <c r="L1099" s="1940"/>
      <c r="M1099" s="1941"/>
    </row>
    <row r="1100" spans="1:13">
      <c r="A1100" s="1901"/>
      <c r="B1100" s="1755" t="s">
        <v>510</v>
      </c>
      <c r="C1100" s="1755" t="s">
        <v>2802</v>
      </c>
      <c r="D1100" s="1755"/>
      <c r="E1100" s="1942">
        <v>0</v>
      </c>
      <c r="F1100" s="1806" t="s">
        <v>37</v>
      </c>
      <c r="G1100" s="1936">
        <v>1296</v>
      </c>
      <c r="H1100" s="1861">
        <f t="shared" si="618"/>
        <v>0</v>
      </c>
      <c r="I1100" s="1938">
        <v>1600</v>
      </c>
      <c r="J1100" s="1939">
        <f t="shared" si="619"/>
        <v>0</v>
      </c>
      <c r="K1100" s="1864">
        <f t="shared" si="620"/>
        <v>0</v>
      </c>
      <c r="L1100" s="1940"/>
      <c r="M1100" s="1941"/>
    </row>
    <row r="1101" spans="1:13">
      <c r="A1101" s="1901"/>
      <c r="B1101" s="1755"/>
      <c r="C1101" s="1755" t="s">
        <v>512</v>
      </c>
      <c r="D1101" s="1755"/>
      <c r="E1101" s="1860"/>
      <c r="F1101" s="1860"/>
      <c r="G1101" s="1936"/>
      <c r="H1101" s="1937"/>
      <c r="I1101" s="1938"/>
      <c r="J1101" s="1939"/>
      <c r="K1101" s="1864"/>
      <c r="L1101" s="1940"/>
      <c r="M1101" s="1941"/>
    </row>
    <row r="1102" spans="1:13">
      <c r="A1102" s="1901"/>
      <c r="B1102" s="1755" t="s">
        <v>513</v>
      </c>
      <c r="C1102" s="1867" t="s">
        <v>514</v>
      </c>
      <c r="D1102" s="1868"/>
      <c r="E1102" s="1942">
        <v>0</v>
      </c>
      <c r="F1102" s="1806" t="s">
        <v>37</v>
      </c>
      <c r="G1102" s="1936">
        <v>1090</v>
      </c>
      <c r="H1102" s="1861">
        <f t="shared" ref="H1102:H1103" si="621">E1102*G1102</f>
        <v>0</v>
      </c>
      <c r="I1102" s="1938">
        <v>900</v>
      </c>
      <c r="J1102" s="1939">
        <f t="shared" ref="J1102:J1103" si="622">E1102*I1102</f>
        <v>0</v>
      </c>
      <c r="K1102" s="1864">
        <f t="shared" ref="K1102:K1103" si="623">H1102+J1102</f>
        <v>0</v>
      </c>
      <c r="L1102" s="1940"/>
      <c r="M1102" s="1941"/>
    </row>
    <row r="1103" spans="1:13">
      <c r="A1103" s="1901"/>
      <c r="B1103" s="1755" t="s">
        <v>515</v>
      </c>
      <c r="C1103" s="1867" t="s">
        <v>2905</v>
      </c>
      <c r="D1103" s="1868"/>
      <c r="E1103" s="1942">
        <v>0</v>
      </c>
      <c r="F1103" s="1806" t="s">
        <v>37</v>
      </c>
      <c r="G1103" s="1936">
        <v>1600</v>
      </c>
      <c r="H1103" s="1861">
        <f t="shared" si="621"/>
        <v>0</v>
      </c>
      <c r="I1103" s="1938">
        <v>500</v>
      </c>
      <c r="J1103" s="1939">
        <f t="shared" si="622"/>
        <v>0</v>
      </c>
      <c r="K1103" s="1864">
        <f t="shared" si="623"/>
        <v>0</v>
      </c>
      <c r="L1103" s="1940"/>
      <c r="M1103" s="2300"/>
    </row>
    <row r="1104" spans="1:13">
      <c r="A1104" s="1901"/>
      <c r="B1104" s="1755"/>
      <c r="C1104" s="1867" t="s">
        <v>517</v>
      </c>
      <c r="D1104" s="1868"/>
      <c r="E1104" s="1942"/>
      <c r="F1104" s="1806"/>
      <c r="G1104" s="1936"/>
      <c r="H1104" s="1937"/>
      <c r="I1104" s="1938"/>
      <c r="J1104" s="1939"/>
      <c r="K1104" s="1864"/>
      <c r="L1104" s="1940"/>
      <c r="M1104" s="1941"/>
    </row>
    <row r="1105" spans="1:13">
      <c r="A1105" s="1901"/>
      <c r="B1105" s="1755" t="s">
        <v>518</v>
      </c>
      <c r="C1105" s="1867" t="s">
        <v>519</v>
      </c>
      <c r="D1105" s="1868"/>
      <c r="E1105" s="1942">
        <v>0</v>
      </c>
      <c r="F1105" s="1806" t="s">
        <v>37</v>
      </c>
      <c r="G1105" s="1936">
        <v>2540</v>
      </c>
      <c r="H1105" s="1861">
        <f t="shared" ref="H1105" si="624">E1105*G1105</f>
        <v>0</v>
      </c>
      <c r="I1105" s="1938">
        <v>700</v>
      </c>
      <c r="J1105" s="1939">
        <f t="shared" ref="J1105" si="625">E1105*I1105</f>
        <v>0</v>
      </c>
      <c r="K1105" s="1864">
        <f t="shared" ref="K1105" si="626">H1105+J1105</f>
        <v>0</v>
      </c>
      <c r="L1105" s="1940"/>
      <c r="M1105" s="1941"/>
    </row>
    <row r="1106" spans="1:13">
      <c r="A1106" s="1901"/>
      <c r="B1106" s="1755"/>
      <c r="C1106" s="1867" t="s">
        <v>520</v>
      </c>
      <c r="D1106" s="1868"/>
      <c r="E1106" s="1942"/>
      <c r="F1106" s="1806"/>
      <c r="G1106" s="1936"/>
      <c r="H1106" s="1937"/>
      <c r="I1106" s="1938"/>
      <c r="J1106" s="1939"/>
      <c r="K1106" s="1864"/>
      <c r="L1106" s="1940"/>
      <c r="M1106" s="1941"/>
    </row>
    <row r="1107" spans="1:13">
      <c r="A1107" s="1901"/>
      <c r="B1107" s="1755" t="s">
        <v>521</v>
      </c>
      <c r="C1107" s="1867" t="s">
        <v>522</v>
      </c>
      <c r="D1107" s="1868"/>
      <c r="E1107" s="1942">
        <v>0</v>
      </c>
      <c r="F1107" s="1806" t="s">
        <v>37</v>
      </c>
      <c r="G1107" s="1943">
        <v>15000</v>
      </c>
      <c r="H1107" s="1861">
        <f t="shared" ref="H1107:H1109" si="627">E1107*G1107</f>
        <v>0</v>
      </c>
      <c r="I1107" s="1944">
        <v>500</v>
      </c>
      <c r="J1107" s="1939">
        <f t="shared" ref="J1107:J1109" si="628">E1107*I1107</f>
        <v>0</v>
      </c>
      <c r="K1107" s="1864">
        <f t="shared" ref="K1107:K1109" si="629">H1107+J1107</f>
        <v>0</v>
      </c>
      <c r="L1107" s="1865"/>
    </row>
    <row r="1108" spans="1:13">
      <c r="A1108" s="1782"/>
      <c r="B1108" s="1755" t="s">
        <v>523</v>
      </c>
      <c r="C1108" s="1867" t="s">
        <v>524</v>
      </c>
      <c r="D1108" s="1868"/>
      <c r="E1108" s="1942">
        <v>352</v>
      </c>
      <c r="F1108" s="1806" t="s">
        <v>37</v>
      </c>
      <c r="G1108" s="1936">
        <v>88</v>
      </c>
      <c r="H1108" s="1861">
        <f t="shared" si="627"/>
        <v>30976</v>
      </c>
      <c r="I1108" s="1938">
        <v>82</v>
      </c>
      <c r="J1108" s="1939">
        <f t="shared" si="628"/>
        <v>28864</v>
      </c>
      <c r="K1108" s="1864">
        <f t="shared" si="629"/>
        <v>59840</v>
      </c>
      <c r="L1108" s="1940" t="s">
        <v>2883</v>
      </c>
    </row>
    <row r="1109" spans="1:13">
      <c r="A1109" s="1782"/>
      <c r="B1109" s="1755" t="s">
        <v>525</v>
      </c>
      <c r="C1109" s="1867" t="s">
        <v>526</v>
      </c>
      <c r="D1109" s="1868"/>
      <c r="E1109" s="1942">
        <v>0</v>
      </c>
      <c r="F1109" s="1806" t="s">
        <v>37</v>
      </c>
      <c r="G1109" s="1936">
        <v>1955</v>
      </c>
      <c r="H1109" s="1861">
        <f t="shared" si="627"/>
        <v>0</v>
      </c>
      <c r="I1109" s="1938">
        <v>1700</v>
      </c>
      <c r="J1109" s="1939">
        <f t="shared" si="628"/>
        <v>0</v>
      </c>
      <c r="K1109" s="1864">
        <f t="shared" si="629"/>
        <v>0</v>
      </c>
      <c r="L1109" s="1940"/>
    </row>
    <row r="1110" spans="1:13">
      <c r="A1110" s="1782"/>
      <c r="B1110" s="1755"/>
      <c r="C1110" s="1867" t="s">
        <v>2804</v>
      </c>
      <c r="D1110" s="1868"/>
      <c r="E1110" s="1942"/>
      <c r="F1110" s="1806"/>
      <c r="G1110" s="1936"/>
      <c r="H1110" s="1937"/>
      <c r="I1110" s="1938"/>
      <c r="J1110" s="1939"/>
      <c r="K1110" s="1864"/>
      <c r="L1110" s="1940"/>
    </row>
    <row r="1111" spans="1:13">
      <c r="A1111" s="1782"/>
      <c r="B1111" s="1755"/>
      <c r="C1111" s="1867" t="s">
        <v>527</v>
      </c>
      <c r="D1111" s="1868"/>
      <c r="E1111" s="1942"/>
      <c r="F1111" s="1806"/>
      <c r="G1111" s="1943">
        <v>165</v>
      </c>
      <c r="H1111" s="1861">
        <f t="shared" ref="H1111:H1112" si="630">E1111*G1111</f>
        <v>0</v>
      </c>
      <c r="I1111" s="1944">
        <v>25</v>
      </c>
      <c r="J1111" s="1939">
        <f t="shared" ref="J1111:J1112" si="631">E1111*I1111</f>
        <v>0</v>
      </c>
      <c r="K1111" s="1864">
        <f t="shared" ref="K1111:K1112" si="632">H1111+J1111</f>
        <v>0</v>
      </c>
      <c r="L1111" s="1940"/>
    </row>
    <row r="1112" spans="1:13">
      <c r="A1112" s="1782"/>
      <c r="B1112" s="1755" t="s">
        <v>528</v>
      </c>
      <c r="C1112" s="1867" t="s">
        <v>526</v>
      </c>
      <c r="D1112" s="1868"/>
      <c r="E1112" s="1942">
        <v>0</v>
      </c>
      <c r="F1112" s="1806" t="s">
        <v>37</v>
      </c>
      <c r="G1112" s="1936">
        <v>1296</v>
      </c>
      <c r="H1112" s="1861">
        <f t="shared" si="630"/>
        <v>0</v>
      </c>
      <c r="I1112" s="1938">
        <v>1600</v>
      </c>
      <c r="J1112" s="1939">
        <f t="shared" si="631"/>
        <v>0</v>
      </c>
      <c r="K1112" s="1864">
        <f t="shared" si="632"/>
        <v>0</v>
      </c>
      <c r="L1112" s="1940"/>
    </row>
    <row r="1113" spans="1:13">
      <c r="A1113" s="1782"/>
      <c r="B1113" s="1755"/>
      <c r="C1113" s="1867" t="s">
        <v>2804</v>
      </c>
      <c r="D1113" s="1868"/>
      <c r="E1113" s="1942"/>
      <c r="F1113" s="1806"/>
      <c r="G1113" s="1936"/>
      <c r="H1113" s="1937"/>
      <c r="I1113" s="1938"/>
      <c r="J1113" s="1939"/>
      <c r="K1113" s="1864"/>
      <c r="L1113" s="1940"/>
    </row>
    <row r="1114" spans="1:13">
      <c r="A1114" s="1782"/>
      <c r="B1114" s="1755"/>
      <c r="C1114" s="1867" t="s">
        <v>527</v>
      </c>
      <c r="D1114" s="1868"/>
      <c r="E1114" s="1942"/>
      <c r="F1114" s="1806"/>
      <c r="G1114" s="1943">
        <v>165</v>
      </c>
      <c r="H1114" s="1861">
        <f t="shared" ref="H1114:H1115" si="633">E1114*G1114</f>
        <v>0</v>
      </c>
      <c r="I1114" s="1944">
        <v>25</v>
      </c>
      <c r="J1114" s="1939">
        <f t="shared" ref="J1114:J1115" si="634">E1114*I1114</f>
        <v>0</v>
      </c>
      <c r="K1114" s="1864">
        <f t="shared" ref="K1114:K1115" si="635">H1114+J1114</f>
        <v>0</v>
      </c>
      <c r="L1114" s="1940"/>
    </row>
    <row r="1115" spans="1:13">
      <c r="A1115" s="1782"/>
      <c r="B1115" s="1755" t="s">
        <v>529</v>
      </c>
      <c r="C1115" s="1867" t="s">
        <v>526</v>
      </c>
      <c r="D1115" s="1868"/>
      <c r="E1115" s="1942">
        <v>0</v>
      </c>
      <c r="F1115" s="1806" t="s">
        <v>37</v>
      </c>
      <c r="G1115" s="1936">
        <v>5900</v>
      </c>
      <c r="H1115" s="1861">
        <f t="shared" si="633"/>
        <v>0</v>
      </c>
      <c r="I1115" s="1938">
        <v>1200</v>
      </c>
      <c r="J1115" s="1939">
        <f t="shared" si="634"/>
        <v>0</v>
      </c>
      <c r="K1115" s="1864">
        <f t="shared" si="635"/>
        <v>0</v>
      </c>
      <c r="L1115" s="1940"/>
    </row>
    <row r="1116" spans="1:13">
      <c r="A1116" s="1782"/>
      <c r="B1116" s="1755"/>
      <c r="C1116" s="1867" t="s">
        <v>2804</v>
      </c>
      <c r="D1116" s="1868"/>
      <c r="E1116" s="1942"/>
      <c r="F1116" s="1806"/>
      <c r="G1116" s="1936"/>
      <c r="H1116" s="1937"/>
      <c r="I1116" s="1938"/>
      <c r="J1116" s="1939"/>
      <c r="K1116" s="1864"/>
      <c r="L1116" s="1940"/>
    </row>
    <row r="1117" spans="1:13">
      <c r="A1117" s="1782"/>
      <c r="B1117" s="1755" t="s">
        <v>530</v>
      </c>
      <c r="C1117" s="1867" t="s">
        <v>526</v>
      </c>
      <c r="D1117" s="1868"/>
      <c r="E1117" s="1942">
        <v>0</v>
      </c>
      <c r="F1117" s="1806" t="s">
        <v>37</v>
      </c>
      <c r="G1117" s="1936">
        <v>6000</v>
      </c>
      <c r="H1117" s="1861">
        <f t="shared" ref="H1117" si="636">E1117*G1117</f>
        <v>0</v>
      </c>
      <c r="I1117" s="1938">
        <v>1550</v>
      </c>
      <c r="J1117" s="1939">
        <f t="shared" ref="J1117" si="637">E1117*I1117</f>
        <v>0</v>
      </c>
      <c r="K1117" s="1864">
        <f t="shared" ref="K1117" si="638">H1117+J1117</f>
        <v>0</v>
      </c>
      <c r="L1117" s="1940"/>
    </row>
    <row r="1118" spans="1:13">
      <c r="A1118" s="1782"/>
      <c r="B1118" s="1755"/>
      <c r="C1118" s="1867" t="s">
        <v>2805</v>
      </c>
      <c r="D1118" s="1868"/>
      <c r="E1118" s="1942"/>
      <c r="F1118" s="1806"/>
      <c r="G1118" s="1936"/>
      <c r="H1118" s="1937"/>
      <c r="I1118" s="1938"/>
      <c r="J1118" s="1939"/>
      <c r="K1118" s="1864"/>
      <c r="L1118" s="1940"/>
    </row>
    <row r="1119" spans="1:13">
      <c r="A1119" s="1782"/>
      <c r="B1119" s="1755" t="s">
        <v>531</v>
      </c>
      <c r="C1119" s="1867" t="s">
        <v>532</v>
      </c>
      <c r="D1119" s="1868"/>
      <c r="E1119" s="1942">
        <v>0</v>
      </c>
      <c r="F1119" s="1806" t="s">
        <v>37</v>
      </c>
      <c r="G1119" s="2297">
        <f>13+69</f>
        <v>82</v>
      </c>
      <c r="H1119" s="1861">
        <f t="shared" ref="H1119:H1120" si="639">E1119*G1119</f>
        <v>0</v>
      </c>
      <c r="I1119" s="2301">
        <f>30+28</f>
        <v>58</v>
      </c>
      <c r="J1119" s="1939">
        <f t="shared" ref="J1119:J1120" si="640">E1119*I1119</f>
        <v>0</v>
      </c>
      <c r="K1119" s="1864">
        <f t="shared" ref="K1119:K1120" si="641">H1119+J1119</f>
        <v>0</v>
      </c>
      <c r="L1119" s="2299"/>
    </row>
    <row r="1120" spans="1:13">
      <c r="A1120" s="1782"/>
      <c r="B1120" s="1755" t="s">
        <v>533</v>
      </c>
      <c r="C1120" s="1867" t="s">
        <v>534</v>
      </c>
      <c r="D1120" s="1868"/>
      <c r="E1120" s="1942">
        <v>0</v>
      </c>
      <c r="F1120" s="1806" t="s">
        <v>37</v>
      </c>
      <c r="G1120" s="1936">
        <v>0</v>
      </c>
      <c r="H1120" s="1861">
        <f t="shared" si="639"/>
        <v>0</v>
      </c>
      <c r="I1120" s="1938">
        <v>0</v>
      </c>
      <c r="J1120" s="1939">
        <f t="shared" si="640"/>
        <v>0</v>
      </c>
      <c r="K1120" s="1864">
        <f t="shared" si="641"/>
        <v>0</v>
      </c>
      <c r="L1120" s="1940"/>
    </row>
    <row r="1121" spans="1:24">
      <c r="A1121" s="1782"/>
      <c r="B1121" s="1755"/>
      <c r="C1121" s="1755" t="s">
        <v>535</v>
      </c>
      <c r="D1121" s="1868"/>
      <c r="E1121" s="1942"/>
      <c r="F1121" s="1806"/>
      <c r="G1121" s="1936"/>
      <c r="H1121" s="1937"/>
      <c r="I1121" s="1938"/>
      <c r="J1121" s="1939"/>
      <c r="K1121" s="1864"/>
      <c r="L1121" s="1940"/>
      <c r="N1121" s="1797">
        <f>SUM(K1046:K1121)</f>
        <v>5263766.4399999995</v>
      </c>
    </row>
    <row r="1122" spans="1:24" ht="24" customHeight="1">
      <c r="A1122" s="1933" t="s">
        <v>554</v>
      </c>
      <c r="B1122" s="1908" t="s">
        <v>555</v>
      </c>
      <c r="C1122" s="1850"/>
      <c r="D1122" s="1963"/>
      <c r="E1122" s="1897"/>
      <c r="F1122" s="1806"/>
      <c r="G1122" s="1966"/>
      <c r="H1122" s="1854"/>
      <c r="I1122" s="1893"/>
      <c r="J1122" s="1856"/>
      <c r="K1122" s="1857"/>
      <c r="L1122" s="1858"/>
      <c r="M1122" s="1809"/>
      <c r="N1122" s="1837"/>
      <c r="O1122" s="1837"/>
      <c r="P1122" s="1837"/>
      <c r="Q1122" s="1837"/>
      <c r="R1122" s="1837"/>
      <c r="S1122" s="1837"/>
      <c r="T1122" s="1837"/>
      <c r="U1122" s="1837"/>
      <c r="V1122" s="1837"/>
      <c r="W1122" s="1837"/>
      <c r="X1122" s="1837"/>
    </row>
    <row r="1123" spans="1:24">
      <c r="A1123" s="1901"/>
      <c r="B1123" s="1783"/>
      <c r="C1123" s="1867" t="s">
        <v>538</v>
      </c>
      <c r="D1123" s="1859"/>
      <c r="E1123" s="1860">
        <v>4574</v>
      </c>
      <c r="F1123" s="1806" t="s">
        <v>37</v>
      </c>
      <c r="G1123" s="1936">
        <v>281</v>
      </c>
      <c r="H1123" s="1937">
        <f>E1123*G1123</f>
        <v>1285294</v>
      </c>
      <c r="I1123" s="1938">
        <v>80</v>
      </c>
      <c r="J1123" s="1939">
        <f>E1123*I1123</f>
        <v>365920</v>
      </c>
      <c r="K1123" s="1864">
        <f>H1123+J1123</f>
        <v>1651214</v>
      </c>
      <c r="L1123" s="1940"/>
      <c r="M1123" s="1941"/>
    </row>
    <row r="1124" spans="1:24">
      <c r="A1124" s="1901"/>
      <c r="B1124" s="1783"/>
      <c r="C1124" s="1867" t="s">
        <v>539</v>
      </c>
      <c r="D1124" s="1859"/>
      <c r="E1124" s="1860">
        <f>+E1171</f>
        <v>0</v>
      </c>
      <c r="F1124" s="1806" t="s">
        <v>37</v>
      </c>
      <c r="G1124" s="1936">
        <v>712</v>
      </c>
      <c r="H1124" s="1937">
        <f t="shared" ref="H1124:H1139" si="642">E1124*G1124</f>
        <v>0</v>
      </c>
      <c r="I1124" s="1938">
        <v>98</v>
      </c>
      <c r="J1124" s="1939">
        <f t="shared" ref="J1124:J1139" si="643">E1124*I1124</f>
        <v>0</v>
      </c>
      <c r="K1124" s="1864">
        <f t="shared" ref="K1124:K1139" si="644">H1124+J1124</f>
        <v>0</v>
      </c>
      <c r="L1124" s="1940"/>
      <c r="M1124" s="1941"/>
    </row>
    <row r="1125" spans="1:24">
      <c r="A1125" s="1901"/>
      <c r="B1125" s="1783"/>
      <c r="C1125" s="1867" t="s">
        <v>470</v>
      </c>
      <c r="D1125" s="1859"/>
      <c r="E1125" s="1860">
        <f>+E1123*1.33</f>
        <v>6083.42</v>
      </c>
      <c r="F1125" s="1806" t="s">
        <v>438</v>
      </c>
      <c r="G1125" s="1936">
        <v>119</v>
      </c>
      <c r="H1125" s="1937">
        <f t="shared" si="642"/>
        <v>723926.98</v>
      </c>
      <c r="I1125" s="1938">
        <v>44</v>
      </c>
      <c r="J1125" s="1939">
        <f t="shared" si="643"/>
        <v>267670.48</v>
      </c>
      <c r="K1125" s="1864">
        <f t="shared" si="644"/>
        <v>991597.46</v>
      </c>
      <c r="L1125" s="1940" t="s">
        <v>2878</v>
      </c>
      <c r="M1125" s="1941"/>
    </row>
    <row r="1126" spans="1:24">
      <c r="A1126" s="1901"/>
      <c r="B1126" s="1783"/>
      <c r="C1126" s="1867" t="s">
        <v>471</v>
      </c>
      <c r="D1126" s="1859"/>
      <c r="E1126" s="1860">
        <f>+E1124*1.33</f>
        <v>0</v>
      </c>
      <c r="F1126" s="1806" t="s">
        <v>438</v>
      </c>
      <c r="G1126" s="1936">
        <v>208</v>
      </c>
      <c r="H1126" s="1937">
        <f t="shared" si="642"/>
        <v>0</v>
      </c>
      <c r="I1126" s="1938">
        <v>78</v>
      </c>
      <c r="J1126" s="1939">
        <f t="shared" si="643"/>
        <v>0</v>
      </c>
      <c r="K1126" s="1864">
        <f t="shared" si="644"/>
        <v>0</v>
      </c>
      <c r="L1126" s="1940" t="s">
        <v>2878</v>
      </c>
      <c r="M1126" s="1941"/>
    </row>
    <row r="1127" spans="1:24">
      <c r="A1127" s="1901"/>
      <c r="B1127" s="1783"/>
      <c r="C1127" s="1867" t="s">
        <v>472</v>
      </c>
      <c r="D1127" s="1859"/>
      <c r="E1127" s="1860">
        <v>696</v>
      </c>
      <c r="F1127" s="1806" t="s">
        <v>37</v>
      </c>
      <c r="G1127" s="1936">
        <v>88</v>
      </c>
      <c r="H1127" s="1937">
        <f t="shared" si="642"/>
        <v>61248</v>
      </c>
      <c r="I1127" s="1938">
        <v>82</v>
      </c>
      <c r="J1127" s="1939">
        <f t="shared" si="643"/>
        <v>57072</v>
      </c>
      <c r="K1127" s="1864">
        <f t="shared" si="644"/>
        <v>118320</v>
      </c>
      <c r="L1127" s="1940" t="s">
        <v>2885</v>
      </c>
      <c r="M1127" s="1941"/>
    </row>
    <row r="1128" spans="1:24">
      <c r="A1128" s="1901"/>
      <c r="B1128" s="1783"/>
      <c r="C1128" s="1867" t="s">
        <v>540</v>
      </c>
      <c r="D1128" s="1859"/>
      <c r="E1128" s="1860">
        <v>4331</v>
      </c>
      <c r="F1128" s="1806" t="s">
        <v>37</v>
      </c>
      <c r="G1128" s="1936">
        <v>88</v>
      </c>
      <c r="H1128" s="1937">
        <f t="shared" si="642"/>
        <v>381128</v>
      </c>
      <c r="I1128" s="1938">
        <v>82</v>
      </c>
      <c r="J1128" s="1939">
        <f t="shared" si="643"/>
        <v>355142</v>
      </c>
      <c r="K1128" s="1864">
        <f t="shared" si="644"/>
        <v>736270</v>
      </c>
      <c r="L1128" s="1940"/>
      <c r="M1128" s="1941"/>
    </row>
    <row r="1129" spans="1:24">
      <c r="A1129" s="1901"/>
      <c r="B1129" s="1783"/>
      <c r="C1129" s="1867" t="s">
        <v>541</v>
      </c>
      <c r="D1129" s="1859"/>
      <c r="E1129" s="1860">
        <v>1683</v>
      </c>
      <c r="F1129" s="1806" t="s">
        <v>37</v>
      </c>
      <c r="G1129" s="1936">
        <v>88</v>
      </c>
      <c r="H1129" s="1937">
        <f t="shared" si="642"/>
        <v>148104</v>
      </c>
      <c r="I1129" s="1938">
        <v>95</v>
      </c>
      <c r="J1129" s="1939">
        <f t="shared" si="643"/>
        <v>159885</v>
      </c>
      <c r="K1129" s="1864">
        <f t="shared" si="644"/>
        <v>307989</v>
      </c>
      <c r="L1129" s="1940"/>
      <c r="M1129" s="1941"/>
    </row>
    <row r="1130" spans="1:24">
      <c r="A1130" s="1901"/>
      <c r="B1130" s="1755" t="s">
        <v>475</v>
      </c>
      <c r="C1130" s="1867" t="s">
        <v>476</v>
      </c>
      <c r="D1130" s="1868"/>
      <c r="E1130" s="1962">
        <v>0</v>
      </c>
      <c r="F1130" s="1806" t="s">
        <v>37</v>
      </c>
      <c r="G1130" s="1936">
        <v>88</v>
      </c>
      <c r="H1130" s="1937">
        <f t="shared" si="642"/>
        <v>0</v>
      </c>
      <c r="I1130" s="1938">
        <v>95</v>
      </c>
      <c r="J1130" s="1939">
        <f t="shared" si="643"/>
        <v>0</v>
      </c>
      <c r="K1130" s="1864">
        <f t="shared" si="644"/>
        <v>0</v>
      </c>
      <c r="L1130" s="1940" t="s">
        <v>2880</v>
      </c>
      <c r="M1130" s="1941"/>
    </row>
    <row r="1131" spans="1:24">
      <c r="A1131" s="1901"/>
      <c r="B1131" s="1755"/>
      <c r="C1131" s="1867" t="s">
        <v>477</v>
      </c>
      <c r="D1131" s="1868"/>
      <c r="E1131" s="1962">
        <f>E1130</f>
        <v>0</v>
      </c>
      <c r="F1131" s="1806" t="s">
        <v>37</v>
      </c>
      <c r="G1131" s="2297">
        <v>69</v>
      </c>
      <c r="H1131" s="1937">
        <f t="shared" si="642"/>
        <v>0</v>
      </c>
      <c r="I1131" s="2298">
        <v>28</v>
      </c>
      <c r="J1131" s="1939">
        <f t="shared" si="643"/>
        <v>0</v>
      </c>
      <c r="K1131" s="1864">
        <f t="shared" si="644"/>
        <v>0</v>
      </c>
      <c r="L1131" s="2299"/>
      <c r="M1131" s="2300"/>
    </row>
    <row r="1132" spans="1:24">
      <c r="A1132" s="1901"/>
      <c r="B1132" s="1755" t="s">
        <v>478</v>
      </c>
      <c r="C1132" s="1867" t="s">
        <v>479</v>
      </c>
      <c r="D1132" s="1868"/>
      <c r="E1132" s="1962">
        <v>1172</v>
      </c>
      <c r="F1132" s="1806" t="s">
        <v>37</v>
      </c>
      <c r="G1132" s="1936">
        <v>88</v>
      </c>
      <c r="H1132" s="1937">
        <f t="shared" si="642"/>
        <v>103136</v>
      </c>
      <c r="I1132" s="1938">
        <v>82</v>
      </c>
      <c r="J1132" s="1939">
        <f t="shared" si="643"/>
        <v>96104</v>
      </c>
      <c r="K1132" s="1864">
        <f t="shared" si="644"/>
        <v>199240</v>
      </c>
      <c r="L1132" s="1940"/>
      <c r="M1132" s="1941"/>
    </row>
    <row r="1133" spans="1:24">
      <c r="A1133" s="1901"/>
      <c r="B1133" s="1755" t="s">
        <v>480</v>
      </c>
      <c r="C1133" s="1867" t="s">
        <v>476</v>
      </c>
      <c r="D1133" s="1868"/>
      <c r="E1133" s="1942">
        <v>4267</v>
      </c>
      <c r="F1133" s="1806" t="s">
        <v>37</v>
      </c>
      <c r="G1133" s="1936">
        <v>88</v>
      </c>
      <c r="H1133" s="1937">
        <f t="shared" si="642"/>
        <v>375496</v>
      </c>
      <c r="I1133" s="1938">
        <v>82</v>
      </c>
      <c r="J1133" s="1939">
        <f t="shared" si="643"/>
        <v>349894</v>
      </c>
      <c r="K1133" s="1864">
        <f t="shared" si="644"/>
        <v>725390</v>
      </c>
      <c r="L1133" s="1940" t="s">
        <v>2880</v>
      </c>
      <c r="M1133" s="1941"/>
    </row>
    <row r="1134" spans="1:24">
      <c r="A1134" s="1901"/>
      <c r="B1134" s="1755"/>
      <c r="C1134" s="1867" t="s">
        <v>481</v>
      </c>
      <c r="D1134" s="1868"/>
      <c r="E1134" s="1942">
        <f>E1133</f>
        <v>4267</v>
      </c>
      <c r="F1134" s="1806" t="s">
        <v>37</v>
      </c>
      <c r="G1134" s="2297">
        <v>69</v>
      </c>
      <c r="H1134" s="1937">
        <f t="shared" si="642"/>
        <v>294423</v>
      </c>
      <c r="I1134" s="2298">
        <v>28</v>
      </c>
      <c r="J1134" s="1939">
        <f t="shared" si="643"/>
        <v>119476</v>
      </c>
      <c r="K1134" s="1864">
        <f t="shared" si="644"/>
        <v>413899</v>
      </c>
      <c r="L1134" s="2299"/>
      <c r="M1134" s="2300"/>
    </row>
    <row r="1135" spans="1:24">
      <c r="A1135" s="1901"/>
      <c r="B1135" s="1755" t="s">
        <v>2787</v>
      </c>
      <c r="C1135" s="1867" t="s">
        <v>2788</v>
      </c>
      <c r="D1135" s="1868"/>
      <c r="E1135" s="1942">
        <v>0</v>
      </c>
      <c r="F1135" s="1806" t="s">
        <v>37</v>
      </c>
      <c r="G1135" s="1936">
        <v>103</v>
      </c>
      <c r="H1135" s="1937">
        <f t="shared" si="642"/>
        <v>0</v>
      </c>
      <c r="I1135" s="1938">
        <v>115</v>
      </c>
      <c r="J1135" s="1939">
        <f t="shared" si="643"/>
        <v>0</v>
      </c>
      <c r="K1135" s="1864">
        <f t="shared" si="644"/>
        <v>0</v>
      </c>
      <c r="L1135" s="1940" t="s">
        <v>2880</v>
      </c>
      <c r="M1135" s="1941"/>
    </row>
    <row r="1136" spans="1:24">
      <c r="A1136" s="1901"/>
      <c r="B1136" s="1755"/>
      <c r="C1136" s="1867" t="s">
        <v>482</v>
      </c>
      <c r="D1136" s="1868"/>
      <c r="E1136" s="1942">
        <f>E1135</f>
        <v>0</v>
      </c>
      <c r="F1136" s="1806" t="s">
        <v>37</v>
      </c>
      <c r="G1136" s="2297">
        <v>69</v>
      </c>
      <c r="H1136" s="1937">
        <f t="shared" si="642"/>
        <v>0</v>
      </c>
      <c r="I1136" s="2298">
        <v>28</v>
      </c>
      <c r="J1136" s="1939">
        <f t="shared" si="643"/>
        <v>0</v>
      </c>
      <c r="K1136" s="1864">
        <f t="shared" si="644"/>
        <v>0</v>
      </c>
      <c r="L1136" s="2299"/>
      <c r="M1136" s="2300"/>
    </row>
    <row r="1137" spans="1:24">
      <c r="A1137" s="1901"/>
      <c r="B1137" s="1755" t="s">
        <v>483</v>
      </c>
      <c r="C1137" s="1867" t="s">
        <v>484</v>
      </c>
      <c r="D1137" s="1868"/>
      <c r="E1137" s="1942">
        <v>0</v>
      </c>
      <c r="F1137" s="1806" t="s">
        <v>37</v>
      </c>
      <c r="G1137" s="1943">
        <v>1500</v>
      </c>
      <c r="H1137" s="1937">
        <f t="shared" si="642"/>
        <v>0</v>
      </c>
      <c r="I1137" s="1944">
        <v>500</v>
      </c>
      <c r="J1137" s="1939">
        <f t="shared" si="643"/>
        <v>0</v>
      </c>
      <c r="K1137" s="1864">
        <f t="shared" si="644"/>
        <v>0</v>
      </c>
      <c r="L1137" s="1865"/>
      <c r="M1137" s="1866"/>
    </row>
    <row r="1138" spans="1:24">
      <c r="A1138" s="1901"/>
      <c r="B1138" s="1755"/>
      <c r="C1138" s="1867" t="s">
        <v>482</v>
      </c>
      <c r="D1138" s="1868"/>
      <c r="E1138" s="1942">
        <v>0</v>
      </c>
      <c r="F1138" s="1806" t="s">
        <v>37</v>
      </c>
      <c r="G1138" s="2297">
        <v>69</v>
      </c>
      <c r="H1138" s="1937">
        <f t="shared" si="642"/>
        <v>0</v>
      </c>
      <c r="I1138" s="2298">
        <v>28</v>
      </c>
      <c r="J1138" s="1939">
        <f t="shared" si="643"/>
        <v>0</v>
      </c>
      <c r="K1138" s="1864">
        <f t="shared" si="644"/>
        <v>0</v>
      </c>
      <c r="L1138" s="2299"/>
      <c r="M1138" s="2300"/>
    </row>
    <row r="1139" spans="1:24">
      <c r="A1139" s="1901"/>
      <c r="B1139" s="1755" t="s">
        <v>485</v>
      </c>
      <c r="C1139" s="1867" t="s">
        <v>2789</v>
      </c>
      <c r="D1139" s="1868"/>
      <c r="E1139" s="1942">
        <v>0</v>
      </c>
      <c r="F1139" s="1806" t="s">
        <v>37</v>
      </c>
      <c r="G1139" s="1943">
        <v>492</v>
      </c>
      <c r="H1139" s="1937">
        <f t="shared" si="642"/>
        <v>0</v>
      </c>
      <c r="I1139" s="1944">
        <v>130</v>
      </c>
      <c r="J1139" s="1939">
        <f t="shared" si="643"/>
        <v>0</v>
      </c>
      <c r="K1139" s="1864">
        <f t="shared" si="644"/>
        <v>0</v>
      </c>
      <c r="L1139" s="2299"/>
      <c r="M1139" s="2300"/>
    </row>
    <row r="1140" spans="1:24">
      <c r="A1140" s="1901"/>
      <c r="B1140" s="1755"/>
      <c r="C1140" s="1867" t="s">
        <v>2790</v>
      </c>
      <c r="D1140" s="1868"/>
      <c r="E1140" s="1860"/>
      <c r="F1140" s="1860"/>
      <c r="G1140" s="1943"/>
      <c r="H1140" s="1861"/>
      <c r="I1140" s="1944"/>
      <c r="J1140" s="1939"/>
      <c r="K1140" s="1864"/>
      <c r="L1140" s="2299"/>
      <c r="M1140" s="2300"/>
    </row>
    <row r="1141" spans="1:24">
      <c r="A1141" s="1901"/>
      <c r="B1141" s="1755"/>
      <c r="C1141" s="1867" t="s">
        <v>486</v>
      </c>
      <c r="D1141" s="1868"/>
      <c r="E1141" s="1860"/>
      <c r="F1141" s="1860"/>
      <c r="G1141" s="1943"/>
      <c r="H1141" s="1861"/>
      <c r="I1141" s="1944"/>
      <c r="J1141" s="1939"/>
      <c r="K1141" s="1864"/>
      <c r="L1141" s="2299"/>
      <c r="M1141" s="2300"/>
    </row>
    <row r="1142" spans="1:24">
      <c r="A1142" s="1901"/>
      <c r="B1142" s="1755" t="s">
        <v>487</v>
      </c>
      <c r="C1142" s="1867" t="s">
        <v>2789</v>
      </c>
      <c r="D1142" s="1868"/>
      <c r="E1142" s="1942">
        <v>0</v>
      </c>
      <c r="F1142" s="1806" t="s">
        <v>37</v>
      </c>
      <c r="G1142" s="1943">
        <v>256</v>
      </c>
      <c r="H1142" s="1861">
        <f>E1142*G1142</f>
        <v>0</v>
      </c>
      <c r="I1142" s="1944">
        <v>100</v>
      </c>
      <c r="J1142" s="1939">
        <f>E1142*I1142</f>
        <v>0</v>
      </c>
      <c r="K1142" s="1864">
        <f t="shared" ref="K1142" si="645">H1142+J1142</f>
        <v>0</v>
      </c>
      <c r="L1142" s="2299"/>
      <c r="M1142" s="2300"/>
    </row>
    <row r="1143" spans="1:24">
      <c r="A1143" s="1901"/>
      <c r="B1143" s="1755"/>
      <c r="C1143" s="1867" t="s">
        <v>2791</v>
      </c>
      <c r="D1143" s="1868"/>
      <c r="E1143" s="1860"/>
      <c r="F1143" s="1860"/>
      <c r="G1143" s="1943"/>
      <c r="H1143" s="1861"/>
      <c r="I1143" s="1944"/>
      <c r="J1143" s="1939"/>
      <c r="K1143" s="1864"/>
      <c r="L1143" s="2299"/>
      <c r="M1143" s="2300"/>
    </row>
    <row r="1144" spans="1:24">
      <c r="A1144" s="1901"/>
      <c r="B1144" s="1755"/>
      <c r="C1144" s="1867" t="s">
        <v>486</v>
      </c>
      <c r="D1144" s="1868"/>
      <c r="E1144" s="1860"/>
      <c r="F1144" s="1860"/>
      <c r="G1144" s="1943"/>
      <c r="H1144" s="1861"/>
      <c r="I1144" s="1944"/>
      <c r="J1144" s="1939"/>
      <c r="K1144" s="1864"/>
      <c r="L1144" s="2299"/>
      <c r="M1144" s="1941"/>
    </row>
    <row r="1145" spans="1:24">
      <c r="A1145" s="1901"/>
      <c r="B1145" s="1755"/>
      <c r="C1145" s="1867"/>
      <c r="D1145" s="1868"/>
      <c r="E1145" s="1860"/>
      <c r="F1145" s="1860"/>
      <c r="G1145" s="1943"/>
      <c r="H1145" s="1861"/>
      <c r="I1145" s="1944"/>
      <c r="J1145" s="1939"/>
      <c r="K1145" s="1864"/>
      <c r="L1145" s="2299"/>
      <c r="M1145" s="1941"/>
    </row>
    <row r="1146" spans="1:24">
      <c r="A1146" s="1901"/>
      <c r="B1146" s="1755" t="s">
        <v>488</v>
      </c>
      <c r="C1146" s="1867" t="s">
        <v>2926</v>
      </c>
      <c r="D1146" s="1868"/>
      <c r="E1146" s="1942">
        <v>0</v>
      </c>
      <c r="F1146" s="1806" t="s">
        <v>37</v>
      </c>
      <c r="G1146" s="1943">
        <v>350</v>
      </c>
      <c r="H1146" s="1861">
        <f>E1146*G1146</f>
        <v>0</v>
      </c>
      <c r="I1146" s="1944">
        <v>100</v>
      </c>
      <c r="J1146" s="1939">
        <f>E1146*I1146</f>
        <v>0</v>
      </c>
      <c r="K1146" s="1864">
        <f t="shared" ref="K1146" si="646">H1146+J1146</f>
        <v>0</v>
      </c>
      <c r="L1146" s="2299"/>
      <c r="M1146" s="2300"/>
    </row>
    <row r="1147" spans="1:24">
      <c r="A1147" s="1901"/>
      <c r="B1147" s="1755"/>
      <c r="C1147" s="1867" t="s">
        <v>2793</v>
      </c>
      <c r="D1147" s="1868"/>
      <c r="E1147" s="1860"/>
      <c r="F1147" s="1860"/>
      <c r="G1147" s="1943"/>
      <c r="H1147" s="1861"/>
      <c r="I1147" s="1944"/>
      <c r="J1147" s="1939"/>
      <c r="K1147" s="1864"/>
      <c r="L1147" s="1940"/>
      <c r="M1147" s="2300"/>
    </row>
    <row r="1148" spans="1:24">
      <c r="A1148" s="1901"/>
      <c r="B1148" s="1755"/>
      <c r="C1148" s="1867" t="s">
        <v>489</v>
      </c>
      <c r="D1148" s="1868"/>
      <c r="E1148" s="1942">
        <f>E1146</f>
        <v>0</v>
      </c>
      <c r="F1148" s="1806" t="s">
        <v>37</v>
      </c>
      <c r="G1148" s="2297">
        <v>69</v>
      </c>
      <c r="H1148" s="1861">
        <f>E1148*G1148</f>
        <v>0</v>
      </c>
      <c r="I1148" s="2298">
        <v>28</v>
      </c>
      <c r="J1148" s="1939">
        <f>E1148*I1148</f>
        <v>0</v>
      </c>
      <c r="K1148" s="1864">
        <f t="shared" ref="K1148:K1152" si="647">H1148+J1148</f>
        <v>0</v>
      </c>
      <c r="L1148" s="2299"/>
      <c r="M1148" s="1941"/>
    </row>
    <row r="1149" spans="1:24" ht="24" customHeight="1">
      <c r="A1149" s="1901"/>
      <c r="B1149" s="1945" t="s">
        <v>2901</v>
      </c>
      <c r="C1149" s="1867" t="s">
        <v>2902</v>
      </c>
      <c r="D1149" s="1868"/>
      <c r="E1149" s="1942">
        <v>0</v>
      </c>
      <c r="F1149" s="1806" t="s">
        <v>37</v>
      </c>
      <c r="G1149" s="1944">
        <v>195</v>
      </c>
      <c r="H1149" s="1939">
        <f>E1149*G1149</f>
        <v>0</v>
      </c>
      <c r="I1149" s="1944">
        <v>150</v>
      </c>
      <c r="J1149" s="1939">
        <f t="shared" ref="J1149" si="648">E1149*I1149</f>
        <v>0</v>
      </c>
      <c r="K1149" s="1864">
        <f t="shared" si="647"/>
        <v>0</v>
      </c>
      <c r="L1149" s="2299"/>
      <c r="N1149" s="1836"/>
      <c r="O1149" s="1837"/>
      <c r="P1149" s="1837"/>
      <c r="Q1149" s="1837"/>
      <c r="R1149" s="1837"/>
      <c r="S1149" s="1837"/>
      <c r="T1149" s="1837"/>
      <c r="U1149" s="1837"/>
      <c r="V1149" s="1837"/>
      <c r="W1149" s="1837"/>
      <c r="X1149" s="1837"/>
    </row>
    <row r="1150" spans="1:24" ht="24" customHeight="1">
      <c r="A1150" s="1901"/>
      <c r="B1150" s="1755"/>
      <c r="C1150" s="1867" t="s">
        <v>2903</v>
      </c>
      <c r="D1150" s="1868"/>
      <c r="E1150" s="1860"/>
      <c r="F1150" s="1860"/>
      <c r="G1150" s="1944"/>
      <c r="H1150" s="1939"/>
      <c r="I1150" s="1944"/>
      <c r="J1150" s="1939"/>
      <c r="K1150" s="1864"/>
      <c r="L1150" s="1940"/>
      <c r="M1150" s="1946"/>
      <c r="N1150" s="1836"/>
      <c r="O1150" s="1837"/>
      <c r="P1150" s="1837"/>
      <c r="Q1150" s="1837"/>
      <c r="R1150" s="1837"/>
      <c r="S1150" s="1837"/>
      <c r="T1150" s="1837"/>
      <c r="U1150" s="1837"/>
      <c r="V1150" s="1837"/>
      <c r="W1150" s="1837"/>
      <c r="X1150" s="1837"/>
    </row>
    <row r="1151" spans="1:24" ht="24" customHeight="1">
      <c r="A1151" s="1901"/>
      <c r="B1151" s="1755"/>
      <c r="C1151" s="1867" t="s">
        <v>2904</v>
      </c>
      <c r="D1151" s="1868"/>
      <c r="E1151" s="1942">
        <f>E1149</f>
        <v>0</v>
      </c>
      <c r="F1151" s="1806" t="s">
        <v>37</v>
      </c>
      <c r="G1151" s="2298">
        <v>120</v>
      </c>
      <c r="H1151" s="1947">
        <f>SUM(E1151*G1151)</f>
        <v>0</v>
      </c>
      <c r="I1151" s="2298">
        <v>56</v>
      </c>
      <c r="J1151" s="1939">
        <f>E1151*I1151</f>
        <v>0</v>
      </c>
      <c r="K1151" s="1864">
        <f>H1151+J1151</f>
        <v>0</v>
      </c>
      <c r="L1151" s="2299"/>
      <c r="M1151" s="1946"/>
      <c r="N1151" s="1836"/>
      <c r="O1151" s="1837"/>
      <c r="P1151" s="1837"/>
      <c r="Q1151" s="1837"/>
      <c r="R1151" s="1837"/>
      <c r="S1151" s="1837"/>
      <c r="T1151" s="1837"/>
      <c r="U1151" s="1837"/>
      <c r="V1151" s="1837"/>
      <c r="W1151" s="1837"/>
      <c r="X1151" s="1837"/>
    </row>
    <row r="1152" spans="1:24">
      <c r="A1152" s="1901"/>
      <c r="B1152" s="1755" t="s">
        <v>490</v>
      </c>
      <c r="C1152" s="1755" t="s">
        <v>2789</v>
      </c>
      <c r="D1152" s="1961"/>
      <c r="E1152" s="1942">
        <v>0</v>
      </c>
      <c r="F1152" s="1806" t="s">
        <v>37</v>
      </c>
      <c r="G1152" s="1943">
        <v>592</v>
      </c>
      <c r="H1152" s="1861">
        <f>E1152*G1152</f>
        <v>0</v>
      </c>
      <c r="I1152" s="1944">
        <v>165</v>
      </c>
      <c r="J1152" s="1939">
        <f>E1152*I1152</f>
        <v>0</v>
      </c>
      <c r="K1152" s="1864">
        <f t="shared" si="647"/>
        <v>0</v>
      </c>
      <c r="L1152" s="2299"/>
      <c r="M1152" s="2300"/>
    </row>
    <row r="1153" spans="1:13">
      <c r="A1153" s="1901"/>
      <c r="B1153" s="1755"/>
      <c r="C1153" s="1755" t="s">
        <v>2790</v>
      </c>
      <c r="D1153" s="1961"/>
      <c r="E1153" s="1860"/>
      <c r="F1153" s="1860"/>
      <c r="G1153" s="1943"/>
      <c r="H1153" s="1861"/>
      <c r="I1153" s="1944"/>
      <c r="J1153" s="1939"/>
      <c r="K1153" s="1864"/>
      <c r="L1153" s="1940"/>
      <c r="M1153" s="1941"/>
    </row>
    <row r="1154" spans="1:13">
      <c r="A1154" s="1901"/>
      <c r="B1154" s="1755"/>
      <c r="C1154" s="1755" t="s">
        <v>2794</v>
      </c>
      <c r="D1154" s="1961"/>
      <c r="E1154" s="1860"/>
      <c r="F1154" s="1860"/>
      <c r="G1154" s="1943"/>
      <c r="H1154" s="1861"/>
      <c r="I1154" s="1944"/>
      <c r="J1154" s="1939"/>
      <c r="K1154" s="1864"/>
      <c r="L1154" s="1940"/>
      <c r="M1154" s="1941"/>
    </row>
    <row r="1155" spans="1:13">
      <c r="A1155" s="1901"/>
      <c r="B1155" s="1755"/>
      <c r="C1155" s="1755"/>
      <c r="D1155" s="1961"/>
      <c r="E1155" s="1860"/>
      <c r="F1155" s="1860"/>
      <c r="G1155" s="1943"/>
      <c r="H1155" s="1861"/>
      <c r="I1155" s="1944"/>
      <c r="J1155" s="1939"/>
      <c r="K1155" s="1864"/>
      <c r="L1155" s="1940"/>
      <c r="M1155" s="1941"/>
    </row>
    <row r="1156" spans="1:13">
      <c r="A1156" s="1901"/>
      <c r="B1156" s="1755" t="s">
        <v>491</v>
      </c>
      <c r="C1156" s="1755" t="s">
        <v>2795</v>
      </c>
      <c r="D1156" s="1961"/>
      <c r="E1156" s="1942">
        <v>0</v>
      </c>
      <c r="F1156" s="1806" t="s">
        <v>37</v>
      </c>
      <c r="G1156" s="1943"/>
      <c r="H1156" s="1861"/>
      <c r="I1156" s="1944"/>
      <c r="J1156" s="1939"/>
      <c r="K1156" s="1864"/>
      <c r="L1156" s="2299"/>
      <c r="M1156" s="1949"/>
    </row>
    <row r="1157" spans="1:13">
      <c r="A1157" s="1901"/>
      <c r="B1157" s="1755"/>
      <c r="C1157" s="1755" t="s">
        <v>2792</v>
      </c>
      <c r="D1157" s="1961"/>
      <c r="E1157" s="1860"/>
      <c r="F1157" s="1860"/>
      <c r="G1157" s="1943">
        <v>642</v>
      </c>
      <c r="H1157" s="1861">
        <f>E1157*G1157</f>
        <v>0</v>
      </c>
      <c r="I1157" s="1944">
        <v>183</v>
      </c>
      <c r="J1157" s="1939">
        <f>E1157*I1157</f>
        <v>0</v>
      </c>
      <c r="K1157" s="1864">
        <f t="shared" ref="K1157" si="649">H1157+J1157</f>
        <v>0</v>
      </c>
      <c r="L1157" s="1940"/>
      <c r="M1157" s="1941"/>
    </row>
    <row r="1158" spans="1:13">
      <c r="A1158" s="1901"/>
      <c r="B1158" s="1755"/>
      <c r="C1158" s="1755" t="s">
        <v>542</v>
      </c>
      <c r="D1158" s="1961"/>
      <c r="E1158" s="1860"/>
      <c r="F1158" s="1860"/>
      <c r="G1158" s="1943"/>
      <c r="H1158" s="1861"/>
      <c r="I1158" s="1944"/>
      <c r="J1158" s="1939"/>
      <c r="K1158" s="1864"/>
      <c r="L1158" s="1940"/>
      <c r="M1158" s="2300"/>
    </row>
    <row r="1159" spans="1:13">
      <c r="A1159" s="1901"/>
      <c r="B1159" s="1755"/>
      <c r="C1159" s="1755" t="s">
        <v>2796</v>
      </c>
      <c r="D1159" s="1961"/>
      <c r="E1159" s="1860"/>
      <c r="F1159" s="1860"/>
      <c r="G1159" s="1943"/>
      <c r="H1159" s="1861"/>
      <c r="I1159" s="1944"/>
      <c r="J1159" s="1939"/>
      <c r="K1159" s="1864"/>
      <c r="L1159" s="1940"/>
      <c r="M1159" s="1941"/>
    </row>
    <row r="1160" spans="1:13">
      <c r="A1160" s="1901"/>
      <c r="B1160" s="1755" t="s">
        <v>492</v>
      </c>
      <c r="C1160" s="1755" t="s">
        <v>2797</v>
      </c>
      <c r="D1160" s="1961"/>
      <c r="E1160" s="1942">
        <v>0</v>
      </c>
      <c r="F1160" s="1806" t="s">
        <v>37</v>
      </c>
      <c r="G1160" s="1943">
        <v>520</v>
      </c>
      <c r="H1160" s="1861">
        <f>E1160*G1160</f>
        <v>0</v>
      </c>
      <c r="I1160" s="1944">
        <v>270</v>
      </c>
      <c r="J1160" s="1939">
        <f>E1160*I1160</f>
        <v>0</v>
      </c>
      <c r="K1160" s="1864">
        <f t="shared" ref="K1160" si="650">H1160+J1160</f>
        <v>0</v>
      </c>
      <c r="L1160" s="1948"/>
      <c r="M1160" s="1941"/>
    </row>
    <row r="1161" spans="1:13">
      <c r="A1161" s="1901"/>
      <c r="B1161" s="1755"/>
      <c r="C1161" s="1755" t="s">
        <v>2798</v>
      </c>
      <c r="D1161" s="1961"/>
      <c r="E1161" s="1860">
        <v>0</v>
      </c>
      <c r="F1161" s="1860"/>
      <c r="G1161" s="1943"/>
      <c r="H1161" s="1861"/>
      <c r="I1161" s="1944"/>
      <c r="J1161" s="1939"/>
      <c r="K1161" s="1864"/>
      <c r="L1161" s="1940"/>
      <c r="M1161" s="1941"/>
    </row>
    <row r="1162" spans="1:13">
      <c r="A1162" s="1901"/>
      <c r="B1162" s="1755"/>
      <c r="C1162" s="1755" t="s">
        <v>493</v>
      </c>
      <c r="D1162" s="1961"/>
      <c r="E1162" s="1860"/>
      <c r="F1162" s="1860"/>
      <c r="G1162" s="1943"/>
      <c r="H1162" s="1861"/>
      <c r="I1162" s="1944"/>
      <c r="J1162" s="1939"/>
      <c r="K1162" s="1864"/>
      <c r="L1162" s="1940"/>
      <c r="M1162" s="1941"/>
    </row>
    <row r="1163" spans="1:13">
      <c r="A1163" s="1901"/>
      <c r="B1163" s="1755" t="s">
        <v>494</v>
      </c>
      <c r="C1163" s="1755" t="s">
        <v>2799</v>
      </c>
      <c r="D1163" s="1961"/>
      <c r="E1163" s="1942">
        <v>0</v>
      </c>
      <c r="F1163" s="1806" t="s">
        <v>37</v>
      </c>
      <c r="G1163" s="1943">
        <v>256</v>
      </c>
      <c r="H1163" s="1861">
        <f>E1163*G1163</f>
        <v>0</v>
      </c>
      <c r="I1163" s="1944">
        <v>100</v>
      </c>
      <c r="J1163" s="1939">
        <f>E1163*I1163</f>
        <v>0</v>
      </c>
      <c r="K1163" s="1864">
        <f>H1163+J1163</f>
        <v>0</v>
      </c>
      <c r="L1163" s="2299"/>
      <c r="M1163" s="1941"/>
    </row>
    <row r="1164" spans="1:13">
      <c r="A1164" s="1901"/>
      <c r="B1164" s="1755"/>
      <c r="C1164" s="1755" t="s">
        <v>2800</v>
      </c>
      <c r="D1164" s="1961"/>
      <c r="E1164" s="1860"/>
      <c r="F1164" s="1860"/>
      <c r="G1164" s="1943"/>
      <c r="H1164" s="1861"/>
      <c r="I1164" s="1944"/>
      <c r="J1164" s="1939"/>
      <c r="K1164" s="1864"/>
      <c r="L1164" s="1940"/>
      <c r="M1164" s="1941"/>
    </row>
    <row r="1165" spans="1:13">
      <c r="A1165" s="1901"/>
      <c r="B1165" s="1755"/>
      <c r="C1165" s="1755" t="s">
        <v>495</v>
      </c>
      <c r="D1165" s="1961"/>
      <c r="E1165" s="1860"/>
      <c r="F1165" s="1860"/>
      <c r="G1165" s="1943"/>
      <c r="H1165" s="1861"/>
      <c r="I1165" s="1944"/>
      <c r="J1165" s="1939"/>
      <c r="K1165" s="1864"/>
      <c r="L1165" s="1940"/>
      <c r="M1165" s="1941"/>
    </row>
    <row r="1166" spans="1:13">
      <c r="A1166" s="1901"/>
      <c r="B1166" s="1755"/>
      <c r="C1166" s="1755" t="s">
        <v>496</v>
      </c>
      <c r="D1166" s="1961"/>
      <c r="E1166" s="1860">
        <f>+E1163</f>
        <v>0</v>
      </c>
      <c r="F1166" s="1806" t="s">
        <v>37</v>
      </c>
      <c r="G1166" s="1936">
        <v>520</v>
      </c>
      <c r="H1166" s="1861">
        <f>E1166*G1166</f>
        <v>0</v>
      </c>
      <c r="I1166" s="1938">
        <v>30</v>
      </c>
      <c r="J1166" s="1939">
        <f>E1166*I1166</f>
        <v>0</v>
      </c>
      <c r="K1166" s="1864">
        <f>H1166+J1166</f>
        <v>0</v>
      </c>
      <c r="L1166" s="1940" t="s">
        <v>2881</v>
      </c>
      <c r="M1166" s="1941"/>
    </row>
    <row r="1167" spans="1:13">
      <c r="A1167" s="1901"/>
      <c r="B1167" s="1755" t="s">
        <v>497</v>
      </c>
      <c r="C1167" s="1755" t="s">
        <v>498</v>
      </c>
      <c r="D1167" s="1961"/>
      <c r="E1167" s="1942">
        <v>268</v>
      </c>
      <c r="F1167" s="1806" t="s">
        <v>37</v>
      </c>
      <c r="G1167" s="1936">
        <v>91</v>
      </c>
      <c r="H1167" s="1861">
        <f t="shared" ref="H1167:H1173" si="651">E1167*G1167</f>
        <v>24388</v>
      </c>
      <c r="I1167" s="1938">
        <v>100</v>
      </c>
      <c r="J1167" s="1939">
        <f t="shared" ref="J1167:J1173" si="652">E1167*I1167</f>
        <v>26800</v>
      </c>
      <c r="K1167" s="1864">
        <f t="shared" ref="K1167:K1173" si="653">H1167+J1167</f>
        <v>51188</v>
      </c>
      <c r="L1167" s="1940"/>
      <c r="M1167" s="1941"/>
    </row>
    <row r="1168" spans="1:13">
      <c r="A1168" s="1901"/>
      <c r="B1168" s="1755" t="s">
        <v>499</v>
      </c>
      <c r="C1168" s="1755" t="s">
        <v>500</v>
      </c>
      <c r="D1168" s="1961"/>
      <c r="E1168" s="1942">
        <v>238</v>
      </c>
      <c r="F1168" s="1806" t="s">
        <v>37</v>
      </c>
      <c r="G1168" s="1936">
        <v>294</v>
      </c>
      <c r="H1168" s="1861">
        <f t="shared" si="651"/>
        <v>69972</v>
      </c>
      <c r="I1168" s="1938">
        <v>189</v>
      </c>
      <c r="J1168" s="1939">
        <f t="shared" si="652"/>
        <v>44982</v>
      </c>
      <c r="K1168" s="1864">
        <f t="shared" si="653"/>
        <v>114954</v>
      </c>
      <c r="L1168" s="1940"/>
      <c r="M1168" s="1941"/>
    </row>
    <row r="1169" spans="1:13">
      <c r="A1169" s="1901"/>
      <c r="B1169" s="1755" t="s">
        <v>501</v>
      </c>
      <c r="C1169" s="1867" t="s">
        <v>502</v>
      </c>
      <c r="D1169" s="1868"/>
      <c r="E1169" s="1942">
        <v>0</v>
      </c>
      <c r="F1169" s="119" t="s">
        <v>37</v>
      </c>
      <c r="G1169" s="2294">
        <v>608</v>
      </c>
      <c r="H1169" s="1882">
        <f t="shared" si="651"/>
        <v>0</v>
      </c>
      <c r="I1169" s="1951">
        <v>189</v>
      </c>
      <c r="J1169" s="1876">
        <f t="shared" si="652"/>
        <v>0</v>
      </c>
      <c r="K1169" s="1890">
        <f t="shared" si="653"/>
        <v>0</v>
      </c>
      <c r="L1169" s="1940"/>
      <c r="M1169" s="1941"/>
    </row>
    <row r="1170" spans="1:13">
      <c r="A1170" s="1901"/>
      <c r="B1170" s="1755" t="s">
        <v>2918</v>
      </c>
      <c r="C1170" s="1867" t="s">
        <v>502</v>
      </c>
      <c r="D1170" s="1868"/>
      <c r="E1170" s="1942">
        <v>613</v>
      </c>
      <c r="F1170" s="67" t="s">
        <v>37</v>
      </c>
      <c r="G1170" s="2294">
        <v>399</v>
      </c>
      <c r="H1170" s="1882">
        <f t="shared" si="651"/>
        <v>244587</v>
      </c>
      <c r="I1170" s="1951">
        <v>189</v>
      </c>
      <c r="J1170" s="1876">
        <f t="shared" si="652"/>
        <v>115857</v>
      </c>
      <c r="K1170" s="1890">
        <f t="shared" si="653"/>
        <v>360444</v>
      </c>
      <c r="L1170" s="1940"/>
      <c r="M1170" s="1941"/>
    </row>
    <row r="1171" spans="1:13">
      <c r="A1171" s="1901"/>
      <c r="B1171" s="1755" t="s">
        <v>503</v>
      </c>
      <c r="C1171" s="1867" t="s">
        <v>2801</v>
      </c>
      <c r="D1171" s="1868"/>
      <c r="E1171" s="1942">
        <v>0</v>
      </c>
      <c r="F1171" s="1806" t="s">
        <v>37</v>
      </c>
      <c r="G1171" s="1936">
        <v>88</v>
      </c>
      <c r="H1171" s="1861">
        <f t="shared" si="651"/>
        <v>0</v>
      </c>
      <c r="I1171" s="1938">
        <v>82</v>
      </c>
      <c r="J1171" s="1939">
        <f t="shared" si="652"/>
        <v>0</v>
      </c>
      <c r="K1171" s="1864">
        <f t="shared" si="653"/>
        <v>0</v>
      </c>
      <c r="L1171" s="1940" t="s">
        <v>2882</v>
      </c>
      <c r="M1171" s="1941"/>
    </row>
    <row r="1172" spans="1:13">
      <c r="A1172" s="1901"/>
      <c r="B1172" s="1755"/>
      <c r="C1172" s="1867" t="s">
        <v>504</v>
      </c>
      <c r="D1172" s="1868"/>
      <c r="E1172" s="1942">
        <v>0</v>
      </c>
      <c r="F1172" s="1806" t="s">
        <v>37</v>
      </c>
      <c r="G1172" s="2297">
        <v>69</v>
      </c>
      <c r="H1172" s="1861">
        <f t="shared" si="651"/>
        <v>0</v>
      </c>
      <c r="I1172" s="2301">
        <v>28</v>
      </c>
      <c r="J1172" s="1939">
        <f t="shared" si="652"/>
        <v>0</v>
      </c>
      <c r="K1172" s="1864">
        <f t="shared" si="653"/>
        <v>0</v>
      </c>
      <c r="L1172" s="1940"/>
      <c r="M1172" s="1941"/>
    </row>
    <row r="1173" spans="1:13">
      <c r="A1173" s="1901"/>
      <c r="B1173" s="1755" t="s">
        <v>505</v>
      </c>
      <c r="C1173" s="1867" t="s">
        <v>502</v>
      </c>
      <c r="D1173" s="1868"/>
      <c r="E1173" s="1942">
        <v>0</v>
      </c>
      <c r="F1173" s="1806" t="s">
        <v>37</v>
      </c>
      <c r="G1173" s="1936">
        <v>870</v>
      </c>
      <c r="H1173" s="1861">
        <f t="shared" si="651"/>
        <v>0</v>
      </c>
      <c r="I1173" s="1938">
        <v>242</v>
      </c>
      <c r="J1173" s="1939">
        <f t="shared" si="652"/>
        <v>0</v>
      </c>
      <c r="K1173" s="1864">
        <f t="shared" si="653"/>
        <v>0</v>
      </c>
      <c r="L1173" s="1940"/>
      <c r="M1173" s="1941"/>
    </row>
    <row r="1174" spans="1:13">
      <c r="A1174" s="1901"/>
      <c r="B1174" s="1755"/>
      <c r="C1174" s="1867" t="s">
        <v>506</v>
      </c>
      <c r="D1174" s="1868"/>
      <c r="E1174" s="1860"/>
      <c r="F1174" s="1860"/>
      <c r="G1174" s="1943"/>
      <c r="H1174" s="1861"/>
      <c r="I1174" s="1944"/>
      <c r="J1174" s="1939"/>
      <c r="K1174" s="1864"/>
      <c r="L1174" s="1940"/>
      <c r="M1174" s="1866"/>
    </row>
    <row r="1175" spans="1:13">
      <c r="A1175" s="1901"/>
      <c r="B1175" s="1755" t="s">
        <v>2919</v>
      </c>
      <c r="C1175" s="1867" t="s">
        <v>502</v>
      </c>
      <c r="D1175" s="1868"/>
      <c r="E1175" s="1942">
        <v>47</v>
      </c>
      <c r="F1175" s="1806" t="s">
        <v>37</v>
      </c>
      <c r="G1175" s="1953">
        <v>765</v>
      </c>
      <c r="H1175" s="1882">
        <f>E1175*G1175</f>
        <v>35955</v>
      </c>
      <c r="I1175" s="1951">
        <v>242</v>
      </c>
      <c r="J1175" s="1939">
        <f t="shared" ref="J1175" si="654">E1175*I1175</f>
        <v>11374</v>
      </c>
      <c r="K1175" s="1864">
        <f t="shared" ref="K1175" si="655">H1175+J1175</f>
        <v>47329</v>
      </c>
      <c r="L1175" s="1940"/>
      <c r="M1175" s="1941"/>
    </row>
    <row r="1176" spans="1:13">
      <c r="A1176" s="1901"/>
      <c r="B1176" s="1755"/>
      <c r="C1176" s="1867" t="s">
        <v>506</v>
      </c>
      <c r="D1176" s="1868"/>
      <c r="E1176" s="1860"/>
      <c r="F1176" s="1860"/>
      <c r="G1176" s="1943"/>
      <c r="H1176" s="1861"/>
      <c r="I1176" s="1944"/>
      <c r="J1176" s="1939"/>
      <c r="K1176" s="1864"/>
      <c r="L1176" s="1940"/>
      <c r="M1176" s="1941"/>
    </row>
    <row r="1177" spans="1:13">
      <c r="A1177" s="1901"/>
      <c r="B1177" s="1755" t="s">
        <v>507</v>
      </c>
      <c r="C1177" s="1755" t="s">
        <v>508</v>
      </c>
      <c r="D1177" s="1961"/>
      <c r="E1177" s="1942">
        <v>0</v>
      </c>
      <c r="F1177" s="1806" t="s">
        <v>37</v>
      </c>
      <c r="G1177" s="1936">
        <v>0</v>
      </c>
      <c r="H1177" s="1861">
        <f t="shared" ref="H1177:H1178" si="656">E1177*G1177</f>
        <v>0</v>
      </c>
      <c r="I1177" s="1938">
        <v>0</v>
      </c>
      <c r="J1177" s="1939">
        <f t="shared" ref="J1177:J1178" si="657">E1177*I1177</f>
        <v>0</v>
      </c>
      <c r="K1177" s="1864">
        <f t="shared" ref="K1177:K1178" si="658">H1177+J1177</f>
        <v>0</v>
      </c>
      <c r="L1177" s="1940"/>
      <c r="M1177" s="1941"/>
    </row>
    <row r="1178" spans="1:13">
      <c r="A1178" s="1901"/>
      <c r="B1178" s="1755" t="s">
        <v>510</v>
      </c>
      <c r="C1178" s="1755" t="s">
        <v>2802</v>
      </c>
      <c r="D1178" s="1961"/>
      <c r="E1178" s="1942">
        <v>0</v>
      </c>
      <c r="F1178" s="1806" t="s">
        <v>37</v>
      </c>
      <c r="G1178" s="1936">
        <v>1296</v>
      </c>
      <c r="H1178" s="1861">
        <f t="shared" si="656"/>
        <v>0</v>
      </c>
      <c r="I1178" s="1938">
        <v>1600</v>
      </c>
      <c r="J1178" s="1939">
        <f t="shared" si="657"/>
        <v>0</v>
      </c>
      <c r="K1178" s="1864">
        <f t="shared" si="658"/>
        <v>0</v>
      </c>
      <c r="L1178" s="1940"/>
      <c r="M1178" s="1941"/>
    </row>
    <row r="1179" spans="1:13">
      <c r="A1179" s="1901"/>
      <c r="B1179" s="1755"/>
      <c r="C1179" s="1755" t="s">
        <v>512</v>
      </c>
      <c r="D1179" s="1961"/>
      <c r="E1179" s="1860"/>
      <c r="F1179" s="1860"/>
      <c r="G1179" s="1936"/>
      <c r="H1179" s="1937"/>
      <c r="I1179" s="1938"/>
      <c r="J1179" s="1939"/>
      <c r="K1179" s="1864"/>
      <c r="L1179" s="1940"/>
      <c r="M1179" s="1941"/>
    </row>
    <row r="1180" spans="1:13">
      <c r="A1180" s="1901"/>
      <c r="B1180" s="1755" t="s">
        <v>513</v>
      </c>
      <c r="C1180" s="1755" t="s">
        <v>514</v>
      </c>
      <c r="D1180" s="1961"/>
      <c r="E1180" s="1942">
        <v>0</v>
      </c>
      <c r="F1180" s="1806" t="s">
        <v>37</v>
      </c>
      <c r="G1180" s="1936">
        <v>1090</v>
      </c>
      <c r="H1180" s="1861">
        <f t="shared" ref="H1180:H1181" si="659">E1180*G1180</f>
        <v>0</v>
      </c>
      <c r="I1180" s="1938">
        <v>900</v>
      </c>
      <c r="J1180" s="1939">
        <f t="shared" ref="J1180:J1181" si="660">E1180*I1180</f>
        <v>0</v>
      </c>
      <c r="K1180" s="1864">
        <f t="shared" ref="K1180:K1181" si="661">H1180+J1180</f>
        <v>0</v>
      </c>
      <c r="L1180" s="1940"/>
      <c r="M1180" s="1941"/>
    </row>
    <row r="1181" spans="1:13">
      <c r="A1181" s="1901"/>
      <c r="B1181" s="1755" t="s">
        <v>515</v>
      </c>
      <c r="C1181" s="1867" t="s">
        <v>2905</v>
      </c>
      <c r="D1181" s="1868"/>
      <c r="E1181" s="1942">
        <v>0</v>
      </c>
      <c r="F1181" s="1806" t="s">
        <v>37</v>
      </c>
      <c r="G1181" s="1936">
        <v>1600</v>
      </c>
      <c r="H1181" s="1861">
        <f t="shared" si="659"/>
        <v>0</v>
      </c>
      <c r="I1181" s="1938">
        <v>500</v>
      </c>
      <c r="J1181" s="1939">
        <f t="shared" si="660"/>
        <v>0</v>
      </c>
      <c r="K1181" s="1864">
        <f t="shared" si="661"/>
        <v>0</v>
      </c>
      <c r="L1181" s="1940"/>
      <c r="M1181" s="2300"/>
    </row>
    <row r="1182" spans="1:13">
      <c r="A1182" s="1901"/>
      <c r="B1182" s="1755"/>
      <c r="C1182" s="1867" t="s">
        <v>517</v>
      </c>
      <c r="D1182" s="1868"/>
      <c r="E1182" s="1942"/>
      <c r="F1182" s="1806"/>
      <c r="G1182" s="1936"/>
      <c r="H1182" s="1937"/>
      <c r="I1182" s="1938"/>
      <c r="J1182" s="1939"/>
      <c r="K1182" s="1864"/>
      <c r="L1182" s="1940"/>
      <c r="M1182" s="1941"/>
    </row>
    <row r="1183" spans="1:13">
      <c r="A1183" s="1901"/>
      <c r="B1183" s="1755"/>
      <c r="C1183" s="1755"/>
      <c r="D1183" s="1755"/>
      <c r="E1183" s="1942"/>
      <c r="F1183" s="1806"/>
      <c r="G1183" s="1936"/>
      <c r="H1183" s="1937"/>
      <c r="I1183" s="1938"/>
      <c r="J1183" s="1939"/>
      <c r="K1183" s="1864"/>
      <c r="L1183" s="1940"/>
      <c r="M1183" s="1941"/>
    </row>
    <row r="1184" spans="1:13">
      <c r="A1184" s="1901"/>
      <c r="B1184" s="1755" t="s">
        <v>518</v>
      </c>
      <c r="C1184" s="1755" t="s">
        <v>519</v>
      </c>
      <c r="D1184" s="1961"/>
      <c r="E1184" s="1942">
        <v>0</v>
      </c>
      <c r="F1184" s="1806" t="s">
        <v>37</v>
      </c>
      <c r="G1184" s="1936">
        <v>2540</v>
      </c>
      <c r="H1184" s="1861">
        <f t="shared" ref="H1184" si="662">E1184*G1184</f>
        <v>0</v>
      </c>
      <c r="I1184" s="1938">
        <v>700</v>
      </c>
      <c r="J1184" s="1939">
        <f t="shared" ref="J1184" si="663">E1184*I1184</f>
        <v>0</v>
      </c>
      <c r="K1184" s="1864">
        <f t="shared" ref="K1184" si="664">H1184+J1184</f>
        <v>0</v>
      </c>
      <c r="L1184" s="1940"/>
      <c r="M1184" s="1941"/>
    </row>
    <row r="1185" spans="1:14">
      <c r="A1185" s="1901"/>
      <c r="B1185" s="1755"/>
      <c r="C1185" s="1755" t="s">
        <v>520</v>
      </c>
      <c r="D1185" s="1961"/>
      <c r="E1185" s="1942"/>
      <c r="F1185" s="1806"/>
      <c r="G1185" s="1936"/>
      <c r="H1185" s="1937"/>
      <c r="I1185" s="1938"/>
      <c r="J1185" s="1939"/>
      <c r="K1185" s="1864"/>
      <c r="L1185" s="1940"/>
      <c r="M1185" s="1941"/>
    </row>
    <row r="1186" spans="1:14">
      <c r="A1186" s="1901"/>
      <c r="B1186" s="1755" t="s">
        <v>521</v>
      </c>
      <c r="C1186" s="1755" t="s">
        <v>522</v>
      </c>
      <c r="D1186" s="1961"/>
      <c r="E1186" s="1942">
        <v>0</v>
      </c>
      <c r="F1186" s="1806" t="s">
        <v>37</v>
      </c>
      <c r="G1186" s="1943">
        <v>15000</v>
      </c>
      <c r="H1186" s="1861">
        <f t="shared" ref="H1186:H1188" si="665">E1186*G1186</f>
        <v>0</v>
      </c>
      <c r="I1186" s="1944">
        <v>500</v>
      </c>
      <c r="J1186" s="1939">
        <f t="shared" ref="J1186:J1188" si="666">E1186*I1186</f>
        <v>0</v>
      </c>
      <c r="K1186" s="1864">
        <f t="shared" ref="K1186:K1188" si="667">H1186+J1186</f>
        <v>0</v>
      </c>
      <c r="L1186" s="1865"/>
    </row>
    <row r="1187" spans="1:14">
      <c r="A1187" s="1782"/>
      <c r="B1187" s="1755" t="s">
        <v>523</v>
      </c>
      <c r="C1187" s="1755" t="s">
        <v>524</v>
      </c>
      <c r="D1187" s="1961"/>
      <c r="E1187" s="1942">
        <v>1247</v>
      </c>
      <c r="F1187" s="1806" t="s">
        <v>37</v>
      </c>
      <c r="G1187" s="1936">
        <v>88</v>
      </c>
      <c r="H1187" s="1861">
        <f t="shared" si="665"/>
        <v>109736</v>
      </c>
      <c r="I1187" s="1938">
        <v>82</v>
      </c>
      <c r="J1187" s="1939">
        <f t="shared" si="666"/>
        <v>102254</v>
      </c>
      <c r="K1187" s="1864">
        <f t="shared" si="667"/>
        <v>211990</v>
      </c>
      <c r="L1187" s="1940" t="s">
        <v>2883</v>
      </c>
    </row>
    <row r="1188" spans="1:14">
      <c r="A1188" s="1782"/>
      <c r="B1188" s="1755" t="s">
        <v>525</v>
      </c>
      <c r="C1188" s="1755" t="s">
        <v>526</v>
      </c>
      <c r="D1188" s="1961"/>
      <c r="E1188" s="1942">
        <v>0</v>
      </c>
      <c r="F1188" s="1806" t="s">
        <v>37</v>
      </c>
      <c r="G1188" s="1936">
        <v>1955</v>
      </c>
      <c r="H1188" s="1861">
        <f t="shared" si="665"/>
        <v>0</v>
      </c>
      <c r="I1188" s="1938">
        <v>1700</v>
      </c>
      <c r="J1188" s="1939">
        <f t="shared" si="666"/>
        <v>0</v>
      </c>
      <c r="K1188" s="1864">
        <f t="shared" si="667"/>
        <v>0</v>
      </c>
      <c r="L1188" s="1940"/>
    </row>
    <row r="1189" spans="1:14">
      <c r="A1189" s="1782"/>
      <c r="B1189" s="1755"/>
      <c r="C1189" s="1755" t="s">
        <v>2804</v>
      </c>
      <c r="D1189" s="1961"/>
      <c r="E1189" s="1942"/>
      <c r="F1189" s="1806"/>
      <c r="G1189" s="1936"/>
      <c r="H1189" s="1937"/>
      <c r="I1189" s="1938"/>
      <c r="J1189" s="1939"/>
      <c r="K1189" s="1864"/>
      <c r="L1189" s="1940"/>
    </row>
    <row r="1190" spans="1:14">
      <c r="A1190" s="1782"/>
      <c r="B1190" s="1755"/>
      <c r="C1190" s="1755" t="s">
        <v>527</v>
      </c>
      <c r="D1190" s="1961"/>
      <c r="E1190" s="1942"/>
      <c r="F1190" s="1806"/>
      <c r="G1190" s="1943">
        <v>165</v>
      </c>
      <c r="H1190" s="1861">
        <f t="shared" ref="H1190:H1191" si="668">E1190*G1190</f>
        <v>0</v>
      </c>
      <c r="I1190" s="1944">
        <v>25</v>
      </c>
      <c r="J1190" s="1939">
        <f t="shared" ref="J1190:J1191" si="669">E1190*I1190</f>
        <v>0</v>
      </c>
      <c r="K1190" s="1864">
        <f t="shared" ref="K1190:K1191" si="670">H1190+J1190</f>
        <v>0</v>
      </c>
      <c r="L1190" s="1940"/>
    </row>
    <row r="1191" spans="1:14">
      <c r="A1191" s="1782"/>
      <c r="B1191" s="1755" t="s">
        <v>528</v>
      </c>
      <c r="C1191" s="1755" t="s">
        <v>526</v>
      </c>
      <c r="D1191" s="1961"/>
      <c r="E1191" s="1942">
        <v>0</v>
      </c>
      <c r="F1191" s="1806" t="s">
        <v>37</v>
      </c>
      <c r="G1191" s="1936">
        <v>1296</v>
      </c>
      <c r="H1191" s="1861">
        <f t="shared" si="668"/>
        <v>0</v>
      </c>
      <c r="I1191" s="1938">
        <v>1600</v>
      </c>
      <c r="J1191" s="1939">
        <f t="shared" si="669"/>
        <v>0</v>
      </c>
      <c r="K1191" s="1864">
        <f t="shared" si="670"/>
        <v>0</v>
      </c>
      <c r="L1191" s="1940"/>
    </row>
    <row r="1192" spans="1:14">
      <c r="A1192" s="1782"/>
      <c r="B1192" s="1755"/>
      <c r="C1192" s="1755" t="s">
        <v>2804</v>
      </c>
      <c r="D1192" s="1961"/>
      <c r="E1192" s="1942"/>
      <c r="F1192" s="1806"/>
      <c r="G1192" s="1936"/>
      <c r="H1192" s="1937"/>
      <c r="I1192" s="1938"/>
      <c r="J1192" s="1939"/>
      <c r="K1192" s="1864"/>
      <c r="L1192" s="1940"/>
    </row>
    <row r="1193" spans="1:14">
      <c r="A1193" s="1782"/>
      <c r="B1193" s="1755"/>
      <c r="C1193" s="1755" t="s">
        <v>527</v>
      </c>
      <c r="D1193" s="1961"/>
      <c r="E1193" s="1942"/>
      <c r="F1193" s="1806"/>
      <c r="G1193" s="1943">
        <v>165</v>
      </c>
      <c r="H1193" s="1861">
        <f t="shared" ref="H1193:H1194" si="671">E1193*G1193</f>
        <v>0</v>
      </c>
      <c r="I1193" s="1944">
        <v>25</v>
      </c>
      <c r="J1193" s="1939">
        <f t="shared" ref="J1193:J1194" si="672">E1193*I1193</f>
        <v>0</v>
      </c>
      <c r="K1193" s="1864">
        <f t="shared" ref="K1193:K1194" si="673">H1193+J1193</f>
        <v>0</v>
      </c>
      <c r="L1193" s="1940"/>
    </row>
    <row r="1194" spans="1:14">
      <c r="A1194" s="1782"/>
      <c r="B1194" s="1755" t="s">
        <v>529</v>
      </c>
      <c r="C1194" s="1755" t="s">
        <v>526</v>
      </c>
      <c r="D1194" s="1961"/>
      <c r="E1194" s="1942">
        <v>0</v>
      </c>
      <c r="F1194" s="1806" t="s">
        <v>37</v>
      </c>
      <c r="G1194" s="1936">
        <v>5900</v>
      </c>
      <c r="H1194" s="1861">
        <f t="shared" si="671"/>
        <v>0</v>
      </c>
      <c r="I1194" s="1938">
        <v>1200</v>
      </c>
      <c r="J1194" s="1939">
        <f t="shared" si="672"/>
        <v>0</v>
      </c>
      <c r="K1194" s="1864">
        <f t="shared" si="673"/>
        <v>0</v>
      </c>
      <c r="L1194" s="1940"/>
    </row>
    <row r="1195" spans="1:14">
      <c r="A1195" s="1782"/>
      <c r="B1195" s="1755"/>
      <c r="C1195" s="1755" t="s">
        <v>2804</v>
      </c>
      <c r="D1195" s="1961"/>
      <c r="E1195" s="1942"/>
      <c r="F1195" s="1806"/>
      <c r="G1195" s="1936"/>
      <c r="H1195" s="1937"/>
      <c r="I1195" s="1938"/>
      <c r="J1195" s="1939"/>
      <c r="K1195" s="1864"/>
      <c r="L1195" s="1940"/>
    </row>
    <row r="1196" spans="1:14">
      <c r="A1196" s="1782"/>
      <c r="B1196" s="1755" t="s">
        <v>530</v>
      </c>
      <c r="C1196" s="1755" t="s">
        <v>526</v>
      </c>
      <c r="D1196" s="1961"/>
      <c r="E1196" s="1942">
        <v>0</v>
      </c>
      <c r="F1196" s="1806" t="s">
        <v>37</v>
      </c>
      <c r="G1196" s="1936">
        <v>6000</v>
      </c>
      <c r="H1196" s="1861">
        <f t="shared" ref="H1196" si="674">E1196*G1196</f>
        <v>0</v>
      </c>
      <c r="I1196" s="1938">
        <v>1550</v>
      </c>
      <c r="J1196" s="1939">
        <f t="shared" ref="J1196" si="675">E1196*I1196</f>
        <v>0</v>
      </c>
      <c r="K1196" s="1864">
        <f t="shared" ref="K1196" si="676">H1196+J1196</f>
        <v>0</v>
      </c>
      <c r="L1196" s="1940"/>
    </row>
    <row r="1197" spans="1:14">
      <c r="A1197" s="1782"/>
      <c r="B1197" s="1755"/>
      <c r="C1197" s="1755" t="s">
        <v>2805</v>
      </c>
      <c r="D1197" s="1961"/>
      <c r="E1197" s="1942"/>
      <c r="F1197" s="1806"/>
      <c r="G1197" s="1936"/>
      <c r="H1197" s="1937"/>
      <c r="I1197" s="1938"/>
      <c r="J1197" s="1939"/>
      <c r="K1197" s="1864"/>
      <c r="L1197" s="1940"/>
    </row>
    <row r="1198" spans="1:14">
      <c r="A1198" s="1782"/>
      <c r="B1198" s="1755" t="s">
        <v>531</v>
      </c>
      <c r="C1198" s="1755" t="s">
        <v>532</v>
      </c>
      <c r="D1198" s="1961"/>
      <c r="E1198" s="1942">
        <v>0</v>
      </c>
      <c r="F1198" s="1806" t="s">
        <v>37</v>
      </c>
      <c r="G1198" s="2297">
        <f>13+69</f>
        <v>82</v>
      </c>
      <c r="H1198" s="1861">
        <f t="shared" ref="H1198:H1199" si="677">E1198*G1198</f>
        <v>0</v>
      </c>
      <c r="I1198" s="2301">
        <f>30+28</f>
        <v>58</v>
      </c>
      <c r="J1198" s="1939">
        <f t="shared" ref="J1198:J1199" si="678">E1198*I1198</f>
        <v>0</v>
      </c>
      <c r="K1198" s="1864">
        <f t="shared" ref="K1198:K1199" si="679">H1198+J1198</f>
        <v>0</v>
      </c>
      <c r="L1198" s="2299"/>
    </row>
    <row r="1199" spans="1:14">
      <c r="A1199" s="1782"/>
      <c r="B1199" s="1755" t="s">
        <v>533</v>
      </c>
      <c r="C1199" s="1755" t="s">
        <v>534</v>
      </c>
      <c r="D1199" s="1961"/>
      <c r="E1199" s="1942">
        <v>0</v>
      </c>
      <c r="F1199" s="1806" t="s">
        <v>37</v>
      </c>
      <c r="G1199" s="1936">
        <v>0</v>
      </c>
      <c r="H1199" s="1861">
        <f t="shared" si="677"/>
        <v>0</v>
      </c>
      <c r="I1199" s="1938">
        <v>0</v>
      </c>
      <c r="J1199" s="1939">
        <f t="shared" si="678"/>
        <v>0</v>
      </c>
      <c r="K1199" s="1864">
        <f t="shared" si="679"/>
        <v>0</v>
      </c>
      <c r="L1199" s="1940"/>
    </row>
    <row r="1200" spans="1:14">
      <c r="A1200" s="1782"/>
      <c r="B1200" s="1755"/>
      <c r="C1200" s="1755" t="s">
        <v>535</v>
      </c>
      <c r="D1200" s="1961"/>
      <c r="E1200" s="1942"/>
      <c r="F1200" s="1806"/>
      <c r="G1200" s="1936"/>
      <c r="H1200" s="1937"/>
      <c r="I1200" s="1938"/>
      <c r="J1200" s="1939"/>
      <c r="K1200" s="1864"/>
      <c r="L1200" s="1940"/>
      <c r="N1200" s="1797">
        <f>SUM(K1123:K1199)</f>
        <v>5929824.46</v>
      </c>
    </row>
    <row r="1201" spans="1:24" ht="24" customHeight="1">
      <c r="A1201" s="1933" t="s">
        <v>556</v>
      </c>
      <c r="B1201" s="1908" t="s">
        <v>557</v>
      </c>
      <c r="C1201" s="1850"/>
      <c r="D1201" s="1969"/>
      <c r="E1201" s="1897"/>
      <c r="F1201" s="1806"/>
      <c r="G1201" s="1966"/>
      <c r="H1201" s="1854"/>
      <c r="I1201" s="1893"/>
      <c r="J1201" s="1856"/>
      <c r="K1201" s="1857"/>
      <c r="L1201" s="1858"/>
      <c r="M1201" s="1809"/>
      <c r="N1201" s="1837"/>
      <c r="O1201" s="1837"/>
      <c r="P1201" s="1837"/>
      <c r="Q1201" s="1837"/>
      <c r="R1201" s="1837"/>
      <c r="S1201" s="1837"/>
      <c r="T1201" s="1837"/>
      <c r="U1201" s="1837"/>
      <c r="V1201" s="1837"/>
      <c r="W1201" s="1837"/>
      <c r="X1201" s="1837"/>
    </row>
    <row r="1202" spans="1:24">
      <c r="A1202" s="1901"/>
      <c r="B1202" s="1783"/>
      <c r="C1202" s="1755" t="s">
        <v>538</v>
      </c>
      <c r="D1202" s="1970"/>
      <c r="E1202" s="1860">
        <v>2727</v>
      </c>
      <c r="F1202" s="1806" t="s">
        <v>37</v>
      </c>
      <c r="G1202" s="1936">
        <v>281</v>
      </c>
      <c r="H1202" s="1937">
        <f>E1202*G1202</f>
        <v>766287</v>
      </c>
      <c r="I1202" s="1938">
        <v>80</v>
      </c>
      <c r="J1202" s="1939">
        <f>E1202*I1202</f>
        <v>218160</v>
      </c>
      <c r="K1202" s="1864">
        <f>H1202+J1202</f>
        <v>984447</v>
      </c>
      <c r="L1202" s="1940"/>
      <c r="M1202" s="1941"/>
    </row>
    <row r="1203" spans="1:24">
      <c r="A1203" s="1901"/>
      <c r="B1203" s="1783"/>
      <c r="C1203" s="1755" t="s">
        <v>539</v>
      </c>
      <c r="D1203" s="1970"/>
      <c r="E1203" s="1860">
        <f>+E1254</f>
        <v>0</v>
      </c>
      <c r="F1203" s="1806" t="s">
        <v>37</v>
      </c>
      <c r="G1203" s="1936">
        <v>712</v>
      </c>
      <c r="H1203" s="1937">
        <f t="shared" ref="H1203:H1221" si="680">E1203*G1203</f>
        <v>0</v>
      </c>
      <c r="I1203" s="1938">
        <v>98</v>
      </c>
      <c r="J1203" s="1939">
        <f t="shared" ref="J1203:J1221" si="681">E1203*I1203</f>
        <v>0</v>
      </c>
      <c r="K1203" s="1864">
        <f t="shared" ref="K1203:K1221" si="682">H1203+J1203</f>
        <v>0</v>
      </c>
      <c r="L1203" s="1940"/>
      <c r="M1203" s="1941"/>
    </row>
    <row r="1204" spans="1:24">
      <c r="A1204" s="1901"/>
      <c r="B1204" s="1783"/>
      <c r="C1204" s="1755" t="s">
        <v>470</v>
      </c>
      <c r="D1204" s="1970"/>
      <c r="E1204" s="1860">
        <f>+E1202*1.33</f>
        <v>3626.9100000000003</v>
      </c>
      <c r="F1204" s="1806" t="s">
        <v>438</v>
      </c>
      <c r="G1204" s="1936">
        <v>119</v>
      </c>
      <c r="H1204" s="1937">
        <f t="shared" si="680"/>
        <v>431602.29000000004</v>
      </c>
      <c r="I1204" s="1938">
        <v>44</v>
      </c>
      <c r="J1204" s="1939">
        <f t="shared" si="681"/>
        <v>159584.04</v>
      </c>
      <c r="K1204" s="1864">
        <f t="shared" si="682"/>
        <v>591186.33000000007</v>
      </c>
      <c r="L1204" s="1940" t="s">
        <v>2878</v>
      </c>
      <c r="M1204" s="1941"/>
    </row>
    <row r="1205" spans="1:24">
      <c r="A1205" s="1901"/>
      <c r="B1205" s="1783"/>
      <c r="C1205" s="1755" t="s">
        <v>471</v>
      </c>
      <c r="D1205" s="1970"/>
      <c r="E1205" s="1860">
        <f>+E1203*1.33</f>
        <v>0</v>
      </c>
      <c r="F1205" s="1806" t="s">
        <v>438</v>
      </c>
      <c r="G1205" s="1936">
        <v>208</v>
      </c>
      <c r="H1205" s="1937">
        <f t="shared" si="680"/>
        <v>0</v>
      </c>
      <c r="I1205" s="1938">
        <v>78</v>
      </c>
      <c r="J1205" s="1939">
        <f t="shared" si="681"/>
        <v>0</v>
      </c>
      <c r="K1205" s="1864">
        <f t="shared" si="682"/>
        <v>0</v>
      </c>
      <c r="L1205" s="1940" t="s">
        <v>2878</v>
      </c>
      <c r="M1205" s="1941"/>
    </row>
    <row r="1206" spans="1:24">
      <c r="A1206" s="1901"/>
      <c r="B1206" s="1783"/>
      <c r="C1206" s="1755" t="s">
        <v>472</v>
      </c>
      <c r="D1206" s="1970"/>
      <c r="E1206" s="1860">
        <v>741</v>
      </c>
      <c r="F1206" s="1806" t="s">
        <v>37</v>
      </c>
      <c r="G1206" s="1936">
        <v>88</v>
      </c>
      <c r="H1206" s="1937">
        <f t="shared" si="680"/>
        <v>65208</v>
      </c>
      <c r="I1206" s="1938">
        <v>82</v>
      </c>
      <c r="J1206" s="1939">
        <f t="shared" si="681"/>
        <v>60762</v>
      </c>
      <c r="K1206" s="1864">
        <f t="shared" si="682"/>
        <v>125970</v>
      </c>
      <c r="L1206" s="1940" t="s">
        <v>2885</v>
      </c>
      <c r="M1206" s="1941"/>
    </row>
    <row r="1207" spans="1:24">
      <c r="A1207" s="1901"/>
      <c r="B1207" s="1783"/>
      <c r="C1207" s="1755" t="s">
        <v>540</v>
      </c>
      <c r="D1207" s="1970"/>
      <c r="E1207" s="1860">
        <v>2860</v>
      </c>
      <c r="F1207" s="1806" t="s">
        <v>37</v>
      </c>
      <c r="G1207" s="1936">
        <v>88</v>
      </c>
      <c r="H1207" s="1937">
        <f t="shared" si="680"/>
        <v>251680</v>
      </c>
      <c r="I1207" s="1938">
        <v>82</v>
      </c>
      <c r="J1207" s="1939">
        <f t="shared" si="681"/>
        <v>234520</v>
      </c>
      <c r="K1207" s="1864">
        <f t="shared" si="682"/>
        <v>486200</v>
      </c>
      <c r="L1207" s="1940"/>
      <c r="M1207" s="1941"/>
    </row>
    <row r="1208" spans="1:24">
      <c r="A1208" s="1901"/>
      <c r="B1208" s="1783"/>
      <c r="C1208" s="1755" t="s">
        <v>541</v>
      </c>
      <c r="D1208" s="1970"/>
      <c r="E1208" s="1860">
        <v>550</v>
      </c>
      <c r="F1208" s="1806" t="s">
        <v>37</v>
      </c>
      <c r="G1208" s="1936">
        <v>88</v>
      </c>
      <c r="H1208" s="1937">
        <f t="shared" si="680"/>
        <v>48400</v>
      </c>
      <c r="I1208" s="1938">
        <v>95</v>
      </c>
      <c r="J1208" s="1939">
        <f t="shared" si="681"/>
        <v>52250</v>
      </c>
      <c r="K1208" s="1864">
        <f t="shared" si="682"/>
        <v>100650</v>
      </c>
      <c r="L1208" s="1940"/>
      <c r="M1208" s="1941"/>
    </row>
    <row r="1209" spans="1:24">
      <c r="A1209" s="1901"/>
      <c r="B1209" s="1783"/>
      <c r="C1209" s="1755"/>
      <c r="D1209" s="1970"/>
      <c r="E1209" s="1860"/>
      <c r="F1209" s="1806"/>
      <c r="G1209" s="1936"/>
      <c r="H1209" s="1937"/>
      <c r="I1209" s="1938"/>
      <c r="J1209" s="1939"/>
      <c r="K1209" s="1864"/>
      <c r="L1209" s="1940"/>
      <c r="M1209" s="1941"/>
    </row>
    <row r="1210" spans="1:24">
      <c r="A1210" s="1901"/>
      <c r="B1210" s="1783"/>
      <c r="C1210" s="1755"/>
      <c r="D1210" s="1970"/>
      <c r="E1210" s="1860"/>
      <c r="F1210" s="1806"/>
      <c r="G1210" s="1936"/>
      <c r="H1210" s="1937"/>
      <c r="I1210" s="1938"/>
      <c r="J1210" s="1939"/>
      <c r="K1210" s="1864"/>
      <c r="L1210" s="1940"/>
      <c r="M1210" s="1941"/>
    </row>
    <row r="1211" spans="1:24">
      <c r="A1211" s="1901"/>
      <c r="B1211" s="1755" t="s">
        <v>475</v>
      </c>
      <c r="C1211" s="1755" t="s">
        <v>476</v>
      </c>
      <c r="D1211" s="1961"/>
      <c r="E1211" s="1962">
        <v>0</v>
      </c>
      <c r="F1211" s="1806" t="s">
        <v>37</v>
      </c>
      <c r="G1211" s="1936">
        <v>88</v>
      </c>
      <c r="H1211" s="1937">
        <f t="shared" si="680"/>
        <v>0</v>
      </c>
      <c r="I1211" s="1938">
        <v>95</v>
      </c>
      <c r="J1211" s="1939">
        <f t="shared" si="681"/>
        <v>0</v>
      </c>
      <c r="K1211" s="1864">
        <f t="shared" si="682"/>
        <v>0</v>
      </c>
      <c r="L1211" s="1940" t="s">
        <v>2880</v>
      </c>
      <c r="M1211" s="1941"/>
    </row>
    <row r="1212" spans="1:24">
      <c r="A1212" s="1901"/>
      <c r="B1212" s="1755"/>
      <c r="C1212" s="1755" t="s">
        <v>477</v>
      </c>
      <c r="D1212" s="1961"/>
      <c r="E1212" s="1962">
        <f>E1211</f>
        <v>0</v>
      </c>
      <c r="F1212" s="1806" t="s">
        <v>37</v>
      </c>
      <c r="G1212" s="2297">
        <v>69</v>
      </c>
      <c r="H1212" s="1937">
        <f t="shared" si="680"/>
        <v>0</v>
      </c>
      <c r="I1212" s="2298">
        <v>28</v>
      </c>
      <c r="J1212" s="1939">
        <f t="shared" si="681"/>
        <v>0</v>
      </c>
      <c r="K1212" s="1864">
        <f t="shared" si="682"/>
        <v>0</v>
      </c>
      <c r="L1212" s="2299"/>
      <c r="M1212" s="2300"/>
    </row>
    <row r="1213" spans="1:24">
      <c r="A1213" s="1901"/>
      <c r="B1213" s="1755" t="s">
        <v>478</v>
      </c>
      <c r="C1213" s="1755" t="s">
        <v>479</v>
      </c>
      <c r="D1213" s="1961"/>
      <c r="E1213" s="1962">
        <v>1332</v>
      </c>
      <c r="F1213" s="1806" t="s">
        <v>37</v>
      </c>
      <c r="G1213" s="1936">
        <v>88</v>
      </c>
      <c r="H1213" s="1937">
        <f t="shared" si="680"/>
        <v>117216</v>
      </c>
      <c r="I1213" s="1938">
        <v>82</v>
      </c>
      <c r="J1213" s="1939">
        <f t="shared" si="681"/>
        <v>109224</v>
      </c>
      <c r="K1213" s="1864">
        <f t="shared" si="682"/>
        <v>226440</v>
      </c>
      <c r="L1213" s="1940"/>
      <c r="M1213" s="1941"/>
    </row>
    <row r="1214" spans="1:24">
      <c r="A1214" s="1901"/>
      <c r="B1214" s="1755" t="s">
        <v>480</v>
      </c>
      <c r="C1214" s="1755" t="s">
        <v>476</v>
      </c>
      <c r="D1214" s="1961"/>
      <c r="E1214" s="1962">
        <v>3081</v>
      </c>
      <c r="F1214" s="1806" t="s">
        <v>37</v>
      </c>
      <c r="G1214" s="1936">
        <v>88</v>
      </c>
      <c r="H1214" s="1937">
        <f t="shared" si="680"/>
        <v>271128</v>
      </c>
      <c r="I1214" s="1938">
        <v>82</v>
      </c>
      <c r="J1214" s="1939">
        <f t="shared" si="681"/>
        <v>252642</v>
      </c>
      <c r="K1214" s="1864">
        <f t="shared" si="682"/>
        <v>523770</v>
      </c>
      <c r="L1214" s="1940" t="s">
        <v>2880</v>
      </c>
      <c r="M1214" s="1941"/>
    </row>
    <row r="1215" spans="1:24">
      <c r="A1215" s="1901"/>
      <c r="B1215" s="1755"/>
      <c r="C1215" s="1755" t="s">
        <v>481</v>
      </c>
      <c r="D1215" s="1961"/>
      <c r="E1215" s="1962">
        <f>E1214</f>
        <v>3081</v>
      </c>
      <c r="F1215" s="1806" t="s">
        <v>37</v>
      </c>
      <c r="G1215" s="2297">
        <v>69</v>
      </c>
      <c r="H1215" s="1937">
        <f t="shared" si="680"/>
        <v>212589</v>
      </c>
      <c r="I1215" s="2298">
        <v>28</v>
      </c>
      <c r="J1215" s="1939">
        <f t="shared" si="681"/>
        <v>86268</v>
      </c>
      <c r="K1215" s="1864">
        <f t="shared" si="682"/>
        <v>298857</v>
      </c>
      <c r="L1215" s="2299"/>
      <c r="M1215" s="2300"/>
    </row>
    <row r="1216" spans="1:24">
      <c r="A1216" s="1901"/>
      <c r="B1216" s="1755" t="s">
        <v>2787</v>
      </c>
      <c r="C1216" s="1755" t="s">
        <v>2788</v>
      </c>
      <c r="D1216" s="1961"/>
      <c r="E1216" s="1942">
        <v>0</v>
      </c>
      <c r="F1216" s="1806" t="s">
        <v>37</v>
      </c>
      <c r="G1216" s="1936">
        <v>103</v>
      </c>
      <c r="H1216" s="1937">
        <f t="shared" si="680"/>
        <v>0</v>
      </c>
      <c r="I1216" s="1938">
        <v>115</v>
      </c>
      <c r="J1216" s="1939">
        <f t="shared" si="681"/>
        <v>0</v>
      </c>
      <c r="K1216" s="1864">
        <f t="shared" si="682"/>
        <v>0</v>
      </c>
      <c r="L1216" s="1940" t="s">
        <v>2880</v>
      </c>
      <c r="M1216" s="1941"/>
    </row>
    <row r="1217" spans="1:24">
      <c r="A1217" s="1901"/>
      <c r="B1217" s="1755"/>
      <c r="C1217" s="1755" t="s">
        <v>482</v>
      </c>
      <c r="D1217" s="1961"/>
      <c r="E1217" s="1942">
        <f>E1216</f>
        <v>0</v>
      </c>
      <c r="F1217" s="1806" t="s">
        <v>37</v>
      </c>
      <c r="G1217" s="2297">
        <v>69</v>
      </c>
      <c r="H1217" s="1937">
        <f t="shared" si="680"/>
        <v>0</v>
      </c>
      <c r="I1217" s="2298">
        <v>28</v>
      </c>
      <c r="J1217" s="1939">
        <f t="shared" si="681"/>
        <v>0</v>
      </c>
      <c r="K1217" s="1864">
        <f t="shared" si="682"/>
        <v>0</v>
      </c>
      <c r="L1217" s="2299"/>
      <c r="M1217" s="2300"/>
    </row>
    <row r="1218" spans="1:24">
      <c r="A1218" s="1901"/>
      <c r="B1218" s="1755" t="s">
        <v>483</v>
      </c>
      <c r="C1218" s="1755" t="s">
        <v>484</v>
      </c>
      <c r="D1218" s="1961"/>
      <c r="E1218" s="1942">
        <v>0</v>
      </c>
      <c r="F1218" s="1806" t="s">
        <v>37</v>
      </c>
      <c r="G1218" s="1943">
        <v>1500</v>
      </c>
      <c r="H1218" s="1937">
        <f t="shared" si="680"/>
        <v>0</v>
      </c>
      <c r="I1218" s="1944">
        <v>500</v>
      </c>
      <c r="J1218" s="1939">
        <f t="shared" si="681"/>
        <v>0</v>
      </c>
      <c r="K1218" s="1864">
        <f t="shared" si="682"/>
        <v>0</v>
      </c>
      <c r="L1218" s="1865"/>
      <c r="M1218" s="1866"/>
    </row>
    <row r="1219" spans="1:24">
      <c r="A1219" s="1901"/>
      <c r="B1219" s="1755"/>
      <c r="C1219" s="1755" t="s">
        <v>482</v>
      </c>
      <c r="D1219" s="1961"/>
      <c r="E1219" s="1942">
        <v>0</v>
      </c>
      <c r="F1219" s="1806" t="s">
        <v>37</v>
      </c>
      <c r="G1219" s="2297">
        <v>69</v>
      </c>
      <c r="H1219" s="1937">
        <f t="shared" si="680"/>
        <v>0</v>
      </c>
      <c r="I1219" s="2298">
        <v>28</v>
      </c>
      <c r="J1219" s="1939">
        <f t="shared" si="681"/>
        <v>0</v>
      </c>
      <c r="K1219" s="1864">
        <f t="shared" si="682"/>
        <v>0</v>
      </c>
      <c r="L1219" s="2299"/>
      <c r="M1219" s="2300"/>
    </row>
    <row r="1220" spans="1:24">
      <c r="A1220" s="1901"/>
      <c r="B1220" s="1755"/>
      <c r="C1220" s="1755"/>
      <c r="D1220" s="1961"/>
      <c r="E1220" s="1942"/>
      <c r="F1220" s="1806"/>
      <c r="G1220" s="2297"/>
      <c r="H1220" s="1937"/>
      <c r="I1220" s="2298"/>
      <c r="J1220" s="1939"/>
      <c r="K1220" s="1864"/>
      <c r="L1220" s="2299"/>
      <c r="M1220" s="2300"/>
    </row>
    <row r="1221" spans="1:24">
      <c r="A1221" s="1901"/>
      <c r="B1221" s="1755" t="s">
        <v>485</v>
      </c>
      <c r="C1221" s="1755" t="s">
        <v>2789</v>
      </c>
      <c r="D1221" s="1961"/>
      <c r="E1221" s="1942">
        <v>0</v>
      </c>
      <c r="F1221" s="1806" t="s">
        <v>37</v>
      </c>
      <c r="G1221" s="1943">
        <v>492</v>
      </c>
      <c r="H1221" s="1937">
        <f t="shared" si="680"/>
        <v>0</v>
      </c>
      <c r="I1221" s="1944">
        <v>130</v>
      </c>
      <c r="J1221" s="1939">
        <f t="shared" si="681"/>
        <v>0</v>
      </c>
      <c r="K1221" s="1864">
        <f t="shared" si="682"/>
        <v>0</v>
      </c>
      <c r="L1221" s="2299"/>
      <c r="M1221" s="2300"/>
    </row>
    <row r="1222" spans="1:24">
      <c r="A1222" s="1901"/>
      <c r="B1222" s="1755"/>
      <c r="C1222" s="1755" t="s">
        <v>2790</v>
      </c>
      <c r="D1222" s="1961"/>
      <c r="E1222" s="1860"/>
      <c r="F1222" s="1860"/>
      <c r="G1222" s="1943"/>
      <c r="H1222" s="1861"/>
      <c r="I1222" s="1944"/>
      <c r="J1222" s="1939"/>
      <c r="K1222" s="1864"/>
      <c r="L1222" s="2299"/>
      <c r="M1222" s="2300"/>
    </row>
    <row r="1223" spans="1:24">
      <c r="A1223" s="1901"/>
      <c r="B1223" s="1755"/>
      <c r="C1223" s="1755" t="s">
        <v>486</v>
      </c>
      <c r="D1223" s="1961"/>
      <c r="E1223" s="1860"/>
      <c r="F1223" s="1860"/>
      <c r="G1223" s="1943"/>
      <c r="H1223" s="1861"/>
      <c r="I1223" s="1944"/>
      <c r="J1223" s="1939"/>
      <c r="K1223" s="1864"/>
      <c r="L1223" s="2299"/>
      <c r="M1223" s="2300"/>
    </row>
    <row r="1224" spans="1:24">
      <c r="A1224" s="1901"/>
      <c r="B1224" s="1755" t="s">
        <v>487</v>
      </c>
      <c r="C1224" s="1755" t="s">
        <v>2789</v>
      </c>
      <c r="D1224" s="1961"/>
      <c r="E1224" s="1942">
        <v>0</v>
      </c>
      <c r="F1224" s="1806" t="s">
        <v>37</v>
      </c>
      <c r="G1224" s="1943">
        <v>256</v>
      </c>
      <c r="H1224" s="1861">
        <f>E1224*G1224</f>
        <v>0</v>
      </c>
      <c r="I1224" s="1944">
        <v>100</v>
      </c>
      <c r="J1224" s="1939">
        <f>E1224*I1224</f>
        <v>0</v>
      </c>
      <c r="K1224" s="1864">
        <f t="shared" ref="K1224" si="683">H1224+J1224</f>
        <v>0</v>
      </c>
      <c r="L1224" s="2299"/>
      <c r="M1224" s="2300"/>
    </row>
    <row r="1225" spans="1:24">
      <c r="A1225" s="1901"/>
      <c r="B1225" s="1755"/>
      <c r="C1225" s="1755" t="s">
        <v>2791</v>
      </c>
      <c r="D1225" s="1961"/>
      <c r="E1225" s="1860"/>
      <c r="F1225" s="1860"/>
      <c r="G1225" s="1943"/>
      <c r="H1225" s="1861"/>
      <c r="I1225" s="1944"/>
      <c r="J1225" s="1939"/>
      <c r="K1225" s="1864"/>
      <c r="L1225" s="2299"/>
      <c r="M1225" s="2300"/>
    </row>
    <row r="1226" spans="1:24">
      <c r="A1226" s="1901"/>
      <c r="B1226" s="1755"/>
      <c r="C1226" s="1755" t="s">
        <v>486</v>
      </c>
      <c r="D1226" s="1961"/>
      <c r="E1226" s="1860"/>
      <c r="F1226" s="1860"/>
      <c r="G1226" s="1943"/>
      <c r="H1226" s="1861"/>
      <c r="I1226" s="1944"/>
      <c r="J1226" s="1939"/>
      <c r="K1226" s="1864"/>
      <c r="L1226" s="2299"/>
      <c r="M1226" s="1941"/>
    </row>
    <row r="1227" spans="1:24">
      <c r="A1227" s="1901"/>
      <c r="B1227" s="1755" t="s">
        <v>488</v>
      </c>
      <c r="C1227" s="1867" t="s">
        <v>2926</v>
      </c>
      <c r="D1227" s="1868"/>
      <c r="E1227" s="1942">
        <v>0</v>
      </c>
      <c r="F1227" s="1806" t="s">
        <v>37</v>
      </c>
      <c r="G1227" s="1943">
        <v>350</v>
      </c>
      <c r="H1227" s="1861">
        <f>E1227*G1227</f>
        <v>0</v>
      </c>
      <c r="I1227" s="1944">
        <v>100</v>
      </c>
      <c r="J1227" s="1939">
        <f>E1227*I1227</f>
        <v>0</v>
      </c>
      <c r="K1227" s="1864">
        <f t="shared" ref="K1227" si="684">H1227+J1227</f>
        <v>0</v>
      </c>
      <c r="L1227" s="2299"/>
      <c r="M1227" s="2300"/>
    </row>
    <row r="1228" spans="1:24">
      <c r="A1228" s="1901"/>
      <c r="B1228" s="1755"/>
      <c r="C1228" s="1867" t="s">
        <v>2793</v>
      </c>
      <c r="D1228" s="1868"/>
      <c r="E1228" s="1860"/>
      <c r="F1228" s="1860"/>
      <c r="G1228" s="1943"/>
      <c r="H1228" s="1861"/>
      <c r="I1228" s="1944"/>
      <c r="J1228" s="1939"/>
      <c r="K1228" s="1864"/>
      <c r="L1228" s="1940"/>
      <c r="M1228" s="2300"/>
    </row>
    <row r="1229" spans="1:24">
      <c r="A1229" s="1901"/>
      <c r="B1229" s="1755"/>
      <c r="C1229" s="1867" t="s">
        <v>489</v>
      </c>
      <c r="D1229" s="1868"/>
      <c r="E1229" s="1942">
        <f>E1227</f>
        <v>0</v>
      </c>
      <c r="F1229" s="1806" t="s">
        <v>37</v>
      </c>
      <c r="G1229" s="2297">
        <v>69</v>
      </c>
      <c r="H1229" s="1861">
        <f>E1229*G1229</f>
        <v>0</v>
      </c>
      <c r="I1229" s="2298">
        <v>28</v>
      </c>
      <c r="J1229" s="1939">
        <f>E1229*I1229</f>
        <v>0</v>
      </c>
      <c r="K1229" s="1864">
        <f t="shared" ref="K1229:K1233" si="685">H1229+J1229</f>
        <v>0</v>
      </c>
      <c r="L1229" s="2299"/>
      <c r="M1229" s="1941"/>
    </row>
    <row r="1230" spans="1:24" ht="24" customHeight="1">
      <c r="A1230" s="1901"/>
      <c r="B1230" s="1945" t="s">
        <v>2901</v>
      </c>
      <c r="C1230" s="1867" t="s">
        <v>2902</v>
      </c>
      <c r="D1230" s="1868"/>
      <c r="E1230" s="1942">
        <v>0</v>
      </c>
      <c r="F1230" s="1806" t="s">
        <v>37</v>
      </c>
      <c r="G1230" s="1944">
        <v>195</v>
      </c>
      <c r="H1230" s="1939">
        <f>E1230*G1230</f>
        <v>0</v>
      </c>
      <c r="I1230" s="1944">
        <v>150</v>
      </c>
      <c r="J1230" s="1939">
        <f t="shared" ref="J1230" si="686">E1230*I1230</f>
        <v>0</v>
      </c>
      <c r="K1230" s="1864">
        <f t="shared" si="685"/>
        <v>0</v>
      </c>
      <c r="L1230" s="2299"/>
      <c r="N1230" s="1836"/>
      <c r="O1230" s="1837"/>
      <c r="P1230" s="1837"/>
      <c r="Q1230" s="1837"/>
      <c r="R1230" s="1837"/>
      <c r="S1230" s="1837"/>
      <c r="T1230" s="1837"/>
      <c r="U1230" s="1837"/>
      <c r="V1230" s="1837"/>
      <c r="W1230" s="1837"/>
      <c r="X1230" s="1837"/>
    </row>
    <row r="1231" spans="1:24" ht="24" customHeight="1">
      <c r="A1231" s="1901"/>
      <c r="B1231" s="1755"/>
      <c r="C1231" s="1867" t="s">
        <v>2903</v>
      </c>
      <c r="D1231" s="1868"/>
      <c r="E1231" s="1860"/>
      <c r="F1231" s="1860"/>
      <c r="G1231" s="1944"/>
      <c r="H1231" s="1939"/>
      <c r="I1231" s="1944"/>
      <c r="J1231" s="1939"/>
      <c r="K1231" s="1864"/>
      <c r="L1231" s="1940"/>
      <c r="M1231" s="1946"/>
      <c r="N1231" s="1836"/>
      <c r="O1231" s="1837"/>
      <c r="P1231" s="1837"/>
      <c r="Q1231" s="1837"/>
      <c r="R1231" s="1837"/>
      <c r="S1231" s="1837"/>
      <c r="T1231" s="1837"/>
      <c r="U1231" s="1837"/>
      <c r="V1231" s="1837"/>
      <c r="W1231" s="1837"/>
      <c r="X1231" s="1837"/>
    </row>
    <row r="1232" spans="1:24" ht="24" customHeight="1">
      <c r="A1232" s="1901"/>
      <c r="B1232" s="1755"/>
      <c r="C1232" s="1867" t="s">
        <v>2904</v>
      </c>
      <c r="D1232" s="1868"/>
      <c r="E1232" s="1942">
        <f>E1230</f>
        <v>0</v>
      </c>
      <c r="F1232" s="1806" t="s">
        <v>37</v>
      </c>
      <c r="G1232" s="2298">
        <v>120</v>
      </c>
      <c r="H1232" s="1947">
        <f>SUM(E1232*G1232)</f>
        <v>0</v>
      </c>
      <c r="I1232" s="2298">
        <v>56</v>
      </c>
      <c r="J1232" s="1939">
        <f>E1232*I1232</f>
        <v>0</v>
      </c>
      <c r="K1232" s="1864">
        <f>H1232+J1232</f>
        <v>0</v>
      </c>
      <c r="L1232" s="2299"/>
      <c r="M1232" s="1946"/>
      <c r="N1232" s="1836"/>
      <c r="O1232" s="1837"/>
      <c r="P1232" s="1837"/>
      <c r="Q1232" s="1837"/>
      <c r="R1232" s="1837"/>
      <c r="S1232" s="1837"/>
      <c r="T1232" s="1837"/>
      <c r="U1232" s="1837"/>
      <c r="V1232" s="1837"/>
      <c r="W1232" s="1837"/>
      <c r="X1232" s="1837"/>
    </row>
    <row r="1233" spans="1:13">
      <c r="A1233" s="1901"/>
      <c r="B1233" s="1755" t="s">
        <v>490</v>
      </c>
      <c r="C1233" s="1755" t="s">
        <v>2789</v>
      </c>
      <c r="D1233" s="1961"/>
      <c r="E1233" s="1942">
        <v>0</v>
      </c>
      <c r="F1233" s="1806" t="s">
        <v>37</v>
      </c>
      <c r="G1233" s="1943">
        <v>592</v>
      </c>
      <c r="H1233" s="1861">
        <f>E1233*G1233</f>
        <v>0</v>
      </c>
      <c r="I1233" s="1944">
        <v>165</v>
      </c>
      <c r="J1233" s="1939">
        <f>E1233*I1233</f>
        <v>0</v>
      </c>
      <c r="K1233" s="1864">
        <f t="shared" si="685"/>
        <v>0</v>
      </c>
      <c r="L1233" s="2299"/>
      <c r="M1233" s="2300"/>
    </row>
    <row r="1234" spans="1:13">
      <c r="A1234" s="1901"/>
      <c r="B1234" s="1755"/>
      <c r="C1234" s="1755" t="s">
        <v>2790</v>
      </c>
      <c r="D1234" s="1961"/>
      <c r="E1234" s="1860"/>
      <c r="F1234" s="1860"/>
      <c r="G1234" s="1943"/>
      <c r="H1234" s="1861"/>
      <c r="I1234" s="1944"/>
      <c r="J1234" s="1939"/>
      <c r="K1234" s="1864"/>
      <c r="L1234" s="1940"/>
      <c r="M1234" s="1941"/>
    </row>
    <row r="1235" spans="1:13">
      <c r="A1235" s="1901"/>
      <c r="B1235" s="1755"/>
      <c r="C1235" s="1755" t="s">
        <v>2794</v>
      </c>
      <c r="D1235" s="1961"/>
      <c r="E1235" s="1860"/>
      <c r="F1235" s="1860"/>
      <c r="G1235" s="1943"/>
      <c r="H1235" s="1861"/>
      <c r="I1235" s="1944"/>
      <c r="J1235" s="1939"/>
      <c r="K1235" s="1864"/>
      <c r="L1235" s="1940"/>
      <c r="M1235" s="1941"/>
    </row>
    <row r="1236" spans="1:13">
      <c r="A1236" s="1901"/>
      <c r="B1236" s="1755"/>
      <c r="C1236" s="1755"/>
      <c r="D1236" s="1961"/>
      <c r="E1236" s="1860"/>
      <c r="F1236" s="1860"/>
      <c r="G1236" s="1943"/>
      <c r="H1236" s="1861"/>
      <c r="I1236" s="1944"/>
      <c r="J1236" s="1939"/>
      <c r="K1236" s="1864"/>
      <c r="L1236" s="1940"/>
      <c r="M1236" s="1941"/>
    </row>
    <row r="1237" spans="1:13">
      <c r="A1237" s="1901"/>
      <c r="B1237" s="1755"/>
      <c r="C1237" s="1755"/>
      <c r="D1237" s="1961"/>
      <c r="E1237" s="1860"/>
      <c r="F1237" s="1860"/>
      <c r="G1237" s="1943"/>
      <c r="H1237" s="1861"/>
      <c r="I1237" s="1944"/>
      <c r="J1237" s="1939"/>
      <c r="K1237" s="1864"/>
      <c r="L1237" s="1940"/>
      <c r="M1237" s="1941"/>
    </row>
    <row r="1238" spans="1:13">
      <c r="A1238" s="1901"/>
      <c r="B1238" s="1755"/>
      <c r="C1238" s="1755"/>
      <c r="D1238" s="1961"/>
      <c r="E1238" s="1860"/>
      <c r="F1238" s="1860"/>
      <c r="G1238" s="1943"/>
      <c r="H1238" s="1861"/>
      <c r="I1238" s="1944"/>
      <c r="J1238" s="1939"/>
      <c r="K1238" s="1864"/>
      <c r="L1238" s="1940"/>
      <c r="M1238" s="1941"/>
    </row>
    <row r="1239" spans="1:13">
      <c r="A1239" s="1901"/>
      <c r="B1239" s="1755" t="s">
        <v>491</v>
      </c>
      <c r="C1239" s="1755" t="s">
        <v>2795</v>
      </c>
      <c r="D1239" s="1961"/>
      <c r="E1239" s="1942">
        <v>0</v>
      </c>
      <c r="F1239" s="1806" t="s">
        <v>37</v>
      </c>
      <c r="G1239" s="1943"/>
      <c r="H1239" s="1861"/>
      <c r="I1239" s="1944"/>
      <c r="J1239" s="1939"/>
      <c r="K1239" s="1864"/>
      <c r="L1239" s="2299"/>
      <c r="M1239" s="1949"/>
    </row>
    <row r="1240" spans="1:13">
      <c r="A1240" s="1901"/>
      <c r="B1240" s="1755"/>
      <c r="C1240" s="1755" t="s">
        <v>2792</v>
      </c>
      <c r="D1240" s="1961"/>
      <c r="E1240" s="1860"/>
      <c r="F1240" s="1860"/>
      <c r="G1240" s="1943">
        <v>642</v>
      </c>
      <c r="H1240" s="1861">
        <f>E1240*G1240</f>
        <v>0</v>
      </c>
      <c r="I1240" s="1944">
        <v>183</v>
      </c>
      <c r="J1240" s="1939">
        <f>E1240*I1240</f>
        <v>0</v>
      </c>
      <c r="K1240" s="1864">
        <f t="shared" ref="K1240" si="687">H1240+J1240</f>
        <v>0</v>
      </c>
      <c r="L1240" s="1940"/>
      <c r="M1240" s="1941"/>
    </row>
    <row r="1241" spans="1:13">
      <c r="A1241" s="1901"/>
      <c r="B1241" s="1755"/>
      <c r="C1241" s="1755" t="s">
        <v>542</v>
      </c>
      <c r="D1241" s="1961"/>
      <c r="E1241" s="1860"/>
      <c r="F1241" s="1860"/>
      <c r="G1241" s="1943"/>
      <c r="H1241" s="1861"/>
      <c r="I1241" s="1944"/>
      <c r="J1241" s="1939"/>
      <c r="K1241" s="1864"/>
      <c r="L1241" s="1940"/>
      <c r="M1241" s="2300"/>
    </row>
    <row r="1242" spans="1:13">
      <c r="A1242" s="1901"/>
      <c r="B1242" s="1755"/>
      <c r="C1242" s="1755" t="s">
        <v>2796</v>
      </c>
      <c r="D1242" s="1961"/>
      <c r="E1242" s="1860"/>
      <c r="F1242" s="1860"/>
      <c r="G1242" s="1943"/>
      <c r="H1242" s="1861"/>
      <c r="I1242" s="1944"/>
      <c r="J1242" s="1939"/>
      <c r="K1242" s="1864"/>
      <c r="L1242" s="1940"/>
      <c r="M1242" s="1941"/>
    </row>
    <row r="1243" spans="1:13">
      <c r="A1243" s="1901"/>
      <c r="B1243" s="1755" t="s">
        <v>492</v>
      </c>
      <c r="C1243" s="1755" t="s">
        <v>2797</v>
      </c>
      <c r="D1243" s="1961"/>
      <c r="E1243" s="1942">
        <v>0</v>
      </c>
      <c r="F1243" s="1806" t="s">
        <v>37</v>
      </c>
      <c r="G1243" s="1943">
        <v>520</v>
      </c>
      <c r="H1243" s="1861">
        <f>E1243*G1243</f>
        <v>0</v>
      </c>
      <c r="I1243" s="1944">
        <v>270</v>
      </c>
      <c r="J1243" s="1939">
        <f>E1243*I1243</f>
        <v>0</v>
      </c>
      <c r="K1243" s="1864">
        <f t="shared" ref="K1243" si="688">H1243+J1243</f>
        <v>0</v>
      </c>
      <c r="L1243" s="1948"/>
      <c r="M1243" s="1941"/>
    </row>
    <row r="1244" spans="1:13">
      <c r="A1244" s="1901"/>
      <c r="B1244" s="1755"/>
      <c r="C1244" s="1755" t="s">
        <v>2798</v>
      </c>
      <c r="D1244" s="1961"/>
      <c r="E1244" s="1860">
        <v>0</v>
      </c>
      <c r="F1244" s="1860"/>
      <c r="G1244" s="1943"/>
      <c r="H1244" s="1861"/>
      <c r="I1244" s="1944"/>
      <c r="J1244" s="1939"/>
      <c r="K1244" s="1864"/>
      <c r="L1244" s="1940"/>
      <c r="M1244" s="1941"/>
    </row>
    <row r="1245" spans="1:13">
      <c r="A1245" s="1901"/>
      <c r="B1245" s="1755"/>
      <c r="C1245" s="1755" t="s">
        <v>493</v>
      </c>
      <c r="D1245" s="1961"/>
      <c r="E1245" s="1860"/>
      <c r="F1245" s="1860"/>
      <c r="G1245" s="1943"/>
      <c r="H1245" s="1861"/>
      <c r="I1245" s="1944"/>
      <c r="J1245" s="1939"/>
      <c r="K1245" s="1864"/>
      <c r="L1245" s="1940"/>
      <c r="M1245" s="1941"/>
    </row>
    <row r="1246" spans="1:13">
      <c r="A1246" s="1901"/>
      <c r="B1246" s="1755" t="s">
        <v>494</v>
      </c>
      <c r="C1246" s="1755" t="s">
        <v>2799</v>
      </c>
      <c r="D1246" s="1961"/>
      <c r="E1246" s="1942">
        <v>0</v>
      </c>
      <c r="F1246" s="1806" t="s">
        <v>37</v>
      </c>
      <c r="G1246" s="1943">
        <v>256</v>
      </c>
      <c r="H1246" s="1861">
        <f>E1246*G1246</f>
        <v>0</v>
      </c>
      <c r="I1246" s="1944">
        <v>100</v>
      </c>
      <c r="J1246" s="1939">
        <f>E1246*I1246</f>
        <v>0</v>
      </c>
      <c r="K1246" s="1864">
        <f>H1246+J1246</f>
        <v>0</v>
      </c>
      <c r="L1246" s="2299"/>
      <c r="M1246" s="1941"/>
    </row>
    <row r="1247" spans="1:13">
      <c r="A1247" s="1901"/>
      <c r="B1247" s="1755"/>
      <c r="C1247" s="1755" t="s">
        <v>2800</v>
      </c>
      <c r="D1247" s="1961"/>
      <c r="E1247" s="1860"/>
      <c r="F1247" s="1860"/>
      <c r="G1247" s="1943"/>
      <c r="H1247" s="1861"/>
      <c r="I1247" s="1944"/>
      <c r="J1247" s="1939"/>
      <c r="K1247" s="1864"/>
      <c r="L1247" s="1940"/>
      <c r="M1247" s="1941"/>
    </row>
    <row r="1248" spans="1:13">
      <c r="A1248" s="1901"/>
      <c r="B1248" s="1755"/>
      <c r="C1248" s="1755" t="s">
        <v>495</v>
      </c>
      <c r="D1248" s="1961"/>
      <c r="E1248" s="1860"/>
      <c r="F1248" s="1860"/>
      <c r="G1248" s="1943"/>
      <c r="H1248" s="1861"/>
      <c r="I1248" s="1944"/>
      <c r="J1248" s="1939"/>
      <c r="K1248" s="1864"/>
      <c r="L1248" s="1940"/>
      <c r="M1248" s="1941"/>
    </row>
    <row r="1249" spans="1:13">
      <c r="A1249" s="1901"/>
      <c r="B1249" s="1755"/>
      <c r="C1249" s="1755" t="s">
        <v>496</v>
      </c>
      <c r="D1249" s="1961"/>
      <c r="E1249" s="1860">
        <f>+E1246</f>
        <v>0</v>
      </c>
      <c r="F1249" s="1806" t="s">
        <v>37</v>
      </c>
      <c r="G1249" s="1936">
        <v>520</v>
      </c>
      <c r="H1249" s="1861">
        <f>E1249*G1249</f>
        <v>0</v>
      </c>
      <c r="I1249" s="1938">
        <v>30</v>
      </c>
      <c r="J1249" s="1939">
        <f>E1249*I1249</f>
        <v>0</v>
      </c>
      <c r="K1249" s="1864">
        <f>H1249+J1249</f>
        <v>0</v>
      </c>
      <c r="L1249" s="1940" t="s">
        <v>2881</v>
      </c>
      <c r="M1249" s="1941"/>
    </row>
    <row r="1250" spans="1:13">
      <c r="A1250" s="1901"/>
      <c r="B1250" s="1755" t="s">
        <v>497</v>
      </c>
      <c r="C1250" s="1755" t="s">
        <v>498</v>
      </c>
      <c r="D1250" s="1961"/>
      <c r="E1250" s="1942">
        <v>466</v>
      </c>
      <c r="F1250" s="1806" t="s">
        <v>37</v>
      </c>
      <c r="G1250" s="1936">
        <v>91</v>
      </c>
      <c r="H1250" s="1861">
        <f t="shared" ref="H1250:H1256" si="689">E1250*G1250</f>
        <v>42406</v>
      </c>
      <c r="I1250" s="1938">
        <v>100</v>
      </c>
      <c r="J1250" s="1939">
        <f t="shared" ref="J1250:J1256" si="690">E1250*I1250</f>
        <v>46600</v>
      </c>
      <c r="K1250" s="1864">
        <f t="shared" ref="K1250:K1256" si="691">H1250+J1250</f>
        <v>89006</v>
      </c>
      <c r="L1250" s="1940"/>
      <c r="M1250" s="1941"/>
    </row>
    <row r="1251" spans="1:13">
      <c r="A1251" s="1901"/>
      <c r="B1251" s="1755" t="s">
        <v>499</v>
      </c>
      <c r="C1251" s="1755" t="s">
        <v>500</v>
      </c>
      <c r="D1251" s="1961"/>
      <c r="E1251" s="1942">
        <v>340</v>
      </c>
      <c r="F1251" s="1806" t="s">
        <v>37</v>
      </c>
      <c r="G1251" s="1936">
        <v>294</v>
      </c>
      <c r="H1251" s="1861">
        <f t="shared" si="689"/>
        <v>99960</v>
      </c>
      <c r="I1251" s="1938">
        <v>189</v>
      </c>
      <c r="J1251" s="1939">
        <f t="shared" si="690"/>
        <v>64260</v>
      </c>
      <c r="K1251" s="1864">
        <f t="shared" si="691"/>
        <v>164220</v>
      </c>
      <c r="L1251" s="1940"/>
      <c r="M1251" s="1941"/>
    </row>
    <row r="1252" spans="1:13">
      <c r="A1252" s="1901"/>
      <c r="B1252" s="1755" t="s">
        <v>501</v>
      </c>
      <c r="C1252" s="1867" t="s">
        <v>502</v>
      </c>
      <c r="D1252" s="1868"/>
      <c r="E1252" s="1942">
        <v>0</v>
      </c>
      <c r="F1252" s="119" t="s">
        <v>37</v>
      </c>
      <c r="G1252" s="2294">
        <v>608</v>
      </c>
      <c r="H1252" s="1882">
        <f t="shared" si="689"/>
        <v>0</v>
      </c>
      <c r="I1252" s="1951">
        <v>189</v>
      </c>
      <c r="J1252" s="1876">
        <f t="shared" si="690"/>
        <v>0</v>
      </c>
      <c r="K1252" s="1890">
        <f t="shared" si="691"/>
        <v>0</v>
      </c>
      <c r="L1252" s="1940"/>
      <c r="M1252" s="1941"/>
    </row>
    <row r="1253" spans="1:13">
      <c r="A1253" s="1901"/>
      <c r="B1253" s="1755" t="s">
        <v>2918</v>
      </c>
      <c r="C1253" s="1867" t="s">
        <v>502</v>
      </c>
      <c r="D1253" s="1868"/>
      <c r="E1253" s="1942">
        <v>635</v>
      </c>
      <c r="F1253" s="67" t="s">
        <v>37</v>
      </c>
      <c r="G1253" s="2294">
        <v>399</v>
      </c>
      <c r="H1253" s="1882">
        <f t="shared" si="689"/>
        <v>253365</v>
      </c>
      <c r="I1253" s="1951">
        <v>189</v>
      </c>
      <c r="J1253" s="1876">
        <f t="shared" si="690"/>
        <v>120015</v>
      </c>
      <c r="K1253" s="1890">
        <f t="shared" si="691"/>
        <v>373380</v>
      </c>
      <c r="L1253" s="1940"/>
      <c r="M1253" s="1941"/>
    </row>
    <row r="1254" spans="1:13">
      <c r="A1254" s="1901"/>
      <c r="B1254" s="1755" t="s">
        <v>503</v>
      </c>
      <c r="C1254" s="1867" t="s">
        <v>2801</v>
      </c>
      <c r="D1254" s="1868"/>
      <c r="E1254" s="1942">
        <v>0</v>
      </c>
      <c r="F1254" s="1806" t="s">
        <v>37</v>
      </c>
      <c r="G1254" s="1936">
        <v>88</v>
      </c>
      <c r="H1254" s="1861">
        <f t="shared" si="689"/>
        <v>0</v>
      </c>
      <c r="I1254" s="1938">
        <v>82</v>
      </c>
      <c r="J1254" s="1939">
        <f t="shared" si="690"/>
        <v>0</v>
      </c>
      <c r="K1254" s="1864">
        <f t="shared" si="691"/>
        <v>0</v>
      </c>
      <c r="L1254" s="1940" t="s">
        <v>2882</v>
      </c>
      <c r="M1254" s="1941"/>
    </row>
    <row r="1255" spans="1:13">
      <c r="A1255" s="1901"/>
      <c r="B1255" s="1755"/>
      <c r="C1255" s="1867" t="s">
        <v>504</v>
      </c>
      <c r="D1255" s="1868"/>
      <c r="E1255" s="1942">
        <v>0</v>
      </c>
      <c r="F1255" s="1806" t="s">
        <v>37</v>
      </c>
      <c r="G1255" s="2297">
        <v>69</v>
      </c>
      <c r="H1255" s="1861">
        <f t="shared" si="689"/>
        <v>0</v>
      </c>
      <c r="I1255" s="2301">
        <v>28</v>
      </c>
      <c r="J1255" s="1939">
        <f t="shared" si="690"/>
        <v>0</v>
      </c>
      <c r="K1255" s="1864">
        <f t="shared" si="691"/>
        <v>0</v>
      </c>
      <c r="L1255" s="1940"/>
      <c r="M1255" s="1941"/>
    </row>
    <row r="1256" spans="1:13">
      <c r="A1256" s="1901"/>
      <c r="B1256" s="1755" t="s">
        <v>505</v>
      </c>
      <c r="C1256" s="1867" t="s">
        <v>502</v>
      </c>
      <c r="D1256" s="1868"/>
      <c r="E1256" s="1942">
        <v>0</v>
      </c>
      <c r="F1256" s="1806" t="s">
        <v>37</v>
      </c>
      <c r="G1256" s="1936">
        <v>870</v>
      </c>
      <c r="H1256" s="1861">
        <f t="shared" si="689"/>
        <v>0</v>
      </c>
      <c r="I1256" s="1938">
        <v>242</v>
      </c>
      <c r="J1256" s="1939">
        <f t="shared" si="690"/>
        <v>0</v>
      </c>
      <c r="K1256" s="1864">
        <f t="shared" si="691"/>
        <v>0</v>
      </c>
      <c r="L1256" s="1940"/>
      <c r="M1256" s="1941"/>
    </row>
    <row r="1257" spans="1:13">
      <c r="A1257" s="1901"/>
      <c r="B1257" s="1755"/>
      <c r="C1257" s="1867" t="s">
        <v>506</v>
      </c>
      <c r="D1257" s="1868"/>
      <c r="E1257" s="1860"/>
      <c r="F1257" s="1860"/>
      <c r="G1257" s="1943"/>
      <c r="H1257" s="1861"/>
      <c r="I1257" s="1944"/>
      <c r="J1257" s="1939"/>
      <c r="K1257" s="1864"/>
      <c r="L1257" s="1940"/>
      <c r="M1257" s="1866"/>
    </row>
    <row r="1258" spans="1:13">
      <c r="A1258" s="1901"/>
      <c r="B1258" s="1755"/>
      <c r="C1258" s="1867"/>
      <c r="D1258" s="1868"/>
      <c r="E1258" s="1860"/>
      <c r="F1258" s="1860"/>
      <c r="G1258" s="1943"/>
      <c r="H1258" s="1861"/>
      <c r="I1258" s="1944"/>
      <c r="J1258" s="1939"/>
      <c r="K1258" s="1864"/>
      <c r="L1258" s="1940"/>
      <c r="M1258" s="1866"/>
    </row>
    <row r="1259" spans="1:13">
      <c r="A1259" s="1901"/>
      <c r="B1259" s="1755" t="s">
        <v>2919</v>
      </c>
      <c r="C1259" s="1867" t="s">
        <v>502</v>
      </c>
      <c r="D1259" s="1868"/>
      <c r="E1259" s="1942">
        <v>47</v>
      </c>
      <c r="F1259" s="1806" t="s">
        <v>37</v>
      </c>
      <c r="G1259" s="1953">
        <v>765</v>
      </c>
      <c r="H1259" s="1882">
        <f>E1259*G1259</f>
        <v>35955</v>
      </c>
      <c r="I1259" s="1951">
        <v>242</v>
      </c>
      <c r="J1259" s="1939">
        <f t="shared" ref="J1259" si="692">E1259*I1259</f>
        <v>11374</v>
      </c>
      <c r="K1259" s="1864">
        <f t="shared" ref="K1259" si="693">H1259+J1259</f>
        <v>47329</v>
      </c>
      <c r="L1259" s="1940"/>
      <c r="M1259" s="1941"/>
    </row>
    <row r="1260" spans="1:13">
      <c r="A1260" s="1901"/>
      <c r="B1260" s="1755"/>
      <c r="C1260" s="1867" t="s">
        <v>506</v>
      </c>
      <c r="D1260" s="1868"/>
      <c r="E1260" s="1860"/>
      <c r="F1260" s="1860"/>
      <c r="G1260" s="1943"/>
      <c r="H1260" s="1861"/>
      <c r="I1260" s="1944"/>
      <c r="J1260" s="1939"/>
      <c r="K1260" s="1864"/>
      <c r="L1260" s="1940"/>
      <c r="M1260" s="1941"/>
    </row>
    <row r="1261" spans="1:13">
      <c r="A1261" s="1901"/>
      <c r="B1261" s="1755" t="s">
        <v>507</v>
      </c>
      <c r="C1261" s="1755" t="s">
        <v>508</v>
      </c>
      <c r="D1261" s="1961"/>
      <c r="E1261" s="1942">
        <v>0</v>
      </c>
      <c r="F1261" s="1806" t="s">
        <v>37</v>
      </c>
      <c r="G1261" s="1936">
        <v>0</v>
      </c>
      <c r="H1261" s="1861">
        <f t="shared" ref="H1261:H1262" si="694">E1261*G1261</f>
        <v>0</v>
      </c>
      <c r="I1261" s="1938">
        <v>0</v>
      </c>
      <c r="J1261" s="1939">
        <f t="shared" ref="J1261:J1262" si="695">E1261*I1261</f>
        <v>0</v>
      </c>
      <c r="K1261" s="1864">
        <f t="shared" ref="K1261:K1262" si="696">H1261+J1261</f>
        <v>0</v>
      </c>
      <c r="L1261" s="1940"/>
      <c r="M1261" s="1941"/>
    </row>
    <row r="1262" spans="1:13">
      <c r="A1262" s="1901"/>
      <c r="B1262" s="1755" t="s">
        <v>510</v>
      </c>
      <c r="C1262" s="1755" t="s">
        <v>2802</v>
      </c>
      <c r="D1262" s="1961"/>
      <c r="E1262" s="1942">
        <v>0</v>
      </c>
      <c r="F1262" s="1806" t="s">
        <v>37</v>
      </c>
      <c r="G1262" s="1936">
        <v>1296</v>
      </c>
      <c r="H1262" s="1861">
        <f t="shared" si="694"/>
        <v>0</v>
      </c>
      <c r="I1262" s="1938">
        <v>1600</v>
      </c>
      <c r="J1262" s="1939">
        <f t="shared" si="695"/>
        <v>0</v>
      </c>
      <c r="K1262" s="1864">
        <f t="shared" si="696"/>
        <v>0</v>
      </c>
      <c r="L1262" s="1940"/>
      <c r="M1262" s="1941"/>
    </row>
    <row r="1263" spans="1:13">
      <c r="A1263" s="1901"/>
      <c r="B1263" s="1755"/>
      <c r="C1263" s="1755" t="s">
        <v>512</v>
      </c>
      <c r="D1263" s="1961"/>
      <c r="E1263" s="1860"/>
      <c r="F1263" s="1860"/>
      <c r="G1263" s="1936"/>
      <c r="H1263" s="1937"/>
      <c r="I1263" s="1938"/>
      <c r="J1263" s="1939"/>
      <c r="K1263" s="1864"/>
      <c r="L1263" s="1940"/>
      <c r="M1263" s="1941"/>
    </row>
    <row r="1264" spans="1:13">
      <c r="A1264" s="1901"/>
      <c r="B1264" s="1755" t="s">
        <v>513</v>
      </c>
      <c r="C1264" s="1755" t="s">
        <v>514</v>
      </c>
      <c r="D1264" s="1961"/>
      <c r="E1264" s="1942">
        <v>0</v>
      </c>
      <c r="F1264" s="1806" t="s">
        <v>37</v>
      </c>
      <c r="G1264" s="1936">
        <v>1090</v>
      </c>
      <c r="H1264" s="1861">
        <f t="shared" ref="H1264:H1265" si="697">E1264*G1264</f>
        <v>0</v>
      </c>
      <c r="I1264" s="1938">
        <v>900</v>
      </c>
      <c r="J1264" s="1939">
        <f t="shared" ref="J1264:J1265" si="698">E1264*I1264</f>
        <v>0</v>
      </c>
      <c r="K1264" s="1864">
        <f t="shared" ref="K1264:K1265" si="699">H1264+J1264</f>
        <v>0</v>
      </c>
      <c r="L1264" s="1940"/>
      <c r="M1264" s="1941"/>
    </row>
    <row r="1265" spans="1:13">
      <c r="A1265" s="1901"/>
      <c r="B1265" s="1755" t="s">
        <v>515</v>
      </c>
      <c r="C1265" s="1867" t="s">
        <v>2905</v>
      </c>
      <c r="D1265" s="1868"/>
      <c r="E1265" s="1942">
        <v>0</v>
      </c>
      <c r="F1265" s="1806" t="s">
        <v>37</v>
      </c>
      <c r="G1265" s="1936">
        <v>1600</v>
      </c>
      <c r="H1265" s="1861">
        <f t="shared" si="697"/>
        <v>0</v>
      </c>
      <c r="I1265" s="1938">
        <v>500</v>
      </c>
      <c r="J1265" s="1939">
        <f t="shared" si="698"/>
        <v>0</v>
      </c>
      <c r="K1265" s="1864">
        <f t="shared" si="699"/>
        <v>0</v>
      </c>
      <c r="L1265" s="1940"/>
      <c r="M1265" s="2300"/>
    </row>
    <row r="1266" spans="1:13">
      <c r="A1266" s="1901"/>
      <c r="B1266" s="1755"/>
      <c r="C1266" s="1867" t="s">
        <v>517</v>
      </c>
      <c r="D1266" s="1868"/>
      <c r="E1266" s="1942"/>
      <c r="F1266" s="1806"/>
      <c r="G1266" s="1936"/>
      <c r="H1266" s="1937"/>
      <c r="I1266" s="1938"/>
      <c r="J1266" s="1939"/>
      <c r="K1266" s="1864"/>
      <c r="L1266" s="1940"/>
      <c r="M1266" s="1941"/>
    </row>
    <row r="1267" spans="1:13">
      <c r="A1267" s="1901"/>
      <c r="B1267" s="1755"/>
      <c r="C1267" s="1755"/>
      <c r="D1267" s="1755"/>
      <c r="E1267" s="1942"/>
      <c r="F1267" s="1806"/>
      <c r="G1267" s="1936"/>
      <c r="H1267" s="1937"/>
      <c r="I1267" s="1938"/>
      <c r="J1267" s="1939"/>
      <c r="K1267" s="1864"/>
      <c r="L1267" s="1940"/>
      <c r="M1267" s="1941"/>
    </row>
    <row r="1268" spans="1:13">
      <c r="A1268" s="1901"/>
      <c r="B1268" s="1755" t="s">
        <v>518</v>
      </c>
      <c r="C1268" s="1755" t="s">
        <v>519</v>
      </c>
      <c r="D1268" s="1961"/>
      <c r="E1268" s="1942">
        <v>0</v>
      </c>
      <c r="F1268" s="1806" t="s">
        <v>37</v>
      </c>
      <c r="G1268" s="1936">
        <v>2540</v>
      </c>
      <c r="H1268" s="1861">
        <f t="shared" ref="H1268" si="700">E1268*G1268</f>
        <v>0</v>
      </c>
      <c r="I1268" s="1938">
        <v>700</v>
      </c>
      <c r="J1268" s="1939">
        <f t="shared" ref="J1268" si="701">E1268*I1268</f>
        <v>0</v>
      </c>
      <c r="K1268" s="1864">
        <f t="shared" ref="K1268" si="702">H1268+J1268</f>
        <v>0</v>
      </c>
      <c r="L1268" s="1940"/>
      <c r="M1268" s="1941"/>
    </row>
    <row r="1269" spans="1:13">
      <c r="A1269" s="1901"/>
      <c r="B1269" s="1755"/>
      <c r="C1269" s="1755" t="s">
        <v>520</v>
      </c>
      <c r="D1269" s="1961"/>
      <c r="E1269" s="1942"/>
      <c r="F1269" s="1806"/>
      <c r="G1269" s="1936"/>
      <c r="H1269" s="1937"/>
      <c r="I1269" s="1938"/>
      <c r="J1269" s="1939"/>
      <c r="K1269" s="1864"/>
      <c r="L1269" s="1940"/>
      <c r="M1269" s="1941"/>
    </row>
    <row r="1270" spans="1:13">
      <c r="A1270" s="1901"/>
      <c r="B1270" s="1755" t="s">
        <v>521</v>
      </c>
      <c r="C1270" s="1755" t="s">
        <v>522</v>
      </c>
      <c r="D1270" s="1961"/>
      <c r="E1270" s="1942">
        <v>0</v>
      </c>
      <c r="F1270" s="1806" t="s">
        <v>37</v>
      </c>
      <c r="G1270" s="1943">
        <v>15000</v>
      </c>
      <c r="H1270" s="1861">
        <f t="shared" ref="H1270:H1272" si="703">E1270*G1270</f>
        <v>0</v>
      </c>
      <c r="I1270" s="1944">
        <v>500</v>
      </c>
      <c r="J1270" s="1939">
        <f t="shared" ref="J1270:J1272" si="704">E1270*I1270</f>
        <v>0</v>
      </c>
      <c r="K1270" s="1864">
        <f t="shared" ref="K1270:K1272" si="705">H1270+J1270</f>
        <v>0</v>
      </c>
      <c r="L1270" s="1865"/>
    </row>
    <row r="1271" spans="1:13">
      <c r="A1271" s="1782"/>
      <c r="B1271" s="1755" t="s">
        <v>523</v>
      </c>
      <c r="C1271" s="1755" t="s">
        <v>524</v>
      </c>
      <c r="D1271" s="1961"/>
      <c r="E1271" s="1942">
        <v>290</v>
      </c>
      <c r="F1271" s="1806" t="s">
        <v>37</v>
      </c>
      <c r="G1271" s="1936">
        <v>88</v>
      </c>
      <c r="H1271" s="1861">
        <f t="shared" si="703"/>
        <v>25520</v>
      </c>
      <c r="I1271" s="1938">
        <v>82</v>
      </c>
      <c r="J1271" s="1939">
        <f t="shared" si="704"/>
        <v>23780</v>
      </c>
      <c r="K1271" s="1864">
        <f t="shared" si="705"/>
        <v>49300</v>
      </c>
      <c r="L1271" s="1940" t="s">
        <v>2883</v>
      </c>
    </row>
    <row r="1272" spans="1:13">
      <c r="A1272" s="1782"/>
      <c r="B1272" s="1755" t="s">
        <v>525</v>
      </c>
      <c r="C1272" s="1755" t="s">
        <v>526</v>
      </c>
      <c r="D1272" s="1961"/>
      <c r="E1272" s="1942">
        <v>0</v>
      </c>
      <c r="F1272" s="1806" t="s">
        <v>37</v>
      </c>
      <c r="G1272" s="1936">
        <v>1955</v>
      </c>
      <c r="H1272" s="1861">
        <f t="shared" si="703"/>
        <v>0</v>
      </c>
      <c r="I1272" s="1938">
        <v>1700</v>
      </c>
      <c r="J1272" s="1939">
        <f t="shared" si="704"/>
        <v>0</v>
      </c>
      <c r="K1272" s="1864">
        <f t="shared" si="705"/>
        <v>0</v>
      </c>
      <c r="L1272" s="1940"/>
    </row>
    <row r="1273" spans="1:13">
      <c r="A1273" s="1782"/>
      <c r="B1273" s="1755"/>
      <c r="C1273" s="1755" t="s">
        <v>2804</v>
      </c>
      <c r="D1273" s="1961"/>
      <c r="E1273" s="1942"/>
      <c r="F1273" s="1806"/>
      <c r="G1273" s="1936"/>
      <c r="H1273" s="1937"/>
      <c r="I1273" s="1938"/>
      <c r="J1273" s="1939"/>
      <c r="K1273" s="1864"/>
      <c r="L1273" s="1940"/>
    </row>
    <row r="1274" spans="1:13">
      <c r="A1274" s="1782"/>
      <c r="B1274" s="1755"/>
      <c r="C1274" s="1755" t="s">
        <v>527</v>
      </c>
      <c r="D1274" s="1961"/>
      <c r="E1274" s="1942"/>
      <c r="F1274" s="1806"/>
      <c r="G1274" s="1943">
        <v>165</v>
      </c>
      <c r="H1274" s="1861">
        <f t="shared" ref="H1274:H1275" si="706">E1274*G1274</f>
        <v>0</v>
      </c>
      <c r="I1274" s="1944">
        <v>25</v>
      </c>
      <c r="J1274" s="1939">
        <f t="shared" ref="J1274:J1275" si="707">E1274*I1274</f>
        <v>0</v>
      </c>
      <c r="K1274" s="1864">
        <f t="shared" ref="K1274:K1275" si="708">H1274+J1274</f>
        <v>0</v>
      </c>
      <c r="L1274" s="1940"/>
    </row>
    <row r="1275" spans="1:13">
      <c r="A1275" s="1782"/>
      <c r="B1275" s="1755" t="s">
        <v>528</v>
      </c>
      <c r="C1275" s="1755" t="s">
        <v>526</v>
      </c>
      <c r="D1275" s="1961"/>
      <c r="E1275" s="1942">
        <v>0</v>
      </c>
      <c r="F1275" s="1806" t="s">
        <v>37</v>
      </c>
      <c r="G1275" s="1936">
        <v>1296</v>
      </c>
      <c r="H1275" s="1861">
        <f t="shared" si="706"/>
        <v>0</v>
      </c>
      <c r="I1275" s="1938">
        <v>1600</v>
      </c>
      <c r="J1275" s="1939">
        <f t="shared" si="707"/>
        <v>0</v>
      </c>
      <c r="K1275" s="1864">
        <f t="shared" si="708"/>
        <v>0</v>
      </c>
      <c r="L1275" s="1940"/>
    </row>
    <row r="1276" spans="1:13">
      <c r="A1276" s="1782"/>
      <c r="B1276" s="1755"/>
      <c r="C1276" s="1755" t="s">
        <v>2804</v>
      </c>
      <c r="D1276" s="1961"/>
      <c r="E1276" s="1942"/>
      <c r="F1276" s="1806"/>
      <c r="G1276" s="1936"/>
      <c r="H1276" s="1937"/>
      <c r="I1276" s="1938"/>
      <c r="J1276" s="1939"/>
      <c r="K1276" s="1864"/>
      <c r="L1276" s="1940"/>
    </row>
    <row r="1277" spans="1:13">
      <c r="A1277" s="1782"/>
      <c r="B1277" s="1755"/>
      <c r="C1277" s="1755" t="s">
        <v>527</v>
      </c>
      <c r="D1277" s="1961"/>
      <c r="E1277" s="1942"/>
      <c r="F1277" s="1806"/>
      <c r="G1277" s="1943">
        <v>165</v>
      </c>
      <c r="H1277" s="1861">
        <f t="shared" ref="H1277:H1278" si="709">E1277*G1277</f>
        <v>0</v>
      </c>
      <c r="I1277" s="1944">
        <v>25</v>
      </c>
      <c r="J1277" s="1939">
        <f t="shared" ref="J1277:J1278" si="710">E1277*I1277</f>
        <v>0</v>
      </c>
      <c r="K1277" s="1864">
        <f t="shared" ref="K1277:K1278" si="711">H1277+J1277</f>
        <v>0</v>
      </c>
      <c r="L1277" s="1940"/>
    </row>
    <row r="1278" spans="1:13">
      <c r="A1278" s="1782"/>
      <c r="B1278" s="1755" t="s">
        <v>529</v>
      </c>
      <c r="C1278" s="1755" t="s">
        <v>526</v>
      </c>
      <c r="D1278" s="1961"/>
      <c r="E1278" s="1942">
        <v>0</v>
      </c>
      <c r="F1278" s="1806" t="s">
        <v>37</v>
      </c>
      <c r="G1278" s="1936">
        <v>5900</v>
      </c>
      <c r="H1278" s="1861">
        <f t="shared" si="709"/>
        <v>0</v>
      </c>
      <c r="I1278" s="1938">
        <v>1200</v>
      </c>
      <c r="J1278" s="1939">
        <f t="shared" si="710"/>
        <v>0</v>
      </c>
      <c r="K1278" s="1864">
        <f t="shared" si="711"/>
        <v>0</v>
      </c>
      <c r="L1278" s="1940"/>
    </row>
    <row r="1279" spans="1:13">
      <c r="A1279" s="1782"/>
      <c r="B1279" s="1755"/>
      <c r="C1279" s="1755" t="s">
        <v>2804</v>
      </c>
      <c r="D1279" s="1961"/>
      <c r="E1279" s="1942"/>
      <c r="F1279" s="1806"/>
      <c r="G1279" s="1936"/>
      <c r="H1279" s="1937"/>
      <c r="I1279" s="1938"/>
      <c r="J1279" s="1939"/>
      <c r="K1279" s="1864"/>
      <c r="L1279" s="1940"/>
    </row>
    <row r="1280" spans="1:13">
      <c r="A1280" s="1782"/>
      <c r="B1280" s="1755" t="s">
        <v>530</v>
      </c>
      <c r="C1280" s="1755" t="s">
        <v>526</v>
      </c>
      <c r="D1280" s="1961"/>
      <c r="E1280" s="1942">
        <v>0</v>
      </c>
      <c r="F1280" s="1806" t="s">
        <v>37</v>
      </c>
      <c r="G1280" s="1936">
        <v>6000</v>
      </c>
      <c r="H1280" s="1861">
        <f t="shared" ref="H1280" si="712">E1280*G1280</f>
        <v>0</v>
      </c>
      <c r="I1280" s="1938">
        <v>1550</v>
      </c>
      <c r="J1280" s="1939">
        <f t="shared" ref="J1280" si="713">E1280*I1280</f>
        <v>0</v>
      </c>
      <c r="K1280" s="1864">
        <f t="shared" ref="K1280" si="714">H1280+J1280</f>
        <v>0</v>
      </c>
      <c r="L1280" s="1940"/>
    </row>
    <row r="1281" spans="1:24">
      <c r="A1281" s="1782"/>
      <c r="B1281" s="1755"/>
      <c r="C1281" s="1755" t="s">
        <v>2805</v>
      </c>
      <c r="D1281" s="1961"/>
      <c r="E1281" s="1942"/>
      <c r="F1281" s="1806"/>
      <c r="G1281" s="1936"/>
      <c r="H1281" s="1937"/>
      <c r="I1281" s="1938"/>
      <c r="J1281" s="1939"/>
      <c r="K1281" s="1864"/>
      <c r="L1281" s="1940"/>
    </row>
    <row r="1282" spans="1:24">
      <c r="A1282" s="1782"/>
      <c r="B1282" s="1755" t="s">
        <v>531</v>
      </c>
      <c r="C1282" s="1755" t="s">
        <v>532</v>
      </c>
      <c r="D1282" s="1961"/>
      <c r="E1282" s="1942">
        <v>0</v>
      </c>
      <c r="F1282" s="1806" t="s">
        <v>37</v>
      </c>
      <c r="G1282" s="2297">
        <f>13+69</f>
        <v>82</v>
      </c>
      <c r="H1282" s="1861">
        <f t="shared" ref="H1282:H1283" si="715">E1282*G1282</f>
        <v>0</v>
      </c>
      <c r="I1282" s="2301">
        <f>30+28</f>
        <v>58</v>
      </c>
      <c r="J1282" s="1939">
        <f t="shared" ref="J1282:J1283" si="716">E1282*I1282</f>
        <v>0</v>
      </c>
      <c r="K1282" s="1864">
        <f t="shared" ref="K1282:K1283" si="717">H1282+J1282</f>
        <v>0</v>
      </c>
      <c r="L1282" s="2299"/>
    </row>
    <row r="1283" spans="1:24">
      <c r="A1283" s="1782"/>
      <c r="B1283" s="1755" t="s">
        <v>533</v>
      </c>
      <c r="C1283" s="1755" t="s">
        <v>534</v>
      </c>
      <c r="D1283" s="1961"/>
      <c r="E1283" s="1942">
        <v>0</v>
      </c>
      <c r="F1283" s="1806" t="s">
        <v>37</v>
      </c>
      <c r="G1283" s="1936">
        <v>0</v>
      </c>
      <c r="H1283" s="1861">
        <f t="shared" si="715"/>
        <v>0</v>
      </c>
      <c r="I1283" s="1938">
        <v>0</v>
      </c>
      <c r="J1283" s="1939">
        <f t="shared" si="716"/>
        <v>0</v>
      </c>
      <c r="K1283" s="1864">
        <f t="shared" si="717"/>
        <v>0</v>
      </c>
      <c r="L1283" s="1940"/>
    </row>
    <row r="1284" spans="1:24">
      <c r="A1284" s="1782"/>
      <c r="B1284" s="1755"/>
      <c r="C1284" s="1755" t="s">
        <v>535</v>
      </c>
      <c r="D1284" s="1961"/>
      <c r="E1284" s="1942"/>
      <c r="F1284" s="1806"/>
      <c r="G1284" s="1936"/>
      <c r="H1284" s="1937"/>
      <c r="I1284" s="1938"/>
      <c r="J1284" s="1939"/>
      <c r="K1284" s="1864"/>
      <c r="L1284" s="1940"/>
      <c r="N1284" s="1797">
        <f>SUM(K1202:K1283)</f>
        <v>4060755.33</v>
      </c>
    </row>
    <row r="1285" spans="1:24" ht="24" customHeight="1">
      <c r="A1285" s="1933" t="s">
        <v>558</v>
      </c>
      <c r="B1285" s="1908" t="s">
        <v>559</v>
      </c>
      <c r="C1285" s="1850"/>
      <c r="D1285" s="1969"/>
      <c r="E1285" s="1852"/>
      <c r="F1285" s="1806"/>
      <c r="G1285" s="1966"/>
      <c r="H1285" s="1854"/>
      <c r="I1285" s="1893"/>
      <c r="J1285" s="1856"/>
      <c r="K1285" s="1857"/>
      <c r="L1285" s="1899"/>
      <c r="N1285" s="1837"/>
      <c r="O1285" s="1837"/>
      <c r="P1285" s="1837"/>
      <c r="Q1285" s="1837"/>
      <c r="R1285" s="1837"/>
      <c r="S1285" s="1837"/>
      <c r="T1285" s="1837"/>
      <c r="U1285" s="1837"/>
      <c r="V1285" s="1837"/>
      <c r="W1285" s="1837"/>
      <c r="X1285" s="1837"/>
    </row>
    <row r="1286" spans="1:24">
      <c r="A1286" s="1901"/>
      <c r="B1286" s="1783"/>
      <c r="C1286" s="1755" t="s">
        <v>538</v>
      </c>
      <c r="D1286" s="1970"/>
      <c r="E1286" s="1860">
        <v>3488</v>
      </c>
      <c r="F1286" s="1806" t="s">
        <v>37</v>
      </c>
      <c r="G1286" s="1936">
        <v>281</v>
      </c>
      <c r="H1286" s="1937">
        <f>E1286*G1286</f>
        <v>980128</v>
      </c>
      <c r="I1286" s="1938">
        <v>80</v>
      </c>
      <c r="J1286" s="1939">
        <f>E1286*I1286</f>
        <v>279040</v>
      </c>
      <c r="K1286" s="1864">
        <f>H1286+J1286</f>
        <v>1259168</v>
      </c>
      <c r="L1286" s="1940"/>
      <c r="M1286" s="1941"/>
    </row>
    <row r="1287" spans="1:24">
      <c r="A1287" s="1901"/>
      <c r="B1287" s="1783"/>
      <c r="C1287" s="1755" t="s">
        <v>539</v>
      </c>
      <c r="D1287" s="1970"/>
      <c r="E1287" s="1860">
        <f>+E1334</f>
        <v>0</v>
      </c>
      <c r="F1287" s="1806" t="s">
        <v>37</v>
      </c>
      <c r="G1287" s="1936">
        <v>712</v>
      </c>
      <c r="H1287" s="1937">
        <f t="shared" ref="H1287:H1302" si="718">E1287*G1287</f>
        <v>0</v>
      </c>
      <c r="I1287" s="1938">
        <v>98</v>
      </c>
      <c r="J1287" s="1939">
        <f t="shared" ref="J1287:J1302" si="719">E1287*I1287</f>
        <v>0</v>
      </c>
      <c r="K1287" s="1864">
        <f t="shared" ref="K1287:K1302" si="720">H1287+J1287</f>
        <v>0</v>
      </c>
      <c r="L1287" s="1940"/>
      <c r="M1287" s="1941"/>
    </row>
    <row r="1288" spans="1:24">
      <c r="A1288" s="1901"/>
      <c r="B1288" s="1783"/>
      <c r="C1288" s="1755" t="s">
        <v>470</v>
      </c>
      <c r="D1288" s="1970"/>
      <c r="E1288" s="1860">
        <f>+E1286*1.33</f>
        <v>4639.04</v>
      </c>
      <c r="F1288" s="1806" t="s">
        <v>438</v>
      </c>
      <c r="G1288" s="1936">
        <v>119</v>
      </c>
      <c r="H1288" s="1937">
        <f t="shared" si="718"/>
        <v>552045.76</v>
      </c>
      <c r="I1288" s="1938">
        <v>44</v>
      </c>
      <c r="J1288" s="1939">
        <f t="shared" si="719"/>
        <v>204117.76000000001</v>
      </c>
      <c r="K1288" s="1864">
        <f t="shared" si="720"/>
        <v>756163.52</v>
      </c>
      <c r="L1288" s="1940" t="s">
        <v>2878</v>
      </c>
      <c r="M1288" s="1941"/>
    </row>
    <row r="1289" spans="1:24">
      <c r="A1289" s="1901"/>
      <c r="B1289" s="1783"/>
      <c r="C1289" s="1755" t="s">
        <v>471</v>
      </c>
      <c r="D1289" s="1970"/>
      <c r="E1289" s="1860">
        <f>+E1287*1.33</f>
        <v>0</v>
      </c>
      <c r="F1289" s="1806" t="s">
        <v>438</v>
      </c>
      <c r="G1289" s="1936">
        <v>208</v>
      </c>
      <c r="H1289" s="1937">
        <f t="shared" si="718"/>
        <v>0</v>
      </c>
      <c r="I1289" s="1938">
        <v>78</v>
      </c>
      <c r="J1289" s="1939">
        <f t="shared" si="719"/>
        <v>0</v>
      </c>
      <c r="K1289" s="1864">
        <f t="shared" si="720"/>
        <v>0</v>
      </c>
      <c r="L1289" s="1940" t="s">
        <v>2878</v>
      </c>
      <c r="M1289" s="1941"/>
    </row>
    <row r="1290" spans="1:24">
      <c r="A1290" s="1901"/>
      <c r="B1290" s="1783"/>
      <c r="C1290" s="1755" t="s">
        <v>472</v>
      </c>
      <c r="D1290" s="1970"/>
      <c r="E1290" s="1860">
        <v>0</v>
      </c>
      <c r="F1290" s="1806" t="s">
        <v>37</v>
      </c>
      <c r="G1290" s="1936">
        <v>88</v>
      </c>
      <c r="H1290" s="1937">
        <f t="shared" si="718"/>
        <v>0</v>
      </c>
      <c r="I1290" s="1938">
        <v>82</v>
      </c>
      <c r="J1290" s="1939">
        <f t="shared" si="719"/>
        <v>0</v>
      </c>
      <c r="K1290" s="1864">
        <f t="shared" si="720"/>
        <v>0</v>
      </c>
      <c r="L1290" s="1940" t="s">
        <v>2885</v>
      </c>
      <c r="M1290" s="1941"/>
    </row>
    <row r="1291" spans="1:24">
      <c r="A1291" s="1901"/>
      <c r="B1291" s="1783"/>
      <c r="C1291" s="1755" t="s">
        <v>540</v>
      </c>
      <c r="D1291" s="1970"/>
      <c r="E1291" s="1860">
        <v>5965</v>
      </c>
      <c r="F1291" s="1806" t="s">
        <v>37</v>
      </c>
      <c r="G1291" s="1936">
        <v>88</v>
      </c>
      <c r="H1291" s="1937">
        <f t="shared" si="718"/>
        <v>524920</v>
      </c>
      <c r="I1291" s="1938">
        <v>82</v>
      </c>
      <c r="J1291" s="1939">
        <f t="shared" si="719"/>
        <v>489130</v>
      </c>
      <c r="K1291" s="1864">
        <f t="shared" si="720"/>
        <v>1014050</v>
      </c>
      <c r="L1291" s="1940"/>
      <c r="M1291" s="1941"/>
    </row>
    <row r="1292" spans="1:24">
      <c r="A1292" s="1901"/>
      <c r="B1292" s="1783"/>
      <c r="C1292" s="1755" t="s">
        <v>541</v>
      </c>
      <c r="D1292" s="1970"/>
      <c r="E1292" s="1860">
        <v>617</v>
      </c>
      <c r="F1292" s="1806" t="s">
        <v>37</v>
      </c>
      <c r="G1292" s="1936">
        <v>88</v>
      </c>
      <c r="H1292" s="1937">
        <f t="shared" si="718"/>
        <v>54296</v>
      </c>
      <c r="I1292" s="1938">
        <v>95</v>
      </c>
      <c r="J1292" s="1939">
        <f t="shared" si="719"/>
        <v>58615</v>
      </c>
      <c r="K1292" s="1864">
        <f t="shared" si="720"/>
        <v>112911</v>
      </c>
      <c r="L1292" s="1940"/>
      <c r="M1292" s="1941"/>
    </row>
    <row r="1293" spans="1:24">
      <c r="A1293" s="1901"/>
      <c r="B1293" s="1755" t="s">
        <v>475</v>
      </c>
      <c r="C1293" s="1755" t="s">
        <v>476</v>
      </c>
      <c r="D1293" s="1961"/>
      <c r="E1293" s="1942">
        <v>0</v>
      </c>
      <c r="F1293" s="1806" t="s">
        <v>37</v>
      </c>
      <c r="G1293" s="1936">
        <v>88</v>
      </c>
      <c r="H1293" s="1937">
        <f t="shared" si="718"/>
        <v>0</v>
      </c>
      <c r="I1293" s="1938">
        <v>95</v>
      </c>
      <c r="J1293" s="1939">
        <f t="shared" si="719"/>
        <v>0</v>
      </c>
      <c r="K1293" s="1864">
        <f t="shared" si="720"/>
        <v>0</v>
      </c>
      <c r="L1293" s="1940" t="s">
        <v>2880</v>
      </c>
      <c r="M1293" s="1941"/>
    </row>
    <row r="1294" spans="1:24">
      <c r="A1294" s="1901"/>
      <c r="B1294" s="1755"/>
      <c r="C1294" s="1755" t="s">
        <v>477</v>
      </c>
      <c r="D1294" s="1961"/>
      <c r="E1294" s="1942">
        <f>E1293</f>
        <v>0</v>
      </c>
      <c r="F1294" s="1806" t="s">
        <v>37</v>
      </c>
      <c r="G1294" s="2297">
        <v>69</v>
      </c>
      <c r="H1294" s="1937">
        <f t="shared" si="718"/>
        <v>0</v>
      </c>
      <c r="I1294" s="2298">
        <v>28</v>
      </c>
      <c r="J1294" s="1939">
        <f t="shared" si="719"/>
        <v>0</v>
      </c>
      <c r="K1294" s="1864">
        <f t="shared" si="720"/>
        <v>0</v>
      </c>
      <c r="L1294" s="2299"/>
      <c r="M1294" s="2300"/>
    </row>
    <row r="1295" spans="1:24">
      <c r="A1295" s="1901"/>
      <c r="B1295" s="1755" t="s">
        <v>478</v>
      </c>
      <c r="C1295" s="1755" t="s">
        <v>479</v>
      </c>
      <c r="D1295" s="1961"/>
      <c r="E1295" s="1942">
        <v>0</v>
      </c>
      <c r="F1295" s="1806" t="s">
        <v>37</v>
      </c>
      <c r="G1295" s="1936">
        <v>88</v>
      </c>
      <c r="H1295" s="1937">
        <f t="shared" si="718"/>
        <v>0</v>
      </c>
      <c r="I1295" s="1938">
        <v>82</v>
      </c>
      <c r="J1295" s="1939">
        <f t="shared" si="719"/>
        <v>0</v>
      </c>
      <c r="K1295" s="1864">
        <f t="shared" si="720"/>
        <v>0</v>
      </c>
      <c r="L1295" s="1940"/>
      <c r="M1295" s="1941"/>
    </row>
    <row r="1296" spans="1:24">
      <c r="A1296" s="1901"/>
      <c r="B1296" s="1755" t="s">
        <v>480</v>
      </c>
      <c r="C1296" s="1755" t="s">
        <v>476</v>
      </c>
      <c r="D1296" s="1961"/>
      <c r="E1296" s="1942">
        <v>3828</v>
      </c>
      <c r="F1296" s="1806" t="s">
        <v>37</v>
      </c>
      <c r="G1296" s="1936">
        <v>88</v>
      </c>
      <c r="H1296" s="1937">
        <f t="shared" si="718"/>
        <v>336864</v>
      </c>
      <c r="I1296" s="1938">
        <v>82</v>
      </c>
      <c r="J1296" s="1939">
        <f t="shared" si="719"/>
        <v>313896</v>
      </c>
      <c r="K1296" s="1864">
        <f t="shared" si="720"/>
        <v>650760</v>
      </c>
      <c r="L1296" s="1940" t="s">
        <v>2880</v>
      </c>
      <c r="M1296" s="1941"/>
    </row>
    <row r="1297" spans="1:24">
      <c r="A1297" s="1901"/>
      <c r="B1297" s="1755"/>
      <c r="C1297" s="1755" t="s">
        <v>481</v>
      </c>
      <c r="D1297" s="1961"/>
      <c r="E1297" s="1942">
        <f>E1296</f>
        <v>3828</v>
      </c>
      <c r="F1297" s="1806" t="s">
        <v>37</v>
      </c>
      <c r="G1297" s="2297">
        <v>69</v>
      </c>
      <c r="H1297" s="1937">
        <f t="shared" si="718"/>
        <v>264132</v>
      </c>
      <c r="I1297" s="2298">
        <v>28</v>
      </c>
      <c r="J1297" s="1939">
        <f t="shared" si="719"/>
        <v>107184</v>
      </c>
      <c r="K1297" s="1864">
        <f t="shared" si="720"/>
        <v>371316</v>
      </c>
      <c r="L1297" s="2299"/>
      <c r="M1297" s="2300"/>
    </row>
    <row r="1298" spans="1:24">
      <c r="A1298" s="1901"/>
      <c r="B1298" s="1755" t="s">
        <v>2787</v>
      </c>
      <c r="C1298" s="1755" t="s">
        <v>2788</v>
      </c>
      <c r="D1298" s="1961"/>
      <c r="E1298" s="1942">
        <v>0</v>
      </c>
      <c r="F1298" s="1806" t="s">
        <v>37</v>
      </c>
      <c r="G1298" s="1936">
        <v>103</v>
      </c>
      <c r="H1298" s="1937">
        <f t="shared" si="718"/>
        <v>0</v>
      </c>
      <c r="I1298" s="1938">
        <v>115</v>
      </c>
      <c r="J1298" s="1939">
        <f t="shared" si="719"/>
        <v>0</v>
      </c>
      <c r="K1298" s="1864">
        <f t="shared" si="720"/>
        <v>0</v>
      </c>
      <c r="L1298" s="1940" t="s">
        <v>2880</v>
      </c>
      <c r="M1298" s="1941"/>
    </row>
    <row r="1299" spans="1:24">
      <c r="A1299" s="1901"/>
      <c r="B1299" s="1755"/>
      <c r="C1299" s="1755" t="s">
        <v>482</v>
      </c>
      <c r="D1299" s="1961"/>
      <c r="E1299" s="1942">
        <f>E1298</f>
        <v>0</v>
      </c>
      <c r="F1299" s="1806" t="s">
        <v>37</v>
      </c>
      <c r="G1299" s="2297">
        <v>69</v>
      </c>
      <c r="H1299" s="1937">
        <f t="shared" si="718"/>
        <v>0</v>
      </c>
      <c r="I1299" s="2298">
        <v>28</v>
      </c>
      <c r="J1299" s="1939">
        <f t="shared" si="719"/>
        <v>0</v>
      </c>
      <c r="K1299" s="1864">
        <f t="shared" si="720"/>
        <v>0</v>
      </c>
      <c r="L1299" s="2299"/>
      <c r="M1299" s="2300"/>
    </row>
    <row r="1300" spans="1:24">
      <c r="A1300" s="1901"/>
      <c r="B1300" s="1755" t="s">
        <v>483</v>
      </c>
      <c r="C1300" s="1755" t="s">
        <v>484</v>
      </c>
      <c r="D1300" s="1961"/>
      <c r="E1300" s="1942">
        <v>0</v>
      </c>
      <c r="F1300" s="1806" t="s">
        <v>37</v>
      </c>
      <c r="G1300" s="1943">
        <v>1500</v>
      </c>
      <c r="H1300" s="1937">
        <f t="shared" si="718"/>
        <v>0</v>
      </c>
      <c r="I1300" s="1944">
        <v>500</v>
      </c>
      <c r="J1300" s="1939">
        <f t="shared" si="719"/>
        <v>0</v>
      </c>
      <c r="K1300" s="1864">
        <f t="shared" si="720"/>
        <v>0</v>
      </c>
      <c r="L1300" s="1865"/>
      <c r="M1300" s="1866"/>
    </row>
    <row r="1301" spans="1:24">
      <c r="A1301" s="1901"/>
      <c r="B1301" s="1755"/>
      <c r="C1301" s="1755" t="s">
        <v>482</v>
      </c>
      <c r="D1301" s="1961"/>
      <c r="E1301" s="1942">
        <v>0</v>
      </c>
      <c r="F1301" s="1806" t="s">
        <v>37</v>
      </c>
      <c r="G1301" s="2297">
        <v>69</v>
      </c>
      <c r="H1301" s="1937">
        <f t="shared" si="718"/>
        <v>0</v>
      </c>
      <c r="I1301" s="2298">
        <v>28</v>
      </c>
      <c r="J1301" s="1939">
        <f t="shared" si="719"/>
        <v>0</v>
      </c>
      <c r="K1301" s="1864">
        <f t="shared" si="720"/>
        <v>0</v>
      </c>
      <c r="L1301" s="2299"/>
      <c r="M1301" s="2300"/>
    </row>
    <row r="1302" spans="1:24">
      <c r="A1302" s="1901"/>
      <c r="B1302" s="1755" t="s">
        <v>485</v>
      </c>
      <c r="C1302" s="1755" t="s">
        <v>2789</v>
      </c>
      <c r="D1302" s="1961"/>
      <c r="E1302" s="1942">
        <v>0</v>
      </c>
      <c r="F1302" s="1806" t="s">
        <v>37</v>
      </c>
      <c r="G1302" s="1943">
        <v>492</v>
      </c>
      <c r="H1302" s="1937">
        <f t="shared" si="718"/>
        <v>0</v>
      </c>
      <c r="I1302" s="1944">
        <v>130</v>
      </c>
      <c r="J1302" s="1939">
        <f t="shared" si="719"/>
        <v>0</v>
      </c>
      <c r="K1302" s="1864">
        <f t="shared" si="720"/>
        <v>0</v>
      </c>
      <c r="L1302" s="2299"/>
      <c r="M1302" s="2300"/>
    </row>
    <row r="1303" spans="1:24">
      <c r="A1303" s="1901"/>
      <c r="B1303" s="1755"/>
      <c r="C1303" s="1755" t="s">
        <v>2790</v>
      </c>
      <c r="D1303" s="1961"/>
      <c r="E1303" s="1860"/>
      <c r="F1303" s="1860"/>
      <c r="G1303" s="1943"/>
      <c r="H1303" s="1861"/>
      <c r="I1303" s="1944"/>
      <c r="J1303" s="1939"/>
      <c r="K1303" s="1864"/>
      <c r="L1303" s="2299"/>
      <c r="M1303" s="2300"/>
    </row>
    <row r="1304" spans="1:24">
      <c r="A1304" s="1901"/>
      <c r="B1304" s="1755"/>
      <c r="C1304" s="1755" t="s">
        <v>486</v>
      </c>
      <c r="D1304" s="1961"/>
      <c r="E1304" s="1860"/>
      <c r="F1304" s="1860"/>
      <c r="G1304" s="1943"/>
      <c r="H1304" s="1861"/>
      <c r="I1304" s="1944"/>
      <c r="J1304" s="1939"/>
      <c r="K1304" s="1864"/>
      <c r="L1304" s="2299"/>
      <c r="M1304" s="2300"/>
    </row>
    <row r="1305" spans="1:24">
      <c r="A1305" s="1901"/>
      <c r="B1305" s="1755" t="s">
        <v>487</v>
      </c>
      <c r="C1305" s="1755" t="s">
        <v>2789</v>
      </c>
      <c r="D1305" s="1961"/>
      <c r="E1305" s="1942">
        <v>0</v>
      </c>
      <c r="F1305" s="1806" t="s">
        <v>37</v>
      </c>
      <c r="G1305" s="1943">
        <v>256</v>
      </c>
      <c r="H1305" s="1861">
        <f>E1305*G1305</f>
        <v>0</v>
      </c>
      <c r="I1305" s="1944">
        <v>100</v>
      </c>
      <c r="J1305" s="1939">
        <f>E1305*I1305</f>
        <v>0</v>
      </c>
      <c r="K1305" s="1864">
        <f t="shared" ref="K1305" si="721">H1305+J1305</f>
        <v>0</v>
      </c>
      <c r="L1305" s="2299"/>
      <c r="M1305" s="2300"/>
    </row>
    <row r="1306" spans="1:24">
      <c r="A1306" s="1901"/>
      <c r="B1306" s="1755"/>
      <c r="C1306" s="1755" t="s">
        <v>2791</v>
      </c>
      <c r="D1306" s="1961"/>
      <c r="E1306" s="1860"/>
      <c r="F1306" s="1860"/>
      <c r="G1306" s="1943"/>
      <c r="H1306" s="1861"/>
      <c r="I1306" s="1944"/>
      <c r="J1306" s="1939"/>
      <c r="K1306" s="1864"/>
      <c r="L1306" s="2299"/>
      <c r="M1306" s="2300"/>
    </row>
    <row r="1307" spans="1:24">
      <c r="A1307" s="1901"/>
      <c r="B1307" s="1755"/>
      <c r="C1307" s="1755" t="s">
        <v>486</v>
      </c>
      <c r="D1307" s="1961"/>
      <c r="E1307" s="1860"/>
      <c r="F1307" s="1860"/>
      <c r="G1307" s="1943"/>
      <c r="H1307" s="1861"/>
      <c r="I1307" s="1944"/>
      <c r="J1307" s="1939"/>
      <c r="K1307" s="1864"/>
      <c r="L1307" s="2299"/>
      <c r="M1307" s="1941"/>
    </row>
    <row r="1308" spans="1:24">
      <c r="A1308" s="1901"/>
      <c r="B1308" s="1755" t="s">
        <v>488</v>
      </c>
      <c r="C1308" s="1867" t="s">
        <v>2926</v>
      </c>
      <c r="D1308" s="1868"/>
      <c r="E1308" s="1942">
        <v>0</v>
      </c>
      <c r="F1308" s="1806" t="s">
        <v>37</v>
      </c>
      <c r="G1308" s="1943">
        <v>350</v>
      </c>
      <c r="H1308" s="1861">
        <f>E1308*G1308</f>
        <v>0</v>
      </c>
      <c r="I1308" s="1944">
        <v>100</v>
      </c>
      <c r="J1308" s="1939">
        <f>E1308*I1308</f>
        <v>0</v>
      </c>
      <c r="K1308" s="1864">
        <f t="shared" ref="K1308" si="722">H1308+J1308</f>
        <v>0</v>
      </c>
      <c r="L1308" s="2299"/>
      <c r="M1308" s="2300"/>
    </row>
    <row r="1309" spans="1:24">
      <c r="A1309" s="1901"/>
      <c r="B1309" s="1755"/>
      <c r="C1309" s="1867" t="s">
        <v>2793</v>
      </c>
      <c r="D1309" s="1868"/>
      <c r="E1309" s="1860"/>
      <c r="F1309" s="1860"/>
      <c r="G1309" s="1943"/>
      <c r="H1309" s="1861"/>
      <c r="I1309" s="1944"/>
      <c r="J1309" s="1939"/>
      <c r="K1309" s="1864"/>
      <c r="L1309" s="1940"/>
      <c r="M1309" s="2300"/>
    </row>
    <row r="1310" spans="1:24">
      <c r="A1310" s="1901"/>
      <c r="B1310" s="1755"/>
      <c r="C1310" s="1867" t="s">
        <v>489</v>
      </c>
      <c r="D1310" s="1868"/>
      <c r="E1310" s="1942">
        <f>E1308</f>
        <v>0</v>
      </c>
      <c r="F1310" s="1806" t="s">
        <v>37</v>
      </c>
      <c r="G1310" s="2297">
        <v>69</v>
      </c>
      <c r="H1310" s="1861">
        <f>E1310*G1310</f>
        <v>0</v>
      </c>
      <c r="I1310" s="2298">
        <v>28</v>
      </c>
      <c r="J1310" s="1939">
        <f>E1310*I1310</f>
        <v>0</v>
      </c>
      <c r="K1310" s="1864">
        <f t="shared" ref="K1310:K1314" si="723">H1310+J1310</f>
        <v>0</v>
      </c>
      <c r="L1310" s="2299"/>
      <c r="M1310" s="1941"/>
    </row>
    <row r="1311" spans="1:24" ht="24" customHeight="1">
      <c r="A1311" s="1901"/>
      <c r="B1311" s="1945" t="s">
        <v>2901</v>
      </c>
      <c r="C1311" s="1867" t="s">
        <v>2902</v>
      </c>
      <c r="D1311" s="1868"/>
      <c r="E1311" s="1942">
        <v>0</v>
      </c>
      <c r="F1311" s="1806" t="s">
        <v>37</v>
      </c>
      <c r="G1311" s="1944">
        <v>195</v>
      </c>
      <c r="H1311" s="1939">
        <f>E1311*G1311</f>
        <v>0</v>
      </c>
      <c r="I1311" s="1944">
        <v>150</v>
      </c>
      <c r="J1311" s="1939">
        <f t="shared" ref="J1311" si="724">E1311*I1311</f>
        <v>0</v>
      </c>
      <c r="K1311" s="1864">
        <f t="shared" si="723"/>
        <v>0</v>
      </c>
      <c r="L1311" s="2299"/>
      <c r="N1311" s="1836"/>
      <c r="O1311" s="1837"/>
      <c r="P1311" s="1837"/>
      <c r="Q1311" s="1837"/>
      <c r="R1311" s="1837"/>
      <c r="S1311" s="1837"/>
      <c r="T1311" s="1837"/>
      <c r="U1311" s="1837"/>
      <c r="V1311" s="1837"/>
      <c r="W1311" s="1837"/>
      <c r="X1311" s="1837"/>
    </row>
    <row r="1312" spans="1:24" ht="24" customHeight="1">
      <c r="A1312" s="1901"/>
      <c r="B1312" s="1755"/>
      <c r="C1312" s="1867" t="s">
        <v>2903</v>
      </c>
      <c r="D1312" s="1868"/>
      <c r="E1312" s="1860"/>
      <c r="F1312" s="1860"/>
      <c r="G1312" s="1944"/>
      <c r="H1312" s="1939"/>
      <c r="I1312" s="1944"/>
      <c r="J1312" s="1939"/>
      <c r="K1312" s="1864"/>
      <c r="L1312" s="1940"/>
      <c r="M1312" s="1946"/>
      <c r="N1312" s="1836"/>
      <c r="O1312" s="1837"/>
      <c r="P1312" s="1837"/>
      <c r="Q1312" s="1837"/>
      <c r="R1312" s="1837"/>
      <c r="S1312" s="1837"/>
      <c r="T1312" s="1837"/>
      <c r="U1312" s="1837"/>
      <c r="V1312" s="1837"/>
      <c r="W1312" s="1837"/>
      <c r="X1312" s="1837"/>
    </row>
    <row r="1313" spans="1:24" ht="24" customHeight="1">
      <c r="A1313" s="1901"/>
      <c r="B1313" s="1755"/>
      <c r="C1313" s="1867" t="s">
        <v>2904</v>
      </c>
      <c r="D1313" s="1868"/>
      <c r="E1313" s="1942">
        <f>E1311</f>
        <v>0</v>
      </c>
      <c r="F1313" s="1806" t="s">
        <v>37</v>
      </c>
      <c r="G1313" s="2298">
        <v>120</v>
      </c>
      <c r="H1313" s="1947">
        <f>SUM(E1313*G1313)</f>
        <v>0</v>
      </c>
      <c r="I1313" s="2298">
        <v>56</v>
      </c>
      <c r="J1313" s="1939">
        <f>E1313*I1313</f>
        <v>0</v>
      </c>
      <c r="K1313" s="1864">
        <f>H1313+J1313</f>
        <v>0</v>
      </c>
      <c r="L1313" s="2299"/>
      <c r="M1313" s="1946"/>
      <c r="N1313" s="1836"/>
      <c r="O1313" s="1837"/>
      <c r="P1313" s="1837"/>
      <c r="Q1313" s="1837"/>
      <c r="R1313" s="1837"/>
      <c r="S1313" s="1837"/>
      <c r="T1313" s="1837"/>
      <c r="U1313" s="1837"/>
      <c r="V1313" s="1837"/>
      <c r="W1313" s="1837"/>
      <c r="X1313" s="1837"/>
    </row>
    <row r="1314" spans="1:24">
      <c r="A1314" s="1901"/>
      <c r="B1314" s="1755" t="s">
        <v>490</v>
      </c>
      <c r="C1314" s="1755" t="s">
        <v>2789</v>
      </c>
      <c r="D1314" s="1961"/>
      <c r="E1314" s="1942">
        <v>0</v>
      </c>
      <c r="F1314" s="1806" t="s">
        <v>37</v>
      </c>
      <c r="G1314" s="1943">
        <v>592</v>
      </c>
      <c r="H1314" s="1861">
        <f>E1314*G1314</f>
        <v>0</v>
      </c>
      <c r="I1314" s="1944">
        <v>165</v>
      </c>
      <c r="J1314" s="1939">
        <f>E1314*I1314</f>
        <v>0</v>
      </c>
      <c r="K1314" s="1864">
        <f t="shared" si="723"/>
        <v>0</v>
      </c>
      <c r="L1314" s="2299"/>
      <c r="M1314" s="2300"/>
    </row>
    <row r="1315" spans="1:24">
      <c r="A1315" s="1901"/>
      <c r="B1315" s="1755"/>
      <c r="C1315" s="1755" t="s">
        <v>2790</v>
      </c>
      <c r="D1315" s="1961"/>
      <c r="E1315" s="1860"/>
      <c r="F1315" s="1860"/>
      <c r="G1315" s="1943"/>
      <c r="H1315" s="1861"/>
      <c r="I1315" s="1944"/>
      <c r="J1315" s="1939"/>
      <c r="K1315" s="1864"/>
      <c r="L1315" s="1940"/>
      <c r="M1315" s="1941"/>
    </row>
    <row r="1316" spans="1:24">
      <c r="A1316" s="1901"/>
      <c r="B1316" s="1755"/>
      <c r="C1316" s="1755" t="s">
        <v>2794</v>
      </c>
      <c r="D1316" s="1961"/>
      <c r="E1316" s="1860"/>
      <c r="F1316" s="1860"/>
      <c r="G1316" s="1943"/>
      <c r="H1316" s="1861"/>
      <c r="I1316" s="1944"/>
      <c r="J1316" s="1939"/>
      <c r="K1316" s="1864"/>
      <c r="L1316" s="1940"/>
      <c r="M1316" s="1941"/>
    </row>
    <row r="1317" spans="1:24">
      <c r="A1317" s="1901"/>
      <c r="B1317" s="1755"/>
      <c r="C1317" s="1755" t="s">
        <v>2795</v>
      </c>
      <c r="D1317" s="1961"/>
      <c r="E1317" s="1942">
        <v>0</v>
      </c>
      <c r="F1317" s="1806" t="s">
        <v>37</v>
      </c>
      <c r="G1317" s="1943"/>
      <c r="H1317" s="1861"/>
      <c r="I1317" s="1944"/>
      <c r="J1317" s="1939"/>
      <c r="K1317" s="1864"/>
      <c r="L1317" s="2299"/>
      <c r="M1317" s="1949"/>
    </row>
    <row r="1318" spans="1:24">
      <c r="A1318" s="1901"/>
      <c r="B1318" s="1755" t="s">
        <v>491</v>
      </c>
      <c r="C1318" s="1755" t="s">
        <v>2792</v>
      </c>
      <c r="D1318" s="1961"/>
      <c r="E1318" s="1860"/>
      <c r="F1318" s="1860"/>
      <c r="G1318" s="1943">
        <v>642</v>
      </c>
      <c r="H1318" s="1861">
        <f>E1318*G1318</f>
        <v>0</v>
      </c>
      <c r="I1318" s="1944">
        <v>183</v>
      </c>
      <c r="J1318" s="1939">
        <f>E1318*I1318</f>
        <v>0</v>
      </c>
      <c r="K1318" s="1864">
        <f t="shared" ref="K1318" si="725">H1318+J1318</f>
        <v>0</v>
      </c>
      <c r="L1318" s="1940"/>
      <c r="M1318" s="1941"/>
    </row>
    <row r="1319" spans="1:24">
      <c r="A1319" s="1901"/>
      <c r="B1319" s="1755"/>
      <c r="C1319" s="1755" t="s">
        <v>542</v>
      </c>
      <c r="D1319" s="1961"/>
      <c r="E1319" s="1860"/>
      <c r="F1319" s="1860"/>
      <c r="G1319" s="1943"/>
      <c r="H1319" s="1861"/>
      <c r="I1319" s="1944"/>
      <c r="J1319" s="1939"/>
      <c r="K1319" s="1864"/>
      <c r="L1319" s="1940"/>
      <c r="M1319" s="2300"/>
    </row>
    <row r="1320" spans="1:24">
      <c r="A1320" s="1901"/>
      <c r="B1320" s="1755"/>
      <c r="C1320" s="1755" t="s">
        <v>2796</v>
      </c>
      <c r="D1320" s="1961"/>
      <c r="E1320" s="1860"/>
      <c r="F1320" s="1860"/>
      <c r="G1320" s="1943"/>
      <c r="H1320" s="1861"/>
      <c r="I1320" s="1944"/>
      <c r="J1320" s="1939"/>
      <c r="K1320" s="1864"/>
      <c r="L1320" s="1940"/>
      <c r="M1320" s="1941"/>
    </row>
    <row r="1321" spans="1:24">
      <c r="A1321" s="1901"/>
      <c r="B1321" s="1755"/>
      <c r="C1321" s="1755"/>
      <c r="D1321" s="1961"/>
      <c r="E1321" s="1860"/>
      <c r="F1321" s="1860"/>
      <c r="G1321" s="1943"/>
      <c r="H1321" s="1861"/>
      <c r="I1321" s="1944"/>
      <c r="J1321" s="1939"/>
      <c r="K1321" s="1864"/>
      <c r="L1321" s="1940"/>
      <c r="M1321" s="1941"/>
    </row>
    <row r="1322" spans="1:24">
      <c r="A1322" s="1901"/>
      <c r="B1322" s="1755"/>
      <c r="C1322" s="1755"/>
      <c r="D1322" s="1961"/>
      <c r="E1322" s="1860"/>
      <c r="F1322" s="1860"/>
      <c r="G1322" s="1943"/>
      <c r="H1322" s="1861"/>
      <c r="I1322" s="1944"/>
      <c r="J1322" s="1939"/>
      <c r="K1322" s="1864"/>
      <c r="L1322" s="1940"/>
      <c r="M1322" s="1941"/>
    </row>
    <row r="1323" spans="1:24">
      <c r="A1323" s="1901"/>
      <c r="B1323" s="1755" t="s">
        <v>492</v>
      </c>
      <c r="C1323" s="1755" t="s">
        <v>2797</v>
      </c>
      <c r="D1323" s="1961"/>
      <c r="E1323" s="1942">
        <v>0</v>
      </c>
      <c r="F1323" s="1806" t="s">
        <v>37</v>
      </c>
      <c r="G1323" s="1943">
        <v>520</v>
      </c>
      <c r="H1323" s="1861">
        <f>E1323*G1323</f>
        <v>0</v>
      </c>
      <c r="I1323" s="1944">
        <v>270</v>
      </c>
      <c r="J1323" s="1939">
        <f>E1323*I1323</f>
        <v>0</v>
      </c>
      <c r="K1323" s="1864">
        <f t="shared" ref="K1323" si="726">H1323+J1323</f>
        <v>0</v>
      </c>
      <c r="L1323" s="1948"/>
      <c r="M1323" s="1941"/>
    </row>
    <row r="1324" spans="1:24">
      <c r="A1324" s="1901"/>
      <c r="B1324" s="1755"/>
      <c r="C1324" s="1755" t="s">
        <v>2798</v>
      </c>
      <c r="D1324" s="1961"/>
      <c r="E1324" s="1860">
        <v>0</v>
      </c>
      <c r="F1324" s="1860"/>
      <c r="G1324" s="1943"/>
      <c r="H1324" s="1861"/>
      <c r="I1324" s="1944"/>
      <c r="J1324" s="1939"/>
      <c r="K1324" s="1864"/>
      <c r="L1324" s="1940"/>
      <c r="M1324" s="1941"/>
    </row>
    <row r="1325" spans="1:24">
      <c r="A1325" s="1901"/>
      <c r="B1325" s="1755"/>
      <c r="C1325" s="1755" t="s">
        <v>493</v>
      </c>
      <c r="D1325" s="1961"/>
      <c r="E1325" s="1860"/>
      <c r="F1325" s="1860"/>
      <c r="G1325" s="1943"/>
      <c r="H1325" s="1861"/>
      <c r="I1325" s="1944"/>
      <c r="J1325" s="1939"/>
      <c r="K1325" s="1864"/>
      <c r="L1325" s="1940"/>
      <c r="M1325" s="1941"/>
    </row>
    <row r="1326" spans="1:24">
      <c r="A1326" s="1901"/>
      <c r="B1326" s="1755" t="s">
        <v>494</v>
      </c>
      <c r="C1326" s="1755" t="s">
        <v>2799</v>
      </c>
      <c r="D1326" s="1961"/>
      <c r="E1326" s="1942">
        <v>0</v>
      </c>
      <c r="F1326" s="1806" t="s">
        <v>37</v>
      </c>
      <c r="G1326" s="1943">
        <v>256</v>
      </c>
      <c r="H1326" s="1861">
        <f>E1326*G1326</f>
        <v>0</v>
      </c>
      <c r="I1326" s="1944">
        <v>100</v>
      </c>
      <c r="J1326" s="1939">
        <f>E1326*I1326</f>
        <v>0</v>
      </c>
      <c r="K1326" s="1864">
        <f>H1326+J1326</f>
        <v>0</v>
      </c>
      <c r="L1326" s="2299"/>
      <c r="M1326" s="1941"/>
    </row>
    <row r="1327" spans="1:24">
      <c r="A1327" s="1901"/>
      <c r="B1327" s="1755"/>
      <c r="C1327" s="1755" t="s">
        <v>2800</v>
      </c>
      <c r="D1327" s="1961"/>
      <c r="E1327" s="1860"/>
      <c r="F1327" s="1860"/>
      <c r="G1327" s="1943"/>
      <c r="H1327" s="1861"/>
      <c r="I1327" s="1944"/>
      <c r="J1327" s="1939"/>
      <c r="K1327" s="1864"/>
      <c r="L1327" s="1940"/>
      <c r="M1327" s="1941"/>
    </row>
    <row r="1328" spans="1:24">
      <c r="A1328" s="1901"/>
      <c r="B1328" s="1755"/>
      <c r="C1328" s="1755" t="s">
        <v>495</v>
      </c>
      <c r="D1328" s="1961"/>
      <c r="E1328" s="1860"/>
      <c r="F1328" s="1860"/>
      <c r="G1328" s="1943"/>
      <c r="H1328" s="1861"/>
      <c r="I1328" s="1944"/>
      <c r="J1328" s="1939"/>
      <c r="K1328" s="1864"/>
      <c r="L1328" s="1940"/>
      <c r="M1328" s="1941"/>
    </row>
    <row r="1329" spans="1:13">
      <c r="A1329" s="1901"/>
      <c r="B1329" s="1755"/>
      <c r="C1329" s="1755" t="s">
        <v>496</v>
      </c>
      <c r="D1329" s="1961"/>
      <c r="E1329" s="1860">
        <f>+E1326</f>
        <v>0</v>
      </c>
      <c r="F1329" s="1806" t="s">
        <v>37</v>
      </c>
      <c r="G1329" s="1936">
        <v>520</v>
      </c>
      <c r="H1329" s="1861">
        <f>E1329*G1329</f>
        <v>0</v>
      </c>
      <c r="I1329" s="1938">
        <v>30</v>
      </c>
      <c r="J1329" s="1939">
        <f>E1329*I1329</f>
        <v>0</v>
      </c>
      <c r="K1329" s="1864">
        <f>H1329+J1329</f>
        <v>0</v>
      </c>
      <c r="L1329" s="1940" t="s">
        <v>2881</v>
      </c>
      <c r="M1329" s="1941"/>
    </row>
    <row r="1330" spans="1:13">
      <c r="A1330" s="1901"/>
      <c r="B1330" s="1755" t="s">
        <v>497</v>
      </c>
      <c r="C1330" s="1755" t="s">
        <v>498</v>
      </c>
      <c r="D1330" s="1961"/>
      <c r="E1330" s="1942">
        <v>49</v>
      </c>
      <c r="F1330" s="1806" t="s">
        <v>37</v>
      </c>
      <c r="G1330" s="1936">
        <v>91</v>
      </c>
      <c r="H1330" s="1861">
        <f t="shared" ref="H1330:H1336" si="727">E1330*G1330</f>
        <v>4459</v>
      </c>
      <c r="I1330" s="1938">
        <v>100</v>
      </c>
      <c r="J1330" s="1939">
        <f t="shared" ref="J1330:J1336" si="728">E1330*I1330</f>
        <v>4900</v>
      </c>
      <c r="K1330" s="1864">
        <f t="shared" ref="K1330:K1336" si="729">H1330+J1330</f>
        <v>9359</v>
      </c>
      <c r="L1330" s="1940"/>
      <c r="M1330" s="1941"/>
    </row>
    <row r="1331" spans="1:13">
      <c r="A1331" s="1901"/>
      <c r="B1331" s="1755" t="s">
        <v>499</v>
      </c>
      <c r="C1331" s="1755" t="s">
        <v>500</v>
      </c>
      <c r="D1331" s="1961"/>
      <c r="E1331" s="1942">
        <v>0</v>
      </c>
      <c r="F1331" s="1806" t="s">
        <v>37</v>
      </c>
      <c r="G1331" s="1936">
        <v>294</v>
      </c>
      <c r="H1331" s="1861">
        <f t="shared" si="727"/>
        <v>0</v>
      </c>
      <c r="I1331" s="1938">
        <v>189</v>
      </c>
      <c r="J1331" s="1939">
        <f t="shared" si="728"/>
        <v>0</v>
      </c>
      <c r="K1331" s="1864">
        <f t="shared" si="729"/>
        <v>0</v>
      </c>
      <c r="L1331" s="1940"/>
      <c r="M1331" s="1941"/>
    </row>
    <row r="1332" spans="1:13">
      <c r="A1332" s="1901"/>
      <c r="B1332" s="1755" t="s">
        <v>501</v>
      </c>
      <c r="C1332" s="1867" t="s">
        <v>502</v>
      </c>
      <c r="D1332" s="1868"/>
      <c r="E1332" s="1942">
        <v>0</v>
      </c>
      <c r="F1332" s="119" t="s">
        <v>37</v>
      </c>
      <c r="G1332" s="2294">
        <v>608</v>
      </c>
      <c r="H1332" s="1882">
        <f t="shared" si="727"/>
        <v>0</v>
      </c>
      <c r="I1332" s="1951">
        <v>189</v>
      </c>
      <c r="J1332" s="1876">
        <f t="shared" si="728"/>
        <v>0</v>
      </c>
      <c r="K1332" s="1890">
        <f t="shared" si="729"/>
        <v>0</v>
      </c>
      <c r="L1332" s="1940"/>
      <c r="M1332" s="1941"/>
    </row>
    <row r="1333" spans="1:13">
      <c r="A1333" s="1901"/>
      <c r="B1333" s="1755" t="s">
        <v>2918</v>
      </c>
      <c r="C1333" s="1867" t="s">
        <v>502</v>
      </c>
      <c r="D1333" s="1868"/>
      <c r="E1333" s="1942">
        <v>0</v>
      </c>
      <c r="F1333" s="67" t="s">
        <v>37</v>
      </c>
      <c r="G1333" s="2294">
        <v>399</v>
      </c>
      <c r="H1333" s="1882">
        <f t="shared" si="727"/>
        <v>0</v>
      </c>
      <c r="I1333" s="1951">
        <v>189</v>
      </c>
      <c r="J1333" s="1876">
        <f t="shared" si="728"/>
        <v>0</v>
      </c>
      <c r="K1333" s="1890">
        <f t="shared" si="729"/>
        <v>0</v>
      </c>
      <c r="L1333" s="1940"/>
      <c r="M1333" s="1941"/>
    </row>
    <row r="1334" spans="1:13">
      <c r="A1334" s="1901"/>
      <c r="B1334" s="1755" t="s">
        <v>503</v>
      </c>
      <c r="C1334" s="1867" t="s">
        <v>2801</v>
      </c>
      <c r="D1334" s="1868"/>
      <c r="E1334" s="1942">
        <v>0</v>
      </c>
      <c r="F1334" s="1806" t="s">
        <v>37</v>
      </c>
      <c r="G1334" s="1936">
        <v>88</v>
      </c>
      <c r="H1334" s="1861">
        <f t="shared" si="727"/>
        <v>0</v>
      </c>
      <c r="I1334" s="1938">
        <v>82</v>
      </c>
      <c r="J1334" s="1939">
        <f t="shared" si="728"/>
        <v>0</v>
      </c>
      <c r="K1334" s="1864">
        <f t="shared" si="729"/>
        <v>0</v>
      </c>
      <c r="L1334" s="1940" t="s">
        <v>2882</v>
      </c>
      <c r="M1334" s="1941"/>
    </row>
    <row r="1335" spans="1:13">
      <c r="A1335" s="1901"/>
      <c r="B1335" s="1755"/>
      <c r="C1335" s="1867" t="s">
        <v>504</v>
      </c>
      <c r="D1335" s="1868"/>
      <c r="E1335" s="1942">
        <v>0</v>
      </c>
      <c r="F1335" s="1806" t="s">
        <v>37</v>
      </c>
      <c r="G1335" s="2297">
        <v>69</v>
      </c>
      <c r="H1335" s="1861">
        <f t="shared" si="727"/>
        <v>0</v>
      </c>
      <c r="I1335" s="2301">
        <v>28</v>
      </c>
      <c r="J1335" s="1939">
        <f t="shared" si="728"/>
        <v>0</v>
      </c>
      <c r="K1335" s="1864">
        <f t="shared" si="729"/>
        <v>0</v>
      </c>
      <c r="L1335" s="1940"/>
      <c r="M1335" s="1941"/>
    </row>
    <row r="1336" spans="1:13">
      <c r="A1336" s="1901"/>
      <c r="B1336" s="1755" t="s">
        <v>505</v>
      </c>
      <c r="C1336" s="1867" t="s">
        <v>502</v>
      </c>
      <c r="D1336" s="1868"/>
      <c r="E1336" s="1942">
        <v>0</v>
      </c>
      <c r="F1336" s="1806" t="s">
        <v>37</v>
      </c>
      <c r="G1336" s="1936">
        <v>870</v>
      </c>
      <c r="H1336" s="1861">
        <f t="shared" si="727"/>
        <v>0</v>
      </c>
      <c r="I1336" s="1938">
        <v>242</v>
      </c>
      <c r="J1336" s="1939">
        <f t="shared" si="728"/>
        <v>0</v>
      </c>
      <c r="K1336" s="1864">
        <f t="shared" si="729"/>
        <v>0</v>
      </c>
      <c r="L1336" s="1940"/>
      <c r="M1336" s="1941"/>
    </row>
    <row r="1337" spans="1:13">
      <c r="A1337" s="1901"/>
      <c r="B1337" s="1755"/>
      <c r="C1337" s="1867" t="s">
        <v>506</v>
      </c>
      <c r="D1337" s="1868"/>
      <c r="E1337" s="1860"/>
      <c r="F1337" s="1860"/>
      <c r="G1337" s="1943"/>
      <c r="H1337" s="1861"/>
      <c r="I1337" s="1944"/>
      <c r="J1337" s="1939"/>
      <c r="K1337" s="1864"/>
      <c r="L1337" s="1940"/>
      <c r="M1337" s="1866"/>
    </row>
    <row r="1338" spans="1:13">
      <c r="A1338" s="1901"/>
      <c r="B1338" s="1755" t="s">
        <v>2919</v>
      </c>
      <c r="C1338" s="1867" t="s">
        <v>502</v>
      </c>
      <c r="D1338" s="1868"/>
      <c r="E1338" s="1942">
        <v>0</v>
      </c>
      <c r="F1338" s="1806" t="s">
        <v>37</v>
      </c>
      <c r="G1338" s="1953">
        <v>765</v>
      </c>
      <c r="H1338" s="1882">
        <f>E1338*G1338</f>
        <v>0</v>
      </c>
      <c r="I1338" s="1951">
        <v>242</v>
      </c>
      <c r="J1338" s="1939">
        <f t="shared" ref="J1338" si="730">E1338*I1338</f>
        <v>0</v>
      </c>
      <c r="K1338" s="1864">
        <f t="shared" ref="K1338" si="731">H1338+J1338</f>
        <v>0</v>
      </c>
      <c r="L1338" s="1940"/>
      <c r="M1338" s="1941"/>
    </row>
    <row r="1339" spans="1:13">
      <c r="A1339" s="1901"/>
      <c r="B1339" s="1755"/>
      <c r="C1339" s="1867" t="s">
        <v>506</v>
      </c>
      <c r="D1339" s="1868"/>
      <c r="E1339" s="1860"/>
      <c r="F1339" s="1860"/>
      <c r="G1339" s="1943"/>
      <c r="H1339" s="1861"/>
      <c r="I1339" s="1944"/>
      <c r="J1339" s="1939"/>
      <c r="K1339" s="1864"/>
      <c r="L1339" s="1940"/>
      <c r="M1339" s="1941"/>
    </row>
    <row r="1340" spans="1:13">
      <c r="A1340" s="1901"/>
      <c r="B1340" s="1755" t="s">
        <v>507</v>
      </c>
      <c r="C1340" s="1755" t="s">
        <v>508</v>
      </c>
      <c r="D1340" s="1961"/>
      <c r="E1340" s="1942">
        <v>0</v>
      </c>
      <c r="F1340" s="1806" t="s">
        <v>37</v>
      </c>
      <c r="G1340" s="1936">
        <v>0</v>
      </c>
      <c r="H1340" s="1861">
        <f t="shared" ref="H1340:H1341" si="732">E1340*G1340</f>
        <v>0</v>
      </c>
      <c r="I1340" s="1938">
        <v>0</v>
      </c>
      <c r="J1340" s="1939">
        <f t="shared" ref="J1340:J1341" si="733">E1340*I1340</f>
        <v>0</v>
      </c>
      <c r="K1340" s="1864">
        <f t="shared" ref="K1340:K1341" si="734">H1340+J1340</f>
        <v>0</v>
      </c>
      <c r="L1340" s="1940"/>
      <c r="M1340" s="1941"/>
    </row>
    <row r="1341" spans="1:13">
      <c r="A1341" s="1901"/>
      <c r="B1341" s="1755" t="s">
        <v>510</v>
      </c>
      <c r="C1341" s="1755" t="s">
        <v>2802</v>
      </c>
      <c r="D1341" s="1755"/>
      <c r="E1341" s="1942">
        <v>0</v>
      </c>
      <c r="F1341" s="1806" t="s">
        <v>37</v>
      </c>
      <c r="G1341" s="1936">
        <v>1296</v>
      </c>
      <c r="H1341" s="1861">
        <f t="shared" si="732"/>
        <v>0</v>
      </c>
      <c r="I1341" s="1938">
        <v>1600</v>
      </c>
      <c r="J1341" s="1939">
        <f t="shared" si="733"/>
        <v>0</v>
      </c>
      <c r="K1341" s="1864">
        <f t="shared" si="734"/>
        <v>0</v>
      </c>
      <c r="L1341" s="1940"/>
      <c r="M1341" s="1941"/>
    </row>
    <row r="1342" spans="1:13">
      <c r="A1342" s="1901"/>
      <c r="B1342" s="1755"/>
      <c r="C1342" s="1755" t="s">
        <v>512</v>
      </c>
      <c r="D1342" s="1755"/>
      <c r="E1342" s="1860"/>
      <c r="F1342" s="1860"/>
      <c r="G1342" s="1936"/>
      <c r="H1342" s="1937"/>
      <c r="I1342" s="1938"/>
      <c r="J1342" s="1939"/>
      <c r="K1342" s="1864"/>
      <c r="L1342" s="1940"/>
      <c r="M1342" s="1941"/>
    </row>
    <row r="1343" spans="1:13">
      <c r="A1343" s="1901"/>
      <c r="B1343" s="1755" t="s">
        <v>513</v>
      </c>
      <c r="C1343" s="1867" t="s">
        <v>514</v>
      </c>
      <c r="D1343" s="1868"/>
      <c r="E1343" s="1942">
        <v>0</v>
      </c>
      <c r="F1343" s="1806" t="s">
        <v>37</v>
      </c>
      <c r="G1343" s="1936">
        <v>1090</v>
      </c>
      <c r="H1343" s="1861">
        <f t="shared" ref="H1343:H1344" si="735">E1343*G1343</f>
        <v>0</v>
      </c>
      <c r="I1343" s="1938">
        <v>900</v>
      </c>
      <c r="J1343" s="1939">
        <f t="shared" ref="J1343:J1344" si="736">E1343*I1343</f>
        <v>0</v>
      </c>
      <c r="K1343" s="1864">
        <f t="shared" ref="K1343:K1344" si="737">H1343+J1343</f>
        <v>0</v>
      </c>
      <c r="L1343" s="1940"/>
      <c r="M1343" s="1941"/>
    </row>
    <row r="1344" spans="1:13">
      <c r="A1344" s="1901"/>
      <c r="B1344" s="1755" t="s">
        <v>515</v>
      </c>
      <c r="C1344" s="1867" t="s">
        <v>2905</v>
      </c>
      <c r="D1344" s="1868"/>
      <c r="E1344" s="1942">
        <v>0</v>
      </c>
      <c r="F1344" s="1806" t="s">
        <v>37</v>
      </c>
      <c r="G1344" s="1936">
        <v>1600</v>
      </c>
      <c r="H1344" s="1861">
        <f t="shared" si="735"/>
        <v>0</v>
      </c>
      <c r="I1344" s="1938">
        <v>500</v>
      </c>
      <c r="J1344" s="1939">
        <f t="shared" si="736"/>
        <v>0</v>
      </c>
      <c r="K1344" s="1864">
        <f t="shared" si="737"/>
        <v>0</v>
      </c>
      <c r="L1344" s="1940"/>
      <c r="M1344" s="2300"/>
    </row>
    <row r="1345" spans="1:13">
      <c r="A1345" s="1901"/>
      <c r="B1345" s="1755"/>
      <c r="C1345" s="1867" t="s">
        <v>517</v>
      </c>
      <c r="D1345" s="1868"/>
      <c r="E1345" s="1942"/>
      <c r="F1345" s="1806"/>
      <c r="G1345" s="1936"/>
      <c r="H1345" s="1937"/>
      <c r="I1345" s="1938"/>
      <c r="J1345" s="1939"/>
      <c r="K1345" s="1864"/>
      <c r="L1345" s="1940"/>
      <c r="M1345" s="1941"/>
    </row>
    <row r="1346" spans="1:13">
      <c r="A1346" s="1901"/>
      <c r="B1346" s="1755" t="s">
        <v>518</v>
      </c>
      <c r="C1346" s="1867" t="s">
        <v>519</v>
      </c>
      <c r="D1346" s="1868"/>
      <c r="E1346" s="1942">
        <v>0</v>
      </c>
      <c r="F1346" s="1806" t="s">
        <v>37</v>
      </c>
      <c r="G1346" s="1936">
        <v>2540</v>
      </c>
      <c r="H1346" s="1861">
        <f t="shared" ref="H1346" si="738">E1346*G1346</f>
        <v>0</v>
      </c>
      <c r="I1346" s="1938">
        <v>700</v>
      </c>
      <c r="J1346" s="1939">
        <f t="shared" ref="J1346" si="739">E1346*I1346</f>
        <v>0</v>
      </c>
      <c r="K1346" s="1864">
        <f t="shared" ref="K1346" si="740">H1346+J1346</f>
        <v>0</v>
      </c>
      <c r="L1346" s="1940"/>
      <c r="M1346" s="1941"/>
    </row>
    <row r="1347" spans="1:13">
      <c r="A1347" s="1901"/>
      <c r="B1347" s="1755"/>
      <c r="C1347" s="1867" t="s">
        <v>520</v>
      </c>
      <c r="D1347" s="1868"/>
      <c r="E1347" s="1942"/>
      <c r="F1347" s="1806"/>
      <c r="G1347" s="1936"/>
      <c r="H1347" s="1937"/>
      <c r="I1347" s="1938"/>
      <c r="J1347" s="1939"/>
      <c r="K1347" s="1864"/>
      <c r="L1347" s="1940"/>
      <c r="M1347" s="1941"/>
    </row>
    <row r="1348" spans="1:13">
      <c r="A1348" s="1901"/>
      <c r="B1348" s="1755" t="s">
        <v>521</v>
      </c>
      <c r="C1348" s="1867" t="s">
        <v>522</v>
      </c>
      <c r="D1348" s="1868"/>
      <c r="E1348" s="1942">
        <v>0</v>
      </c>
      <c r="F1348" s="1806" t="s">
        <v>37</v>
      </c>
      <c r="G1348" s="1943">
        <v>15000</v>
      </c>
      <c r="H1348" s="1861">
        <f t="shared" ref="H1348:H1351" si="741">E1348*G1348</f>
        <v>0</v>
      </c>
      <c r="I1348" s="1944">
        <v>500</v>
      </c>
      <c r="J1348" s="1939">
        <f t="shared" ref="J1348:J1351" si="742">E1348*I1348</f>
        <v>0</v>
      </c>
      <c r="K1348" s="1864">
        <f t="shared" ref="K1348:K1351" si="743">H1348+J1348</f>
        <v>0</v>
      </c>
      <c r="L1348" s="1865"/>
    </row>
    <row r="1349" spans="1:13">
      <c r="A1349" s="1782"/>
      <c r="B1349" s="1755" t="s">
        <v>523</v>
      </c>
      <c r="C1349" s="1867" t="s">
        <v>524</v>
      </c>
      <c r="D1349" s="1868"/>
      <c r="E1349" s="1942">
        <v>2028</v>
      </c>
      <c r="F1349" s="1806" t="s">
        <v>37</v>
      </c>
      <c r="G1349" s="1936">
        <v>88</v>
      </c>
      <c r="H1349" s="1861">
        <f t="shared" si="741"/>
        <v>178464</v>
      </c>
      <c r="I1349" s="1938">
        <v>82</v>
      </c>
      <c r="J1349" s="1939">
        <f t="shared" si="742"/>
        <v>166296</v>
      </c>
      <c r="K1349" s="1864">
        <f t="shared" si="743"/>
        <v>344760</v>
      </c>
      <c r="L1349" s="1940" t="s">
        <v>2883</v>
      </c>
    </row>
    <row r="1350" spans="1:13">
      <c r="A1350" s="1782"/>
      <c r="B1350" s="1755"/>
      <c r="C1350" s="1867"/>
      <c r="D1350" s="1868"/>
      <c r="E1350" s="1942"/>
      <c r="F1350" s="1806"/>
      <c r="G1350" s="1936"/>
      <c r="H1350" s="1861"/>
      <c r="I1350" s="1938"/>
      <c r="J1350" s="1939"/>
      <c r="K1350" s="1864"/>
      <c r="L1350" s="1940"/>
    </row>
    <row r="1351" spans="1:13">
      <c r="A1351" s="1782"/>
      <c r="B1351" s="1755" t="s">
        <v>525</v>
      </c>
      <c r="C1351" s="1867" t="s">
        <v>526</v>
      </c>
      <c r="D1351" s="1868"/>
      <c r="E1351" s="1942">
        <v>0</v>
      </c>
      <c r="F1351" s="1806" t="s">
        <v>37</v>
      </c>
      <c r="G1351" s="1936">
        <v>1955</v>
      </c>
      <c r="H1351" s="1861">
        <f t="shared" si="741"/>
        <v>0</v>
      </c>
      <c r="I1351" s="1938">
        <v>1700</v>
      </c>
      <c r="J1351" s="1939">
        <f t="shared" si="742"/>
        <v>0</v>
      </c>
      <c r="K1351" s="1864">
        <f t="shared" si="743"/>
        <v>0</v>
      </c>
      <c r="L1351" s="1940"/>
    </row>
    <row r="1352" spans="1:13">
      <c r="A1352" s="1782"/>
      <c r="B1352" s="1755"/>
      <c r="C1352" s="1867" t="s">
        <v>2804</v>
      </c>
      <c r="D1352" s="1868"/>
      <c r="E1352" s="1942"/>
      <c r="F1352" s="1806"/>
      <c r="G1352" s="1936"/>
      <c r="H1352" s="1937"/>
      <c r="I1352" s="1938"/>
      <c r="J1352" s="1939"/>
      <c r="K1352" s="1864"/>
      <c r="L1352" s="1940"/>
    </row>
    <row r="1353" spans="1:13">
      <c r="A1353" s="1782"/>
      <c r="B1353" s="1755"/>
      <c r="C1353" s="1867" t="s">
        <v>527</v>
      </c>
      <c r="D1353" s="1868"/>
      <c r="E1353" s="1942"/>
      <c r="F1353" s="1806"/>
      <c r="G1353" s="1943">
        <v>165</v>
      </c>
      <c r="H1353" s="1861">
        <f t="shared" ref="H1353:H1354" si="744">E1353*G1353</f>
        <v>0</v>
      </c>
      <c r="I1353" s="1944">
        <v>25</v>
      </c>
      <c r="J1353" s="1939">
        <f t="shared" ref="J1353:J1354" si="745">E1353*I1353</f>
        <v>0</v>
      </c>
      <c r="K1353" s="1864">
        <f t="shared" ref="K1353:K1354" si="746">H1353+J1353</f>
        <v>0</v>
      </c>
      <c r="L1353" s="1940"/>
    </row>
    <row r="1354" spans="1:13">
      <c r="A1354" s="1782"/>
      <c r="B1354" s="1755" t="s">
        <v>528</v>
      </c>
      <c r="C1354" s="1867" t="s">
        <v>526</v>
      </c>
      <c r="D1354" s="1868"/>
      <c r="E1354" s="1942">
        <v>0</v>
      </c>
      <c r="F1354" s="1806" t="s">
        <v>37</v>
      </c>
      <c r="G1354" s="1936">
        <v>1296</v>
      </c>
      <c r="H1354" s="1861">
        <f t="shared" si="744"/>
        <v>0</v>
      </c>
      <c r="I1354" s="1938">
        <v>1600</v>
      </c>
      <c r="J1354" s="1939">
        <f t="shared" si="745"/>
        <v>0</v>
      </c>
      <c r="K1354" s="1864">
        <f t="shared" si="746"/>
        <v>0</v>
      </c>
      <c r="L1354" s="1940"/>
    </row>
    <row r="1355" spans="1:13">
      <c r="A1355" s="1782"/>
      <c r="B1355" s="1755"/>
      <c r="C1355" s="1867" t="s">
        <v>2804</v>
      </c>
      <c r="D1355" s="1868"/>
      <c r="E1355" s="1942"/>
      <c r="F1355" s="1806"/>
      <c r="G1355" s="1936"/>
      <c r="H1355" s="1937"/>
      <c r="I1355" s="1938"/>
      <c r="J1355" s="1939"/>
      <c r="K1355" s="1864"/>
      <c r="L1355" s="1940"/>
    </row>
    <row r="1356" spans="1:13">
      <c r="A1356" s="1782"/>
      <c r="B1356" s="1755"/>
      <c r="C1356" s="1867" t="s">
        <v>527</v>
      </c>
      <c r="D1356" s="1868"/>
      <c r="E1356" s="1942"/>
      <c r="F1356" s="1806"/>
      <c r="G1356" s="1943">
        <v>165</v>
      </c>
      <c r="H1356" s="1861">
        <f t="shared" ref="H1356:H1358" si="747">E1356*G1356</f>
        <v>0</v>
      </c>
      <c r="I1356" s="1944">
        <v>25</v>
      </c>
      <c r="J1356" s="1939">
        <f t="shared" ref="J1356:J1358" si="748">E1356*I1356</f>
        <v>0</v>
      </c>
      <c r="K1356" s="1864">
        <f t="shared" ref="K1356:K1358" si="749">H1356+J1356</f>
        <v>0</v>
      </c>
      <c r="L1356" s="1940"/>
    </row>
    <row r="1357" spans="1:13">
      <c r="A1357" s="1782"/>
      <c r="B1357" s="1755"/>
      <c r="C1357" s="1867"/>
      <c r="D1357" s="1868"/>
      <c r="E1357" s="1942"/>
      <c r="F1357" s="1806"/>
      <c r="G1357" s="1943"/>
      <c r="H1357" s="1861"/>
      <c r="I1357" s="1944"/>
      <c r="J1357" s="1939"/>
      <c r="K1357" s="1864"/>
      <c r="L1357" s="1940"/>
    </row>
    <row r="1358" spans="1:13">
      <c r="A1358" s="1782"/>
      <c r="B1358" s="1755" t="s">
        <v>529</v>
      </c>
      <c r="C1358" s="1867" t="s">
        <v>526</v>
      </c>
      <c r="D1358" s="1868"/>
      <c r="E1358" s="1942">
        <v>0</v>
      </c>
      <c r="F1358" s="1806" t="s">
        <v>37</v>
      </c>
      <c r="G1358" s="1936">
        <v>5900</v>
      </c>
      <c r="H1358" s="1861">
        <f t="shared" si="747"/>
        <v>0</v>
      </c>
      <c r="I1358" s="1938">
        <v>1200</v>
      </c>
      <c r="J1358" s="1939">
        <f t="shared" si="748"/>
        <v>0</v>
      </c>
      <c r="K1358" s="1864">
        <f t="shared" si="749"/>
        <v>0</v>
      </c>
      <c r="L1358" s="1940"/>
    </row>
    <row r="1359" spans="1:13">
      <c r="A1359" s="1782"/>
      <c r="B1359" s="1755"/>
      <c r="C1359" s="1867" t="s">
        <v>2804</v>
      </c>
      <c r="D1359" s="1868"/>
      <c r="E1359" s="1942"/>
      <c r="F1359" s="1806"/>
      <c r="G1359" s="1936"/>
      <c r="H1359" s="1937"/>
      <c r="I1359" s="1938"/>
      <c r="J1359" s="1939"/>
      <c r="K1359" s="1864"/>
      <c r="L1359" s="1940"/>
    </row>
    <row r="1360" spans="1:13">
      <c r="A1360" s="1782"/>
      <c r="B1360" s="1755" t="s">
        <v>530</v>
      </c>
      <c r="C1360" s="1867" t="s">
        <v>526</v>
      </c>
      <c r="D1360" s="1868"/>
      <c r="E1360" s="1942">
        <v>0</v>
      </c>
      <c r="F1360" s="1806" t="s">
        <v>37</v>
      </c>
      <c r="G1360" s="1936">
        <v>6000</v>
      </c>
      <c r="H1360" s="1861">
        <f t="shared" ref="H1360" si="750">E1360*G1360</f>
        <v>0</v>
      </c>
      <c r="I1360" s="1938">
        <v>1550</v>
      </c>
      <c r="J1360" s="1939">
        <f t="shared" ref="J1360" si="751">E1360*I1360</f>
        <v>0</v>
      </c>
      <c r="K1360" s="1864">
        <f t="shared" ref="K1360" si="752">H1360+J1360</f>
        <v>0</v>
      </c>
      <c r="L1360" s="1940"/>
    </row>
    <row r="1361" spans="1:24">
      <c r="A1361" s="1782"/>
      <c r="B1361" s="1755"/>
      <c r="C1361" s="1867" t="s">
        <v>2805</v>
      </c>
      <c r="D1361" s="1868"/>
      <c r="E1361" s="1942"/>
      <c r="F1361" s="1806"/>
      <c r="G1361" s="1936"/>
      <c r="H1361" s="1937"/>
      <c r="I1361" s="1938"/>
      <c r="J1361" s="1939"/>
      <c r="K1361" s="1864"/>
      <c r="L1361" s="1940"/>
    </row>
    <row r="1362" spans="1:24">
      <c r="A1362" s="1782"/>
      <c r="B1362" s="1755" t="s">
        <v>531</v>
      </c>
      <c r="C1362" s="1867" t="s">
        <v>532</v>
      </c>
      <c r="D1362" s="1868"/>
      <c r="E1362" s="1942">
        <v>0</v>
      </c>
      <c r="F1362" s="1806" t="s">
        <v>37</v>
      </c>
      <c r="G1362" s="2297">
        <f>13+69</f>
        <v>82</v>
      </c>
      <c r="H1362" s="1861">
        <f t="shared" ref="H1362:H1363" si="753">E1362*G1362</f>
        <v>0</v>
      </c>
      <c r="I1362" s="2301">
        <f>30+28</f>
        <v>58</v>
      </c>
      <c r="J1362" s="1939">
        <f t="shared" ref="J1362:J1363" si="754">E1362*I1362</f>
        <v>0</v>
      </c>
      <c r="K1362" s="1864">
        <f t="shared" ref="K1362:K1363" si="755">H1362+J1362</f>
        <v>0</v>
      </c>
      <c r="L1362" s="2299"/>
    </row>
    <row r="1363" spans="1:24">
      <c r="A1363" s="1782"/>
      <c r="B1363" s="1755" t="s">
        <v>533</v>
      </c>
      <c r="C1363" s="1867" t="s">
        <v>534</v>
      </c>
      <c r="D1363" s="1868"/>
      <c r="E1363" s="1942">
        <v>0</v>
      </c>
      <c r="F1363" s="1806" t="s">
        <v>37</v>
      </c>
      <c r="G1363" s="1936">
        <v>0</v>
      </c>
      <c r="H1363" s="1861">
        <f t="shared" si="753"/>
        <v>0</v>
      </c>
      <c r="I1363" s="1938">
        <v>0</v>
      </c>
      <c r="J1363" s="1939">
        <f t="shared" si="754"/>
        <v>0</v>
      </c>
      <c r="K1363" s="1864">
        <f t="shared" si="755"/>
        <v>0</v>
      </c>
      <c r="L1363" s="1940"/>
    </row>
    <row r="1364" spans="1:24">
      <c r="A1364" s="1782"/>
      <c r="B1364" s="1755"/>
      <c r="C1364" s="1755" t="s">
        <v>535</v>
      </c>
      <c r="D1364" s="1868"/>
      <c r="E1364" s="1942"/>
      <c r="F1364" s="1806"/>
      <c r="G1364" s="1936"/>
      <c r="H1364" s="1937"/>
      <c r="I1364" s="1938"/>
      <c r="J1364" s="1939"/>
      <c r="K1364" s="1864"/>
      <c r="L1364" s="1940"/>
      <c r="N1364" s="1797">
        <f>SUM(K1286:K1363)</f>
        <v>4518487.5199999996</v>
      </c>
    </row>
    <row r="1365" spans="1:24" ht="24" customHeight="1">
      <c r="A1365" s="1933" t="s">
        <v>560</v>
      </c>
      <c r="B1365" s="1908" t="s">
        <v>561</v>
      </c>
      <c r="C1365" s="1850"/>
      <c r="D1365" s="1963"/>
      <c r="E1365" s="1852"/>
      <c r="F1365" s="1806"/>
      <c r="G1365" s="1966"/>
      <c r="H1365" s="1854"/>
      <c r="I1365" s="1893"/>
      <c r="J1365" s="1856"/>
      <c r="K1365" s="1857"/>
      <c r="L1365" s="1899"/>
      <c r="N1365" s="1837"/>
      <c r="O1365" s="1837"/>
      <c r="P1365" s="1837"/>
      <c r="Q1365" s="1837"/>
      <c r="R1365" s="1837"/>
      <c r="S1365" s="1837"/>
      <c r="T1365" s="1837"/>
      <c r="U1365" s="1837"/>
      <c r="V1365" s="1837"/>
      <c r="W1365" s="1837"/>
      <c r="X1365" s="1837"/>
    </row>
    <row r="1366" spans="1:24">
      <c r="A1366" s="1901"/>
      <c r="B1366" s="1783"/>
      <c r="C1366" s="1867" t="s">
        <v>538</v>
      </c>
      <c r="D1366" s="1859"/>
      <c r="E1366" s="1860">
        <v>751</v>
      </c>
      <c r="F1366" s="1806" t="s">
        <v>37</v>
      </c>
      <c r="G1366" s="1936">
        <v>281</v>
      </c>
      <c r="H1366" s="1937">
        <f>E1366*G1366</f>
        <v>211031</v>
      </c>
      <c r="I1366" s="1938">
        <v>80</v>
      </c>
      <c r="J1366" s="1939">
        <f>E1366*I1366</f>
        <v>60080</v>
      </c>
      <c r="K1366" s="1864">
        <f>H1366+J1366</f>
        <v>271111</v>
      </c>
      <c r="L1366" s="1940"/>
      <c r="M1366" s="1941"/>
    </row>
    <row r="1367" spans="1:24">
      <c r="A1367" s="1901"/>
      <c r="B1367" s="1783"/>
      <c r="C1367" s="1867" t="s">
        <v>539</v>
      </c>
      <c r="D1367" s="1859"/>
      <c r="E1367" s="1860">
        <f>+E1418</f>
        <v>0</v>
      </c>
      <c r="F1367" s="1806" t="s">
        <v>37</v>
      </c>
      <c r="G1367" s="1936">
        <v>712</v>
      </c>
      <c r="H1367" s="1937">
        <f t="shared" ref="H1367:H1383" si="756">E1367*G1367</f>
        <v>0</v>
      </c>
      <c r="I1367" s="1938">
        <v>98</v>
      </c>
      <c r="J1367" s="1939">
        <f t="shared" ref="J1367:J1383" si="757">E1367*I1367</f>
        <v>0</v>
      </c>
      <c r="K1367" s="1864">
        <f t="shared" ref="K1367:K1383" si="758">H1367+J1367</f>
        <v>0</v>
      </c>
      <c r="L1367" s="1940"/>
      <c r="M1367" s="1941"/>
    </row>
    <row r="1368" spans="1:24">
      <c r="A1368" s="1901"/>
      <c r="B1368" s="1783"/>
      <c r="C1368" s="1867" t="s">
        <v>470</v>
      </c>
      <c r="D1368" s="1859"/>
      <c r="E1368" s="1860">
        <f>+E1366*1.33</f>
        <v>998.83</v>
      </c>
      <c r="F1368" s="1806" t="s">
        <v>438</v>
      </c>
      <c r="G1368" s="1936">
        <v>119</v>
      </c>
      <c r="H1368" s="1937">
        <f t="shared" si="756"/>
        <v>118860.77</v>
      </c>
      <c r="I1368" s="1938">
        <v>44</v>
      </c>
      <c r="J1368" s="1939">
        <f t="shared" si="757"/>
        <v>43948.520000000004</v>
      </c>
      <c r="K1368" s="1864">
        <f t="shared" si="758"/>
        <v>162809.29</v>
      </c>
      <c r="L1368" s="1940" t="s">
        <v>2878</v>
      </c>
      <c r="M1368" s="1941"/>
    </row>
    <row r="1369" spans="1:24">
      <c r="A1369" s="1901"/>
      <c r="B1369" s="1783"/>
      <c r="C1369" s="1867" t="s">
        <v>471</v>
      </c>
      <c r="D1369" s="1859"/>
      <c r="E1369" s="1860">
        <f>+E1367*1.33</f>
        <v>0</v>
      </c>
      <c r="F1369" s="1806" t="s">
        <v>438</v>
      </c>
      <c r="G1369" s="1936">
        <v>208</v>
      </c>
      <c r="H1369" s="1937">
        <f t="shared" si="756"/>
        <v>0</v>
      </c>
      <c r="I1369" s="1938">
        <v>78</v>
      </c>
      <c r="J1369" s="1939">
        <f t="shared" si="757"/>
        <v>0</v>
      </c>
      <c r="K1369" s="1864">
        <f t="shared" si="758"/>
        <v>0</v>
      </c>
      <c r="L1369" s="1940" t="s">
        <v>2878</v>
      </c>
      <c r="M1369" s="1941"/>
    </row>
    <row r="1370" spans="1:24">
      <c r="A1370" s="1901"/>
      <c r="B1370" s="1783"/>
      <c r="C1370" s="1867" t="s">
        <v>472</v>
      </c>
      <c r="D1370" s="1859"/>
      <c r="E1370" s="1860">
        <v>0</v>
      </c>
      <c r="F1370" s="1806" t="s">
        <v>37</v>
      </c>
      <c r="G1370" s="1936">
        <v>88</v>
      </c>
      <c r="H1370" s="1937">
        <f t="shared" si="756"/>
        <v>0</v>
      </c>
      <c r="I1370" s="1938">
        <v>82</v>
      </c>
      <c r="J1370" s="1939">
        <f t="shared" si="757"/>
        <v>0</v>
      </c>
      <c r="K1370" s="1864">
        <f t="shared" si="758"/>
        <v>0</v>
      </c>
      <c r="L1370" s="1940" t="s">
        <v>2885</v>
      </c>
      <c r="M1370" s="1941"/>
    </row>
    <row r="1371" spans="1:24">
      <c r="A1371" s="1901"/>
      <c r="B1371" s="1783"/>
      <c r="C1371" s="1867" t="s">
        <v>540</v>
      </c>
      <c r="D1371" s="1859"/>
      <c r="E1371" s="1860">
        <v>350</v>
      </c>
      <c r="F1371" s="1806" t="s">
        <v>37</v>
      </c>
      <c r="G1371" s="1936">
        <v>88</v>
      </c>
      <c r="H1371" s="1937">
        <f t="shared" si="756"/>
        <v>30800</v>
      </c>
      <c r="I1371" s="1938">
        <v>82</v>
      </c>
      <c r="J1371" s="1939">
        <f t="shared" si="757"/>
        <v>28700</v>
      </c>
      <c r="K1371" s="1864">
        <f t="shared" si="758"/>
        <v>59500</v>
      </c>
      <c r="L1371" s="1940"/>
      <c r="M1371" s="1941"/>
    </row>
    <row r="1372" spans="1:24">
      <c r="A1372" s="1901"/>
      <c r="B1372" s="1783"/>
      <c r="C1372" s="1867" t="s">
        <v>541</v>
      </c>
      <c r="D1372" s="1859"/>
      <c r="E1372" s="1860">
        <v>495</v>
      </c>
      <c r="F1372" s="1806" t="s">
        <v>37</v>
      </c>
      <c r="G1372" s="1936">
        <v>88</v>
      </c>
      <c r="H1372" s="1937">
        <f t="shared" si="756"/>
        <v>43560</v>
      </c>
      <c r="I1372" s="1938">
        <v>95</v>
      </c>
      <c r="J1372" s="1939">
        <f t="shared" si="757"/>
        <v>47025</v>
      </c>
      <c r="K1372" s="1864">
        <f t="shared" si="758"/>
        <v>90585</v>
      </c>
      <c r="L1372" s="1940"/>
      <c r="M1372" s="1941"/>
    </row>
    <row r="1373" spans="1:24">
      <c r="A1373" s="1901"/>
      <c r="B1373" s="1755" t="s">
        <v>475</v>
      </c>
      <c r="C1373" s="1867" t="s">
        <v>476</v>
      </c>
      <c r="D1373" s="1868"/>
      <c r="E1373" s="1942">
        <v>411</v>
      </c>
      <c r="F1373" s="1806" t="s">
        <v>37</v>
      </c>
      <c r="G1373" s="1936">
        <v>88</v>
      </c>
      <c r="H1373" s="1937">
        <f t="shared" si="756"/>
        <v>36168</v>
      </c>
      <c r="I1373" s="1938">
        <v>95</v>
      </c>
      <c r="J1373" s="1939">
        <f t="shared" si="757"/>
        <v>39045</v>
      </c>
      <c r="K1373" s="1864">
        <f t="shared" si="758"/>
        <v>75213</v>
      </c>
      <c r="L1373" s="1940" t="s">
        <v>2880</v>
      </c>
      <c r="M1373" s="1941"/>
    </row>
    <row r="1374" spans="1:24">
      <c r="A1374" s="1901"/>
      <c r="B1374" s="1755"/>
      <c r="C1374" s="1867" t="s">
        <v>477</v>
      </c>
      <c r="D1374" s="1868"/>
      <c r="E1374" s="1942">
        <f>E1373</f>
        <v>411</v>
      </c>
      <c r="F1374" s="1806" t="s">
        <v>37</v>
      </c>
      <c r="G1374" s="2297">
        <v>69</v>
      </c>
      <c r="H1374" s="1937">
        <f t="shared" si="756"/>
        <v>28359</v>
      </c>
      <c r="I1374" s="2298">
        <v>28</v>
      </c>
      <c r="J1374" s="1939">
        <f t="shared" si="757"/>
        <v>11508</v>
      </c>
      <c r="K1374" s="1864">
        <f t="shared" si="758"/>
        <v>39867</v>
      </c>
      <c r="L1374" s="2299"/>
      <c r="M1374" s="2300"/>
    </row>
    <row r="1375" spans="1:24">
      <c r="A1375" s="1901"/>
      <c r="B1375" s="1755" t="s">
        <v>478</v>
      </c>
      <c r="C1375" s="1867" t="s">
        <v>479</v>
      </c>
      <c r="D1375" s="1868"/>
      <c r="E1375" s="1942">
        <v>0</v>
      </c>
      <c r="F1375" s="1806" t="s">
        <v>37</v>
      </c>
      <c r="G1375" s="1936">
        <v>88</v>
      </c>
      <c r="H1375" s="1937">
        <f t="shared" si="756"/>
        <v>0</v>
      </c>
      <c r="I1375" s="1938">
        <v>82</v>
      </c>
      <c r="J1375" s="1939">
        <f t="shared" si="757"/>
        <v>0</v>
      </c>
      <c r="K1375" s="1864">
        <f t="shared" si="758"/>
        <v>0</v>
      </c>
      <c r="L1375" s="1940"/>
      <c r="M1375" s="1941"/>
    </row>
    <row r="1376" spans="1:24">
      <c r="A1376" s="1901"/>
      <c r="B1376" s="1755" t="s">
        <v>480</v>
      </c>
      <c r="C1376" s="1867" t="s">
        <v>476</v>
      </c>
      <c r="D1376" s="1868"/>
      <c r="E1376" s="1942">
        <v>158</v>
      </c>
      <c r="F1376" s="1806" t="s">
        <v>37</v>
      </c>
      <c r="G1376" s="1936">
        <v>88</v>
      </c>
      <c r="H1376" s="1937">
        <f t="shared" si="756"/>
        <v>13904</v>
      </c>
      <c r="I1376" s="1938">
        <v>82</v>
      </c>
      <c r="J1376" s="1939">
        <f t="shared" si="757"/>
        <v>12956</v>
      </c>
      <c r="K1376" s="1864">
        <f t="shared" si="758"/>
        <v>26860</v>
      </c>
      <c r="L1376" s="1940" t="s">
        <v>2880</v>
      </c>
      <c r="M1376" s="1941"/>
    </row>
    <row r="1377" spans="1:13">
      <c r="A1377" s="1901"/>
      <c r="B1377" s="1755"/>
      <c r="C1377" s="1867" t="s">
        <v>481</v>
      </c>
      <c r="D1377" s="1868"/>
      <c r="E1377" s="1942">
        <f>E1376</f>
        <v>158</v>
      </c>
      <c r="F1377" s="1806" t="s">
        <v>37</v>
      </c>
      <c r="G1377" s="2297">
        <v>69</v>
      </c>
      <c r="H1377" s="1937">
        <f t="shared" si="756"/>
        <v>10902</v>
      </c>
      <c r="I1377" s="2298">
        <v>28</v>
      </c>
      <c r="J1377" s="1939">
        <f t="shared" si="757"/>
        <v>4424</v>
      </c>
      <c r="K1377" s="1864">
        <f t="shared" si="758"/>
        <v>15326</v>
      </c>
      <c r="L1377" s="2299"/>
      <c r="M1377" s="2300"/>
    </row>
    <row r="1378" spans="1:13">
      <c r="A1378" s="1901"/>
      <c r="B1378" s="1755"/>
      <c r="C1378" s="1867"/>
      <c r="D1378" s="1868"/>
      <c r="E1378" s="1942"/>
      <c r="F1378" s="1806"/>
      <c r="G1378" s="2297"/>
      <c r="H1378" s="1937"/>
      <c r="I1378" s="2298"/>
      <c r="J1378" s="1939"/>
      <c r="K1378" s="1864"/>
      <c r="L1378" s="2299"/>
      <c r="M1378" s="2300"/>
    </row>
    <row r="1379" spans="1:13">
      <c r="A1379" s="1901"/>
      <c r="B1379" s="1755" t="s">
        <v>2787</v>
      </c>
      <c r="C1379" s="1867" t="s">
        <v>2788</v>
      </c>
      <c r="D1379" s="1868"/>
      <c r="E1379" s="1942">
        <v>0</v>
      </c>
      <c r="F1379" s="1806" t="s">
        <v>37</v>
      </c>
      <c r="G1379" s="1936">
        <v>103</v>
      </c>
      <c r="H1379" s="1937">
        <f t="shared" si="756"/>
        <v>0</v>
      </c>
      <c r="I1379" s="1938">
        <v>115</v>
      </c>
      <c r="J1379" s="1939">
        <f t="shared" si="757"/>
        <v>0</v>
      </c>
      <c r="K1379" s="1864">
        <f t="shared" si="758"/>
        <v>0</v>
      </c>
      <c r="L1379" s="1940" t="s">
        <v>2880</v>
      </c>
      <c r="M1379" s="1941"/>
    </row>
    <row r="1380" spans="1:13">
      <c r="A1380" s="1901"/>
      <c r="B1380" s="1755"/>
      <c r="C1380" s="1867" t="s">
        <v>482</v>
      </c>
      <c r="D1380" s="1868"/>
      <c r="E1380" s="1942">
        <f>E1379</f>
        <v>0</v>
      </c>
      <c r="F1380" s="1806" t="s">
        <v>37</v>
      </c>
      <c r="G1380" s="2297">
        <v>69</v>
      </c>
      <c r="H1380" s="1937">
        <f t="shared" si="756"/>
        <v>0</v>
      </c>
      <c r="I1380" s="2298">
        <v>28</v>
      </c>
      <c r="J1380" s="1939">
        <f t="shared" si="757"/>
        <v>0</v>
      </c>
      <c r="K1380" s="1864">
        <f t="shared" si="758"/>
        <v>0</v>
      </c>
      <c r="L1380" s="2299"/>
      <c r="M1380" s="2300"/>
    </row>
    <row r="1381" spans="1:13">
      <c r="A1381" s="1901"/>
      <c r="B1381" s="1755" t="s">
        <v>483</v>
      </c>
      <c r="C1381" s="1867" t="s">
        <v>484</v>
      </c>
      <c r="D1381" s="1868"/>
      <c r="E1381" s="1942">
        <v>0</v>
      </c>
      <c r="F1381" s="1806" t="s">
        <v>37</v>
      </c>
      <c r="G1381" s="1943">
        <v>1500</v>
      </c>
      <c r="H1381" s="1937">
        <f t="shared" si="756"/>
        <v>0</v>
      </c>
      <c r="I1381" s="1944">
        <v>500</v>
      </c>
      <c r="J1381" s="1939">
        <f t="shared" si="757"/>
        <v>0</v>
      </c>
      <c r="K1381" s="1864">
        <f t="shared" si="758"/>
        <v>0</v>
      </c>
      <c r="L1381" s="1865"/>
      <c r="M1381" s="1866"/>
    </row>
    <row r="1382" spans="1:13">
      <c r="A1382" s="1901"/>
      <c r="B1382" s="1755"/>
      <c r="C1382" s="1867" t="s">
        <v>482</v>
      </c>
      <c r="D1382" s="1868"/>
      <c r="E1382" s="1942">
        <v>0</v>
      </c>
      <c r="F1382" s="1806" t="s">
        <v>37</v>
      </c>
      <c r="G1382" s="2297">
        <v>69</v>
      </c>
      <c r="H1382" s="1937">
        <f t="shared" si="756"/>
        <v>0</v>
      </c>
      <c r="I1382" s="2298">
        <v>28</v>
      </c>
      <c r="J1382" s="1939">
        <f t="shared" si="757"/>
        <v>0</v>
      </c>
      <c r="K1382" s="1864">
        <f t="shared" si="758"/>
        <v>0</v>
      </c>
      <c r="L1382" s="2299"/>
      <c r="M1382" s="2300"/>
    </row>
    <row r="1383" spans="1:13">
      <c r="A1383" s="1901"/>
      <c r="B1383" s="1755" t="s">
        <v>485</v>
      </c>
      <c r="C1383" s="1867" t="s">
        <v>2789</v>
      </c>
      <c r="D1383" s="1868"/>
      <c r="E1383" s="1942">
        <v>0</v>
      </c>
      <c r="F1383" s="1806" t="s">
        <v>37</v>
      </c>
      <c r="G1383" s="1943">
        <v>492</v>
      </c>
      <c r="H1383" s="1937">
        <f t="shared" si="756"/>
        <v>0</v>
      </c>
      <c r="I1383" s="1944">
        <v>130</v>
      </c>
      <c r="J1383" s="1939">
        <f t="shared" si="757"/>
        <v>0</v>
      </c>
      <c r="K1383" s="1864">
        <f t="shared" si="758"/>
        <v>0</v>
      </c>
      <c r="L1383" s="2299"/>
      <c r="M1383" s="2300"/>
    </row>
    <row r="1384" spans="1:13">
      <c r="A1384" s="1901"/>
      <c r="B1384" s="1755"/>
      <c r="C1384" s="1867" t="s">
        <v>2790</v>
      </c>
      <c r="D1384" s="1868"/>
      <c r="E1384" s="1860"/>
      <c r="F1384" s="1860"/>
      <c r="G1384" s="1943"/>
      <c r="H1384" s="1861"/>
      <c r="I1384" s="1944"/>
      <c r="J1384" s="1939"/>
      <c r="K1384" s="1864"/>
      <c r="L1384" s="2299"/>
      <c r="M1384" s="2300"/>
    </row>
    <row r="1385" spans="1:13">
      <c r="A1385" s="1901"/>
      <c r="B1385" s="1755"/>
      <c r="C1385" s="1867" t="s">
        <v>486</v>
      </c>
      <c r="D1385" s="1868"/>
      <c r="E1385" s="1860"/>
      <c r="F1385" s="1860"/>
      <c r="G1385" s="1943"/>
      <c r="H1385" s="1861"/>
      <c r="I1385" s="1944"/>
      <c r="J1385" s="1939"/>
      <c r="K1385" s="1864"/>
      <c r="L1385" s="2299"/>
      <c r="M1385" s="2300"/>
    </row>
    <row r="1386" spans="1:13">
      <c r="A1386" s="1901"/>
      <c r="B1386" s="1755"/>
      <c r="C1386" s="1867"/>
      <c r="D1386" s="1868"/>
      <c r="E1386" s="1860"/>
      <c r="F1386" s="1860"/>
      <c r="G1386" s="1943"/>
      <c r="H1386" s="1861"/>
      <c r="I1386" s="1944"/>
      <c r="J1386" s="1939"/>
      <c r="K1386" s="1864"/>
      <c r="L1386" s="2299"/>
      <c r="M1386" s="2300"/>
    </row>
    <row r="1387" spans="1:13">
      <c r="A1387" s="1901"/>
      <c r="B1387" s="1755" t="s">
        <v>487</v>
      </c>
      <c r="C1387" s="1867" t="s">
        <v>2789</v>
      </c>
      <c r="D1387" s="1868"/>
      <c r="E1387" s="1942">
        <v>0</v>
      </c>
      <c r="F1387" s="1806" t="s">
        <v>37</v>
      </c>
      <c r="G1387" s="1943">
        <v>256</v>
      </c>
      <c r="H1387" s="1861">
        <f>E1387*G1387</f>
        <v>0</v>
      </c>
      <c r="I1387" s="1944">
        <v>100</v>
      </c>
      <c r="J1387" s="1939">
        <f>E1387*I1387</f>
        <v>0</v>
      </c>
      <c r="K1387" s="1864">
        <f t="shared" ref="K1387" si="759">H1387+J1387</f>
        <v>0</v>
      </c>
      <c r="L1387" s="2299"/>
      <c r="M1387" s="2300"/>
    </row>
    <row r="1388" spans="1:13">
      <c r="A1388" s="1901"/>
      <c r="B1388" s="1755"/>
      <c r="C1388" s="1867" t="s">
        <v>2791</v>
      </c>
      <c r="D1388" s="1868"/>
      <c r="E1388" s="1860"/>
      <c r="F1388" s="1860"/>
      <c r="G1388" s="1943"/>
      <c r="H1388" s="1861"/>
      <c r="I1388" s="1944"/>
      <c r="J1388" s="1939"/>
      <c r="K1388" s="1864"/>
      <c r="L1388" s="2299"/>
      <c r="M1388" s="2300"/>
    </row>
    <row r="1389" spans="1:13">
      <c r="A1389" s="1901"/>
      <c r="B1389" s="1755"/>
      <c r="C1389" s="1867" t="s">
        <v>486</v>
      </c>
      <c r="D1389" s="1868"/>
      <c r="E1389" s="1860"/>
      <c r="F1389" s="1860"/>
      <c r="G1389" s="1943"/>
      <c r="H1389" s="1861"/>
      <c r="I1389" s="1944"/>
      <c r="J1389" s="1939"/>
      <c r="K1389" s="1864"/>
      <c r="L1389" s="2299"/>
      <c r="M1389" s="1941"/>
    </row>
    <row r="1390" spans="1:13">
      <c r="A1390" s="1901"/>
      <c r="B1390" s="1755" t="s">
        <v>488</v>
      </c>
      <c r="C1390" s="1867" t="s">
        <v>2926</v>
      </c>
      <c r="D1390" s="1868"/>
      <c r="E1390" s="1942">
        <v>0</v>
      </c>
      <c r="F1390" s="1806" t="s">
        <v>37</v>
      </c>
      <c r="G1390" s="1943">
        <v>350</v>
      </c>
      <c r="H1390" s="1861">
        <f>E1390*G1390</f>
        <v>0</v>
      </c>
      <c r="I1390" s="1944">
        <v>100</v>
      </c>
      <c r="J1390" s="1939">
        <f>E1390*I1390</f>
        <v>0</v>
      </c>
      <c r="K1390" s="1864">
        <f t="shared" ref="K1390" si="760">H1390+J1390</f>
        <v>0</v>
      </c>
      <c r="L1390" s="2299"/>
      <c r="M1390" s="2300"/>
    </row>
    <row r="1391" spans="1:13">
      <c r="A1391" s="1901"/>
      <c r="B1391" s="1755"/>
      <c r="C1391" s="1867" t="s">
        <v>2793</v>
      </c>
      <c r="D1391" s="1868"/>
      <c r="E1391" s="1860"/>
      <c r="F1391" s="1860"/>
      <c r="G1391" s="1943"/>
      <c r="H1391" s="1861"/>
      <c r="I1391" s="1944"/>
      <c r="J1391" s="1939"/>
      <c r="K1391" s="1864"/>
      <c r="L1391" s="1940"/>
      <c r="M1391" s="2300"/>
    </row>
    <row r="1392" spans="1:13">
      <c r="A1392" s="1901"/>
      <c r="B1392" s="1755"/>
      <c r="C1392" s="1867" t="s">
        <v>489</v>
      </c>
      <c r="D1392" s="1868"/>
      <c r="E1392" s="1942">
        <f>E1390</f>
        <v>0</v>
      </c>
      <c r="F1392" s="1806" t="s">
        <v>37</v>
      </c>
      <c r="G1392" s="2297">
        <v>69</v>
      </c>
      <c r="H1392" s="1861">
        <f>E1392*G1392</f>
        <v>0</v>
      </c>
      <c r="I1392" s="2298">
        <v>28</v>
      </c>
      <c r="J1392" s="1939">
        <f>E1392*I1392</f>
        <v>0</v>
      </c>
      <c r="K1392" s="1864">
        <f t="shared" ref="K1392:K1396" si="761">H1392+J1392</f>
        <v>0</v>
      </c>
      <c r="L1392" s="2299"/>
      <c r="M1392" s="1941"/>
    </row>
    <row r="1393" spans="1:24" ht="24" customHeight="1">
      <c r="A1393" s="1901"/>
      <c r="B1393" s="1945" t="s">
        <v>2901</v>
      </c>
      <c r="C1393" s="1867" t="s">
        <v>2902</v>
      </c>
      <c r="D1393" s="1868"/>
      <c r="E1393" s="1942">
        <v>0</v>
      </c>
      <c r="F1393" s="1806" t="s">
        <v>37</v>
      </c>
      <c r="G1393" s="1944">
        <v>195</v>
      </c>
      <c r="H1393" s="1939">
        <f>E1393*G1393</f>
        <v>0</v>
      </c>
      <c r="I1393" s="1944">
        <v>150</v>
      </c>
      <c r="J1393" s="1939">
        <f t="shared" ref="J1393" si="762">E1393*I1393</f>
        <v>0</v>
      </c>
      <c r="K1393" s="1864">
        <f t="shared" si="761"/>
        <v>0</v>
      </c>
      <c r="L1393" s="2299"/>
      <c r="N1393" s="1836"/>
      <c r="O1393" s="1837"/>
      <c r="P1393" s="1837"/>
      <c r="Q1393" s="1837"/>
      <c r="R1393" s="1837"/>
      <c r="S1393" s="1837"/>
      <c r="T1393" s="1837"/>
      <c r="U1393" s="1837"/>
      <c r="V1393" s="1837"/>
      <c r="W1393" s="1837"/>
      <c r="X1393" s="1837"/>
    </row>
    <row r="1394" spans="1:24" ht="24" customHeight="1">
      <c r="A1394" s="1901"/>
      <c r="B1394" s="1755"/>
      <c r="C1394" s="1867" t="s">
        <v>2903</v>
      </c>
      <c r="D1394" s="1868"/>
      <c r="E1394" s="1860"/>
      <c r="F1394" s="1860"/>
      <c r="G1394" s="1944"/>
      <c r="H1394" s="1939"/>
      <c r="I1394" s="1944"/>
      <c r="J1394" s="1939"/>
      <c r="K1394" s="1864"/>
      <c r="L1394" s="1940"/>
      <c r="M1394" s="1946"/>
      <c r="N1394" s="1836"/>
      <c r="O1394" s="1837"/>
      <c r="P1394" s="1837"/>
      <c r="Q1394" s="1837"/>
      <c r="R1394" s="1837"/>
      <c r="S1394" s="1837"/>
      <c r="T1394" s="1837"/>
      <c r="U1394" s="1837"/>
      <c r="V1394" s="1837"/>
      <c r="W1394" s="1837"/>
      <c r="X1394" s="1837"/>
    </row>
    <row r="1395" spans="1:24" ht="24" customHeight="1">
      <c r="A1395" s="1901"/>
      <c r="B1395" s="1755"/>
      <c r="C1395" s="1867" t="s">
        <v>2904</v>
      </c>
      <c r="D1395" s="1868"/>
      <c r="E1395" s="1942">
        <f>E1393</f>
        <v>0</v>
      </c>
      <c r="F1395" s="1806" t="s">
        <v>37</v>
      </c>
      <c r="G1395" s="2298">
        <v>120</v>
      </c>
      <c r="H1395" s="1947">
        <f>SUM(E1395*G1395)</f>
        <v>0</v>
      </c>
      <c r="I1395" s="2298">
        <v>56</v>
      </c>
      <c r="J1395" s="1939">
        <f>E1395*I1395</f>
        <v>0</v>
      </c>
      <c r="K1395" s="1864">
        <f>H1395+J1395</f>
        <v>0</v>
      </c>
      <c r="L1395" s="2299"/>
      <c r="M1395" s="1946"/>
      <c r="N1395" s="1836"/>
      <c r="O1395" s="1837"/>
      <c r="P1395" s="1837"/>
      <c r="Q1395" s="1837"/>
      <c r="R1395" s="1837"/>
      <c r="S1395" s="1837"/>
      <c r="T1395" s="1837"/>
      <c r="U1395" s="1837"/>
      <c r="V1395" s="1837"/>
      <c r="W1395" s="1837"/>
      <c r="X1395" s="1837"/>
    </row>
    <row r="1396" spans="1:24">
      <c r="A1396" s="1901"/>
      <c r="B1396" s="1755" t="s">
        <v>490</v>
      </c>
      <c r="C1396" s="1867" t="s">
        <v>2789</v>
      </c>
      <c r="D1396" s="1868"/>
      <c r="E1396" s="1942">
        <v>0</v>
      </c>
      <c r="F1396" s="1806" t="s">
        <v>37</v>
      </c>
      <c r="G1396" s="1943">
        <v>592</v>
      </c>
      <c r="H1396" s="1861">
        <f>E1396*G1396</f>
        <v>0</v>
      </c>
      <c r="I1396" s="1944">
        <v>165</v>
      </c>
      <c r="J1396" s="1939">
        <f>E1396*I1396</f>
        <v>0</v>
      </c>
      <c r="K1396" s="1864">
        <f t="shared" si="761"/>
        <v>0</v>
      </c>
      <c r="L1396" s="2299"/>
      <c r="M1396" s="2300"/>
    </row>
    <row r="1397" spans="1:24">
      <c r="A1397" s="1901"/>
      <c r="B1397" s="1755"/>
      <c r="C1397" s="1867" t="s">
        <v>2790</v>
      </c>
      <c r="D1397" s="1868"/>
      <c r="E1397" s="1860"/>
      <c r="F1397" s="1860"/>
      <c r="G1397" s="1943"/>
      <c r="H1397" s="1861"/>
      <c r="I1397" s="1944"/>
      <c r="J1397" s="1939"/>
      <c r="K1397" s="1864"/>
      <c r="L1397" s="1940"/>
      <c r="M1397" s="1941"/>
    </row>
    <row r="1398" spans="1:24">
      <c r="A1398" s="1901"/>
      <c r="B1398" s="1755"/>
      <c r="C1398" s="1867" t="s">
        <v>2794</v>
      </c>
      <c r="D1398" s="1868"/>
      <c r="E1398" s="1860"/>
      <c r="F1398" s="1860"/>
      <c r="G1398" s="1943"/>
      <c r="H1398" s="1861"/>
      <c r="I1398" s="1944"/>
      <c r="J1398" s="1939"/>
      <c r="K1398" s="1864"/>
      <c r="L1398" s="1940"/>
      <c r="M1398" s="1941"/>
    </row>
    <row r="1399" spans="1:24">
      <c r="A1399" s="1901"/>
      <c r="B1399" s="1755"/>
      <c r="C1399" s="1867"/>
      <c r="D1399" s="1868"/>
      <c r="E1399" s="1860"/>
      <c r="F1399" s="1860"/>
      <c r="G1399" s="1943"/>
      <c r="H1399" s="1861"/>
      <c r="I1399" s="1944"/>
      <c r="J1399" s="1939"/>
      <c r="K1399" s="1864"/>
      <c r="L1399" s="1940"/>
      <c r="M1399" s="1941"/>
    </row>
    <row r="1400" spans="1:24">
      <c r="A1400" s="1901"/>
      <c r="B1400" s="1755" t="s">
        <v>491</v>
      </c>
      <c r="C1400" s="1867" t="s">
        <v>2795</v>
      </c>
      <c r="D1400" s="1868"/>
      <c r="E1400" s="1942">
        <v>0</v>
      </c>
      <c r="F1400" s="1806" t="s">
        <v>37</v>
      </c>
      <c r="G1400" s="1943"/>
      <c r="H1400" s="1861"/>
      <c r="I1400" s="1944"/>
      <c r="J1400" s="1939"/>
      <c r="K1400" s="1864"/>
      <c r="L1400" s="2299"/>
      <c r="M1400" s="1949"/>
    </row>
    <row r="1401" spans="1:24">
      <c r="A1401" s="1901"/>
      <c r="B1401" s="1755"/>
      <c r="C1401" s="1867" t="s">
        <v>2792</v>
      </c>
      <c r="D1401" s="1868"/>
      <c r="E1401" s="1860"/>
      <c r="F1401" s="1860"/>
      <c r="G1401" s="1943">
        <v>642</v>
      </c>
      <c r="H1401" s="1861">
        <f>E1401*G1401</f>
        <v>0</v>
      </c>
      <c r="I1401" s="1944">
        <v>183</v>
      </c>
      <c r="J1401" s="1939">
        <f>E1401*I1401</f>
        <v>0</v>
      </c>
      <c r="K1401" s="1864">
        <f t="shared" ref="K1401" si="763">H1401+J1401</f>
        <v>0</v>
      </c>
      <c r="L1401" s="1940"/>
      <c r="M1401" s="1941"/>
    </row>
    <row r="1402" spans="1:24">
      <c r="A1402" s="1901"/>
      <c r="B1402" s="1755"/>
      <c r="C1402" s="1867" t="s">
        <v>542</v>
      </c>
      <c r="D1402" s="1868"/>
      <c r="E1402" s="1860"/>
      <c r="F1402" s="1860"/>
      <c r="G1402" s="1943"/>
      <c r="H1402" s="1861"/>
      <c r="I1402" s="1944"/>
      <c r="J1402" s="1939"/>
      <c r="K1402" s="1864"/>
      <c r="L1402" s="1940"/>
      <c r="M1402" s="2300"/>
    </row>
    <row r="1403" spans="1:24">
      <c r="A1403" s="1901"/>
      <c r="B1403" s="1755"/>
      <c r="C1403" s="1867" t="s">
        <v>2796</v>
      </c>
      <c r="D1403" s="1868"/>
      <c r="E1403" s="1860"/>
      <c r="F1403" s="1860"/>
      <c r="G1403" s="1943"/>
      <c r="H1403" s="1861"/>
      <c r="I1403" s="1944"/>
      <c r="J1403" s="1939"/>
      <c r="K1403" s="1864"/>
      <c r="L1403" s="1940"/>
      <c r="M1403" s="1941"/>
    </row>
    <row r="1404" spans="1:24">
      <c r="A1404" s="1901"/>
      <c r="B1404" s="1755" t="s">
        <v>492</v>
      </c>
      <c r="C1404" s="1867" t="s">
        <v>2797</v>
      </c>
      <c r="D1404" s="1868"/>
      <c r="E1404" s="1942">
        <v>0</v>
      </c>
      <c r="F1404" s="1806" t="s">
        <v>37</v>
      </c>
      <c r="G1404" s="1943">
        <v>520</v>
      </c>
      <c r="H1404" s="1861">
        <f>E1404*G1404</f>
        <v>0</v>
      </c>
      <c r="I1404" s="1944">
        <v>270</v>
      </c>
      <c r="J1404" s="1939">
        <f>E1404*I1404</f>
        <v>0</v>
      </c>
      <c r="K1404" s="1864">
        <f t="shared" ref="K1404" si="764">H1404+J1404</f>
        <v>0</v>
      </c>
      <c r="L1404" s="1948"/>
      <c r="M1404" s="1941"/>
    </row>
    <row r="1405" spans="1:24">
      <c r="A1405" s="1901"/>
      <c r="B1405" s="1755"/>
      <c r="C1405" s="1867" t="s">
        <v>2798</v>
      </c>
      <c r="D1405" s="1868"/>
      <c r="E1405" s="1860">
        <v>0</v>
      </c>
      <c r="F1405" s="1860"/>
      <c r="G1405" s="1943"/>
      <c r="H1405" s="1861"/>
      <c r="I1405" s="1944"/>
      <c r="J1405" s="1939"/>
      <c r="K1405" s="1864"/>
      <c r="L1405" s="1940"/>
      <c r="M1405" s="1941"/>
    </row>
    <row r="1406" spans="1:24">
      <c r="A1406" s="1901"/>
      <c r="B1406" s="1755"/>
      <c r="C1406" s="1867" t="s">
        <v>493</v>
      </c>
      <c r="D1406" s="1868"/>
      <c r="E1406" s="1860"/>
      <c r="F1406" s="1860"/>
      <c r="G1406" s="1943"/>
      <c r="H1406" s="1861"/>
      <c r="I1406" s="1944"/>
      <c r="J1406" s="1939"/>
      <c r="K1406" s="1864"/>
      <c r="L1406" s="1940"/>
      <c r="M1406" s="1941"/>
    </row>
    <row r="1407" spans="1:24">
      <c r="A1407" s="1901"/>
      <c r="B1407" s="1755"/>
      <c r="C1407" s="1867"/>
      <c r="D1407" s="1868"/>
      <c r="E1407" s="1860"/>
      <c r="F1407" s="1860"/>
      <c r="G1407" s="1943"/>
      <c r="H1407" s="1861"/>
      <c r="I1407" s="1944"/>
      <c r="J1407" s="1939"/>
      <c r="K1407" s="1864"/>
      <c r="L1407" s="1940"/>
      <c r="M1407" s="1941"/>
    </row>
    <row r="1408" spans="1:24">
      <c r="A1408" s="1901"/>
      <c r="B1408" s="1755"/>
      <c r="C1408" s="1867"/>
      <c r="D1408" s="1868"/>
      <c r="E1408" s="1860"/>
      <c r="F1408" s="1860"/>
      <c r="G1408" s="1943"/>
      <c r="H1408" s="1861"/>
      <c r="I1408" s="1944"/>
      <c r="J1408" s="1939"/>
      <c r="K1408" s="1864"/>
      <c r="L1408" s="1940"/>
      <c r="M1408" s="1941"/>
    </row>
    <row r="1409" spans="1:13">
      <c r="A1409" s="1901"/>
      <c r="B1409" s="1755"/>
      <c r="C1409" s="1867"/>
      <c r="D1409" s="1868"/>
      <c r="E1409" s="1860"/>
      <c r="F1409" s="1860"/>
      <c r="G1409" s="1943"/>
      <c r="H1409" s="1861"/>
      <c r="I1409" s="1944"/>
      <c r="J1409" s="1939"/>
      <c r="K1409" s="1864"/>
      <c r="L1409" s="1940"/>
      <c r="M1409" s="1941"/>
    </row>
    <row r="1410" spans="1:13">
      <c r="A1410" s="1901"/>
      <c r="B1410" s="1755" t="s">
        <v>494</v>
      </c>
      <c r="C1410" s="1867" t="s">
        <v>2799</v>
      </c>
      <c r="D1410" s="1868"/>
      <c r="E1410" s="1942">
        <v>0</v>
      </c>
      <c r="F1410" s="1806" t="s">
        <v>37</v>
      </c>
      <c r="G1410" s="1943">
        <v>256</v>
      </c>
      <c r="H1410" s="1861">
        <f>E1410*G1410</f>
        <v>0</v>
      </c>
      <c r="I1410" s="1944">
        <v>100</v>
      </c>
      <c r="J1410" s="1939">
        <f>E1410*I1410</f>
        <v>0</v>
      </c>
      <c r="K1410" s="1864">
        <f>H1410+J1410</f>
        <v>0</v>
      </c>
      <c r="L1410" s="2299"/>
      <c r="M1410" s="1941"/>
    </row>
    <row r="1411" spans="1:13">
      <c r="A1411" s="1901"/>
      <c r="B1411" s="1755"/>
      <c r="C1411" s="1867" t="s">
        <v>2800</v>
      </c>
      <c r="D1411" s="1868"/>
      <c r="E1411" s="1860"/>
      <c r="F1411" s="1860"/>
      <c r="G1411" s="1943"/>
      <c r="H1411" s="1861"/>
      <c r="I1411" s="1944"/>
      <c r="J1411" s="1939"/>
      <c r="K1411" s="1864"/>
      <c r="L1411" s="1940"/>
      <c r="M1411" s="1941"/>
    </row>
    <row r="1412" spans="1:13">
      <c r="A1412" s="1901"/>
      <c r="B1412" s="1755"/>
      <c r="C1412" s="1867" t="s">
        <v>495</v>
      </c>
      <c r="D1412" s="1868"/>
      <c r="E1412" s="1860"/>
      <c r="F1412" s="1860"/>
      <c r="G1412" s="1943"/>
      <c r="H1412" s="1861"/>
      <c r="I1412" s="1944"/>
      <c r="J1412" s="1939"/>
      <c r="K1412" s="1864"/>
      <c r="L1412" s="1940"/>
      <c r="M1412" s="1941"/>
    </row>
    <row r="1413" spans="1:13">
      <c r="A1413" s="1901"/>
      <c r="B1413" s="1755"/>
      <c r="C1413" s="1867" t="s">
        <v>496</v>
      </c>
      <c r="D1413" s="1868"/>
      <c r="E1413" s="1860">
        <f>+E1410</f>
        <v>0</v>
      </c>
      <c r="F1413" s="1806" t="s">
        <v>37</v>
      </c>
      <c r="G1413" s="1936">
        <v>520</v>
      </c>
      <c r="H1413" s="1861">
        <f>E1413*G1413</f>
        <v>0</v>
      </c>
      <c r="I1413" s="1938">
        <v>30</v>
      </c>
      <c r="J1413" s="1939">
        <f>E1413*I1413</f>
        <v>0</v>
      </c>
      <c r="K1413" s="1864">
        <f>H1413+J1413</f>
        <v>0</v>
      </c>
      <c r="L1413" s="1940" t="s">
        <v>2881</v>
      </c>
      <c r="M1413" s="1941"/>
    </row>
    <row r="1414" spans="1:13">
      <c r="A1414" s="1901"/>
      <c r="B1414" s="1755" t="s">
        <v>497</v>
      </c>
      <c r="C1414" s="1867" t="s">
        <v>498</v>
      </c>
      <c r="D1414" s="1868"/>
      <c r="E1414" s="1942">
        <v>0</v>
      </c>
      <c r="F1414" s="1806" t="s">
        <v>37</v>
      </c>
      <c r="G1414" s="1936">
        <v>91</v>
      </c>
      <c r="H1414" s="1861">
        <f t="shared" ref="H1414:H1420" si="765">E1414*G1414</f>
        <v>0</v>
      </c>
      <c r="I1414" s="1938">
        <v>100</v>
      </c>
      <c r="J1414" s="1939">
        <f t="shared" ref="J1414:J1420" si="766">E1414*I1414</f>
        <v>0</v>
      </c>
      <c r="K1414" s="1864">
        <f t="shared" ref="K1414:K1420" si="767">H1414+J1414</f>
        <v>0</v>
      </c>
      <c r="L1414" s="1940"/>
      <c r="M1414" s="1941"/>
    </row>
    <row r="1415" spans="1:13">
      <c r="A1415" s="1901"/>
      <c r="B1415" s="1755" t="s">
        <v>499</v>
      </c>
      <c r="C1415" s="1867" t="s">
        <v>500</v>
      </c>
      <c r="D1415" s="1868"/>
      <c r="E1415" s="1942">
        <v>0</v>
      </c>
      <c r="F1415" s="1806" t="s">
        <v>37</v>
      </c>
      <c r="G1415" s="1936">
        <v>294</v>
      </c>
      <c r="H1415" s="1861">
        <f t="shared" si="765"/>
        <v>0</v>
      </c>
      <c r="I1415" s="1938">
        <v>189</v>
      </c>
      <c r="J1415" s="1939">
        <f t="shared" si="766"/>
        <v>0</v>
      </c>
      <c r="K1415" s="1864">
        <f t="shared" si="767"/>
        <v>0</v>
      </c>
      <c r="L1415" s="1940"/>
      <c r="M1415" s="1941"/>
    </row>
    <row r="1416" spans="1:13" ht="18" customHeight="1">
      <c r="A1416" s="1901"/>
      <c r="B1416" s="1755" t="s">
        <v>501</v>
      </c>
      <c r="C1416" s="1867" t="s">
        <v>502</v>
      </c>
      <c r="D1416" s="1868"/>
      <c r="E1416" s="1942">
        <v>0</v>
      </c>
      <c r="F1416" s="119" t="s">
        <v>37</v>
      </c>
      <c r="G1416" s="2294">
        <v>608</v>
      </c>
      <c r="H1416" s="1882">
        <f t="shared" si="765"/>
        <v>0</v>
      </c>
      <c r="I1416" s="1951">
        <v>189</v>
      </c>
      <c r="J1416" s="1876">
        <f t="shared" si="766"/>
        <v>0</v>
      </c>
      <c r="K1416" s="1890">
        <f t="shared" si="767"/>
        <v>0</v>
      </c>
      <c r="L1416" s="1940"/>
      <c r="M1416" s="1941"/>
    </row>
    <row r="1417" spans="1:13">
      <c r="A1417" s="1901"/>
      <c r="B1417" s="1755" t="s">
        <v>2918</v>
      </c>
      <c r="C1417" s="1867" t="s">
        <v>502</v>
      </c>
      <c r="D1417" s="1868"/>
      <c r="E1417" s="1942">
        <v>0</v>
      </c>
      <c r="F1417" s="67" t="s">
        <v>37</v>
      </c>
      <c r="G1417" s="2294">
        <v>399</v>
      </c>
      <c r="H1417" s="1882">
        <f t="shared" si="765"/>
        <v>0</v>
      </c>
      <c r="I1417" s="1951">
        <v>189</v>
      </c>
      <c r="J1417" s="1876">
        <f t="shared" si="766"/>
        <v>0</v>
      </c>
      <c r="K1417" s="1890">
        <f t="shared" si="767"/>
        <v>0</v>
      </c>
      <c r="L1417" s="1940"/>
      <c r="M1417" s="1941"/>
    </row>
    <row r="1418" spans="1:13">
      <c r="A1418" s="1901"/>
      <c r="B1418" s="1755" t="s">
        <v>503</v>
      </c>
      <c r="C1418" s="1867" t="s">
        <v>2801</v>
      </c>
      <c r="D1418" s="1868"/>
      <c r="E1418" s="1942">
        <v>0</v>
      </c>
      <c r="F1418" s="1806" t="s">
        <v>37</v>
      </c>
      <c r="G1418" s="1936">
        <v>88</v>
      </c>
      <c r="H1418" s="1861">
        <f t="shared" si="765"/>
        <v>0</v>
      </c>
      <c r="I1418" s="1938">
        <v>82</v>
      </c>
      <c r="J1418" s="1939">
        <f t="shared" si="766"/>
        <v>0</v>
      </c>
      <c r="K1418" s="1864">
        <f t="shared" si="767"/>
        <v>0</v>
      </c>
      <c r="L1418" s="1940" t="s">
        <v>2882</v>
      </c>
      <c r="M1418" s="1941"/>
    </row>
    <row r="1419" spans="1:13">
      <c r="A1419" s="1901"/>
      <c r="B1419" s="1755"/>
      <c r="C1419" s="1867" t="s">
        <v>504</v>
      </c>
      <c r="D1419" s="1868"/>
      <c r="E1419" s="1942">
        <v>0</v>
      </c>
      <c r="F1419" s="1806" t="s">
        <v>37</v>
      </c>
      <c r="G1419" s="2297">
        <v>69</v>
      </c>
      <c r="H1419" s="1861">
        <f t="shared" si="765"/>
        <v>0</v>
      </c>
      <c r="I1419" s="2301">
        <v>28</v>
      </c>
      <c r="J1419" s="1939">
        <f t="shared" si="766"/>
        <v>0</v>
      </c>
      <c r="K1419" s="1864">
        <f t="shared" si="767"/>
        <v>0</v>
      </c>
      <c r="L1419" s="1940"/>
      <c r="M1419" s="1941"/>
    </row>
    <row r="1420" spans="1:13">
      <c r="A1420" s="1901"/>
      <c r="B1420" s="1755" t="s">
        <v>505</v>
      </c>
      <c r="C1420" s="1867" t="s">
        <v>502</v>
      </c>
      <c r="D1420" s="1868"/>
      <c r="E1420" s="1942">
        <v>0</v>
      </c>
      <c r="F1420" s="1806" t="s">
        <v>37</v>
      </c>
      <c r="G1420" s="1936">
        <v>870</v>
      </c>
      <c r="H1420" s="1861">
        <f t="shared" si="765"/>
        <v>0</v>
      </c>
      <c r="I1420" s="1938">
        <v>242</v>
      </c>
      <c r="J1420" s="1939">
        <f t="shared" si="766"/>
        <v>0</v>
      </c>
      <c r="K1420" s="1864">
        <f t="shared" si="767"/>
        <v>0</v>
      </c>
      <c r="L1420" s="1940"/>
      <c r="M1420" s="1941"/>
    </row>
    <row r="1421" spans="1:13">
      <c r="A1421" s="1901"/>
      <c r="B1421" s="1755"/>
      <c r="C1421" s="1867" t="s">
        <v>506</v>
      </c>
      <c r="D1421" s="1868"/>
      <c r="E1421" s="1860"/>
      <c r="F1421" s="1860"/>
      <c r="G1421" s="1943"/>
      <c r="H1421" s="1861"/>
      <c r="I1421" s="1944"/>
      <c r="J1421" s="1939"/>
      <c r="K1421" s="1864"/>
      <c r="L1421" s="1940"/>
      <c r="M1421" s="1866"/>
    </row>
    <row r="1422" spans="1:13">
      <c r="A1422" s="1901"/>
      <c r="B1422" s="1755" t="s">
        <v>2919</v>
      </c>
      <c r="C1422" s="1867" t="s">
        <v>502</v>
      </c>
      <c r="D1422" s="1868"/>
      <c r="E1422" s="1942">
        <v>0</v>
      </c>
      <c r="F1422" s="1806" t="s">
        <v>37</v>
      </c>
      <c r="G1422" s="1953">
        <v>765</v>
      </c>
      <c r="H1422" s="1882">
        <f>E1422*G1422</f>
        <v>0</v>
      </c>
      <c r="I1422" s="1951">
        <v>242</v>
      </c>
      <c r="J1422" s="1939">
        <f t="shared" ref="J1422" si="768">E1422*I1422</f>
        <v>0</v>
      </c>
      <c r="K1422" s="1864">
        <f t="shared" ref="K1422" si="769">H1422+J1422</f>
        <v>0</v>
      </c>
      <c r="L1422" s="1940"/>
      <c r="M1422" s="1941"/>
    </row>
    <row r="1423" spans="1:13">
      <c r="A1423" s="1901"/>
      <c r="B1423" s="1755"/>
      <c r="C1423" s="1867" t="s">
        <v>506</v>
      </c>
      <c r="D1423" s="1868"/>
      <c r="E1423" s="1860"/>
      <c r="F1423" s="1860"/>
      <c r="G1423" s="1943"/>
      <c r="H1423" s="1861"/>
      <c r="I1423" s="1944"/>
      <c r="J1423" s="1939"/>
      <c r="K1423" s="1864"/>
      <c r="L1423" s="1940"/>
      <c r="M1423" s="1941"/>
    </row>
    <row r="1424" spans="1:13">
      <c r="A1424" s="1901"/>
      <c r="B1424" s="1755" t="s">
        <v>507</v>
      </c>
      <c r="C1424" s="1867" t="s">
        <v>508</v>
      </c>
      <c r="D1424" s="1868"/>
      <c r="E1424" s="1942">
        <v>0</v>
      </c>
      <c r="F1424" s="1806" t="s">
        <v>37</v>
      </c>
      <c r="G1424" s="1936">
        <v>0</v>
      </c>
      <c r="H1424" s="1861">
        <f t="shared" ref="H1424:H1425" si="770">E1424*G1424</f>
        <v>0</v>
      </c>
      <c r="I1424" s="1938">
        <v>0</v>
      </c>
      <c r="J1424" s="1939">
        <f t="shared" ref="J1424:J1425" si="771">E1424*I1424</f>
        <v>0</v>
      </c>
      <c r="K1424" s="1864">
        <f t="shared" ref="K1424:K1425" si="772">H1424+J1424</f>
        <v>0</v>
      </c>
      <c r="L1424" s="1940"/>
      <c r="M1424" s="1941"/>
    </row>
    <row r="1425" spans="1:13">
      <c r="A1425" s="1901"/>
      <c r="B1425" s="1755" t="s">
        <v>510</v>
      </c>
      <c r="C1425" s="1755" t="s">
        <v>2802</v>
      </c>
      <c r="D1425" s="1755"/>
      <c r="E1425" s="1942">
        <v>0</v>
      </c>
      <c r="F1425" s="1806" t="s">
        <v>37</v>
      </c>
      <c r="G1425" s="1936">
        <v>1296</v>
      </c>
      <c r="H1425" s="1861">
        <f t="shared" si="770"/>
        <v>0</v>
      </c>
      <c r="I1425" s="1938">
        <v>1600</v>
      </c>
      <c r="J1425" s="1939">
        <f t="shared" si="771"/>
        <v>0</v>
      </c>
      <c r="K1425" s="1864">
        <f t="shared" si="772"/>
        <v>0</v>
      </c>
      <c r="L1425" s="1940"/>
      <c r="M1425" s="1941"/>
    </row>
    <row r="1426" spans="1:13">
      <c r="A1426" s="1901"/>
      <c r="B1426" s="1755"/>
      <c r="C1426" s="1755" t="s">
        <v>512</v>
      </c>
      <c r="D1426" s="1755"/>
      <c r="E1426" s="1860"/>
      <c r="F1426" s="1860"/>
      <c r="G1426" s="1936"/>
      <c r="H1426" s="1937"/>
      <c r="I1426" s="1938"/>
      <c r="J1426" s="1939"/>
      <c r="K1426" s="1864"/>
      <c r="L1426" s="1940"/>
      <c r="M1426" s="1941"/>
    </row>
    <row r="1427" spans="1:13">
      <c r="A1427" s="1901"/>
      <c r="B1427" s="1755" t="s">
        <v>513</v>
      </c>
      <c r="C1427" s="1867" t="s">
        <v>514</v>
      </c>
      <c r="D1427" s="1868"/>
      <c r="E1427" s="1942">
        <v>0</v>
      </c>
      <c r="F1427" s="1806" t="s">
        <v>37</v>
      </c>
      <c r="G1427" s="1936">
        <v>1090</v>
      </c>
      <c r="H1427" s="1861">
        <f t="shared" ref="H1427:H1428" si="773">E1427*G1427</f>
        <v>0</v>
      </c>
      <c r="I1427" s="1938">
        <v>900</v>
      </c>
      <c r="J1427" s="1939">
        <f t="shared" ref="J1427:J1428" si="774">E1427*I1427</f>
        <v>0</v>
      </c>
      <c r="K1427" s="1864">
        <f t="shared" ref="K1427:K1428" si="775">H1427+J1427</f>
        <v>0</v>
      </c>
      <c r="L1427" s="1940"/>
      <c r="M1427" s="1941"/>
    </row>
    <row r="1428" spans="1:13">
      <c r="A1428" s="1901"/>
      <c r="B1428" s="2109" t="s">
        <v>515</v>
      </c>
      <c r="C1428" s="1755" t="s">
        <v>2905</v>
      </c>
      <c r="D1428" s="1961"/>
      <c r="E1428" s="1942">
        <v>0</v>
      </c>
      <c r="F1428" s="1806" t="s">
        <v>37</v>
      </c>
      <c r="G1428" s="1936">
        <v>1600</v>
      </c>
      <c r="H1428" s="1861">
        <f t="shared" si="773"/>
        <v>0</v>
      </c>
      <c r="I1428" s="1938">
        <v>500</v>
      </c>
      <c r="J1428" s="1939">
        <f t="shared" si="774"/>
        <v>0</v>
      </c>
      <c r="K1428" s="1864">
        <f t="shared" si="775"/>
        <v>0</v>
      </c>
      <c r="L1428" s="1940"/>
      <c r="M1428" s="2300"/>
    </row>
    <row r="1429" spans="1:13">
      <c r="A1429" s="1901"/>
      <c r="B1429" s="2109"/>
      <c r="C1429" s="1755" t="s">
        <v>517</v>
      </c>
      <c r="D1429" s="1961"/>
      <c r="E1429" s="1942"/>
      <c r="F1429" s="1806"/>
      <c r="G1429" s="1936"/>
      <c r="H1429" s="1937"/>
      <c r="I1429" s="1938"/>
      <c r="J1429" s="1939"/>
      <c r="K1429" s="1864"/>
      <c r="L1429" s="1940"/>
      <c r="M1429" s="1941"/>
    </row>
    <row r="1430" spans="1:13">
      <c r="A1430" s="1901"/>
      <c r="B1430" s="2109" t="s">
        <v>518</v>
      </c>
      <c r="C1430" s="1755" t="s">
        <v>519</v>
      </c>
      <c r="D1430" s="1961"/>
      <c r="E1430" s="1942">
        <v>0</v>
      </c>
      <c r="F1430" s="1806" t="s">
        <v>37</v>
      </c>
      <c r="G1430" s="1936">
        <v>2540</v>
      </c>
      <c r="H1430" s="1861">
        <f t="shared" ref="H1430" si="776">E1430*G1430</f>
        <v>0</v>
      </c>
      <c r="I1430" s="1938">
        <v>700</v>
      </c>
      <c r="J1430" s="1939">
        <f t="shared" ref="J1430" si="777">E1430*I1430</f>
        <v>0</v>
      </c>
      <c r="K1430" s="1864">
        <f t="shared" ref="K1430" si="778">H1430+J1430</f>
        <v>0</v>
      </c>
      <c r="L1430" s="1940"/>
      <c r="M1430" s="1941"/>
    </row>
    <row r="1431" spans="1:13">
      <c r="A1431" s="1901"/>
      <c r="B1431" s="2109"/>
      <c r="C1431" s="1755" t="s">
        <v>520</v>
      </c>
      <c r="D1431" s="1961"/>
      <c r="E1431" s="1942"/>
      <c r="F1431" s="1806"/>
      <c r="G1431" s="1936"/>
      <c r="H1431" s="1937"/>
      <c r="I1431" s="1938"/>
      <c r="J1431" s="1939"/>
      <c r="K1431" s="1864"/>
      <c r="L1431" s="1940"/>
      <c r="M1431" s="1941"/>
    </row>
    <row r="1432" spans="1:13">
      <c r="A1432" s="1901"/>
      <c r="B1432" s="2109" t="s">
        <v>521</v>
      </c>
      <c r="C1432" s="1755" t="s">
        <v>522</v>
      </c>
      <c r="D1432" s="1961"/>
      <c r="E1432" s="1942">
        <v>0</v>
      </c>
      <c r="F1432" s="1806" t="s">
        <v>37</v>
      </c>
      <c r="G1432" s="1943">
        <v>15000</v>
      </c>
      <c r="H1432" s="1861">
        <f t="shared" ref="H1432:H1435" si="779">E1432*G1432</f>
        <v>0</v>
      </c>
      <c r="I1432" s="1944">
        <v>500</v>
      </c>
      <c r="J1432" s="1939">
        <f t="shared" ref="J1432:J1435" si="780">E1432*I1432</f>
        <v>0</v>
      </c>
      <c r="K1432" s="1864">
        <f t="shared" ref="K1432:K1435" si="781">H1432+J1432</f>
        <v>0</v>
      </c>
      <c r="L1432" s="1865"/>
    </row>
    <row r="1433" spans="1:13">
      <c r="A1433" s="1782"/>
      <c r="B1433" s="2109" t="s">
        <v>523</v>
      </c>
      <c r="C1433" s="1755" t="s">
        <v>524</v>
      </c>
      <c r="D1433" s="1961"/>
      <c r="E1433" s="1942">
        <v>252</v>
      </c>
      <c r="F1433" s="1806" t="s">
        <v>37</v>
      </c>
      <c r="G1433" s="1936">
        <v>88</v>
      </c>
      <c r="H1433" s="1861">
        <f t="shared" si="779"/>
        <v>22176</v>
      </c>
      <c r="I1433" s="1938">
        <v>82</v>
      </c>
      <c r="J1433" s="1939">
        <f t="shared" si="780"/>
        <v>20664</v>
      </c>
      <c r="K1433" s="1864">
        <f t="shared" si="781"/>
        <v>42840</v>
      </c>
      <c r="L1433" s="1940" t="s">
        <v>2883</v>
      </c>
    </row>
    <row r="1434" spans="1:13">
      <c r="A1434" s="1782"/>
      <c r="B1434" s="2109"/>
      <c r="C1434" s="1755"/>
      <c r="D1434" s="1961"/>
      <c r="E1434" s="1942"/>
      <c r="F1434" s="1806"/>
      <c r="G1434" s="1936"/>
      <c r="H1434" s="1861"/>
      <c r="I1434" s="1938"/>
      <c r="J1434" s="1939"/>
      <c r="K1434" s="1864"/>
      <c r="L1434" s="1940"/>
    </row>
    <row r="1435" spans="1:13">
      <c r="A1435" s="1782"/>
      <c r="B1435" s="2109" t="s">
        <v>525</v>
      </c>
      <c r="C1435" s="1755" t="s">
        <v>526</v>
      </c>
      <c r="D1435" s="1961"/>
      <c r="E1435" s="1942">
        <v>0</v>
      </c>
      <c r="F1435" s="1806" t="s">
        <v>37</v>
      </c>
      <c r="G1435" s="1936">
        <v>1955</v>
      </c>
      <c r="H1435" s="1861">
        <f t="shared" si="779"/>
        <v>0</v>
      </c>
      <c r="I1435" s="1938">
        <v>1700</v>
      </c>
      <c r="J1435" s="1939">
        <f t="shared" si="780"/>
        <v>0</v>
      </c>
      <c r="K1435" s="1864">
        <f t="shared" si="781"/>
        <v>0</v>
      </c>
      <c r="L1435" s="1940"/>
    </row>
    <row r="1436" spans="1:13">
      <c r="A1436" s="1782"/>
      <c r="B1436" s="2109"/>
      <c r="C1436" s="1755" t="s">
        <v>2804</v>
      </c>
      <c r="D1436" s="1961"/>
      <c r="E1436" s="1942"/>
      <c r="F1436" s="1806"/>
      <c r="G1436" s="1936"/>
      <c r="H1436" s="1937"/>
      <c r="I1436" s="1938"/>
      <c r="J1436" s="1939"/>
      <c r="K1436" s="1864"/>
      <c r="L1436" s="1940"/>
    </row>
    <row r="1437" spans="1:13">
      <c r="A1437" s="1782"/>
      <c r="B1437" s="2109"/>
      <c r="C1437" s="1755" t="s">
        <v>527</v>
      </c>
      <c r="D1437" s="1961"/>
      <c r="E1437" s="1942"/>
      <c r="F1437" s="1806"/>
      <c r="G1437" s="1943">
        <v>165</v>
      </c>
      <c r="H1437" s="1861">
        <f t="shared" ref="H1437:H1439" si="782">E1437*G1437</f>
        <v>0</v>
      </c>
      <c r="I1437" s="1944">
        <v>25</v>
      </c>
      <c r="J1437" s="1939">
        <f t="shared" ref="J1437:J1439" si="783">E1437*I1437</f>
        <v>0</v>
      </c>
      <c r="K1437" s="1864">
        <f t="shared" ref="K1437:K1439" si="784">H1437+J1437</f>
        <v>0</v>
      </c>
      <c r="L1437" s="1940"/>
    </row>
    <row r="1438" spans="1:13">
      <c r="A1438" s="1782"/>
      <c r="B1438" s="2109"/>
      <c r="C1438" s="1755"/>
      <c r="D1438" s="1961"/>
      <c r="E1438" s="1942"/>
      <c r="F1438" s="1806"/>
      <c r="G1438" s="1943"/>
      <c r="H1438" s="1861"/>
      <c r="I1438" s="1944"/>
      <c r="J1438" s="1939"/>
      <c r="K1438" s="1864"/>
      <c r="L1438" s="1940"/>
    </row>
    <row r="1439" spans="1:13">
      <c r="A1439" s="1782"/>
      <c r="B1439" s="2109" t="s">
        <v>528</v>
      </c>
      <c r="C1439" s="1755" t="s">
        <v>526</v>
      </c>
      <c r="D1439" s="1961"/>
      <c r="E1439" s="1942">
        <v>0</v>
      </c>
      <c r="F1439" s="1806" t="s">
        <v>37</v>
      </c>
      <c r="G1439" s="1936">
        <v>1296</v>
      </c>
      <c r="H1439" s="1861">
        <f t="shared" si="782"/>
        <v>0</v>
      </c>
      <c r="I1439" s="1938">
        <v>1600</v>
      </c>
      <c r="J1439" s="1939">
        <f t="shared" si="783"/>
        <v>0</v>
      </c>
      <c r="K1439" s="1864">
        <f t="shared" si="784"/>
        <v>0</v>
      </c>
      <c r="L1439" s="1940"/>
    </row>
    <row r="1440" spans="1:13">
      <c r="A1440" s="1782"/>
      <c r="B1440" s="2109"/>
      <c r="C1440" s="1755" t="s">
        <v>2804</v>
      </c>
      <c r="D1440" s="1961"/>
      <c r="E1440" s="1942"/>
      <c r="F1440" s="1806"/>
      <c r="G1440" s="1936"/>
      <c r="H1440" s="1937"/>
      <c r="I1440" s="1938"/>
      <c r="J1440" s="1939"/>
      <c r="K1440" s="1864"/>
      <c r="L1440" s="1940"/>
    </row>
    <row r="1441" spans="1:14">
      <c r="A1441" s="1782"/>
      <c r="B1441" s="2109"/>
      <c r="C1441" s="1755" t="s">
        <v>527</v>
      </c>
      <c r="D1441" s="1961"/>
      <c r="E1441" s="1942"/>
      <c r="F1441" s="1806"/>
      <c r="G1441" s="1943">
        <v>165</v>
      </c>
      <c r="H1441" s="1861">
        <f t="shared" ref="H1441:H1442" si="785">E1441*G1441</f>
        <v>0</v>
      </c>
      <c r="I1441" s="1944">
        <v>25</v>
      </c>
      <c r="J1441" s="1939">
        <f t="shared" ref="J1441:J1442" si="786">E1441*I1441</f>
        <v>0</v>
      </c>
      <c r="K1441" s="1864">
        <f t="shared" ref="K1441:K1442" si="787">H1441+J1441</f>
        <v>0</v>
      </c>
      <c r="L1441" s="1940"/>
    </row>
    <row r="1442" spans="1:14">
      <c r="A1442" s="1782"/>
      <c r="B1442" s="2109" t="s">
        <v>529</v>
      </c>
      <c r="C1442" s="1755" t="s">
        <v>526</v>
      </c>
      <c r="D1442" s="1961"/>
      <c r="E1442" s="1942">
        <v>0</v>
      </c>
      <c r="F1442" s="1806" t="s">
        <v>37</v>
      </c>
      <c r="G1442" s="1936">
        <v>5900</v>
      </c>
      <c r="H1442" s="1861">
        <f t="shared" si="785"/>
        <v>0</v>
      </c>
      <c r="I1442" s="1938">
        <v>1200</v>
      </c>
      <c r="J1442" s="1939">
        <f t="shared" si="786"/>
        <v>0</v>
      </c>
      <c r="K1442" s="1864">
        <f t="shared" si="787"/>
        <v>0</v>
      </c>
      <c r="L1442" s="1940"/>
    </row>
    <row r="1443" spans="1:14">
      <c r="A1443" s="1782"/>
      <c r="B1443" s="2109"/>
      <c r="C1443" s="1755" t="s">
        <v>2804</v>
      </c>
      <c r="D1443" s="1961"/>
      <c r="E1443" s="1942"/>
      <c r="F1443" s="1806"/>
      <c r="G1443" s="1936"/>
      <c r="H1443" s="1937"/>
      <c r="I1443" s="1938"/>
      <c r="J1443" s="1939"/>
      <c r="K1443" s="1864"/>
      <c r="L1443" s="1940"/>
    </row>
    <row r="1444" spans="1:14">
      <c r="A1444" s="1782"/>
      <c r="B1444" s="2109"/>
      <c r="C1444" s="1755"/>
      <c r="D1444" s="1961"/>
      <c r="E1444" s="1942"/>
      <c r="F1444" s="1806"/>
      <c r="G1444" s="1936"/>
      <c r="H1444" s="1937"/>
      <c r="I1444" s="1938"/>
      <c r="J1444" s="1939"/>
      <c r="K1444" s="1864"/>
      <c r="L1444" s="1940"/>
    </row>
    <row r="1445" spans="1:14">
      <c r="A1445" s="1782"/>
      <c r="B1445" s="2109" t="s">
        <v>530</v>
      </c>
      <c r="C1445" s="1755" t="s">
        <v>526</v>
      </c>
      <c r="D1445" s="1961"/>
      <c r="E1445" s="1942">
        <v>0</v>
      </c>
      <c r="F1445" s="1806" t="s">
        <v>37</v>
      </c>
      <c r="G1445" s="1936">
        <v>6000</v>
      </c>
      <c r="H1445" s="1861">
        <f t="shared" ref="H1445" si="788">E1445*G1445</f>
        <v>0</v>
      </c>
      <c r="I1445" s="1938">
        <v>1550</v>
      </c>
      <c r="J1445" s="1939">
        <f t="shared" ref="J1445" si="789">E1445*I1445</f>
        <v>0</v>
      </c>
      <c r="K1445" s="1864">
        <f t="shared" ref="K1445" si="790">H1445+J1445</f>
        <v>0</v>
      </c>
      <c r="L1445" s="1940"/>
    </row>
    <row r="1446" spans="1:14">
      <c r="A1446" s="1782"/>
      <c r="B1446" s="2109"/>
      <c r="C1446" s="1755" t="s">
        <v>2805</v>
      </c>
      <c r="D1446" s="1961"/>
      <c r="E1446" s="1942"/>
      <c r="F1446" s="1806"/>
      <c r="G1446" s="1936"/>
      <c r="H1446" s="1937"/>
      <c r="I1446" s="1938"/>
      <c r="J1446" s="1939"/>
      <c r="K1446" s="1864"/>
      <c r="L1446" s="1940"/>
    </row>
    <row r="1447" spans="1:14">
      <c r="A1447" s="1782"/>
      <c r="B1447" s="2109" t="s">
        <v>531</v>
      </c>
      <c r="C1447" s="1755" t="s">
        <v>532</v>
      </c>
      <c r="D1447" s="1961"/>
      <c r="E1447" s="1942">
        <v>0</v>
      </c>
      <c r="F1447" s="1806" t="s">
        <v>37</v>
      </c>
      <c r="G1447" s="2297">
        <f>13+69</f>
        <v>82</v>
      </c>
      <c r="H1447" s="1861">
        <f t="shared" ref="H1447:H1448" si="791">E1447*G1447</f>
        <v>0</v>
      </c>
      <c r="I1447" s="2301">
        <f>30+28</f>
        <v>58</v>
      </c>
      <c r="J1447" s="1939">
        <f t="shared" ref="J1447:J1448" si="792">E1447*I1447</f>
        <v>0</v>
      </c>
      <c r="K1447" s="1864">
        <f t="shared" ref="K1447:K1448" si="793">H1447+J1447</f>
        <v>0</v>
      </c>
      <c r="L1447" s="2299"/>
    </row>
    <row r="1448" spans="1:14">
      <c r="A1448" s="1782"/>
      <c r="B1448" s="2109" t="s">
        <v>533</v>
      </c>
      <c r="C1448" s="1755" t="s">
        <v>534</v>
      </c>
      <c r="D1448" s="1961"/>
      <c r="E1448" s="1942">
        <v>0</v>
      </c>
      <c r="F1448" s="1806" t="s">
        <v>37</v>
      </c>
      <c r="G1448" s="1936">
        <v>0</v>
      </c>
      <c r="H1448" s="1861">
        <f t="shared" si="791"/>
        <v>0</v>
      </c>
      <c r="I1448" s="1938">
        <v>0</v>
      </c>
      <c r="J1448" s="1939">
        <f t="shared" si="792"/>
        <v>0</v>
      </c>
      <c r="K1448" s="1864">
        <f t="shared" si="793"/>
        <v>0</v>
      </c>
      <c r="L1448" s="1940"/>
    </row>
    <row r="1449" spans="1:14">
      <c r="A1449" s="1782"/>
      <c r="B1449" s="2109"/>
      <c r="C1449" s="1755" t="s">
        <v>535</v>
      </c>
      <c r="D1449" s="1961"/>
      <c r="E1449" s="1942"/>
      <c r="F1449" s="1806"/>
      <c r="G1449" s="1936"/>
      <c r="H1449" s="1937"/>
      <c r="I1449" s="1938"/>
      <c r="J1449" s="1939"/>
      <c r="K1449" s="1864"/>
      <c r="L1449" s="1940"/>
      <c r="N1449" s="1797">
        <f>SUM(K1366:K1448)</f>
        <v>784111.29</v>
      </c>
    </row>
    <row r="1450" spans="1:14">
      <c r="A1450" s="1782"/>
      <c r="B1450" s="2109"/>
      <c r="C1450" s="1755"/>
      <c r="D1450" s="1961"/>
      <c r="E1450" s="1942"/>
      <c r="F1450" s="1806"/>
      <c r="G1450" s="1936"/>
      <c r="H1450" s="1861"/>
      <c r="I1450" s="1938"/>
      <c r="J1450" s="1939"/>
      <c r="K1450" s="1864"/>
      <c r="L1450" s="1940"/>
      <c r="N1450" s="1797"/>
    </row>
    <row r="1451" spans="1:14">
      <c r="A1451" s="1782"/>
      <c r="B1451" s="2109"/>
      <c r="C1451" s="1755"/>
      <c r="D1451" s="1961"/>
      <c r="E1451" s="1942"/>
      <c r="F1451" s="1806"/>
      <c r="G1451" s="1936"/>
      <c r="H1451" s="1861"/>
      <c r="I1451" s="1938"/>
      <c r="J1451" s="1939"/>
      <c r="K1451" s="1864"/>
      <c r="L1451" s="1940"/>
      <c r="N1451" s="1797"/>
    </row>
    <row r="1452" spans="1:14">
      <c r="A1452" s="1782"/>
      <c r="B1452" s="2109"/>
      <c r="C1452" s="1755"/>
      <c r="D1452" s="1961"/>
      <c r="E1452" s="1942"/>
      <c r="F1452" s="1806"/>
      <c r="G1452" s="1936"/>
      <c r="H1452" s="1861"/>
      <c r="I1452" s="1938"/>
      <c r="J1452" s="1939"/>
      <c r="K1452" s="1864"/>
      <c r="L1452" s="1940"/>
      <c r="N1452" s="1797"/>
    </row>
    <row r="1453" spans="1:14">
      <c r="A1453" s="1782"/>
      <c r="B1453" s="2109"/>
      <c r="C1453" s="1755"/>
      <c r="D1453" s="1961"/>
      <c r="E1453" s="1942"/>
      <c r="F1453" s="1806"/>
      <c r="G1453" s="1936"/>
      <c r="H1453" s="1861"/>
      <c r="I1453" s="1938"/>
      <c r="J1453" s="1939"/>
      <c r="K1453" s="1864"/>
      <c r="L1453" s="1940"/>
      <c r="N1453" s="1797"/>
    </row>
    <row r="1454" spans="1:14">
      <c r="A1454" s="1782"/>
      <c r="B1454" s="2109"/>
      <c r="C1454" s="1755"/>
      <c r="D1454" s="1961"/>
      <c r="E1454" s="1942"/>
      <c r="F1454" s="1806"/>
      <c r="G1454" s="1936"/>
      <c r="H1454" s="1861"/>
      <c r="I1454" s="1938"/>
      <c r="J1454" s="1939"/>
      <c r="K1454" s="1864"/>
      <c r="L1454" s="1940"/>
      <c r="N1454" s="1797"/>
    </row>
    <row r="1455" spans="1:14">
      <c r="A1455" s="1782"/>
      <c r="B1455" s="2109"/>
      <c r="C1455" s="1755"/>
      <c r="D1455" s="1961"/>
      <c r="E1455" s="1942"/>
      <c r="F1455" s="1806"/>
      <c r="G1455" s="1936"/>
      <c r="H1455" s="1861"/>
      <c r="I1455" s="1938"/>
      <c r="J1455" s="1939"/>
      <c r="K1455" s="1864"/>
      <c r="L1455" s="1940"/>
      <c r="N1455" s="1797"/>
    </row>
    <row r="1456" spans="1:14">
      <c r="A1456" s="1782"/>
      <c r="B1456" s="2109"/>
      <c r="C1456" s="1755"/>
      <c r="D1456" s="1961"/>
      <c r="E1456" s="1942"/>
      <c r="F1456" s="1806"/>
      <c r="G1456" s="1936"/>
      <c r="H1456" s="1861"/>
      <c r="I1456" s="1938"/>
      <c r="J1456" s="1939"/>
      <c r="K1456" s="1864"/>
      <c r="L1456" s="1940"/>
      <c r="N1456" s="1797"/>
    </row>
    <row r="1457" spans="1:24">
      <c r="A1457" s="1782"/>
      <c r="B1457" s="2109"/>
      <c r="C1457" s="1755"/>
      <c r="D1457" s="1961"/>
      <c r="E1457" s="1942"/>
      <c r="F1457" s="1806"/>
      <c r="G1457" s="1936"/>
      <c r="H1457" s="1861"/>
      <c r="I1457" s="1938"/>
      <c r="J1457" s="1939"/>
      <c r="K1457" s="1864"/>
      <c r="L1457" s="1940"/>
      <c r="N1457" s="1797"/>
    </row>
    <row r="1458" spans="1:24">
      <c r="A1458" s="1782"/>
      <c r="B1458" s="2109"/>
      <c r="C1458" s="1755"/>
      <c r="D1458" s="1961"/>
      <c r="E1458" s="1942"/>
      <c r="F1458" s="1806"/>
      <c r="G1458" s="1936"/>
      <c r="H1458" s="1937"/>
      <c r="I1458" s="1938"/>
      <c r="J1458" s="1939"/>
      <c r="K1458" s="1864"/>
      <c r="L1458" s="1940"/>
      <c r="N1458" s="1797"/>
    </row>
    <row r="1459" spans="1:24">
      <c r="A1459" s="1782"/>
      <c r="B1459" s="2109"/>
      <c r="C1459" s="1755"/>
      <c r="D1459" s="1961"/>
      <c r="E1459" s="1942"/>
      <c r="F1459" s="1806"/>
      <c r="G1459" s="1943"/>
      <c r="H1459" s="1861"/>
      <c r="I1459" s="1944"/>
      <c r="J1459" s="1939"/>
      <c r="K1459" s="1864"/>
      <c r="L1459" s="1940"/>
      <c r="N1459" s="1797"/>
    </row>
    <row r="1460" spans="1:24">
      <c r="A1460" s="1782"/>
      <c r="B1460" s="2109"/>
      <c r="C1460" s="1755"/>
      <c r="D1460" s="1961"/>
      <c r="E1460" s="1942"/>
      <c r="F1460" s="1806"/>
      <c r="G1460" s="1936"/>
      <c r="H1460" s="1861"/>
      <c r="I1460" s="1938"/>
      <c r="J1460" s="1939"/>
      <c r="K1460" s="1864"/>
      <c r="L1460" s="1940"/>
      <c r="N1460" s="1797"/>
    </row>
    <row r="1461" spans="1:24">
      <c r="A1461" s="1782"/>
      <c r="B1461" s="2256"/>
      <c r="C1461" s="1971"/>
      <c r="D1461" s="1972"/>
      <c r="E1461" s="1942"/>
      <c r="F1461" s="1806"/>
      <c r="G1461" s="1936"/>
      <c r="H1461" s="1937"/>
      <c r="I1461" s="1938"/>
      <c r="J1461" s="1939"/>
      <c r="K1461" s="1864"/>
      <c r="L1461" s="1940"/>
      <c r="N1461" s="1797"/>
    </row>
    <row r="1462" spans="1:24" ht="24" customHeight="1">
      <c r="A1462" s="1973"/>
      <c r="B1462" s="2449" t="str">
        <f>"รวมราคารายการที่ "&amp;A567</f>
        <v>รวมราคารายการที่ 2.2</v>
      </c>
      <c r="C1462" s="2449"/>
      <c r="D1462" s="2451"/>
      <c r="E1462" s="1974"/>
      <c r="F1462" s="1932"/>
      <c r="G1462" s="1975"/>
      <c r="H1462" s="1976">
        <f>SUBTOTAL(9,H567:H1449)</f>
        <v>30200435.300000001</v>
      </c>
      <c r="I1462" s="1977"/>
      <c r="J1462" s="1976">
        <f>SUBTOTAL(9,J567:J1449)</f>
        <v>18072190.800000001</v>
      </c>
      <c r="K1462" s="1976">
        <f>SUBTOTAL(9,K567:K1449)</f>
        <v>48272626.100000001</v>
      </c>
      <c r="L1462" s="1932"/>
      <c r="N1462" s="1837"/>
      <c r="O1462" s="1837"/>
      <c r="P1462" s="1837"/>
      <c r="Q1462" s="1837"/>
      <c r="R1462" s="1837"/>
      <c r="S1462" s="1837"/>
      <c r="T1462" s="1837"/>
      <c r="U1462" s="1837"/>
      <c r="V1462" s="1837"/>
      <c r="W1462" s="1837"/>
      <c r="X1462" s="1837"/>
    </row>
    <row r="1463" spans="1:24" ht="24" customHeight="1">
      <c r="A1463" s="1933">
        <v>2.2999999999999998</v>
      </c>
      <c r="B1463" s="1908" t="s">
        <v>562</v>
      </c>
      <c r="C1463" s="1840"/>
      <c r="D1463" s="1915"/>
      <c r="E1463" s="1842"/>
      <c r="F1463" s="1842"/>
      <c r="G1463" s="1843"/>
      <c r="H1463" s="1844"/>
      <c r="I1463" s="1845"/>
      <c r="J1463" s="1846"/>
      <c r="K1463" s="1843"/>
      <c r="L1463" s="1847"/>
      <c r="N1463" s="1837"/>
      <c r="O1463" s="1837"/>
      <c r="P1463" s="1837"/>
      <c r="Q1463" s="1837"/>
      <c r="R1463" s="1837"/>
      <c r="S1463" s="1837"/>
      <c r="T1463" s="1837"/>
      <c r="U1463" s="1837"/>
      <c r="V1463" s="1837"/>
      <c r="W1463" s="1837"/>
      <c r="X1463" s="1837"/>
    </row>
    <row r="1464" spans="1:24" ht="24" customHeight="1">
      <c r="A1464" s="1933" t="s">
        <v>563</v>
      </c>
      <c r="B1464" s="1978" t="s">
        <v>564</v>
      </c>
      <c r="C1464" s="1755"/>
      <c r="D1464" s="1755"/>
      <c r="E1464" s="1852"/>
      <c r="F1464" s="1898"/>
      <c r="G1464" s="1892"/>
      <c r="H1464" s="1854"/>
      <c r="I1464" s="1979"/>
      <c r="J1464" s="1856"/>
      <c r="K1464" s="1857"/>
      <c r="L1464" s="1899"/>
      <c r="N1464" s="1837"/>
      <c r="O1464" s="1837"/>
      <c r="P1464" s="1837"/>
      <c r="Q1464" s="1837"/>
      <c r="R1464" s="1837"/>
      <c r="S1464" s="1837"/>
      <c r="T1464" s="1837"/>
      <c r="U1464" s="1837"/>
      <c r="V1464" s="1837"/>
      <c r="W1464" s="1837"/>
      <c r="X1464" s="1837"/>
    </row>
    <row r="1465" spans="1:24" ht="24" customHeight="1">
      <c r="A1465" s="1901"/>
      <c r="B1465" s="1755" t="s">
        <v>2806</v>
      </c>
      <c r="C1465" s="1980"/>
      <c r="D1465" s="1868"/>
      <c r="E1465" s="2302">
        <v>0</v>
      </c>
      <c r="F1465" s="1806" t="s">
        <v>240</v>
      </c>
      <c r="G1465" s="2289">
        <v>347</v>
      </c>
      <c r="H1465" s="2303">
        <f>E1465*G1465</f>
        <v>0</v>
      </c>
      <c r="I1465" s="2304">
        <v>75</v>
      </c>
      <c r="J1465" s="2305">
        <f>E1465*I1465</f>
        <v>0</v>
      </c>
      <c r="K1465" s="2306">
        <f>H1465+J1465</f>
        <v>0</v>
      </c>
      <c r="L1465" s="2292"/>
      <c r="N1465" s="1837"/>
      <c r="O1465" s="1837"/>
      <c r="P1465" s="1837"/>
      <c r="Q1465" s="1837"/>
      <c r="R1465" s="1837"/>
      <c r="S1465" s="1837"/>
      <c r="T1465" s="1837"/>
    </row>
    <row r="1466" spans="1:24" ht="24" customHeight="1">
      <c r="A1466" s="1901"/>
      <c r="B1466" s="1756" t="s">
        <v>565</v>
      </c>
      <c r="C1466" s="1981" t="s">
        <v>566</v>
      </c>
      <c r="D1466" s="1868"/>
      <c r="E1466" s="2307">
        <v>0</v>
      </c>
      <c r="F1466" s="1806" t="s">
        <v>37</v>
      </c>
      <c r="G1466" s="2289">
        <v>0</v>
      </c>
      <c r="H1466" s="2303">
        <f t="shared" ref="H1466:H1476" si="794">E1466*G1466</f>
        <v>0</v>
      </c>
      <c r="I1466" s="2304">
        <v>0</v>
      </c>
      <c r="J1466" s="2305">
        <f t="shared" ref="J1466:J1476" si="795">E1466*I1466</f>
        <v>0</v>
      </c>
      <c r="K1466" s="2306">
        <f t="shared" ref="K1466:K1476" si="796">H1466+J1466</f>
        <v>0</v>
      </c>
      <c r="L1466" s="2292"/>
      <c r="M1466" s="2293"/>
      <c r="N1466" s="1837"/>
      <c r="O1466" s="1837"/>
      <c r="P1466" s="1837"/>
      <c r="Q1466" s="1837"/>
      <c r="R1466" s="1837"/>
      <c r="S1466" s="1837"/>
      <c r="T1466" s="1837"/>
    </row>
    <row r="1467" spans="1:24">
      <c r="A1467" s="1901"/>
      <c r="B1467" s="1756" t="s">
        <v>567</v>
      </c>
      <c r="C1467" s="1982" t="s">
        <v>568</v>
      </c>
      <c r="D1467" s="1868"/>
      <c r="E1467" s="2307">
        <v>74</v>
      </c>
      <c r="F1467" s="1806" t="s">
        <v>37</v>
      </c>
      <c r="G1467" s="2289">
        <v>169</v>
      </c>
      <c r="H1467" s="2303">
        <f t="shared" si="794"/>
        <v>12506</v>
      </c>
      <c r="I1467" s="2304">
        <v>75</v>
      </c>
      <c r="J1467" s="2305">
        <f t="shared" si="795"/>
        <v>5550</v>
      </c>
      <c r="K1467" s="2306">
        <f t="shared" si="796"/>
        <v>18056</v>
      </c>
      <c r="L1467" s="2292"/>
      <c r="M1467" s="2293"/>
    </row>
    <row r="1468" spans="1:24">
      <c r="A1468" s="1901"/>
      <c r="B1468" s="1756"/>
      <c r="C1468" s="1982" t="s">
        <v>569</v>
      </c>
      <c r="D1468" s="1868"/>
      <c r="E1468" s="2307">
        <f>+E1467</f>
        <v>74</v>
      </c>
      <c r="F1468" s="1806" t="s">
        <v>37</v>
      </c>
      <c r="G1468" s="2289">
        <v>69</v>
      </c>
      <c r="H1468" s="2303">
        <f t="shared" si="794"/>
        <v>5106</v>
      </c>
      <c r="I1468" s="2304">
        <v>28</v>
      </c>
      <c r="J1468" s="2305">
        <f t="shared" si="795"/>
        <v>2072</v>
      </c>
      <c r="K1468" s="2306">
        <f t="shared" si="796"/>
        <v>7178</v>
      </c>
      <c r="L1468" s="2292"/>
      <c r="M1468" s="2293"/>
    </row>
    <row r="1469" spans="1:24">
      <c r="A1469" s="1901"/>
      <c r="B1469" s="1756" t="s">
        <v>570</v>
      </c>
      <c r="C1469" s="1867" t="s">
        <v>571</v>
      </c>
      <c r="D1469" s="1868"/>
      <c r="E1469" s="2307">
        <v>0</v>
      </c>
      <c r="F1469" s="1806" t="s">
        <v>37</v>
      </c>
      <c r="G1469" s="2289">
        <v>192</v>
      </c>
      <c r="H1469" s="2303">
        <f t="shared" si="794"/>
        <v>0</v>
      </c>
      <c r="I1469" s="2304">
        <v>75</v>
      </c>
      <c r="J1469" s="2305">
        <f t="shared" si="795"/>
        <v>0</v>
      </c>
      <c r="K1469" s="2306">
        <f t="shared" si="796"/>
        <v>0</v>
      </c>
      <c r="L1469" s="2292"/>
      <c r="M1469" s="2293"/>
    </row>
    <row r="1470" spans="1:24">
      <c r="A1470" s="1901"/>
      <c r="B1470" s="1756"/>
      <c r="C1470" s="1982" t="s">
        <v>569</v>
      </c>
      <c r="D1470" s="1868"/>
      <c r="E1470" s="2307">
        <f>E1469</f>
        <v>0</v>
      </c>
      <c r="F1470" s="1806" t="s">
        <v>37</v>
      </c>
      <c r="G1470" s="2289">
        <v>69</v>
      </c>
      <c r="H1470" s="2303">
        <f t="shared" si="794"/>
        <v>0</v>
      </c>
      <c r="I1470" s="2304">
        <v>28</v>
      </c>
      <c r="J1470" s="2305">
        <f t="shared" si="795"/>
        <v>0</v>
      </c>
      <c r="K1470" s="2306">
        <f t="shared" si="796"/>
        <v>0</v>
      </c>
      <c r="L1470" s="2292"/>
      <c r="M1470" s="2293"/>
    </row>
    <row r="1471" spans="1:24">
      <c r="A1471" s="1901"/>
      <c r="B1471" s="1756" t="s">
        <v>572</v>
      </c>
      <c r="C1471" s="1867" t="s">
        <v>573</v>
      </c>
      <c r="D1471" s="1868"/>
      <c r="E1471" s="2307">
        <v>0</v>
      </c>
      <c r="F1471" s="1806" t="s">
        <v>37</v>
      </c>
      <c r="G1471" s="2289">
        <v>650</v>
      </c>
      <c r="H1471" s="2303">
        <f t="shared" si="794"/>
        <v>0</v>
      </c>
      <c r="I1471" s="2304">
        <v>52</v>
      </c>
      <c r="J1471" s="2305">
        <f t="shared" si="795"/>
        <v>0</v>
      </c>
      <c r="K1471" s="2306">
        <f t="shared" si="796"/>
        <v>0</v>
      </c>
      <c r="L1471" s="2292"/>
      <c r="M1471" s="2293"/>
    </row>
    <row r="1472" spans="1:24">
      <c r="A1472" s="1901"/>
      <c r="B1472" s="1756" t="s">
        <v>574</v>
      </c>
      <c r="C1472" s="1867" t="s">
        <v>575</v>
      </c>
      <c r="D1472" s="1868"/>
      <c r="E1472" s="2307">
        <v>0</v>
      </c>
      <c r="F1472" s="1806" t="s">
        <v>37</v>
      </c>
      <c r="G1472" s="2289">
        <v>30</v>
      </c>
      <c r="H1472" s="2303">
        <f t="shared" si="794"/>
        <v>0</v>
      </c>
      <c r="I1472" s="2304">
        <v>50</v>
      </c>
      <c r="J1472" s="2305">
        <f t="shared" si="795"/>
        <v>0</v>
      </c>
      <c r="K1472" s="2306">
        <f t="shared" si="796"/>
        <v>0</v>
      </c>
      <c r="L1472" s="2292"/>
      <c r="M1472" s="2293"/>
    </row>
    <row r="1473" spans="1:24">
      <c r="A1473" s="1901"/>
      <c r="B1473" s="1756" t="s">
        <v>576</v>
      </c>
      <c r="C1473" s="1867" t="s">
        <v>577</v>
      </c>
      <c r="D1473" s="1868"/>
      <c r="E1473" s="2307">
        <v>8386</v>
      </c>
      <c r="F1473" s="1806" t="s">
        <v>37</v>
      </c>
      <c r="G1473" s="2289">
        <v>30</v>
      </c>
      <c r="H1473" s="2303">
        <f t="shared" si="794"/>
        <v>251580</v>
      </c>
      <c r="I1473" s="2304">
        <v>50</v>
      </c>
      <c r="J1473" s="2305">
        <f t="shared" si="795"/>
        <v>419300</v>
      </c>
      <c r="K1473" s="2306">
        <f t="shared" si="796"/>
        <v>670880</v>
      </c>
      <c r="L1473" s="2292"/>
      <c r="M1473" s="2293"/>
    </row>
    <row r="1474" spans="1:24">
      <c r="A1474" s="1901"/>
      <c r="B1474" s="1756" t="s">
        <v>578</v>
      </c>
      <c r="C1474" s="1867" t="s">
        <v>579</v>
      </c>
      <c r="D1474" s="1868"/>
      <c r="E1474" s="2307">
        <v>777</v>
      </c>
      <c r="F1474" s="1806" t="s">
        <v>37</v>
      </c>
      <c r="G1474" s="2289">
        <v>88</v>
      </c>
      <c r="H1474" s="2303">
        <f t="shared" si="794"/>
        <v>68376</v>
      </c>
      <c r="I1474" s="2304">
        <v>94</v>
      </c>
      <c r="J1474" s="2305">
        <f t="shared" si="795"/>
        <v>73038</v>
      </c>
      <c r="K1474" s="2306">
        <f t="shared" si="796"/>
        <v>141414</v>
      </c>
      <c r="L1474" s="2292"/>
      <c r="M1474" s="2293"/>
    </row>
    <row r="1475" spans="1:24">
      <c r="A1475" s="1901"/>
      <c r="B1475" s="1756"/>
      <c r="C1475" s="1867" t="s">
        <v>504</v>
      </c>
      <c r="D1475" s="1868"/>
      <c r="E1475" s="2307">
        <f>+E1474</f>
        <v>777</v>
      </c>
      <c r="F1475" s="1806" t="s">
        <v>37</v>
      </c>
      <c r="G1475" s="2289">
        <v>69</v>
      </c>
      <c r="H1475" s="2303">
        <f t="shared" si="794"/>
        <v>53613</v>
      </c>
      <c r="I1475" s="2304">
        <v>28</v>
      </c>
      <c r="J1475" s="2305">
        <f t="shared" si="795"/>
        <v>21756</v>
      </c>
      <c r="K1475" s="2306">
        <f t="shared" si="796"/>
        <v>75369</v>
      </c>
      <c r="L1475" s="2292"/>
      <c r="M1475" s="2293"/>
    </row>
    <row r="1476" spans="1:24">
      <c r="A1476" s="1901"/>
      <c r="B1476" s="1756" t="s">
        <v>580</v>
      </c>
      <c r="C1476" s="1867" t="s">
        <v>581</v>
      </c>
      <c r="D1476" s="1868"/>
      <c r="E1476" s="2307">
        <v>0</v>
      </c>
      <c r="F1476" s="1806" t="s">
        <v>37</v>
      </c>
      <c r="G1476" s="2289">
        <v>1900</v>
      </c>
      <c r="H1476" s="2303">
        <f t="shared" si="794"/>
        <v>0</v>
      </c>
      <c r="I1476" s="2304">
        <v>450</v>
      </c>
      <c r="J1476" s="2305">
        <f t="shared" si="795"/>
        <v>0</v>
      </c>
      <c r="K1476" s="2306">
        <f t="shared" si="796"/>
        <v>0</v>
      </c>
      <c r="L1476" s="2292"/>
      <c r="M1476" s="2293"/>
    </row>
    <row r="1477" spans="1:24">
      <c r="A1477" s="1901"/>
      <c r="B1477" s="1756"/>
      <c r="C1477" s="1867" t="s">
        <v>582</v>
      </c>
      <c r="D1477" s="1868"/>
      <c r="E1477" s="2307"/>
      <c r="F1477" s="1806"/>
      <c r="G1477" s="2289"/>
      <c r="H1477" s="2303"/>
      <c r="I1477" s="2304"/>
      <c r="J1477" s="2308"/>
      <c r="K1477" s="2289"/>
      <c r="L1477" s="2292"/>
      <c r="M1477" s="2293"/>
    </row>
    <row r="1478" spans="1:24">
      <c r="A1478" s="1901"/>
      <c r="B1478" s="1756" t="s">
        <v>583</v>
      </c>
      <c r="C1478" s="1867" t="s">
        <v>2807</v>
      </c>
      <c r="D1478" s="1868"/>
      <c r="E1478" s="2307">
        <v>0</v>
      </c>
      <c r="F1478" s="1806" t="s">
        <v>37</v>
      </c>
      <c r="G1478" s="2289">
        <v>1296</v>
      </c>
      <c r="H1478" s="2303">
        <f>E1478*G1478</f>
        <v>0</v>
      </c>
      <c r="I1478" s="2304">
        <v>1600</v>
      </c>
      <c r="J1478" s="2305">
        <f t="shared" ref="J1478" si="797">E1478*I1478</f>
        <v>0</v>
      </c>
      <c r="K1478" s="2306">
        <f>H1478+J1478</f>
        <v>0</v>
      </c>
      <c r="L1478" s="2292"/>
      <c r="M1478" s="2293"/>
    </row>
    <row r="1479" spans="1:24">
      <c r="A1479" s="1901"/>
      <c r="B1479" s="1756"/>
      <c r="C1479" s="1867" t="s">
        <v>512</v>
      </c>
      <c r="D1479" s="1755"/>
      <c r="E1479" s="2307"/>
      <c r="F1479" s="1806"/>
      <c r="G1479" s="2289"/>
      <c r="H1479" s="2303"/>
      <c r="I1479" s="2304"/>
      <c r="J1479" s="2308"/>
      <c r="K1479" s="2289"/>
      <c r="L1479" s="2292"/>
      <c r="M1479" s="2293"/>
    </row>
    <row r="1480" spans="1:24">
      <c r="A1480" s="1901"/>
      <c r="B1480" s="1756" t="s">
        <v>584</v>
      </c>
      <c r="C1480" s="1755" t="s">
        <v>2808</v>
      </c>
      <c r="D1480" s="1859"/>
      <c r="E1480" s="2307">
        <v>0</v>
      </c>
      <c r="F1480" s="1806" t="s">
        <v>37</v>
      </c>
      <c r="G1480" s="2289">
        <v>325</v>
      </c>
      <c r="H1480" s="2303">
        <f>E1480*G1480</f>
        <v>0</v>
      </c>
      <c r="I1480" s="2304">
        <v>100</v>
      </c>
      <c r="J1480" s="2305">
        <f t="shared" ref="J1480" si="798">E1480*I1480</f>
        <v>0</v>
      </c>
      <c r="K1480" s="2306">
        <f>H1480+J1480</f>
        <v>0</v>
      </c>
      <c r="L1480" s="2292"/>
      <c r="M1480" s="2293"/>
    </row>
    <row r="1481" spans="1:24">
      <c r="A1481" s="1782"/>
      <c r="B1481" s="1756"/>
      <c r="C1481" s="1755" t="s">
        <v>585</v>
      </c>
      <c r="D1481" s="1859"/>
      <c r="E1481" s="2307"/>
      <c r="F1481" s="1806"/>
      <c r="G1481" s="2289"/>
      <c r="H1481" s="2303"/>
      <c r="I1481" s="2291"/>
      <c r="J1481" s="2308"/>
      <c r="K1481" s="2289"/>
      <c r="L1481" s="2292"/>
      <c r="M1481" s="2293"/>
    </row>
    <row r="1482" spans="1:24">
      <c r="A1482" s="1901"/>
      <c r="B1482" s="1756" t="s">
        <v>586</v>
      </c>
      <c r="C1482" s="1755" t="s">
        <v>2809</v>
      </c>
      <c r="D1482" s="1859"/>
      <c r="E1482" s="2307">
        <v>0</v>
      </c>
      <c r="F1482" s="1806" t="s">
        <v>37</v>
      </c>
      <c r="G1482" s="2289">
        <v>235</v>
      </c>
      <c r="H1482" s="2303">
        <f>E1482*G1482</f>
        <v>0</v>
      </c>
      <c r="I1482" s="2304">
        <v>100</v>
      </c>
      <c r="J1482" s="2305">
        <f t="shared" ref="J1482" si="799">E1482*I1482</f>
        <v>0</v>
      </c>
      <c r="K1482" s="2306">
        <f>H1482+J1482</f>
        <v>0</v>
      </c>
      <c r="L1482" s="2292"/>
      <c r="M1482" s="2293"/>
    </row>
    <row r="1483" spans="1:24">
      <c r="A1483" s="1782"/>
      <c r="B1483" s="1756"/>
      <c r="C1483" s="1755" t="s">
        <v>585</v>
      </c>
      <c r="D1483" s="1859"/>
      <c r="E1483" s="2307"/>
      <c r="F1483" s="1806"/>
      <c r="G1483" s="2289"/>
      <c r="H1483" s="2290"/>
      <c r="I1483" s="2291"/>
      <c r="J1483" s="2308"/>
      <c r="K1483" s="2289"/>
      <c r="L1483" s="2292"/>
      <c r="M1483" s="2293"/>
      <c r="N1483" s="1797">
        <f>SUM(K1465:K1483)</f>
        <v>912897</v>
      </c>
    </row>
    <row r="1484" spans="1:24" ht="24" customHeight="1">
      <c r="A1484" s="1933" t="s">
        <v>587</v>
      </c>
      <c r="B1484" s="1978" t="s">
        <v>588</v>
      </c>
      <c r="C1484" s="1755"/>
      <c r="D1484" s="1755"/>
      <c r="E1484" s="1852"/>
      <c r="F1484" s="1898"/>
      <c r="G1484" s="1892"/>
      <c r="H1484" s="1854"/>
      <c r="I1484" s="1979"/>
      <c r="J1484" s="1856"/>
      <c r="K1484" s="1857"/>
      <c r="L1484" s="1899"/>
      <c r="N1484" s="1837"/>
      <c r="O1484" s="1837"/>
      <c r="P1484" s="1837"/>
      <c r="Q1484" s="1837"/>
      <c r="R1484" s="1837"/>
      <c r="S1484" s="1837"/>
      <c r="T1484" s="1837"/>
      <c r="U1484" s="1837"/>
      <c r="V1484" s="1837"/>
      <c r="W1484" s="1837"/>
      <c r="X1484" s="1837"/>
    </row>
    <row r="1485" spans="1:24" ht="24" customHeight="1">
      <c r="A1485" s="1901"/>
      <c r="B1485" s="1755" t="s">
        <v>2806</v>
      </c>
      <c r="C1485" s="1980"/>
      <c r="D1485" s="1868"/>
      <c r="E1485" s="2302">
        <v>0</v>
      </c>
      <c r="F1485" s="1806" t="s">
        <v>240</v>
      </c>
      <c r="G1485" s="2289">
        <v>347</v>
      </c>
      <c r="H1485" s="2303">
        <f>E1485*G1485</f>
        <v>0</v>
      </c>
      <c r="I1485" s="2304">
        <v>75</v>
      </c>
      <c r="J1485" s="2305">
        <f>E1485*I1485</f>
        <v>0</v>
      </c>
      <c r="K1485" s="2306">
        <f>H1485+J1485</f>
        <v>0</v>
      </c>
      <c r="L1485" s="2292"/>
      <c r="M1485" s="2293"/>
      <c r="N1485" s="1837"/>
      <c r="O1485" s="1837"/>
      <c r="P1485" s="1837"/>
      <c r="Q1485" s="1837"/>
      <c r="R1485" s="1837"/>
      <c r="S1485" s="1837"/>
      <c r="T1485" s="1837"/>
    </row>
    <row r="1486" spans="1:24" ht="24" customHeight="1">
      <c r="A1486" s="1901"/>
      <c r="B1486" s="1756" t="s">
        <v>565</v>
      </c>
      <c r="C1486" s="1981" t="s">
        <v>566</v>
      </c>
      <c r="D1486" s="1868"/>
      <c r="E1486" s="2307">
        <v>0</v>
      </c>
      <c r="F1486" s="1806" t="s">
        <v>37</v>
      </c>
      <c r="G1486" s="2289">
        <v>0</v>
      </c>
      <c r="H1486" s="2303">
        <f t="shared" ref="H1486:H1497" si="800">E1486*G1486</f>
        <v>0</v>
      </c>
      <c r="I1486" s="2304">
        <v>0</v>
      </c>
      <c r="J1486" s="2305">
        <f t="shared" ref="J1486:J1497" si="801">E1486*I1486</f>
        <v>0</v>
      </c>
      <c r="K1486" s="2306">
        <f t="shared" ref="K1486:K1497" si="802">H1486+J1486</f>
        <v>0</v>
      </c>
      <c r="L1486" s="2292"/>
      <c r="M1486" s="2293"/>
      <c r="N1486" s="1837"/>
      <c r="O1486" s="1837"/>
      <c r="P1486" s="1837"/>
      <c r="Q1486" s="1837"/>
      <c r="R1486" s="1837"/>
      <c r="S1486" s="1837"/>
      <c r="T1486" s="1837"/>
    </row>
    <row r="1487" spans="1:24">
      <c r="A1487" s="1901"/>
      <c r="B1487" s="1756" t="s">
        <v>567</v>
      </c>
      <c r="C1487" s="1982" t="s">
        <v>568</v>
      </c>
      <c r="D1487" s="1868"/>
      <c r="E1487" s="2307">
        <v>74</v>
      </c>
      <c r="F1487" s="1806" t="s">
        <v>37</v>
      </c>
      <c r="G1487" s="2289">
        <v>169</v>
      </c>
      <c r="H1487" s="2303">
        <f t="shared" si="800"/>
        <v>12506</v>
      </c>
      <c r="I1487" s="2304">
        <v>75</v>
      </c>
      <c r="J1487" s="2305">
        <f t="shared" si="801"/>
        <v>5550</v>
      </c>
      <c r="K1487" s="2306">
        <f t="shared" si="802"/>
        <v>18056</v>
      </c>
      <c r="L1487" s="2292"/>
      <c r="M1487" s="2293"/>
    </row>
    <row r="1488" spans="1:24">
      <c r="A1488" s="1901"/>
      <c r="B1488" s="1756"/>
      <c r="C1488" s="1982" t="s">
        <v>569</v>
      </c>
      <c r="D1488" s="1868"/>
      <c r="E1488" s="2307">
        <f>+E1487</f>
        <v>74</v>
      </c>
      <c r="F1488" s="1806" t="s">
        <v>37</v>
      </c>
      <c r="G1488" s="2289">
        <v>69</v>
      </c>
      <c r="H1488" s="2303">
        <f t="shared" si="800"/>
        <v>5106</v>
      </c>
      <c r="I1488" s="2304">
        <v>28</v>
      </c>
      <c r="J1488" s="2305">
        <f t="shared" si="801"/>
        <v>2072</v>
      </c>
      <c r="K1488" s="2306">
        <f t="shared" si="802"/>
        <v>7178</v>
      </c>
      <c r="L1488" s="2292"/>
      <c r="M1488" s="2293"/>
    </row>
    <row r="1489" spans="1:24">
      <c r="A1489" s="1901"/>
      <c r="B1489" s="1756"/>
      <c r="C1489" s="1982"/>
      <c r="D1489" s="1868"/>
      <c r="E1489" s="2307"/>
      <c r="F1489" s="1806"/>
      <c r="G1489" s="2289"/>
      <c r="H1489" s="2303"/>
      <c r="I1489" s="2304"/>
      <c r="J1489" s="2305"/>
      <c r="K1489" s="2306"/>
      <c r="L1489" s="2292"/>
      <c r="M1489" s="2293"/>
    </row>
    <row r="1490" spans="1:24">
      <c r="A1490" s="1901"/>
      <c r="B1490" s="1756" t="s">
        <v>570</v>
      </c>
      <c r="C1490" s="1867" t="s">
        <v>571</v>
      </c>
      <c r="D1490" s="1868"/>
      <c r="E1490" s="2307">
        <v>0</v>
      </c>
      <c r="F1490" s="1806" t="s">
        <v>37</v>
      </c>
      <c r="G1490" s="2289">
        <v>192</v>
      </c>
      <c r="H1490" s="2303">
        <f t="shared" si="800"/>
        <v>0</v>
      </c>
      <c r="I1490" s="2304">
        <v>75</v>
      </c>
      <c r="J1490" s="2305">
        <f t="shared" si="801"/>
        <v>0</v>
      </c>
      <c r="K1490" s="2306">
        <f t="shared" si="802"/>
        <v>0</v>
      </c>
      <c r="L1490" s="2292"/>
      <c r="M1490" s="2293"/>
    </row>
    <row r="1491" spans="1:24">
      <c r="A1491" s="1901"/>
      <c r="B1491" s="1756"/>
      <c r="C1491" s="1982" t="s">
        <v>569</v>
      </c>
      <c r="D1491" s="1868"/>
      <c r="E1491" s="2307">
        <f>+E1490</f>
        <v>0</v>
      </c>
      <c r="F1491" s="1806" t="s">
        <v>37</v>
      </c>
      <c r="G1491" s="2289">
        <v>69</v>
      </c>
      <c r="H1491" s="2303">
        <f t="shared" si="800"/>
        <v>0</v>
      </c>
      <c r="I1491" s="2304">
        <v>28</v>
      </c>
      <c r="J1491" s="2305">
        <f t="shared" si="801"/>
        <v>0</v>
      </c>
      <c r="K1491" s="2306">
        <f t="shared" si="802"/>
        <v>0</v>
      </c>
      <c r="L1491" s="2292"/>
      <c r="M1491" s="2293"/>
    </row>
    <row r="1492" spans="1:24">
      <c r="A1492" s="1901"/>
      <c r="B1492" s="1756" t="s">
        <v>572</v>
      </c>
      <c r="C1492" s="1867" t="s">
        <v>573</v>
      </c>
      <c r="D1492" s="1868"/>
      <c r="E1492" s="2307">
        <v>0</v>
      </c>
      <c r="F1492" s="1806" t="s">
        <v>37</v>
      </c>
      <c r="G1492" s="2289">
        <v>650</v>
      </c>
      <c r="H1492" s="2303">
        <f t="shared" si="800"/>
        <v>0</v>
      </c>
      <c r="I1492" s="2304">
        <v>52</v>
      </c>
      <c r="J1492" s="2305">
        <f t="shared" si="801"/>
        <v>0</v>
      </c>
      <c r="K1492" s="2306">
        <f t="shared" si="802"/>
        <v>0</v>
      </c>
      <c r="L1492" s="2292"/>
      <c r="M1492" s="2293"/>
    </row>
    <row r="1493" spans="1:24">
      <c r="A1493" s="1901"/>
      <c r="B1493" s="1756" t="s">
        <v>574</v>
      </c>
      <c r="C1493" s="1867" t="s">
        <v>575</v>
      </c>
      <c r="D1493" s="1868"/>
      <c r="E1493" s="2307">
        <v>0</v>
      </c>
      <c r="F1493" s="1806" t="s">
        <v>37</v>
      </c>
      <c r="G1493" s="2289">
        <v>30</v>
      </c>
      <c r="H1493" s="2303">
        <f t="shared" si="800"/>
        <v>0</v>
      </c>
      <c r="I1493" s="2304">
        <v>50</v>
      </c>
      <c r="J1493" s="2305">
        <f t="shared" si="801"/>
        <v>0</v>
      </c>
      <c r="K1493" s="2306">
        <f t="shared" si="802"/>
        <v>0</v>
      </c>
      <c r="L1493" s="2292"/>
      <c r="M1493" s="2293"/>
    </row>
    <row r="1494" spans="1:24">
      <c r="A1494" s="1901"/>
      <c r="B1494" s="1756" t="s">
        <v>576</v>
      </c>
      <c r="C1494" s="1867" t="s">
        <v>577</v>
      </c>
      <c r="D1494" s="1868"/>
      <c r="E1494" s="2307">
        <v>8558</v>
      </c>
      <c r="F1494" s="1806" t="s">
        <v>37</v>
      </c>
      <c r="G1494" s="2289">
        <v>30</v>
      </c>
      <c r="H1494" s="2303">
        <f t="shared" si="800"/>
        <v>256740</v>
      </c>
      <c r="I1494" s="2304">
        <v>50</v>
      </c>
      <c r="J1494" s="2305">
        <f t="shared" si="801"/>
        <v>427900</v>
      </c>
      <c r="K1494" s="2306">
        <f t="shared" si="802"/>
        <v>684640</v>
      </c>
      <c r="L1494" s="2292"/>
      <c r="M1494" s="2293"/>
    </row>
    <row r="1495" spans="1:24">
      <c r="A1495" s="1901"/>
      <c r="B1495" s="1756" t="s">
        <v>578</v>
      </c>
      <c r="C1495" s="1867" t="s">
        <v>579</v>
      </c>
      <c r="D1495" s="1868"/>
      <c r="E1495" s="2307">
        <v>623</v>
      </c>
      <c r="F1495" s="1806" t="s">
        <v>37</v>
      </c>
      <c r="G1495" s="2289">
        <v>88</v>
      </c>
      <c r="H1495" s="2303">
        <f t="shared" si="800"/>
        <v>54824</v>
      </c>
      <c r="I1495" s="2304">
        <v>94</v>
      </c>
      <c r="J1495" s="2305">
        <f t="shared" si="801"/>
        <v>58562</v>
      </c>
      <c r="K1495" s="2306">
        <f t="shared" si="802"/>
        <v>113386</v>
      </c>
      <c r="L1495" s="2292"/>
      <c r="M1495" s="2293"/>
    </row>
    <row r="1496" spans="1:24">
      <c r="A1496" s="1901"/>
      <c r="B1496" s="1756"/>
      <c r="C1496" s="1867" t="s">
        <v>504</v>
      </c>
      <c r="D1496" s="1868"/>
      <c r="E1496" s="2307">
        <f>+E1495</f>
        <v>623</v>
      </c>
      <c r="F1496" s="1806" t="s">
        <v>37</v>
      </c>
      <c r="G1496" s="2289">
        <v>69</v>
      </c>
      <c r="H1496" s="2303">
        <f t="shared" si="800"/>
        <v>42987</v>
      </c>
      <c r="I1496" s="2304">
        <v>28</v>
      </c>
      <c r="J1496" s="2305">
        <f t="shared" si="801"/>
        <v>17444</v>
      </c>
      <c r="K1496" s="2306">
        <f t="shared" si="802"/>
        <v>60431</v>
      </c>
      <c r="L1496" s="2292"/>
      <c r="M1496" s="2293"/>
    </row>
    <row r="1497" spans="1:24">
      <c r="A1497" s="1901"/>
      <c r="B1497" s="1756" t="s">
        <v>580</v>
      </c>
      <c r="C1497" s="1867" t="s">
        <v>581</v>
      </c>
      <c r="D1497" s="1868"/>
      <c r="E1497" s="2307">
        <v>0</v>
      </c>
      <c r="F1497" s="1806" t="s">
        <v>37</v>
      </c>
      <c r="G1497" s="2289">
        <v>1900</v>
      </c>
      <c r="H1497" s="2303">
        <f t="shared" si="800"/>
        <v>0</v>
      </c>
      <c r="I1497" s="2304">
        <v>450</v>
      </c>
      <c r="J1497" s="2305">
        <f t="shared" si="801"/>
        <v>0</v>
      </c>
      <c r="K1497" s="2306">
        <f t="shared" si="802"/>
        <v>0</v>
      </c>
      <c r="L1497" s="2292"/>
      <c r="M1497" s="2293"/>
    </row>
    <row r="1498" spans="1:24">
      <c r="A1498" s="1901"/>
      <c r="B1498" s="1756"/>
      <c r="C1498" s="1867" t="s">
        <v>582</v>
      </c>
      <c r="D1498" s="1868"/>
      <c r="E1498" s="2307"/>
      <c r="F1498" s="1806"/>
      <c r="G1498" s="2289"/>
      <c r="H1498" s="2303"/>
      <c r="I1498" s="2304"/>
      <c r="J1498" s="2308"/>
      <c r="K1498" s="2289"/>
      <c r="L1498" s="2292"/>
      <c r="M1498" s="2293"/>
    </row>
    <row r="1499" spans="1:24">
      <c r="A1499" s="1901"/>
      <c r="B1499" s="1756" t="s">
        <v>583</v>
      </c>
      <c r="C1499" s="1867" t="s">
        <v>2807</v>
      </c>
      <c r="D1499" s="1868"/>
      <c r="E1499" s="2307">
        <v>0</v>
      </c>
      <c r="F1499" s="1806" t="s">
        <v>37</v>
      </c>
      <c r="G1499" s="2289">
        <v>1296</v>
      </c>
      <c r="H1499" s="2303">
        <f>E1499*G1499</f>
        <v>0</v>
      </c>
      <c r="I1499" s="2304">
        <v>1600</v>
      </c>
      <c r="J1499" s="2305">
        <f t="shared" ref="J1499" si="803">E1499*I1499</f>
        <v>0</v>
      </c>
      <c r="K1499" s="2306">
        <f>H1499+J1499</f>
        <v>0</v>
      </c>
      <c r="L1499" s="2292"/>
      <c r="M1499" s="2293"/>
    </row>
    <row r="1500" spans="1:24">
      <c r="A1500" s="1901"/>
      <c r="B1500" s="1756"/>
      <c r="C1500" s="1867" t="s">
        <v>512</v>
      </c>
      <c r="D1500" s="1755"/>
      <c r="E1500" s="2307"/>
      <c r="F1500" s="1806"/>
      <c r="G1500" s="2289"/>
      <c r="H1500" s="2303"/>
      <c r="I1500" s="2304"/>
      <c r="J1500" s="2308"/>
      <c r="K1500" s="2289"/>
      <c r="L1500" s="2292"/>
      <c r="M1500" s="2293"/>
    </row>
    <row r="1501" spans="1:24" ht="24" customHeight="1">
      <c r="A1501" s="1897"/>
      <c r="B1501" s="1756" t="s">
        <v>584</v>
      </c>
      <c r="C1501" s="1755" t="s">
        <v>2808</v>
      </c>
      <c r="D1501" s="1859"/>
      <c r="E1501" s="2307">
        <v>0</v>
      </c>
      <c r="F1501" s="1806" t="s">
        <v>37</v>
      </c>
      <c r="G1501" s="2289">
        <v>325</v>
      </c>
      <c r="H1501" s="2303">
        <f>E1501*G1501</f>
        <v>0</v>
      </c>
      <c r="I1501" s="2304">
        <v>100</v>
      </c>
      <c r="J1501" s="2305">
        <f t="shared" ref="J1501" si="804">E1501*I1501</f>
        <v>0</v>
      </c>
      <c r="K1501" s="2306">
        <f>H1501+J1501</f>
        <v>0</v>
      </c>
      <c r="L1501" s="2292"/>
      <c r="M1501" s="2293"/>
      <c r="N1501" s="1837"/>
      <c r="O1501" s="1837"/>
      <c r="P1501" s="1837"/>
      <c r="Q1501" s="1837"/>
      <c r="R1501" s="1837"/>
      <c r="S1501" s="1837"/>
      <c r="T1501" s="1837"/>
      <c r="U1501" s="1837"/>
      <c r="V1501" s="1837"/>
      <c r="W1501" s="1837"/>
      <c r="X1501" s="1837"/>
    </row>
    <row r="1502" spans="1:24" ht="24" customHeight="1">
      <c r="A1502" s="1897"/>
      <c r="B1502" s="1756"/>
      <c r="C1502" s="1755" t="s">
        <v>585</v>
      </c>
      <c r="D1502" s="1859"/>
      <c r="E1502" s="2307"/>
      <c r="F1502" s="1806"/>
      <c r="G1502" s="2289"/>
      <c r="H1502" s="2303"/>
      <c r="I1502" s="2291"/>
      <c r="J1502" s="2308"/>
      <c r="K1502" s="2289"/>
      <c r="L1502" s="2292"/>
      <c r="M1502" s="2293"/>
      <c r="N1502" s="1837"/>
      <c r="O1502" s="1837"/>
      <c r="P1502" s="1837"/>
      <c r="Q1502" s="1837"/>
      <c r="R1502" s="1837"/>
      <c r="S1502" s="1837"/>
      <c r="T1502" s="1837"/>
      <c r="U1502" s="1837"/>
      <c r="V1502" s="1837"/>
      <c r="W1502" s="1837"/>
      <c r="X1502" s="1837"/>
    </row>
    <row r="1503" spans="1:24">
      <c r="A1503" s="1901"/>
      <c r="B1503" s="1756" t="s">
        <v>586</v>
      </c>
      <c r="C1503" s="1755" t="s">
        <v>2809</v>
      </c>
      <c r="D1503" s="1859"/>
      <c r="E1503" s="2307">
        <v>0</v>
      </c>
      <c r="F1503" s="1806" t="s">
        <v>37</v>
      </c>
      <c r="G1503" s="2289">
        <v>235</v>
      </c>
      <c r="H1503" s="2303">
        <f>E1503*G1503</f>
        <v>0</v>
      </c>
      <c r="I1503" s="2304">
        <v>100</v>
      </c>
      <c r="J1503" s="2305">
        <f t="shared" ref="J1503" si="805">E1503*I1503</f>
        <v>0</v>
      </c>
      <c r="K1503" s="2306">
        <f>H1503+J1503</f>
        <v>0</v>
      </c>
      <c r="L1503" s="2292"/>
      <c r="M1503" s="2293"/>
    </row>
    <row r="1504" spans="1:24">
      <c r="A1504" s="1782"/>
      <c r="B1504" s="1756"/>
      <c r="C1504" s="1755" t="s">
        <v>585</v>
      </c>
      <c r="D1504" s="1859"/>
      <c r="E1504" s="2307"/>
      <c r="F1504" s="1806"/>
      <c r="G1504" s="2289"/>
      <c r="H1504" s="2290"/>
      <c r="I1504" s="2291"/>
      <c r="J1504" s="2308"/>
      <c r="K1504" s="2289"/>
      <c r="L1504" s="2292"/>
      <c r="M1504" s="2293"/>
      <c r="N1504" s="1797">
        <f>SUM(K1485:K1504)</f>
        <v>883691</v>
      </c>
    </row>
    <row r="1505" spans="1:24" ht="24" customHeight="1">
      <c r="A1505" s="1896" t="s">
        <v>589</v>
      </c>
      <c r="B1505" s="1908" t="s">
        <v>590</v>
      </c>
      <c r="C1505" s="1895"/>
      <c r="D1505" s="1906"/>
      <c r="E1505" s="1852"/>
      <c r="F1505" s="1806"/>
      <c r="G1505" s="1907"/>
      <c r="H1505" s="1854"/>
      <c r="I1505" s="1855"/>
      <c r="J1505" s="1856"/>
      <c r="K1505" s="1857"/>
      <c r="L1505" s="1858"/>
      <c r="M1505" s="1809"/>
      <c r="N1505" s="1837"/>
      <c r="O1505" s="1837"/>
      <c r="P1505" s="1837"/>
      <c r="Q1505" s="1837"/>
      <c r="R1505" s="1837"/>
      <c r="S1505" s="1837"/>
      <c r="T1505" s="1837"/>
      <c r="U1505" s="1837"/>
      <c r="V1505" s="1837"/>
      <c r="W1505" s="1837"/>
      <c r="X1505" s="1837"/>
    </row>
    <row r="1506" spans="1:24" ht="24" customHeight="1">
      <c r="A1506" s="1901"/>
      <c r="B1506" s="1755" t="s">
        <v>2806</v>
      </c>
      <c r="C1506" s="1980"/>
      <c r="D1506" s="1868"/>
      <c r="E1506" s="2302">
        <v>0</v>
      </c>
      <c r="F1506" s="1806" t="s">
        <v>240</v>
      </c>
      <c r="G1506" s="2289">
        <v>347</v>
      </c>
      <c r="H1506" s="2303">
        <f>E1506*G1506</f>
        <v>0</v>
      </c>
      <c r="I1506" s="2304">
        <v>75</v>
      </c>
      <c r="J1506" s="2305">
        <f>E1506*I1506</f>
        <v>0</v>
      </c>
      <c r="K1506" s="2306">
        <f>H1506+J1506</f>
        <v>0</v>
      </c>
      <c r="L1506" s="2292"/>
      <c r="M1506" s="2293"/>
      <c r="N1506" s="1837"/>
      <c r="O1506" s="1837"/>
      <c r="P1506" s="1837"/>
      <c r="Q1506" s="1837"/>
      <c r="R1506" s="1837"/>
      <c r="S1506" s="1837"/>
      <c r="T1506" s="1837"/>
    </row>
    <row r="1507" spans="1:24" ht="24" customHeight="1">
      <c r="A1507" s="1901"/>
      <c r="B1507" s="1756" t="s">
        <v>565</v>
      </c>
      <c r="C1507" s="1981" t="s">
        <v>566</v>
      </c>
      <c r="D1507" s="1868"/>
      <c r="E1507" s="2307">
        <v>3893</v>
      </c>
      <c r="F1507" s="1806" t="s">
        <v>37</v>
      </c>
      <c r="G1507" s="2289">
        <v>0</v>
      </c>
      <c r="H1507" s="2303">
        <f t="shared" ref="H1507:H1517" si="806">E1507*G1507</f>
        <v>0</v>
      </c>
      <c r="I1507" s="2304">
        <v>0</v>
      </c>
      <c r="J1507" s="2305">
        <f t="shared" ref="J1507:J1517" si="807">E1507*I1507</f>
        <v>0</v>
      </c>
      <c r="K1507" s="2306">
        <f t="shared" ref="K1507:K1517" si="808">H1507+J1507</f>
        <v>0</v>
      </c>
      <c r="L1507" s="2292"/>
      <c r="M1507" s="2293"/>
      <c r="N1507" s="1837"/>
      <c r="O1507" s="1837"/>
      <c r="P1507" s="1837"/>
      <c r="Q1507" s="1837"/>
      <c r="R1507" s="1837"/>
      <c r="S1507" s="1837"/>
      <c r="T1507" s="1837"/>
    </row>
    <row r="1508" spans="1:24">
      <c r="A1508" s="1901"/>
      <c r="B1508" s="1756" t="s">
        <v>567</v>
      </c>
      <c r="C1508" s="1982" t="s">
        <v>568</v>
      </c>
      <c r="D1508" s="1868"/>
      <c r="E1508" s="2307">
        <v>288</v>
      </c>
      <c r="F1508" s="1806" t="s">
        <v>37</v>
      </c>
      <c r="G1508" s="2289">
        <v>169</v>
      </c>
      <c r="H1508" s="2303">
        <f t="shared" si="806"/>
        <v>48672</v>
      </c>
      <c r="I1508" s="2304">
        <v>75</v>
      </c>
      <c r="J1508" s="2305">
        <f t="shared" si="807"/>
        <v>21600</v>
      </c>
      <c r="K1508" s="2306">
        <f t="shared" si="808"/>
        <v>70272</v>
      </c>
      <c r="L1508" s="2292"/>
      <c r="M1508" s="2293"/>
    </row>
    <row r="1509" spans="1:24">
      <c r="A1509" s="1901"/>
      <c r="B1509" s="1756"/>
      <c r="C1509" s="1982" t="s">
        <v>569</v>
      </c>
      <c r="D1509" s="1868"/>
      <c r="E1509" s="2307">
        <f>+E1508</f>
        <v>288</v>
      </c>
      <c r="F1509" s="1806" t="s">
        <v>37</v>
      </c>
      <c r="G1509" s="2289">
        <v>69</v>
      </c>
      <c r="H1509" s="2303">
        <f t="shared" si="806"/>
        <v>19872</v>
      </c>
      <c r="I1509" s="2304">
        <v>28</v>
      </c>
      <c r="J1509" s="2305">
        <f t="shared" si="807"/>
        <v>8064</v>
      </c>
      <c r="K1509" s="2306">
        <f t="shared" si="808"/>
        <v>27936</v>
      </c>
      <c r="L1509" s="2292"/>
      <c r="M1509" s="2293"/>
    </row>
    <row r="1510" spans="1:24">
      <c r="A1510" s="1901"/>
      <c r="B1510" s="1756" t="s">
        <v>570</v>
      </c>
      <c r="C1510" s="1867" t="s">
        <v>571</v>
      </c>
      <c r="D1510" s="1868"/>
      <c r="E1510" s="2307">
        <v>113</v>
      </c>
      <c r="F1510" s="1806" t="s">
        <v>37</v>
      </c>
      <c r="G1510" s="2289">
        <v>192</v>
      </c>
      <c r="H1510" s="2303">
        <f t="shared" si="806"/>
        <v>21696</v>
      </c>
      <c r="I1510" s="2304">
        <v>75</v>
      </c>
      <c r="J1510" s="2305">
        <f t="shared" si="807"/>
        <v>8475</v>
      </c>
      <c r="K1510" s="2306">
        <f t="shared" si="808"/>
        <v>30171</v>
      </c>
      <c r="L1510" s="2292"/>
      <c r="M1510" s="2293"/>
    </row>
    <row r="1511" spans="1:24">
      <c r="A1511" s="1901"/>
      <c r="B1511" s="1756"/>
      <c r="C1511" s="1982" t="s">
        <v>569</v>
      </c>
      <c r="D1511" s="1868"/>
      <c r="E1511" s="2307">
        <f>+E1510</f>
        <v>113</v>
      </c>
      <c r="F1511" s="1806" t="s">
        <v>37</v>
      </c>
      <c r="G1511" s="2289">
        <v>69</v>
      </c>
      <c r="H1511" s="2303">
        <f t="shared" si="806"/>
        <v>7797</v>
      </c>
      <c r="I1511" s="2304">
        <v>28</v>
      </c>
      <c r="J1511" s="2305">
        <f t="shared" si="807"/>
        <v>3164</v>
      </c>
      <c r="K1511" s="2306">
        <f t="shared" si="808"/>
        <v>10961</v>
      </c>
      <c r="L1511" s="2292"/>
      <c r="M1511" s="2293"/>
    </row>
    <row r="1512" spans="1:24">
      <c r="A1512" s="1901"/>
      <c r="B1512" s="1756" t="s">
        <v>572</v>
      </c>
      <c r="C1512" s="1867" t="s">
        <v>573</v>
      </c>
      <c r="D1512" s="1868"/>
      <c r="E1512" s="2307">
        <v>0</v>
      </c>
      <c r="F1512" s="1806" t="s">
        <v>37</v>
      </c>
      <c r="G1512" s="2289">
        <v>650</v>
      </c>
      <c r="H1512" s="2303">
        <f t="shared" si="806"/>
        <v>0</v>
      </c>
      <c r="I1512" s="2304">
        <v>52</v>
      </c>
      <c r="J1512" s="2305">
        <f t="shared" si="807"/>
        <v>0</v>
      </c>
      <c r="K1512" s="2306">
        <f t="shared" si="808"/>
        <v>0</v>
      </c>
      <c r="L1512" s="2292"/>
      <c r="M1512" s="2293"/>
    </row>
    <row r="1513" spans="1:24">
      <c r="A1513" s="1901"/>
      <c r="B1513" s="1756" t="s">
        <v>574</v>
      </c>
      <c r="C1513" s="1867" t="s">
        <v>575</v>
      </c>
      <c r="D1513" s="1868"/>
      <c r="E1513" s="2307">
        <v>0</v>
      </c>
      <c r="F1513" s="1806" t="s">
        <v>37</v>
      </c>
      <c r="G1513" s="2289">
        <v>30</v>
      </c>
      <c r="H1513" s="2303">
        <f t="shared" si="806"/>
        <v>0</v>
      </c>
      <c r="I1513" s="2304">
        <v>50</v>
      </c>
      <c r="J1513" s="2305">
        <f t="shared" si="807"/>
        <v>0</v>
      </c>
      <c r="K1513" s="2306">
        <f t="shared" si="808"/>
        <v>0</v>
      </c>
      <c r="L1513" s="2292"/>
      <c r="M1513" s="2293"/>
    </row>
    <row r="1514" spans="1:24">
      <c r="A1514" s="1901"/>
      <c r="B1514" s="1756" t="s">
        <v>576</v>
      </c>
      <c r="C1514" s="1867" t="s">
        <v>577</v>
      </c>
      <c r="D1514" s="1868"/>
      <c r="E1514" s="2307">
        <v>111</v>
      </c>
      <c r="F1514" s="1806" t="s">
        <v>37</v>
      </c>
      <c r="G1514" s="2289">
        <v>30</v>
      </c>
      <c r="H1514" s="2303">
        <f t="shared" si="806"/>
        <v>3330</v>
      </c>
      <c r="I1514" s="2304">
        <v>50</v>
      </c>
      <c r="J1514" s="2305">
        <f t="shared" si="807"/>
        <v>5550</v>
      </c>
      <c r="K1514" s="2306">
        <f t="shared" si="808"/>
        <v>8880</v>
      </c>
      <c r="L1514" s="2292"/>
      <c r="M1514" s="2293"/>
    </row>
    <row r="1515" spans="1:24">
      <c r="A1515" s="1901"/>
      <c r="B1515" s="1756" t="s">
        <v>578</v>
      </c>
      <c r="C1515" s="1867" t="s">
        <v>579</v>
      </c>
      <c r="D1515" s="1868"/>
      <c r="E1515" s="2307">
        <v>263</v>
      </c>
      <c r="F1515" s="1806" t="s">
        <v>37</v>
      </c>
      <c r="G1515" s="2289">
        <v>88</v>
      </c>
      <c r="H1515" s="2303">
        <f t="shared" si="806"/>
        <v>23144</v>
      </c>
      <c r="I1515" s="2304">
        <v>94</v>
      </c>
      <c r="J1515" s="2305">
        <f t="shared" si="807"/>
        <v>24722</v>
      </c>
      <c r="K1515" s="2306">
        <f t="shared" si="808"/>
        <v>47866</v>
      </c>
      <c r="L1515" s="2292"/>
      <c r="M1515" s="2293"/>
    </row>
    <row r="1516" spans="1:24">
      <c r="A1516" s="1901"/>
      <c r="B1516" s="1756"/>
      <c r="C1516" s="1867" t="s">
        <v>504</v>
      </c>
      <c r="D1516" s="1868"/>
      <c r="E1516" s="2307">
        <f>+E1515</f>
        <v>263</v>
      </c>
      <c r="F1516" s="1806" t="s">
        <v>37</v>
      </c>
      <c r="G1516" s="2289">
        <v>69</v>
      </c>
      <c r="H1516" s="2303">
        <f t="shared" si="806"/>
        <v>18147</v>
      </c>
      <c r="I1516" s="2304">
        <v>28</v>
      </c>
      <c r="J1516" s="2305">
        <f t="shared" si="807"/>
        <v>7364</v>
      </c>
      <c r="K1516" s="2306">
        <f t="shared" si="808"/>
        <v>25511</v>
      </c>
      <c r="L1516" s="2292"/>
      <c r="M1516" s="2293"/>
    </row>
    <row r="1517" spans="1:24">
      <c r="A1517" s="1901"/>
      <c r="B1517" s="1756" t="s">
        <v>580</v>
      </c>
      <c r="C1517" s="1867" t="s">
        <v>581</v>
      </c>
      <c r="D1517" s="1868"/>
      <c r="E1517" s="2307">
        <v>0</v>
      </c>
      <c r="F1517" s="1806" t="s">
        <v>37</v>
      </c>
      <c r="G1517" s="2289">
        <v>1900</v>
      </c>
      <c r="H1517" s="2303">
        <f t="shared" si="806"/>
        <v>0</v>
      </c>
      <c r="I1517" s="2304">
        <v>450</v>
      </c>
      <c r="J1517" s="2305">
        <f t="shared" si="807"/>
        <v>0</v>
      </c>
      <c r="K1517" s="2306">
        <f t="shared" si="808"/>
        <v>0</v>
      </c>
      <c r="L1517" s="2292"/>
      <c r="M1517" s="2293"/>
    </row>
    <row r="1518" spans="1:24">
      <c r="A1518" s="1901"/>
      <c r="B1518" s="1756"/>
      <c r="C1518" s="1867" t="s">
        <v>582</v>
      </c>
      <c r="D1518" s="1868"/>
      <c r="E1518" s="2307"/>
      <c r="F1518" s="1806"/>
      <c r="G1518" s="2289"/>
      <c r="H1518" s="2303"/>
      <c r="I1518" s="2304"/>
      <c r="J1518" s="2308"/>
      <c r="K1518" s="2289"/>
      <c r="L1518" s="2292"/>
      <c r="M1518" s="2293"/>
    </row>
    <row r="1519" spans="1:24">
      <c r="A1519" s="1901"/>
      <c r="B1519" s="1756" t="s">
        <v>583</v>
      </c>
      <c r="C1519" s="1867" t="s">
        <v>2807</v>
      </c>
      <c r="D1519" s="1868"/>
      <c r="E1519" s="2307">
        <v>810</v>
      </c>
      <c r="F1519" s="1806" t="s">
        <v>37</v>
      </c>
      <c r="G1519" s="2289">
        <v>1296</v>
      </c>
      <c r="H1519" s="2303">
        <f>E1519*G1519</f>
        <v>1049760</v>
      </c>
      <c r="I1519" s="2304">
        <v>1600</v>
      </c>
      <c r="J1519" s="2305">
        <f t="shared" ref="J1519" si="809">E1519*I1519</f>
        <v>1296000</v>
      </c>
      <c r="K1519" s="2306">
        <f>H1519+J1519</f>
        <v>2345760</v>
      </c>
      <c r="L1519" s="2292"/>
      <c r="M1519" s="2293"/>
    </row>
    <row r="1520" spans="1:24">
      <c r="A1520" s="1782"/>
      <c r="B1520" s="1756"/>
      <c r="C1520" s="1867" t="s">
        <v>512</v>
      </c>
      <c r="D1520" s="1895"/>
      <c r="E1520" s="2307"/>
      <c r="F1520" s="1806"/>
      <c r="G1520" s="2289"/>
      <c r="H1520" s="2303"/>
      <c r="I1520" s="2304"/>
      <c r="J1520" s="2308"/>
      <c r="K1520" s="2289"/>
      <c r="L1520" s="2292"/>
      <c r="M1520" s="2293"/>
    </row>
    <row r="1521" spans="1:24" ht="24" customHeight="1">
      <c r="A1521" s="1782"/>
      <c r="B1521" s="1756" t="s">
        <v>584</v>
      </c>
      <c r="C1521" s="1755" t="s">
        <v>2808</v>
      </c>
      <c r="D1521" s="1859"/>
      <c r="E1521" s="2307">
        <v>129</v>
      </c>
      <c r="F1521" s="1806" t="s">
        <v>37</v>
      </c>
      <c r="G1521" s="2289">
        <v>325</v>
      </c>
      <c r="H1521" s="2303">
        <f>E1521*G1521</f>
        <v>41925</v>
      </c>
      <c r="I1521" s="2304">
        <v>100</v>
      </c>
      <c r="J1521" s="2305">
        <f t="shared" ref="J1521" si="810">E1521*I1521</f>
        <v>12900</v>
      </c>
      <c r="K1521" s="2306">
        <f>H1521+J1521</f>
        <v>54825</v>
      </c>
      <c r="L1521" s="2292"/>
      <c r="M1521" s="2293"/>
      <c r="N1521" s="1837"/>
      <c r="O1521" s="1837"/>
      <c r="P1521" s="1837"/>
      <c r="Q1521" s="1837"/>
      <c r="R1521" s="1837"/>
      <c r="S1521" s="1837"/>
      <c r="T1521" s="1837"/>
      <c r="U1521" s="1837"/>
      <c r="V1521" s="1837"/>
      <c r="W1521" s="1837"/>
      <c r="X1521" s="1837"/>
    </row>
    <row r="1522" spans="1:24" ht="24" customHeight="1">
      <c r="A1522" s="1782"/>
      <c r="B1522" s="1756"/>
      <c r="C1522" s="1755" t="s">
        <v>585</v>
      </c>
      <c r="D1522" s="1859"/>
      <c r="E1522" s="2307"/>
      <c r="F1522" s="1806"/>
      <c r="G1522" s="2289"/>
      <c r="H1522" s="2303"/>
      <c r="I1522" s="2291"/>
      <c r="J1522" s="2308"/>
      <c r="K1522" s="2289"/>
      <c r="L1522" s="2292"/>
      <c r="M1522" s="2293"/>
      <c r="N1522" s="1837"/>
      <c r="O1522" s="1837"/>
      <c r="P1522" s="1837"/>
      <c r="Q1522" s="1837"/>
      <c r="R1522" s="1837"/>
      <c r="S1522" s="1837"/>
      <c r="T1522" s="1837"/>
      <c r="U1522" s="1837"/>
      <c r="V1522" s="1837"/>
      <c r="W1522" s="1837"/>
      <c r="X1522" s="1837"/>
    </row>
    <row r="1523" spans="1:24">
      <c r="A1523" s="1901"/>
      <c r="B1523" s="1756" t="s">
        <v>586</v>
      </c>
      <c r="C1523" s="1755" t="s">
        <v>2809</v>
      </c>
      <c r="D1523" s="1859"/>
      <c r="E1523" s="2307">
        <v>0</v>
      </c>
      <c r="F1523" s="1806" t="s">
        <v>37</v>
      </c>
      <c r="G1523" s="2289">
        <v>235</v>
      </c>
      <c r="H1523" s="2303">
        <f>E1523*G1523</f>
        <v>0</v>
      </c>
      <c r="I1523" s="2304">
        <v>100</v>
      </c>
      <c r="J1523" s="2305">
        <f t="shared" ref="J1523" si="811">E1523*I1523</f>
        <v>0</v>
      </c>
      <c r="K1523" s="2306">
        <f>H1523+J1523</f>
        <v>0</v>
      </c>
      <c r="L1523" s="2292"/>
      <c r="M1523" s="2293"/>
    </row>
    <row r="1524" spans="1:24">
      <c r="A1524" s="1782"/>
      <c r="B1524" s="1756"/>
      <c r="C1524" s="1755" t="s">
        <v>585</v>
      </c>
      <c r="D1524" s="1859"/>
      <c r="E1524" s="2307"/>
      <c r="F1524" s="1806"/>
      <c r="G1524" s="2289"/>
      <c r="H1524" s="2290"/>
      <c r="I1524" s="2291"/>
      <c r="J1524" s="2308"/>
      <c r="K1524" s="2289"/>
      <c r="L1524" s="2292"/>
      <c r="M1524" s="2293"/>
      <c r="N1524" s="1797">
        <f>SUM(K1506:K1524)</f>
        <v>2622182</v>
      </c>
    </row>
    <row r="1525" spans="1:24" ht="24" customHeight="1">
      <c r="A1525" s="1933" t="s">
        <v>591</v>
      </c>
      <c r="B1525" s="1908" t="s">
        <v>592</v>
      </c>
      <c r="C1525" s="1895"/>
      <c r="D1525" s="1909"/>
      <c r="E1525" s="1910"/>
      <c r="F1525" s="2275"/>
      <c r="G1525" s="1983"/>
      <c r="H1525" s="1911"/>
      <c r="I1525" s="1920"/>
      <c r="J1525" s="1913"/>
      <c r="K1525" s="1914"/>
      <c r="L1525" s="1847"/>
      <c r="M1525" s="1809"/>
      <c r="N1525" s="1837"/>
      <c r="O1525" s="1837"/>
      <c r="P1525" s="1837"/>
      <c r="Q1525" s="1837"/>
      <c r="R1525" s="1837"/>
      <c r="S1525" s="1837"/>
      <c r="T1525" s="1837"/>
      <c r="U1525" s="1837"/>
      <c r="V1525" s="1837"/>
      <c r="W1525" s="1837"/>
      <c r="X1525" s="1837"/>
    </row>
    <row r="1526" spans="1:24" ht="24" customHeight="1">
      <c r="A1526" s="1901"/>
      <c r="B1526" s="1755" t="s">
        <v>2806</v>
      </c>
      <c r="C1526" s="1980"/>
      <c r="D1526" s="1868"/>
      <c r="E1526" s="2302">
        <v>0</v>
      </c>
      <c r="F1526" s="1806" t="s">
        <v>240</v>
      </c>
      <c r="G1526" s="2289">
        <v>347</v>
      </c>
      <c r="H1526" s="2303">
        <f>E1526*G1526</f>
        <v>0</v>
      </c>
      <c r="I1526" s="2304">
        <v>75</v>
      </c>
      <c r="J1526" s="2305">
        <f>E1526*I1526</f>
        <v>0</v>
      </c>
      <c r="K1526" s="2306">
        <f>H1526+J1526</f>
        <v>0</v>
      </c>
      <c r="L1526" s="2292"/>
      <c r="M1526" s="2293"/>
      <c r="N1526" s="1837"/>
      <c r="O1526" s="1837"/>
      <c r="P1526" s="1837"/>
      <c r="Q1526" s="1837"/>
      <c r="R1526" s="1837"/>
      <c r="S1526" s="1837"/>
      <c r="T1526" s="1837"/>
    </row>
    <row r="1527" spans="1:24" ht="24" customHeight="1">
      <c r="A1527" s="1901"/>
      <c r="B1527" s="1756" t="s">
        <v>565</v>
      </c>
      <c r="C1527" s="1981" t="s">
        <v>566</v>
      </c>
      <c r="D1527" s="1868"/>
      <c r="E1527" s="2307">
        <v>3489</v>
      </c>
      <c r="F1527" s="1806" t="s">
        <v>37</v>
      </c>
      <c r="G1527" s="2289">
        <v>0</v>
      </c>
      <c r="H1527" s="2303">
        <f t="shared" ref="H1527:H1537" si="812">E1527*G1527</f>
        <v>0</v>
      </c>
      <c r="I1527" s="2304">
        <v>0</v>
      </c>
      <c r="J1527" s="2305">
        <f t="shared" ref="J1527:J1537" si="813">E1527*I1527</f>
        <v>0</v>
      </c>
      <c r="K1527" s="2306">
        <f t="shared" ref="K1527:K1537" si="814">H1527+J1527</f>
        <v>0</v>
      </c>
      <c r="L1527" s="2292"/>
      <c r="M1527" s="2293"/>
      <c r="N1527" s="1837"/>
      <c r="O1527" s="1837"/>
      <c r="P1527" s="1837"/>
      <c r="Q1527" s="1837"/>
      <c r="R1527" s="1837"/>
      <c r="S1527" s="1837"/>
      <c r="T1527" s="1837"/>
    </row>
    <row r="1528" spans="1:24">
      <c r="A1528" s="1901"/>
      <c r="B1528" s="1756" t="s">
        <v>567</v>
      </c>
      <c r="C1528" s="1982" t="s">
        <v>568</v>
      </c>
      <c r="D1528" s="1868"/>
      <c r="E1528" s="2307">
        <v>925</v>
      </c>
      <c r="F1528" s="1806" t="s">
        <v>37</v>
      </c>
      <c r="G1528" s="2289">
        <v>169</v>
      </c>
      <c r="H1528" s="2303">
        <f t="shared" si="812"/>
        <v>156325</v>
      </c>
      <c r="I1528" s="2304">
        <v>75</v>
      </c>
      <c r="J1528" s="2305">
        <f t="shared" si="813"/>
        <v>69375</v>
      </c>
      <c r="K1528" s="2306">
        <f t="shared" si="814"/>
        <v>225700</v>
      </c>
      <c r="L1528" s="2292"/>
      <c r="M1528" s="2293"/>
    </row>
    <row r="1529" spans="1:24">
      <c r="A1529" s="1901"/>
      <c r="B1529" s="1756"/>
      <c r="C1529" s="1982" t="s">
        <v>569</v>
      </c>
      <c r="D1529" s="1868"/>
      <c r="E1529" s="2307">
        <f>+E1528</f>
        <v>925</v>
      </c>
      <c r="F1529" s="1806" t="s">
        <v>37</v>
      </c>
      <c r="G1529" s="2289">
        <v>69</v>
      </c>
      <c r="H1529" s="2303">
        <f t="shared" si="812"/>
        <v>63825</v>
      </c>
      <c r="I1529" s="2304">
        <v>28</v>
      </c>
      <c r="J1529" s="2305">
        <f t="shared" si="813"/>
        <v>25900</v>
      </c>
      <c r="K1529" s="2306">
        <f t="shared" si="814"/>
        <v>89725</v>
      </c>
      <c r="L1529" s="2292"/>
      <c r="M1529" s="2293"/>
    </row>
    <row r="1530" spans="1:24">
      <c r="A1530" s="1901"/>
      <c r="B1530" s="1756" t="s">
        <v>570</v>
      </c>
      <c r="C1530" s="1867" t="s">
        <v>571</v>
      </c>
      <c r="D1530" s="1868"/>
      <c r="E1530" s="2307">
        <v>127</v>
      </c>
      <c r="F1530" s="1806" t="s">
        <v>37</v>
      </c>
      <c r="G1530" s="2289">
        <v>192</v>
      </c>
      <c r="H1530" s="2303">
        <f t="shared" si="812"/>
        <v>24384</v>
      </c>
      <c r="I1530" s="2304">
        <v>75</v>
      </c>
      <c r="J1530" s="2305">
        <f t="shared" si="813"/>
        <v>9525</v>
      </c>
      <c r="K1530" s="2306">
        <f t="shared" si="814"/>
        <v>33909</v>
      </c>
      <c r="L1530" s="2292"/>
      <c r="M1530" s="2293"/>
    </row>
    <row r="1531" spans="1:24">
      <c r="A1531" s="1901"/>
      <c r="B1531" s="1756"/>
      <c r="C1531" s="1982" t="s">
        <v>569</v>
      </c>
      <c r="D1531" s="1868"/>
      <c r="E1531" s="2307">
        <f>+E1530</f>
        <v>127</v>
      </c>
      <c r="F1531" s="1806" t="s">
        <v>37</v>
      </c>
      <c r="G1531" s="2289">
        <v>69</v>
      </c>
      <c r="H1531" s="2303">
        <f t="shared" si="812"/>
        <v>8763</v>
      </c>
      <c r="I1531" s="2304">
        <v>28</v>
      </c>
      <c r="J1531" s="2305">
        <f t="shared" si="813"/>
        <v>3556</v>
      </c>
      <c r="K1531" s="2306">
        <f t="shared" si="814"/>
        <v>12319</v>
      </c>
      <c r="L1531" s="2292"/>
      <c r="M1531" s="2293"/>
    </row>
    <row r="1532" spans="1:24">
      <c r="A1532" s="1901"/>
      <c r="B1532" s="1756" t="s">
        <v>572</v>
      </c>
      <c r="C1532" s="1867" t="s">
        <v>573</v>
      </c>
      <c r="D1532" s="1868"/>
      <c r="E1532" s="2307">
        <v>0</v>
      </c>
      <c r="F1532" s="1806" t="s">
        <v>37</v>
      </c>
      <c r="G1532" s="2289">
        <v>650</v>
      </c>
      <c r="H1532" s="2303">
        <f t="shared" si="812"/>
        <v>0</v>
      </c>
      <c r="I1532" s="2304">
        <v>52</v>
      </c>
      <c r="J1532" s="2305">
        <f t="shared" si="813"/>
        <v>0</v>
      </c>
      <c r="K1532" s="2306">
        <f t="shared" si="814"/>
        <v>0</v>
      </c>
      <c r="L1532" s="2292"/>
      <c r="M1532" s="2293"/>
    </row>
    <row r="1533" spans="1:24">
      <c r="A1533" s="1901"/>
      <c r="B1533" s="1756" t="s">
        <v>574</v>
      </c>
      <c r="C1533" s="1867" t="s">
        <v>575</v>
      </c>
      <c r="D1533" s="1868"/>
      <c r="E1533" s="2307">
        <v>0</v>
      </c>
      <c r="F1533" s="1806" t="s">
        <v>37</v>
      </c>
      <c r="G1533" s="2289">
        <v>30</v>
      </c>
      <c r="H1533" s="2303">
        <f t="shared" si="812"/>
        <v>0</v>
      </c>
      <c r="I1533" s="2304">
        <v>50</v>
      </c>
      <c r="J1533" s="2305">
        <f t="shared" si="813"/>
        <v>0</v>
      </c>
      <c r="K1533" s="2306">
        <f t="shared" si="814"/>
        <v>0</v>
      </c>
      <c r="L1533" s="2292"/>
      <c r="M1533" s="2293"/>
    </row>
    <row r="1534" spans="1:24">
      <c r="A1534" s="1901"/>
      <c r="B1534" s="1756" t="s">
        <v>576</v>
      </c>
      <c r="C1534" s="1867" t="s">
        <v>577</v>
      </c>
      <c r="D1534" s="1868"/>
      <c r="E1534" s="2307">
        <v>113</v>
      </c>
      <c r="F1534" s="1806" t="s">
        <v>37</v>
      </c>
      <c r="G1534" s="2289">
        <v>30</v>
      </c>
      <c r="H1534" s="2303">
        <f t="shared" si="812"/>
        <v>3390</v>
      </c>
      <c r="I1534" s="2304">
        <v>50</v>
      </c>
      <c r="J1534" s="2305">
        <f t="shared" si="813"/>
        <v>5650</v>
      </c>
      <c r="K1534" s="2306">
        <f t="shared" si="814"/>
        <v>9040</v>
      </c>
      <c r="L1534" s="2292"/>
      <c r="M1534" s="2293"/>
    </row>
    <row r="1535" spans="1:24">
      <c r="A1535" s="1901"/>
      <c r="B1535" s="1756" t="s">
        <v>578</v>
      </c>
      <c r="C1535" s="1867" t="s">
        <v>579</v>
      </c>
      <c r="D1535" s="1868"/>
      <c r="E1535" s="2307">
        <v>92</v>
      </c>
      <c r="F1535" s="1806" t="s">
        <v>37</v>
      </c>
      <c r="G1535" s="2289">
        <v>88</v>
      </c>
      <c r="H1535" s="2303">
        <f t="shared" si="812"/>
        <v>8096</v>
      </c>
      <c r="I1535" s="2304">
        <v>94</v>
      </c>
      <c r="J1535" s="2305">
        <f t="shared" si="813"/>
        <v>8648</v>
      </c>
      <c r="K1535" s="2306">
        <f t="shared" si="814"/>
        <v>16744</v>
      </c>
      <c r="L1535" s="2292"/>
      <c r="M1535" s="2293"/>
    </row>
    <row r="1536" spans="1:24">
      <c r="A1536" s="1901"/>
      <c r="B1536" s="1756"/>
      <c r="C1536" s="1867" t="s">
        <v>504</v>
      </c>
      <c r="D1536" s="1868"/>
      <c r="E1536" s="2307">
        <f>+E1535</f>
        <v>92</v>
      </c>
      <c r="F1536" s="1806" t="s">
        <v>37</v>
      </c>
      <c r="G1536" s="2289">
        <v>69</v>
      </c>
      <c r="H1536" s="2303">
        <f t="shared" si="812"/>
        <v>6348</v>
      </c>
      <c r="I1536" s="2304">
        <v>28</v>
      </c>
      <c r="J1536" s="2305">
        <f t="shared" si="813"/>
        <v>2576</v>
      </c>
      <c r="K1536" s="2306">
        <f t="shared" si="814"/>
        <v>8924</v>
      </c>
      <c r="L1536" s="2292"/>
      <c r="M1536" s="2293"/>
    </row>
    <row r="1537" spans="1:24">
      <c r="A1537" s="1901"/>
      <c r="B1537" s="1756" t="s">
        <v>580</v>
      </c>
      <c r="C1537" s="1867" t="s">
        <v>581</v>
      </c>
      <c r="D1537" s="1868"/>
      <c r="E1537" s="2307">
        <v>0</v>
      </c>
      <c r="F1537" s="1806" t="s">
        <v>37</v>
      </c>
      <c r="G1537" s="2289">
        <v>1900</v>
      </c>
      <c r="H1537" s="2303">
        <f t="shared" si="812"/>
        <v>0</v>
      </c>
      <c r="I1537" s="2304">
        <v>450</v>
      </c>
      <c r="J1537" s="2305">
        <f t="shared" si="813"/>
        <v>0</v>
      </c>
      <c r="K1537" s="2306">
        <f t="shared" si="814"/>
        <v>0</v>
      </c>
      <c r="L1537" s="2292"/>
      <c r="M1537" s="2293"/>
    </row>
    <row r="1538" spans="1:24">
      <c r="A1538" s="1901"/>
      <c r="B1538" s="1756"/>
      <c r="C1538" s="1867" t="s">
        <v>582</v>
      </c>
      <c r="D1538" s="1868"/>
      <c r="E1538" s="2307"/>
      <c r="F1538" s="1806"/>
      <c r="G1538" s="2289"/>
      <c r="H1538" s="2303"/>
      <c r="I1538" s="2304"/>
      <c r="J1538" s="2308"/>
      <c r="K1538" s="2289"/>
      <c r="L1538" s="2292"/>
      <c r="M1538" s="2293"/>
    </row>
    <row r="1539" spans="1:24">
      <c r="A1539" s="1901"/>
      <c r="B1539" s="1756" t="s">
        <v>583</v>
      </c>
      <c r="C1539" s="1867" t="s">
        <v>2807</v>
      </c>
      <c r="D1539" s="1868"/>
      <c r="E1539" s="2307">
        <v>107</v>
      </c>
      <c r="F1539" s="1806" t="s">
        <v>37</v>
      </c>
      <c r="G1539" s="2289">
        <v>1296</v>
      </c>
      <c r="H1539" s="2303">
        <f>E1539*G1539</f>
        <v>138672</v>
      </c>
      <c r="I1539" s="2304">
        <v>1600</v>
      </c>
      <c r="J1539" s="2305">
        <f t="shared" ref="J1539" si="815">E1539*I1539</f>
        <v>171200</v>
      </c>
      <c r="K1539" s="2306">
        <f>H1539+J1539</f>
        <v>309872</v>
      </c>
      <c r="L1539" s="2292"/>
      <c r="M1539" s="2293"/>
    </row>
    <row r="1540" spans="1:24">
      <c r="A1540" s="1782"/>
      <c r="B1540" s="1756"/>
      <c r="C1540" s="1867" t="s">
        <v>512</v>
      </c>
      <c r="D1540" s="1755"/>
      <c r="E1540" s="2307"/>
      <c r="F1540" s="1806"/>
      <c r="G1540" s="2289"/>
      <c r="H1540" s="2303"/>
      <c r="I1540" s="2304"/>
      <c r="J1540" s="2308"/>
      <c r="K1540" s="2289"/>
      <c r="L1540" s="2292"/>
      <c r="M1540" s="2293"/>
    </row>
    <row r="1541" spans="1:24" ht="24" customHeight="1">
      <c r="A1541" s="1782"/>
      <c r="B1541" s="1756" t="s">
        <v>584</v>
      </c>
      <c r="C1541" s="1755" t="s">
        <v>2808</v>
      </c>
      <c r="D1541" s="1859"/>
      <c r="E1541" s="2307">
        <v>160</v>
      </c>
      <c r="F1541" s="1806" t="s">
        <v>37</v>
      </c>
      <c r="G1541" s="2289">
        <v>325</v>
      </c>
      <c r="H1541" s="2303">
        <f>E1541*G1541</f>
        <v>52000</v>
      </c>
      <c r="I1541" s="2304">
        <v>100</v>
      </c>
      <c r="J1541" s="2305">
        <f t="shared" ref="J1541" si="816">E1541*I1541</f>
        <v>16000</v>
      </c>
      <c r="K1541" s="2306">
        <f>H1541+J1541</f>
        <v>68000</v>
      </c>
      <c r="L1541" s="1858"/>
      <c r="M1541" s="1809"/>
      <c r="N1541" s="1837"/>
      <c r="O1541" s="1837"/>
      <c r="P1541" s="1837"/>
      <c r="Q1541" s="1837"/>
      <c r="R1541" s="1837"/>
      <c r="S1541" s="1837"/>
      <c r="T1541" s="1837"/>
      <c r="U1541" s="1837"/>
      <c r="V1541" s="1837"/>
      <c r="W1541" s="1837"/>
      <c r="X1541" s="1837"/>
    </row>
    <row r="1542" spans="1:24" ht="24" customHeight="1">
      <c r="A1542" s="1782"/>
      <c r="B1542" s="1756"/>
      <c r="C1542" s="1755" t="s">
        <v>585</v>
      </c>
      <c r="D1542" s="1859"/>
      <c r="E1542" s="2307"/>
      <c r="F1542" s="1806"/>
      <c r="G1542" s="2289"/>
      <c r="H1542" s="2303"/>
      <c r="I1542" s="2291"/>
      <c r="J1542" s="2308"/>
      <c r="K1542" s="2289"/>
      <c r="L1542" s="1847"/>
      <c r="M1542" s="1809"/>
      <c r="N1542" s="1837"/>
      <c r="O1542" s="1837"/>
      <c r="P1542" s="1837"/>
      <c r="Q1542" s="1837"/>
      <c r="R1542" s="1837"/>
      <c r="S1542" s="1837"/>
      <c r="T1542" s="1837"/>
      <c r="U1542" s="1837"/>
      <c r="V1542" s="1837"/>
      <c r="W1542" s="1837"/>
      <c r="X1542" s="1837"/>
    </row>
    <row r="1543" spans="1:24" ht="24" customHeight="1">
      <c r="A1543" s="1782"/>
      <c r="B1543" s="1756"/>
      <c r="C1543" s="1755"/>
      <c r="D1543" s="1859"/>
      <c r="E1543" s="2307"/>
      <c r="F1543" s="1806"/>
      <c r="G1543" s="2289"/>
      <c r="H1543" s="2303"/>
      <c r="I1543" s="2291"/>
      <c r="J1543" s="2308"/>
      <c r="K1543" s="2289"/>
      <c r="L1543" s="1847"/>
      <c r="M1543" s="1809"/>
      <c r="N1543" s="1837"/>
      <c r="O1543" s="1837"/>
      <c r="P1543" s="1837"/>
      <c r="Q1543" s="1837"/>
      <c r="R1543" s="1837"/>
      <c r="S1543" s="1837"/>
      <c r="T1543" s="1837"/>
      <c r="U1543" s="1837"/>
      <c r="V1543" s="1837"/>
      <c r="W1543" s="1837"/>
      <c r="X1543" s="1837"/>
    </row>
    <row r="1544" spans="1:24">
      <c r="A1544" s="1901"/>
      <c r="B1544" s="1756" t="s">
        <v>586</v>
      </c>
      <c r="C1544" s="1755" t="s">
        <v>2809</v>
      </c>
      <c r="D1544" s="1859"/>
      <c r="E1544" s="2307">
        <v>0</v>
      </c>
      <c r="F1544" s="1806" t="s">
        <v>37</v>
      </c>
      <c r="G1544" s="2289">
        <v>235</v>
      </c>
      <c r="H1544" s="2303">
        <f>E1544*G1544</f>
        <v>0</v>
      </c>
      <c r="I1544" s="2304">
        <v>100</v>
      </c>
      <c r="J1544" s="2305">
        <f t="shared" ref="J1544" si="817">E1544*I1544</f>
        <v>0</v>
      </c>
      <c r="K1544" s="2306">
        <f>H1544+J1544</f>
        <v>0</v>
      </c>
      <c r="L1544" s="2292"/>
      <c r="M1544" s="2293"/>
    </row>
    <row r="1545" spans="1:24">
      <c r="A1545" s="1782"/>
      <c r="B1545" s="1756"/>
      <c r="C1545" s="1755" t="s">
        <v>585</v>
      </c>
      <c r="D1545" s="1859"/>
      <c r="E1545" s="2307"/>
      <c r="F1545" s="1806"/>
      <c r="G1545" s="2289"/>
      <c r="H1545" s="2290"/>
      <c r="I1545" s="2291"/>
      <c r="J1545" s="2308"/>
      <c r="K1545" s="2289"/>
      <c r="L1545" s="2292"/>
      <c r="M1545" s="2293"/>
      <c r="N1545" s="1797">
        <f>SUM(K1526:K1545)</f>
        <v>774233</v>
      </c>
    </row>
    <row r="1546" spans="1:24" ht="24" customHeight="1">
      <c r="A1546" s="1933" t="s">
        <v>593</v>
      </c>
      <c r="B1546" s="1908" t="s">
        <v>594</v>
      </c>
      <c r="C1546" s="1895"/>
      <c r="D1546" s="1909"/>
      <c r="E1546" s="1910"/>
      <c r="F1546" s="2275"/>
      <c r="G1546" s="1983"/>
      <c r="H1546" s="1911"/>
      <c r="I1546" s="1920"/>
      <c r="J1546" s="1913"/>
      <c r="K1546" s="1914"/>
      <c r="L1546" s="1847"/>
      <c r="M1546" s="1809"/>
      <c r="N1546" s="1837"/>
      <c r="O1546" s="1837"/>
      <c r="P1546" s="1837"/>
      <c r="Q1546" s="1837"/>
      <c r="R1546" s="1837"/>
      <c r="S1546" s="1837"/>
      <c r="T1546" s="1837"/>
      <c r="U1546" s="1837"/>
      <c r="V1546" s="1837"/>
      <c r="W1546" s="1837"/>
      <c r="X1546" s="1837"/>
    </row>
    <row r="1547" spans="1:24" ht="24" customHeight="1">
      <c r="A1547" s="1901"/>
      <c r="B1547" s="1755" t="s">
        <v>2806</v>
      </c>
      <c r="C1547" s="1980"/>
      <c r="D1547" s="1868"/>
      <c r="E1547" s="2302">
        <v>0</v>
      </c>
      <c r="F1547" s="1806" t="s">
        <v>240</v>
      </c>
      <c r="G1547" s="2289">
        <v>347</v>
      </c>
      <c r="H1547" s="2303">
        <f>E1547*G1547</f>
        <v>0</v>
      </c>
      <c r="I1547" s="2304">
        <v>75</v>
      </c>
      <c r="J1547" s="2305">
        <f>E1547*I1547</f>
        <v>0</v>
      </c>
      <c r="K1547" s="2306">
        <f>H1547+J1547</f>
        <v>0</v>
      </c>
      <c r="L1547" s="2292"/>
      <c r="M1547" s="2293"/>
      <c r="N1547" s="1837"/>
      <c r="O1547" s="1837"/>
      <c r="P1547" s="1837"/>
      <c r="Q1547" s="1837"/>
      <c r="R1547" s="1837"/>
      <c r="S1547" s="1837"/>
      <c r="T1547" s="1837"/>
    </row>
    <row r="1548" spans="1:24" ht="24" customHeight="1">
      <c r="A1548" s="1901"/>
      <c r="B1548" s="1756" t="s">
        <v>565</v>
      </c>
      <c r="C1548" s="1981" t="s">
        <v>566</v>
      </c>
      <c r="D1548" s="1868"/>
      <c r="E1548" s="2307">
        <v>4025</v>
      </c>
      <c r="F1548" s="1806" t="s">
        <v>37</v>
      </c>
      <c r="G1548" s="2289">
        <v>0</v>
      </c>
      <c r="H1548" s="2303">
        <f t="shared" ref="H1548:H1558" si="818">E1548*G1548</f>
        <v>0</v>
      </c>
      <c r="I1548" s="2304">
        <v>0</v>
      </c>
      <c r="J1548" s="2305">
        <f t="shared" ref="J1548:J1558" si="819">E1548*I1548</f>
        <v>0</v>
      </c>
      <c r="K1548" s="2306">
        <f t="shared" ref="K1548:K1558" si="820">H1548+J1548</f>
        <v>0</v>
      </c>
      <c r="L1548" s="2292"/>
      <c r="M1548" s="2293"/>
      <c r="N1548" s="1837"/>
      <c r="O1548" s="1837"/>
      <c r="P1548" s="1837"/>
      <c r="Q1548" s="1837"/>
      <c r="R1548" s="1837"/>
      <c r="S1548" s="1837"/>
      <c r="T1548" s="1837"/>
    </row>
    <row r="1549" spans="1:24">
      <c r="A1549" s="1901"/>
      <c r="B1549" s="1756" t="s">
        <v>567</v>
      </c>
      <c r="C1549" s="1982" t="s">
        <v>568</v>
      </c>
      <c r="D1549" s="1868"/>
      <c r="E1549" s="2307">
        <v>392</v>
      </c>
      <c r="F1549" s="1806" t="s">
        <v>37</v>
      </c>
      <c r="G1549" s="2289">
        <v>169</v>
      </c>
      <c r="H1549" s="2303">
        <f t="shared" si="818"/>
        <v>66248</v>
      </c>
      <c r="I1549" s="2304">
        <v>75</v>
      </c>
      <c r="J1549" s="2305">
        <f t="shared" si="819"/>
        <v>29400</v>
      </c>
      <c r="K1549" s="2306">
        <f t="shared" si="820"/>
        <v>95648</v>
      </c>
      <c r="L1549" s="2292"/>
      <c r="M1549" s="2293"/>
    </row>
    <row r="1550" spans="1:24">
      <c r="A1550" s="1901"/>
      <c r="B1550" s="1756"/>
      <c r="C1550" s="1982" t="s">
        <v>569</v>
      </c>
      <c r="D1550" s="1868"/>
      <c r="E1550" s="2307">
        <f>+E1549</f>
        <v>392</v>
      </c>
      <c r="F1550" s="1806" t="s">
        <v>37</v>
      </c>
      <c r="G1550" s="2289">
        <v>69</v>
      </c>
      <c r="H1550" s="2303">
        <f t="shared" si="818"/>
        <v>27048</v>
      </c>
      <c r="I1550" s="2304">
        <v>28</v>
      </c>
      <c r="J1550" s="2305">
        <f t="shared" si="819"/>
        <v>10976</v>
      </c>
      <c r="K1550" s="2306">
        <f t="shared" si="820"/>
        <v>38024</v>
      </c>
      <c r="L1550" s="2292"/>
      <c r="M1550" s="2293"/>
    </row>
    <row r="1551" spans="1:24">
      <c r="A1551" s="1901"/>
      <c r="B1551" s="1756" t="s">
        <v>570</v>
      </c>
      <c r="C1551" s="1867" t="s">
        <v>571</v>
      </c>
      <c r="D1551" s="1868"/>
      <c r="E1551" s="2307">
        <v>132</v>
      </c>
      <c r="F1551" s="1806" t="s">
        <v>37</v>
      </c>
      <c r="G1551" s="2289">
        <v>192</v>
      </c>
      <c r="H1551" s="2303">
        <f t="shared" si="818"/>
        <v>25344</v>
      </c>
      <c r="I1551" s="2304">
        <v>75</v>
      </c>
      <c r="J1551" s="2305">
        <f t="shared" si="819"/>
        <v>9900</v>
      </c>
      <c r="K1551" s="2306">
        <f t="shared" si="820"/>
        <v>35244</v>
      </c>
      <c r="L1551" s="2292"/>
      <c r="M1551" s="2293"/>
    </row>
    <row r="1552" spans="1:24">
      <c r="A1552" s="1901"/>
      <c r="B1552" s="1756"/>
      <c r="C1552" s="1982" t="s">
        <v>569</v>
      </c>
      <c r="D1552" s="1868"/>
      <c r="E1552" s="2307">
        <f>+E1551</f>
        <v>132</v>
      </c>
      <c r="F1552" s="1806" t="s">
        <v>37</v>
      </c>
      <c r="G1552" s="2289">
        <v>69</v>
      </c>
      <c r="H1552" s="2303">
        <f t="shared" si="818"/>
        <v>9108</v>
      </c>
      <c r="I1552" s="2304">
        <v>28</v>
      </c>
      <c r="J1552" s="2305">
        <f t="shared" si="819"/>
        <v>3696</v>
      </c>
      <c r="K1552" s="2306">
        <f t="shared" si="820"/>
        <v>12804</v>
      </c>
      <c r="L1552" s="2292"/>
      <c r="M1552" s="2293"/>
    </row>
    <row r="1553" spans="1:24">
      <c r="A1553" s="1901"/>
      <c r="B1553" s="1756" t="s">
        <v>572</v>
      </c>
      <c r="C1553" s="1867" t="s">
        <v>573</v>
      </c>
      <c r="D1553" s="1868"/>
      <c r="E1553" s="2307">
        <v>0</v>
      </c>
      <c r="F1553" s="1806" t="s">
        <v>37</v>
      </c>
      <c r="G1553" s="2289">
        <v>650</v>
      </c>
      <c r="H1553" s="2303">
        <f t="shared" si="818"/>
        <v>0</v>
      </c>
      <c r="I1553" s="2304">
        <v>52</v>
      </c>
      <c r="J1553" s="2305">
        <f t="shared" si="819"/>
        <v>0</v>
      </c>
      <c r="K1553" s="2306">
        <f t="shared" si="820"/>
        <v>0</v>
      </c>
      <c r="L1553" s="2292"/>
      <c r="M1553" s="2293"/>
    </row>
    <row r="1554" spans="1:24">
      <c r="A1554" s="1901"/>
      <c r="B1554" s="1756" t="s">
        <v>574</v>
      </c>
      <c r="C1554" s="1867" t="s">
        <v>575</v>
      </c>
      <c r="D1554" s="1868"/>
      <c r="E1554" s="2307">
        <v>0</v>
      </c>
      <c r="F1554" s="1806" t="s">
        <v>37</v>
      </c>
      <c r="G1554" s="2289">
        <v>30</v>
      </c>
      <c r="H1554" s="2303">
        <f t="shared" si="818"/>
        <v>0</v>
      </c>
      <c r="I1554" s="2304">
        <v>50</v>
      </c>
      <c r="J1554" s="2305">
        <f t="shared" si="819"/>
        <v>0</v>
      </c>
      <c r="K1554" s="2306">
        <f t="shared" si="820"/>
        <v>0</v>
      </c>
      <c r="L1554" s="2292"/>
      <c r="M1554" s="2293"/>
    </row>
    <row r="1555" spans="1:24">
      <c r="A1555" s="1901"/>
      <c r="B1555" s="1756" t="s">
        <v>576</v>
      </c>
      <c r="C1555" s="1867" t="s">
        <v>577</v>
      </c>
      <c r="D1555" s="1868"/>
      <c r="E1555" s="2307">
        <v>126</v>
      </c>
      <c r="F1555" s="1806" t="s">
        <v>37</v>
      </c>
      <c r="G1555" s="2289">
        <v>30</v>
      </c>
      <c r="H1555" s="2303">
        <f t="shared" si="818"/>
        <v>3780</v>
      </c>
      <c r="I1555" s="2304">
        <v>50</v>
      </c>
      <c r="J1555" s="2305">
        <f t="shared" si="819"/>
        <v>6300</v>
      </c>
      <c r="K1555" s="2306">
        <f t="shared" si="820"/>
        <v>10080</v>
      </c>
      <c r="L1555" s="2292"/>
      <c r="M1555" s="2293"/>
    </row>
    <row r="1556" spans="1:24">
      <c r="A1556" s="1901"/>
      <c r="B1556" s="1756" t="s">
        <v>578</v>
      </c>
      <c r="C1556" s="1867" t="s">
        <v>579</v>
      </c>
      <c r="D1556" s="1868"/>
      <c r="E1556" s="2307">
        <v>263</v>
      </c>
      <c r="F1556" s="1806" t="s">
        <v>37</v>
      </c>
      <c r="G1556" s="2289">
        <v>88</v>
      </c>
      <c r="H1556" s="2303">
        <f t="shared" si="818"/>
        <v>23144</v>
      </c>
      <c r="I1556" s="2304">
        <v>94</v>
      </c>
      <c r="J1556" s="2305">
        <f t="shared" si="819"/>
        <v>24722</v>
      </c>
      <c r="K1556" s="2306">
        <f t="shared" si="820"/>
        <v>47866</v>
      </c>
      <c r="L1556" s="2292"/>
      <c r="M1556" s="2293"/>
    </row>
    <row r="1557" spans="1:24">
      <c r="A1557" s="1901"/>
      <c r="B1557" s="1756"/>
      <c r="C1557" s="1867" t="s">
        <v>504</v>
      </c>
      <c r="D1557" s="1868"/>
      <c r="E1557" s="2307">
        <f>+E1556</f>
        <v>263</v>
      </c>
      <c r="F1557" s="1806" t="s">
        <v>37</v>
      </c>
      <c r="G1557" s="2289">
        <v>69</v>
      </c>
      <c r="H1557" s="2303">
        <f t="shared" si="818"/>
        <v>18147</v>
      </c>
      <c r="I1557" s="2304">
        <v>28</v>
      </c>
      <c r="J1557" s="2305">
        <f t="shared" si="819"/>
        <v>7364</v>
      </c>
      <c r="K1557" s="2306">
        <f t="shared" si="820"/>
        <v>25511</v>
      </c>
      <c r="L1557" s="2292"/>
      <c r="M1557" s="2293"/>
    </row>
    <row r="1558" spans="1:24">
      <c r="A1558" s="1901"/>
      <c r="B1558" s="1756" t="s">
        <v>580</v>
      </c>
      <c r="C1558" s="1867" t="s">
        <v>581</v>
      </c>
      <c r="D1558" s="1868"/>
      <c r="E1558" s="2307">
        <v>0</v>
      </c>
      <c r="F1558" s="1806" t="s">
        <v>37</v>
      </c>
      <c r="G1558" s="2289">
        <v>1900</v>
      </c>
      <c r="H1558" s="2303">
        <f t="shared" si="818"/>
        <v>0</v>
      </c>
      <c r="I1558" s="2304">
        <v>450</v>
      </c>
      <c r="J1558" s="2305">
        <f t="shared" si="819"/>
        <v>0</v>
      </c>
      <c r="K1558" s="2306">
        <f t="shared" si="820"/>
        <v>0</v>
      </c>
      <c r="L1558" s="2292"/>
      <c r="M1558" s="2293"/>
    </row>
    <row r="1559" spans="1:24">
      <c r="A1559" s="1901"/>
      <c r="B1559" s="1756"/>
      <c r="C1559" s="1867" t="s">
        <v>582</v>
      </c>
      <c r="D1559" s="1868"/>
      <c r="E1559" s="2307"/>
      <c r="F1559" s="1806"/>
      <c r="G1559" s="2289"/>
      <c r="H1559" s="2303"/>
      <c r="I1559" s="2304"/>
      <c r="J1559" s="2308"/>
      <c r="K1559" s="2289"/>
      <c r="L1559" s="2292"/>
      <c r="M1559" s="2293"/>
    </row>
    <row r="1560" spans="1:24">
      <c r="A1560" s="1901"/>
      <c r="B1560" s="1756" t="s">
        <v>583</v>
      </c>
      <c r="C1560" s="1867" t="s">
        <v>2807</v>
      </c>
      <c r="D1560" s="1868"/>
      <c r="E1560" s="2307">
        <v>0</v>
      </c>
      <c r="F1560" s="1806" t="s">
        <v>37</v>
      </c>
      <c r="G1560" s="2289">
        <v>1296</v>
      </c>
      <c r="H1560" s="2303">
        <f>E1560*G1560</f>
        <v>0</v>
      </c>
      <c r="I1560" s="2304">
        <v>1600</v>
      </c>
      <c r="J1560" s="2305">
        <f t="shared" ref="J1560" si="821">E1560*I1560</f>
        <v>0</v>
      </c>
      <c r="K1560" s="2306">
        <f>H1560+J1560</f>
        <v>0</v>
      </c>
      <c r="L1560" s="2292"/>
      <c r="M1560" s="2293"/>
    </row>
    <row r="1561" spans="1:24">
      <c r="A1561" s="1782"/>
      <c r="B1561" s="1756"/>
      <c r="C1561" s="1867" t="s">
        <v>512</v>
      </c>
      <c r="D1561" s="1895"/>
      <c r="E1561" s="2307"/>
      <c r="F1561" s="1806"/>
      <c r="G1561" s="2289"/>
      <c r="H1561" s="2303"/>
      <c r="I1561" s="2304"/>
      <c r="J1561" s="2308"/>
      <c r="K1561" s="2289"/>
      <c r="L1561" s="2292"/>
      <c r="M1561" s="2293"/>
    </row>
    <row r="1562" spans="1:24" ht="24" customHeight="1">
      <c r="A1562" s="1782"/>
      <c r="B1562" s="1756" t="s">
        <v>584</v>
      </c>
      <c r="C1562" s="1755" t="s">
        <v>2808</v>
      </c>
      <c r="D1562" s="1859"/>
      <c r="E1562" s="2307">
        <v>128</v>
      </c>
      <c r="F1562" s="1806" t="s">
        <v>37</v>
      </c>
      <c r="G1562" s="2289">
        <v>325</v>
      </c>
      <c r="H1562" s="2303">
        <f>E1562*G1562</f>
        <v>41600</v>
      </c>
      <c r="I1562" s="2304">
        <v>100</v>
      </c>
      <c r="J1562" s="2305">
        <f t="shared" ref="J1562" si="822">E1562*I1562</f>
        <v>12800</v>
      </c>
      <c r="K1562" s="2306">
        <f>H1562+J1562</f>
        <v>54400</v>
      </c>
      <c r="L1562" s="2292"/>
      <c r="M1562" s="2293"/>
      <c r="N1562" s="1837"/>
      <c r="O1562" s="1837"/>
      <c r="P1562" s="1837"/>
      <c r="Q1562" s="1837"/>
      <c r="R1562" s="1837"/>
      <c r="S1562" s="1837"/>
      <c r="T1562" s="1837"/>
      <c r="U1562" s="1837"/>
      <c r="V1562" s="1837"/>
      <c r="W1562" s="1837"/>
      <c r="X1562" s="1837"/>
    </row>
    <row r="1563" spans="1:24" ht="24" customHeight="1">
      <c r="A1563" s="1782"/>
      <c r="B1563" s="1756"/>
      <c r="C1563" s="1755" t="s">
        <v>585</v>
      </c>
      <c r="D1563" s="1859"/>
      <c r="E1563" s="2307"/>
      <c r="F1563" s="1806"/>
      <c r="G1563" s="2289"/>
      <c r="H1563" s="2303"/>
      <c r="I1563" s="2291"/>
      <c r="J1563" s="2308"/>
      <c r="K1563" s="2289"/>
      <c r="L1563" s="2292"/>
      <c r="M1563" s="2293"/>
      <c r="N1563" s="1837"/>
      <c r="O1563" s="1837"/>
      <c r="P1563" s="1837"/>
      <c r="Q1563" s="1837"/>
      <c r="R1563" s="1837"/>
      <c r="S1563" s="1837"/>
      <c r="T1563" s="1837"/>
      <c r="U1563" s="1837"/>
      <c r="V1563" s="1837"/>
      <c r="W1563" s="1837"/>
      <c r="X1563" s="1837"/>
    </row>
    <row r="1564" spans="1:24">
      <c r="A1564" s="1901"/>
      <c r="B1564" s="1756" t="s">
        <v>586</v>
      </c>
      <c r="C1564" s="1755" t="s">
        <v>2809</v>
      </c>
      <c r="D1564" s="1859"/>
      <c r="E1564" s="2307">
        <v>0</v>
      </c>
      <c r="F1564" s="1806" t="s">
        <v>37</v>
      </c>
      <c r="G1564" s="2289">
        <v>235</v>
      </c>
      <c r="H1564" s="2303">
        <f>E1564*G1564</f>
        <v>0</v>
      </c>
      <c r="I1564" s="2304">
        <v>100</v>
      </c>
      <c r="J1564" s="2305">
        <f t="shared" ref="J1564" si="823">E1564*I1564</f>
        <v>0</v>
      </c>
      <c r="K1564" s="2306">
        <f>H1564+J1564</f>
        <v>0</v>
      </c>
      <c r="L1564" s="2292"/>
      <c r="M1564" s="2293"/>
    </row>
    <row r="1565" spans="1:24">
      <c r="A1565" s="1782"/>
      <c r="B1565" s="1756"/>
      <c r="C1565" s="1755" t="s">
        <v>585</v>
      </c>
      <c r="D1565" s="1859"/>
      <c r="E1565" s="2307"/>
      <c r="F1565" s="1806"/>
      <c r="G1565" s="2289"/>
      <c r="H1565" s="2290"/>
      <c r="I1565" s="2291"/>
      <c r="J1565" s="2308"/>
      <c r="K1565" s="2289"/>
      <c r="L1565" s="2292"/>
      <c r="M1565" s="2293"/>
      <c r="N1565" s="1797">
        <f>SUM(K1547:K1565)</f>
        <v>319577</v>
      </c>
    </row>
    <row r="1566" spans="1:24" ht="24" customHeight="1">
      <c r="A1566" s="1933" t="s">
        <v>595</v>
      </c>
      <c r="B1566" s="1908" t="s">
        <v>596</v>
      </c>
      <c r="C1566" s="1895"/>
      <c r="D1566" s="1909"/>
      <c r="E1566" s="1910"/>
      <c r="F1566" s="2275"/>
      <c r="G1566" s="1983"/>
      <c r="H1566" s="1911"/>
      <c r="I1566" s="1920"/>
      <c r="J1566" s="1913"/>
      <c r="K1566" s="1914"/>
      <c r="L1566" s="1847"/>
      <c r="M1566" s="1809"/>
      <c r="N1566" s="1837"/>
      <c r="O1566" s="1837"/>
      <c r="P1566" s="1837"/>
      <c r="Q1566" s="1837"/>
      <c r="R1566" s="1837"/>
      <c r="S1566" s="1837"/>
      <c r="T1566" s="1837"/>
      <c r="U1566" s="1837"/>
      <c r="V1566" s="1837"/>
      <c r="W1566" s="1837"/>
      <c r="X1566" s="1837"/>
    </row>
    <row r="1567" spans="1:24" ht="24" customHeight="1">
      <c r="A1567" s="1901"/>
      <c r="B1567" s="1755" t="s">
        <v>2806</v>
      </c>
      <c r="C1567" s="1980"/>
      <c r="D1567" s="1868"/>
      <c r="E1567" s="2302">
        <v>0</v>
      </c>
      <c r="F1567" s="1806" t="s">
        <v>240</v>
      </c>
      <c r="G1567" s="2289">
        <v>347</v>
      </c>
      <c r="H1567" s="2303">
        <f>E1567*G1567</f>
        <v>0</v>
      </c>
      <c r="I1567" s="2304">
        <v>75</v>
      </c>
      <c r="J1567" s="2305">
        <f>E1567*I1567</f>
        <v>0</v>
      </c>
      <c r="K1567" s="2306">
        <f>H1567+J1567</f>
        <v>0</v>
      </c>
      <c r="L1567" s="2292"/>
      <c r="M1567" s="2293"/>
      <c r="N1567" s="1837"/>
      <c r="O1567" s="1837"/>
      <c r="P1567" s="1837"/>
      <c r="Q1567" s="1837"/>
      <c r="R1567" s="1837"/>
      <c r="S1567" s="1837"/>
      <c r="T1567" s="1837"/>
    </row>
    <row r="1568" spans="1:24" ht="24" customHeight="1">
      <c r="A1568" s="1901"/>
      <c r="B1568" s="1756" t="s">
        <v>565</v>
      </c>
      <c r="C1568" s="1981" t="s">
        <v>566</v>
      </c>
      <c r="D1568" s="1868"/>
      <c r="E1568" s="2307">
        <v>3922</v>
      </c>
      <c r="F1568" s="1806" t="s">
        <v>37</v>
      </c>
      <c r="G1568" s="2289">
        <v>0</v>
      </c>
      <c r="H1568" s="2303">
        <f t="shared" ref="H1568:H1578" si="824">E1568*G1568</f>
        <v>0</v>
      </c>
      <c r="I1568" s="2304">
        <v>0</v>
      </c>
      <c r="J1568" s="2305">
        <f t="shared" ref="J1568:J1578" si="825">E1568*I1568</f>
        <v>0</v>
      </c>
      <c r="K1568" s="2306">
        <f t="shared" ref="K1568:K1578" si="826">H1568+J1568</f>
        <v>0</v>
      </c>
      <c r="L1568" s="2292"/>
      <c r="M1568" s="2293"/>
      <c r="N1568" s="1837"/>
      <c r="O1568" s="1837"/>
      <c r="P1568" s="1837"/>
      <c r="Q1568" s="1837"/>
      <c r="R1568" s="1837"/>
      <c r="S1568" s="1837"/>
      <c r="T1568" s="1837"/>
    </row>
    <row r="1569" spans="1:24">
      <c r="A1569" s="1901"/>
      <c r="B1569" s="1756" t="s">
        <v>567</v>
      </c>
      <c r="C1569" s="1982" t="s">
        <v>568</v>
      </c>
      <c r="D1569" s="1868"/>
      <c r="E1569" s="2307">
        <v>263</v>
      </c>
      <c r="F1569" s="1806" t="s">
        <v>37</v>
      </c>
      <c r="G1569" s="2289">
        <v>169</v>
      </c>
      <c r="H1569" s="2303">
        <f t="shared" si="824"/>
        <v>44447</v>
      </c>
      <c r="I1569" s="2304">
        <v>75</v>
      </c>
      <c r="J1569" s="2305">
        <f t="shared" si="825"/>
        <v>19725</v>
      </c>
      <c r="K1569" s="2306">
        <f t="shared" si="826"/>
        <v>64172</v>
      </c>
      <c r="L1569" s="2292"/>
      <c r="M1569" s="2293"/>
    </row>
    <row r="1570" spans="1:24">
      <c r="A1570" s="1901"/>
      <c r="B1570" s="1756"/>
      <c r="C1570" s="1982" t="s">
        <v>569</v>
      </c>
      <c r="D1570" s="1868"/>
      <c r="E1570" s="2307">
        <f>+E1569</f>
        <v>263</v>
      </c>
      <c r="F1570" s="1806" t="s">
        <v>37</v>
      </c>
      <c r="G1570" s="2289">
        <v>69</v>
      </c>
      <c r="H1570" s="2303">
        <f t="shared" si="824"/>
        <v>18147</v>
      </c>
      <c r="I1570" s="2304">
        <v>28</v>
      </c>
      <c r="J1570" s="2305">
        <f t="shared" si="825"/>
        <v>7364</v>
      </c>
      <c r="K1570" s="2306">
        <f t="shared" si="826"/>
        <v>25511</v>
      </c>
      <c r="L1570" s="2292"/>
      <c r="M1570" s="2293"/>
    </row>
    <row r="1571" spans="1:24">
      <c r="A1571" s="1901"/>
      <c r="B1571" s="1756" t="s">
        <v>570</v>
      </c>
      <c r="C1571" s="1867" t="s">
        <v>571</v>
      </c>
      <c r="D1571" s="1868"/>
      <c r="E1571" s="2307">
        <v>133</v>
      </c>
      <c r="F1571" s="1806" t="s">
        <v>37</v>
      </c>
      <c r="G1571" s="2289">
        <v>192</v>
      </c>
      <c r="H1571" s="2303">
        <f t="shared" si="824"/>
        <v>25536</v>
      </c>
      <c r="I1571" s="2304">
        <v>75</v>
      </c>
      <c r="J1571" s="2305">
        <f t="shared" si="825"/>
        <v>9975</v>
      </c>
      <c r="K1571" s="2306">
        <f t="shared" si="826"/>
        <v>35511</v>
      </c>
      <c r="L1571" s="2292"/>
      <c r="M1571" s="2293"/>
    </row>
    <row r="1572" spans="1:24">
      <c r="A1572" s="1901"/>
      <c r="B1572" s="1756"/>
      <c r="C1572" s="1982" t="s">
        <v>569</v>
      </c>
      <c r="D1572" s="1868"/>
      <c r="E1572" s="2307">
        <f>+E1571</f>
        <v>133</v>
      </c>
      <c r="F1572" s="1806" t="s">
        <v>37</v>
      </c>
      <c r="G1572" s="2289">
        <v>69</v>
      </c>
      <c r="H1572" s="2303">
        <f t="shared" si="824"/>
        <v>9177</v>
      </c>
      <c r="I1572" s="2304">
        <v>28</v>
      </c>
      <c r="J1572" s="2305">
        <f t="shared" si="825"/>
        <v>3724</v>
      </c>
      <c r="K1572" s="2306">
        <f t="shared" si="826"/>
        <v>12901</v>
      </c>
      <c r="L1572" s="2292"/>
      <c r="M1572" s="2293"/>
    </row>
    <row r="1573" spans="1:24">
      <c r="A1573" s="1901"/>
      <c r="B1573" s="1756" t="s">
        <v>572</v>
      </c>
      <c r="C1573" s="1867" t="s">
        <v>573</v>
      </c>
      <c r="D1573" s="1868"/>
      <c r="E1573" s="2307">
        <v>0</v>
      </c>
      <c r="F1573" s="1806" t="s">
        <v>37</v>
      </c>
      <c r="G1573" s="2289">
        <v>650</v>
      </c>
      <c r="H1573" s="2303">
        <f t="shared" si="824"/>
        <v>0</v>
      </c>
      <c r="I1573" s="2304">
        <v>52</v>
      </c>
      <c r="J1573" s="2305">
        <f t="shared" si="825"/>
        <v>0</v>
      </c>
      <c r="K1573" s="2306">
        <f t="shared" si="826"/>
        <v>0</v>
      </c>
      <c r="L1573" s="2292"/>
      <c r="M1573" s="2293"/>
    </row>
    <row r="1574" spans="1:24">
      <c r="A1574" s="1901"/>
      <c r="B1574" s="1756" t="s">
        <v>574</v>
      </c>
      <c r="C1574" s="1867" t="s">
        <v>575</v>
      </c>
      <c r="D1574" s="1868"/>
      <c r="E1574" s="2307">
        <v>0</v>
      </c>
      <c r="F1574" s="1806" t="s">
        <v>37</v>
      </c>
      <c r="G1574" s="2289">
        <v>30</v>
      </c>
      <c r="H1574" s="2303">
        <f t="shared" si="824"/>
        <v>0</v>
      </c>
      <c r="I1574" s="2304">
        <v>50</v>
      </c>
      <c r="J1574" s="2305">
        <f t="shared" si="825"/>
        <v>0</v>
      </c>
      <c r="K1574" s="2306">
        <f t="shared" si="826"/>
        <v>0</v>
      </c>
      <c r="L1574" s="2292"/>
      <c r="M1574" s="2293"/>
    </row>
    <row r="1575" spans="1:24">
      <c r="A1575" s="1901"/>
      <c r="B1575" s="1756" t="s">
        <v>576</v>
      </c>
      <c r="C1575" s="1867" t="s">
        <v>577</v>
      </c>
      <c r="D1575" s="1868"/>
      <c r="E1575" s="2307">
        <v>105</v>
      </c>
      <c r="F1575" s="1806" t="s">
        <v>37</v>
      </c>
      <c r="G1575" s="2289">
        <v>30</v>
      </c>
      <c r="H1575" s="2303">
        <f t="shared" si="824"/>
        <v>3150</v>
      </c>
      <c r="I1575" s="2304">
        <v>50</v>
      </c>
      <c r="J1575" s="2305">
        <f t="shared" si="825"/>
        <v>5250</v>
      </c>
      <c r="K1575" s="2306">
        <f t="shared" si="826"/>
        <v>8400</v>
      </c>
      <c r="L1575" s="2292"/>
      <c r="M1575" s="2293"/>
    </row>
    <row r="1576" spans="1:24">
      <c r="A1576" s="1901"/>
      <c r="B1576" s="1756" t="s">
        <v>578</v>
      </c>
      <c r="C1576" s="1867" t="s">
        <v>579</v>
      </c>
      <c r="D1576" s="1868"/>
      <c r="E1576" s="2307">
        <v>390</v>
      </c>
      <c r="F1576" s="1806" t="s">
        <v>37</v>
      </c>
      <c r="G1576" s="2289">
        <v>88</v>
      </c>
      <c r="H1576" s="2303">
        <f t="shared" si="824"/>
        <v>34320</v>
      </c>
      <c r="I1576" s="2304">
        <v>94</v>
      </c>
      <c r="J1576" s="2305">
        <f t="shared" si="825"/>
        <v>36660</v>
      </c>
      <c r="K1576" s="2306">
        <f t="shared" si="826"/>
        <v>70980</v>
      </c>
      <c r="L1576" s="2292"/>
      <c r="M1576" s="2293"/>
    </row>
    <row r="1577" spans="1:24">
      <c r="A1577" s="1901"/>
      <c r="B1577" s="1756"/>
      <c r="C1577" s="1867" t="s">
        <v>504</v>
      </c>
      <c r="D1577" s="1868"/>
      <c r="E1577" s="2307">
        <f>+E1576</f>
        <v>390</v>
      </c>
      <c r="F1577" s="1806" t="s">
        <v>37</v>
      </c>
      <c r="G1577" s="2289">
        <v>69</v>
      </c>
      <c r="H1577" s="2303">
        <f t="shared" si="824"/>
        <v>26910</v>
      </c>
      <c r="I1577" s="2304">
        <v>28</v>
      </c>
      <c r="J1577" s="2305">
        <f t="shared" si="825"/>
        <v>10920</v>
      </c>
      <c r="K1577" s="2306">
        <f t="shared" si="826"/>
        <v>37830</v>
      </c>
      <c r="L1577" s="2292"/>
      <c r="M1577" s="2293"/>
    </row>
    <row r="1578" spans="1:24">
      <c r="A1578" s="1901"/>
      <c r="B1578" s="1756" t="s">
        <v>580</v>
      </c>
      <c r="C1578" s="1867" t="s">
        <v>581</v>
      </c>
      <c r="D1578" s="1868"/>
      <c r="E1578" s="2307">
        <v>0</v>
      </c>
      <c r="F1578" s="1806" t="s">
        <v>37</v>
      </c>
      <c r="G1578" s="2289">
        <v>1900</v>
      </c>
      <c r="H1578" s="2303">
        <f t="shared" si="824"/>
        <v>0</v>
      </c>
      <c r="I1578" s="2304">
        <v>450</v>
      </c>
      <c r="J1578" s="2305">
        <f t="shared" si="825"/>
        <v>0</v>
      </c>
      <c r="K1578" s="2306">
        <f t="shared" si="826"/>
        <v>0</v>
      </c>
      <c r="L1578" s="2292"/>
      <c r="M1578" s="2293">
        <v>730850</v>
      </c>
    </row>
    <row r="1579" spans="1:24">
      <c r="A1579" s="1901"/>
      <c r="B1579" s="1756"/>
      <c r="C1579" s="1867" t="s">
        <v>582</v>
      </c>
      <c r="D1579" s="1868"/>
      <c r="E1579" s="2307"/>
      <c r="F1579" s="1806"/>
      <c r="G1579" s="2289"/>
      <c r="H1579" s="2303"/>
      <c r="I1579" s="2304"/>
      <c r="J1579" s="2308"/>
      <c r="K1579" s="2289"/>
      <c r="L1579" s="2292"/>
      <c r="M1579" s="2293"/>
    </row>
    <row r="1580" spans="1:24">
      <c r="A1580" s="1901"/>
      <c r="B1580" s="1756" t="s">
        <v>583</v>
      </c>
      <c r="C1580" s="1867" t="s">
        <v>2807</v>
      </c>
      <c r="D1580" s="1868"/>
      <c r="E1580" s="2307">
        <v>0</v>
      </c>
      <c r="F1580" s="1806" t="s">
        <v>37</v>
      </c>
      <c r="G1580" s="2289">
        <v>1296</v>
      </c>
      <c r="H1580" s="2303">
        <f>E1580*G1580</f>
        <v>0</v>
      </c>
      <c r="I1580" s="2304">
        <v>1600</v>
      </c>
      <c r="J1580" s="2305">
        <f t="shared" ref="J1580" si="827">E1580*I1580</f>
        <v>0</v>
      </c>
      <c r="K1580" s="2306">
        <f>H1580+J1580</f>
        <v>0</v>
      </c>
      <c r="L1580" s="2292"/>
      <c r="M1580" s="2293"/>
    </row>
    <row r="1581" spans="1:24">
      <c r="A1581" s="1782"/>
      <c r="B1581" s="1756"/>
      <c r="C1581" s="1867" t="s">
        <v>512</v>
      </c>
      <c r="D1581" s="1895"/>
      <c r="E1581" s="2307"/>
      <c r="F1581" s="1806"/>
      <c r="G1581" s="2289"/>
      <c r="H1581" s="2303"/>
      <c r="I1581" s="2304"/>
      <c r="J1581" s="2308"/>
      <c r="K1581" s="2289"/>
      <c r="L1581" s="2292"/>
      <c r="M1581" s="2293"/>
    </row>
    <row r="1582" spans="1:24" ht="24" customHeight="1">
      <c r="A1582" s="1782"/>
      <c r="B1582" s="1756" t="s">
        <v>584</v>
      </c>
      <c r="C1582" s="1755" t="s">
        <v>2808</v>
      </c>
      <c r="D1582" s="1909"/>
      <c r="E1582" s="2307">
        <v>128</v>
      </c>
      <c r="F1582" s="1806" t="s">
        <v>37</v>
      </c>
      <c r="G1582" s="2289">
        <v>325</v>
      </c>
      <c r="H1582" s="2303">
        <f>E1582*G1582</f>
        <v>41600</v>
      </c>
      <c r="I1582" s="2304">
        <v>100</v>
      </c>
      <c r="J1582" s="2305">
        <f t="shared" ref="J1582" si="828">E1582*I1582</f>
        <v>12800</v>
      </c>
      <c r="K1582" s="2306">
        <f>H1582+J1582</f>
        <v>54400</v>
      </c>
      <c r="L1582" s="2292"/>
      <c r="M1582" s="2293"/>
      <c r="N1582" s="1837"/>
      <c r="O1582" s="1837"/>
      <c r="P1582" s="1837"/>
      <c r="Q1582" s="1837"/>
      <c r="R1582" s="1837"/>
      <c r="S1582" s="1837"/>
      <c r="T1582" s="1837"/>
      <c r="U1582" s="1837"/>
      <c r="V1582" s="1837"/>
      <c r="W1582" s="1837"/>
      <c r="X1582" s="1837"/>
    </row>
    <row r="1583" spans="1:24" ht="24" customHeight="1">
      <c r="A1583" s="1782"/>
      <c r="B1583" s="1756"/>
      <c r="C1583" s="1755" t="s">
        <v>585</v>
      </c>
      <c r="D1583" s="1909"/>
      <c r="E1583" s="2309"/>
      <c r="F1583" s="2275"/>
      <c r="G1583" s="2289"/>
      <c r="H1583" s="2303"/>
      <c r="I1583" s="2291"/>
      <c r="J1583" s="2308"/>
      <c r="K1583" s="2289"/>
      <c r="L1583" s="2292"/>
      <c r="M1583" s="2293"/>
      <c r="N1583" s="1837"/>
      <c r="O1583" s="1837"/>
      <c r="P1583" s="1837"/>
      <c r="Q1583" s="1837"/>
      <c r="R1583" s="1837"/>
      <c r="S1583" s="1837"/>
      <c r="T1583" s="1837"/>
      <c r="U1583" s="1837"/>
      <c r="V1583" s="1837"/>
      <c r="W1583" s="1837"/>
      <c r="X1583" s="1837"/>
    </row>
    <row r="1584" spans="1:24">
      <c r="A1584" s="1901"/>
      <c r="B1584" s="1756" t="s">
        <v>586</v>
      </c>
      <c r="C1584" s="1755" t="s">
        <v>2809</v>
      </c>
      <c r="D1584" s="1859"/>
      <c r="E1584" s="2307">
        <v>0</v>
      </c>
      <c r="F1584" s="1806" t="s">
        <v>37</v>
      </c>
      <c r="G1584" s="2289">
        <v>235</v>
      </c>
      <c r="H1584" s="2303">
        <f>E1584*G1584</f>
        <v>0</v>
      </c>
      <c r="I1584" s="2304">
        <v>100</v>
      </c>
      <c r="J1584" s="2305">
        <f t="shared" ref="J1584" si="829">E1584*I1584</f>
        <v>0</v>
      </c>
      <c r="K1584" s="2306">
        <f>H1584+J1584</f>
        <v>0</v>
      </c>
      <c r="L1584" s="2292"/>
      <c r="M1584" s="2293"/>
    </row>
    <row r="1585" spans="1:24">
      <c r="A1585" s="1782"/>
      <c r="B1585" s="1756"/>
      <c r="C1585" s="1755" t="s">
        <v>585</v>
      </c>
      <c r="D1585" s="1859"/>
      <c r="E1585" s="2307"/>
      <c r="F1585" s="1806"/>
      <c r="G1585" s="2289"/>
      <c r="H1585" s="2290"/>
      <c r="I1585" s="2291"/>
      <c r="J1585" s="2308"/>
      <c r="K1585" s="2289"/>
      <c r="L1585" s="2292"/>
      <c r="M1585" s="2293"/>
      <c r="N1585" s="1797">
        <f>SUM(K1567:K1585)</f>
        <v>309705</v>
      </c>
    </row>
    <row r="1586" spans="1:24" ht="24" customHeight="1">
      <c r="A1586" s="1933" t="s">
        <v>597</v>
      </c>
      <c r="B1586" s="1908" t="s">
        <v>598</v>
      </c>
      <c r="C1586" s="1895"/>
      <c r="D1586" s="1909"/>
      <c r="E1586" s="1984"/>
      <c r="F1586" s="2275"/>
      <c r="G1586" s="1985"/>
      <c r="H1586" s="1911"/>
      <c r="I1586" s="1920"/>
      <c r="J1586" s="1913"/>
      <c r="K1586" s="1914"/>
      <c r="L1586" s="1847"/>
      <c r="M1586" s="1809"/>
      <c r="N1586" s="1837"/>
      <c r="O1586" s="1837"/>
      <c r="P1586" s="1837"/>
      <c r="Q1586" s="1837"/>
      <c r="R1586" s="1837"/>
      <c r="S1586" s="1837"/>
      <c r="T1586" s="1837"/>
      <c r="U1586" s="1837"/>
      <c r="V1586" s="1837"/>
      <c r="W1586" s="1837"/>
      <c r="X1586" s="1837"/>
    </row>
    <row r="1587" spans="1:24" ht="24" customHeight="1">
      <c r="A1587" s="1901"/>
      <c r="B1587" s="1755" t="s">
        <v>2806</v>
      </c>
      <c r="C1587" s="1980"/>
      <c r="D1587" s="1868"/>
      <c r="E1587" s="2307">
        <v>0</v>
      </c>
      <c r="F1587" s="1806" t="s">
        <v>240</v>
      </c>
      <c r="G1587" s="2289">
        <v>347</v>
      </c>
      <c r="H1587" s="2303">
        <f>E1587*G1587</f>
        <v>0</v>
      </c>
      <c r="I1587" s="2304">
        <v>75</v>
      </c>
      <c r="J1587" s="2305">
        <f>E1587*I1587</f>
        <v>0</v>
      </c>
      <c r="K1587" s="2306">
        <f>H1587+J1587</f>
        <v>0</v>
      </c>
      <c r="L1587" s="2292"/>
      <c r="M1587" s="2293"/>
      <c r="N1587" s="1837"/>
      <c r="O1587" s="1837"/>
      <c r="P1587" s="1837"/>
      <c r="Q1587" s="1837"/>
      <c r="R1587" s="1837"/>
      <c r="S1587" s="1837"/>
      <c r="T1587" s="1837"/>
    </row>
    <row r="1588" spans="1:24" ht="24" customHeight="1">
      <c r="A1588" s="1901"/>
      <c r="B1588" s="1756" t="s">
        <v>565</v>
      </c>
      <c r="C1588" s="1981" t="s">
        <v>566</v>
      </c>
      <c r="D1588" s="1868"/>
      <c r="E1588" s="2307">
        <v>3920</v>
      </c>
      <c r="F1588" s="1806" t="s">
        <v>37</v>
      </c>
      <c r="G1588" s="2289">
        <v>0</v>
      </c>
      <c r="H1588" s="2303">
        <f t="shared" ref="H1588:H1598" si="830">E1588*G1588</f>
        <v>0</v>
      </c>
      <c r="I1588" s="2304">
        <v>0</v>
      </c>
      <c r="J1588" s="2305">
        <f t="shared" ref="J1588:J1598" si="831">E1588*I1588</f>
        <v>0</v>
      </c>
      <c r="K1588" s="2306">
        <f t="shared" ref="K1588:K1598" si="832">H1588+J1588</f>
        <v>0</v>
      </c>
      <c r="L1588" s="2292"/>
      <c r="M1588" s="2293"/>
      <c r="N1588" s="1837"/>
      <c r="O1588" s="1837"/>
      <c r="P1588" s="1837"/>
      <c r="Q1588" s="1837"/>
      <c r="R1588" s="1837"/>
      <c r="S1588" s="1837"/>
      <c r="T1588" s="1837"/>
    </row>
    <row r="1589" spans="1:24">
      <c r="A1589" s="1901"/>
      <c r="B1589" s="1756" t="s">
        <v>567</v>
      </c>
      <c r="C1589" s="1982" t="s">
        <v>568</v>
      </c>
      <c r="D1589" s="1868"/>
      <c r="E1589" s="2307">
        <v>282</v>
      </c>
      <c r="F1589" s="1806" t="s">
        <v>37</v>
      </c>
      <c r="G1589" s="2289">
        <v>169</v>
      </c>
      <c r="H1589" s="2303">
        <f t="shared" si="830"/>
        <v>47658</v>
      </c>
      <c r="I1589" s="2304">
        <v>75</v>
      </c>
      <c r="J1589" s="2305">
        <f t="shared" si="831"/>
        <v>21150</v>
      </c>
      <c r="K1589" s="2306">
        <f t="shared" si="832"/>
        <v>68808</v>
      </c>
      <c r="L1589" s="2292"/>
      <c r="M1589" s="2293"/>
    </row>
    <row r="1590" spans="1:24">
      <c r="A1590" s="1901"/>
      <c r="B1590" s="1756"/>
      <c r="C1590" s="1982" t="s">
        <v>569</v>
      </c>
      <c r="D1590" s="1868"/>
      <c r="E1590" s="2307">
        <f>+E1589</f>
        <v>282</v>
      </c>
      <c r="F1590" s="1806" t="s">
        <v>37</v>
      </c>
      <c r="G1590" s="2289">
        <v>69</v>
      </c>
      <c r="H1590" s="2303">
        <f t="shared" si="830"/>
        <v>19458</v>
      </c>
      <c r="I1590" s="2304">
        <v>28</v>
      </c>
      <c r="J1590" s="2305">
        <f t="shared" si="831"/>
        <v>7896</v>
      </c>
      <c r="K1590" s="2306">
        <f t="shared" si="832"/>
        <v>27354</v>
      </c>
      <c r="L1590" s="2292"/>
      <c r="M1590" s="2293"/>
    </row>
    <row r="1591" spans="1:24">
      <c r="A1591" s="1901"/>
      <c r="B1591" s="1756" t="s">
        <v>570</v>
      </c>
      <c r="C1591" s="1867" t="s">
        <v>571</v>
      </c>
      <c r="D1591" s="1868"/>
      <c r="E1591" s="2307">
        <v>179</v>
      </c>
      <c r="F1591" s="1806" t="s">
        <v>37</v>
      </c>
      <c r="G1591" s="2289">
        <v>192</v>
      </c>
      <c r="H1591" s="2303">
        <f t="shared" si="830"/>
        <v>34368</v>
      </c>
      <c r="I1591" s="2304">
        <v>75</v>
      </c>
      <c r="J1591" s="2305">
        <f t="shared" si="831"/>
        <v>13425</v>
      </c>
      <c r="K1591" s="2306">
        <f t="shared" si="832"/>
        <v>47793</v>
      </c>
      <c r="L1591" s="2292"/>
      <c r="M1591" s="2293"/>
    </row>
    <row r="1592" spans="1:24">
      <c r="A1592" s="1901"/>
      <c r="B1592" s="1756"/>
      <c r="C1592" s="1982" t="s">
        <v>569</v>
      </c>
      <c r="D1592" s="1868"/>
      <c r="E1592" s="2307">
        <f>+E1591</f>
        <v>179</v>
      </c>
      <c r="F1592" s="1806" t="s">
        <v>37</v>
      </c>
      <c r="G1592" s="2289">
        <v>69</v>
      </c>
      <c r="H1592" s="2303">
        <f t="shared" si="830"/>
        <v>12351</v>
      </c>
      <c r="I1592" s="2304">
        <v>28</v>
      </c>
      <c r="J1592" s="2305">
        <f t="shared" si="831"/>
        <v>5012</v>
      </c>
      <c r="K1592" s="2306">
        <f t="shared" si="832"/>
        <v>17363</v>
      </c>
      <c r="L1592" s="2292"/>
      <c r="M1592" s="2293"/>
    </row>
    <row r="1593" spans="1:24">
      <c r="A1593" s="1901"/>
      <c r="B1593" s="1756" t="s">
        <v>572</v>
      </c>
      <c r="C1593" s="1867" t="s">
        <v>573</v>
      </c>
      <c r="D1593" s="1868"/>
      <c r="E1593" s="2307">
        <v>0</v>
      </c>
      <c r="F1593" s="1806" t="s">
        <v>37</v>
      </c>
      <c r="G1593" s="2289">
        <v>650</v>
      </c>
      <c r="H1593" s="2303">
        <f t="shared" si="830"/>
        <v>0</v>
      </c>
      <c r="I1593" s="2304">
        <v>52</v>
      </c>
      <c r="J1593" s="2305">
        <f t="shared" si="831"/>
        <v>0</v>
      </c>
      <c r="K1593" s="2306">
        <f t="shared" si="832"/>
        <v>0</v>
      </c>
      <c r="L1593" s="2292"/>
      <c r="M1593" s="2293"/>
    </row>
    <row r="1594" spans="1:24">
      <c r="A1594" s="1901"/>
      <c r="B1594" s="1756" t="s">
        <v>574</v>
      </c>
      <c r="C1594" s="1867" t="s">
        <v>575</v>
      </c>
      <c r="D1594" s="1868"/>
      <c r="E1594" s="2307">
        <v>0</v>
      </c>
      <c r="F1594" s="1806" t="s">
        <v>37</v>
      </c>
      <c r="G1594" s="2289">
        <v>30</v>
      </c>
      <c r="H1594" s="2303">
        <f t="shared" si="830"/>
        <v>0</v>
      </c>
      <c r="I1594" s="2304">
        <v>50</v>
      </c>
      <c r="J1594" s="2305">
        <f t="shared" si="831"/>
        <v>0</v>
      </c>
      <c r="K1594" s="2306">
        <f t="shared" si="832"/>
        <v>0</v>
      </c>
      <c r="L1594" s="2292"/>
      <c r="M1594" s="2293"/>
    </row>
    <row r="1595" spans="1:24">
      <c r="A1595" s="1901"/>
      <c r="B1595" s="1756" t="s">
        <v>576</v>
      </c>
      <c r="C1595" s="1867" t="s">
        <v>577</v>
      </c>
      <c r="D1595" s="1868"/>
      <c r="E1595" s="2307">
        <v>105</v>
      </c>
      <c r="F1595" s="1806" t="s">
        <v>37</v>
      </c>
      <c r="G1595" s="2289">
        <v>30</v>
      </c>
      <c r="H1595" s="2303">
        <f t="shared" si="830"/>
        <v>3150</v>
      </c>
      <c r="I1595" s="2304">
        <v>50</v>
      </c>
      <c r="J1595" s="2305">
        <f t="shared" si="831"/>
        <v>5250</v>
      </c>
      <c r="K1595" s="2306">
        <f t="shared" si="832"/>
        <v>8400</v>
      </c>
      <c r="L1595" s="2292"/>
      <c r="M1595" s="2293"/>
    </row>
    <row r="1596" spans="1:24">
      <c r="A1596" s="1901"/>
      <c r="B1596" s="1756" t="s">
        <v>578</v>
      </c>
      <c r="C1596" s="1867" t="s">
        <v>579</v>
      </c>
      <c r="D1596" s="1868"/>
      <c r="E1596" s="2307">
        <v>390</v>
      </c>
      <c r="F1596" s="1806" t="s">
        <v>37</v>
      </c>
      <c r="G1596" s="2289">
        <v>88</v>
      </c>
      <c r="H1596" s="2303">
        <f t="shared" si="830"/>
        <v>34320</v>
      </c>
      <c r="I1596" s="2304">
        <v>94</v>
      </c>
      <c r="J1596" s="2305">
        <f t="shared" si="831"/>
        <v>36660</v>
      </c>
      <c r="K1596" s="2306">
        <f t="shared" si="832"/>
        <v>70980</v>
      </c>
      <c r="L1596" s="2292"/>
      <c r="M1596" s="2293"/>
    </row>
    <row r="1597" spans="1:24">
      <c r="A1597" s="1901"/>
      <c r="B1597" s="1756"/>
      <c r="C1597" s="1867" t="s">
        <v>504</v>
      </c>
      <c r="D1597" s="1868"/>
      <c r="E1597" s="2307">
        <f>+E1596</f>
        <v>390</v>
      </c>
      <c r="F1597" s="1806" t="s">
        <v>37</v>
      </c>
      <c r="G1597" s="2289">
        <v>69</v>
      </c>
      <c r="H1597" s="2303">
        <f t="shared" si="830"/>
        <v>26910</v>
      </c>
      <c r="I1597" s="2304">
        <v>28</v>
      </c>
      <c r="J1597" s="2305">
        <f t="shared" si="831"/>
        <v>10920</v>
      </c>
      <c r="K1597" s="2306">
        <f t="shared" si="832"/>
        <v>37830</v>
      </c>
      <c r="L1597" s="2292"/>
      <c r="M1597" s="2293"/>
    </row>
    <row r="1598" spans="1:24">
      <c r="A1598" s="1901"/>
      <c r="B1598" s="1756" t="s">
        <v>580</v>
      </c>
      <c r="C1598" s="1867" t="s">
        <v>581</v>
      </c>
      <c r="D1598" s="1868"/>
      <c r="E1598" s="2307">
        <v>0</v>
      </c>
      <c r="F1598" s="1806" t="s">
        <v>37</v>
      </c>
      <c r="G1598" s="2289">
        <v>1900</v>
      </c>
      <c r="H1598" s="2303">
        <f t="shared" si="830"/>
        <v>0</v>
      </c>
      <c r="I1598" s="2304">
        <v>450</v>
      </c>
      <c r="J1598" s="2305">
        <f t="shared" si="831"/>
        <v>0</v>
      </c>
      <c r="K1598" s="2306">
        <f t="shared" si="832"/>
        <v>0</v>
      </c>
      <c r="L1598" s="2292"/>
      <c r="M1598" s="2293"/>
    </row>
    <row r="1599" spans="1:24">
      <c r="A1599" s="1901"/>
      <c r="B1599" s="1756"/>
      <c r="C1599" s="1867" t="s">
        <v>582</v>
      </c>
      <c r="D1599" s="1868"/>
      <c r="E1599" s="2307"/>
      <c r="F1599" s="1806"/>
      <c r="G1599" s="2289"/>
      <c r="H1599" s="2303"/>
      <c r="I1599" s="2304"/>
      <c r="J1599" s="2308"/>
      <c r="K1599" s="2289"/>
      <c r="L1599" s="2292"/>
      <c r="M1599" s="2293"/>
    </row>
    <row r="1600" spans="1:24">
      <c r="A1600" s="1901"/>
      <c r="B1600" s="1756" t="s">
        <v>583</v>
      </c>
      <c r="C1600" s="1867" t="s">
        <v>2807</v>
      </c>
      <c r="D1600" s="1868"/>
      <c r="E1600" s="2307">
        <v>0</v>
      </c>
      <c r="F1600" s="1806" t="s">
        <v>37</v>
      </c>
      <c r="G1600" s="2289">
        <v>1296</v>
      </c>
      <c r="H1600" s="2303">
        <f>E1600*G1600</f>
        <v>0</v>
      </c>
      <c r="I1600" s="2304">
        <v>1600</v>
      </c>
      <c r="J1600" s="2305">
        <f t="shared" ref="J1600" si="833">E1600*I1600</f>
        <v>0</v>
      </c>
      <c r="K1600" s="2306">
        <f>H1600+J1600</f>
        <v>0</v>
      </c>
      <c r="L1600" s="2292"/>
      <c r="M1600" s="2293"/>
    </row>
    <row r="1601" spans="1:24">
      <c r="A1601" s="1782"/>
      <c r="B1601" s="1756"/>
      <c r="C1601" s="1867" t="s">
        <v>512</v>
      </c>
      <c r="D1601" s="1895"/>
      <c r="E1601" s="2307"/>
      <c r="F1601" s="1806"/>
      <c r="G1601" s="2289"/>
      <c r="H1601" s="2303"/>
      <c r="I1601" s="2304"/>
      <c r="J1601" s="2308"/>
      <c r="K1601" s="2289"/>
      <c r="L1601" s="2292"/>
      <c r="M1601" s="2293"/>
    </row>
    <row r="1602" spans="1:24" ht="24" customHeight="1">
      <c r="A1602" s="1782"/>
      <c r="B1602" s="1756" t="s">
        <v>584</v>
      </c>
      <c r="C1602" s="1755" t="s">
        <v>2808</v>
      </c>
      <c r="D1602" s="1909"/>
      <c r="E1602" s="2307">
        <v>128</v>
      </c>
      <c r="F1602" s="1806" t="s">
        <v>37</v>
      </c>
      <c r="G1602" s="2289">
        <v>325</v>
      </c>
      <c r="H1602" s="2303">
        <f>E1602*G1602</f>
        <v>41600</v>
      </c>
      <c r="I1602" s="2304">
        <v>100</v>
      </c>
      <c r="J1602" s="2305">
        <f t="shared" ref="J1602" si="834">E1602*I1602</f>
        <v>12800</v>
      </c>
      <c r="K1602" s="2306">
        <f>H1602+J1602</f>
        <v>54400</v>
      </c>
      <c r="L1602" s="2292"/>
      <c r="M1602" s="2293"/>
      <c r="N1602" s="1837"/>
      <c r="O1602" s="1837"/>
      <c r="P1602" s="1837"/>
      <c r="Q1602" s="1837"/>
      <c r="R1602" s="1837"/>
      <c r="S1602" s="1837"/>
      <c r="T1602" s="1837"/>
      <c r="U1602" s="1837"/>
      <c r="V1602" s="1837"/>
      <c r="W1602" s="1837"/>
      <c r="X1602" s="1837"/>
    </row>
    <row r="1603" spans="1:24" ht="24" customHeight="1">
      <c r="A1603" s="1782"/>
      <c r="B1603" s="1756"/>
      <c r="C1603" s="1755" t="s">
        <v>585</v>
      </c>
      <c r="D1603" s="1909"/>
      <c r="E1603" s="2309"/>
      <c r="F1603" s="2275"/>
      <c r="G1603" s="2289"/>
      <c r="H1603" s="2303"/>
      <c r="I1603" s="2291"/>
      <c r="J1603" s="2308"/>
      <c r="K1603" s="2289"/>
      <c r="L1603" s="2292"/>
      <c r="M1603" s="2293"/>
      <c r="N1603" s="1837"/>
      <c r="O1603" s="1837"/>
      <c r="P1603" s="1837"/>
      <c r="Q1603" s="1837"/>
      <c r="R1603" s="1837"/>
      <c r="S1603" s="1837"/>
      <c r="T1603" s="1837"/>
      <c r="U1603" s="1837"/>
      <c r="V1603" s="1837"/>
      <c r="W1603" s="1837"/>
      <c r="X1603" s="1837"/>
    </row>
    <row r="1604" spans="1:24">
      <c r="A1604" s="1901"/>
      <c r="B1604" s="1756" t="s">
        <v>586</v>
      </c>
      <c r="C1604" s="1755" t="s">
        <v>2809</v>
      </c>
      <c r="D1604" s="1859"/>
      <c r="E1604" s="2307">
        <v>0</v>
      </c>
      <c r="F1604" s="1806" t="s">
        <v>37</v>
      </c>
      <c r="G1604" s="2289">
        <v>235</v>
      </c>
      <c r="H1604" s="2303">
        <f>E1604*G1604</f>
        <v>0</v>
      </c>
      <c r="I1604" s="2304">
        <v>100</v>
      </c>
      <c r="J1604" s="2305">
        <f t="shared" ref="J1604" si="835">E1604*I1604</f>
        <v>0</v>
      </c>
      <c r="K1604" s="2306">
        <f>H1604+J1604</f>
        <v>0</v>
      </c>
      <c r="L1604" s="2292"/>
      <c r="M1604" s="2293"/>
    </row>
    <row r="1605" spans="1:24">
      <c r="A1605" s="1782"/>
      <c r="B1605" s="1756"/>
      <c r="C1605" s="1755" t="s">
        <v>585</v>
      </c>
      <c r="D1605" s="1859"/>
      <c r="E1605" s="2307"/>
      <c r="F1605" s="1806"/>
      <c r="G1605" s="2289"/>
      <c r="H1605" s="2290"/>
      <c r="I1605" s="2291"/>
      <c r="J1605" s="2308"/>
      <c r="K1605" s="2289"/>
      <c r="L1605" s="2292"/>
      <c r="M1605" s="2293"/>
      <c r="N1605" s="1797">
        <f>SUM(K1587:K1605)</f>
        <v>332928</v>
      </c>
    </row>
    <row r="1606" spans="1:24" ht="24" customHeight="1">
      <c r="A1606" s="1933" t="s">
        <v>599</v>
      </c>
      <c r="B1606" s="1908" t="s">
        <v>600</v>
      </c>
      <c r="C1606" s="1895"/>
      <c r="D1606" s="1909"/>
      <c r="E1606" s="1910"/>
      <c r="F1606" s="2275"/>
      <c r="G1606" s="1985"/>
      <c r="H1606" s="1854"/>
      <c r="I1606" s="1920"/>
      <c r="J1606" s="1856"/>
      <c r="K1606" s="1857"/>
      <c r="L1606" s="1847"/>
      <c r="M1606" s="1809"/>
      <c r="N1606" s="1837"/>
      <c r="O1606" s="1837"/>
      <c r="P1606" s="1837"/>
      <c r="Q1606" s="1837"/>
      <c r="R1606" s="1837"/>
      <c r="S1606" s="1837"/>
      <c r="T1606" s="1837"/>
      <c r="U1606" s="1837"/>
      <c r="V1606" s="1837"/>
      <c r="W1606" s="1837"/>
      <c r="X1606" s="1837"/>
    </row>
    <row r="1607" spans="1:24" ht="24" customHeight="1">
      <c r="A1607" s="1901"/>
      <c r="B1607" s="1755" t="s">
        <v>2806</v>
      </c>
      <c r="C1607" s="1980"/>
      <c r="D1607" s="1868"/>
      <c r="E1607" s="2302">
        <v>0</v>
      </c>
      <c r="F1607" s="1806" t="s">
        <v>240</v>
      </c>
      <c r="G1607" s="2289">
        <v>347</v>
      </c>
      <c r="H1607" s="2303">
        <f>E1607*G1607</f>
        <v>0</v>
      </c>
      <c r="I1607" s="2304">
        <v>75</v>
      </c>
      <c r="J1607" s="2305">
        <f>E1607*I1607</f>
        <v>0</v>
      </c>
      <c r="K1607" s="2306">
        <f>H1607+J1607</f>
        <v>0</v>
      </c>
      <c r="L1607" s="2292"/>
      <c r="M1607" s="2293"/>
      <c r="N1607" s="1837"/>
      <c r="O1607" s="1837"/>
      <c r="P1607" s="1837"/>
      <c r="Q1607" s="1837"/>
      <c r="R1607" s="1837"/>
      <c r="S1607" s="1837"/>
      <c r="T1607" s="1837"/>
    </row>
    <row r="1608" spans="1:24" ht="24" customHeight="1">
      <c r="A1608" s="1901"/>
      <c r="B1608" s="1756" t="s">
        <v>565</v>
      </c>
      <c r="C1608" s="1981" t="s">
        <v>566</v>
      </c>
      <c r="D1608" s="1868"/>
      <c r="E1608" s="2307">
        <v>3867</v>
      </c>
      <c r="F1608" s="1806" t="s">
        <v>37</v>
      </c>
      <c r="G1608" s="2289">
        <v>0</v>
      </c>
      <c r="H1608" s="2303">
        <f t="shared" ref="H1608:H1618" si="836">E1608*G1608</f>
        <v>0</v>
      </c>
      <c r="I1608" s="2304">
        <v>0</v>
      </c>
      <c r="J1608" s="2305">
        <f t="shared" ref="J1608:J1618" si="837">E1608*I1608</f>
        <v>0</v>
      </c>
      <c r="K1608" s="2306">
        <f t="shared" ref="K1608:K1618" si="838">H1608+J1608</f>
        <v>0</v>
      </c>
      <c r="L1608" s="2292"/>
      <c r="M1608" s="2293"/>
      <c r="N1608" s="1837"/>
      <c r="O1608" s="1837"/>
      <c r="P1608" s="1837"/>
      <c r="Q1608" s="1837"/>
      <c r="R1608" s="1837"/>
      <c r="S1608" s="1837"/>
      <c r="T1608" s="1837"/>
    </row>
    <row r="1609" spans="1:24">
      <c r="A1609" s="1901"/>
      <c r="B1609" s="1756" t="s">
        <v>567</v>
      </c>
      <c r="C1609" s="1982" t="s">
        <v>568</v>
      </c>
      <c r="D1609" s="1868"/>
      <c r="E1609" s="2307">
        <v>249</v>
      </c>
      <c r="F1609" s="1806" t="s">
        <v>37</v>
      </c>
      <c r="G1609" s="2289">
        <v>169</v>
      </c>
      <c r="H1609" s="2303">
        <f t="shared" si="836"/>
        <v>42081</v>
      </c>
      <c r="I1609" s="2304">
        <v>75</v>
      </c>
      <c r="J1609" s="2305">
        <f t="shared" si="837"/>
        <v>18675</v>
      </c>
      <c r="K1609" s="2306">
        <f t="shared" si="838"/>
        <v>60756</v>
      </c>
      <c r="L1609" s="2292"/>
      <c r="M1609" s="2293"/>
    </row>
    <row r="1610" spans="1:24">
      <c r="A1610" s="1901"/>
      <c r="B1610" s="1756"/>
      <c r="C1610" s="1982" t="s">
        <v>569</v>
      </c>
      <c r="D1610" s="1868"/>
      <c r="E1610" s="2307">
        <f>+E1609</f>
        <v>249</v>
      </c>
      <c r="F1610" s="1806" t="s">
        <v>37</v>
      </c>
      <c r="G1610" s="2289">
        <v>69</v>
      </c>
      <c r="H1610" s="2303">
        <f t="shared" si="836"/>
        <v>17181</v>
      </c>
      <c r="I1610" s="2304">
        <v>28</v>
      </c>
      <c r="J1610" s="2305">
        <f t="shared" si="837"/>
        <v>6972</v>
      </c>
      <c r="K1610" s="2306">
        <f t="shared" si="838"/>
        <v>24153</v>
      </c>
      <c r="L1610" s="2292"/>
      <c r="M1610" s="2293"/>
    </row>
    <row r="1611" spans="1:24">
      <c r="A1611" s="1901"/>
      <c r="B1611" s="1756" t="s">
        <v>570</v>
      </c>
      <c r="C1611" s="1867" t="s">
        <v>571</v>
      </c>
      <c r="D1611" s="1868"/>
      <c r="E1611" s="2307">
        <v>132</v>
      </c>
      <c r="F1611" s="1806" t="s">
        <v>37</v>
      </c>
      <c r="G1611" s="2289">
        <v>192</v>
      </c>
      <c r="H1611" s="2303">
        <f t="shared" si="836"/>
        <v>25344</v>
      </c>
      <c r="I1611" s="2304">
        <v>75</v>
      </c>
      <c r="J1611" s="2305">
        <f t="shared" si="837"/>
        <v>9900</v>
      </c>
      <c r="K1611" s="2306">
        <f t="shared" si="838"/>
        <v>35244</v>
      </c>
      <c r="L1611" s="2292"/>
      <c r="M1611" s="2293"/>
    </row>
    <row r="1612" spans="1:24">
      <c r="A1612" s="1901"/>
      <c r="B1612" s="1756"/>
      <c r="C1612" s="1982" t="s">
        <v>569</v>
      </c>
      <c r="D1612" s="1868"/>
      <c r="E1612" s="2307">
        <f>+E1611</f>
        <v>132</v>
      </c>
      <c r="F1612" s="1806" t="s">
        <v>37</v>
      </c>
      <c r="G1612" s="2289">
        <v>69</v>
      </c>
      <c r="H1612" s="2303">
        <f t="shared" si="836"/>
        <v>9108</v>
      </c>
      <c r="I1612" s="2304">
        <v>28</v>
      </c>
      <c r="J1612" s="2305">
        <f t="shared" si="837"/>
        <v>3696</v>
      </c>
      <c r="K1612" s="2306">
        <f t="shared" si="838"/>
        <v>12804</v>
      </c>
      <c r="L1612" s="2292"/>
      <c r="M1612" s="2293"/>
    </row>
    <row r="1613" spans="1:24">
      <c r="A1613" s="1901"/>
      <c r="B1613" s="1756" t="s">
        <v>572</v>
      </c>
      <c r="C1613" s="1867" t="s">
        <v>573</v>
      </c>
      <c r="D1613" s="1868"/>
      <c r="E1613" s="2307">
        <v>0</v>
      </c>
      <c r="F1613" s="1806" t="s">
        <v>37</v>
      </c>
      <c r="G1613" s="2289">
        <v>650</v>
      </c>
      <c r="H1613" s="2303">
        <f t="shared" si="836"/>
        <v>0</v>
      </c>
      <c r="I1613" s="2304">
        <v>52</v>
      </c>
      <c r="J1613" s="2305">
        <f t="shared" si="837"/>
        <v>0</v>
      </c>
      <c r="K1613" s="2306">
        <f t="shared" si="838"/>
        <v>0</v>
      </c>
      <c r="L1613" s="2292"/>
      <c r="M1613" s="2293"/>
    </row>
    <row r="1614" spans="1:24">
      <c r="A1614" s="1901"/>
      <c r="B1614" s="1756" t="s">
        <v>574</v>
      </c>
      <c r="C1614" s="1867" t="s">
        <v>575</v>
      </c>
      <c r="D1614" s="1868"/>
      <c r="E1614" s="2307">
        <v>0</v>
      </c>
      <c r="F1614" s="1806" t="s">
        <v>37</v>
      </c>
      <c r="G1614" s="2289">
        <v>30</v>
      </c>
      <c r="H1614" s="2303">
        <f t="shared" si="836"/>
        <v>0</v>
      </c>
      <c r="I1614" s="2304">
        <v>50</v>
      </c>
      <c r="J1614" s="2305">
        <f t="shared" si="837"/>
        <v>0</v>
      </c>
      <c r="K1614" s="2306">
        <f t="shared" si="838"/>
        <v>0</v>
      </c>
      <c r="L1614" s="2292"/>
      <c r="M1614" s="2293"/>
    </row>
    <row r="1615" spans="1:24">
      <c r="A1615" s="1901"/>
      <c r="B1615" s="1756" t="s">
        <v>576</v>
      </c>
      <c r="C1615" s="1867" t="s">
        <v>577</v>
      </c>
      <c r="D1615" s="1868"/>
      <c r="E1615" s="2307">
        <v>105</v>
      </c>
      <c r="F1615" s="1806" t="s">
        <v>37</v>
      </c>
      <c r="G1615" s="2289">
        <v>30</v>
      </c>
      <c r="H1615" s="2303">
        <f t="shared" si="836"/>
        <v>3150</v>
      </c>
      <c r="I1615" s="2304">
        <v>50</v>
      </c>
      <c r="J1615" s="2305">
        <f t="shared" si="837"/>
        <v>5250</v>
      </c>
      <c r="K1615" s="2306">
        <f t="shared" si="838"/>
        <v>8400</v>
      </c>
      <c r="L1615" s="2292"/>
      <c r="M1615" s="2293"/>
    </row>
    <row r="1616" spans="1:24">
      <c r="A1616" s="1901"/>
      <c r="B1616" s="1756" t="s">
        <v>578</v>
      </c>
      <c r="C1616" s="1867" t="s">
        <v>579</v>
      </c>
      <c r="D1616" s="1868"/>
      <c r="E1616" s="2307">
        <v>586</v>
      </c>
      <c r="F1616" s="1806" t="s">
        <v>37</v>
      </c>
      <c r="G1616" s="2289">
        <v>88</v>
      </c>
      <c r="H1616" s="2303">
        <f t="shared" si="836"/>
        <v>51568</v>
      </c>
      <c r="I1616" s="2304">
        <v>94</v>
      </c>
      <c r="J1616" s="2305">
        <f t="shared" si="837"/>
        <v>55084</v>
      </c>
      <c r="K1616" s="2306">
        <f t="shared" si="838"/>
        <v>106652</v>
      </c>
      <c r="L1616" s="2292"/>
      <c r="M1616" s="2293"/>
    </row>
    <row r="1617" spans="1:24">
      <c r="A1617" s="1901"/>
      <c r="B1617" s="1756"/>
      <c r="C1617" s="1867" t="s">
        <v>504</v>
      </c>
      <c r="D1617" s="1868"/>
      <c r="E1617" s="2307">
        <f>+E1616</f>
        <v>586</v>
      </c>
      <c r="F1617" s="1806" t="s">
        <v>37</v>
      </c>
      <c r="G1617" s="2289">
        <v>69</v>
      </c>
      <c r="H1617" s="2303">
        <f t="shared" si="836"/>
        <v>40434</v>
      </c>
      <c r="I1617" s="2304">
        <v>28</v>
      </c>
      <c r="J1617" s="2305">
        <f t="shared" si="837"/>
        <v>16408</v>
      </c>
      <c r="K1617" s="2306">
        <f t="shared" si="838"/>
        <v>56842</v>
      </c>
      <c r="L1617" s="2292"/>
      <c r="M1617" s="2293"/>
    </row>
    <row r="1618" spans="1:24">
      <c r="A1618" s="1901"/>
      <c r="B1618" s="1756" t="s">
        <v>580</v>
      </c>
      <c r="C1618" s="1867" t="s">
        <v>581</v>
      </c>
      <c r="D1618" s="1868"/>
      <c r="E1618" s="2307">
        <v>0</v>
      </c>
      <c r="F1618" s="1806" t="s">
        <v>37</v>
      </c>
      <c r="G1618" s="2289">
        <v>1900</v>
      </c>
      <c r="H1618" s="2303">
        <f t="shared" si="836"/>
        <v>0</v>
      </c>
      <c r="I1618" s="2304">
        <v>450</v>
      </c>
      <c r="J1618" s="2305">
        <f t="shared" si="837"/>
        <v>0</v>
      </c>
      <c r="K1618" s="2306">
        <f t="shared" si="838"/>
        <v>0</v>
      </c>
      <c r="L1618" s="2292"/>
      <c r="M1618" s="2293"/>
    </row>
    <row r="1619" spans="1:24">
      <c r="A1619" s="1901"/>
      <c r="B1619" s="1756"/>
      <c r="C1619" s="1867" t="s">
        <v>582</v>
      </c>
      <c r="D1619" s="1868"/>
      <c r="E1619" s="2307"/>
      <c r="F1619" s="1806"/>
      <c r="G1619" s="2289"/>
      <c r="H1619" s="2303"/>
      <c r="I1619" s="2304"/>
      <c r="J1619" s="2308"/>
      <c r="K1619" s="2289"/>
      <c r="L1619" s="2292"/>
      <c r="M1619" s="2293"/>
    </row>
    <row r="1620" spans="1:24">
      <c r="A1620" s="1901"/>
      <c r="B1620" s="1756" t="s">
        <v>583</v>
      </c>
      <c r="C1620" s="1867" t="s">
        <v>2807</v>
      </c>
      <c r="D1620" s="1868"/>
      <c r="E1620" s="2307">
        <v>0</v>
      </c>
      <c r="F1620" s="1806" t="s">
        <v>37</v>
      </c>
      <c r="G1620" s="2289">
        <v>1296</v>
      </c>
      <c r="H1620" s="2303">
        <f>E1620*G1620</f>
        <v>0</v>
      </c>
      <c r="I1620" s="2304">
        <v>1600</v>
      </c>
      <c r="J1620" s="2305">
        <f t="shared" ref="J1620" si="839">E1620*I1620</f>
        <v>0</v>
      </c>
      <c r="K1620" s="2306">
        <f>H1620+J1620</f>
        <v>0</v>
      </c>
      <c r="L1620" s="2292"/>
      <c r="M1620" s="2293"/>
    </row>
    <row r="1621" spans="1:24">
      <c r="A1621" s="1782"/>
      <c r="B1621" s="1756"/>
      <c r="C1621" s="1867" t="s">
        <v>512</v>
      </c>
      <c r="D1621" s="1895"/>
      <c r="E1621" s="2307"/>
      <c r="F1621" s="1806"/>
      <c r="G1621" s="2289"/>
      <c r="H1621" s="2303"/>
      <c r="I1621" s="2304"/>
      <c r="J1621" s="2308"/>
      <c r="K1621" s="2289"/>
      <c r="L1621" s="2292"/>
      <c r="M1621" s="2293"/>
    </row>
    <row r="1622" spans="1:24" ht="24" customHeight="1">
      <c r="A1622" s="1782"/>
      <c r="B1622" s="1756" t="s">
        <v>584</v>
      </c>
      <c r="C1622" s="1755" t="s">
        <v>2808</v>
      </c>
      <c r="D1622" s="1909"/>
      <c r="E1622" s="2307">
        <v>128</v>
      </c>
      <c r="F1622" s="1806" t="s">
        <v>37</v>
      </c>
      <c r="G1622" s="2289">
        <v>325</v>
      </c>
      <c r="H1622" s="2303">
        <f>E1622*G1622</f>
        <v>41600</v>
      </c>
      <c r="I1622" s="2304">
        <v>100</v>
      </c>
      <c r="J1622" s="2305">
        <f t="shared" ref="J1622" si="840">E1622*I1622</f>
        <v>12800</v>
      </c>
      <c r="K1622" s="2306">
        <f>H1622+J1622</f>
        <v>54400</v>
      </c>
      <c r="L1622" s="2292"/>
      <c r="M1622" s="2293"/>
      <c r="N1622" s="1837"/>
      <c r="O1622" s="1837"/>
      <c r="P1622" s="1837"/>
      <c r="Q1622" s="1837"/>
      <c r="R1622" s="1837"/>
      <c r="S1622" s="1837"/>
      <c r="T1622" s="1837"/>
      <c r="U1622" s="1837"/>
      <c r="V1622" s="1837"/>
      <c r="W1622" s="1837"/>
      <c r="X1622" s="1837"/>
    </row>
    <row r="1623" spans="1:24" ht="24" customHeight="1">
      <c r="A1623" s="1782"/>
      <c r="B1623" s="1756"/>
      <c r="C1623" s="1755" t="s">
        <v>585</v>
      </c>
      <c r="D1623" s="1909"/>
      <c r="E1623" s="2309"/>
      <c r="F1623" s="2275"/>
      <c r="G1623" s="2289"/>
      <c r="H1623" s="2303"/>
      <c r="I1623" s="2291"/>
      <c r="J1623" s="2308"/>
      <c r="K1623" s="2289"/>
      <c r="L1623" s="2292"/>
      <c r="M1623" s="2293"/>
      <c r="N1623" s="1837"/>
      <c r="O1623" s="1837"/>
      <c r="P1623" s="1837"/>
      <c r="Q1623" s="1837"/>
      <c r="R1623" s="1837"/>
      <c r="S1623" s="1837"/>
      <c r="T1623" s="1837"/>
      <c r="U1623" s="1837"/>
      <c r="V1623" s="1837"/>
      <c r="W1623" s="1837"/>
      <c r="X1623" s="1837"/>
    </row>
    <row r="1624" spans="1:24" ht="24" customHeight="1">
      <c r="A1624" s="1782"/>
      <c r="B1624" s="1756"/>
      <c r="C1624" s="1755"/>
      <c r="D1624" s="1909"/>
      <c r="E1624" s="2309"/>
      <c r="F1624" s="2275"/>
      <c r="G1624" s="2289"/>
      <c r="H1624" s="2303"/>
      <c r="I1624" s="2291"/>
      <c r="J1624" s="2308"/>
      <c r="K1624" s="2289"/>
      <c r="L1624" s="2292"/>
      <c r="M1624" s="2293"/>
      <c r="N1624" s="1837"/>
      <c r="O1624" s="1837"/>
      <c r="P1624" s="1837"/>
      <c r="Q1624" s="1837"/>
      <c r="R1624" s="1837"/>
      <c r="S1624" s="1837"/>
      <c r="T1624" s="1837"/>
      <c r="U1624" s="1837"/>
      <c r="V1624" s="1837"/>
      <c r="W1624" s="1837"/>
      <c r="X1624" s="1837"/>
    </row>
    <row r="1625" spans="1:24">
      <c r="A1625" s="1901"/>
      <c r="B1625" s="1756" t="s">
        <v>586</v>
      </c>
      <c r="C1625" s="1755" t="s">
        <v>2809</v>
      </c>
      <c r="D1625" s="1859"/>
      <c r="E1625" s="2307">
        <v>0</v>
      </c>
      <c r="F1625" s="1806" t="s">
        <v>37</v>
      </c>
      <c r="G1625" s="2289">
        <v>235</v>
      </c>
      <c r="H1625" s="2303">
        <f>E1625*G1625</f>
        <v>0</v>
      </c>
      <c r="I1625" s="2304">
        <v>100</v>
      </c>
      <c r="J1625" s="2305">
        <f t="shared" ref="J1625" si="841">E1625*I1625</f>
        <v>0</v>
      </c>
      <c r="K1625" s="2306">
        <f>H1625+J1625</f>
        <v>0</v>
      </c>
      <c r="L1625" s="2292"/>
      <c r="M1625" s="2293"/>
    </row>
    <row r="1626" spans="1:24">
      <c r="A1626" s="1782"/>
      <c r="B1626" s="1756"/>
      <c r="C1626" s="1755" t="s">
        <v>585</v>
      </c>
      <c r="D1626" s="1859"/>
      <c r="E1626" s="2307"/>
      <c r="F1626" s="1806"/>
      <c r="G1626" s="2289"/>
      <c r="H1626" s="2290"/>
      <c r="I1626" s="2291"/>
      <c r="J1626" s="2308"/>
      <c r="K1626" s="2289"/>
      <c r="L1626" s="2292"/>
      <c r="M1626" s="2293"/>
      <c r="N1626" s="1797">
        <f>SUM(K1607:K1626)</f>
        <v>359251</v>
      </c>
    </row>
    <row r="1627" spans="1:24" ht="24" customHeight="1">
      <c r="A1627" s="1933" t="s">
        <v>601</v>
      </c>
      <c r="B1627" s="1908" t="s">
        <v>602</v>
      </c>
      <c r="C1627" s="1895"/>
      <c r="D1627" s="1909"/>
      <c r="E1627" s="1910"/>
      <c r="F1627" s="2275"/>
      <c r="G1627" s="1985"/>
      <c r="H1627" s="1854"/>
      <c r="I1627" s="1920"/>
      <c r="J1627" s="1856"/>
      <c r="K1627" s="1857"/>
      <c r="L1627" s="1918"/>
      <c r="N1627" s="1837"/>
      <c r="O1627" s="1837"/>
      <c r="P1627" s="1837"/>
      <c r="Q1627" s="1837"/>
      <c r="R1627" s="1837"/>
      <c r="S1627" s="1837"/>
      <c r="T1627" s="1837"/>
      <c r="U1627" s="1837"/>
      <c r="V1627" s="1837"/>
      <c r="W1627" s="1837"/>
      <c r="X1627" s="1837"/>
    </row>
    <row r="1628" spans="1:24" ht="24" customHeight="1">
      <c r="A1628" s="1901"/>
      <c r="B1628" s="1755" t="s">
        <v>2806</v>
      </c>
      <c r="C1628" s="1980"/>
      <c r="D1628" s="1868"/>
      <c r="E1628" s="2302">
        <v>0</v>
      </c>
      <c r="F1628" s="1806" t="s">
        <v>240</v>
      </c>
      <c r="G1628" s="2289">
        <v>347</v>
      </c>
      <c r="H1628" s="2303">
        <f>E1628*G1628</f>
        <v>0</v>
      </c>
      <c r="I1628" s="2304">
        <v>75</v>
      </c>
      <c r="J1628" s="2305">
        <f>E1628*I1628</f>
        <v>0</v>
      </c>
      <c r="K1628" s="2306">
        <f>H1628+J1628</f>
        <v>0</v>
      </c>
      <c r="L1628" s="2292"/>
      <c r="M1628" s="2293"/>
      <c r="N1628" s="1837"/>
      <c r="O1628" s="1837"/>
      <c r="P1628" s="1837"/>
      <c r="Q1628" s="1837"/>
      <c r="R1628" s="1837"/>
      <c r="S1628" s="1837"/>
      <c r="T1628" s="1837"/>
    </row>
    <row r="1629" spans="1:24" ht="24" customHeight="1">
      <c r="A1629" s="1901"/>
      <c r="B1629" s="1756" t="s">
        <v>565</v>
      </c>
      <c r="C1629" s="1981" t="s">
        <v>566</v>
      </c>
      <c r="D1629" s="1868"/>
      <c r="E1629" s="2307">
        <v>3646</v>
      </c>
      <c r="F1629" s="1806" t="s">
        <v>37</v>
      </c>
      <c r="G1629" s="2289">
        <v>0</v>
      </c>
      <c r="H1629" s="2303">
        <f t="shared" ref="H1629:H1639" si="842">E1629*G1629</f>
        <v>0</v>
      </c>
      <c r="I1629" s="2304">
        <v>0</v>
      </c>
      <c r="J1629" s="2305">
        <f t="shared" ref="J1629:J1639" si="843">E1629*I1629</f>
        <v>0</v>
      </c>
      <c r="K1629" s="2306">
        <f t="shared" ref="K1629:K1639" si="844">H1629+J1629</f>
        <v>0</v>
      </c>
      <c r="L1629" s="2292"/>
      <c r="M1629" s="2293"/>
      <c r="N1629" s="1837"/>
      <c r="O1629" s="1837"/>
      <c r="P1629" s="1837"/>
      <c r="Q1629" s="1837"/>
      <c r="R1629" s="1837"/>
      <c r="S1629" s="1837"/>
      <c r="T1629" s="1837"/>
    </row>
    <row r="1630" spans="1:24">
      <c r="A1630" s="1901"/>
      <c r="B1630" s="1756" t="s">
        <v>567</v>
      </c>
      <c r="C1630" s="1982" t="s">
        <v>568</v>
      </c>
      <c r="D1630" s="1868"/>
      <c r="E1630" s="2307">
        <v>438</v>
      </c>
      <c r="F1630" s="1806" t="s">
        <v>37</v>
      </c>
      <c r="G1630" s="2289">
        <v>169</v>
      </c>
      <c r="H1630" s="2303">
        <f t="shared" si="842"/>
        <v>74022</v>
      </c>
      <c r="I1630" s="2304">
        <v>75</v>
      </c>
      <c r="J1630" s="2305">
        <f t="shared" si="843"/>
        <v>32850</v>
      </c>
      <c r="K1630" s="2306">
        <f t="shared" si="844"/>
        <v>106872</v>
      </c>
      <c r="L1630" s="2292"/>
      <c r="M1630" s="2293"/>
    </row>
    <row r="1631" spans="1:24">
      <c r="A1631" s="1901"/>
      <c r="B1631" s="1756"/>
      <c r="C1631" s="1982" t="s">
        <v>569</v>
      </c>
      <c r="D1631" s="1868"/>
      <c r="E1631" s="2307">
        <f>+E1630</f>
        <v>438</v>
      </c>
      <c r="F1631" s="1806" t="s">
        <v>37</v>
      </c>
      <c r="G1631" s="2289">
        <v>69</v>
      </c>
      <c r="H1631" s="2303">
        <f t="shared" si="842"/>
        <v>30222</v>
      </c>
      <c r="I1631" s="2304">
        <v>28</v>
      </c>
      <c r="J1631" s="2305">
        <f t="shared" si="843"/>
        <v>12264</v>
      </c>
      <c r="K1631" s="2306">
        <f t="shared" si="844"/>
        <v>42486</v>
      </c>
      <c r="L1631" s="2292"/>
      <c r="M1631" s="2293"/>
    </row>
    <row r="1632" spans="1:24">
      <c r="A1632" s="1901"/>
      <c r="B1632" s="1756" t="s">
        <v>570</v>
      </c>
      <c r="C1632" s="1867" t="s">
        <v>571</v>
      </c>
      <c r="D1632" s="1868"/>
      <c r="E1632" s="2307">
        <v>133</v>
      </c>
      <c r="F1632" s="1806" t="s">
        <v>37</v>
      </c>
      <c r="G1632" s="2289">
        <v>192</v>
      </c>
      <c r="H1632" s="2303">
        <f t="shared" si="842"/>
        <v>25536</v>
      </c>
      <c r="I1632" s="2304">
        <v>75</v>
      </c>
      <c r="J1632" s="2305">
        <f t="shared" si="843"/>
        <v>9975</v>
      </c>
      <c r="K1632" s="2306">
        <f t="shared" si="844"/>
        <v>35511</v>
      </c>
      <c r="L1632" s="2292"/>
      <c r="M1632" s="2293"/>
    </row>
    <row r="1633" spans="1:24">
      <c r="A1633" s="1901"/>
      <c r="B1633" s="1756"/>
      <c r="C1633" s="1982" t="s">
        <v>569</v>
      </c>
      <c r="D1633" s="1868"/>
      <c r="E1633" s="2307">
        <f>+E1632</f>
        <v>133</v>
      </c>
      <c r="F1633" s="1806" t="s">
        <v>37</v>
      </c>
      <c r="G1633" s="2289">
        <v>69</v>
      </c>
      <c r="H1633" s="2303">
        <f t="shared" si="842"/>
        <v>9177</v>
      </c>
      <c r="I1633" s="2304">
        <v>28</v>
      </c>
      <c r="J1633" s="2305">
        <f t="shared" si="843"/>
        <v>3724</v>
      </c>
      <c r="K1633" s="2306">
        <f t="shared" si="844"/>
        <v>12901</v>
      </c>
      <c r="L1633" s="2292"/>
      <c r="M1633" s="2293"/>
    </row>
    <row r="1634" spans="1:24">
      <c r="A1634" s="1901"/>
      <c r="B1634" s="1756" t="s">
        <v>572</v>
      </c>
      <c r="C1634" s="1867" t="s">
        <v>573</v>
      </c>
      <c r="D1634" s="1868"/>
      <c r="E1634" s="2307">
        <v>0</v>
      </c>
      <c r="F1634" s="1806" t="s">
        <v>37</v>
      </c>
      <c r="G1634" s="2289">
        <v>650</v>
      </c>
      <c r="H1634" s="2303">
        <f t="shared" si="842"/>
        <v>0</v>
      </c>
      <c r="I1634" s="2304">
        <v>52</v>
      </c>
      <c r="J1634" s="2305">
        <f t="shared" si="843"/>
        <v>0</v>
      </c>
      <c r="K1634" s="2306">
        <f t="shared" si="844"/>
        <v>0</v>
      </c>
      <c r="L1634" s="2292"/>
      <c r="M1634" s="2293"/>
    </row>
    <row r="1635" spans="1:24">
      <c r="A1635" s="1901"/>
      <c r="B1635" s="1756" t="s">
        <v>574</v>
      </c>
      <c r="C1635" s="1867" t="s">
        <v>575</v>
      </c>
      <c r="D1635" s="1868"/>
      <c r="E1635" s="2307">
        <v>0</v>
      </c>
      <c r="F1635" s="1806" t="s">
        <v>37</v>
      </c>
      <c r="G1635" s="2289">
        <v>30</v>
      </c>
      <c r="H1635" s="2303">
        <f t="shared" si="842"/>
        <v>0</v>
      </c>
      <c r="I1635" s="2304">
        <v>50</v>
      </c>
      <c r="J1635" s="2305">
        <f t="shared" si="843"/>
        <v>0</v>
      </c>
      <c r="K1635" s="2306">
        <f t="shared" si="844"/>
        <v>0</v>
      </c>
      <c r="L1635" s="2292"/>
      <c r="M1635" s="2293"/>
    </row>
    <row r="1636" spans="1:24">
      <c r="A1636" s="1901"/>
      <c r="B1636" s="1756" t="s">
        <v>576</v>
      </c>
      <c r="C1636" s="1867" t="s">
        <v>577</v>
      </c>
      <c r="D1636" s="1868"/>
      <c r="E1636" s="2307">
        <v>99</v>
      </c>
      <c r="F1636" s="1806" t="s">
        <v>37</v>
      </c>
      <c r="G1636" s="2289">
        <v>30</v>
      </c>
      <c r="H1636" s="2303">
        <f t="shared" si="842"/>
        <v>2970</v>
      </c>
      <c r="I1636" s="2304">
        <v>50</v>
      </c>
      <c r="J1636" s="2305">
        <f t="shared" si="843"/>
        <v>4950</v>
      </c>
      <c r="K1636" s="2306">
        <f t="shared" si="844"/>
        <v>7920</v>
      </c>
      <c r="L1636" s="2292"/>
      <c r="M1636" s="2293"/>
    </row>
    <row r="1637" spans="1:24">
      <c r="A1637" s="1901"/>
      <c r="B1637" s="1756" t="s">
        <v>578</v>
      </c>
      <c r="C1637" s="1867" t="s">
        <v>579</v>
      </c>
      <c r="D1637" s="1868"/>
      <c r="E1637" s="2307">
        <v>451</v>
      </c>
      <c r="F1637" s="1806" t="s">
        <v>37</v>
      </c>
      <c r="G1637" s="2289">
        <v>88</v>
      </c>
      <c r="H1637" s="2303">
        <f t="shared" si="842"/>
        <v>39688</v>
      </c>
      <c r="I1637" s="2304">
        <v>94</v>
      </c>
      <c r="J1637" s="2305">
        <f t="shared" si="843"/>
        <v>42394</v>
      </c>
      <c r="K1637" s="2306">
        <f t="shared" si="844"/>
        <v>82082</v>
      </c>
      <c r="L1637" s="2292"/>
      <c r="M1637" s="2293"/>
    </row>
    <row r="1638" spans="1:24">
      <c r="A1638" s="1901"/>
      <c r="B1638" s="1756"/>
      <c r="C1638" s="1867" t="s">
        <v>504</v>
      </c>
      <c r="D1638" s="1868"/>
      <c r="E1638" s="2307">
        <f>+E1637</f>
        <v>451</v>
      </c>
      <c r="F1638" s="1806" t="s">
        <v>37</v>
      </c>
      <c r="G1638" s="2289">
        <v>69</v>
      </c>
      <c r="H1638" s="2303">
        <f t="shared" si="842"/>
        <v>31119</v>
      </c>
      <c r="I1638" s="2304">
        <v>28</v>
      </c>
      <c r="J1638" s="2305">
        <f t="shared" si="843"/>
        <v>12628</v>
      </c>
      <c r="K1638" s="2306">
        <f t="shared" si="844"/>
        <v>43747</v>
      </c>
      <c r="L1638" s="2292"/>
      <c r="M1638" s="2293"/>
    </row>
    <row r="1639" spans="1:24">
      <c r="A1639" s="1901"/>
      <c r="B1639" s="1756" t="s">
        <v>580</v>
      </c>
      <c r="C1639" s="1867" t="s">
        <v>581</v>
      </c>
      <c r="D1639" s="1868"/>
      <c r="E1639" s="2307">
        <v>0</v>
      </c>
      <c r="F1639" s="1806" t="s">
        <v>37</v>
      </c>
      <c r="G1639" s="2289">
        <v>1900</v>
      </c>
      <c r="H1639" s="2303">
        <f t="shared" si="842"/>
        <v>0</v>
      </c>
      <c r="I1639" s="2304">
        <v>450</v>
      </c>
      <c r="J1639" s="2305">
        <f t="shared" si="843"/>
        <v>0</v>
      </c>
      <c r="K1639" s="2306">
        <f t="shared" si="844"/>
        <v>0</v>
      </c>
      <c r="L1639" s="2292"/>
      <c r="M1639" s="2293"/>
    </row>
    <row r="1640" spans="1:24">
      <c r="A1640" s="1901"/>
      <c r="B1640" s="1756"/>
      <c r="C1640" s="1867" t="s">
        <v>582</v>
      </c>
      <c r="D1640" s="1868"/>
      <c r="E1640" s="2307"/>
      <c r="F1640" s="1806"/>
      <c r="G1640" s="2289"/>
      <c r="H1640" s="2303"/>
      <c r="I1640" s="2304"/>
      <c r="J1640" s="2308"/>
      <c r="K1640" s="2289"/>
      <c r="L1640" s="2292"/>
      <c r="M1640" s="2293"/>
    </row>
    <row r="1641" spans="1:24">
      <c r="A1641" s="1901"/>
      <c r="B1641" s="1756" t="s">
        <v>583</v>
      </c>
      <c r="C1641" s="1867" t="s">
        <v>2807</v>
      </c>
      <c r="D1641" s="1868"/>
      <c r="E1641" s="2307">
        <v>0</v>
      </c>
      <c r="F1641" s="1806" t="s">
        <v>37</v>
      </c>
      <c r="G1641" s="2289">
        <v>1296</v>
      </c>
      <c r="H1641" s="2303">
        <f>E1641*G1641</f>
        <v>0</v>
      </c>
      <c r="I1641" s="2304">
        <v>1600</v>
      </c>
      <c r="J1641" s="2305">
        <f t="shared" ref="J1641" si="845">E1641*I1641</f>
        <v>0</v>
      </c>
      <c r="K1641" s="2306">
        <f>H1641+J1641</f>
        <v>0</v>
      </c>
      <c r="L1641" s="2292"/>
      <c r="M1641" s="2293"/>
    </row>
    <row r="1642" spans="1:24">
      <c r="A1642" s="1782"/>
      <c r="B1642" s="1756"/>
      <c r="C1642" s="1867" t="s">
        <v>512</v>
      </c>
      <c r="D1642" s="1895"/>
      <c r="E1642" s="2307"/>
      <c r="F1642" s="1806"/>
      <c r="G1642" s="2289"/>
      <c r="H1642" s="2303"/>
      <c r="I1642" s="2304"/>
      <c r="J1642" s="2308"/>
      <c r="K1642" s="2289"/>
      <c r="L1642" s="2292"/>
      <c r="M1642" s="2293"/>
    </row>
    <row r="1643" spans="1:24" ht="24" customHeight="1">
      <c r="A1643" s="1782"/>
      <c r="B1643" s="1756" t="s">
        <v>584</v>
      </c>
      <c r="C1643" s="1755" t="s">
        <v>2808</v>
      </c>
      <c r="D1643" s="1909"/>
      <c r="E1643" s="2307">
        <v>128</v>
      </c>
      <c r="F1643" s="1806" t="s">
        <v>37</v>
      </c>
      <c r="G1643" s="2289">
        <v>325</v>
      </c>
      <c r="H1643" s="2303">
        <f>E1643*G1643</f>
        <v>41600</v>
      </c>
      <c r="I1643" s="2304">
        <v>100</v>
      </c>
      <c r="J1643" s="2305">
        <f t="shared" ref="J1643" si="846">E1643*I1643</f>
        <v>12800</v>
      </c>
      <c r="K1643" s="2306">
        <f>H1643+J1643</f>
        <v>54400</v>
      </c>
      <c r="L1643" s="2292"/>
      <c r="M1643" s="2293"/>
      <c r="N1643" s="1837"/>
      <c r="O1643" s="1837"/>
      <c r="P1643" s="1837"/>
      <c r="Q1643" s="1837"/>
      <c r="R1643" s="1837"/>
      <c r="S1643" s="1837"/>
      <c r="T1643" s="1837"/>
      <c r="U1643" s="1837"/>
      <c r="V1643" s="1837"/>
      <c r="W1643" s="1837"/>
      <c r="X1643" s="1837"/>
    </row>
    <row r="1644" spans="1:24" ht="24" customHeight="1">
      <c r="A1644" s="1782"/>
      <c r="B1644" s="1756"/>
      <c r="C1644" s="1755" t="s">
        <v>585</v>
      </c>
      <c r="D1644" s="1909"/>
      <c r="E1644" s="2309"/>
      <c r="F1644" s="2275"/>
      <c r="G1644" s="2289"/>
      <c r="H1644" s="2303"/>
      <c r="I1644" s="2291"/>
      <c r="J1644" s="2308"/>
      <c r="K1644" s="2289"/>
      <c r="L1644" s="2292"/>
      <c r="M1644" s="2293"/>
      <c r="N1644" s="1837"/>
      <c r="O1644" s="1837"/>
      <c r="P1644" s="1837"/>
      <c r="Q1644" s="1837"/>
      <c r="R1644" s="1837"/>
      <c r="S1644" s="1837"/>
      <c r="T1644" s="1837"/>
      <c r="U1644" s="1837"/>
      <c r="V1644" s="1837"/>
      <c r="W1644" s="1837"/>
      <c r="X1644" s="1837"/>
    </row>
    <row r="1645" spans="1:24">
      <c r="A1645" s="1901"/>
      <c r="B1645" s="1756" t="s">
        <v>586</v>
      </c>
      <c r="C1645" s="1755" t="s">
        <v>2809</v>
      </c>
      <c r="D1645" s="1859"/>
      <c r="E1645" s="2307">
        <v>0</v>
      </c>
      <c r="F1645" s="1806" t="s">
        <v>37</v>
      </c>
      <c r="G1645" s="2289">
        <v>235</v>
      </c>
      <c r="H1645" s="2303">
        <f>E1645*G1645</f>
        <v>0</v>
      </c>
      <c r="I1645" s="2304">
        <v>100</v>
      </c>
      <c r="J1645" s="2305">
        <f t="shared" ref="J1645" si="847">E1645*I1645</f>
        <v>0</v>
      </c>
      <c r="K1645" s="2306">
        <f>H1645+J1645</f>
        <v>0</v>
      </c>
      <c r="L1645" s="2292"/>
      <c r="M1645" s="2293"/>
    </row>
    <row r="1646" spans="1:24">
      <c r="A1646" s="1782"/>
      <c r="B1646" s="1755"/>
      <c r="C1646" s="1755" t="s">
        <v>585</v>
      </c>
      <c r="D1646" s="1859"/>
      <c r="E1646" s="2307"/>
      <c r="F1646" s="1806"/>
      <c r="G1646" s="2289"/>
      <c r="H1646" s="2290"/>
      <c r="I1646" s="2291"/>
      <c r="J1646" s="2308"/>
      <c r="K1646" s="2289"/>
      <c r="L1646" s="2292"/>
      <c r="M1646" s="2293"/>
      <c r="N1646" s="1797">
        <f>SUM(K1628:K1646)</f>
        <v>385919</v>
      </c>
    </row>
    <row r="1647" spans="1:24">
      <c r="A1647" s="1782"/>
      <c r="B1647" s="1895"/>
      <c r="C1647" s="1895"/>
      <c r="D1647" s="1891"/>
      <c r="E1647" s="2309"/>
      <c r="F1647" s="2275"/>
      <c r="G1647" s="2289"/>
      <c r="H1647" s="2290"/>
      <c r="I1647" s="2291"/>
      <c r="J1647" s="2308"/>
      <c r="K1647" s="2289"/>
      <c r="L1647" s="2292"/>
      <c r="M1647" s="2293"/>
      <c r="N1647" s="1797"/>
    </row>
    <row r="1648" spans="1:24" ht="24" customHeight="1">
      <c r="A1648" s="1933" t="s">
        <v>603</v>
      </c>
      <c r="B1648" s="1908" t="s">
        <v>604</v>
      </c>
      <c r="C1648" s="1895"/>
      <c r="D1648" s="1909"/>
      <c r="E1648" s="1910"/>
      <c r="F1648" s="2275"/>
      <c r="G1648" s="1985"/>
      <c r="H1648" s="1854"/>
      <c r="I1648" s="1920"/>
      <c r="J1648" s="1856"/>
      <c r="K1648" s="1857"/>
      <c r="L1648" s="1918"/>
      <c r="N1648" s="1837"/>
      <c r="O1648" s="1837"/>
      <c r="P1648" s="1837"/>
      <c r="Q1648" s="1837"/>
      <c r="R1648" s="1837"/>
      <c r="S1648" s="1837"/>
      <c r="T1648" s="1837"/>
      <c r="U1648" s="1837"/>
      <c r="V1648" s="1837"/>
      <c r="W1648" s="1837"/>
      <c r="X1648" s="1837"/>
    </row>
    <row r="1649" spans="1:20" ht="24" customHeight="1">
      <c r="A1649" s="1901"/>
      <c r="B1649" s="1755" t="s">
        <v>2806</v>
      </c>
      <c r="C1649" s="1980"/>
      <c r="D1649" s="1868"/>
      <c r="E1649" s="2302">
        <v>0</v>
      </c>
      <c r="F1649" s="1806" t="s">
        <v>240</v>
      </c>
      <c r="G1649" s="2289">
        <v>347</v>
      </c>
      <c r="H1649" s="2303">
        <f>E1649*G1649</f>
        <v>0</v>
      </c>
      <c r="I1649" s="2304">
        <v>75</v>
      </c>
      <c r="J1649" s="2305">
        <f>E1649*I1649</f>
        <v>0</v>
      </c>
      <c r="K1649" s="2306">
        <f>H1649+J1649</f>
        <v>0</v>
      </c>
      <c r="L1649" s="2292"/>
      <c r="M1649" s="2293"/>
      <c r="N1649" s="1837"/>
      <c r="O1649" s="1837"/>
      <c r="P1649" s="1837"/>
      <c r="Q1649" s="1837"/>
      <c r="R1649" s="1837"/>
      <c r="S1649" s="1837"/>
      <c r="T1649" s="1837"/>
    </row>
    <row r="1650" spans="1:20" ht="24" customHeight="1">
      <c r="A1650" s="1901"/>
      <c r="B1650" s="1756" t="s">
        <v>565</v>
      </c>
      <c r="C1650" s="1981" t="s">
        <v>566</v>
      </c>
      <c r="D1650" s="1868"/>
      <c r="E1650" s="2307">
        <v>0</v>
      </c>
      <c r="F1650" s="1806" t="s">
        <v>37</v>
      </c>
      <c r="G1650" s="2289">
        <v>0</v>
      </c>
      <c r="H1650" s="2303">
        <f t="shared" ref="H1650:H1661" si="848">E1650*G1650</f>
        <v>0</v>
      </c>
      <c r="I1650" s="2304">
        <v>0</v>
      </c>
      <c r="J1650" s="2305">
        <f t="shared" ref="J1650:J1661" si="849">E1650*I1650</f>
        <v>0</v>
      </c>
      <c r="K1650" s="2306">
        <f t="shared" ref="K1650:K1661" si="850">H1650+J1650</f>
        <v>0</v>
      </c>
      <c r="L1650" s="2292"/>
      <c r="M1650" s="2293"/>
      <c r="N1650" s="1837"/>
      <c r="O1650" s="1837"/>
      <c r="P1650" s="1837"/>
      <c r="Q1650" s="1837"/>
      <c r="R1650" s="1837"/>
      <c r="S1650" s="1837"/>
      <c r="T1650" s="1837"/>
    </row>
    <row r="1651" spans="1:20" ht="24" customHeight="1">
      <c r="A1651" s="1901"/>
      <c r="B1651" s="1756"/>
      <c r="C1651" s="1981"/>
      <c r="D1651" s="1868"/>
      <c r="E1651" s="2307"/>
      <c r="F1651" s="1806"/>
      <c r="G1651" s="2289"/>
      <c r="H1651" s="2303"/>
      <c r="I1651" s="2304"/>
      <c r="J1651" s="2305"/>
      <c r="K1651" s="2306"/>
      <c r="L1651" s="2292"/>
      <c r="M1651" s="2293"/>
      <c r="N1651" s="1837"/>
      <c r="O1651" s="1837"/>
      <c r="P1651" s="1837"/>
      <c r="Q1651" s="1837"/>
      <c r="R1651" s="1837"/>
      <c r="S1651" s="1837"/>
      <c r="T1651" s="1837"/>
    </row>
    <row r="1652" spans="1:20">
      <c r="A1652" s="1901"/>
      <c r="B1652" s="1756" t="s">
        <v>567</v>
      </c>
      <c r="C1652" s="1982" t="s">
        <v>568</v>
      </c>
      <c r="D1652" s="1868"/>
      <c r="E1652" s="2307">
        <f>46+2044</f>
        <v>2090</v>
      </c>
      <c r="F1652" s="1806" t="s">
        <v>37</v>
      </c>
      <c r="G1652" s="2289">
        <v>169</v>
      </c>
      <c r="H1652" s="2303">
        <f t="shared" si="848"/>
        <v>353210</v>
      </c>
      <c r="I1652" s="2304">
        <v>75</v>
      </c>
      <c r="J1652" s="2305">
        <f t="shared" si="849"/>
        <v>156750</v>
      </c>
      <c r="K1652" s="2306">
        <f t="shared" si="850"/>
        <v>509960</v>
      </c>
      <c r="L1652" s="2292"/>
      <c r="M1652" s="2293"/>
    </row>
    <row r="1653" spans="1:20">
      <c r="A1653" s="1901"/>
      <c r="B1653" s="1756"/>
      <c r="C1653" s="1982" t="s">
        <v>569</v>
      </c>
      <c r="D1653" s="1868"/>
      <c r="E1653" s="2307">
        <f>+E1652</f>
        <v>2090</v>
      </c>
      <c r="F1653" s="1806" t="s">
        <v>37</v>
      </c>
      <c r="G1653" s="2289">
        <v>69</v>
      </c>
      <c r="H1653" s="2303">
        <f t="shared" si="848"/>
        <v>144210</v>
      </c>
      <c r="I1653" s="2304">
        <v>28</v>
      </c>
      <c r="J1653" s="2305">
        <f t="shared" si="849"/>
        <v>58520</v>
      </c>
      <c r="K1653" s="2306">
        <f t="shared" si="850"/>
        <v>202730</v>
      </c>
      <c r="L1653" s="2292"/>
      <c r="M1653" s="2293"/>
    </row>
    <row r="1654" spans="1:20">
      <c r="A1654" s="1901"/>
      <c r="B1654" s="1756" t="s">
        <v>570</v>
      </c>
      <c r="C1654" s="1867" t="s">
        <v>571</v>
      </c>
      <c r="D1654" s="1868"/>
      <c r="E1654" s="2307">
        <v>0</v>
      </c>
      <c r="F1654" s="1806" t="s">
        <v>37</v>
      </c>
      <c r="G1654" s="2289">
        <v>192</v>
      </c>
      <c r="H1654" s="2303">
        <f t="shared" si="848"/>
        <v>0</v>
      </c>
      <c r="I1654" s="2304">
        <v>75</v>
      </c>
      <c r="J1654" s="2305">
        <f t="shared" si="849"/>
        <v>0</v>
      </c>
      <c r="K1654" s="2306">
        <f t="shared" si="850"/>
        <v>0</v>
      </c>
      <c r="L1654" s="2292"/>
      <c r="M1654" s="2293"/>
    </row>
    <row r="1655" spans="1:20">
      <c r="A1655" s="1901"/>
      <c r="B1655" s="1756"/>
      <c r="C1655" s="1982" t="s">
        <v>569</v>
      </c>
      <c r="D1655" s="1868"/>
      <c r="E1655" s="2307">
        <f>+E1654</f>
        <v>0</v>
      </c>
      <c r="F1655" s="1806" t="s">
        <v>37</v>
      </c>
      <c r="G1655" s="2289">
        <v>69</v>
      </c>
      <c r="H1655" s="2303">
        <f t="shared" si="848"/>
        <v>0</v>
      </c>
      <c r="I1655" s="2304">
        <v>28</v>
      </c>
      <c r="J1655" s="2305">
        <f t="shared" si="849"/>
        <v>0</v>
      </c>
      <c r="K1655" s="2306">
        <f t="shared" si="850"/>
        <v>0</v>
      </c>
      <c r="L1655" s="2292"/>
      <c r="M1655" s="2293"/>
    </row>
    <row r="1656" spans="1:20">
      <c r="A1656" s="1901"/>
      <c r="B1656" s="1756" t="s">
        <v>572</v>
      </c>
      <c r="C1656" s="1867" t="s">
        <v>573</v>
      </c>
      <c r="D1656" s="1868"/>
      <c r="E1656" s="2307">
        <v>0</v>
      </c>
      <c r="F1656" s="1806" t="s">
        <v>37</v>
      </c>
      <c r="G1656" s="2289">
        <v>650</v>
      </c>
      <c r="H1656" s="2303">
        <f t="shared" si="848"/>
        <v>0</v>
      </c>
      <c r="I1656" s="2304">
        <v>52</v>
      </c>
      <c r="J1656" s="2305">
        <f t="shared" si="849"/>
        <v>0</v>
      </c>
      <c r="K1656" s="2306">
        <f t="shared" si="850"/>
        <v>0</v>
      </c>
      <c r="L1656" s="2292"/>
      <c r="M1656" s="2293"/>
    </row>
    <row r="1657" spans="1:20">
      <c r="A1657" s="1901"/>
      <c r="B1657" s="1756" t="s">
        <v>574</v>
      </c>
      <c r="C1657" s="1867" t="s">
        <v>575</v>
      </c>
      <c r="D1657" s="1868"/>
      <c r="E1657" s="2307">
        <v>0</v>
      </c>
      <c r="F1657" s="1806" t="s">
        <v>37</v>
      </c>
      <c r="G1657" s="2289">
        <v>30</v>
      </c>
      <c r="H1657" s="2303">
        <f t="shared" si="848"/>
        <v>0</v>
      </c>
      <c r="I1657" s="2304">
        <v>50</v>
      </c>
      <c r="J1657" s="2305">
        <f t="shared" si="849"/>
        <v>0</v>
      </c>
      <c r="K1657" s="2306">
        <f t="shared" si="850"/>
        <v>0</v>
      </c>
      <c r="L1657" s="2292"/>
      <c r="M1657" s="2293"/>
    </row>
    <row r="1658" spans="1:20">
      <c r="A1658" s="1901"/>
      <c r="B1658" s="1756" t="s">
        <v>576</v>
      </c>
      <c r="C1658" s="1867" t="s">
        <v>577</v>
      </c>
      <c r="D1658" s="1868"/>
      <c r="E1658" s="2307">
        <v>1013</v>
      </c>
      <c r="F1658" s="1806" t="s">
        <v>37</v>
      </c>
      <c r="G1658" s="2289">
        <v>30</v>
      </c>
      <c r="H1658" s="2303">
        <f t="shared" si="848"/>
        <v>30390</v>
      </c>
      <c r="I1658" s="2304">
        <v>50</v>
      </c>
      <c r="J1658" s="2305">
        <f t="shared" si="849"/>
        <v>50650</v>
      </c>
      <c r="K1658" s="2306">
        <f t="shared" si="850"/>
        <v>81040</v>
      </c>
      <c r="L1658" s="2292"/>
      <c r="M1658" s="2293"/>
    </row>
    <row r="1659" spans="1:20">
      <c r="A1659" s="1901"/>
      <c r="B1659" s="1756" t="s">
        <v>578</v>
      </c>
      <c r="C1659" s="1867" t="s">
        <v>579</v>
      </c>
      <c r="D1659" s="1868"/>
      <c r="E1659" s="2307">
        <v>136</v>
      </c>
      <c r="F1659" s="1806" t="s">
        <v>37</v>
      </c>
      <c r="G1659" s="2289">
        <v>88</v>
      </c>
      <c r="H1659" s="2303">
        <f t="shared" si="848"/>
        <v>11968</v>
      </c>
      <c r="I1659" s="2304">
        <v>94</v>
      </c>
      <c r="J1659" s="2305">
        <f t="shared" si="849"/>
        <v>12784</v>
      </c>
      <c r="K1659" s="2306">
        <f t="shared" si="850"/>
        <v>24752</v>
      </c>
      <c r="L1659" s="2292"/>
      <c r="M1659" s="2293"/>
    </row>
    <row r="1660" spans="1:20">
      <c r="A1660" s="1901"/>
      <c r="B1660" s="1756"/>
      <c r="C1660" s="1867" t="s">
        <v>504</v>
      </c>
      <c r="D1660" s="1868"/>
      <c r="E1660" s="2307">
        <f>+E1659</f>
        <v>136</v>
      </c>
      <c r="F1660" s="1806" t="s">
        <v>37</v>
      </c>
      <c r="G1660" s="2289">
        <v>69</v>
      </c>
      <c r="H1660" s="2303">
        <f t="shared" si="848"/>
        <v>9384</v>
      </c>
      <c r="I1660" s="2304">
        <v>28</v>
      </c>
      <c r="J1660" s="2305">
        <f t="shared" si="849"/>
        <v>3808</v>
      </c>
      <c r="K1660" s="2306">
        <f t="shared" si="850"/>
        <v>13192</v>
      </c>
      <c r="L1660" s="2292"/>
      <c r="M1660" s="2293"/>
    </row>
    <row r="1661" spans="1:20">
      <c r="A1661" s="1901"/>
      <c r="B1661" s="1756" t="s">
        <v>580</v>
      </c>
      <c r="C1661" s="1867" t="s">
        <v>581</v>
      </c>
      <c r="D1661" s="1868"/>
      <c r="E1661" s="2307">
        <v>0</v>
      </c>
      <c r="F1661" s="1806" t="s">
        <v>37</v>
      </c>
      <c r="G1661" s="2289">
        <v>1900</v>
      </c>
      <c r="H1661" s="2303">
        <f t="shared" si="848"/>
        <v>0</v>
      </c>
      <c r="I1661" s="2304">
        <v>450</v>
      </c>
      <c r="J1661" s="2305">
        <f t="shared" si="849"/>
        <v>0</v>
      </c>
      <c r="K1661" s="2306">
        <f t="shared" si="850"/>
        <v>0</v>
      </c>
      <c r="L1661" s="2292"/>
      <c r="M1661" s="2293"/>
    </row>
    <row r="1662" spans="1:20">
      <c r="A1662" s="1901"/>
      <c r="B1662" s="1756"/>
      <c r="C1662" s="1867" t="s">
        <v>582</v>
      </c>
      <c r="D1662" s="1868"/>
      <c r="E1662" s="2307"/>
      <c r="F1662" s="1806"/>
      <c r="G1662" s="2289"/>
      <c r="H1662" s="2303"/>
      <c r="I1662" s="2304"/>
      <c r="J1662" s="2308"/>
      <c r="K1662" s="2289"/>
      <c r="L1662" s="2292"/>
      <c r="M1662" s="2293"/>
    </row>
    <row r="1663" spans="1:20">
      <c r="A1663" s="1901"/>
      <c r="B1663" s="1756" t="s">
        <v>583</v>
      </c>
      <c r="C1663" s="1867" t="s">
        <v>2807</v>
      </c>
      <c r="D1663" s="1868"/>
      <c r="E1663" s="2307">
        <v>0</v>
      </c>
      <c r="F1663" s="1806" t="s">
        <v>37</v>
      </c>
      <c r="G1663" s="2289">
        <v>1296</v>
      </c>
      <c r="H1663" s="2303">
        <f>E1663*G1663</f>
        <v>0</v>
      </c>
      <c r="I1663" s="2304">
        <v>1600</v>
      </c>
      <c r="J1663" s="2305">
        <f t="shared" ref="J1663" si="851">E1663*I1663</f>
        <v>0</v>
      </c>
      <c r="K1663" s="2306">
        <f>H1663+J1663</f>
        <v>0</v>
      </c>
      <c r="L1663" s="2292"/>
      <c r="M1663" s="2293"/>
    </row>
    <row r="1664" spans="1:20">
      <c r="A1664" s="1782"/>
      <c r="B1664" s="1756"/>
      <c r="C1664" s="1867" t="s">
        <v>512</v>
      </c>
      <c r="D1664" s="1895"/>
      <c r="E1664" s="2307"/>
      <c r="F1664" s="1806"/>
      <c r="G1664" s="2289"/>
      <c r="H1664" s="2303"/>
      <c r="I1664" s="2304"/>
      <c r="J1664" s="2308"/>
      <c r="K1664" s="2289"/>
      <c r="L1664" s="2292"/>
      <c r="M1664" s="2293"/>
    </row>
    <row r="1665" spans="1:24" ht="24" customHeight="1">
      <c r="A1665" s="1782"/>
      <c r="B1665" s="1756" t="s">
        <v>584</v>
      </c>
      <c r="C1665" s="1755" t="s">
        <v>2808</v>
      </c>
      <c r="D1665" s="1909"/>
      <c r="E1665" s="2307">
        <v>0</v>
      </c>
      <c r="F1665" s="1806" t="s">
        <v>37</v>
      </c>
      <c r="G1665" s="2289">
        <v>325</v>
      </c>
      <c r="H1665" s="2303">
        <f>E1665*G1665</f>
        <v>0</v>
      </c>
      <c r="I1665" s="2304">
        <v>100</v>
      </c>
      <c r="J1665" s="2305">
        <f t="shared" ref="J1665" si="852">E1665*I1665</f>
        <v>0</v>
      </c>
      <c r="K1665" s="2306">
        <f>H1665+J1665</f>
        <v>0</v>
      </c>
      <c r="L1665" s="2292"/>
      <c r="M1665" s="2293"/>
      <c r="N1665" s="1837"/>
      <c r="O1665" s="1837"/>
      <c r="P1665" s="1837"/>
      <c r="Q1665" s="1837"/>
      <c r="R1665" s="1837"/>
      <c r="S1665" s="1837"/>
      <c r="T1665" s="1837"/>
      <c r="U1665" s="1837"/>
      <c r="V1665" s="1837"/>
      <c r="W1665" s="1837"/>
      <c r="X1665" s="1837"/>
    </row>
    <row r="1666" spans="1:24" ht="24" customHeight="1">
      <c r="A1666" s="1782"/>
      <c r="B1666" s="1756"/>
      <c r="C1666" s="1755" t="s">
        <v>585</v>
      </c>
      <c r="D1666" s="1909"/>
      <c r="E1666" s="2309"/>
      <c r="F1666" s="2275"/>
      <c r="G1666" s="2289"/>
      <c r="H1666" s="2303"/>
      <c r="I1666" s="2291"/>
      <c r="J1666" s="2308"/>
      <c r="K1666" s="2289"/>
      <c r="L1666" s="2292"/>
      <c r="M1666" s="2293"/>
      <c r="N1666" s="1837"/>
      <c r="O1666" s="1837"/>
      <c r="P1666" s="1837"/>
      <c r="Q1666" s="1837"/>
      <c r="R1666" s="1837"/>
      <c r="S1666" s="1837"/>
      <c r="T1666" s="1837"/>
      <c r="U1666" s="1837"/>
      <c r="V1666" s="1837"/>
      <c r="W1666" s="1837"/>
      <c r="X1666" s="1837"/>
    </row>
    <row r="1667" spans="1:24">
      <c r="A1667" s="1901"/>
      <c r="B1667" s="1756" t="s">
        <v>586</v>
      </c>
      <c r="C1667" s="1755" t="s">
        <v>2809</v>
      </c>
      <c r="D1667" s="1859"/>
      <c r="E1667" s="2307">
        <v>719</v>
      </c>
      <c r="F1667" s="1806" t="s">
        <v>37</v>
      </c>
      <c r="G1667" s="2289">
        <v>235</v>
      </c>
      <c r="H1667" s="2303">
        <f>E1667*G1667</f>
        <v>168965</v>
      </c>
      <c r="I1667" s="2304">
        <v>100</v>
      </c>
      <c r="J1667" s="2305">
        <f t="shared" ref="J1667" si="853">E1667*I1667</f>
        <v>71900</v>
      </c>
      <c r="K1667" s="2306">
        <f>H1667+J1667</f>
        <v>240865</v>
      </c>
      <c r="L1667" s="2292"/>
      <c r="M1667" s="2293"/>
    </row>
    <row r="1668" spans="1:24">
      <c r="A1668" s="1782"/>
      <c r="B1668" s="1755"/>
      <c r="C1668" s="1755" t="s">
        <v>585</v>
      </c>
      <c r="D1668" s="1859"/>
      <c r="E1668" s="2307"/>
      <c r="F1668" s="1806"/>
      <c r="G1668" s="2289"/>
      <c r="H1668" s="2290"/>
      <c r="I1668" s="2291"/>
      <c r="J1668" s="2308"/>
      <c r="K1668" s="2289"/>
      <c r="L1668" s="2292"/>
      <c r="M1668" s="2293"/>
      <c r="N1668" s="1797">
        <f>SUM(K1649:K1668)</f>
        <v>1072539</v>
      </c>
    </row>
    <row r="1669" spans="1:24" ht="24" customHeight="1">
      <c r="A1669" s="1933" t="s">
        <v>605</v>
      </c>
      <c r="B1669" s="1908" t="s">
        <v>464</v>
      </c>
      <c r="C1669" s="1895"/>
      <c r="D1669" s="1906"/>
      <c r="E1669" s="1852"/>
      <c r="F1669" s="1806"/>
      <c r="G1669" s="1986"/>
      <c r="H1669" s="1854"/>
      <c r="I1669" s="1893"/>
      <c r="J1669" s="1856"/>
      <c r="K1669" s="1857"/>
      <c r="L1669" s="1899"/>
      <c r="N1669" s="1837"/>
      <c r="O1669" s="1837"/>
      <c r="P1669" s="1837"/>
      <c r="Q1669" s="1837"/>
      <c r="R1669" s="1837"/>
      <c r="S1669" s="1837"/>
      <c r="T1669" s="1837"/>
      <c r="U1669" s="1837"/>
      <c r="V1669" s="1837"/>
      <c r="W1669" s="1837"/>
      <c r="X1669" s="1837"/>
    </row>
    <row r="1670" spans="1:24" ht="24" customHeight="1">
      <c r="A1670" s="1901"/>
      <c r="B1670" s="1755" t="s">
        <v>2806</v>
      </c>
      <c r="C1670" s="1980"/>
      <c r="D1670" s="1868"/>
      <c r="E1670" s="2302">
        <v>0</v>
      </c>
      <c r="F1670" s="1806" t="s">
        <v>240</v>
      </c>
      <c r="G1670" s="2289">
        <v>347</v>
      </c>
      <c r="H1670" s="2303">
        <f>E1670*G1670</f>
        <v>0</v>
      </c>
      <c r="I1670" s="2304">
        <v>75</v>
      </c>
      <c r="J1670" s="2305">
        <f>E1670*I1670</f>
        <v>0</v>
      </c>
      <c r="K1670" s="2306">
        <f>H1670+J1670</f>
        <v>0</v>
      </c>
      <c r="L1670" s="2292"/>
      <c r="M1670" s="2293"/>
      <c r="N1670" s="1837"/>
      <c r="O1670" s="1837"/>
      <c r="P1670" s="1837"/>
      <c r="Q1670" s="1837"/>
      <c r="R1670" s="1837"/>
      <c r="S1670" s="1837"/>
      <c r="T1670" s="1837"/>
    </row>
    <row r="1671" spans="1:24" ht="24" customHeight="1">
      <c r="A1671" s="1901"/>
      <c r="B1671" s="1756" t="s">
        <v>565</v>
      </c>
      <c r="C1671" s="1981" t="s">
        <v>566</v>
      </c>
      <c r="D1671" s="1868"/>
      <c r="E1671" s="2307">
        <v>0</v>
      </c>
      <c r="F1671" s="1806" t="s">
        <v>37</v>
      </c>
      <c r="G1671" s="2289">
        <v>0</v>
      </c>
      <c r="H1671" s="2303">
        <f t="shared" ref="H1671:H1681" si="854">E1671*G1671</f>
        <v>0</v>
      </c>
      <c r="I1671" s="2304">
        <v>0</v>
      </c>
      <c r="J1671" s="2305">
        <f t="shared" ref="J1671:J1681" si="855">E1671*I1671</f>
        <v>0</v>
      </c>
      <c r="K1671" s="2306">
        <f t="shared" ref="K1671:K1681" si="856">H1671+J1671</f>
        <v>0</v>
      </c>
      <c r="L1671" s="2292"/>
      <c r="M1671" s="2293"/>
      <c r="N1671" s="1837"/>
      <c r="O1671" s="1837"/>
      <c r="P1671" s="1837"/>
      <c r="Q1671" s="1837"/>
      <c r="R1671" s="1837"/>
      <c r="S1671" s="1837"/>
      <c r="T1671" s="1837"/>
    </row>
    <row r="1672" spans="1:24">
      <c r="A1672" s="1901"/>
      <c r="B1672" s="1756" t="s">
        <v>567</v>
      </c>
      <c r="C1672" s="1982" t="s">
        <v>568</v>
      </c>
      <c r="D1672" s="1868"/>
      <c r="E1672" s="2307">
        <v>0</v>
      </c>
      <c r="F1672" s="1806" t="s">
        <v>37</v>
      </c>
      <c r="G1672" s="2289">
        <v>169</v>
      </c>
      <c r="H1672" s="2303">
        <f t="shared" si="854"/>
        <v>0</v>
      </c>
      <c r="I1672" s="2304">
        <v>75</v>
      </c>
      <c r="J1672" s="2305">
        <f t="shared" si="855"/>
        <v>0</v>
      </c>
      <c r="K1672" s="2306">
        <f t="shared" si="856"/>
        <v>0</v>
      </c>
      <c r="L1672" s="2292"/>
      <c r="M1672" s="2293"/>
    </row>
    <row r="1673" spans="1:24">
      <c r="A1673" s="1901"/>
      <c r="B1673" s="1756"/>
      <c r="C1673" s="1982" t="s">
        <v>569</v>
      </c>
      <c r="D1673" s="1868"/>
      <c r="E1673" s="2307">
        <f>+E1672</f>
        <v>0</v>
      </c>
      <c r="F1673" s="1806" t="s">
        <v>37</v>
      </c>
      <c r="G1673" s="2289">
        <v>69</v>
      </c>
      <c r="H1673" s="2303">
        <f t="shared" si="854"/>
        <v>0</v>
      </c>
      <c r="I1673" s="2304">
        <v>28</v>
      </c>
      <c r="J1673" s="2305">
        <f t="shared" si="855"/>
        <v>0</v>
      </c>
      <c r="K1673" s="2306">
        <f t="shared" si="856"/>
        <v>0</v>
      </c>
      <c r="L1673" s="2292"/>
      <c r="M1673" s="2293"/>
    </row>
    <row r="1674" spans="1:24">
      <c r="A1674" s="1901"/>
      <c r="B1674" s="1756" t="s">
        <v>570</v>
      </c>
      <c r="C1674" s="1867" t="s">
        <v>571</v>
      </c>
      <c r="D1674" s="1868"/>
      <c r="E1674" s="2307">
        <v>0</v>
      </c>
      <c r="F1674" s="1806" t="s">
        <v>37</v>
      </c>
      <c r="G1674" s="2289">
        <v>192</v>
      </c>
      <c r="H1674" s="2303">
        <f t="shared" si="854"/>
        <v>0</v>
      </c>
      <c r="I1674" s="2304">
        <v>75</v>
      </c>
      <c r="J1674" s="2305">
        <f t="shared" si="855"/>
        <v>0</v>
      </c>
      <c r="K1674" s="2306">
        <f t="shared" si="856"/>
        <v>0</v>
      </c>
      <c r="L1674" s="2292"/>
      <c r="M1674" s="2293"/>
    </row>
    <row r="1675" spans="1:24">
      <c r="A1675" s="1901"/>
      <c r="B1675" s="1756"/>
      <c r="C1675" s="1982" t="s">
        <v>569</v>
      </c>
      <c r="D1675" s="1868"/>
      <c r="E1675" s="2307">
        <f>+E1674</f>
        <v>0</v>
      </c>
      <c r="F1675" s="1806" t="s">
        <v>37</v>
      </c>
      <c r="G1675" s="2289">
        <v>69</v>
      </c>
      <c r="H1675" s="2303">
        <f t="shared" si="854"/>
        <v>0</v>
      </c>
      <c r="I1675" s="2304">
        <v>28</v>
      </c>
      <c r="J1675" s="2305">
        <f t="shared" si="855"/>
        <v>0</v>
      </c>
      <c r="K1675" s="2306">
        <f t="shared" si="856"/>
        <v>0</v>
      </c>
      <c r="L1675" s="2292"/>
      <c r="M1675" s="2293"/>
    </row>
    <row r="1676" spans="1:24">
      <c r="A1676" s="1901"/>
      <c r="B1676" s="1756" t="s">
        <v>572</v>
      </c>
      <c r="C1676" s="1867" t="s">
        <v>573</v>
      </c>
      <c r="D1676" s="1868"/>
      <c r="E1676" s="2307">
        <v>0</v>
      </c>
      <c r="F1676" s="1806" t="s">
        <v>37</v>
      </c>
      <c r="G1676" s="2289">
        <v>650</v>
      </c>
      <c r="H1676" s="2303">
        <f t="shared" si="854"/>
        <v>0</v>
      </c>
      <c r="I1676" s="2304">
        <v>52</v>
      </c>
      <c r="J1676" s="2305">
        <f t="shared" si="855"/>
        <v>0</v>
      </c>
      <c r="K1676" s="2306">
        <f t="shared" si="856"/>
        <v>0</v>
      </c>
      <c r="L1676" s="2292"/>
      <c r="M1676" s="2293"/>
    </row>
    <row r="1677" spans="1:24">
      <c r="A1677" s="1901"/>
      <c r="B1677" s="1756" t="s">
        <v>574</v>
      </c>
      <c r="C1677" s="1867" t="s">
        <v>575</v>
      </c>
      <c r="D1677" s="1868"/>
      <c r="E1677" s="2307">
        <v>0</v>
      </c>
      <c r="F1677" s="1806" t="s">
        <v>37</v>
      </c>
      <c r="G1677" s="2289">
        <v>30</v>
      </c>
      <c r="H1677" s="2303">
        <f t="shared" si="854"/>
        <v>0</v>
      </c>
      <c r="I1677" s="2304">
        <v>50</v>
      </c>
      <c r="J1677" s="2305">
        <f t="shared" si="855"/>
        <v>0</v>
      </c>
      <c r="K1677" s="2306">
        <f t="shared" si="856"/>
        <v>0</v>
      </c>
      <c r="L1677" s="2292"/>
      <c r="M1677" s="2293"/>
    </row>
    <row r="1678" spans="1:24">
      <c r="A1678" s="1901"/>
      <c r="B1678" s="1756" t="s">
        <v>576</v>
      </c>
      <c r="C1678" s="1867" t="s">
        <v>577</v>
      </c>
      <c r="D1678" s="1868"/>
      <c r="E1678" s="2307">
        <v>0</v>
      </c>
      <c r="F1678" s="1806" t="s">
        <v>37</v>
      </c>
      <c r="G1678" s="2289">
        <v>30</v>
      </c>
      <c r="H1678" s="2303">
        <f t="shared" si="854"/>
        <v>0</v>
      </c>
      <c r="I1678" s="2304">
        <v>50</v>
      </c>
      <c r="J1678" s="2305">
        <f t="shared" si="855"/>
        <v>0</v>
      </c>
      <c r="K1678" s="2306">
        <f t="shared" si="856"/>
        <v>0</v>
      </c>
      <c r="L1678" s="2292"/>
      <c r="M1678" s="2293"/>
    </row>
    <row r="1679" spans="1:24">
      <c r="A1679" s="1901"/>
      <c r="B1679" s="1756" t="s">
        <v>578</v>
      </c>
      <c r="C1679" s="1867" t="s">
        <v>579</v>
      </c>
      <c r="D1679" s="1868"/>
      <c r="E1679" s="2307">
        <v>145</v>
      </c>
      <c r="F1679" s="1806" t="s">
        <v>37</v>
      </c>
      <c r="G1679" s="2289">
        <v>88</v>
      </c>
      <c r="H1679" s="2303">
        <f t="shared" si="854"/>
        <v>12760</v>
      </c>
      <c r="I1679" s="2304">
        <v>94</v>
      </c>
      <c r="J1679" s="2305">
        <f t="shared" si="855"/>
        <v>13630</v>
      </c>
      <c r="K1679" s="2306">
        <f t="shared" si="856"/>
        <v>26390</v>
      </c>
      <c r="L1679" s="2292"/>
      <c r="M1679" s="2293"/>
    </row>
    <row r="1680" spans="1:24">
      <c r="A1680" s="1901"/>
      <c r="B1680" s="1756"/>
      <c r="C1680" s="1867" t="s">
        <v>504</v>
      </c>
      <c r="D1680" s="1868"/>
      <c r="E1680" s="2307">
        <f>+E1679</f>
        <v>145</v>
      </c>
      <c r="F1680" s="1806" t="s">
        <v>37</v>
      </c>
      <c r="G1680" s="2289">
        <v>69</v>
      </c>
      <c r="H1680" s="2303">
        <f t="shared" si="854"/>
        <v>10005</v>
      </c>
      <c r="I1680" s="2304">
        <v>28</v>
      </c>
      <c r="J1680" s="2305">
        <f t="shared" si="855"/>
        <v>4060</v>
      </c>
      <c r="K1680" s="2306">
        <f t="shared" si="856"/>
        <v>14065</v>
      </c>
      <c r="L1680" s="2292"/>
      <c r="M1680" s="2293"/>
    </row>
    <row r="1681" spans="1:26">
      <c r="A1681" s="1901"/>
      <c r="B1681" s="1756" t="s">
        <v>580</v>
      </c>
      <c r="C1681" s="1867" t="s">
        <v>581</v>
      </c>
      <c r="D1681" s="1868"/>
      <c r="E1681" s="2307">
        <v>0</v>
      </c>
      <c r="F1681" s="1806" t="s">
        <v>37</v>
      </c>
      <c r="G1681" s="2289">
        <v>1900</v>
      </c>
      <c r="H1681" s="2303">
        <f t="shared" si="854"/>
        <v>0</v>
      </c>
      <c r="I1681" s="2304">
        <v>450</v>
      </c>
      <c r="J1681" s="2305">
        <f t="shared" si="855"/>
        <v>0</v>
      </c>
      <c r="K1681" s="2306">
        <f t="shared" si="856"/>
        <v>0</v>
      </c>
      <c r="L1681" s="2292"/>
      <c r="M1681" s="2293"/>
    </row>
    <row r="1682" spans="1:26">
      <c r="A1682" s="1901"/>
      <c r="B1682" s="1756"/>
      <c r="C1682" s="1867" t="s">
        <v>582</v>
      </c>
      <c r="D1682" s="1868"/>
      <c r="E1682" s="2307"/>
      <c r="F1682" s="1806"/>
      <c r="G1682" s="2289"/>
      <c r="H1682" s="2303"/>
      <c r="I1682" s="2304"/>
      <c r="J1682" s="2308"/>
      <c r="K1682" s="2289"/>
      <c r="L1682" s="2292"/>
      <c r="M1682" s="2293"/>
    </row>
    <row r="1683" spans="1:26">
      <c r="A1683" s="1901"/>
      <c r="B1683" s="1756" t="s">
        <v>583</v>
      </c>
      <c r="C1683" s="1867" t="s">
        <v>2807</v>
      </c>
      <c r="D1683" s="1868"/>
      <c r="E1683" s="2307">
        <v>0</v>
      </c>
      <c r="F1683" s="1806" t="s">
        <v>37</v>
      </c>
      <c r="G1683" s="2289">
        <v>1296</v>
      </c>
      <c r="H1683" s="2303">
        <f>E1683*G1683</f>
        <v>0</v>
      </c>
      <c r="I1683" s="2304">
        <v>1600</v>
      </c>
      <c r="J1683" s="2305">
        <f t="shared" ref="J1683" si="857">E1683*I1683</f>
        <v>0</v>
      </c>
      <c r="K1683" s="2306">
        <f>H1683+J1683</f>
        <v>0</v>
      </c>
      <c r="L1683" s="2292"/>
      <c r="M1683" s="2293"/>
    </row>
    <row r="1684" spans="1:26">
      <c r="A1684" s="1901"/>
      <c r="B1684" s="1756"/>
      <c r="C1684" s="1867" t="s">
        <v>512</v>
      </c>
      <c r="D1684" s="1895"/>
      <c r="E1684" s="2307"/>
      <c r="F1684" s="1806"/>
      <c r="G1684" s="2289"/>
      <c r="H1684" s="2303"/>
      <c r="I1684" s="2304"/>
      <c r="J1684" s="2308"/>
      <c r="K1684" s="2289"/>
      <c r="L1684" s="2292"/>
      <c r="M1684" s="2293"/>
    </row>
    <row r="1685" spans="1:26" ht="24" customHeight="1">
      <c r="A1685" s="1901"/>
      <c r="B1685" s="1756" t="s">
        <v>584</v>
      </c>
      <c r="C1685" s="1755" t="s">
        <v>2808</v>
      </c>
      <c r="D1685" s="1909"/>
      <c r="E1685" s="2307">
        <v>0</v>
      </c>
      <c r="F1685" s="1806" t="s">
        <v>37</v>
      </c>
      <c r="G1685" s="2289">
        <v>325</v>
      </c>
      <c r="H1685" s="2303">
        <f>E1685*G1685</f>
        <v>0</v>
      </c>
      <c r="I1685" s="2304">
        <v>100</v>
      </c>
      <c r="J1685" s="2305">
        <f t="shared" ref="J1685" si="858">E1685*I1685</f>
        <v>0</v>
      </c>
      <c r="K1685" s="2306">
        <f>H1685+J1685</f>
        <v>0</v>
      </c>
      <c r="L1685" s="2292"/>
      <c r="M1685" s="2293"/>
      <c r="N1685" s="1837"/>
      <c r="O1685" s="1837"/>
      <c r="P1685" s="1837"/>
      <c r="Q1685" s="1837"/>
      <c r="R1685" s="1837"/>
      <c r="S1685" s="1837"/>
      <c r="T1685" s="1837"/>
      <c r="U1685" s="1837"/>
      <c r="V1685" s="1837"/>
      <c r="W1685" s="1837"/>
      <c r="X1685" s="1837"/>
    </row>
    <row r="1686" spans="1:26" ht="24" customHeight="1">
      <c r="A1686" s="1901"/>
      <c r="B1686" s="1756"/>
      <c r="C1686" s="1755" t="s">
        <v>585</v>
      </c>
      <c r="D1686" s="1909"/>
      <c r="E1686" s="2309"/>
      <c r="F1686" s="2275"/>
      <c r="G1686" s="2289"/>
      <c r="H1686" s="2303"/>
      <c r="I1686" s="2291"/>
      <c r="J1686" s="2308"/>
      <c r="K1686" s="2289"/>
      <c r="L1686" s="2292"/>
      <c r="M1686" s="2293"/>
      <c r="N1686" s="1837"/>
      <c r="O1686" s="1837"/>
      <c r="P1686" s="1837"/>
      <c r="Q1686" s="1837"/>
      <c r="R1686" s="1837"/>
      <c r="S1686" s="1837"/>
      <c r="T1686" s="1837"/>
      <c r="U1686" s="1837"/>
      <c r="V1686" s="1837"/>
      <c r="W1686" s="1837"/>
      <c r="X1686" s="1837"/>
    </row>
    <row r="1687" spans="1:26">
      <c r="A1687" s="1901"/>
      <c r="B1687" s="1756" t="s">
        <v>586</v>
      </c>
      <c r="C1687" s="1867" t="s">
        <v>2809</v>
      </c>
      <c r="D1687" s="1868"/>
      <c r="E1687" s="2307">
        <v>0</v>
      </c>
      <c r="F1687" s="1806" t="s">
        <v>37</v>
      </c>
      <c r="G1687" s="2289">
        <v>235</v>
      </c>
      <c r="H1687" s="2303">
        <f>E1687*G1687</f>
        <v>0</v>
      </c>
      <c r="I1687" s="2304">
        <v>100</v>
      </c>
      <c r="J1687" s="2305">
        <f t="shared" ref="J1687" si="859">E1687*I1687</f>
        <v>0</v>
      </c>
      <c r="K1687" s="2306">
        <f>H1687+J1687</f>
        <v>0</v>
      </c>
      <c r="L1687" s="2292"/>
      <c r="M1687" s="2293"/>
    </row>
    <row r="1688" spans="1:26">
      <c r="A1688" s="1901"/>
      <c r="B1688" s="1756"/>
      <c r="C1688" s="1867" t="s">
        <v>585</v>
      </c>
      <c r="D1688" s="1868"/>
      <c r="E1688" s="2307"/>
      <c r="F1688" s="1806"/>
      <c r="G1688" s="2289"/>
      <c r="H1688" s="2303"/>
      <c r="I1688" s="2304"/>
      <c r="J1688" s="2308"/>
      <c r="K1688" s="2289"/>
      <c r="L1688" s="2292"/>
      <c r="M1688" s="2293"/>
      <c r="N1688" s="1797">
        <f>SUM(K1670:K1688)</f>
        <v>40455</v>
      </c>
    </row>
    <row r="1689" spans="1:26">
      <c r="A1689" s="1901"/>
      <c r="B1689" s="1811"/>
      <c r="C1689" s="1755"/>
      <c r="D1689" s="1988"/>
      <c r="E1689" s="2309"/>
      <c r="F1689" s="2275"/>
      <c r="G1689" s="2289"/>
      <c r="H1689" s="2303"/>
      <c r="I1689" s="2291"/>
      <c r="J1689" s="2308"/>
      <c r="K1689" s="2289"/>
      <c r="L1689" s="2292"/>
      <c r="M1689" s="2293"/>
    </row>
    <row r="1690" spans="1:26">
      <c r="A1690" s="1901"/>
      <c r="B1690" s="1811"/>
      <c r="C1690" s="1755"/>
      <c r="D1690" s="1961"/>
      <c r="E1690" s="2307"/>
      <c r="F1690" s="1806"/>
      <c r="G1690" s="2289"/>
      <c r="H1690" s="2303"/>
      <c r="I1690" s="2304"/>
      <c r="J1690" s="2305"/>
      <c r="K1690" s="2306"/>
      <c r="L1690" s="2292"/>
      <c r="M1690" s="2293"/>
    </row>
    <row r="1691" spans="1:26" ht="24" customHeight="1">
      <c r="A1691" s="1901"/>
      <c r="B1691" s="1989"/>
      <c r="C1691" s="1971"/>
      <c r="D1691" s="1972"/>
      <c r="E1691" s="2307"/>
      <c r="F1691" s="1806"/>
      <c r="G1691" s="2289"/>
      <c r="H1691" s="2303"/>
      <c r="I1691" s="2304"/>
      <c r="J1691" s="2308"/>
      <c r="K1691" s="2289"/>
      <c r="L1691" s="2292"/>
      <c r="N1691" s="1837"/>
      <c r="O1691" s="1837"/>
      <c r="P1691" s="1837"/>
      <c r="Q1691" s="1837"/>
      <c r="R1691" s="1837"/>
      <c r="S1691" s="1837"/>
      <c r="T1691" s="1837"/>
      <c r="U1691" s="1837"/>
      <c r="V1691" s="1837"/>
      <c r="W1691" s="1837"/>
      <c r="X1691" s="1837"/>
    </row>
    <row r="1692" spans="1:26" ht="24" customHeight="1">
      <c r="A1692" s="1973"/>
      <c r="B1692" s="2449" t="str">
        <f>"รวมราคารายการที่ "&amp;A1463</f>
        <v>รวมราคารายการที่ 2.3</v>
      </c>
      <c r="C1692" s="2449"/>
      <c r="D1692" s="2449"/>
      <c r="E1692" s="1974"/>
      <c r="F1692" s="1932"/>
      <c r="G1692" s="1975"/>
      <c r="H1692" s="1976">
        <f>SUBTOTAL(9,H1463:H1691)</f>
        <v>4322703</v>
      </c>
      <c r="I1692" s="1930"/>
      <c r="J1692" s="1976">
        <f>SUBTOTAL(9,J1463:J1691)</f>
        <v>3690674</v>
      </c>
      <c r="K1692" s="1932">
        <f>SUBTOTAL(9,K1463:K1691)</f>
        <v>8013377</v>
      </c>
      <c r="L1692" s="1932"/>
      <c r="M1692" s="1990"/>
      <c r="N1692" s="1837"/>
      <c r="O1692" s="1837"/>
      <c r="P1692" s="1837"/>
      <c r="Q1692" s="1837"/>
      <c r="R1692" s="1837"/>
      <c r="S1692" s="1837"/>
      <c r="T1692" s="1837"/>
      <c r="U1692" s="1837"/>
      <c r="V1692" s="1837"/>
      <c r="W1692" s="1837"/>
      <c r="X1692" s="1837"/>
    </row>
    <row r="1693" spans="1:26" ht="24" customHeight="1">
      <c r="A1693" s="1933">
        <v>2.4</v>
      </c>
      <c r="B1693" s="1991" t="s">
        <v>606</v>
      </c>
      <c r="C1693" s="1840"/>
      <c r="D1693" s="1915"/>
      <c r="E1693" s="1842"/>
      <c r="F1693" s="1898"/>
      <c r="G1693" s="1843"/>
      <c r="H1693" s="1854"/>
      <c r="I1693" s="1845"/>
      <c r="J1693" s="1856"/>
      <c r="K1693" s="1857"/>
      <c r="L1693" s="1847"/>
      <c r="M1693" s="1809"/>
      <c r="N1693" s="1837"/>
      <c r="O1693" s="1837"/>
      <c r="P1693" s="1837"/>
      <c r="Q1693" s="1837"/>
      <c r="R1693" s="1837"/>
      <c r="S1693" s="1837"/>
      <c r="T1693" s="1837"/>
      <c r="U1693" s="1837"/>
      <c r="V1693" s="1837"/>
      <c r="W1693" s="1837"/>
      <c r="X1693" s="1837"/>
    </row>
    <row r="1694" spans="1:26" ht="24" customHeight="1">
      <c r="A1694" s="1782" t="s">
        <v>607</v>
      </c>
      <c r="B1694" s="1992" t="s">
        <v>608</v>
      </c>
      <c r="C1694" s="1895"/>
      <c r="D1694" s="1915"/>
      <c r="E1694" s="1842"/>
      <c r="F1694" s="1898"/>
      <c r="G1694" s="1843"/>
      <c r="H1694" s="1854"/>
      <c r="I1694" s="1845"/>
      <c r="J1694" s="1856"/>
      <c r="K1694" s="1857"/>
      <c r="L1694" s="1847"/>
      <c r="N1694" s="1837"/>
      <c r="O1694" s="1993" t="s">
        <v>609</v>
      </c>
      <c r="P1694" s="1994" t="s">
        <v>610</v>
      </c>
      <c r="Q1694" s="1994"/>
      <c r="R1694" s="1995"/>
      <c r="S1694" s="1996">
        <v>4408</v>
      </c>
      <c r="T1694" s="1997" t="s">
        <v>37</v>
      </c>
      <c r="U1694" s="2000">
        <v>300</v>
      </c>
      <c r="V1694" s="1998">
        <v>1090</v>
      </c>
      <c r="W1694" s="1999">
        <f>S1694*V1694</f>
        <v>4804720</v>
      </c>
      <c r="X1694" s="2000">
        <v>300</v>
      </c>
      <c r="Y1694" s="2001">
        <f>S1694*X1694</f>
        <v>1322400</v>
      </c>
      <c r="Z1694" s="2002">
        <f>W1694+Y1694</f>
        <v>6127120</v>
      </c>
    </row>
    <row r="1695" spans="1:26" ht="24" customHeight="1">
      <c r="A1695" s="1782"/>
      <c r="B1695" s="2003" t="s">
        <v>425</v>
      </c>
      <c r="C1695" s="1895" t="s">
        <v>610</v>
      </c>
      <c r="D1695" s="1915"/>
      <c r="E1695" s="1842">
        <v>4408</v>
      </c>
      <c r="F1695" s="1806" t="s">
        <v>37</v>
      </c>
      <c r="G1695" s="1843">
        <v>1090</v>
      </c>
      <c r="H1695" s="1854">
        <f>E1695*G1695</f>
        <v>4804720</v>
      </c>
      <c r="I1695" s="1893">
        <v>300</v>
      </c>
      <c r="J1695" s="1856">
        <f>E1695*I1695</f>
        <v>1322400</v>
      </c>
      <c r="K1695" s="1857">
        <f>H1695+J1695</f>
        <v>6127120</v>
      </c>
      <c r="L1695" s="1847"/>
      <c r="M1695" s="2004">
        <v>6127120</v>
      </c>
      <c r="N1695" s="1837"/>
      <c r="O1695" s="1993"/>
      <c r="P1695" s="1994" t="s">
        <v>611</v>
      </c>
      <c r="Q1695" s="1994"/>
      <c r="R1695" s="1995"/>
      <c r="S1695" s="1996"/>
      <c r="T1695" s="1997"/>
      <c r="U1695" s="2005"/>
      <c r="V1695" s="1998"/>
      <c r="W1695" s="1999"/>
      <c r="X1695" s="2005"/>
      <c r="Y1695" s="2001"/>
      <c r="Z1695" s="2002"/>
    </row>
    <row r="1696" spans="1:26" ht="24" customHeight="1">
      <c r="A1696" s="1782"/>
      <c r="B1696" s="2003"/>
      <c r="C1696" s="1895" t="s">
        <v>2810</v>
      </c>
      <c r="D1696" s="1915"/>
      <c r="E1696" s="1842"/>
      <c r="F1696" s="1806"/>
      <c r="G1696" s="1843"/>
      <c r="H1696" s="1854"/>
      <c r="I1696" s="2006"/>
      <c r="J1696" s="1856"/>
      <c r="K1696" s="1857">
        <f t="shared" ref="K1696:K1715" si="860">H1696+J1696</f>
        <v>0</v>
      </c>
      <c r="L1696" s="1847"/>
      <c r="M1696" s="1809"/>
      <c r="N1696" s="1837"/>
      <c r="O1696" s="1993" t="s">
        <v>609</v>
      </c>
      <c r="P1696" s="1994" t="s">
        <v>612</v>
      </c>
      <c r="Q1696" s="1994"/>
      <c r="R1696" s="1995"/>
      <c r="S1696" s="1996">
        <v>4408</v>
      </c>
      <c r="T1696" s="1997" t="s">
        <v>37</v>
      </c>
      <c r="U1696" s="2000">
        <v>100</v>
      </c>
      <c r="V1696" s="1998">
        <v>580</v>
      </c>
      <c r="W1696" s="1999">
        <f>S1696*V1696</f>
        <v>2556640</v>
      </c>
      <c r="X1696" s="2000">
        <v>100</v>
      </c>
      <c r="Y1696" s="2001">
        <f>S1696*X1696</f>
        <v>440800</v>
      </c>
      <c r="Z1696" s="2002">
        <f>W1696+Y1696</f>
        <v>2997440</v>
      </c>
    </row>
    <row r="1697" spans="1:26" ht="24" customHeight="1">
      <c r="A1697" s="1782"/>
      <c r="B1697" s="2003" t="s">
        <v>425</v>
      </c>
      <c r="C1697" s="1895" t="s">
        <v>2811</v>
      </c>
      <c r="D1697" s="1915"/>
      <c r="E1697" s="1842">
        <v>4408</v>
      </c>
      <c r="F1697" s="1806" t="s">
        <v>37</v>
      </c>
      <c r="G1697" s="1843">
        <v>580</v>
      </c>
      <c r="H1697" s="1854">
        <f>E1697*G1697</f>
        <v>2556640</v>
      </c>
      <c r="I1697" s="1893">
        <v>100</v>
      </c>
      <c r="J1697" s="1856">
        <f>E1697*I1697</f>
        <v>440800</v>
      </c>
      <c r="K1697" s="1857">
        <f t="shared" si="860"/>
        <v>2997440</v>
      </c>
      <c r="L1697" s="1847"/>
      <c r="M1697" s="1809">
        <v>2997440</v>
      </c>
      <c r="N1697" s="1837"/>
      <c r="O1697" s="1993"/>
      <c r="P1697" s="1994" t="s">
        <v>613</v>
      </c>
      <c r="Q1697" s="1994"/>
      <c r="R1697" s="1995"/>
      <c r="S1697" s="1996"/>
      <c r="T1697" s="2007"/>
      <c r="U1697" s="2008"/>
      <c r="V1697" s="1998"/>
      <c r="W1697" s="1999"/>
      <c r="X1697" s="2008"/>
      <c r="Y1697" s="2001"/>
      <c r="Z1697" s="2002"/>
    </row>
    <row r="1698" spans="1:26" ht="24" customHeight="1">
      <c r="A1698" s="1782"/>
      <c r="B1698" s="2003"/>
      <c r="C1698" s="1895" t="s">
        <v>2812</v>
      </c>
      <c r="D1698" s="1915"/>
      <c r="E1698" s="1842"/>
      <c r="F1698" s="1898"/>
      <c r="G1698" s="1843"/>
      <c r="H1698" s="1854"/>
      <c r="I1698" s="1845"/>
      <c r="J1698" s="1856"/>
      <c r="K1698" s="1857">
        <f t="shared" si="860"/>
        <v>0</v>
      </c>
      <c r="L1698" s="1847"/>
      <c r="M1698" s="1809"/>
      <c r="N1698" s="1837"/>
      <c r="O1698" s="2009"/>
      <c r="P1698" s="2010" t="s">
        <v>614</v>
      </c>
      <c r="Q1698" s="2010"/>
      <c r="R1698" s="2011"/>
      <c r="S1698" s="2012"/>
      <c r="T1698" s="1997"/>
      <c r="U1698" s="2000"/>
      <c r="V1698" s="2013"/>
      <c r="W1698" s="1999"/>
      <c r="X1698" s="2000"/>
      <c r="Y1698" s="2001"/>
      <c r="Z1698" s="2002"/>
    </row>
    <row r="1699" spans="1:26" ht="24" customHeight="1">
      <c r="A1699" s="1901"/>
      <c r="B1699" s="1756"/>
      <c r="C1699" s="2014" t="s">
        <v>614</v>
      </c>
      <c r="D1699" s="1963"/>
      <c r="E1699" s="1852"/>
      <c r="F1699" s="1806"/>
      <c r="G1699" s="1986"/>
      <c r="H1699" s="1854"/>
      <c r="I1699" s="1893"/>
      <c r="J1699" s="1856"/>
      <c r="K1699" s="1857">
        <f t="shared" si="860"/>
        <v>0</v>
      </c>
      <c r="L1699" s="2015"/>
      <c r="M1699" s="2016"/>
      <c r="N1699" s="1837"/>
      <c r="O1699" s="1993" t="s">
        <v>609</v>
      </c>
      <c r="P1699" s="1994" t="s">
        <v>2813</v>
      </c>
      <c r="Q1699" s="1994"/>
      <c r="R1699" s="1995"/>
      <c r="S1699" s="1996">
        <v>4408</v>
      </c>
      <c r="T1699" s="1997" t="s">
        <v>37</v>
      </c>
      <c r="U1699" s="2000">
        <v>45</v>
      </c>
      <c r="V1699" s="2017">
        <v>90</v>
      </c>
      <c r="W1699" s="1999">
        <f>S1699*V1699</f>
        <v>396720</v>
      </c>
      <c r="X1699" s="2000">
        <v>45</v>
      </c>
      <c r="Y1699" s="2001">
        <f>S1699*X1699</f>
        <v>198360</v>
      </c>
      <c r="Z1699" s="2002">
        <f>W1699+Y1699</f>
        <v>595080</v>
      </c>
    </row>
    <row r="1700" spans="1:26" ht="24" customHeight="1">
      <c r="A1700" s="1782"/>
      <c r="B1700" s="2003" t="s">
        <v>425</v>
      </c>
      <c r="C1700" s="1895" t="s">
        <v>928</v>
      </c>
      <c r="D1700" s="1915"/>
      <c r="E1700" s="1842">
        <v>4408</v>
      </c>
      <c r="F1700" s="1806" t="s">
        <v>37</v>
      </c>
      <c r="G1700" s="2018">
        <v>90</v>
      </c>
      <c r="H1700" s="1854">
        <f>E1700*G1700</f>
        <v>396720</v>
      </c>
      <c r="I1700" s="1893">
        <v>45</v>
      </c>
      <c r="J1700" s="1856">
        <f>E1700*I1700</f>
        <v>198360</v>
      </c>
      <c r="K1700" s="1857">
        <f t="shared" si="860"/>
        <v>595080</v>
      </c>
      <c r="L1700" s="1899"/>
      <c r="M1700" s="2004">
        <v>595080</v>
      </c>
      <c r="N1700" s="2019"/>
      <c r="O1700" s="1993" t="s">
        <v>609</v>
      </c>
      <c r="P1700" s="1994" t="s">
        <v>615</v>
      </c>
      <c r="Q1700" s="1994"/>
      <c r="R1700" s="1995"/>
      <c r="S1700" s="2020">
        <v>1324</v>
      </c>
      <c r="T1700" s="1997" t="s">
        <v>616</v>
      </c>
      <c r="U1700" s="2000">
        <v>150</v>
      </c>
      <c r="V1700" s="1998">
        <v>650</v>
      </c>
      <c r="W1700" s="1999">
        <f>S1700*V1700</f>
        <v>860600</v>
      </c>
      <c r="X1700" s="2000">
        <v>150</v>
      </c>
      <c r="Y1700" s="2001">
        <f>S1700*X1700</f>
        <v>198600</v>
      </c>
      <c r="Z1700" s="2002">
        <f>W1700+Y1700</f>
        <v>1059200</v>
      </c>
    </row>
    <row r="1701" spans="1:26" ht="24" customHeight="1">
      <c r="A1701" s="1782"/>
      <c r="B1701" s="2003" t="s">
        <v>425</v>
      </c>
      <c r="C1701" s="1895" t="s">
        <v>615</v>
      </c>
      <c r="D1701" s="1915"/>
      <c r="E1701" s="2021">
        <v>1324</v>
      </c>
      <c r="F1701" s="1806" t="s">
        <v>616</v>
      </c>
      <c r="G1701" s="1843">
        <v>650</v>
      </c>
      <c r="H1701" s="1854">
        <f>E1701*G1701</f>
        <v>860600</v>
      </c>
      <c r="I1701" s="1893">
        <v>150</v>
      </c>
      <c r="J1701" s="1856">
        <f>E1701*I1701</f>
        <v>198600</v>
      </c>
      <c r="K1701" s="1857">
        <f t="shared" si="860"/>
        <v>1059200</v>
      </c>
      <c r="L1701" s="1847"/>
      <c r="M1701" s="1809">
        <v>1059200</v>
      </c>
      <c r="N1701" s="1837"/>
      <c r="O1701" s="2022" t="s">
        <v>617</v>
      </c>
      <c r="P1701" s="1994"/>
      <c r="Q1701" s="1994"/>
      <c r="R1701" s="1995"/>
      <c r="S1701" s="2020"/>
      <c r="T1701" s="1997"/>
      <c r="U1701" s="2000"/>
      <c r="V1701" s="1998"/>
      <c r="W1701" s="1999"/>
      <c r="X1701" s="2000"/>
      <c r="Y1701" s="2001"/>
      <c r="Z1701" s="2002"/>
    </row>
    <row r="1702" spans="1:26" ht="24" customHeight="1">
      <c r="A1702" s="1782"/>
      <c r="B1702" s="1992" t="s">
        <v>617</v>
      </c>
      <c r="C1702" s="1895"/>
      <c r="D1702" s="1915"/>
      <c r="E1702" s="2021"/>
      <c r="F1702" s="1806"/>
      <c r="G1702" s="1843"/>
      <c r="H1702" s="1854"/>
      <c r="I1702" s="1893"/>
      <c r="J1702" s="1856"/>
      <c r="K1702" s="1857"/>
      <c r="L1702" s="1847"/>
      <c r="M1702" s="1809"/>
      <c r="N1702" s="1837"/>
      <c r="O1702" s="1993" t="s">
        <v>618</v>
      </c>
      <c r="P1702" s="2023" t="s">
        <v>516</v>
      </c>
      <c r="Q1702" s="1879"/>
      <c r="R1702" s="2011"/>
      <c r="S1702" s="1996">
        <v>1598</v>
      </c>
      <c r="T1702" s="1997" t="s">
        <v>37</v>
      </c>
      <c r="U1702" s="2000">
        <v>550</v>
      </c>
      <c r="V1702" s="2017">
        <v>2950</v>
      </c>
      <c r="W1702" s="1999">
        <f t="shared" ref="W1702" si="861">S1702*V1702</f>
        <v>4714100</v>
      </c>
      <c r="X1702" s="2000">
        <v>550</v>
      </c>
      <c r="Y1702" s="2001">
        <f t="shared" ref="Y1702" si="862">S1702*X1702</f>
        <v>878900</v>
      </c>
      <c r="Z1702" s="2002">
        <f t="shared" ref="Z1702" si="863">W1702+Y1702</f>
        <v>5593000</v>
      </c>
    </row>
    <row r="1703" spans="1:26" ht="24" customHeight="1">
      <c r="A1703" s="1901"/>
      <c r="B1703" s="1992" t="s">
        <v>618</v>
      </c>
      <c r="C1703" s="1867" t="s">
        <v>2803</v>
      </c>
      <c r="D1703" s="1963"/>
      <c r="E1703" s="1842">
        <v>1590</v>
      </c>
      <c r="F1703" s="1806" t="s">
        <v>37</v>
      </c>
      <c r="G1703" s="2018">
        <v>2950</v>
      </c>
      <c r="H1703" s="1854">
        <f t="shared" ref="H1703" si="864">E1703*G1703</f>
        <v>4690500</v>
      </c>
      <c r="I1703" s="1893">
        <v>550</v>
      </c>
      <c r="J1703" s="1856">
        <f t="shared" ref="J1703" si="865">E1703*I1703</f>
        <v>874500</v>
      </c>
      <c r="K1703" s="1857">
        <f t="shared" si="860"/>
        <v>5565000</v>
      </c>
      <c r="L1703" s="1806"/>
      <c r="M1703" s="2024">
        <v>5593000</v>
      </c>
      <c r="N1703" s="1837"/>
      <c r="O1703" s="1993"/>
      <c r="P1703" s="1994" t="s">
        <v>517</v>
      </c>
      <c r="Q1703" s="1994"/>
      <c r="R1703" s="2025"/>
      <c r="S1703" s="1996"/>
      <c r="T1703" s="1997"/>
      <c r="U1703" s="2000"/>
      <c r="V1703" s="2026"/>
      <c r="W1703" s="1999"/>
      <c r="X1703" s="2000"/>
      <c r="Y1703" s="2001"/>
      <c r="Z1703" s="2002"/>
    </row>
    <row r="1704" spans="1:26" ht="24" customHeight="1">
      <c r="A1704" s="1782"/>
      <c r="B1704" s="1992"/>
      <c r="C1704" s="1895" t="s">
        <v>517</v>
      </c>
      <c r="D1704" s="1903"/>
      <c r="E1704" s="1842"/>
      <c r="F1704" s="1806"/>
      <c r="G1704" s="2027"/>
      <c r="H1704" s="1854"/>
      <c r="I1704" s="1893"/>
      <c r="J1704" s="1856"/>
      <c r="K1704" s="1857"/>
      <c r="L1704" s="2275"/>
      <c r="M1704" s="2024"/>
      <c r="N1704" s="1837"/>
      <c r="O1704" s="2022" t="s">
        <v>2814</v>
      </c>
      <c r="P1704" s="1994"/>
      <c r="Q1704" s="1994"/>
      <c r="R1704" s="1995"/>
      <c r="S1704" s="1996">
        <v>206</v>
      </c>
      <c r="T1704" s="1997" t="s">
        <v>616</v>
      </c>
      <c r="U1704" s="2030">
        <v>1800</v>
      </c>
      <c r="V1704" s="2028">
        <v>8000</v>
      </c>
      <c r="W1704" s="2029">
        <f>S1704*V1704</f>
        <v>1648000</v>
      </c>
      <c r="X1704" s="2030">
        <v>1800</v>
      </c>
      <c r="Y1704" s="2031">
        <f>S1704*X1704</f>
        <v>370800</v>
      </c>
      <c r="Z1704" s="2002">
        <f>W1704+Y1704</f>
        <v>2018800</v>
      </c>
    </row>
    <row r="1705" spans="1:26" ht="24" customHeight="1">
      <c r="A1705" s="1901" t="s">
        <v>619</v>
      </c>
      <c r="B1705" s="1807" t="s">
        <v>2815</v>
      </c>
      <c r="C1705" s="2014"/>
      <c r="D1705" s="1963"/>
      <c r="E1705" s="1852">
        <v>206</v>
      </c>
      <c r="F1705" s="1806" t="s">
        <v>616</v>
      </c>
      <c r="G1705" s="2018">
        <v>7500</v>
      </c>
      <c r="H1705" s="1854">
        <f>E1705*G1705</f>
        <v>1545000</v>
      </c>
      <c r="I1705" s="1893">
        <v>1800</v>
      </c>
      <c r="J1705" s="1856">
        <f>E1705*I1705</f>
        <v>370800</v>
      </c>
      <c r="K1705" s="1857">
        <f t="shared" si="860"/>
        <v>1915800</v>
      </c>
      <c r="L1705" s="2015"/>
      <c r="M1705" s="1809">
        <v>2018800</v>
      </c>
      <c r="N1705" s="2019">
        <f>M1705-K1705</f>
        <v>103000</v>
      </c>
      <c r="O1705" s="2022" t="s">
        <v>621</v>
      </c>
      <c r="P1705" s="1994"/>
      <c r="Q1705" s="1994"/>
      <c r="R1705" s="1995"/>
      <c r="S1705" s="1996">
        <v>36</v>
      </c>
      <c r="T1705" s="1997" t="s">
        <v>37</v>
      </c>
      <c r="U1705" s="2000">
        <v>300</v>
      </c>
      <c r="V1705" s="1998">
        <v>1090</v>
      </c>
      <c r="W1705" s="1999">
        <f>S1705*V1705</f>
        <v>39240</v>
      </c>
      <c r="X1705" s="2000">
        <v>300</v>
      </c>
      <c r="Y1705" s="2001">
        <f>S1705*X1705</f>
        <v>10800</v>
      </c>
      <c r="Z1705" s="2002">
        <f>W1705+Y1705</f>
        <v>50040</v>
      </c>
    </row>
    <row r="1706" spans="1:26" ht="24" customHeight="1">
      <c r="A1706" s="1782" t="s">
        <v>620</v>
      </c>
      <c r="B1706" s="1992" t="s">
        <v>621</v>
      </c>
      <c r="C1706" s="1895"/>
      <c r="D1706" s="1915"/>
      <c r="E1706" s="1842">
        <v>36</v>
      </c>
      <c r="F1706" s="1806" t="s">
        <v>37</v>
      </c>
      <c r="G1706" s="2018">
        <v>1090</v>
      </c>
      <c r="H1706" s="1854">
        <f>E1706*G1706</f>
        <v>39240</v>
      </c>
      <c r="I1706" s="1893">
        <v>300</v>
      </c>
      <c r="J1706" s="1856">
        <f>E1706*I1706</f>
        <v>10800</v>
      </c>
      <c r="K1706" s="1857">
        <f t="shared" si="860"/>
        <v>50040</v>
      </c>
      <c r="L1706" s="1899"/>
      <c r="M1706" s="1809">
        <v>50040</v>
      </c>
      <c r="N1706" s="1837"/>
      <c r="O1706" s="2022" t="s">
        <v>622</v>
      </c>
      <c r="P1706" s="1994"/>
      <c r="Q1706" s="1994"/>
      <c r="R1706" s="1995"/>
      <c r="S1706" s="1996"/>
      <c r="T1706" s="1997"/>
      <c r="U1706" s="2005"/>
      <c r="V1706" s="1998"/>
      <c r="W1706" s="1999"/>
      <c r="X1706" s="2005"/>
      <c r="Y1706" s="2001"/>
      <c r="Z1706" s="2002"/>
    </row>
    <row r="1707" spans="1:26" ht="24" customHeight="1">
      <c r="A1707" s="1782"/>
      <c r="B1707" s="1992" t="s">
        <v>622</v>
      </c>
      <c r="C1707" s="1895"/>
      <c r="D1707" s="1915"/>
      <c r="E1707" s="2021"/>
      <c r="F1707" s="1806"/>
      <c r="G1707" s="1843"/>
      <c r="H1707" s="1854"/>
      <c r="I1707" s="1893"/>
      <c r="J1707" s="1856"/>
      <c r="K1707" s="1857"/>
      <c r="L1707" s="1847"/>
      <c r="M1707" s="1809"/>
      <c r="N1707" s="1837"/>
      <c r="O1707" s="1993" t="s">
        <v>609</v>
      </c>
      <c r="P1707" s="1994" t="s">
        <v>615</v>
      </c>
      <c r="Q1707" s="1994"/>
      <c r="R1707" s="1995"/>
      <c r="S1707" s="2020">
        <v>31</v>
      </c>
      <c r="T1707" s="1997" t="s">
        <v>616</v>
      </c>
      <c r="U1707" s="2000">
        <v>150</v>
      </c>
      <c r="V1707" s="1998">
        <v>650</v>
      </c>
      <c r="W1707" s="1999">
        <f>S1707*V1707</f>
        <v>20150</v>
      </c>
      <c r="X1707" s="2000">
        <v>150</v>
      </c>
      <c r="Y1707" s="2001">
        <f>S1707*X1707</f>
        <v>4650</v>
      </c>
      <c r="Z1707" s="2002">
        <f>W1707+Y1707</f>
        <v>24800</v>
      </c>
    </row>
    <row r="1708" spans="1:26" ht="24" customHeight="1">
      <c r="A1708" s="1782"/>
      <c r="B1708" s="2003" t="s">
        <v>425</v>
      </c>
      <c r="C1708" s="1895" t="s">
        <v>615</v>
      </c>
      <c r="D1708" s="1915"/>
      <c r="E1708" s="2021">
        <v>31</v>
      </c>
      <c r="F1708" s="1806" t="s">
        <v>616</v>
      </c>
      <c r="G1708" s="1843">
        <v>650</v>
      </c>
      <c r="H1708" s="1854">
        <f>E1708*G1708</f>
        <v>20150</v>
      </c>
      <c r="I1708" s="1893">
        <v>150</v>
      </c>
      <c r="J1708" s="1856">
        <f>E1708*I1708</f>
        <v>4650</v>
      </c>
      <c r="K1708" s="1857">
        <f t="shared" si="860"/>
        <v>24800</v>
      </c>
      <c r="L1708" s="1847"/>
      <c r="M1708" s="1809">
        <v>24800</v>
      </c>
      <c r="N1708" s="1837"/>
      <c r="O1708" s="1993" t="s">
        <v>609</v>
      </c>
      <c r="P1708" s="2022" t="s">
        <v>2816</v>
      </c>
      <c r="Q1708" s="2022"/>
      <c r="R1708" s="1995"/>
      <c r="S1708" s="1996">
        <v>31</v>
      </c>
      <c r="T1708" s="1997" t="s">
        <v>616</v>
      </c>
      <c r="U1708" s="2030">
        <v>1500</v>
      </c>
      <c r="V1708" s="2028">
        <v>7500</v>
      </c>
      <c r="W1708" s="2029">
        <f>S1708*V1708</f>
        <v>232500</v>
      </c>
      <c r="X1708" s="2030">
        <v>1500</v>
      </c>
      <c r="Y1708" s="2031">
        <f>S1708*X1708</f>
        <v>46500</v>
      </c>
      <c r="Z1708" s="2032"/>
    </row>
    <row r="1709" spans="1:26" ht="24" customHeight="1">
      <c r="A1709" s="1901"/>
      <c r="B1709" s="2003" t="s">
        <v>425</v>
      </c>
      <c r="C1709" s="1807" t="s">
        <v>2817</v>
      </c>
      <c r="D1709" s="1963"/>
      <c r="E1709" s="1842">
        <v>31</v>
      </c>
      <c r="F1709" s="1806" t="s">
        <v>616</v>
      </c>
      <c r="G1709" s="1986">
        <v>8000</v>
      </c>
      <c r="H1709" s="1854">
        <f>E1709*G1709</f>
        <v>248000</v>
      </c>
      <c r="I1709" s="1893">
        <v>1800</v>
      </c>
      <c r="J1709" s="1856">
        <f>E1709*I1709</f>
        <v>55800</v>
      </c>
      <c r="K1709" s="1857">
        <f t="shared" si="860"/>
        <v>303800</v>
      </c>
      <c r="L1709" s="1806"/>
      <c r="M1709" s="1809">
        <v>279000</v>
      </c>
      <c r="N1709" s="1837">
        <f>G1709/M1709</f>
        <v>2.8673835125448029E-2</v>
      </c>
      <c r="O1709" s="1879" t="s">
        <v>510</v>
      </c>
      <c r="P1709" s="1879" t="s">
        <v>511</v>
      </c>
      <c r="Q1709" s="1879"/>
      <c r="R1709" s="1879"/>
      <c r="S1709" s="2033">
        <v>43</v>
      </c>
      <c r="T1709" s="1997" t="s">
        <v>37</v>
      </c>
      <c r="U1709" s="2034">
        <v>1600</v>
      </c>
      <c r="V1709" s="2034">
        <v>1296</v>
      </c>
      <c r="W1709" s="2035">
        <f>SUM(S1709*V1709)</f>
        <v>55728</v>
      </c>
      <c r="X1709" s="2034">
        <v>1600</v>
      </c>
      <c r="Y1709" s="2036">
        <f>S1709*X1709</f>
        <v>68800</v>
      </c>
      <c r="Z1709" s="2037">
        <f>W1709+Y1709</f>
        <v>124528</v>
      </c>
    </row>
    <row r="1710" spans="1:26">
      <c r="A1710" s="1782"/>
      <c r="B1710" s="1992" t="s">
        <v>510</v>
      </c>
      <c r="C1710" s="1895" t="s">
        <v>2802</v>
      </c>
      <c r="D1710" s="1903"/>
      <c r="E1710" s="1842">
        <v>43</v>
      </c>
      <c r="F1710" s="1806" t="s">
        <v>37</v>
      </c>
      <c r="G1710" s="2027">
        <v>1296</v>
      </c>
      <c r="H1710" s="1854">
        <f>SUM(E1710*G1710)</f>
        <v>55728</v>
      </c>
      <c r="I1710" s="1893">
        <v>1600</v>
      </c>
      <c r="J1710" s="1856">
        <f>E1710*I1710</f>
        <v>68800</v>
      </c>
      <c r="K1710" s="1857">
        <f t="shared" si="860"/>
        <v>124528</v>
      </c>
      <c r="L1710" s="2275"/>
      <c r="M1710" s="1809">
        <v>124528</v>
      </c>
      <c r="O1710" s="1879"/>
      <c r="P1710" s="1879" t="s">
        <v>512</v>
      </c>
      <c r="Q1710" s="1879"/>
      <c r="R1710" s="1879"/>
      <c r="S1710" s="2038"/>
      <c r="T1710" s="2038"/>
      <c r="U1710" s="2034"/>
      <c r="V1710" s="2034"/>
      <c r="W1710" s="2035"/>
      <c r="X1710" s="2034"/>
      <c r="Y1710" s="2036"/>
      <c r="Z1710" s="2037"/>
    </row>
    <row r="1711" spans="1:26">
      <c r="A1711" s="1901"/>
      <c r="B1711" s="1807"/>
      <c r="C1711" s="2014" t="s">
        <v>512</v>
      </c>
      <c r="D1711" s="1963"/>
      <c r="E1711" s="1852"/>
      <c r="F1711" s="1806"/>
      <c r="G1711" s="1986"/>
      <c r="H1711" s="1854"/>
      <c r="I1711" s="1893"/>
      <c r="J1711" s="1856"/>
      <c r="K1711" s="1857"/>
      <c r="L1711" s="2015"/>
      <c r="M1711" s="1941"/>
      <c r="Z1711" s="1797">
        <f>SUM(Z1694:Z1710)</f>
        <v>18590008</v>
      </c>
    </row>
    <row r="1712" spans="1:26">
      <c r="A1712" s="1782" t="s">
        <v>929</v>
      </c>
      <c r="B1712" s="1992" t="s">
        <v>930</v>
      </c>
      <c r="C1712" s="1755"/>
      <c r="D1712" s="1801"/>
      <c r="E1712" s="1842">
        <v>77</v>
      </c>
      <c r="F1712" s="1806" t="s">
        <v>37</v>
      </c>
      <c r="G1712" s="1843">
        <v>380</v>
      </c>
      <c r="H1712" s="1854">
        <f>E1712*G1712</f>
        <v>29260</v>
      </c>
      <c r="I1712" s="1893">
        <v>120</v>
      </c>
      <c r="J1712" s="1856">
        <f>E1712*I1712</f>
        <v>9240</v>
      </c>
      <c r="K1712" s="1857">
        <f t="shared" si="860"/>
        <v>38500</v>
      </c>
      <c r="L1712" s="1899"/>
      <c r="M1712" s="1941"/>
    </row>
    <row r="1713" spans="1:24">
      <c r="A1713" s="1782"/>
      <c r="B1713" s="1992" t="s">
        <v>931</v>
      </c>
      <c r="C1713" s="1895"/>
      <c r="D1713" s="1841"/>
      <c r="E1713" s="2021"/>
      <c r="F1713" s="1806"/>
      <c r="G1713" s="1843"/>
      <c r="H1713" s="1854"/>
      <c r="I1713" s="1893"/>
      <c r="J1713" s="1856"/>
      <c r="K1713" s="1857"/>
      <c r="L1713" s="1847"/>
      <c r="M1713" s="1941"/>
    </row>
    <row r="1714" spans="1:24" ht="17.649999999999999" customHeight="1">
      <c r="A1714" s="1782"/>
      <c r="B1714" s="2003" t="s">
        <v>425</v>
      </c>
      <c r="C1714" s="1895" t="s">
        <v>932</v>
      </c>
      <c r="D1714" s="1915"/>
      <c r="E1714" s="2021">
        <v>27</v>
      </c>
      <c r="F1714" s="1806" t="s">
        <v>616</v>
      </c>
      <c r="G1714" s="1843">
        <v>210</v>
      </c>
      <c r="H1714" s="1854">
        <f>E1714*G1714</f>
        <v>5670</v>
      </c>
      <c r="I1714" s="1893">
        <v>50</v>
      </c>
      <c r="J1714" s="1856">
        <f>E1714*I1714</f>
        <v>1350</v>
      </c>
      <c r="K1714" s="1857">
        <f t="shared" si="860"/>
        <v>7020</v>
      </c>
      <c r="L1714" s="1847"/>
      <c r="M1714" s="1809"/>
      <c r="N1714" s="1837"/>
      <c r="O1714" s="1837"/>
      <c r="P1714" s="1837"/>
      <c r="Q1714" s="1837"/>
      <c r="R1714" s="1837"/>
      <c r="S1714" s="1837"/>
      <c r="T1714" s="1837"/>
      <c r="U1714" s="1837"/>
      <c r="V1714" s="1837"/>
      <c r="W1714" s="1837"/>
      <c r="X1714" s="1837"/>
    </row>
    <row r="1715" spans="1:24">
      <c r="A1715" s="1782"/>
      <c r="B1715" s="2003" t="s">
        <v>425</v>
      </c>
      <c r="C1715" s="1807" t="s">
        <v>933</v>
      </c>
      <c r="D1715" s="1841"/>
      <c r="E1715" s="2021">
        <v>8.8000000000000007</v>
      </c>
      <c r="F1715" s="1806" t="s">
        <v>616</v>
      </c>
      <c r="G1715" s="2018">
        <v>2500</v>
      </c>
      <c r="H1715" s="1854">
        <f>E1715*G1715</f>
        <v>22000</v>
      </c>
      <c r="I1715" s="1893">
        <v>600</v>
      </c>
      <c r="J1715" s="1856">
        <f>E1715*I1715</f>
        <v>5280</v>
      </c>
      <c r="K1715" s="1857">
        <f t="shared" si="860"/>
        <v>27280</v>
      </c>
      <c r="L1715" s="1847"/>
      <c r="M1715" s="1941"/>
      <c r="N1715" s="2019"/>
    </row>
    <row r="1716" spans="1:24">
      <c r="A1716" s="1901"/>
      <c r="B1716" s="2198"/>
      <c r="C1716" s="1755" t="s">
        <v>934</v>
      </c>
      <c r="D1716" s="1969"/>
      <c r="E1716" s="1842"/>
      <c r="F1716" s="1806"/>
      <c r="G1716" s="2018"/>
      <c r="H1716" s="1854"/>
      <c r="I1716" s="1893"/>
      <c r="J1716" s="1856"/>
      <c r="K1716" s="1857"/>
      <c r="L1716" s="1806"/>
      <c r="M1716" s="1941"/>
    </row>
    <row r="1717" spans="1:24" ht="24" customHeight="1">
      <c r="A1717" s="1973"/>
      <c r="B1717" s="2449" t="str">
        <f>"รวมราคารายการที่ "&amp;A1693</f>
        <v>รวมราคารายการที่ 2.4</v>
      </c>
      <c r="C1717" s="2449"/>
      <c r="D1717" s="2449"/>
      <c r="E1717" s="1974"/>
      <c r="F1717" s="1932"/>
      <c r="G1717" s="1975"/>
      <c r="H1717" s="1976">
        <f>SUBTOTAL(9,H1693:H1716)</f>
        <v>15274228</v>
      </c>
      <c r="I1717" s="1930"/>
      <c r="J1717" s="2039">
        <f>SUBTOTAL(9,J1693:J1716)</f>
        <v>3561380</v>
      </c>
      <c r="K1717" s="1932">
        <f>SUBTOTAL(9,K1693:K1716)</f>
        <v>18835608</v>
      </c>
      <c r="L1717" s="1932"/>
      <c r="M1717" s="2040">
        <f>SUM(M1695:M1716)</f>
        <v>18869008</v>
      </c>
      <c r="N1717" s="2019">
        <f>M1717-K1717</f>
        <v>33400</v>
      </c>
      <c r="O1717" s="1837"/>
      <c r="P1717" s="1837"/>
      <c r="Q1717" s="1837"/>
      <c r="R1717" s="1837"/>
      <c r="S1717" s="1837"/>
      <c r="T1717" s="1837"/>
      <c r="U1717" s="1837"/>
      <c r="V1717" s="1837"/>
      <c r="W1717" s="1837"/>
      <c r="X1717" s="1837"/>
    </row>
    <row r="1718" spans="1:24" ht="24" customHeight="1">
      <c r="A1718" s="1933">
        <v>2.5</v>
      </c>
      <c r="B1718" s="1908" t="s">
        <v>623</v>
      </c>
      <c r="C1718" s="1840"/>
      <c r="D1718" s="1915"/>
      <c r="E1718" s="1842"/>
      <c r="F1718" s="1842"/>
      <c r="G1718" s="1843"/>
      <c r="H1718" s="1844"/>
      <c r="I1718" s="1845"/>
      <c r="J1718" s="1846"/>
      <c r="K1718" s="1843"/>
      <c r="L1718" s="1847"/>
      <c r="M1718" s="1809"/>
      <c r="N1718" s="1837"/>
      <c r="O1718" s="1837"/>
      <c r="P1718" s="1837"/>
      <c r="Q1718" s="1837"/>
      <c r="R1718" s="1837"/>
      <c r="S1718" s="1837"/>
      <c r="T1718" s="1837"/>
      <c r="U1718" s="1837"/>
      <c r="V1718" s="1837"/>
      <c r="W1718" s="1837"/>
      <c r="X1718" s="1837"/>
    </row>
    <row r="1719" spans="1:24" ht="24" customHeight="1">
      <c r="A1719" s="1782" t="s">
        <v>624</v>
      </c>
      <c r="B1719" s="2041" t="s">
        <v>625</v>
      </c>
      <c r="C1719" s="1840"/>
      <c r="D1719" s="1915"/>
      <c r="E1719" s="1842"/>
      <c r="F1719" s="1842"/>
      <c r="G1719" s="1843"/>
      <c r="H1719" s="1844"/>
      <c r="I1719" s="1843"/>
      <c r="J1719" s="2042"/>
      <c r="K1719" s="1843"/>
      <c r="L1719" s="2043"/>
      <c r="M1719" s="2044"/>
      <c r="N1719" s="1837"/>
      <c r="O1719" s="1837"/>
      <c r="P1719" s="1837"/>
      <c r="Q1719" s="1837"/>
      <c r="R1719" s="1837"/>
      <c r="S1719" s="1837"/>
      <c r="T1719" s="1837"/>
      <c r="U1719" s="1837"/>
      <c r="V1719" s="1837"/>
      <c r="W1719" s="1837"/>
      <c r="X1719" s="1837"/>
    </row>
    <row r="1720" spans="1:24" ht="24" customHeight="1">
      <c r="A1720" s="1933"/>
      <c r="B1720" s="2003" t="s">
        <v>626</v>
      </c>
      <c r="C1720" s="1895" t="s">
        <v>627</v>
      </c>
      <c r="D1720" s="1915"/>
      <c r="E1720" s="2045">
        <v>0</v>
      </c>
      <c r="F1720" s="1842" t="s">
        <v>240</v>
      </c>
      <c r="G1720" s="2046">
        <v>260300</v>
      </c>
      <c r="H1720" s="1854">
        <f t="shared" ref="H1720:H1728" si="866">E1720*G1720</f>
        <v>0</v>
      </c>
      <c r="I1720" s="2046">
        <v>0</v>
      </c>
      <c r="J1720" s="1854">
        <f t="shared" ref="J1720:J1728" si="867">E1720*I1720</f>
        <v>0</v>
      </c>
      <c r="K1720" s="1857">
        <f t="shared" ref="K1720:K1728" si="868">H1720+J1720</f>
        <v>0</v>
      </c>
      <c r="L1720" s="1910" t="s">
        <v>2886</v>
      </c>
      <c r="M1720" s="2047"/>
      <c r="N1720" s="1837"/>
      <c r="O1720" s="1837"/>
      <c r="P1720" s="1837"/>
      <c r="Q1720" s="1837"/>
      <c r="R1720" s="1837"/>
      <c r="S1720" s="1837"/>
      <c r="T1720" s="1837"/>
      <c r="U1720" s="1837"/>
      <c r="V1720" s="1837"/>
      <c r="W1720" s="1837"/>
      <c r="X1720" s="1837"/>
    </row>
    <row r="1721" spans="1:24" ht="24" customHeight="1">
      <c r="A1721" s="1933"/>
      <c r="B1721" s="2003" t="s">
        <v>628</v>
      </c>
      <c r="C1721" s="1895" t="s">
        <v>629</v>
      </c>
      <c r="D1721" s="1915"/>
      <c r="E1721" s="2045">
        <v>0</v>
      </c>
      <c r="F1721" s="1842" t="s">
        <v>240</v>
      </c>
      <c r="G1721" s="2046">
        <v>386900</v>
      </c>
      <c r="H1721" s="1854">
        <f t="shared" si="866"/>
        <v>0</v>
      </c>
      <c r="I1721" s="2046">
        <v>0</v>
      </c>
      <c r="J1721" s="1854">
        <f t="shared" si="867"/>
        <v>0</v>
      </c>
      <c r="K1721" s="1857">
        <f t="shared" si="868"/>
        <v>0</v>
      </c>
      <c r="L1721" s="1910" t="s">
        <v>2886</v>
      </c>
      <c r="M1721" s="2047"/>
      <c r="N1721" s="1837"/>
      <c r="O1721" s="1837"/>
      <c r="P1721" s="1837"/>
      <c r="Q1721" s="1837"/>
      <c r="R1721" s="1837"/>
      <c r="S1721" s="1837"/>
      <c r="T1721" s="1837"/>
      <c r="U1721" s="1837"/>
      <c r="V1721" s="1837"/>
      <c r="W1721" s="1837"/>
      <c r="X1721" s="1837"/>
    </row>
    <row r="1722" spans="1:24" ht="24" customHeight="1">
      <c r="A1722" s="1782"/>
      <c r="B1722" s="2003" t="s">
        <v>630</v>
      </c>
      <c r="C1722" s="1895" t="s">
        <v>2818</v>
      </c>
      <c r="D1722" s="1915"/>
      <c r="E1722" s="2045">
        <v>0</v>
      </c>
      <c r="F1722" s="1842" t="s">
        <v>240</v>
      </c>
      <c r="G1722" s="2046">
        <v>432400</v>
      </c>
      <c r="H1722" s="1854">
        <f t="shared" si="866"/>
        <v>0</v>
      </c>
      <c r="I1722" s="2046">
        <v>0</v>
      </c>
      <c r="J1722" s="1854">
        <f t="shared" si="867"/>
        <v>0</v>
      </c>
      <c r="K1722" s="1857">
        <f t="shared" si="868"/>
        <v>0</v>
      </c>
      <c r="L1722" s="1910" t="s">
        <v>2886</v>
      </c>
      <c r="M1722" s="2047"/>
      <c r="N1722" s="1837"/>
      <c r="O1722" s="1837"/>
      <c r="P1722" s="1837"/>
      <c r="Q1722" s="1837"/>
      <c r="R1722" s="1837"/>
      <c r="S1722" s="1837"/>
      <c r="T1722" s="1837"/>
      <c r="U1722" s="1837"/>
      <c r="V1722" s="1837"/>
      <c r="W1722" s="1837"/>
      <c r="X1722" s="1837"/>
    </row>
    <row r="1723" spans="1:24" ht="24" customHeight="1">
      <c r="A1723" s="1782"/>
      <c r="B1723" s="2003" t="s">
        <v>631</v>
      </c>
      <c r="C1723" s="1895" t="s">
        <v>2818</v>
      </c>
      <c r="D1723" s="1915"/>
      <c r="E1723" s="2045">
        <v>0</v>
      </c>
      <c r="F1723" s="1842" t="s">
        <v>240</v>
      </c>
      <c r="G1723" s="2046">
        <v>440430</v>
      </c>
      <c r="H1723" s="1854">
        <f t="shared" si="866"/>
        <v>0</v>
      </c>
      <c r="I1723" s="2046">
        <v>0</v>
      </c>
      <c r="J1723" s="1854">
        <f t="shared" si="867"/>
        <v>0</v>
      </c>
      <c r="K1723" s="1857">
        <f t="shared" si="868"/>
        <v>0</v>
      </c>
      <c r="L1723" s="1910" t="s">
        <v>2886</v>
      </c>
      <c r="M1723" s="2047"/>
      <c r="N1723" s="1837"/>
      <c r="O1723" s="1837"/>
      <c r="P1723" s="1837"/>
      <c r="Q1723" s="1837"/>
      <c r="R1723" s="1837"/>
      <c r="S1723" s="1837"/>
      <c r="T1723" s="1837"/>
      <c r="U1723" s="1837"/>
      <c r="V1723" s="1837"/>
      <c r="W1723" s="1837"/>
      <c r="X1723" s="1837"/>
    </row>
    <row r="1724" spans="1:24" ht="24" customHeight="1">
      <c r="A1724" s="1782"/>
      <c r="B1724" s="2003" t="s">
        <v>632</v>
      </c>
      <c r="C1724" s="1895" t="s">
        <v>2819</v>
      </c>
      <c r="D1724" s="1915"/>
      <c r="E1724" s="2045">
        <v>4</v>
      </c>
      <c r="F1724" s="1842" t="s">
        <v>240</v>
      </c>
      <c r="G1724" s="2046">
        <v>48800</v>
      </c>
      <c r="H1724" s="1854">
        <f t="shared" si="866"/>
        <v>195200</v>
      </c>
      <c r="I1724" s="2046">
        <v>0</v>
      </c>
      <c r="J1724" s="1854">
        <f t="shared" si="867"/>
        <v>0</v>
      </c>
      <c r="K1724" s="1857">
        <f t="shared" si="868"/>
        <v>195200</v>
      </c>
      <c r="L1724" s="1910" t="s">
        <v>2886</v>
      </c>
      <c r="M1724" s="2047"/>
      <c r="N1724" s="1837"/>
      <c r="O1724" s="1837"/>
      <c r="P1724" s="1837"/>
      <c r="Q1724" s="1837"/>
      <c r="R1724" s="1837"/>
      <c r="S1724" s="1837"/>
      <c r="T1724" s="1837"/>
      <c r="U1724" s="1837"/>
      <c r="V1724" s="1837"/>
      <c r="W1724" s="1837"/>
      <c r="X1724" s="1837"/>
    </row>
    <row r="1725" spans="1:24" ht="24" customHeight="1">
      <c r="A1725" s="1782"/>
      <c r="B1725" s="2003" t="s">
        <v>633</v>
      </c>
      <c r="C1725" s="1895" t="s">
        <v>634</v>
      </c>
      <c r="D1725" s="1915"/>
      <c r="E1725" s="2045">
        <v>0</v>
      </c>
      <c r="F1725" s="1842" t="s">
        <v>240</v>
      </c>
      <c r="G1725" s="2046">
        <v>28600</v>
      </c>
      <c r="H1725" s="1854">
        <f t="shared" si="866"/>
        <v>0</v>
      </c>
      <c r="I1725" s="2046">
        <v>0</v>
      </c>
      <c r="J1725" s="1854">
        <f t="shared" si="867"/>
        <v>0</v>
      </c>
      <c r="K1725" s="1857">
        <f t="shared" si="868"/>
        <v>0</v>
      </c>
      <c r="L1725" s="1910" t="s">
        <v>2886</v>
      </c>
      <c r="M1725" s="2047"/>
      <c r="N1725" s="1837"/>
      <c r="O1725" s="1837"/>
      <c r="P1725" s="1837"/>
      <c r="Q1725" s="1837"/>
      <c r="R1725" s="1837"/>
      <c r="S1725" s="1837"/>
      <c r="T1725" s="1837"/>
      <c r="U1725" s="1837"/>
      <c r="V1725" s="1837"/>
      <c r="W1725" s="1837"/>
      <c r="X1725" s="1837"/>
    </row>
    <row r="1726" spans="1:24" ht="24" customHeight="1">
      <c r="A1726" s="1782"/>
      <c r="B1726" s="2003" t="s">
        <v>635</v>
      </c>
      <c r="C1726" s="1895" t="s">
        <v>629</v>
      </c>
      <c r="D1726" s="1915"/>
      <c r="E1726" s="2045">
        <v>0</v>
      </c>
      <c r="F1726" s="1842" t="s">
        <v>240</v>
      </c>
      <c r="G1726" s="2046">
        <v>814100</v>
      </c>
      <c r="H1726" s="1854">
        <f t="shared" si="866"/>
        <v>0</v>
      </c>
      <c r="I1726" s="2046">
        <v>0</v>
      </c>
      <c r="J1726" s="1854">
        <f t="shared" si="867"/>
        <v>0</v>
      </c>
      <c r="K1726" s="1857">
        <f t="shared" si="868"/>
        <v>0</v>
      </c>
      <c r="L1726" s="1910" t="s">
        <v>2886</v>
      </c>
      <c r="M1726" s="2047"/>
      <c r="N1726" s="1837"/>
      <c r="O1726" s="1837"/>
      <c r="P1726" s="1837"/>
      <c r="Q1726" s="1837"/>
      <c r="R1726" s="1837"/>
      <c r="S1726" s="1837"/>
      <c r="T1726" s="1837"/>
      <c r="U1726" s="1837"/>
      <c r="V1726" s="1837"/>
      <c r="W1726" s="1837"/>
      <c r="X1726" s="1837"/>
    </row>
    <row r="1727" spans="1:24" ht="24" customHeight="1">
      <c r="A1727" s="1782"/>
      <c r="B1727" s="2003" t="s">
        <v>636</v>
      </c>
      <c r="C1727" s="1895" t="s">
        <v>629</v>
      </c>
      <c r="D1727" s="1915"/>
      <c r="E1727" s="2045">
        <v>0</v>
      </c>
      <c r="F1727" s="1842" t="s">
        <v>240</v>
      </c>
      <c r="G1727" s="2046">
        <v>701500</v>
      </c>
      <c r="H1727" s="1854">
        <f t="shared" si="866"/>
        <v>0</v>
      </c>
      <c r="I1727" s="2046">
        <v>0</v>
      </c>
      <c r="J1727" s="1854">
        <f t="shared" si="867"/>
        <v>0</v>
      </c>
      <c r="K1727" s="1857">
        <f t="shared" si="868"/>
        <v>0</v>
      </c>
      <c r="L1727" s="1910" t="s">
        <v>2886</v>
      </c>
      <c r="M1727" s="2047"/>
      <c r="N1727" s="1837"/>
      <c r="O1727" s="1837"/>
      <c r="P1727" s="1837"/>
      <c r="Q1727" s="1837"/>
      <c r="R1727" s="1837"/>
      <c r="S1727" s="1837"/>
      <c r="T1727" s="1837"/>
      <c r="U1727" s="1837"/>
      <c r="V1727" s="1837"/>
      <c r="W1727" s="1837"/>
      <c r="X1727" s="1837"/>
    </row>
    <row r="1728" spans="1:24" ht="24" customHeight="1">
      <c r="A1728" s="1782"/>
      <c r="B1728" s="2003" t="s">
        <v>637</v>
      </c>
      <c r="C1728" s="1895" t="s">
        <v>629</v>
      </c>
      <c r="D1728" s="1915"/>
      <c r="E1728" s="2045">
        <v>0</v>
      </c>
      <c r="F1728" s="1842" t="s">
        <v>240</v>
      </c>
      <c r="G1728" s="2046">
        <v>240700</v>
      </c>
      <c r="H1728" s="1854">
        <f t="shared" si="866"/>
        <v>0</v>
      </c>
      <c r="I1728" s="2046">
        <v>0</v>
      </c>
      <c r="J1728" s="1854">
        <f t="shared" si="867"/>
        <v>0</v>
      </c>
      <c r="K1728" s="1857">
        <f t="shared" si="868"/>
        <v>0</v>
      </c>
      <c r="L1728" s="1910" t="s">
        <v>2886</v>
      </c>
      <c r="M1728" s="2047"/>
      <c r="N1728" s="1837"/>
      <c r="O1728" s="1837"/>
      <c r="P1728" s="1837"/>
      <c r="Q1728" s="1837"/>
      <c r="R1728" s="1837"/>
      <c r="S1728" s="1837"/>
      <c r="T1728" s="1837"/>
      <c r="U1728" s="1837"/>
      <c r="V1728" s="1837"/>
      <c r="W1728" s="1837"/>
      <c r="X1728" s="1837"/>
    </row>
    <row r="1729" spans="1:24" ht="24" customHeight="1">
      <c r="A1729" s="1933"/>
      <c r="B1729" s="2003"/>
      <c r="C1729" s="1895"/>
      <c r="D1729" s="1915"/>
      <c r="E1729" s="2045"/>
      <c r="F1729" s="1842"/>
      <c r="G1729" s="2046"/>
      <c r="H1729" s="1854"/>
      <c r="I1729" s="2048"/>
      <c r="J1729" s="1854"/>
      <c r="K1729" s="1857"/>
      <c r="L1729" s="1910" t="s">
        <v>2886</v>
      </c>
      <c r="M1729" s="2047"/>
      <c r="N1729" s="1837"/>
      <c r="O1729" s="1837"/>
      <c r="P1729" s="1837"/>
      <c r="Q1729" s="1837"/>
      <c r="R1729" s="1837"/>
      <c r="S1729" s="1837"/>
      <c r="T1729" s="1837"/>
      <c r="U1729" s="1837"/>
      <c r="V1729" s="1837"/>
      <c r="W1729" s="1837"/>
      <c r="X1729" s="1837"/>
    </row>
    <row r="1730" spans="1:24" ht="24" customHeight="1">
      <c r="A1730" s="1782"/>
      <c r="B1730" s="2003" t="s">
        <v>638</v>
      </c>
      <c r="C1730" s="1895" t="s">
        <v>639</v>
      </c>
      <c r="D1730" s="1915"/>
      <c r="E1730" s="2045">
        <v>4</v>
      </c>
      <c r="F1730" s="1842" t="s">
        <v>240</v>
      </c>
      <c r="G1730" s="2046">
        <v>45750</v>
      </c>
      <c r="H1730" s="1854">
        <f>E1730*G1730</f>
        <v>183000</v>
      </c>
      <c r="I1730" s="2046">
        <v>3000</v>
      </c>
      <c r="J1730" s="1854">
        <f>E1730*I1730</f>
        <v>12000</v>
      </c>
      <c r="K1730" s="1857">
        <f>H1730+J1730</f>
        <v>195000</v>
      </c>
      <c r="L1730" s="2043"/>
      <c r="M1730" s="2044"/>
      <c r="N1730" s="1837"/>
      <c r="O1730" s="1837"/>
      <c r="P1730" s="1837"/>
      <c r="Q1730" s="1837"/>
      <c r="R1730" s="1837"/>
      <c r="S1730" s="1837"/>
      <c r="T1730" s="1837"/>
      <c r="U1730" s="1837"/>
      <c r="V1730" s="1837"/>
      <c r="W1730" s="1837"/>
      <c r="X1730" s="1837"/>
    </row>
    <row r="1731" spans="1:24" ht="24" customHeight="1">
      <c r="A1731" s="1933"/>
      <c r="B1731" s="2003" t="s">
        <v>640</v>
      </c>
      <c r="C1731" s="1895" t="s">
        <v>641</v>
      </c>
      <c r="D1731" s="1915"/>
      <c r="E1731" s="2045">
        <v>0</v>
      </c>
      <c r="F1731" s="1842" t="s">
        <v>240</v>
      </c>
      <c r="G1731" s="2046">
        <v>49350</v>
      </c>
      <c r="H1731" s="1854">
        <f t="shared" ref="H1731:H1741" si="869">E1731*G1731</f>
        <v>0</v>
      </c>
      <c r="I1731" s="2046">
        <v>3000</v>
      </c>
      <c r="J1731" s="1854">
        <f t="shared" ref="J1731:J1741" si="870">E1731*I1731</f>
        <v>0</v>
      </c>
      <c r="K1731" s="1857">
        <f t="shared" ref="K1731:K1741" si="871">H1731+J1731</f>
        <v>0</v>
      </c>
      <c r="L1731" s="2043"/>
      <c r="M1731" s="2044"/>
      <c r="N1731" s="1837"/>
      <c r="O1731" s="1837"/>
      <c r="P1731" s="1837"/>
      <c r="Q1731" s="1837"/>
      <c r="R1731" s="1837"/>
      <c r="S1731" s="1837"/>
      <c r="T1731" s="1837"/>
      <c r="U1731" s="1837"/>
      <c r="V1731" s="1837"/>
      <c r="W1731" s="1837"/>
      <c r="X1731" s="1837"/>
    </row>
    <row r="1732" spans="1:24" ht="24" customHeight="1">
      <c r="A1732" s="1933"/>
      <c r="B1732" s="2003" t="s">
        <v>642</v>
      </c>
      <c r="C1732" s="1895" t="s">
        <v>643</v>
      </c>
      <c r="D1732" s="1915"/>
      <c r="E1732" s="2045">
        <v>2</v>
      </c>
      <c r="F1732" s="1842" t="s">
        <v>240</v>
      </c>
      <c r="G1732" s="2046">
        <v>87950</v>
      </c>
      <c r="H1732" s="1854">
        <f t="shared" si="869"/>
        <v>175900</v>
      </c>
      <c r="I1732" s="2046">
        <v>4000</v>
      </c>
      <c r="J1732" s="1854">
        <f t="shared" si="870"/>
        <v>8000</v>
      </c>
      <c r="K1732" s="1857">
        <f t="shared" si="871"/>
        <v>183900</v>
      </c>
      <c r="L1732" s="2043"/>
      <c r="M1732" s="2044"/>
      <c r="N1732" s="1837"/>
      <c r="O1732" s="1837"/>
      <c r="P1732" s="1837"/>
      <c r="Q1732" s="1837"/>
      <c r="R1732" s="1837"/>
      <c r="S1732" s="1837"/>
      <c r="T1732" s="1837"/>
      <c r="U1732" s="1837"/>
      <c r="V1732" s="1837"/>
      <c r="W1732" s="1837"/>
      <c r="X1732" s="1837"/>
    </row>
    <row r="1733" spans="1:24" ht="24" customHeight="1">
      <c r="A1733" s="1933"/>
      <c r="B1733" s="2003" t="s">
        <v>644</v>
      </c>
      <c r="C1733" s="1895" t="s">
        <v>643</v>
      </c>
      <c r="D1733" s="1915"/>
      <c r="E1733" s="2045">
        <v>2</v>
      </c>
      <c r="F1733" s="1842" t="s">
        <v>240</v>
      </c>
      <c r="G1733" s="2046">
        <v>63520</v>
      </c>
      <c r="H1733" s="1854">
        <f t="shared" si="869"/>
        <v>127040</v>
      </c>
      <c r="I1733" s="2046">
        <v>4000</v>
      </c>
      <c r="J1733" s="1854">
        <f t="shared" si="870"/>
        <v>8000</v>
      </c>
      <c r="K1733" s="1857">
        <f t="shared" si="871"/>
        <v>135040</v>
      </c>
      <c r="L1733" s="2043"/>
      <c r="M1733" s="2044"/>
      <c r="N1733" s="1837"/>
      <c r="O1733" s="1837"/>
      <c r="P1733" s="1837"/>
      <c r="Q1733" s="1837"/>
      <c r="R1733" s="1837"/>
      <c r="S1733" s="1837"/>
      <c r="T1733" s="1837"/>
      <c r="U1733" s="1837"/>
      <c r="V1733" s="1837"/>
      <c r="W1733" s="1837"/>
      <c r="X1733" s="1837"/>
    </row>
    <row r="1734" spans="1:24" ht="24" customHeight="1">
      <c r="A1734" s="1933"/>
      <c r="B1734" s="2003" t="s">
        <v>645</v>
      </c>
      <c r="C1734" s="1895" t="s">
        <v>639</v>
      </c>
      <c r="D1734" s="1915"/>
      <c r="E1734" s="2045">
        <v>0</v>
      </c>
      <c r="F1734" s="1842" t="s">
        <v>240</v>
      </c>
      <c r="G1734" s="2046">
        <v>20950</v>
      </c>
      <c r="H1734" s="1854">
        <f t="shared" si="869"/>
        <v>0</v>
      </c>
      <c r="I1734" s="2046">
        <v>3000</v>
      </c>
      <c r="J1734" s="1854">
        <f t="shared" si="870"/>
        <v>0</v>
      </c>
      <c r="K1734" s="1857">
        <f t="shared" si="871"/>
        <v>0</v>
      </c>
      <c r="L1734" s="2043"/>
      <c r="M1734" s="2044"/>
      <c r="N1734" s="1837"/>
      <c r="O1734" s="1837"/>
      <c r="P1734" s="1837"/>
      <c r="Q1734" s="1837"/>
      <c r="R1734" s="1837"/>
      <c r="S1734" s="1837"/>
      <c r="T1734" s="1837"/>
      <c r="U1734" s="1837"/>
      <c r="V1734" s="1837"/>
      <c r="W1734" s="1837"/>
      <c r="X1734" s="1837"/>
    </row>
    <row r="1735" spans="1:24" ht="24" customHeight="1">
      <c r="A1735" s="1933"/>
      <c r="B1735" s="2003" t="s">
        <v>646</v>
      </c>
      <c r="C1735" s="1895" t="s">
        <v>647</v>
      </c>
      <c r="D1735" s="1915"/>
      <c r="E1735" s="2045">
        <v>0</v>
      </c>
      <c r="F1735" s="1842" t="s">
        <v>240</v>
      </c>
      <c r="G1735" s="2046">
        <v>78210</v>
      </c>
      <c r="H1735" s="1854">
        <f t="shared" si="869"/>
        <v>0</v>
      </c>
      <c r="I1735" s="2046">
        <v>4000</v>
      </c>
      <c r="J1735" s="1854">
        <f t="shared" si="870"/>
        <v>0</v>
      </c>
      <c r="K1735" s="1857">
        <f t="shared" si="871"/>
        <v>0</v>
      </c>
      <c r="L1735" s="2043"/>
      <c r="M1735" s="2044"/>
      <c r="N1735" s="1837"/>
      <c r="O1735" s="1837"/>
      <c r="P1735" s="1837"/>
      <c r="Q1735" s="1837"/>
      <c r="R1735" s="1837"/>
      <c r="S1735" s="1837"/>
      <c r="T1735" s="1837"/>
      <c r="U1735" s="1837"/>
      <c r="V1735" s="1837"/>
      <c r="W1735" s="1837"/>
      <c r="X1735" s="1837"/>
    </row>
    <row r="1736" spans="1:24" ht="24" customHeight="1">
      <c r="A1736" s="1933"/>
      <c r="B1736" s="2003" t="s">
        <v>648</v>
      </c>
      <c r="C1736" s="1895" t="s">
        <v>2820</v>
      </c>
      <c r="D1736" s="1915"/>
      <c r="E1736" s="2045">
        <v>0</v>
      </c>
      <c r="F1736" s="1842" t="s">
        <v>240</v>
      </c>
      <c r="G1736" s="2046">
        <v>34220</v>
      </c>
      <c r="H1736" s="1854">
        <f t="shared" si="869"/>
        <v>0</v>
      </c>
      <c r="I1736" s="2046">
        <v>4000</v>
      </c>
      <c r="J1736" s="1854">
        <f t="shared" si="870"/>
        <v>0</v>
      </c>
      <c r="K1736" s="1857">
        <f t="shared" si="871"/>
        <v>0</v>
      </c>
      <c r="L1736" s="2043"/>
      <c r="M1736" s="2044"/>
      <c r="N1736" s="1837"/>
      <c r="O1736" s="1837"/>
      <c r="P1736" s="1837"/>
      <c r="Q1736" s="1837"/>
      <c r="R1736" s="1837"/>
      <c r="S1736" s="1837"/>
      <c r="T1736" s="1837"/>
      <c r="U1736" s="1837"/>
      <c r="V1736" s="1837"/>
      <c r="W1736" s="1837"/>
      <c r="X1736" s="1837"/>
    </row>
    <row r="1737" spans="1:24" ht="24" customHeight="1">
      <c r="A1737" s="1933"/>
      <c r="B1737" s="2003" t="s">
        <v>649</v>
      </c>
      <c r="C1737" s="1895" t="s">
        <v>643</v>
      </c>
      <c r="D1737" s="1915"/>
      <c r="E1737" s="2045">
        <v>0</v>
      </c>
      <c r="F1737" s="1842" t="s">
        <v>240</v>
      </c>
      <c r="G1737" s="2046">
        <v>63520</v>
      </c>
      <c r="H1737" s="1854">
        <f t="shared" si="869"/>
        <v>0</v>
      </c>
      <c r="I1737" s="2046">
        <v>4000</v>
      </c>
      <c r="J1737" s="1854">
        <f t="shared" si="870"/>
        <v>0</v>
      </c>
      <c r="K1737" s="1857">
        <f t="shared" si="871"/>
        <v>0</v>
      </c>
      <c r="L1737" s="2043"/>
      <c r="M1737" s="2044"/>
      <c r="N1737" s="1837"/>
      <c r="O1737" s="1837"/>
      <c r="P1737" s="1837"/>
      <c r="Q1737" s="1837"/>
      <c r="R1737" s="1837"/>
      <c r="S1737" s="1837"/>
      <c r="T1737" s="1837"/>
      <c r="U1737" s="1837"/>
      <c r="V1737" s="1837"/>
      <c r="W1737" s="1837"/>
      <c r="X1737" s="1837"/>
    </row>
    <row r="1738" spans="1:24" ht="24" customHeight="1">
      <c r="A1738" s="1933"/>
      <c r="B1738" s="2003" t="s">
        <v>650</v>
      </c>
      <c r="C1738" s="1895" t="s">
        <v>647</v>
      </c>
      <c r="D1738" s="1915"/>
      <c r="E1738" s="2045">
        <v>0</v>
      </c>
      <c r="F1738" s="1842" t="s">
        <v>240</v>
      </c>
      <c r="G1738" s="2046">
        <v>75710</v>
      </c>
      <c r="H1738" s="1854">
        <f t="shared" si="869"/>
        <v>0</v>
      </c>
      <c r="I1738" s="2046">
        <v>4000</v>
      </c>
      <c r="J1738" s="1854">
        <f t="shared" si="870"/>
        <v>0</v>
      </c>
      <c r="K1738" s="1857">
        <f t="shared" si="871"/>
        <v>0</v>
      </c>
      <c r="L1738" s="2043"/>
      <c r="M1738" s="2044"/>
      <c r="N1738" s="1837"/>
      <c r="O1738" s="1837"/>
      <c r="P1738" s="1837"/>
      <c r="Q1738" s="1837"/>
      <c r="R1738" s="1837"/>
      <c r="S1738" s="1837"/>
      <c r="T1738" s="1837"/>
      <c r="U1738" s="1837"/>
      <c r="V1738" s="1837"/>
      <c r="W1738" s="1837"/>
      <c r="X1738" s="1837"/>
    </row>
    <row r="1739" spans="1:24" ht="24" customHeight="1">
      <c r="A1739" s="1933"/>
      <c r="B1739" s="2003" t="s">
        <v>651</v>
      </c>
      <c r="C1739" s="1895" t="s">
        <v>647</v>
      </c>
      <c r="D1739" s="1915"/>
      <c r="E1739" s="2045">
        <v>0</v>
      </c>
      <c r="F1739" s="1842" t="s">
        <v>240</v>
      </c>
      <c r="G1739" s="2046">
        <v>78210</v>
      </c>
      <c r="H1739" s="1854">
        <f t="shared" si="869"/>
        <v>0</v>
      </c>
      <c r="I1739" s="2046">
        <v>4000</v>
      </c>
      <c r="J1739" s="1854">
        <f t="shared" si="870"/>
        <v>0</v>
      </c>
      <c r="K1739" s="1857">
        <f t="shared" si="871"/>
        <v>0</v>
      </c>
      <c r="L1739" s="2043"/>
      <c r="M1739" s="2044"/>
      <c r="N1739" s="1837"/>
      <c r="O1739" s="1837"/>
      <c r="P1739" s="1837"/>
      <c r="Q1739" s="1837"/>
      <c r="R1739" s="1837"/>
      <c r="S1739" s="1837"/>
      <c r="T1739" s="1837"/>
      <c r="U1739" s="1837"/>
      <c r="V1739" s="1837"/>
      <c r="W1739" s="1837"/>
      <c r="X1739" s="1837"/>
    </row>
    <row r="1740" spans="1:24" ht="24" customHeight="1">
      <c r="A1740" s="1933"/>
      <c r="B1740" s="2003" t="s">
        <v>652</v>
      </c>
      <c r="C1740" s="1895" t="s">
        <v>647</v>
      </c>
      <c r="D1740" s="1915"/>
      <c r="E1740" s="2045">
        <v>0</v>
      </c>
      <c r="F1740" s="1842" t="s">
        <v>240</v>
      </c>
      <c r="G1740" s="2046">
        <v>49870</v>
      </c>
      <c r="H1740" s="1854">
        <f t="shared" si="869"/>
        <v>0</v>
      </c>
      <c r="I1740" s="2046">
        <v>4000</v>
      </c>
      <c r="J1740" s="1854">
        <f t="shared" si="870"/>
        <v>0</v>
      </c>
      <c r="K1740" s="1857">
        <f t="shared" si="871"/>
        <v>0</v>
      </c>
      <c r="L1740" s="2043"/>
      <c r="M1740" s="2044"/>
      <c r="N1740" s="1837"/>
      <c r="O1740" s="1837"/>
      <c r="P1740" s="1837"/>
      <c r="Q1740" s="1837"/>
      <c r="R1740" s="1837"/>
      <c r="S1740" s="1837"/>
      <c r="T1740" s="1837"/>
      <c r="U1740" s="1837"/>
      <c r="V1740" s="1837"/>
      <c r="W1740" s="1837"/>
      <c r="X1740" s="1837"/>
    </row>
    <row r="1741" spans="1:24" ht="24" customHeight="1">
      <c r="A1741" s="1933"/>
      <c r="B1741" s="2003" t="s">
        <v>653</v>
      </c>
      <c r="C1741" s="1895" t="s">
        <v>639</v>
      </c>
      <c r="D1741" s="1915"/>
      <c r="E1741" s="2045">
        <v>0</v>
      </c>
      <c r="F1741" s="1842" t="s">
        <v>240</v>
      </c>
      <c r="G1741" s="2046">
        <v>27900</v>
      </c>
      <c r="H1741" s="1854">
        <f t="shared" si="869"/>
        <v>0</v>
      </c>
      <c r="I1741" s="2046">
        <v>4000</v>
      </c>
      <c r="J1741" s="1854">
        <f t="shared" si="870"/>
        <v>0</v>
      </c>
      <c r="K1741" s="1857">
        <f t="shared" si="871"/>
        <v>0</v>
      </c>
      <c r="L1741" s="2043"/>
      <c r="M1741" s="2044"/>
      <c r="N1741" s="1837"/>
      <c r="O1741" s="1837"/>
      <c r="P1741" s="1837"/>
      <c r="Q1741" s="1837"/>
      <c r="R1741" s="1837"/>
      <c r="S1741" s="1837"/>
      <c r="T1741" s="1837"/>
      <c r="U1741" s="1837"/>
      <c r="V1741" s="1837"/>
      <c r="W1741" s="1837"/>
      <c r="X1741" s="1837"/>
    </row>
    <row r="1742" spans="1:24" ht="24" customHeight="1">
      <c r="A1742" s="1782"/>
      <c r="B1742" s="2003"/>
      <c r="C1742" s="1895"/>
      <c r="D1742" s="1915"/>
      <c r="E1742" s="2045"/>
      <c r="F1742" s="1842"/>
      <c r="G1742" s="2046"/>
      <c r="H1742" s="1854"/>
      <c r="I1742" s="2048"/>
      <c r="J1742" s="1854"/>
      <c r="K1742" s="1857"/>
      <c r="L1742" s="2049"/>
      <c r="M1742" s="2044"/>
      <c r="N1742" s="1837"/>
      <c r="O1742" s="1837"/>
      <c r="P1742" s="1837"/>
      <c r="Q1742" s="1837"/>
      <c r="R1742" s="1837"/>
      <c r="S1742" s="1837"/>
      <c r="T1742" s="1837"/>
      <c r="U1742" s="1837"/>
      <c r="V1742" s="1837"/>
      <c r="W1742" s="1837"/>
      <c r="X1742" s="1837"/>
    </row>
    <row r="1743" spans="1:24" ht="24" customHeight="1">
      <c r="A1743" s="1933"/>
      <c r="B1743" s="2003" t="s">
        <v>654</v>
      </c>
      <c r="C1743" s="1895" t="s">
        <v>655</v>
      </c>
      <c r="D1743" s="1915"/>
      <c r="E1743" s="2045">
        <v>0</v>
      </c>
      <c r="F1743" s="1842" t="s">
        <v>240</v>
      </c>
      <c r="G1743" s="2046">
        <v>24170</v>
      </c>
      <c r="H1743" s="1854">
        <f>E1743*G1743</f>
        <v>0</v>
      </c>
      <c r="I1743" s="2046">
        <v>4000</v>
      </c>
      <c r="J1743" s="1854">
        <f>E1743*I1743</f>
        <v>0</v>
      </c>
      <c r="K1743" s="1857">
        <f>H1743+J1743</f>
        <v>0</v>
      </c>
      <c r="L1743" s="2043"/>
      <c r="M1743" s="2044"/>
      <c r="N1743" s="1837"/>
      <c r="O1743" s="1837"/>
      <c r="P1743" s="1837"/>
      <c r="Q1743" s="1837"/>
      <c r="R1743" s="1837"/>
      <c r="S1743" s="1837"/>
      <c r="T1743" s="1837"/>
      <c r="U1743" s="1837"/>
      <c r="V1743" s="1837"/>
      <c r="W1743" s="1837"/>
      <c r="X1743" s="1837"/>
    </row>
    <row r="1744" spans="1:24" ht="24" customHeight="1">
      <c r="A1744" s="1933"/>
      <c r="B1744" s="2003" t="s">
        <v>656</v>
      </c>
      <c r="C1744" s="1895" t="s">
        <v>655</v>
      </c>
      <c r="D1744" s="1915"/>
      <c r="E1744" s="2045">
        <v>6</v>
      </c>
      <c r="F1744" s="1842" t="s">
        <v>240</v>
      </c>
      <c r="G1744" s="2046">
        <v>38620</v>
      </c>
      <c r="H1744" s="1854">
        <f t="shared" ref="H1744:H1748" si="872">E1744*G1744</f>
        <v>231720</v>
      </c>
      <c r="I1744" s="2046">
        <v>4000</v>
      </c>
      <c r="J1744" s="1854">
        <f t="shared" ref="J1744:J1748" si="873">E1744*I1744</f>
        <v>24000</v>
      </c>
      <c r="K1744" s="1857">
        <f t="shared" ref="K1744:K1748" si="874">H1744+J1744</f>
        <v>255720</v>
      </c>
      <c r="L1744" s="2043"/>
      <c r="M1744" s="2044"/>
      <c r="N1744" s="1837"/>
      <c r="O1744" s="1837"/>
      <c r="P1744" s="1837"/>
      <c r="Q1744" s="1837"/>
      <c r="R1744" s="1837"/>
      <c r="S1744" s="1837"/>
      <c r="T1744" s="1837"/>
      <c r="U1744" s="1837"/>
      <c r="V1744" s="1837"/>
      <c r="W1744" s="1837"/>
      <c r="X1744" s="1837"/>
    </row>
    <row r="1745" spans="1:24" ht="24" customHeight="1">
      <c r="A1745" s="1933"/>
      <c r="B1745" s="2003" t="s">
        <v>657</v>
      </c>
      <c r="C1745" s="1895" t="s">
        <v>658</v>
      </c>
      <c r="D1745" s="1915"/>
      <c r="E1745" s="2045">
        <v>0</v>
      </c>
      <c r="F1745" s="1842" t="s">
        <v>240</v>
      </c>
      <c r="G1745" s="2046">
        <v>17400</v>
      </c>
      <c r="H1745" s="1854">
        <f t="shared" si="872"/>
        <v>0</v>
      </c>
      <c r="I1745" s="2046">
        <v>3000</v>
      </c>
      <c r="J1745" s="1854">
        <f t="shared" si="873"/>
        <v>0</v>
      </c>
      <c r="K1745" s="1857">
        <f t="shared" si="874"/>
        <v>0</v>
      </c>
      <c r="L1745" s="2043"/>
      <c r="M1745" s="2044"/>
      <c r="N1745" s="1837"/>
      <c r="O1745" s="1837"/>
      <c r="P1745" s="1837"/>
      <c r="Q1745" s="1837"/>
      <c r="R1745" s="1837"/>
      <c r="S1745" s="1837"/>
      <c r="T1745" s="1837"/>
      <c r="U1745" s="1837"/>
      <c r="V1745" s="1837"/>
      <c r="W1745" s="1837"/>
      <c r="X1745" s="1837"/>
    </row>
    <row r="1746" spans="1:24" ht="24" customHeight="1">
      <c r="A1746" s="1933"/>
      <c r="B1746" s="2003" t="s">
        <v>659</v>
      </c>
      <c r="C1746" s="1895" t="s">
        <v>660</v>
      </c>
      <c r="D1746" s="1915"/>
      <c r="E1746" s="2045">
        <v>4</v>
      </c>
      <c r="F1746" s="1842" t="s">
        <v>240</v>
      </c>
      <c r="G1746" s="2046">
        <v>19450</v>
      </c>
      <c r="H1746" s="1854">
        <f t="shared" si="872"/>
        <v>77800</v>
      </c>
      <c r="I1746" s="2046">
        <v>3000</v>
      </c>
      <c r="J1746" s="1854">
        <f t="shared" si="873"/>
        <v>12000</v>
      </c>
      <c r="K1746" s="1857">
        <f t="shared" si="874"/>
        <v>89800</v>
      </c>
      <c r="L1746" s="2043"/>
      <c r="M1746" s="2044"/>
      <c r="N1746" s="1837"/>
      <c r="O1746" s="1837"/>
      <c r="P1746" s="1837"/>
      <c r="Q1746" s="1837"/>
      <c r="R1746" s="1837"/>
      <c r="S1746" s="1837"/>
      <c r="T1746" s="1837"/>
      <c r="U1746" s="1837"/>
      <c r="V1746" s="1837"/>
      <c r="W1746" s="1837"/>
      <c r="X1746" s="1837"/>
    </row>
    <row r="1747" spans="1:24" ht="24" customHeight="1">
      <c r="A1747" s="1933"/>
      <c r="B1747" s="2003" t="s">
        <v>661</v>
      </c>
      <c r="C1747" s="1895" t="s">
        <v>662</v>
      </c>
      <c r="D1747" s="1915"/>
      <c r="E1747" s="2045">
        <v>0</v>
      </c>
      <c r="F1747" s="1842" t="s">
        <v>240</v>
      </c>
      <c r="G1747" s="2046">
        <v>40120</v>
      </c>
      <c r="H1747" s="1854">
        <f t="shared" si="872"/>
        <v>0</v>
      </c>
      <c r="I1747" s="2046">
        <v>4000</v>
      </c>
      <c r="J1747" s="1854">
        <f t="shared" si="873"/>
        <v>0</v>
      </c>
      <c r="K1747" s="1857">
        <f t="shared" si="874"/>
        <v>0</v>
      </c>
      <c r="L1747" s="2043"/>
      <c r="M1747" s="2044"/>
      <c r="N1747" s="1837"/>
      <c r="O1747" s="1837"/>
      <c r="P1747" s="1837"/>
      <c r="Q1747" s="1837"/>
      <c r="R1747" s="1837"/>
      <c r="S1747" s="1837"/>
      <c r="T1747" s="1837"/>
      <c r="U1747" s="1837"/>
      <c r="V1747" s="1837"/>
      <c r="W1747" s="1837"/>
      <c r="X1747" s="1837"/>
    </row>
    <row r="1748" spans="1:24" ht="24" customHeight="1">
      <c r="A1748" s="1933"/>
      <c r="B1748" s="2003" t="s">
        <v>663</v>
      </c>
      <c r="C1748" s="1895" t="s">
        <v>662</v>
      </c>
      <c r="D1748" s="1915"/>
      <c r="E1748" s="2045">
        <v>0</v>
      </c>
      <c r="F1748" s="1842" t="s">
        <v>240</v>
      </c>
      <c r="G1748" s="2046">
        <v>57600</v>
      </c>
      <c r="H1748" s="1854">
        <f t="shared" si="872"/>
        <v>0</v>
      </c>
      <c r="I1748" s="2046">
        <v>4000</v>
      </c>
      <c r="J1748" s="1854">
        <f t="shared" si="873"/>
        <v>0</v>
      </c>
      <c r="K1748" s="1857">
        <f t="shared" si="874"/>
        <v>0</v>
      </c>
      <c r="L1748" s="2043"/>
      <c r="M1748" s="2044"/>
      <c r="N1748" s="1837"/>
      <c r="O1748" s="1837"/>
      <c r="P1748" s="1837"/>
      <c r="Q1748" s="1837"/>
      <c r="R1748" s="1837"/>
      <c r="S1748" s="1837"/>
      <c r="T1748" s="1837"/>
      <c r="U1748" s="1837"/>
      <c r="V1748" s="1837"/>
      <c r="W1748" s="1837"/>
      <c r="X1748" s="1837"/>
    </row>
    <row r="1749" spans="1:24" ht="24" customHeight="1">
      <c r="A1749" s="1933"/>
      <c r="B1749" s="2003"/>
      <c r="C1749" s="1895"/>
      <c r="D1749" s="1915"/>
      <c r="E1749" s="2045"/>
      <c r="F1749" s="1842"/>
      <c r="G1749" s="2046"/>
      <c r="H1749" s="1854"/>
      <c r="I1749" s="2048"/>
      <c r="J1749" s="1854"/>
      <c r="K1749" s="1857"/>
      <c r="L1749" s="2043"/>
      <c r="M1749" s="2044"/>
      <c r="N1749" s="1837"/>
      <c r="O1749" s="1837"/>
      <c r="P1749" s="1837"/>
      <c r="Q1749" s="1837"/>
      <c r="R1749" s="1837"/>
      <c r="S1749" s="1837"/>
      <c r="T1749" s="1837"/>
      <c r="U1749" s="1837"/>
      <c r="V1749" s="1837"/>
      <c r="W1749" s="1837"/>
      <c r="X1749" s="1837"/>
    </row>
    <row r="1750" spans="1:24" ht="24" customHeight="1">
      <c r="A1750" s="1933"/>
      <c r="B1750" s="2003" t="s">
        <v>664</v>
      </c>
      <c r="C1750" s="1895" t="s">
        <v>665</v>
      </c>
      <c r="D1750" s="1915"/>
      <c r="E1750" s="2045">
        <v>0</v>
      </c>
      <c r="F1750" s="1842" t="s">
        <v>240</v>
      </c>
      <c r="G1750" s="2046">
        <v>18500</v>
      </c>
      <c r="H1750" s="1854">
        <f t="shared" ref="H1750" si="875">E1750*G1750</f>
        <v>0</v>
      </c>
      <c r="I1750" s="2046">
        <v>1200</v>
      </c>
      <c r="J1750" s="1854">
        <f t="shared" ref="J1750" si="876">E1750*I1750</f>
        <v>0</v>
      </c>
      <c r="K1750" s="1857">
        <f t="shared" ref="K1750" si="877">H1750+J1750</f>
        <v>0</v>
      </c>
      <c r="L1750" s="2043"/>
      <c r="M1750" s="2044"/>
      <c r="N1750" s="1837"/>
      <c r="O1750" s="1837"/>
      <c r="P1750" s="1837"/>
      <c r="Q1750" s="1837"/>
      <c r="R1750" s="1837"/>
      <c r="S1750" s="1837"/>
      <c r="T1750" s="1837"/>
      <c r="U1750" s="1837"/>
      <c r="V1750" s="1837"/>
      <c r="W1750" s="1837"/>
      <c r="X1750" s="1837"/>
    </row>
    <row r="1751" spans="1:24" ht="24" customHeight="1">
      <c r="A1751" s="1933"/>
      <c r="B1751" s="2003"/>
      <c r="C1751" s="1895"/>
      <c r="D1751" s="1915"/>
      <c r="E1751" s="2045"/>
      <c r="F1751" s="1842"/>
      <c r="G1751" s="2046"/>
      <c r="H1751" s="1854"/>
      <c r="I1751" s="2046"/>
      <c r="J1751" s="1854"/>
      <c r="K1751" s="1857"/>
      <c r="L1751" s="2043"/>
      <c r="M1751" s="2044"/>
      <c r="N1751" s="1837"/>
      <c r="O1751" s="1837"/>
      <c r="P1751" s="1837"/>
      <c r="Q1751" s="1837"/>
      <c r="R1751" s="1837"/>
      <c r="S1751" s="1837"/>
      <c r="T1751" s="1837"/>
      <c r="U1751" s="1837"/>
      <c r="V1751" s="1837"/>
      <c r="W1751" s="1837"/>
      <c r="X1751" s="1837"/>
    </row>
    <row r="1752" spans="1:24" ht="24" customHeight="1">
      <c r="A1752" s="1933"/>
      <c r="B1752" s="2003" t="s">
        <v>666</v>
      </c>
      <c r="C1752" s="1895" t="s">
        <v>667</v>
      </c>
      <c r="D1752" s="1915"/>
      <c r="E1752" s="2045">
        <v>0</v>
      </c>
      <c r="F1752" s="1842" t="s">
        <v>240</v>
      </c>
      <c r="G1752" s="2046">
        <v>127500</v>
      </c>
      <c r="H1752" s="1854">
        <f t="shared" ref="H1752:H1761" si="878">E1752*G1752</f>
        <v>0</v>
      </c>
      <c r="I1752" s="2046">
        <v>18750</v>
      </c>
      <c r="J1752" s="1854">
        <f t="shared" ref="J1752:J1761" si="879">E1752*I1752</f>
        <v>0</v>
      </c>
      <c r="K1752" s="1857">
        <f t="shared" ref="K1752:K1761" si="880">H1752+J1752</f>
        <v>0</v>
      </c>
      <c r="L1752" s="1910"/>
      <c r="M1752" s="2047"/>
      <c r="N1752" s="1837"/>
      <c r="O1752" s="1837"/>
      <c r="P1752" s="1837"/>
      <c r="Q1752" s="1837"/>
      <c r="R1752" s="1837"/>
      <c r="S1752" s="1837"/>
      <c r="T1752" s="1837"/>
      <c r="U1752" s="1837"/>
      <c r="V1752" s="1837"/>
      <c r="W1752" s="1837"/>
      <c r="X1752" s="1837"/>
    </row>
    <row r="1753" spans="1:24" ht="24" customHeight="1">
      <c r="A1753" s="1933"/>
      <c r="B1753" s="2003" t="s">
        <v>668</v>
      </c>
      <c r="C1753" s="1895" t="s">
        <v>669</v>
      </c>
      <c r="D1753" s="1915"/>
      <c r="E1753" s="2045">
        <v>0</v>
      </c>
      <c r="F1753" s="1842" t="s">
        <v>240</v>
      </c>
      <c r="G1753" s="2046">
        <v>197200</v>
      </c>
      <c r="H1753" s="1854">
        <f t="shared" si="878"/>
        <v>0</v>
      </c>
      <c r="I1753" s="2046">
        <v>29000</v>
      </c>
      <c r="J1753" s="1854">
        <f t="shared" si="879"/>
        <v>0</v>
      </c>
      <c r="K1753" s="1857">
        <f t="shared" si="880"/>
        <v>0</v>
      </c>
      <c r="L1753" s="1910"/>
      <c r="M1753" s="2047"/>
      <c r="N1753" s="1837"/>
      <c r="O1753" s="1837"/>
      <c r="P1753" s="1837"/>
      <c r="Q1753" s="1837"/>
      <c r="R1753" s="1837"/>
      <c r="S1753" s="1837"/>
      <c r="T1753" s="1837"/>
      <c r="U1753" s="1837"/>
      <c r="V1753" s="1837"/>
      <c r="W1753" s="1837"/>
      <c r="X1753" s="1837"/>
    </row>
    <row r="1754" spans="1:24" ht="24" customHeight="1">
      <c r="A1754" s="1933"/>
      <c r="B1754" s="2003" t="s">
        <v>670</v>
      </c>
      <c r="C1754" s="1895" t="s">
        <v>671</v>
      </c>
      <c r="D1754" s="1915"/>
      <c r="E1754" s="2045">
        <v>0</v>
      </c>
      <c r="F1754" s="1842" t="s">
        <v>240</v>
      </c>
      <c r="G1754" s="2046">
        <v>187000</v>
      </c>
      <c r="H1754" s="1854">
        <f t="shared" si="878"/>
        <v>0</v>
      </c>
      <c r="I1754" s="2046">
        <v>27500</v>
      </c>
      <c r="J1754" s="1854">
        <f t="shared" si="879"/>
        <v>0</v>
      </c>
      <c r="K1754" s="1857">
        <f t="shared" si="880"/>
        <v>0</v>
      </c>
      <c r="L1754" s="1910"/>
      <c r="M1754" s="2047"/>
      <c r="N1754" s="1837"/>
      <c r="O1754" s="1837"/>
      <c r="P1754" s="1837"/>
      <c r="Q1754" s="1837"/>
      <c r="R1754" s="1837"/>
      <c r="S1754" s="1837"/>
      <c r="T1754" s="1837"/>
      <c r="U1754" s="1837"/>
      <c r="V1754" s="1837"/>
      <c r="W1754" s="1837"/>
      <c r="X1754" s="1837"/>
    </row>
    <row r="1755" spans="1:24" ht="24" customHeight="1">
      <c r="A1755" s="1933"/>
      <c r="B1755" s="2003" t="s">
        <v>672</v>
      </c>
      <c r="C1755" s="1895" t="s">
        <v>673</v>
      </c>
      <c r="D1755" s="1915"/>
      <c r="E1755" s="2045">
        <v>0</v>
      </c>
      <c r="F1755" s="1842" t="s">
        <v>240</v>
      </c>
      <c r="G1755" s="2046">
        <v>476000</v>
      </c>
      <c r="H1755" s="1854">
        <f t="shared" si="878"/>
        <v>0</v>
      </c>
      <c r="I1755" s="2046">
        <v>70000</v>
      </c>
      <c r="J1755" s="1854">
        <f t="shared" si="879"/>
        <v>0</v>
      </c>
      <c r="K1755" s="1857">
        <f t="shared" si="880"/>
        <v>0</v>
      </c>
      <c r="L1755" s="1910"/>
      <c r="M1755" s="2047"/>
      <c r="N1755" s="1837"/>
      <c r="O1755" s="1837"/>
      <c r="P1755" s="1837"/>
      <c r="Q1755" s="1837"/>
      <c r="R1755" s="1837"/>
      <c r="S1755" s="1837"/>
      <c r="T1755" s="1837"/>
      <c r="U1755" s="1837"/>
      <c r="V1755" s="1837"/>
      <c r="W1755" s="1837"/>
      <c r="X1755" s="1837"/>
    </row>
    <row r="1756" spans="1:24" ht="24" customHeight="1">
      <c r="A1756" s="1933"/>
      <c r="B1756" s="2003" t="s">
        <v>674</v>
      </c>
      <c r="C1756" s="1895" t="s">
        <v>675</v>
      </c>
      <c r="D1756" s="1915"/>
      <c r="E1756" s="2045">
        <v>0</v>
      </c>
      <c r="F1756" s="1842" t="s">
        <v>240</v>
      </c>
      <c r="G1756" s="2046">
        <v>305660</v>
      </c>
      <c r="H1756" s="1854">
        <f t="shared" si="878"/>
        <v>0</v>
      </c>
      <c r="I1756" s="2046">
        <v>44950</v>
      </c>
      <c r="J1756" s="1854">
        <f t="shared" si="879"/>
        <v>0</v>
      </c>
      <c r="K1756" s="1857">
        <f t="shared" si="880"/>
        <v>0</v>
      </c>
      <c r="L1756" s="1910"/>
      <c r="M1756" s="2047"/>
      <c r="N1756" s="1837"/>
      <c r="O1756" s="1837"/>
      <c r="P1756" s="1837"/>
      <c r="Q1756" s="1837"/>
      <c r="R1756" s="1837"/>
      <c r="S1756" s="1837"/>
      <c r="T1756" s="1837"/>
      <c r="U1756" s="1837"/>
      <c r="V1756" s="1837"/>
      <c r="W1756" s="1837"/>
      <c r="X1756" s="1837"/>
    </row>
    <row r="1757" spans="1:24" ht="24" customHeight="1">
      <c r="A1757" s="1933"/>
      <c r="B1757" s="2003" t="s">
        <v>676</v>
      </c>
      <c r="C1757" s="1895" t="s">
        <v>677</v>
      </c>
      <c r="D1757" s="1915"/>
      <c r="E1757" s="2045">
        <v>0</v>
      </c>
      <c r="F1757" s="1842" t="s">
        <v>240</v>
      </c>
      <c r="G1757" s="2046">
        <v>350030</v>
      </c>
      <c r="H1757" s="1854">
        <f t="shared" si="878"/>
        <v>0</v>
      </c>
      <c r="I1757" s="2046">
        <v>51475</v>
      </c>
      <c r="J1757" s="1854">
        <f t="shared" si="879"/>
        <v>0</v>
      </c>
      <c r="K1757" s="1857">
        <f t="shared" si="880"/>
        <v>0</v>
      </c>
      <c r="L1757" s="1910"/>
      <c r="M1757" s="2047"/>
      <c r="N1757" s="1837"/>
      <c r="O1757" s="1837"/>
      <c r="P1757" s="1837"/>
      <c r="Q1757" s="1837"/>
      <c r="R1757" s="1837"/>
      <c r="S1757" s="1837"/>
      <c r="T1757" s="1837"/>
      <c r="U1757" s="1837"/>
      <c r="V1757" s="1837"/>
      <c r="W1757" s="1837"/>
      <c r="X1757" s="1837"/>
    </row>
    <row r="1758" spans="1:24" ht="24" customHeight="1">
      <c r="A1758" s="1933"/>
      <c r="B1758" s="2003" t="s">
        <v>678</v>
      </c>
      <c r="C1758" s="1895" t="s">
        <v>679</v>
      </c>
      <c r="D1758" s="1915"/>
      <c r="E1758" s="2045">
        <v>0</v>
      </c>
      <c r="F1758" s="1842" t="s">
        <v>240</v>
      </c>
      <c r="G1758" s="2046">
        <v>448800</v>
      </c>
      <c r="H1758" s="1854">
        <f t="shared" si="878"/>
        <v>0</v>
      </c>
      <c r="I1758" s="2046">
        <v>66000</v>
      </c>
      <c r="J1758" s="1854">
        <f t="shared" si="879"/>
        <v>0</v>
      </c>
      <c r="K1758" s="1857">
        <f t="shared" si="880"/>
        <v>0</v>
      </c>
      <c r="L1758" s="1910"/>
      <c r="M1758" s="2047"/>
      <c r="N1758" s="1837"/>
      <c r="O1758" s="1837"/>
      <c r="P1758" s="1837"/>
      <c r="Q1758" s="1837"/>
      <c r="R1758" s="1837"/>
      <c r="S1758" s="1837"/>
      <c r="T1758" s="1837"/>
      <c r="U1758" s="1837"/>
      <c r="V1758" s="1837"/>
      <c r="W1758" s="1837"/>
      <c r="X1758" s="1837"/>
    </row>
    <row r="1759" spans="1:24" ht="24" customHeight="1">
      <c r="A1759" s="1933"/>
      <c r="B1759" s="2003" t="s">
        <v>680</v>
      </c>
      <c r="C1759" s="1895" t="s">
        <v>681</v>
      </c>
      <c r="D1759" s="1915"/>
      <c r="E1759" s="2045">
        <v>0</v>
      </c>
      <c r="F1759" s="1842" t="s">
        <v>240</v>
      </c>
      <c r="G1759" s="2046">
        <v>639200</v>
      </c>
      <c r="H1759" s="1854">
        <f t="shared" si="878"/>
        <v>0</v>
      </c>
      <c r="I1759" s="2046">
        <v>94000</v>
      </c>
      <c r="J1759" s="1854">
        <f t="shared" si="879"/>
        <v>0</v>
      </c>
      <c r="K1759" s="1857">
        <f t="shared" si="880"/>
        <v>0</v>
      </c>
      <c r="L1759" s="1910"/>
      <c r="M1759" s="2047"/>
      <c r="N1759" s="1837"/>
      <c r="O1759" s="1837"/>
      <c r="P1759" s="1837"/>
      <c r="Q1759" s="1837"/>
      <c r="R1759" s="1837"/>
      <c r="S1759" s="1837"/>
      <c r="T1759" s="1837"/>
      <c r="U1759" s="1837"/>
      <c r="V1759" s="1837"/>
      <c r="W1759" s="1837"/>
      <c r="X1759" s="1837"/>
    </row>
    <row r="1760" spans="1:24" ht="24" customHeight="1">
      <c r="A1760" s="1933"/>
      <c r="B1760" s="2003" t="s">
        <v>682</v>
      </c>
      <c r="C1760" s="1895" t="s">
        <v>669</v>
      </c>
      <c r="D1760" s="1915"/>
      <c r="E1760" s="2045">
        <v>0</v>
      </c>
      <c r="F1760" s="1842" t="s">
        <v>240</v>
      </c>
      <c r="G1760" s="2046">
        <v>197200</v>
      </c>
      <c r="H1760" s="1854">
        <f t="shared" si="878"/>
        <v>0</v>
      </c>
      <c r="I1760" s="2046">
        <v>29000</v>
      </c>
      <c r="J1760" s="1854">
        <f t="shared" si="879"/>
        <v>0</v>
      </c>
      <c r="K1760" s="1857">
        <f t="shared" si="880"/>
        <v>0</v>
      </c>
      <c r="L1760" s="1910"/>
      <c r="M1760" s="2047"/>
      <c r="N1760" s="1837"/>
      <c r="O1760" s="1837"/>
      <c r="P1760" s="1837"/>
      <c r="Q1760" s="1837"/>
      <c r="R1760" s="1837"/>
      <c r="S1760" s="1837"/>
      <c r="T1760" s="1837"/>
      <c r="U1760" s="1837"/>
      <c r="V1760" s="1837"/>
      <c r="W1760" s="1837"/>
      <c r="X1760" s="1837"/>
    </row>
    <row r="1761" spans="1:24" ht="24" customHeight="1">
      <c r="A1761" s="1933"/>
      <c r="B1761" s="2003" t="s">
        <v>683</v>
      </c>
      <c r="C1761" s="1895" t="s">
        <v>684</v>
      </c>
      <c r="D1761" s="1915"/>
      <c r="E1761" s="2045">
        <v>0</v>
      </c>
      <c r="F1761" s="1842" t="s">
        <v>240</v>
      </c>
      <c r="G1761" s="2046">
        <v>163200</v>
      </c>
      <c r="H1761" s="1854">
        <f t="shared" si="878"/>
        <v>0</v>
      </c>
      <c r="I1761" s="2046">
        <v>24000</v>
      </c>
      <c r="J1761" s="1854">
        <f t="shared" si="879"/>
        <v>0</v>
      </c>
      <c r="K1761" s="1857">
        <f t="shared" si="880"/>
        <v>0</v>
      </c>
      <c r="L1761" s="2043"/>
      <c r="M1761" s="2044"/>
      <c r="N1761" s="1837"/>
      <c r="O1761" s="1837"/>
      <c r="P1761" s="1837"/>
      <c r="Q1761" s="1837"/>
      <c r="R1761" s="1837"/>
      <c r="S1761" s="1837"/>
      <c r="T1761" s="1837"/>
      <c r="U1761" s="1837"/>
      <c r="V1761" s="1837"/>
      <c r="W1761" s="1837"/>
      <c r="X1761" s="1837"/>
    </row>
    <row r="1762" spans="1:24" ht="24" customHeight="1">
      <c r="A1762" s="1933"/>
      <c r="B1762" s="2003"/>
      <c r="C1762" s="1895"/>
      <c r="D1762" s="1915"/>
      <c r="E1762" s="2045"/>
      <c r="F1762" s="1842"/>
      <c r="G1762" s="2046"/>
      <c r="H1762" s="1854"/>
      <c r="I1762" s="2046"/>
      <c r="J1762" s="1854"/>
      <c r="K1762" s="1857"/>
      <c r="L1762" s="2043"/>
      <c r="M1762" s="2044"/>
      <c r="N1762" s="1837"/>
      <c r="O1762" s="1837"/>
      <c r="P1762" s="1837"/>
      <c r="Q1762" s="1837"/>
      <c r="R1762" s="1837"/>
      <c r="S1762" s="1837"/>
      <c r="T1762" s="1837"/>
      <c r="U1762" s="1837"/>
      <c r="V1762" s="1837"/>
      <c r="W1762" s="1837"/>
      <c r="X1762" s="1837"/>
    </row>
    <row r="1763" spans="1:24" ht="24" customHeight="1">
      <c r="A1763" s="1933"/>
      <c r="B1763" s="2003" t="s">
        <v>685</v>
      </c>
      <c r="C1763" s="1895" t="s">
        <v>686</v>
      </c>
      <c r="D1763" s="1915"/>
      <c r="E1763" s="2045">
        <v>0</v>
      </c>
      <c r="F1763" s="1842" t="s">
        <v>240</v>
      </c>
      <c r="G1763" s="2046">
        <v>119580</v>
      </c>
      <c r="H1763" s="1854">
        <f t="shared" ref="H1763:H1776" si="881">E1763*G1763</f>
        <v>0</v>
      </c>
      <c r="I1763" s="2046">
        <v>0</v>
      </c>
      <c r="J1763" s="1854">
        <f t="shared" ref="J1763:J1776" si="882">E1763*I1763</f>
        <v>0</v>
      </c>
      <c r="K1763" s="1857">
        <f t="shared" ref="K1763:K1776" si="883">H1763+J1763</f>
        <v>0</v>
      </c>
      <c r="L1763" s="1910" t="s">
        <v>2887</v>
      </c>
      <c r="M1763" s="2047"/>
      <c r="N1763" s="1837"/>
      <c r="O1763" s="2024"/>
      <c r="P1763" s="1836"/>
      <c r="Q1763" s="1836"/>
      <c r="R1763" s="1837"/>
      <c r="S1763" s="1837"/>
      <c r="T1763" s="1837"/>
      <c r="U1763" s="1837"/>
      <c r="V1763" s="1837"/>
      <c r="W1763" s="1837"/>
      <c r="X1763" s="1837"/>
    </row>
    <row r="1764" spans="1:24" ht="24" customHeight="1">
      <c r="A1764" s="1933"/>
      <c r="B1764" s="2003" t="s">
        <v>687</v>
      </c>
      <c r="C1764" s="1895" t="s">
        <v>686</v>
      </c>
      <c r="D1764" s="1915"/>
      <c r="E1764" s="2045">
        <v>0</v>
      </c>
      <c r="F1764" s="1842" t="s">
        <v>240</v>
      </c>
      <c r="G1764" s="2046">
        <v>207000</v>
      </c>
      <c r="H1764" s="1854">
        <f t="shared" si="881"/>
        <v>0</v>
      </c>
      <c r="I1764" s="2046">
        <v>0</v>
      </c>
      <c r="J1764" s="1854">
        <f t="shared" si="882"/>
        <v>0</v>
      </c>
      <c r="K1764" s="1857">
        <f t="shared" si="883"/>
        <v>0</v>
      </c>
      <c r="L1764" s="1910" t="s">
        <v>2887</v>
      </c>
      <c r="M1764" s="2047"/>
      <c r="N1764" s="1837"/>
      <c r="O1764" s="2024"/>
      <c r="P1764" s="1836"/>
      <c r="Q1764" s="1836"/>
      <c r="R1764" s="1837"/>
      <c r="S1764" s="1837"/>
      <c r="T1764" s="1837"/>
      <c r="U1764" s="1837"/>
      <c r="V1764" s="1837"/>
      <c r="W1764" s="1837"/>
      <c r="X1764" s="1837"/>
    </row>
    <row r="1765" spans="1:24" ht="24" customHeight="1">
      <c r="A1765" s="1933"/>
      <c r="B1765" s="2003" t="s">
        <v>688</v>
      </c>
      <c r="C1765" s="1895" t="s">
        <v>686</v>
      </c>
      <c r="D1765" s="1915"/>
      <c r="E1765" s="2045">
        <v>0</v>
      </c>
      <c r="F1765" s="1842" t="s">
        <v>240</v>
      </c>
      <c r="G1765" s="2046">
        <v>267600</v>
      </c>
      <c r="H1765" s="1854">
        <f t="shared" si="881"/>
        <v>0</v>
      </c>
      <c r="I1765" s="2046">
        <v>0</v>
      </c>
      <c r="J1765" s="1854">
        <f t="shared" si="882"/>
        <v>0</v>
      </c>
      <c r="K1765" s="1857">
        <f t="shared" si="883"/>
        <v>0</v>
      </c>
      <c r="L1765" s="1910" t="s">
        <v>2887</v>
      </c>
      <c r="M1765" s="2047"/>
      <c r="N1765" s="1837"/>
      <c r="O1765" s="2024"/>
      <c r="P1765" s="1836"/>
      <c r="Q1765" s="1836"/>
      <c r="R1765" s="1837"/>
      <c r="S1765" s="1837"/>
      <c r="T1765" s="1837"/>
      <c r="U1765" s="1837"/>
      <c r="V1765" s="1837"/>
      <c r="W1765" s="1837"/>
      <c r="X1765" s="1837"/>
    </row>
    <row r="1766" spans="1:24" ht="24" customHeight="1">
      <c r="A1766" s="1933"/>
      <c r="B1766" s="2003" t="s">
        <v>689</v>
      </c>
      <c r="C1766" s="1895" t="s">
        <v>686</v>
      </c>
      <c r="D1766" s="1915"/>
      <c r="E1766" s="2045">
        <v>0</v>
      </c>
      <c r="F1766" s="1842" t="s">
        <v>240</v>
      </c>
      <c r="G1766" s="2046">
        <v>285430</v>
      </c>
      <c r="H1766" s="1854">
        <f t="shared" si="881"/>
        <v>0</v>
      </c>
      <c r="I1766" s="2046">
        <v>0</v>
      </c>
      <c r="J1766" s="1854">
        <f t="shared" si="882"/>
        <v>0</v>
      </c>
      <c r="K1766" s="1857">
        <f t="shared" si="883"/>
        <v>0</v>
      </c>
      <c r="L1766" s="1910" t="s">
        <v>2887</v>
      </c>
      <c r="M1766" s="2047"/>
      <c r="N1766" s="1837"/>
      <c r="O1766" s="2024"/>
      <c r="P1766" s="1836"/>
      <c r="Q1766" s="1836"/>
      <c r="R1766" s="1837"/>
      <c r="S1766" s="1837"/>
      <c r="T1766" s="1837"/>
      <c r="U1766" s="1837"/>
      <c r="V1766" s="1837"/>
      <c r="W1766" s="1837"/>
      <c r="X1766" s="1837"/>
    </row>
    <row r="1767" spans="1:24" ht="24" customHeight="1">
      <c r="A1767" s="1933"/>
      <c r="B1767" s="2003" t="s">
        <v>690</v>
      </c>
      <c r="C1767" s="1895" t="s">
        <v>686</v>
      </c>
      <c r="D1767" s="1915"/>
      <c r="E1767" s="2045">
        <v>0</v>
      </c>
      <c r="F1767" s="1842" t="s">
        <v>240</v>
      </c>
      <c r="G1767" s="2046">
        <v>440100</v>
      </c>
      <c r="H1767" s="1854">
        <f t="shared" si="881"/>
        <v>0</v>
      </c>
      <c r="I1767" s="2046">
        <v>0</v>
      </c>
      <c r="J1767" s="1854">
        <f t="shared" si="882"/>
        <v>0</v>
      </c>
      <c r="K1767" s="1857">
        <f t="shared" si="883"/>
        <v>0</v>
      </c>
      <c r="L1767" s="1910" t="s">
        <v>2887</v>
      </c>
      <c r="M1767" s="2047"/>
      <c r="N1767" s="1837"/>
      <c r="O1767" s="2024"/>
      <c r="P1767" s="1836"/>
      <c r="Q1767" s="1836"/>
      <c r="R1767" s="1837"/>
      <c r="S1767" s="1837"/>
      <c r="T1767" s="1837"/>
      <c r="U1767" s="1837"/>
      <c r="V1767" s="1837"/>
      <c r="W1767" s="1837"/>
      <c r="X1767" s="1837"/>
    </row>
    <row r="1768" spans="1:24" ht="24" customHeight="1">
      <c r="A1768" s="1933"/>
      <c r="B1768" s="2003" t="s">
        <v>691</v>
      </c>
      <c r="C1768" s="1895" t="s">
        <v>686</v>
      </c>
      <c r="D1768" s="1915"/>
      <c r="E1768" s="2045">
        <v>0</v>
      </c>
      <c r="F1768" s="1842" t="s">
        <v>240</v>
      </c>
      <c r="G1768" s="2046">
        <v>770900</v>
      </c>
      <c r="H1768" s="1854">
        <f t="shared" si="881"/>
        <v>0</v>
      </c>
      <c r="I1768" s="2046">
        <v>0</v>
      </c>
      <c r="J1768" s="1854">
        <f t="shared" si="882"/>
        <v>0</v>
      </c>
      <c r="K1768" s="1857">
        <f t="shared" si="883"/>
        <v>0</v>
      </c>
      <c r="L1768" s="1910" t="s">
        <v>2887</v>
      </c>
      <c r="M1768" s="2047"/>
      <c r="N1768" s="1837"/>
      <c r="O1768" s="2024"/>
      <c r="P1768" s="1836"/>
      <c r="Q1768" s="1836"/>
      <c r="R1768" s="1837"/>
      <c r="S1768" s="1837"/>
      <c r="T1768" s="1837"/>
      <c r="U1768" s="1837"/>
      <c r="V1768" s="1837"/>
      <c r="W1768" s="1837"/>
      <c r="X1768" s="1837"/>
    </row>
    <row r="1769" spans="1:24" ht="24" customHeight="1">
      <c r="A1769" s="1933"/>
      <c r="B1769" s="2003" t="s">
        <v>692</v>
      </c>
      <c r="C1769" s="1895" t="s">
        <v>686</v>
      </c>
      <c r="D1769" s="1915"/>
      <c r="E1769" s="2045">
        <v>0</v>
      </c>
      <c r="F1769" s="1842" t="s">
        <v>240</v>
      </c>
      <c r="G1769" s="2046">
        <f>904400-90440</f>
        <v>813960</v>
      </c>
      <c r="H1769" s="1854">
        <f t="shared" si="881"/>
        <v>0</v>
      </c>
      <c r="I1769" s="2046">
        <v>0</v>
      </c>
      <c r="J1769" s="1854">
        <f t="shared" si="882"/>
        <v>0</v>
      </c>
      <c r="K1769" s="1857">
        <f t="shared" si="883"/>
        <v>0</v>
      </c>
      <c r="L1769" s="1910" t="s">
        <v>2887</v>
      </c>
      <c r="M1769" s="2047"/>
      <c r="N1769" s="1837"/>
      <c r="O1769" s="2024"/>
      <c r="P1769" s="1836"/>
      <c r="Q1769" s="1836"/>
      <c r="R1769" s="1837"/>
      <c r="S1769" s="1837"/>
      <c r="T1769" s="1837"/>
      <c r="U1769" s="1837"/>
      <c r="V1769" s="1837"/>
      <c r="W1769" s="1837"/>
      <c r="X1769" s="1837"/>
    </row>
    <row r="1770" spans="1:24" ht="24" customHeight="1">
      <c r="A1770" s="1933"/>
      <c r="B1770" s="2003" t="s">
        <v>693</v>
      </c>
      <c r="C1770" s="1895" t="s">
        <v>686</v>
      </c>
      <c r="D1770" s="1915"/>
      <c r="E1770" s="2045">
        <v>0</v>
      </c>
      <c r="F1770" s="1842" t="s">
        <v>240</v>
      </c>
      <c r="G1770" s="2046">
        <v>232000</v>
      </c>
      <c r="H1770" s="1854">
        <f t="shared" si="881"/>
        <v>0</v>
      </c>
      <c r="I1770" s="2046">
        <v>0</v>
      </c>
      <c r="J1770" s="1854">
        <f t="shared" si="882"/>
        <v>0</v>
      </c>
      <c r="K1770" s="1857">
        <f t="shared" si="883"/>
        <v>0</v>
      </c>
      <c r="L1770" s="1910" t="s">
        <v>2887</v>
      </c>
      <c r="M1770" s="2047"/>
      <c r="N1770" s="1837"/>
      <c r="O1770" s="2024"/>
      <c r="P1770" s="1836"/>
      <c r="Q1770" s="1836"/>
      <c r="R1770" s="1837"/>
      <c r="S1770" s="1837"/>
      <c r="T1770" s="1837"/>
      <c r="U1770" s="1837"/>
      <c r="V1770" s="1837"/>
      <c r="W1770" s="1837"/>
      <c r="X1770" s="1837"/>
    </row>
    <row r="1771" spans="1:24" ht="24" customHeight="1">
      <c r="A1771" s="1933"/>
      <c r="B1771" s="2003" t="s">
        <v>694</v>
      </c>
      <c r="C1771" s="1895" t="s">
        <v>686</v>
      </c>
      <c r="D1771" s="1915"/>
      <c r="E1771" s="2045">
        <v>0</v>
      </c>
      <c r="F1771" s="1842" t="s">
        <v>240</v>
      </c>
      <c r="G1771" s="2046">
        <v>399100</v>
      </c>
      <c r="H1771" s="1854">
        <f t="shared" si="881"/>
        <v>0</v>
      </c>
      <c r="I1771" s="2046">
        <v>0</v>
      </c>
      <c r="J1771" s="1854">
        <f t="shared" si="882"/>
        <v>0</v>
      </c>
      <c r="K1771" s="1857">
        <f t="shared" si="883"/>
        <v>0</v>
      </c>
      <c r="L1771" s="1910" t="s">
        <v>2887</v>
      </c>
      <c r="M1771" s="2047"/>
      <c r="N1771" s="1837"/>
      <c r="O1771" s="2024"/>
      <c r="P1771" s="1836"/>
      <c r="Q1771" s="1836"/>
      <c r="R1771" s="1837"/>
      <c r="S1771" s="1837"/>
      <c r="T1771" s="1837"/>
      <c r="U1771" s="1837"/>
      <c r="V1771" s="1837"/>
      <c r="W1771" s="1837"/>
      <c r="X1771" s="1837"/>
    </row>
    <row r="1772" spans="1:24" ht="24" customHeight="1">
      <c r="A1772" s="1933"/>
      <c r="B1772" s="2003" t="s">
        <v>695</v>
      </c>
      <c r="C1772" s="1895" t="s">
        <v>686</v>
      </c>
      <c r="D1772" s="1915"/>
      <c r="E1772" s="2045">
        <v>0</v>
      </c>
      <c r="F1772" s="1842" t="s">
        <v>240</v>
      </c>
      <c r="G1772" s="2046">
        <v>528100</v>
      </c>
      <c r="H1772" s="1854">
        <f t="shared" si="881"/>
        <v>0</v>
      </c>
      <c r="I1772" s="2046">
        <v>0</v>
      </c>
      <c r="J1772" s="1854">
        <f t="shared" si="882"/>
        <v>0</v>
      </c>
      <c r="K1772" s="1857">
        <f t="shared" si="883"/>
        <v>0</v>
      </c>
      <c r="L1772" s="1910" t="s">
        <v>2887</v>
      </c>
      <c r="M1772" s="2047"/>
      <c r="N1772" s="1837"/>
      <c r="O1772" s="2024"/>
      <c r="P1772" s="1836"/>
      <c r="Q1772" s="1836"/>
      <c r="R1772" s="1837"/>
      <c r="S1772" s="1837"/>
      <c r="T1772" s="1837"/>
      <c r="U1772" s="1837"/>
      <c r="V1772" s="1837"/>
      <c r="W1772" s="1837"/>
      <c r="X1772" s="1837"/>
    </row>
    <row r="1773" spans="1:24" ht="24" customHeight="1">
      <c r="A1773" s="1933"/>
      <c r="B1773" s="2003" t="s">
        <v>696</v>
      </c>
      <c r="C1773" s="1895" t="s">
        <v>686</v>
      </c>
      <c r="D1773" s="1915"/>
      <c r="E1773" s="2045">
        <v>0</v>
      </c>
      <c r="F1773" s="1842" t="s">
        <v>240</v>
      </c>
      <c r="G1773" s="2046">
        <v>563500</v>
      </c>
      <c r="H1773" s="1854">
        <f t="shared" si="881"/>
        <v>0</v>
      </c>
      <c r="I1773" s="2046">
        <v>0</v>
      </c>
      <c r="J1773" s="1854">
        <f t="shared" si="882"/>
        <v>0</v>
      </c>
      <c r="K1773" s="1857">
        <f t="shared" si="883"/>
        <v>0</v>
      </c>
      <c r="L1773" s="1910" t="s">
        <v>2887</v>
      </c>
      <c r="M1773" s="2047"/>
      <c r="N1773" s="1837"/>
      <c r="O1773" s="2024"/>
      <c r="P1773" s="1836"/>
      <c r="Q1773" s="1836"/>
      <c r="R1773" s="1837"/>
      <c r="S1773" s="1837"/>
      <c r="T1773" s="1837"/>
      <c r="U1773" s="1837"/>
      <c r="V1773" s="1837"/>
      <c r="W1773" s="1837"/>
      <c r="X1773" s="1837"/>
    </row>
    <row r="1774" spans="1:24" ht="24" customHeight="1">
      <c r="A1774" s="1933"/>
      <c r="B1774" s="2003" t="s">
        <v>697</v>
      </c>
      <c r="C1774" s="1895" t="s">
        <v>686</v>
      </c>
      <c r="D1774" s="1915"/>
      <c r="E1774" s="2045">
        <v>0</v>
      </c>
      <c r="F1774" s="1842" t="s">
        <v>240</v>
      </c>
      <c r="G1774" s="2046">
        <v>272800</v>
      </c>
      <c r="H1774" s="1854">
        <f t="shared" si="881"/>
        <v>0</v>
      </c>
      <c r="I1774" s="2046">
        <v>0</v>
      </c>
      <c r="J1774" s="1854">
        <f t="shared" si="882"/>
        <v>0</v>
      </c>
      <c r="K1774" s="1857">
        <f t="shared" si="883"/>
        <v>0</v>
      </c>
      <c r="L1774" s="1910" t="s">
        <v>2887</v>
      </c>
      <c r="M1774" s="2047"/>
      <c r="N1774" s="1837"/>
      <c r="O1774" s="2024"/>
      <c r="P1774" s="1836"/>
      <c r="Q1774" s="1836"/>
      <c r="R1774" s="1837"/>
      <c r="S1774" s="1837"/>
      <c r="T1774" s="1837"/>
      <c r="U1774" s="1837"/>
      <c r="V1774" s="1837"/>
      <c r="W1774" s="1837"/>
      <c r="X1774" s="1837"/>
    </row>
    <row r="1775" spans="1:24" ht="24" customHeight="1">
      <c r="A1775" s="1933"/>
      <c r="B1775" s="2003" t="s">
        <v>698</v>
      </c>
      <c r="C1775" s="1895" t="s">
        <v>686</v>
      </c>
      <c r="D1775" s="1915"/>
      <c r="E1775" s="2045">
        <v>0</v>
      </c>
      <c r="F1775" s="1842" t="s">
        <v>240</v>
      </c>
      <c r="G1775" s="2046">
        <v>6900</v>
      </c>
      <c r="H1775" s="1854">
        <f t="shared" si="881"/>
        <v>0</v>
      </c>
      <c r="I1775" s="2046">
        <v>0</v>
      </c>
      <c r="J1775" s="1854">
        <f t="shared" si="882"/>
        <v>0</v>
      </c>
      <c r="K1775" s="1857">
        <f t="shared" si="883"/>
        <v>0</v>
      </c>
      <c r="L1775" s="1910" t="s">
        <v>2887</v>
      </c>
      <c r="M1775" s="2047"/>
      <c r="N1775" s="1837"/>
      <c r="O1775" s="2024"/>
      <c r="P1775" s="1836"/>
      <c r="Q1775" s="1836"/>
      <c r="R1775" s="1837"/>
      <c r="S1775" s="1837"/>
      <c r="T1775" s="1837"/>
      <c r="U1775" s="1837"/>
      <c r="V1775" s="1837"/>
      <c r="W1775" s="1837"/>
      <c r="X1775" s="1837"/>
    </row>
    <row r="1776" spans="1:24" ht="24" customHeight="1">
      <c r="A1776" s="1933"/>
      <c r="B1776" s="2003" t="s">
        <v>699</v>
      </c>
      <c r="C1776" s="1895" t="s">
        <v>686</v>
      </c>
      <c r="D1776" s="1915"/>
      <c r="E1776" s="2045">
        <v>0</v>
      </c>
      <c r="F1776" s="1842" t="s">
        <v>240</v>
      </c>
      <c r="G1776" s="2046">
        <v>97700</v>
      </c>
      <c r="H1776" s="1854">
        <f t="shared" si="881"/>
        <v>0</v>
      </c>
      <c r="I1776" s="2046">
        <v>0</v>
      </c>
      <c r="J1776" s="1854">
        <f t="shared" si="882"/>
        <v>0</v>
      </c>
      <c r="K1776" s="1857">
        <f t="shared" si="883"/>
        <v>0</v>
      </c>
      <c r="L1776" s="1910" t="s">
        <v>2887</v>
      </c>
      <c r="N1776" s="2047">
        <f>SUM(K1719:K1776)</f>
        <v>1054660</v>
      </c>
      <c r="O1776" s="2024"/>
      <c r="P1776" s="1836"/>
      <c r="Q1776" s="1836"/>
      <c r="R1776" s="1837"/>
      <c r="S1776" s="1837"/>
      <c r="T1776" s="1837"/>
      <c r="U1776" s="1837"/>
      <c r="V1776" s="1837"/>
      <c r="W1776" s="1837"/>
      <c r="X1776" s="1837"/>
    </row>
    <row r="1777" spans="1:24" ht="24" customHeight="1">
      <c r="A1777" s="1933"/>
      <c r="B1777" s="2003"/>
      <c r="C1777" s="1895"/>
      <c r="D1777" s="1915"/>
      <c r="E1777" s="2045"/>
      <c r="F1777" s="1842"/>
      <c r="G1777" s="2050"/>
      <c r="H1777" s="1911"/>
      <c r="I1777" s="2050"/>
      <c r="J1777" s="1854"/>
      <c r="K1777" s="2051"/>
      <c r="L1777" s="1910"/>
      <c r="M1777" s="2047"/>
      <c r="N1777" s="1837"/>
      <c r="O1777" s="2024"/>
      <c r="P1777" s="1836"/>
      <c r="Q1777" s="1836"/>
      <c r="R1777" s="1837"/>
      <c r="S1777" s="1837"/>
      <c r="T1777" s="1837"/>
      <c r="U1777" s="1837"/>
      <c r="V1777" s="1837"/>
      <c r="W1777" s="1837"/>
      <c r="X1777" s="1837"/>
    </row>
    <row r="1778" spans="1:24" ht="24" customHeight="1">
      <c r="A1778" s="1782" t="s">
        <v>700</v>
      </c>
      <c r="B1778" s="2041" t="s">
        <v>701</v>
      </c>
      <c r="C1778" s="1840"/>
      <c r="D1778" s="1915"/>
      <c r="E1778" s="2045"/>
      <c r="F1778" s="1842"/>
      <c r="G1778" s="1843"/>
      <c r="H1778" s="1844"/>
      <c r="I1778" s="1845"/>
      <c r="J1778" s="1846"/>
      <c r="K1778" s="1843"/>
      <c r="L1778" s="2043"/>
      <c r="M1778" s="2044"/>
      <c r="N1778" s="1837"/>
      <c r="O1778" s="1837"/>
      <c r="P1778" s="1837"/>
      <c r="Q1778" s="1837"/>
      <c r="R1778" s="1837"/>
      <c r="S1778" s="1837"/>
      <c r="T1778" s="1837"/>
      <c r="U1778" s="1837"/>
      <c r="V1778" s="1837"/>
      <c r="W1778" s="1837"/>
      <c r="X1778" s="1837"/>
    </row>
    <row r="1779" spans="1:24" ht="24" customHeight="1">
      <c r="A1779" s="1933"/>
      <c r="B1779" s="2003" t="s">
        <v>626</v>
      </c>
      <c r="C1779" s="1895" t="s">
        <v>627</v>
      </c>
      <c r="D1779" s="1915"/>
      <c r="E1779" s="2045">
        <v>0</v>
      </c>
      <c r="F1779" s="1842" t="s">
        <v>240</v>
      </c>
      <c r="G1779" s="2046">
        <v>260300</v>
      </c>
      <c r="H1779" s="1854">
        <f t="shared" ref="H1779:H1787" si="884">E1779*G1779</f>
        <v>0</v>
      </c>
      <c r="I1779" s="2046">
        <v>0</v>
      </c>
      <c r="J1779" s="1854">
        <f t="shared" ref="J1779:J1787" si="885">E1779*I1779</f>
        <v>0</v>
      </c>
      <c r="K1779" s="1857">
        <f t="shared" ref="K1779:K1787" si="886">H1779+J1779</f>
        <v>0</v>
      </c>
      <c r="L1779" s="1910" t="s">
        <v>2886</v>
      </c>
      <c r="M1779" s="2047"/>
      <c r="N1779" s="1837"/>
      <c r="O1779" s="1837"/>
      <c r="P1779" s="1837"/>
      <c r="Q1779" s="1837"/>
      <c r="R1779" s="1837"/>
      <c r="S1779" s="1837"/>
      <c r="T1779" s="1837"/>
      <c r="U1779" s="1837"/>
      <c r="V1779" s="1837"/>
      <c r="W1779" s="1837"/>
      <c r="X1779" s="1837"/>
    </row>
    <row r="1780" spans="1:24" ht="24" customHeight="1">
      <c r="A1780" s="1933"/>
      <c r="B1780" s="2003" t="s">
        <v>628</v>
      </c>
      <c r="C1780" s="1895" t="s">
        <v>629</v>
      </c>
      <c r="D1780" s="1915"/>
      <c r="E1780" s="2045">
        <v>0</v>
      </c>
      <c r="F1780" s="1842" t="s">
        <v>240</v>
      </c>
      <c r="G1780" s="2046">
        <v>386900</v>
      </c>
      <c r="H1780" s="1854">
        <f t="shared" si="884"/>
        <v>0</v>
      </c>
      <c r="I1780" s="2046">
        <v>0</v>
      </c>
      <c r="J1780" s="1854">
        <f t="shared" si="885"/>
        <v>0</v>
      </c>
      <c r="K1780" s="1857">
        <f t="shared" si="886"/>
        <v>0</v>
      </c>
      <c r="L1780" s="1910" t="s">
        <v>2886</v>
      </c>
      <c r="M1780" s="2047"/>
      <c r="N1780" s="1837"/>
      <c r="O1780" s="1837"/>
      <c r="P1780" s="1837"/>
      <c r="Q1780" s="1837"/>
      <c r="R1780" s="1837"/>
      <c r="S1780" s="1837"/>
      <c r="T1780" s="1837"/>
      <c r="U1780" s="1837"/>
      <c r="V1780" s="1837"/>
      <c r="W1780" s="1837"/>
      <c r="X1780" s="1837"/>
    </row>
    <row r="1781" spans="1:24" ht="24" customHeight="1">
      <c r="A1781" s="1782"/>
      <c r="B1781" s="2003" t="s">
        <v>630</v>
      </c>
      <c r="C1781" s="1895" t="s">
        <v>2818</v>
      </c>
      <c r="D1781" s="1915"/>
      <c r="E1781" s="2045">
        <v>0</v>
      </c>
      <c r="F1781" s="1842" t="s">
        <v>240</v>
      </c>
      <c r="G1781" s="2046">
        <v>432400</v>
      </c>
      <c r="H1781" s="1854">
        <f t="shared" si="884"/>
        <v>0</v>
      </c>
      <c r="I1781" s="2046">
        <v>0</v>
      </c>
      <c r="J1781" s="1854">
        <f t="shared" si="885"/>
        <v>0</v>
      </c>
      <c r="K1781" s="1857">
        <f t="shared" si="886"/>
        <v>0</v>
      </c>
      <c r="L1781" s="1910" t="s">
        <v>2886</v>
      </c>
      <c r="M1781" s="2047"/>
      <c r="N1781" s="1837"/>
      <c r="O1781" s="1837"/>
      <c r="P1781" s="1837"/>
      <c r="Q1781" s="1837"/>
      <c r="R1781" s="1837"/>
      <c r="S1781" s="1837"/>
      <c r="T1781" s="1837"/>
      <c r="U1781" s="1837"/>
      <c r="V1781" s="1837"/>
      <c r="W1781" s="1837"/>
      <c r="X1781" s="1837"/>
    </row>
    <row r="1782" spans="1:24" ht="24" customHeight="1">
      <c r="A1782" s="1782"/>
      <c r="B1782" s="2003" t="s">
        <v>631</v>
      </c>
      <c r="C1782" s="1895" t="s">
        <v>2818</v>
      </c>
      <c r="D1782" s="1915"/>
      <c r="E1782" s="2045">
        <v>0</v>
      </c>
      <c r="F1782" s="1842" t="s">
        <v>240</v>
      </c>
      <c r="G1782" s="2046">
        <v>440430</v>
      </c>
      <c r="H1782" s="1854">
        <f t="shared" si="884"/>
        <v>0</v>
      </c>
      <c r="I1782" s="2046">
        <v>0</v>
      </c>
      <c r="J1782" s="1854">
        <f t="shared" si="885"/>
        <v>0</v>
      </c>
      <c r="K1782" s="1857">
        <f t="shared" si="886"/>
        <v>0</v>
      </c>
      <c r="L1782" s="1910" t="s">
        <v>2886</v>
      </c>
      <c r="M1782" s="2047"/>
      <c r="N1782" s="1837"/>
      <c r="O1782" s="1837"/>
      <c r="P1782" s="1837"/>
      <c r="Q1782" s="1837"/>
      <c r="R1782" s="1837"/>
      <c r="S1782" s="1837"/>
      <c r="T1782" s="1837"/>
      <c r="U1782" s="1837"/>
      <c r="V1782" s="1837"/>
      <c r="W1782" s="1837"/>
      <c r="X1782" s="1837"/>
    </row>
    <row r="1783" spans="1:24" ht="24" customHeight="1">
      <c r="A1783" s="1782"/>
      <c r="B1783" s="2003" t="s">
        <v>632</v>
      </c>
      <c r="C1783" s="1895" t="s">
        <v>2819</v>
      </c>
      <c r="D1783" s="1915"/>
      <c r="E1783" s="2045">
        <v>4</v>
      </c>
      <c r="F1783" s="1842" t="s">
        <v>240</v>
      </c>
      <c r="G1783" s="2046">
        <v>48800</v>
      </c>
      <c r="H1783" s="1854">
        <f t="shared" si="884"/>
        <v>195200</v>
      </c>
      <c r="I1783" s="2046">
        <v>0</v>
      </c>
      <c r="J1783" s="1854">
        <f t="shared" si="885"/>
        <v>0</v>
      </c>
      <c r="K1783" s="1857">
        <f t="shared" si="886"/>
        <v>195200</v>
      </c>
      <c r="L1783" s="1910" t="s">
        <v>2886</v>
      </c>
      <c r="M1783" s="2047"/>
      <c r="N1783" s="1837"/>
      <c r="O1783" s="1837"/>
      <c r="P1783" s="1837"/>
      <c r="Q1783" s="1837"/>
      <c r="R1783" s="1837"/>
      <c r="S1783" s="1837"/>
      <c r="T1783" s="1837"/>
      <c r="U1783" s="1837"/>
      <c r="V1783" s="1837"/>
      <c r="W1783" s="1837"/>
      <c r="X1783" s="1837"/>
    </row>
    <row r="1784" spans="1:24" ht="24" customHeight="1">
      <c r="A1784" s="1782"/>
      <c r="B1784" s="2003" t="s">
        <v>633</v>
      </c>
      <c r="C1784" s="1895" t="s">
        <v>634</v>
      </c>
      <c r="D1784" s="1915"/>
      <c r="E1784" s="2045">
        <v>0</v>
      </c>
      <c r="F1784" s="1842" t="s">
        <v>240</v>
      </c>
      <c r="G1784" s="2046">
        <v>28600</v>
      </c>
      <c r="H1784" s="1854">
        <f t="shared" si="884"/>
        <v>0</v>
      </c>
      <c r="I1784" s="2046">
        <v>0</v>
      </c>
      <c r="J1784" s="1854">
        <f t="shared" si="885"/>
        <v>0</v>
      </c>
      <c r="K1784" s="1857">
        <f t="shared" si="886"/>
        <v>0</v>
      </c>
      <c r="L1784" s="1910" t="s">
        <v>2886</v>
      </c>
      <c r="M1784" s="2047"/>
      <c r="N1784" s="1837"/>
      <c r="O1784" s="1837"/>
      <c r="P1784" s="1837"/>
      <c r="Q1784" s="1837"/>
      <c r="R1784" s="1837"/>
      <c r="S1784" s="1837"/>
      <c r="T1784" s="1837"/>
      <c r="U1784" s="1837"/>
      <c r="V1784" s="1837"/>
      <c r="W1784" s="1837"/>
      <c r="X1784" s="1837"/>
    </row>
    <row r="1785" spans="1:24" ht="24" customHeight="1">
      <c r="A1785" s="1782"/>
      <c r="B1785" s="2003" t="s">
        <v>635</v>
      </c>
      <c r="C1785" s="1895" t="s">
        <v>629</v>
      </c>
      <c r="D1785" s="1915"/>
      <c r="E1785" s="2045">
        <v>0</v>
      </c>
      <c r="F1785" s="1842" t="s">
        <v>240</v>
      </c>
      <c r="G1785" s="2046">
        <v>814100</v>
      </c>
      <c r="H1785" s="1854">
        <f t="shared" si="884"/>
        <v>0</v>
      </c>
      <c r="I1785" s="2046">
        <v>0</v>
      </c>
      <c r="J1785" s="1854">
        <f t="shared" si="885"/>
        <v>0</v>
      </c>
      <c r="K1785" s="1857">
        <f t="shared" si="886"/>
        <v>0</v>
      </c>
      <c r="L1785" s="1910" t="s">
        <v>2886</v>
      </c>
      <c r="M1785" s="2047"/>
      <c r="N1785" s="1837"/>
      <c r="O1785" s="1837"/>
      <c r="P1785" s="1837"/>
      <c r="Q1785" s="1837"/>
      <c r="R1785" s="1837"/>
      <c r="S1785" s="1837"/>
      <c r="T1785" s="1837"/>
      <c r="U1785" s="1837"/>
      <c r="V1785" s="1837"/>
      <c r="W1785" s="1837"/>
      <c r="X1785" s="1837"/>
    </row>
    <row r="1786" spans="1:24" ht="24" customHeight="1">
      <c r="A1786" s="1782"/>
      <c r="B1786" s="2003" t="s">
        <v>636</v>
      </c>
      <c r="C1786" s="1895" t="s">
        <v>629</v>
      </c>
      <c r="D1786" s="1915"/>
      <c r="E1786" s="2045">
        <v>0</v>
      </c>
      <c r="F1786" s="1842" t="s">
        <v>240</v>
      </c>
      <c r="G1786" s="2046">
        <v>701500</v>
      </c>
      <c r="H1786" s="1854">
        <f t="shared" si="884"/>
        <v>0</v>
      </c>
      <c r="I1786" s="2046">
        <v>0</v>
      </c>
      <c r="J1786" s="1854">
        <f t="shared" si="885"/>
        <v>0</v>
      </c>
      <c r="K1786" s="1857">
        <f t="shared" si="886"/>
        <v>0</v>
      </c>
      <c r="L1786" s="1910" t="s">
        <v>2886</v>
      </c>
      <c r="M1786" s="2047"/>
      <c r="N1786" s="1837"/>
      <c r="O1786" s="1837"/>
      <c r="P1786" s="1837"/>
      <c r="Q1786" s="1837"/>
      <c r="R1786" s="1837"/>
      <c r="S1786" s="1837"/>
      <c r="T1786" s="1837"/>
      <c r="U1786" s="1837"/>
      <c r="V1786" s="1837"/>
      <c r="W1786" s="1837"/>
      <c r="X1786" s="1837"/>
    </row>
    <row r="1787" spans="1:24" ht="24" customHeight="1">
      <c r="A1787" s="1782"/>
      <c r="B1787" s="2003" t="s">
        <v>637</v>
      </c>
      <c r="C1787" s="1895" t="s">
        <v>629</v>
      </c>
      <c r="D1787" s="1915"/>
      <c r="E1787" s="2045">
        <v>0</v>
      </c>
      <c r="F1787" s="1842" t="s">
        <v>240</v>
      </c>
      <c r="G1787" s="2046">
        <v>240700</v>
      </c>
      <c r="H1787" s="1854">
        <f t="shared" si="884"/>
        <v>0</v>
      </c>
      <c r="I1787" s="2046">
        <v>0</v>
      </c>
      <c r="J1787" s="1854">
        <f t="shared" si="885"/>
        <v>0</v>
      </c>
      <c r="K1787" s="1857">
        <f t="shared" si="886"/>
        <v>0</v>
      </c>
      <c r="L1787" s="1910" t="s">
        <v>2886</v>
      </c>
      <c r="M1787" s="2047"/>
      <c r="N1787" s="1837"/>
      <c r="O1787" s="1837"/>
      <c r="P1787" s="1837"/>
      <c r="Q1787" s="1837"/>
      <c r="R1787" s="1837"/>
      <c r="S1787" s="1837"/>
      <c r="T1787" s="1837"/>
      <c r="U1787" s="1837"/>
      <c r="V1787" s="1837"/>
      <c r="W1787" s="1837"/>
      <c r="X1787" s="1837"/>
    </row>
    <row r="1788" spans="1:24" ht="24" customHeight="1">
      <c r="A1788" s="1933"/>
      <c r="B1788" s="2003"/>
      <c r="C1788" s="1895"/>
      <c r="D1788" s="1915"/>
      <c r="E1788" s="2045"/>
      <c r="F1788" s="1842"/>
      <c r="G1788" s="2046"/>
      <c r="H1788" s="1854"/>
      <c r="I1788" s="2048"/>
      <c r="J1788" s="1854"/>
      <c r="K1788" s="1857"/>
      <c r="L1788" s="2043"/>
      <c r="M1788" s="2044"/>
      <c r="N1788" s="1837"/>
      <c r="O1788" s="1837"/>
      <c r="P1788" s="1837"/>
      <c r="Q1788" s="1837"/>
      <c r="R1788" s="1837"/>
      <c r="S1788" s="1837"/>
      <c r="T1788" s="1837"/>
      <c r="U1788" s="1837"/>
      <c r="V1788" s="1837"/>
      <c r="W1788" s="1837"/>
      <c r="X1788" s="1837"/>
    </row>
    <row r="1789" spans="1:24" ht="24" customHeight="1">
      <c r="A1789" s="1782"/>
      <c r="B1789" s="2003" t="s">
        <v>638</v>
      </c>
      <c r="C1789" s="1895" t="s">
        <v>639</v>
      </c>
      <c r="D1789" s="1915"/>
      <c r="E1789" s="2045">
        <v>4</v>
      </c>
      <c r="F1789" s="1842" t="s">
        <v>240</v>
      </c>
      <c r="G1789" s="2046">
        <v>45750</v>
      </c>
      <c r="H1789" s="1854">
        <f>E1789*G1789</f>
        <v>183000</v>
      </c>
      <c r="I1789" s="2046">
        <v>3000</v>
      </c>
      <c r="J1789" s="1854">
        <f>E1789*I1789</f>
        <v>12000</v>
      </c>
      <c r="K1789" s="1857">
        <f>H1789+J1789</f>
        <v>195000</v>
      </c>
      <c r="L1789" s="2043"/>
      <c r="M1789" s="2044"/>
      <c r="N1789" s="1837"/>
      <c r="O1789" s="1837"/>
      <c r="P1789" s="1837"/>
      <c r="Q1789" s="1837"/>
      <c r="R1789" s="1837"/>
      <c r="S1789" s="1837"/>
      <c r="T1789" s="1837"/>
      <c r="U1789" s="1837"/>
      <c r="V1789" s="1837"/>
      <c r="W1789" s="1837"/>
      <c r="X1789" s="1837"/>
    </row>
    <row r="1790" spans="1:24" ht="24" customHeight="1">
      <c r="A1790" s="1933"/>
      <c r="B1790" s="2003" t="s">
        <v>640</v>
      </c>
      <c r="C1790" s="1895" t="s">
        <v>641</v>
      </c>
      <c r="D1790" s="1915"/>
      <c r="E1790" s="2045">
        <v>0</v>
      </c>
      <c r="F1790" s="1842" t="s">
        <v>240</v>
      </c>
      <c r="G1790" s="2046">
        <v>49350</v>
      </c>
      <c r="H1790" s="1854">
        <f t="shared" ref="H1790:H1800" si="887">E1790*G1790</f>
        <v>0</v>
      </c>
      <c r="I1790" s="2046">
        <v>3000</v>
      </c>
      <c r="J1790" s="1854">
        <f t="shared" ref="J1790:J1800" si="888">E1790*I1790</f>
        <v>0</v>
      </c>
      <c r="K1790" s="1857">
        <f t="shared" ref="K1790:K1800" si="889">H1790+J1790</f>
        <v>0</v>
      </c>
      <c r="L1790" s="2043"/>
      <c r="M1790" s="2044"/>
      <c r="N1790" s="1837"/>
      <c r="O1790" s="1837"/>
      <c r="P1790" s="1837"/>
      <c r="Q1790" s="1837"/>
      <c r="R1790" s="1837"/>
      <c r="S1790" s="1837"/>
      <c r="T1790" s="1837"/>
      <c r="U1790" s="1837"/>
      <c r="V1790" s="1837"/>
      <c r="W1790" s="1837"/>
      <c r="X1790" s="1837"/>
    </row>
    <row r="1791" spans="1:24" ht="24" customHeight="1">
      <c r="A1791" s="1933"/>
      <c r="B1791" s="2003" t="s">
        <v>642</v>
      </c>
      <c r="C1791" s="1895" t="s">
        <v>643</v>
      </c>
      <c r="D1791" s="1915"/>
      <c r="E1791" s="2045">
        <v>2</v>
      </c>
      <c r="F1791" s="1842" t="s">
        <v>240</v>
      </c>
      <c r="G1791" s="2046">
        <v>87950</v>
      </c>
      <c r="H1791" s="1854">
        <f t="shared" si="887"/>
        <v>175900</v>
      </c>
      <c r="I1791" s="2046">
        <v>4000</v>
      </c>
      <c r="J1791" s="1854">
        <f t="shared" si="888"/>
        <v>8000</v>
      </c>
      <c r="K1791" s="1857">
        <f t="shared" si="889"/>
        <v>183900</v>
      </c>
      <c r="L1791" s="2043"/>
      <c r="M1791" s="2044"/>
      <c r="N1791" s="1837"/>
      <c r="O1791" s="1837"/>
      <c r="P1791" s="1837"/>
      <c r="Q1791" s="1837"/>
      <c r="R1791" s="1837"/>
      <c r="S1791" s="1837"/>
      <c r="T1791" s="1837"/>
      <c r="U1791" s="1837"/>
      <c r="V1791" s="1837"/>
      <c r="W1791" s="1837"/>
      <c r="X1791" s="1837"/>
    </row>
    <row r="1792" spans="1:24" ht="24" customHeight="1">
      <c r="A1792" s="1933"/>
      <c r="B1792" s="2003" t="s">
        <v>644</v>
      </c>
      <c r="C1792" s="1895" t="s">
        <v>643</v>
      </c>
      <c r="D1792" s="1915"/>
      <c r="E1792" s="2045">
        <v>2</v>
      </c>
      <c r="F1792" s="1842" t="s">
        <v>240</v>
      </c>
      <c r="G1792" s="2046">
        <v>63520</v>
      </c>
      <c r="H1792" s="1854">
        <f t="shared" si="887"/>
        <v>127040</v>
      </c>
      <c r="I1792" s="2046">
        <v>4000</v>
      </c>
      <c r="J1792" s="1854">
        <f t="shared" si="888"/>
        <v>8000</v>
      </c>
      <c r="K1792" s="1857">
        <f t="shared" si="889"/>
        <v>135040</v>
      </c>
      <c r="L1792" s="2043"/>
      <c r="M1792" s="2044"/>
      <c r="N1792" s="1837"/>
      <c r="O1792" s="1837"/>
      <c r="P1792" s="1837"/>
      <c r="Q1792" s="1837"/>
      <c r="R1792" s="1837"/>
      <c r="S1792" s="1837"/>
      <c r="T1792" s="1837"/>
      <c r="U1792" s="1837"/>
      <c r="V1792" s="1837"/>
      <c r="W1792" s="1837"/>
      <c r="X1792" s="1837"/>
    </row>
    <row r="1793" spans="1:24" ht="24" customHeight="1">
      <c r="A1793" s="1933"/>
      <c r="B1793" s="2003" t="s">
        <v>645</v>
      </c>
      <c r="C1793" s="1895" t="s">
        <v>639</v>
      </c>
      <c r="D1793" s="1915"/>
      <c r="E1793" s="2045">
        <v>0</v>
      </c>
      <c r="F1793" s="1842" t="s">
        <v>240</v>
      </c>
      <c r="G1793" s="2046">
        <v>20950</v>
      </c>
      <c r="H1793" s="1854">
        <f t="shared" si="887"/>
        <v>0</v>
      </c>
      <c r="I1793" s="2046">
        <v>3000</v>
      </c>
      <c r="J1793" s="1854">
        <f t="shared" si="888"/>
        <v>0</v>
      </c>
      <c r="K1793" s="1857">
        <f t="shared" si="889"/>
        <v>0</v>
      </c>
      <c r="L1793" s="2043"/>
      <c r="M1793" s="2044"/>
      <c r="N1793" s="1837"/>
      <c r="O1793" s="1837"/>
      <c r="P1793" s="1837"/>
      <c r="Q1793" s="1837"/>
      <c r="R1793" s="1837"/>
      <c r="S1793" s="1837"/>
      <c r="T1793" s="1837"/>
      <c r="U1793" s="1837"/>
      <c r="V1793" s="1837"/>
      <c r="W1793" s="1837"/>
      <c r="X1793" s="1837"/>
    </row>
    <row r="1794" spans="1:24" ht="24" customHeight="1">
      <c r="A1794" s="1933"/>
      <c r="B1794" s="2003" t="s">
        <v>646</v>
      </c>
      <c r="C1794" s="1895" t="s">
        <v>647</v>
      </c>
      <c r="D1794" s="1915"/>
      <c r="E1794" s="2045">
        <v>0</v>
      </c>
      <c r="F1794" s="1842" t="s">
        <v>240</v>
      </c>
      <c r="G1794" s="2046">
        <v>78210</v>
      </c>
      <c r="H1794" s="1854">
        <f t="shared" si="887"/>
        <v>0</v>
      </c>
      <c r="I1794" s="2046">
        <v>4000</v>
      </c>
      <c r="J1794" s="1854">
        <f t="shared" si="888"/>
        <v>0</v>
      </c>
      <c r="K1794" s="1857">
        <f t="shared" si="889"/>
        <v>0</v>
      </c>
      <c r="L1794" s="2043"/>
      <c r="M1794" s="2044"/>
      <c r="N1794" s="1837"/>
      <c r="O1794" s="1837"/>
      <c r="P1794" s="1837"/>
      <c r="Q1794" s="1837"/>
      <c r="R1794" s="1837"/>
      <c r="S1794" s="1837"/>
      <c r="T1794" s="1837"/>
      <c r="U1794" s="1837"/>
      <c r="V1794" s="1837"/>
      <c r="W1794" s="1837"/>
      <c r="X1794" s="1837"/>
    </row>
    <row r="1795" spans="1:24" ht="24" customHeight="1">
      <c r="A1795" s="1933"/>
      <c r="B1795" s="2003" t="s">
        <v>648</v>
      </c>
      <c r="C1795" s="1895" t="s">
        <v>2820</v>
      </c>
      <c r="D1795" s="1915"/>
      <c r="E1795" s="2045">
        <v>0</v>
      </c>
      <c r="F1795" s="1842" t="s">
        <v>240</v>
      </c>
      <c r="G1795" s="2046">
        <v>34220</v>
      </c>
      <c r="H1795" s="1854">
        <f t="shared" si="887"/>
        <v>0</v>
      </c>
      <c r="I1795" s="2046">
        <v>4000</v>
      </c>
      <c r="J1795" s="1854">
        <f t="shared" si="888"/>
        <v>0</v>
      </c>
      <c r="K1795" s="1857">
        <f t="shared" si="889"/>
        <v>0</v>
      </c>
      <c r="L1795" s="2043"/>
      <c r="M1795" s="2044"/>
      <c r="N1795" s="1837"/>
      <c r="O1795" s="1837"/>
      <c r="P1795" s="1837"/>
      <c r="Q1795" s="1837"/>
      <c r="R1795" s="1837"/>
      <c r="S1795" s="1837"/>
      <c r="T1795" s="1837"/>
      <c r="U1795" s="1837"/>
      <c r="V1795" s="1837"/>
      <c r="W1795" s="1837"/>
      <c r="X1795" s="1837"/>
    </row>
    <row r="1796" spans="1:24" ht="24" customHeight="1">
      <c r="A1796" s="1933"/>
      <c r="B1796" s="2003" t="s">
        <v>649</v>
      </c>
      <c r="C1796" s="1895" t="s">
        <v>643</v>
      </c>
      <c r="D1796" s="1915"/>
      <c r="E1796" s="2045">
        <v>0</v>
      </c>
      <c r="F1796" s="1842" t="s">
        <v>240</v>
      </c>
      <c r="G1796" s="2046">
        <v>63520</v>
      </c>
      <c r="H1796" s="1854">
        <f t="shared" si="887"/>
        <v>0</v>
      </c>
      <c r="I1796" s="2046">
        <v>4000</v>
      </c>
      <c r="J1796" s="1854">
        <f t="shared" si="888"/>
        <v>0</v>
      </c>
      <c r="K1796" s="1857">
        <f t="shared" si="889"/>
        <v>0</v>
      </c>
      <c r="L1796" s="2043"/>
      <c r="M1796" s="2044"/>
      <c r="N1796" s="1837"/>
      <c r="O1796" s="1837"/>
      <c r="P1796" s="1837"/>
      <c r="Q1796" s="1837"/>
      <c r="R1796" s="1837"/>
      <c r="S1796" s="1837"/>
      <c r="T1796" s="1837"/>
      <c r="U1796" s="1837"/>
      <c r="V1796" s="1837"/>
      <c r="W1796" s="1837"/>
      <c r="X1796" s="1837"/>
    </row>
    <row r="1797" spans="1:24" ht="24" customHeight="1">
      <c r="A1797" s="1933"/>
      <c r="B1797" s="2003" t="s">
        <v>650</v>
      </c>
      <c r="C1797" s="1895" t="s">
        <v>647</v>
      </c>
      <c r="D1797" s="1915"/>
      <c r="E1797" s="2045">
        <v>0</v>
      </c>
      <c r="F1797" s="1842" t="s">
        <v>240</v>
      </c>
      <c r="G1797" s="2046">
        <v>75710</v>
      </c>
      <c r="H1797" s="1854">
        <f t="shared" si="887"/>
        <v>0</v>
      </c>
      <c r="I1797" s="2046">
        <v>4000</v>
      </c>
      <c r="J1797" s="1854">
        <f t="shared" si="888"/>
        <v>0</v>
      </c>
      <c r="K1797" s="1857">
        <f t="shared" si="889"/>
        <v>0</v>
      </c>
      <c r="L1797" s="2043"/>
      <c r="M1797" s="2044"/>
      <c r="N1797" s="1837"/>
      <c r="O1797" s="1837"/>
      <c r="P1797" s="1837"/>
      <c r="Q1797" s="1837"/>
      <c r="R1797" s="1837"/>
      <c r="S1797" s="1837"/>
      <c r="T1797" s="1837"/>
      <c r="U1797" s="1837"/>
      <c r="V1797" s="1837"/>
      <c r="W1797" s="1837"/>
      <c r="X1797" s="1837"/>
    </row>
    <row r="1798" spans="1:24" ht="24" customHeight="1">
      <c r="A1798" s="1933"/>
      <c r="B1798" s="2003" t="s">
        <v>651</v>
      </c>
      <c r="C1798" s="1895" t="s">
        <v>647</v>
      </c>
      <c r="D1798" s="1915"/>
      <c r="E1798" s="2045">
        <v>0</v>
      </c>
      <c r="F1798" s="1842" t="s">
        <v>240</v>
      </c>
      <c r="G1798" s="2046">
        <v>78210</v>
      </c>
      <c r="H1798" s="1854">
        <f t="shared" si="887"/>
        <v>0</v>
      </c>
      <c r="I1798" s="2046">
        <v>4000</v>
      </c>
      <c r="J1798" s="1854">
        <f t="shared" si="888"/>
        <v>0</v>
      </c>
      <c r="K1798" s="1857">
        <f t="shared" si="889"/>
        <v>0</v>
      </c>
      <c r="L1798" s="2043"/>
      <c r="M1798" s="2044"/>
      <c r="N1798" s="1837"/>
      <c r="O1798" s="1837"/>
      <c r="P1798" s="1837"/>
      <c r="Q1798" s="1837"/>
      <c r="R1798" s="1837"/>
      <c r="S1798" s="1837"/>
      <c r="T1798" s="1837"/>
      <c r="U1798" s="1837"/>
      <c r="V1798" s="1837"/>
      <c r="W1798" s="1837"/>
      <c r="X1798" s="1837"/>
    </row>
    <row r="1799" spans="1:24" ht="24" customHeight="1">
      <c r="A1799" s="1933"/>
      <c r="B1799" s="2003" t="s">
        <v>652</v>
      </c>
      <c r="C1799" s="1895" t="s">
        <v>647</v>
      </c>
      <c r="D1799" s="1915"/>
      <c r="E1799" s="2257">
        <v>0</v>
      </c>
      <c r="F1799" s="1842" t="s">
        <v>240</v>
      </c>
      <c r="G1799" s="2046">
        <v>49870</v>
      </c>
      <c r="H1799" s="1854">
        <f t="shared" si="887"/>
        <v>0</v>
      </c>
      <c r="I1799" s="2046">
        <v>4000</v>
      </c>
      <c r="J1799" s="1854">
        <f t="shared" si="888"/>
        <v>0</v>
      </c>
      <c r="K1799" s="1857">
        <f t="shared" si="889"/>
        <v>0</v>
      </c>
      <c r="L1799" s="2043"/>
      <c r="M1799" s="2044"/>
      <c r="N1799" s="1837"/>
      <c r="O1799" s="1837"/>
      <c r="P1799" s="1837"/>
      <c r="Q1799" s="1837"/>
      <c r="R1799" s="1837"/>
      <c r="S1799" s="1837"/>
      <c r="T1799" s="1837"/>
      <c r="U1799" s="1837"/>
      <c r="V1799" s="1837"/>
      <c r="W1799" s="1837"/>
      <c r="X1799" s="1837"/>
    </row>
    <row r="1800" spans="1:24" ht="24" customHeight="1">
      <c r="A1800" s="1933"/>
      <c r="B1800" s="2003" t="s">
        <v>653</v>
      </c>
      <c r="C1800" s="1895" t="s">
        <v>639</v>
      </c>
      <c r="D1800" s="1915"/>
      <c r="E1800" s="2257">
        <v>0</v>
      </c>
      <c r="F1800" s="1842" t="s">
        <v>240</v>
      </c>
      <c r="G1800" s="2046">
        <v>27900</v>
      </c>
      <c r="H1800" s="1854">
        <f t="shared" si="887"/>
        <v>0</v>
      </c>
      <c r="I1800" s="2046">
        <v>4000</v>
      </c>
      <c r="J1800" s="1854">
        <f t="shared" si="888"/>
        <v>0</v>
      </c>
      <c r="K1800" s="1857">
        <f t="shared" si="889"/>
        <v>0</v>
      </c>
      <c r="L1800" s="2043"/>
      <c r="M1800" s="2044"/>
      <c r="N1800" s="1837"/>
      <c r="O1800" s="1837"/>
      <c r="P1800" s="1837"/>
      <c r="Q1800" s="1837"/>
      <c r="R1800" s="1837"/>
      <c r="S1800" s="1837"/>
      <c r="T1800" s="1837"/>
      <c r="U1800" s="1837"/>
      <c r="V1800" s="1837"/>
      <c r="W1800" s="1837"/>
      <c r="X1800" s="1837"/>
    </row>
    <row r="1801" spans="1:24" ht="24" customHeight="1">
      <c r="A1801" s="1782"/>
      <c r="B1801" s="2003"/>
      <c r="C1801" s="1895"/>
      <c r="D1801" s="1915"/>
      <c r="E1801" s="2257"/>
      <c r="F1801" s="1842"/>
      <c r="G1801" s="2046"/>
      <c r="H1801" s="1854"/>
      <c r="I1801" s="2048"/>
      <c r="J1801" s="1854"/>
      <c r="K1801" s="1857"/>
      <c r="L1801" s="2049"/>
      <c r="M1801" s="2044"/>
      <c r="N1801" s="1837"/>
      <c r="O1801" s="1837"/>
      <c r="P1801" s="1837"/>
      <c r="Q1801" s="1837"/>
      <c r="R1801" s="1837"/>
      <c r="S1801" s="1837"/>
      <c r="T1801" s="1837"/>
      <c r="U1801" s="1837"/>
      <c r="V1801" s="1837"/>
      <c r="W1801" s="1837"/>
      <c r="X1801" s="1837"/>
    </row>
    <row r="1802" spans="1:24" ht="24" customHeight="1">
      <c r="A1802" s="1933"/>
      <c r="B1802" s="2003" t="s">
        <v>654</v>
      </c>
      <c r="C1802" s="1895" t="s">
        <v>655</v>
      </c>
      <c r="D1802" s="1915"/>
      <c r="E1802" s="2257">
        <v>2</v>
      </c>
      <c r="F1802" s="1842" t="s">
        <v>240</v>
      </c>
      <c r="G1802" s="2046">
        <v>24170</v>
      </c>
      <c r="H1802" s="1854">
        <f>E1802*G1802</f>
        <v>48340</v>
      </c>
      <c r="I1802" s="2046">
        <v>4000</v>
      </c>
      <c r="J1802" s="1854">
        <f>E1802*I1802</f>
        <v>8000</v>
      </c>
      <c r="K1802" s="1857">
        <f>H1802+J1802</f>
        <v>56340</v>
      </c>
      <c r="L1802" s="2043"/>
      <c r="M1802" s="2044"/>
      <c r="N1802" s="1837"/>
      <c r="O1802" s="1837"/>
      <c r="P1802" s="1837"/>
      <c r="Q1802" s="1837"/>
      <c r="R1802" s="1837"/>
      <c r="S1802" s="1837"/>
      <c r="T1802" s="1837"/>
      <c r="U1802" s="1837"/>
      <c r="V1802" s="1837"/>
      <c r="W1802" s="1837"/>
      <c r="X1802" s="1837"/>
    </row>
    <row r="1803" spans="1:24" ht="24" customHeight="1">
      <c r="A1803" s="1933"/>
      <c r="B1803" s="2003" t="s">
        <v>656</v>
      </c>
      <c r="C1803" s="1895" t="s">
        <v>655</v>
      </c>
      <c r="D1803" s="1915"/>
      <c r="E1803" s="2257">
        <v>6</v>
      </c>
      <c r="F1803" s="1842" t="s">
        <v>240</v>
      </c>
      <c r="G1803" s="2046">
        <v>38620</v>
      </c>
      <c r="H1803" s="1854">
        <f t="shared" ref="H1803:H1807" si="890">E1803*G1803</f>
        <v>231720</v>
      </c>
      <c r="I1803" s="2046">
        <v>4000</v>
      </c>
      <c r="J1803" s="1854">
        <f t="shared" ref="J1803:J1807" si="891">E1803*I1803</f>
        <v>24000</v>
      </c>
      <c r="K1803" s="1857">
        <f t="shared" ref="K1803:K1807" si="892">H1803+J1803</f>
        <v>255720</v>
      </c>
      <c r="L1803" s="2043"/>
      <c r="M1803" s="2044"/>
      <c r="N1803" s="1837"/>
      <c r="O1803" s="1837"/>
      <c r="P1803" s="1837"/>
      <c r="Q1803" s="1837"/>
      <c r="R1803" s="1837"/>
      <c r="S1803" s="1837"/>
      <c r="T1803" s="1837"/>
      <c r="U1803" s="1837"/>
      <c r="V1803" s="1837"/>
      <c r="W1803" s="1837"/>
      <c r="X1803" s="1837"/>
    </row>
    <row r="1804" spans="1:24" ht="24" customHeight="1">
      <c r="A1804" s="1933"/>
      <c r="B1804" s="2003" t="s">
        <v>657</v>
      </c>
      <c r="C1804" s="1895" t="s">
        <v>658</v>
      </c>
      <c r="D1804" s="1915"/>
      <c r="E1804" s="2257">
        <v>0</v>
      </c>
      <c r="F1804" s="1842" t="s">
        <v>240</v>
      </c>
      <c r="G1804" s="2046">
        <v>17400</v>
      </c>
      <c r="H1804" s="1854">
        <f t="shared" si="890"/>
        <v>0</v>
      </c>
      <c r="I1804" s="2046">
        <v>3000</v>
      </c>
      <c r="J1804" s="1854">
        <f t="shared" si="891"/>
        <v>0</v>
      </c>
      <c r="K1804" s="1857">
        <f t="shared" si="892"/>
        <v>0</v>
      </c>
      <c r="L1804" s="2043"/>
      <c r="M1804" s="2044"/>
      <c r="N1804" s="1837"/>
      <c r="O1804" s="1837"/>
      <c r="P1804" s="1837"/>
      <c r="Q1804" s="1837"/>
      <c r="R1804" s="1837"/>
      <c r="S1804" s="1837"/>
      <c r="T1804" s="1837"/>
      <c r="U1804" s="1837"/>
      <c r="V1804" s="1837"/>
      <c r="W1804" s="1837"/>
      <c r="X1804" s="1837"/>
    </row>
    <row r="1805" spans="1:24" ht="24" customHeight="1">
      <c r="A1805" s="1933"/>
      <c r="B1805" s="2003" t="s">
        <v>659</v>
      </c>
      <c r="C1805" s="1895" t="s">
        <v>660</v>
      </c>
      <c r="D1805" s="1915"/>
      <c r="E1805" s="2257">
        <v>7</v>
      </c>
      <c r="F1805" s="1842" t="s">
        <v>240</v>
      </c>
      <c r="G1805" s="2046">
        <v>19450</v>
      </c>
      <c r="H1805" s="1854">
        <f t="shared" si="890"/>
        <v>136150</v>
      </c>
      <c r="I1805" s="2046">
        <v>3000</v>
      </c>
      <c r="J1805" s="1854">
        <f t="shared" si="891"/>
        <v>21000</v>
      </c>
      <c r="K1805" s="1857">
        <f t="shared" si="892"/>
        <v>157150</v>
      </c>
      <c r="L1805" s="2043"/>
      <c r="M1805" s="2044"/>
      <c r="N1805" s="1837"/>
      <c r="O1805" s="1837"/>
      <c r="P1805" s="1837"/>
      <c r="Q1805" s="1837"/>
      <c r="R1805" s="1837"/>
      <c r="S1805" s="1837"/>
      <c r="T1805" s="1837"/>
      <c r="U1805" s="1837"/>
      <c r="V1805" s="1837"/>
      <c r="W1805" s="1837"/>
      <c r="X1805" s="1837"/>
    </row>
    <row r="1806" spans="1:24" ht="24" customHeight="1">
      <c r="A1806" s="1933"/>
      <c r="B1806" s="2003" t="s">
        <v>661</v>
      </c>
      <c r="C1806" s="1895" t="s">
        <v>662</v>
      </c>
      <c r="D1806" s="1915"/>
      <c r="E1806" s="2257">
        <v>0</v>
      </c>
      <c r="F1806" s="1842" t="s">
        <v>240</v>
      </c>
      <c r="G1806" s="2046">
        <v>40120</v>
      </c>
      <c r="H1806" s="1854">
        <f t="shared" si="890"/>
        <v>0</v>
      </c>
      <c r="I1806" s="2046">
        <v>4000</v>
      </c>
      <c r="J1806" s="1854">
        <f t="shared" si="891"/>
        <v>0</v>
      </c>
      <c r="K1806" s="1857">
        <f t="shared" si="892"/>
        <v>0</v>
      </c>
      <c r="L1806" s="2043"/>
      <c r="M1806" s="2044"/>
      <c r="N1806" s="1837"/>
      <c r="O1806" s="1837"/>
      <c r="P1806" s="1837"/>
      <c r="Q1806" s="1837"/>
      <c r="R1806" s="1837"/>
      <c r="S1806" s="1837"/>
      <c r="T1806" s="1837"/>
      <c r="U1806" s="1837"/>
      <c r="V1806" s="1837"/>
      <c r="W1806" s="1837"/>
      <c r="X1806" s="1837"/>
    </row>
    <row r="1807" spans="1:24" ht="24" customHeight="1">
      <c r="A1807" s="1933"/>
      <c r="B1807" s="2003" t="s">
        <v>663</v>
      </c>
      <c r="C1807" s="1895" t="s">
        <v>662</v>
      </c>
      <c r="D1807" s="1915"/>
      <c r="E1807" s="2257">
        <v>0</v>
      </c>
      <c r="F1807" s="1842" t="s">
        <v>240</v>
      </c>
      <c r="G1807" s="2046">
        <v>57600</v>
      </c>
      <c r="H1807" s="1854">
        <f t="shared" si="890"/>
        <v>0</v>
      </c>
      <c r="I1807" s="2046">
        <v>4000</v>
      </c>
      <c r="J1807" s="1854">
        <f t="shared" si="891"/>
        <v>0</v>
      </c>
      <c r="K1807" s="1857">
        <f t="shared" si="892"/>
        <v>0</v>
      </c>
      <c r="L1807" s="2043"/>
      <c r="M1807" s="2044"/>
      <c r="N1807" s="1837"/>
      <c r="O1807" s="1837"/>
      <c r="P1807" s="1837"/>
      <c r="Q1807" s="1837"/>
      <c r="R1807" s="1837"/>
      <c r="S1807" s="1837"/>
      <c r="T1807" s="1837"/>
      <c r="U1807" s="1837"/>
      <c r="V1807" s="1837"/>
      <c r="W1807" s="1837"/>
      <c r="X1807" s="1837"/>
    </row>
    <row r="1808" spans="1:24" ht="24" customHeight="1">
      <c r="A1808" s="1933"/>
      <c r="B1808" s="2003"/>
      <c r="C1808" s="1895"/>
      <c r="D1808" s="1915"/>
      <c r="E1808" s="2257"/>
      <c r="F1808" s="1842"/>
      <c r="G1808" s="2046"/>
      <c r="H1808" s="1854"/>
      <c r="I1808" s="2048"/>
      <c r="J1808" s="1854"/>
      <c r="K1808" s="1857"/>
      <c r="L1808" s="2043"/>
      <c r="M1808" s="2044"/>
      <c r="N1808" s="1837"/>
      <c r="O1808" s="1837"/>
      <c r="P1808" s="1837"/>
      <c r="Q1808" s="1837"/>
      <c r="R1808" s="1837"/>
      <c r="S1808" s="1837"/>
      <c r="T1808" s="1837"/>
      <c r="U1808" s="1837"/>
      <c r="V1808" s="1837"/>
      <c r="W1808" s="1837"/>
      <c r="X1808" s="1837"/>
    </row>
    <row r="1809" spans="1:24" ht="24" customHeight="1">
      <c r="A1809" s="1933"/>
      <c r="B1809" s="2003" t="s">
        <v>664</v>
      </c>
      <c r="C1809" s="1895" t="s">
        <v>665</v>
      </c>
      <c r="D1809" s="1915"/>
      <c r="E1809" s="2257">
        <v>0</v>
      </c>
      <c r="F1809" s="1842" t="s">
        <v>240</v>
      </c>
      <c r="G1809" s="2046">
        <v>18500</v>
      </c>
      <c r="H1809" s="1854">
        <f t="shared" ref="H1809" si="893">E1809*G1809</f>
        <v>0</v>
      </c>
      <c r="I1809" s="2046">
        <v>1200</v>
      </c>
      <c r="J1809" s="1854">
        <f t="shared" ref="J1809" si="894">E1809*I1809</f>
        <v>0</v>
      </c>
      <c r="K1809" s="1857">
        <f t="shared" ref="K1809" si="895">H1809+J1809</f>
        <v>0</v>
      </c>
      <c r="L1809" s="2043"/>
      <c r="M1809" s="2044"/>
      <c r="N1809" s="1837"/>
      <c r="O1809" s="1837"/>
      <c r="P1809" s="1837"/>
      <c r="Q1809" s="1837"/>
      <c r="R1809" s="1837"/>
      <c r="S1809" s="1837"/>
      <c r="T1809" s="1837"/>
      <c r="U1809" s="1837"/>
      <c r="V1809" s="1837"/>
      <c r="W1809" s="1837"/>
      <c r="X1809" s="1837"/>
    </row>
    <row r="1810" spans="1:24" ht="24" customHeight="1">
      <c r="A1810" s="1933"/>
      <c r="B1810" s="2003"/>
      <c r="C1810" s="1895"/>
      <c r="D1810" s="1915"/>
      <c r="E1810" s="2257"/>
      <c r="F1810" s="1842"/>
      <c r="G1810" s="2046"/>
      <c r="H1810" s="1854"/>
      <c r="I1810" s="2046"/>
      <c r="J1810" s="1854"/>
      <c r="K1810" s="1857"/>
      <c r="L1810" s="2043"/>
      <c r="M1810" s="2044"/>
      <c r="N1810" s="1837"/>
      <c r="O1810" s="1837"/>
      <c r="P1810" s="1837"/>
      <c r="Q1810" s="1837"/>
      <c r="R1810" s="1837"/>
      <c r="S1810" s="1837"/>
      <c r="T1810" s="1837"/>
      <c r="U1810" s="1837"/>
      <c r="V1810" s="1837"/>
      <c r="W1810" s="1837"/>
      <c r="X1810" s="1837"/>
    </row>
    <row r="1811" spans="1:24" ht="24" customHeight="1">
      <c r="A1811" s="1933"/>
      <c r="B1811" s="2003" t="s">
        <v>666</v>
      </c>
      <c r="C1811" s="1895" t="s">
        <v>667</v>
      </c>
      <c r="D1811" s="1915"/>
      <c r="E1811" s="2257">
        <v>0</v>
      </c>
      <c r="F1811" s="1842" t="s">
        <v>240</v>
      </c>
      <c r="G1811" s="2046">
        <v>127500</v>
      </c>
      <c r="H1811" s="1854">
        <f t="shared" ref="H1811:H1820" si="896">E1811*G1811</f>
        <v>0</v>
      </c>
      <c r="I1811" s="2046">
        <v>18750</v>
      </c>
      <c r="J1811" s="1854">
        <f t="shared" ref="J1811:J1820" si="897">E1811*I1811</f>
        <v>0</v>
      </c>
      <c r="K1811" s="1857">
        <f t="shared" ref="K1811:K1820" si="898">H1811+J1811</f>
        <v>0</v>
      </c>
      <c r="L1811" s="1910"/>
      <c r="M1811" s="2047"/>
      <c r="N1811" s="1837"/>
      <c r="O1811" s="1837"/>
      <c r="P1811" s="1837"/>
      <c r="Q1811" s="1837"/>
      <c r="R1811" s="1837"/>
      <c r="S1811" s="1837"/>
      <c r="T1811" s="1837"/>
      <c r="U1811" s="1837"/>
      <c r="V1811" s="1837"/>
      <c r="W1811" s="1837"/>
      <c r="X1811" s="1837"/>
    </row>
    <row r="1812" spans="1:24" ht="24" customHeight="1">
      <c r="A1812" s="1933"/>
      <c r="B1812" s="2003" t="s">
        <v>668</v>
      </c>
      <c r="C1812" s="1895" t="s">
        <v>669</v>
      </c>
      <c r="D1812" s="1915"/>
      <c r="E1812" s="2045">
        <v>0</v>
      </c>
      <c r="F1812" s="1842" t="s">
        <v>240</v>
      </c>
      <c r="G1812" s="2046">
        <v>197200</v>
      </c>
      <c r="H1812" s="1854">
        <f t="shared" si="896"/>
        <v>0</v>
      </c>
      <c r="I1812" s="2046">
        <v>29000</v>
      </c>
      <c r="J1812" s="1854">
        <f t="shared" si="897"/>
        <v>0</v>
      </c>
      <c r="K1812" s="1857">
        <f t="shared" si="898"/>
        <v>0</v>
      </c>
      <c r="L1812" s="1910"/>
      <c r="M1812" s="2047"/>
      <c r="N1812" s="1837"/>
      <c r="O1812" s="1837"/>
      <c r="P1812" s="1837"/>
      <c r="Q1812" s="1837"/>
      <c r="R1812" s="1837"/>
      <c r="S1812" s="1837"/>
      <c r="T1812" s="1837"/>
      <c r="U1812" s="1837"/>
      <c r="V1812" s="1837"/>
      <c r="W1812" s="1837"/>
      <c r="X1812" s="1837"/>
    </row>
    <row r="1813" spans="1:24" ht="24" customHeight="1">
      <c r="A1813" s="1933"/>
      <c r="B1813" s="2003" t="s">
        <v>670</v>
      </c>
      <c r="C1813" s="1895" t="s">
        <v>671</v>
      </c>
      <c r="D1813" s="1915"/>
      <c r="E1813" s="2045">
        <v>0</v>
      </c>
      <c r="F1813" s="1842" t="s">
        <v>240</v>
      </c>
      <c r="G1813" s="2046">
        <v>187000</v>
      </c>
      <c r="H1813" s="1854">
        <f t="shared" si="896"/>
        <v>0</v>
      </c>
      <c r="I1813" s="2046">
        <v>27500</v>
      </c>
      <c r="J1813" s="1854">
        <f t="shared" si="897"/>
        <v>0</v>
      </c>
      <c r="K1813" s="1857">
        <f t="shared" si="898"/>
        <v>0</v>
      </c>
      <c r="L1813" s="1910"/>
      <c r="M1813" s="2047"/>
      <c r="N1813" s="1837"/>
      <c r="O1813" s="1837"/>
      <c r="P1813" s="1837"/>
      <c r="Q1813" s="1837"/>
      <c r="R1813" s="1837"/>
      <c r="S1813" s="1837"/>
      <c r="T1813" s="1837"/>
      <c r="U1813" s="1837"/>
      <c r="V1813" s="1837"/>
      <c r="W1813" s="1837"/>
      <c r="X1813" s="1837"/>
    </row>
    <row r="1814" spans="1:24" ht="24" customHeight="1">
      <c r="A1814" s="1933"/>
      <c r="B1814" s="2003" t="s">
        <v>672</v>
      </c>
      <c r="C1814" s="1895" t="s">
        <v>673</v>
      </c>
      <c r="D1814" s="1915"/>
      <c r="E1814" s="2045">
        <v>0</v>
      </c>
      <c r="F1814" s="1842" t="s">
        <v>240</v>
      </c>
      <c r="G1814" s="2046">
        <v>476000</v>
      </c>
      <c r="H1814" s="1854">
        <f t="shared" si="896"/>
        <v>0</v>
      </c>
      <c r="I1814" s="2046">
        <v>70000</v>
      </c>
      <c r="J1814" s="1854">
        <f t="shared" si="897"/>
        <v>0</v>
      </c>
      <c r="K1814" s="1857">
        <f t="shared" si="898"/>
        <v>0</v>
      </c>
      <c r="L1814" s="1910"/>
      <c r="M1814" s="2047"/>
      <c r="N1814" s="1837"/>
      <c r="O1814" s="1837"/>
      <c r="P1814" s="1837"/>
      <c r="Q1814" s="1837"/>
      <c r="R1814" s="1837"/>
      <c r="S1814" s="1837"/>
      <c r="T1814" s="1837"/>
      <c r="U1814" s="1837"/>
      <c r="V1814" s="1837"/>
      <c r="W1814" s="1837"/>
      <c r="X1814" s="1837"/>
    </row>
    <row r="1815" spans="1:24" ht="24" customHeight="1">
      <c r="A1815" s="1933"/>
      <c r="B1815" s="2003" t="s">
        <v>674</v>
      </c>
      <c r="C1815" s="1895" t="s">
        <v>675</v>
      </c>
      <c r="D1815" s="1915"/>
      <c r="E1815" s="2045">
        <v>0</v>
      </c>
      <c r="F1815" s="1842" t="s">
        <v>240</v>
      </c>
      <c r="G1815" s="2046">
        <v>305660</v>
      </c>
      <c r="H1815" s="1854">
        <f t="shared" si="896"/>
        <v>0</v>
      </c>
      <c r="I1815" s="2046">
        <v>44950</v>
      </c>
      <c r="J1815" s="1854">
        <f t="shared" si="897"/>
        <v>0</v>
      </c>
      <c r="K1815" s="1857">
        <f t="shared" si="898"/>
        <v>0</v>
      </c>
      <c r="L1815" s="1910"/>
      <c r="M1815" s="2047"/>
      <c r="N1815" s="1837"/>
      <c r="O1815" s="1837"/>
      <c r="P1815" s="1837"/>
      <c r="Q1815" s="1837"/>
      <c r="R1815" s="1837"/>
      <c r="S1815" s="1837"/>
      <c r="T1815" s="1837"/>
      <c r="U1815" s="1837"/>
      <c r="V1815" s="1837"/>
      <c r="W1815" s="1837"/>
      <c r="X1815" s="1837"/>
    </row>
    <row r="1816" spans="1:24" ht="24" customHeight="1">
      <c r="A1816" s="1933"/>
      <c r="B1816" s="2003" t="s">
        <v>676</v>
      </c>
      <c r="C1816" s="1895" t="s">
        <v>677</v>
      </c>
      <c r="D1816" s="1915"/>
      <c r="E1816" s="2045">
        <v>0</v>
      </c>
      <c r="F1816" s="1842" t="s">
        <v>240</v>
      </c>
      <c r="G1816" s="2046">
        <v>350030</v>
      </c>
      <c r="H1816" s="1854">
        <f t="shared" si="896"/>
        <v>0</v>
      </c>
      <c r="I1816" s="2046">
        <v>51475</v>
      </c>
      <c r="J1816" s="1854">
        <f t="shared" si="897"/>
        <v>0</v>
      </c>
      <c r="K1816" s="1857">
        <f t="shared" si="898"/>
        <v>0</v>
      </c>
      <c r="L1816" s="1910"/>
      <c r="M1816" s="2047"/>
      <c r="N1816" s="1837"/>
      <c r="O1816" s="1837"/>
      <c r="P1816" s="1837"/>
      <c r="Q1816" s="1837"/>
      <c r="R1816" s="1837"/>
      <c r="S1816" s="1837"/>
      <c r="T1816" s="1837"/>
      <c r="U1816" s="1837"/>
      <c r="V1816" s="1837"/>
      <c r="W1816" s="1837"/>
      <c r="X1816" s="1837"/>
    </row>
    <row r="1817" spans="1:24" ht="24" customHeight="1">
      <c r="A1817" s="1933"/>
      <c r="B1817" s="2003" t="s">
        <v>678</v>
      </c>
      <c r="C1817" s="1895" t="s">
        <v>679</v>
      </c>
      <c r="D1817" s="1915"/>
      <c r="E1817" s="2045">
        <v>0</v>
      </c>
      <c r="F1817" s="1842" t="s">
        <v>240</v>
      </c>
      <c r="G1817" s="2046">
        <v>448800</v>
      </c>
      <c r="H1817" s="1854">
        <f t="shared" si="896"/>
        <v>0</v>
      </c>
      <c r="I1817" s="2046">
        <v>66000</v>
      </c>
      <c r="J1817" s="1854">
        <f t="shared" si="897"/>
        <v>0</v>
      </c>
      <c r="K1817" s="1857">
        <f t="shared" si="898"/>
        <v>0</v>
      </c>
      <c r="L1817" s="1910"/>
      <c r="M1817" s="2047"/>
      <c r="N1817" s="1837"/>
      <c r="O1817" s="1837"/>
      <c r="P1817" s="1837"/>
      <c r="Q1817" s="1837"/>
      <c r="R1817" s="1837"/>
      <c r="S1817" s="1837"/>
      <c r="T1817" s="1837"/>
      <c r="U1817" s="1837"/>
      <c r="V1817" s="1837"/>
      <c r="W1817" s="1837"/>
      <c r="X1817" s="1837"/>
    </row>
    <row r="1818" spans="1:24" ht="24" customHeight="1">
      <c r="A1818" s="1933"/>
      <c r="B1818" s="2003" t="s">
        <v>680</v>
      </c>
      <c r="C1818" s="1895" t="s">
        <v>681</v>
      </c>
      <c r="D1818" s="1915"/>
      <c r="E1818" s="2045">
        <v>0</v>
      </c>
      <c r="F1818" s="1842" t="s">
        <v>240</v>
      </c>
      <c r="G1818" s="2046">
        <v>639200</v>
      </c>
      <c r="H1818" s="1854">
        <f t="shared" si="896"/>
        <v>0</v>
      </c>
      <c r="I1818" s="2046">
        <v>94000</v>
      </c>
      <c r="J1818" s="1854">
        <f t="shared" si="897"/>
        <v>0</v>
      </c>
      <c r="K1818" s="1857">
        <f t="shared" si="898"/>
        <v>0</v>
      </c>
      <c r="L1818" s="1910"/>
      <c r="M1818" s="2047"/>
      <c r="N1818" s="1837"/>
      <c r="O1818" s="1837"/>
      <c r="P1818" s="1837"/>
      <c r="Q1818" s="1837"/>
      <c r="R1818" s="1837"/>
      <c r="S1818" s="1837"/>
      <c r="T1818" s="1837"/>
      <c r="U1818" s="1837"/>
      <c r="V1818" s="1837"/>
      <c r="W1818" s="1837"/>
      <c r="X1818" s="1837"/>
    </row>
    <row r="1819" spans="1:24" ht="24" customHeight="1">
      <c r="A1819" s="1933"/>
      <c r="B1819" s="2003" t="s">
        <v>682</v>
      </c>
      <c r="C1819" s="1895" t="s">
        <v>669</v>
      </c>
      <c r="D1819" s="1915"/>
      <c r="E1819" s="2045">
        <v>0</v>
      </c>
      <c r="F1819" s="1842" t="s">
        <v>240</v>
      </c>
      <c r="G1819" s="2046">
        <v>197200</v>
      </c>
      <c r="H1819" s="1854">
        <f t="shared" si="896"/>
        <v>0</v>
      </c>
      <c r="I1819" s="2046">
        <v>29000</v>
      </c>
      <c r="J1819" s="1854">
        <f t="shared" si="897"/>
        <v>0</v>
      </c>
      <c r="K1819" s="1857">
        <f t="shared" si="898"/>
        <v>0</v>
      </c>
      <c r="L1819" s="1910"/>
      <c r="M1819" s="2047"/>
      <c r="N1819" s="1837"/>
      <c r="O1819" s="1837"/>
      <c r="P1819" s="1837"/>
      <c r="Q1819" s="1837"/>
      <c r="R1819" s="1837"/>
      <c r="S1819" s="1837"/>
      <c r="T1819" s="1837"/>
      <c r="U1819" s="1837"/>
      <c r="V1819" s="1837"/>
      <c r="W1819" s="1837"/>
      <c r="X1819" s="1837"/>
    </row>
    <row r="1820" spans="1:24" ht="24" customHeight="1">
      <c r="A1820" s="1933"/>
      <c r="B1820" s="2003" t="s">
        <v>683</v>
      </c>
      <c r="C1820" s="1895" t="s">
        <v>684</v>
      </c>
      <c r="D1820" s="1915"/>
      <c r="E1820" s="2045">
        <v>0</v>
      </c>
      <c r="F1820" s="1842" t="s">
        <v>240</v>
      </c>
      <c r="G1820" s="2046">
        <v>163200</v>
      </c>
      <c r="H1820" s="1854">
        <f t="shared" si="896"/>
        <v>0</v>
      </c>
      <c r="I1820" s="2046">
        <v>24000</v>
      </c>
      <c r="J1820" s="1854">
        <f t="shared" si="897"/>
        <v>0</v>
      </c>
      <c r="K1820" s="1857">
        <f t="shared" si="898"/>
        <v>0</v>
      </c>
      <c r="L1820" s="2043"/>
      <c r="M1820" s="2044"/>
      <c r="N1820" s="1837"/>
      <c r="O1820" s="1837"/>
      <c r="P1820" s="1837"/>
      <c r="Q1820" s="1837"/>
      <c r="R1820" s="1837"/>
      <c r="S1820" s="1837"/>
      <c r="T1820" s="1837"/>
      <c r="U1820" s="1837"/>
      <c r="V1820" s="1837"/>
      <c r="W1820" s="1837"/>
      <c r="X1820" s="1837"/>
    </row>
    <row r="1821" spans="1:24" ht="24" customHeight="1">
      <c r="A1821" s="1933"/>
      <c r="B1821" s="2003"/>
      <c r="C1821" s="1895"/>
      <c r="D1821" s="1915"/>
      <c r="E1821" s="2045"/>
      <c r="F1821" s="1842"/>
      <c r="G1821" s="2050"/>
      <c r="H1821" s="1911"/>
      <c r="I1821" s="2050"/>
      <c r="J1821" s="1911"/>
      <c r="K1821" s="2051"/>
      <c r="L1821" s="2043"/>
      <c r="M1821" s="2044"/>
      <c r="N1821" s="1837"/>
      <c r="O1821" s="1837"/>
      <c r="P1821" s="1837"/>
      <c r="Q1821" s="1837"/>
      <c r="R1821" s="1837"/>
      <c r="S1821" s="1837"/>
      <c r="T1821" s="1837"/>
      <c r="U1821" s="1837"/>
      <c r="V1821" s="1837"/>
      <c r="W1821" s="1837"/>
      <c r="X1821" s="1837"/>
    </row>
    <row r="1822" spans="1:24" ht="24" customHeight="1">
      <c r="A1822" s="1933"/>
      <c r="B1822" s="2003" t="s">
        <v>685</v>
      </c>
      <c r="C1822" s="1895" t="s">
        <v>686</v>
      </c>
      <c r="D1822" s="1915"/>
      <c r="E1822" s="2045">
        <v>0</v>
      </c>
      <c r="F1822" s="1842" t="s">
        <v>240</v>
      </c>
      <c r="G1822" s="2046">
        <v>119580</v>
      </c>
      <c r="H1822" s="1854">
        <f t="shared" ref="H1822:H1835" si="899">E1822*G1822</f>
        <v>0</v>
      </c>
      <c r="I1822" s="2046">
        <v>0</v>
      </c>
      <c r="J1822" s="1854">
        <f t="shared" ref="J1822:J1835" si="900">E1822*I1822</f>
        <v>0</v>
      </c>
      <c r="K1822" s="1857">
        <f t="shared" ref="K1822:K1835" si="901">H1822+J1822</f>
        <v>0</v>
      </c>
      <c r="L1822" s="1910" t="s">
        <v>2887</v>
      </c>
      <c r="M1822" s="2047"/>
      <c r="N1822" s="1837"/>
      <c r="O1822" s="2024"/>
      <c r="P1822" s="1836"/>
      <c r="Q1822" s="1836"/>
      <c r="R1822" s="1837"/>
      <c r="S1822" s="1837"/>
      <c r="T1822" s="1837"/>
      <c r="U1822" s="1837"/>
      <c r="V1822" s="1837"/>
      <c r="W1822" s="1837"/>
      <c r="X1822" s="1837"/>
    </row>
    <row r="1823" spans="1:24" ht="24" customHeight="1">
      <c r="A1823" s="1933"/>
      <c r="B1823" s="2003" t="s">
        <v>687</v>
      </c>
      <c r="C1823" s="1895" t="s">
        <v>686</v>
      </c>
      <c r="D1823" s="1915"/>
      <c r="E1823" s="2045">
        <v>0</v>
      </c>
      <c r="F1823" s="1842" t="s">
        <v>240</v>
      </c>
      <c r="G1823" s="2046">
        <v>207000</v>
      </c>
      <c r="H1823" s="1854">
        <f t="shared" si="899"/>
        <v>0</v>
      </c>
      <c r="I1823" s="2046">
        <v>0</v>
      </c>
      <c r="J1823" s="1854">
        <f t="shared" si="900"/>
        <v>0</v>
      </c>
      <c r="K1823" s="1857">
        <f t="shared" si="901"/>
        <v>0</v>
      </c>
      <c r="L1823" s="1910" t="s">
        <v>2887</v>
      </c>
      <c r="M1823" s="2047"/>
      <c r="N1823" s="1837"/>
      <c r="O1823" s="2024"/>
      <c r="P1823" s="1836"/>
      <c r="Q1823" s="1836"/>
      <c r="R1823" s="1837"/>
      <c r="S1823" s="1837"/>
      <c r="T1823" s="1837"/>
      <c r="U1823" s="1837"/>
      <c r="V1823" s="1837"/>
      <c r="W1823" s="1837"/>
      <c r="X1823" s="1837"/>
    </row>
    <row r="1824" spans="1:24" ht="24" customHeight="1">
      <c r="A1824" s="1933"/>
      <c r="B1824" s="2003" t="s">
        <v>688</v>
      </c>
      <c r="C1824" s="1895" t="s">
        <v>686</v>
      </c>
      <c r="D1824" s="1915"/>
      <c r="E1824" s="2045">
        <v>0</v>
      </c>
      <c r="F1824" s="1842" t="s">
        <v>240</v>
      </c>
      <c r="G1824" s="2046">
        <v>267600</v>
      </c>
      <c r="H1824" s="1854">
        <f t="shared" si="899"/>
        <v>0</v>
      </c>
      <c r="I1824" s="2046">
        <v>0</v>
      </c>
      <c r="J1824" s="1854">
        <f t="shared" si="900"/>
        <v>0</v>
      </c>
      <c r="K1824" s="1857">
        <f t="shared" si="901"/>
        <v>0</v>
      </c>
      <c r="L1824" s="1910" t="s">
        <v>2887</v>
      </c>
      <c r="M1824" s="2047"/>
      <c r="N1824" s="1837"/>
      <c r="O1824" s="2024"/>
      <c r="P1824" s="1836"/>
      <c r="Q1824" s="1836"/>
      <c r="R1824" s="1837"/>
      <c r="S1824" s="1837"/>
      <c r="T1824" s="1837"/>
      <c r="U1824" s="1837"/>
      <c r="V1824" s="1837"/>
      <c r="W1824" s="1837"/>
      <c r="X1824" s="1837"/>
    </row>
    <row r="1825" spans="1:24" ht="24" customHeight="1">
      <c r="A1825" s="1933"/>
      <c r="B1825" s="2003" t="s">
        <v>689</v>
      </c>
      <c r="C1825" s="1895" t="s">
        <v>686</v>
      </c>
      <c r="D1825" s="1915"/>
      <c r="E1825" s="2045">
        <v>0</v>
      </c>
      <c r="F1825" s="1842" t="s">
        <v>240</v>
      </c>
      <c r="G1825" s="2046">
        <v>285430</v>
      </c>
      <c r="H1825" s="1854">
        <f t="shared" si="899"/>
        <v>0</v>
      </c>
      <c r="I1825" s="2046">
        <v>0</v>
      </c>
      <c r="J1825" s="1854">
        <f t="shared" si="900"/>
        <v>0</v>
      </c>
      <c r="K1825" s="1857">
        <f t="shared" si="901"/>
        <v>0</v>
      </c>
      <c r="L1825" s="1910" t="s">
        <v>2887</v>
      </c>
      <c r="M1825" s="2047"/>
      <c r="N1825" s="1837"/>
      <c r="O1825" s="2024"/>
      <c r="P1825" s="1836"/>
      <c r="Q1825" s="1836"/>
      <c r="R1825" s="1837"/>
      <c r="S1825" s="1837"/>
      <c r="T1825" s="1837"/>
      <c r="U1825" s="1837"/>
      <c r="V1825" s="1837"/>
      <c r="W1825" s="1837"/>
      <c r="X1825" s="1837"/>
    </row>
    <row r="1826" spans="1:24" ht="24" customHeight="1">
      <c r="A1826" s="1933"/>
      <c r="B1826" s="2003" t="s">
        <v>690</v>
      </c>
      <c r="C1826" s="1895" t="s">
        <v>686</v>
      </c>
      <c r="D1826" s="1915"/>
      <c r="E1826" s="2045">
        <v>0</v>
      </c>
      <c r="F1826" s="1842" t="s">
        <v>240</v>
      </c>
      <c r="G1826" s="2046">
        <v>440100</v>
      </c>
      <c r="H1826" s="1854">
        <f t="shared" si="899"/>
        <v>0</v>
      </c>
      <c r="I1826" s="2046">
        <v>0</v>
      </c>
      <c r="J1826" s="1854">
        <f t="shared" si="900"/>
        <v>0</v>
      </c>
      <c r="K1826" s="1857">
        <f t="shared" si="901"/>
        <v>0</v>
      </c>
      <c r="L1826" s="1910" t="s">
        <v>2887</v>
      </c>
      <c r="M1826" s="2047"/>
      <c r="N1826" s="1837"/>
      <c r="O1826" s="2024"/>
      <c r="P1826" s="1836"/>
      <c r="Q1826" s="1836"/>
      <c r="R1826" s="1837"/>
      <c r="S1826" s="1837"/>
      <c r="T1826" s="1837"/>
      <c r="U1826" s="1837"/>
      <c r="V1826" s="1837"/>
      <c r="W1826" s="1837"/>
      <c r="X1826" s="1837"/>
    </row>
    <row r="1827" spans="1:24" ht="24" customHeight="1">
      <c r="A1827" s="1933"/>
      <c r="B1827" s="2003" t="s">
        <v>691</v>
      </c>
      <c r="C1827" s="1895" t="s">
        <v>686</v>
      </c>
      <c r="D1827" s="1915"/>
      <c r="E1827" s="2045">
        <v>0</v>
      </c>
      <c r="F1827" s="1842" t="s">
        <v>240</v>
      </c>
      <c r="G1827" s="2046">
        <v>770900</v>
      </c>
      <c r="H1827" s="1854">
        <f t="shared" si="899"/>
        <v>0</v>
      </c>
      <c r="I1827" s="2046">
        <v>0</v>
      </c>
      <c r="J1827" s="1854">
        <f t="shared" si="900"/>
        <v>0</v>
      </c>
      <c r="K1827" s="1857">
        <f t="shared" si="901"/>
        <v>0</v>
      </c>
      <c r="L1827" s="1910" t="s">
        <v>2887</v>
      </c>
      <c r="M1827" s="2047"/>
      <c r="N1827" s="1837"/>
      <c r="O1827" s="2024"/>
      <c r="P1827" s="1836"/>
      <c r="Q1827" s="1836"/>
      <c r="R1827" s="1837"/>
      <c r="S1827" s="1837"/>
      <c r="T1827" s="1837"/>
      <c r="U1827" s="1837"/>
      <c r="V1827" s="1837"/>
      <c r="W1827" s="1837"/>
      <c r="X1827" s="1837"/>
    </row>
    <row r="1828" spans="1:24" ht="24" customHeight="1">
      <c r="A1828" s="1933"/>
      <c r="B1828" s="2003" t="s">
        <v>692</v>
      </c>
      <c r="C1828" s="1895" t="s">
        <v>686</v>
      </c>
      <c r="D1828" s="1915"/>
      <c r="E1828" s="2045">
        <v>0</v>
      </c>
      <c r="F1828" s="1842" t="s">
        <v>240</v>
      </c>
      <c r="G1828" s="2046">
        <f>904400-90440</f>
        <v>813960</v>
      </c>
      <c r="H1828" s="1854">
        <f t="shared" si="899"/>
        <v>0</v>
      </c>
      <c r="I1828" s="2046">
        <v>0</v>
      </c>
      <c r="J1828" s="1854">
        <f t="shared" si="900"/>
        <v>0</v>
      </c>
      <c r="K1828" s="1857">
        <f t="shared" si="901"/>
        <v>0</v>
      </c>
      <c r="L1828" s="1910" t="s">
        <v>2887</v>
      </c>
      <c r="M1828" s="2047"/>
      <c r="N1828" s="1837"/>
      <c r="O1828" s="2024"/>
      <c r="P1828" s="1836"/>
      <c r="Q1828" s="1836"/>
      <c r="R1828" s="1837"/>
      <c r="S1828" s="1837"/>
      <c r="T1828" s="1837"/>
      <c r="U1828" s="1837"/>
      <c r="V1828" s="1837"/>
      <c r="W1828" s="1837"/>
      <c r="X1828" s="1837"/>
    </row>
    <row r="1829" spans="1:24" ht="24" customHeight="1">
      <c r="A1829" s="1933"/>
      <c r="B1829" s="2003" t="s">
        <v>693</v>
      </c>
      <c r="C1829" s="1895" t="s">
        <v>686</v>
      </c>
      <c r="D1829" s="1915"/>
      <c r="E1829" s="2045">
        <v>0</v>
      </c>
      <c r="F1829" s="1842" t="s">
        <v>240</v>
      </c>
      <c r="G1829" s="2046">
        <v>232000</v>
      </c>
      <c r="H1829" s="1854">
        <f t="shared" si="899"/>
        <v>0</v>
      </c>
      <c r="I1829" s="2046">
        <v>0</v>
      </c>
      <c r="J1829" s="1854">
        <f t="shared" si="900"/>
        <v>0</v>
      </c>
      <c r="K1829" s="1857">
        <f t="shared" si="901"/>
        <v>0</v>
      </c>
      <c r="L1829" s="1910" t="s">
        <v>2887</v>
      </c>
      <c r="M1829" s="2047"/>
      <c r="N1829" s="1837"/>
      <c r="O1829" s="2024"/>
      <c r="P1829" s="1836"/>
      <c r="Q1829" s="1836"/>
      <c r="R1829" s="1837"/>
      <c r="S1829" s="1837"/>
      <c r="T1829" s="1837"/>
      <c r="U1829" s="1837"/>
      <c r="V1829" s="1837"/>
      <c r="W1829" s="1837"/>
      <c r="X1829" s="1837"/>
    </row>
    <row r="1830" spans="1:24" ht="24" customHeight="1">
      <c r="A1830" s="1933"/>
      <c r="B1830" s="2003" t="s">
        <v>694</v>
      </c>
      <c r="C1830" s="1895" t="s">
        <v>686</v>
      </c>
      <c r="D1830" s="1915"/>
      <c r="E1830" s="2045">
        <v>0</v>
      </c>
      <c r="F1830" s="1842" t="s">
        <v>240</v>
      </c>
      <c r="G1830" s="2046">
        <v>399100</v>
      </c>
      <c r="H1830" s="1854">
        <f t="shared" si="899"/>
        <v>0</v>
      </c>
      <c r="I1830" s="2046">
        <v>0</v>
      </c>
      <c r="J1830" s="1854">
        <f t="shared" si="900"/>
        <v>0</v>
      </c>
      <c r="K1830" s="1857">
        <f t="shared" si="901"/>
        <v>0</v>
      </c>
      <c r="L1830" s="1910" t="s">
        <v>2887</v>
      </c>
      <c r="M1830" s="2047"/>
      <c r="N1830" s="1837"/>
      <c r="O1830" s="2024"/>
      <c r="P1830" s="1836"/>
      <c r="Q1830" s="1836"/>
      <c r="R1830" s="1837"/>
      <c r="S1830" s="1837"/>
      <c r="T1830" s="1837"/>
      <c r="U1830" s="1837"/>
      <c r="V1830" s="1837"/>
      <c r="W1830" s="1837"/>
      <c r="X1830" s="1837"/>
    </row>
    <row r="1831" spans="1:24" ht="24" customHeight="1">
      <c r="A1831" s="1933"/>
      <c r="B1831" s="2003" t="s">
        <v>695</v>
      </c>
      <c r="C1831" s="1895" t="s">
        <v>686</v>
      </c>
      <c r="D1831" s="1915"/>
      <c r="E1831" s="2045">
        <v>0</v>
      </c>
      <c r="F1831" s="1842" t="s">
        <v>240</v>
      </c>
      <c r="G1831" s="2046">
        <v>528100</v>
      </c>
      <c r="H1831" s="1854">
        <f t="shared" si="899"/>
        <v>0</v>
      </c>
      <c r="I1831" s="2046">
        <v>0</v>
      </c>
      <c r="J1831" s="1854">
        <f t="shared" si="900"/>
        <v>0</v>
      </c>
      <c r="K1831" s="1857">
        <f t="shared" si="901"/>
        <v>0</v>
      </c>
      <c r="L1831" s="1910" t="s">
        <v>2887</v>
      </c>
      <c r="M1831" s="2047"/>
      <c r="N1831" s="1837"/>
      <c r="O1831" s="2024"/>
      <c r="P1831" s="1836"/>
      <c r="Q1831" s="1836"/>
      <c r="R1831" s="1837"/>
      <c r="S1831" s="1837"/>
      <c r="T1831" s="1837"/>
      <c r="U1831" s="1837"/>
      <c r="V1831" s="1837"/>
      <c r="W1831" s="1837"/>
      <c r="X1831" s="1837"/>
    </row>
    <row r="1832" spans="1:24" ht="24" customHeight="1">
      <c r="A1832" s="1933"/>
      <c r="B1832" s="2003" t="s">
        <v>696</v>
      </c>
      <c r="C1832" s="1895" t="s">
        <v>686</v>
      </c>
      <c r="D1832" s="1915"/>
      <c r="E1832" s="2045">
        <v>0</v>
      </c>
      <c r="F1832" s="1842" t="s">
        <v>240</v>
      </c>
      <c r="G1832" s="2046">
        <v>563500</v>
      </c>
      <c r="H1832" s="1854">
        <f t="shared" si="899"/>
        <v>0</v>
      </c>
      <c r="I1832" s="2046">
        <v>0</v>
      </c>
      <c r="J1832" s="1854">
        <f t="shared" si="900"/>
        <v>0</v>
      </c>
      <c r="K1832" s="1857">
        <f t="shared" si="901"/>
        <v>0</v>
      </c>
      <c r="L1832" s="1910" t="s">
        <v>2887</v>
      </c>
      <c r="M1832" s="2047"/>
      <c r="N1832" s="1837"/>
      <c r="O1832" s="2024"/>
      <c r="P1832" s="1836"/>
      <c r="Q1832" s="1836"/>
      <c r="R1832" s="1837"/>
      <c r="S1832" s="1837"/>
      <c r="T1832" s="1837"/>
      <c r="U1832" s="1837"/>
      <c r="V1832" s="1837"/>
      <c r="W1832" s="1837"/>
      <c r="X1832" s="1837"/>
    </row>
    <row r="1833" spans="1:24" ht="24" customHeight="1">
      <c r="A1833" s="1933"/>
      <c r="B1833" s="2003" t="s">
        <v>697</v>
      </c>
      <c r="C1833" s="1895" t="s">
        <v>686</v>
      </c>
      <c r="D1833" s="1915"/>
      <c r="E1833" s="2045">
        <v>0</v>
      </c>
      <c r="F1833" s="1842" t="s">
        <v>240</v>
      </c>
      <c r="G1833" s="2046">
        <v>272800</v>
      </c>
      <c r="H1833" s="1854">
        <f t="shared" si="899"/>
        <v>0</v>
      </c>
      <c r="I1833" s="2046">
        <v>0</v>
      </c>
      <c r="J1833" s="1854">
        <f t="shared" si="900"/>
        <v>0</v>
      </c>
      <c r="K1833" s="1857">
        <f t="shared" si="901"/>
        <v>0</v>
      </c>
      <c r="L1833" s="1910" t="s">
        <v>2887</v>
      </c>
      <c r="M1833" s="2047"/>
      <c r="N1833" s="1837"/>
      <c r="O1833" s="2024"/>
      <c r="P1833" s="1836"/>
      <c r="Q1833" s="1836"/>
      <c r="R1833" s="1837"/>
      <c r="S1833" s="1837"/>
      <c r="T1833" s="1837"/>
      <c r="U1833" s="1837"/>
      <c r="V1833" s="1837"/>
      <c r="W1833" s="1837"/>
      <c r="X1833" s="1837"/>
    </row>
    <row r="1834" spans="1:24" ht="24" customHeight="1">
      <c r="A1834" s="1933"/>
      <c r="B1834" s="2003" t="s">
        <v>698</v>
      </c>
      <c r="C1834" s="1895" t="s">
        <v>686</v>
      </c>
      <c r="D1834" s="1915"/>
      <c r="E1834" s="2045">
        <v>0</v>
      </c>
      <c r="F1834" s="1842" t="s">
        <v>240</v>
      </c>
      <c r="G1834" s="2046">
        <v>6900</v>
      </c>
      <c r="H1834" s="1854">
        <f t="shared" si="899"/>
        <v>0</v>
      </c>
      <c r="I1834" s="2046">
        <v>0</v>
      </c>
      <c r="J1834" s="1854">
        <f t="shared" si="900"/>
        <v>0</v>
      </c>
      <c r="K1834" s="1857">
        <f t="shared" si="901"/>
        <v>0</v>
      </c>
      <c r="L1834" s="1910" t="s">
        <v>2887</v>
      </c>
      <c r="M1834" s="2047"/>
      <c r="N1834" s="1837"/>
      <c r="O1834" s="2024"/>
      <c r="P1834" s="1836"/>
      <c r="Q1834" s="1836"/>
      <c r="R1834" s="1837"/>
      <c r="S1834" s="1837"/>
      <c r="T1834" s="1837"/>
      <c r="U1834" s="1837"/>
      <c r="V1834" s="1837"/>
      <c r="W1834" s="1837"/>
      <c r="X1834" s="1837"/>
    </row>
    <row r="1835" spans="1:24" ht="24" customHeight="1">
      <c r="A1835" s="1933"/>
      <c r="B1835" s="2003" t="s">
        <v>699</v>
      </c>
      <c r="C1835" s="1895" t="s">
        <v>686</v>
      </c>
      <c r="D1835" s="1915"/>
      <c r="E1835" s="2045">
        <v>0</v>
      </c>
      <c r="F1835" s="1842" t="s">
        <v>240</v>
      </c>
      <c r="G1835" s="2046">
        <v>97700</v>
      </c>
      <c r="H1835" s="1854">
        <f t="shared" si="899"/>
        <v>0</v>
      </c>
      <c r="I1835" s="2046">
        <v>0</v>
      </c>
      <c r="J1835" s="1854">
        <f t="shared" si="900"/>
        <v>0</v>
      </c>
      <c r="K1835" s="1857">
        <f t="shared" si="901"/>
        <v>0</v>
      </c>
      <c r="L1835" s="1910" t="s">
        <v>2887</v>
      </c>
      <c r="M1835" s="2047"/>
      <c r="N1835" s="2047">
        <f>SUM(K1778:K1835)</f>
        <v>1178350</v>
      </c>
      <c r="O1835" s="2024"/>
      <c r="P1835" s="1836"/>
      <c r="Q1835" s="1836"/>
      <c r="R1835" s="1837"/>
      <c r="S1835" s="1837"/>
      <c r="T1835" s="1837"/>
      <c r="U1835" s="1837"/>
      <c r="V1835" s="1837"/>
      <c r="W1835" s="1837"/>
      <c r="X1835" s="1837"/>
    </row>
    <row r="1836" spans="1:24" ht="24" customHeight="1">
      <c r="A1836" s="1933"/>
      <c r="B1836" s="2003"/>
      <c r="C1836" s="1895"/>
      <c r="D1836" s="1915"/>
      <c r="E1836" s="2045"/>
      <c r="F1836" s="1842"/>
      <c r="G1836" s="2046"/>
      <c r="H1836" s="1854"/>
      <c r="I1836" s="2046"/>
      <c r="J1836" s="1856"/>
      <c r="K1836" s="1857"/>
      <c r="L1836" s="1910"/>
      <c r="M1836" s="2047"/>
      <c r="N1836" s="2047"/>
      <c r="O1836" s="2024"/>
      <c r="P1836" s="1836"/>
      <c r="Q1836" s="1836"/>
      <c r="R1836" s="1837"/>
      <c r="S1836" s="1837"/>
      <c r="T1836" s="1837"/>
      <c r="U1836" s="1837"/>
      <c r="V1836" s="1837"/>
      <c r="W1836" s="1837"/>
      <c r="X1836" s="1837"/>
    </row>
    <row r="1837" spans="1:24" ht="24" customHeight="1">
      <c r="A1837" s="1933"/>
      <c r="B1837" s="2003"/>
      <c r="C1837" s="1895"/>
      <c r="D1837" s="1915"/>
      <c r="E1837" s="2045"/>
      <c r="F1837" s="1842"/>
      <c r="G1837" s="2046"/>
      <c r="H1837" s="1854"/>
      <c r="I1837" s="2046"/>
      <c r="J1837" s="1856"/>
      <c r="K1837" s="1857"/>
      <c r="L1837" s="1910"/>
      <c r="M1837" s="2047"/>
      <c r="N1837" s="2047"/>
      <c r="O1837" s="2024"/>
      <c r="P1837" s="1836"/>
      <c r="Q1837" s="1836"/>
      <c r="R1837" s="1837"/>
      <c r="S1837" s="1837"/>
      <c r="T1837" s="1837"/>
      <c r="U1837" s="1837"/>
      <c r="V1837" s="1837"/>
      <c r="W1837" s="1837"/>
      <c r="X1837" s="1837"/>
    </row>
    <row r="1838" spans="1:24" ht="24" customHeight="1">
      <c r="A1838" s="1782" t="s">
        <v>702</v>
      </c>
      <c r="B1838" s="2041" t="s">
        <v>703</v>
      </c>
      <c r="C1838" s="1850"/>
      <c r="D1838" s="1906"/>
      <c r="E1838" s="2052"/>
      <c r="F1838" s="1806"/>
      <c r="G1838" s="1907"/>
      <c r="H1838" s="1854"/>
      <c r="I1838" s="1855"/>
      <c r="J1838" s="1856"/>
      <c r="K1838" s="1857"/>
      <c r="L1838" s="2049"/>
      <c r="M1838" s="2044"/>
      <c r="N1838" s="1837"/>
      <c r="O1838" s="1837"/>
      <c r="P1838" s="1837"/>
      <c r="Q1838" s="1837"/>
      <c r="R1838" s="1837"/>
      <c r="S1838" s="1837"/>
      <c r="T1838" s="1837"/>
      <c r="U1838" s="1837"/>
      <c r="V1838" s="1837"/>
      <c r="W1838" s="1837"/>
      <c r="X1838" s="1837"/>
    </row>
    <row r="1839" spans="1:24" ht="24" customHeight="1">
      <c r="A1839" s="1933"/>
      <c r="B1839" s="2003" t="s">
        <v>626</v>
      </c>
      <c r="C1839" s="1895" t="s">
        <v>627</v>
      </c>
      <c r="D1839" s="1915"/>
      <c r="E1839" s="2045">
        <v>0</v>
      </c>
      <c r="F1839" s="1842" t="s">
        <v>240</v>
      </c>
      <c r="G1839" s="2046">
        <v>260300</v>
      </c>
      <c r="H1839" s="1854">
        <f t="shared" ref="H1839:H1847" si="902">E1839*G1839</f>
        <v>0</v>
      </c>
      <c r="I1839" s="2046">
        <v>0</v>
      </c>
      <c r="J1839" s="1854">
        <f t="shared" ref="J1839:J1847" si="903">E1839*I1839</f>
        <v>0</v>
      </c>
      <c r="K1839" s="1857">
        <f t="shared" ref="K1839:K1847" si="904">H1839+J1839</f>
        <v>0</v>
      </c>
      <c r="L1839" s="1910" t="s">
        <v>2886</v>
      </c>
      <c r="M1839" s="2047"/>
      <c r="N1839" s="1837"/>
      <c r="O1839" s="1837"/>
      <c r="P1839" s="1837"/>
      <c r="Q1839" s="1837"/>
      <c r="R1839" s="1837"/>
      <c r="S1839" s="1837"/>
      <c r="T1839" s="1837"/>
      <c r="U1839" s="1837"/>
      <c r="V1839" s="1837"/>
      <c r="W1839" s="1837"/>
      <c r="X1839" s="1837"/>
    </row>
    <row r="1840" spans="1:24" ht="24" customHeight="1">
      <c r="A1840" s="1933"/>
      <c r="B1840" s="2003" t="s">
        <v>628</v>
      </c>
      <c r="C1840" s="1895" t="s">
        <v>629</v>
      </c>
      <c r="D1840" s="1915"/>
      <c r="E1840" s="2045">
        <v>0</v>
      </c>
      <c r="F1840" s="1842" t="s">
        <v>240</v>
      </c>
      <c r="G1840" s="2046">
        <v>386900</v>
      </c>
      <c r="H1840" s="1854">
        <f t="shared" si="902"/>
        <v>0</v>
      </c>
      <c r="I1840" s="2046">
        <v>0</v>
      </c>
      <c r="J1840" s="1854">
        <f t="shared" si="903"/>
        <v>0</v>
      </c>
      <c r="K1840" s="1857">
        <f t="shared" si="904"/>
        <v>0</v>
      </c>
      <c r="L1840" s="1910" t="s">
        <v>2886</v>
      </c>
      <c r="M1840" s="2047"/>
      <c r="N1840" s="1837"/>
      <c r="O1840" s="1837"/>
      <c r="P1840" s="1837"/>
      <c r="Q1840" s="1837"/>
      <c r="R1840" s="1837"/>
      <c r="S1840" s="1837"/>
      <c r="T1840" s="1837"/>
      <c r="U1840" s="1837"/>
      <c r="V1840" s="1837"/>
      <c r="W1840" s="1837"/>
      <c r="X1840" s="1837"/>
    </row>
    <row r="1841" spans="1:24" ht="24" customHeight="1">
      <c r="A1841" s="1782"/>
      <c r="B1841" s="2003" t="s">
        <v>630</v>
      </c>
      <c r="C1841" s="1895" t="s">
        <v>2818</v>
      </c>
      <c r="D1841" s="1915"/>
      <c r="E1841" s="2045">
        <v>0</v>
      </c>
      <c r="F1841" s="1842" t="s">
        <v>240</v>
      </c>
      <c r="G1841" s="2046">
        <v>432400</v>
      </c>
      <c r="H1841" s="1854">
        <f t="shared" si="902"/>
        <v>0</v>
      </c>
      <c r="I1841" s="2046">
        <v>0</v>
      </c>
      <c r="J1841" s="1854">
        <f t="shared" si="903"/>
        <v>0</v>
      </c>
      <c r="K1841" s="1857">
        <f t="shared" si="904"/>
        <v>0</v>
      </c>
      <c r="L1841" s="1910" t="s">
        <v>2886</v>
      </c>
      <c r="M1841" s="2047"/>
      <c r="N1841" s="1837"/>
      <c r="O1841" s="1837"/>
      <c r="P1841" s="1837"/>
      <c r="Q1841" s="1837"/>
      <c r="R1841" s="1837"/>
      <c r="S1841" s="1837"/>
      <c r="T1841" s="1837"/>
      <c r="U1841" s="1837"/>
      <c r="V1841" s="1837"/>
      <c r="W1841" s="1837"/>
      <c r="X1841" s="1837"/>
    </row>
    <row r="1842" spans="1:24" ht="24" customHeight="1">
      <c r="A1842" s="1782"/>
      <c r="B1842" s="2003" t="s">
        <v>631</v>
      </c>
      <c r="C1842" s="1895" t="s">
        <v>2818</v>
      </c>
      <c r="D1842" s="1915"/>
      <c r="E1842" s="2045">
        <v>0</v>
      </c>
      <c r="F1842" s="1842" t="s">
        <v>240</v>
      </c>
      <c r="G1842" s="2046">
        <v>440430</v>
      </c>
      <c r="H1842" s="1854">
        <f t="shared" si="902"/>
        <v>0</v>
      </c>
      <c r="I1842" s="2046">
        <v>0</v>
      </c>
      <c r="J1842" s="1854">
        <f t="shared" si="903"/>
        <v>0</v>
      </c>
      <c r="K1842" s="1857">
        <f t="shared" si="904"/>
        <v>0</v>
      </c>
      <c r="L1842" s="1910" t="s">
        <v>2886</v>
      </c>
      <c r="M1842" s="2047"/>
      <c r="N1842" s="1837"/>
      <c r="O1842" s="1837"/>
      <c r="P1842" s="1837"/>
      <c r="Q1842" s="1837"/>
      <c r="R1842" s="1837"/>
      <c r="S1842" s="1837"/>
      <c r="T1842" s="1837"/>
      <c r="U1842" s="1837"/>
      <c r="V1842" s="1837"/>
      <c r="W1842" s="1837"/>
      <c r="X1842" s="1837"/>
    </row>
    <row r="1843" spans="1:24" ht="24" customHeight="1">
      <c r="A1843" s="1782"/>
      <c r="B1843" s="2003" t="s">
        <v>632</v>
      </c>
      <c r="C1843" s="1895" t="s">
        <v>2819</v>
      </c>
      <c r="D1843" s="1915"/>
      <c r="E1843" s="2045">
        <v>0</v>
      </c>
      <c r="F1843" s="1842" t="s">
        <v>240</v>
      </c>
      <c r="G1843" s="2046">
        <v>48800</v>
      </c>
      <c r="H1843" s="1854">
        <f t="shared" si="902"/>
        <v>0</v>
      </c>
      <c r="I1843" s="2046">
        <v>0</v>
      </c>
      <c r="J1843" s="1854">
        <f t="shared" si="903"/>
        <v>0</v>
      </c>
      <c r="K1843" s="1857">
        <f t="shared" si="904"/>
        <v>0</v>
      </c>
      <c r="L1843" s="1910" t="s">
        <v>2886</v>
      </c>
      <c r="M1843" s="2047"/>
      <c r="N1843" s="1837"/>
      <c r="O1843" s="1837"/>
      <c r="P1843" s="1837"/>
      <c r="Q1843" s="1837"/>
      <c r="R1843" s="1837"/>
      <c r="S1843" s="1837"/>
      <c r="T1843" s="1837"/>
      <c r="U1843" s="1837"/>
      <c r="V1843" s="1837"/>
      <c r="W1843" s="1837"/>
      <c r="X1843" s="1837"/>
    </row>
    <row r="1844" spans="1:24" ht="24" customHeight="1">
      <c r="A1844" s="1782"/>
      <c r="B1844" s="2003" t="s">
        <v>633</v>
      </c>
      <c r="C1844" s="1895" t="s">
        <v>634</v>
      </c>
      <c r="D1844" s="1915"/>
      <c r="E1844" s="2045">
        <v>2</v>
      </c>
      <c r="F1844" s="1842" t="s">
        <v>240</v>
      </c>
      <c r="G1844" s="2046">
        <v>28600</v>
      </c>
      <c r="H1844" s="1854">
        <f t="shared" si="902"/>
        <v>57200</v>
      </c>
      <c r="I1844" s="2046">
        <v>0</v>
      </c>
      <c r="J1844" s="1854">
        <f t="shared" si="903"/>
        <v>0</v>
      </c>
      <c r="K1844" s="1857">
        <f t="shared" si="904"/>
        <v>57200</v>
      </c>
      <c r="L1844" s="1910" t="s">
        <v>2886</v>
      </c>
      <c r="M1844" s="2047"/>
      <c r="N1844" s="1837"/>
      <c r="O1844" s="1837"/>
      <c r="P1844" s="1837"/>
      <c r="Q1844" s="1837"/>
      <c r="R1844" s="1837"/>
      <c r="S1844" s="1837"/>
      <c r="T1844" s="1837"/>
      <c r="U1844" s="1837"/>
      <c r="V1844" s="1837"/>
      <c r="W1844" s="1837"/>
      <c r="X1844" s="1837"/>
    </row>
    <row r="1845" spans="1:24" ht="24" customHeight="1">
      <c r="A1845" s="1782"/>
      <c r="B1845" s="2003" t="s">
        <v>635</v>
      </c>
      <c r="C1845" s="1895" t="s">
        <v>629</v>
      </c>
      <c r="D1845" s="1915"/>
      <c r="E1845" s="2045">
        <v>1</v>
      </c>
      <c r="F1845" s="1842" t="s">
        <v>240</v>
      </c>
      <c r="G1845" s="2046">
        <v>814100</v>
      </c>
      <c r="H1845" s="1854">
        <f t="shared" si="902"/>
        <v>814100</v>
      </c>
      <c r="I1845" s="2046">
        <v>0</v>
      </c>
      <c r="J1845" s="1854">
        <f t="shared" si="903"/>
        <v>0</v>
      </c>
      <c r="K1845" s="1857">
        <f t="shared" si="904"/>
        <v>814100</v>
      </c>
      <c r="L1845" s="1910" t="s">
        <v>2886</v>
      </c>
      <c r="M1845" s="2047"/>
      <c r="N1845" s="1837"/>
      <c r="O1845" s="1837"/>
      <c r="P1845" s="1837"/>
      <c r="Q1845" s="1837"/>
      <c r="R1845" s="1837"/>
      <c r="S1845" s="1837"/>
      <c r="T1845" s="1837"/>
      <c r="U1845" s="1837"/>
      <c r="V1845" s="1837"/>
      <c r="W1845" s="1837"/>
      <c r="X1845" s="1837"/>
    </row>
    <row r="1846" spans="1:24" ht="24" customHeight="1">
      <c r="A1846" s="1782"/>
      <c r="B1846" s="2003" t="s">
        <v>636</v>
      </c>
      <c r="C1846" s="1895" t="s">
        <v>629</v>
      </c>
      <c r="D1846" s="1915"/>
      <c r="E1846" s="2045">
        <v>3</v>
      </c>
      <c r="F1846" s="1842" t="s">
        <v>240</v>
      </c>
      <c r="G1846" s="2046">
        <v>701500</v>
      </c>
      <c r="H1846" s="1854">
        <f t="shared" si="902"/>
        <v>2104500</v>
      </c>
      <c r="I1846" s="2046">
        <v>0</v>
      </c>
      <c r="J1846" s="1854">
        <f t="shared" si="903"/>
        <v>0</v>
      </c>
      <c r="K1846" s="1857">
        <f t="shared" si="904"/>
        <v>2104500</v>
      </c>
      <c r="L1846" s="1910" t="s">
        <v>2886</v>
      </c>
      <c r="M1846" s="2047"/>
      <c r="N1846" s="1837"/>
      <c r="O1846" s="1837"/>
      <c r="P1846" s="1837"/>
      <c r="Q1846" s="1837"/>
      <c r="R1846" s="1837"/>
      <c r="S1846" s="1837"/>
      <c r="T1846" s="1837"/>
      <c r="U1846" s="1837"/>
      <c r="V1846" s="1837"/>
      <c r="W1846" s="1837"/>
      <c r="X1846" s="1837"/>
    </row>
    <row r="1847" spans="1:24" ht="24" customHeight="1">
      <c r="A1847" s="1782"/>
      <c r="B1847" s="2003" t="s">
        <v>637</v>
      </c>
      <c r="C1847" s="1895" t="s">
        <v>629</v>
      </c>
      <c r="D1847" s="1915"/>
      <c r="E1847" s="2045">
        <v>2</v>
      </c>
      <c r="F1847" s="1842" t="s">
        <v>240</v>
      </c>
      <c r="G1847" s="2046">
        <v>240700</v>
      </c>
      <c r="H1847" s="1854">
        <f t="shared" si="902"/>
        <v>481400</v>
      </c>
      <c r="I1847" s="2046">
        <v>0</v>
      </c>
      <c r="J1847" s="1854">
        <f t="shared" si="903"/>
        <v>0</v>
      </c>
      <c r="K1847" s="1857">
        <f t="shared" si="904"/>
        <v>481400</v>
      </c>
      <c r="L1847" s="1910" t="s">
        <v>2886</v>
      </c>
      <c r="M1847" s="2047"/>
      <c r="N1847" s="1837"/>
      <c r="O1847" s="1837"/>
      <c r="P1847" s="1837"/>
      <c r="Q1847" s="1837"/>
      <c r="R1847" s="1837"/>
      <c r="S1847" s="1837"/>
      <c r="T1847" s="1837"/>
      <c r="U1847" s="1837"/>
      <c r="V1847" s="1837"/>
      <c r="W1847" s="1837"/>
      <c r="X1847" s="1837"/>
    </row>
    <row r="1848" spans="1:24" ht="24" customHeight="1">
      <c r="A1848" s="1933"/>
      <c r="B1848" s="2003"/>
      <c r="C1848" s="1895"/>
      <c r="D1848" s="1915"/>
      <c r="E1848" s="2045"/>
      <c r="F1848" s="1842"/>
      <c r="G1848" s="2046"/>
      <c r="H1848" s="1854"/>
      <c r="I1848" s="2048"/>
      <c r="J1848" s="1854"/>
      <c r="K1848" s="1857"/>
      <c r="L1848" s="2043"/>
      <c r="M1848" s="2044"/>
      <c r="N1848" s="1837"/>
      <c r="O1848" s="1837"/>
      <c r="P1848" s="1837"/>
      <c r="Q1848" s="1837"/>
      <c r="R1848" s="1837"/>
      <c r="S1848" s="1837"/>
      <c r="T1848" s="1837"/>
      <c r="U1848" s="1837"/>
      <c r="V1848" s="1837"/>
      <c r="W1848" s="1837"/>
      <c r="X1848" s="1837"/>
    </row>
    <row r="1849" spans="1:24" ht="24" customHeight="1">
      <c r="A1849" s="1782"/>
      <c r="B1849" s="2003" t="s">
        <v>638</v>
      </c>
      <c r="C1849" s="1895" t="s">
        <v>639</v>
      </c>
      <c r="D1849" s="1915"/>
      <c r="E1849" s="2045">
        <v>5</v>
      </c>
      <c r="F1849" s="1842" t="s">
        <v>240</v>
      </c>
      <c r="G1849" s="2046">
        <v>45750</v>
      </c>
      <c r="H1849" s="1854">
        <f>E1849*G1849</f>
        <v>228750</v>
      </c>
      <c r="I1849" s="2046">
        <v>3000</v>
      </c>
      <c r="J1849" s="1854">
        <f>E1849*I1849</f>
        <v>15000</v>
      </c>
      <c r="K1849" s="1857">
        <f>H1849+J1849</f>
        <v>243750</v>
      </c>
      <c r="L1849" s="2043"/>
      <c r="M1849" s="2044"/>
      <c r="N1849" s="1837"/>
      <c r="O1849" s="1837"/>
      <c r="P1849" s="1837"/>
      <c r="Q1849" s="1837"/>
      <c r="R1849" s="1837"/>
      <c r="S1849" s="1837"/>
      <c r="T1849" s="1837"/>
      <c r="U1849" s="1837"/>
      <c r="V1849" s="1837"/>
      <c r="W1849" s="1837"/>
      <c r="X1849" s="1837"/>
    </row>
    <row r="1850" spans="1:24" ht="24" customHeight="1">
      <c r="A1850" s="1933"/>
      <c r="B1850" s="2003" t="s">
        <v>640</v>
      </c>
      <c r="C1850" s="1895" t="s">
        <v>641</v>
      </c>
      <c r="D1850" s="1915"/>
      <c r="E1850" s="2045">
        <v>0</v>
      </c>
      <c r="F1850" s="1842" t="s">
        <v>240</v>
      </c>
      <c r="G1850" s="2046">
        <v>49350</v>
      </c>
      <c r="H1850" s="1854">
        <f t="shared" ref="H1850:H1860" si="905">E1850*G1850</f>
        <v>0</v>
      </c>
      <c r="I1850" s="2046">
        <v>3000</v>
      </c>
      <c r="J1850" s="1854">
        <f t="shared" ref="J1850:J1860" si="906">E1850*I1850</f>
        <v>0</v>
      </c>
      <c r="K1850" s="1857">
        <f t="shared" ref="K1850:K1860" si="907">H1850+J1850</f>
        <v>0</v>
      </c>
      <c r="L1850" s="2043"/>
      <c r="M1850" s="2044"/>
      <c r="N1850" s="1837"/>
      <c r="O1850" s="1837"/>
      <c r="P1850" s="1837"/>
      <c r="Q1850" s="1837"/>
      <c r="R1850" s="1837"/>
      <c r="S1850" s="1837"/>
      <c r="T1850" s="1837"/>
      <c r="U1850" s="1837"/>
      <c r="V1850" s="1837"/>
      <c r="W1850" s="1837"/>
      <c r="X1850" s="1837"/>
    </row>
    <row r="1851" spans="1:24" ht="24" customHeight="1">
      <c r="A1851" s="1933"/>
      <c r="B1851" s="2003" t="s">
        <v>642</v>
      </c>
      <c r="C1851" s="1895" t="s">
        <v>643</v>
      </c>
      <c r="D1851" s="1915"/>
      <c r="E1851" s="2045">
        <v>4</v>
      </c>
      <c r="F1851" s="1842" t="s">
        <v>240</v>
      </c>
      <c r="G1851" s="2046">
        <v>87950</v>
      </c>
      <c r="H1851" s="1854">
        <f t="shared" si="905"/>
        <v>351800</v>
      </c>
      <c r="I1851" s="2046">
        <v>4000</v>
      </c>
      <c r="J1851" s="1854">
        <f t="shared" si="906"/>
        <v>16000</v>
      </c>
      <c r="K1851" s="1857">
        <f t="shared" si="907"/>
        <v>367800</v>
      </c>
      <c r="L1851" s="2043"/>
      <c r="M1851" s="2044"/>
      <c r="N1851" s="1837"/>
      <c r="O1851" s="1837"/>
      <c r="P1851" s="1837"/>
      <c r="Q1851" s="1837"/>
      <c r="R1851" s="1837"/>
      <c r="S1851" s="1837"/>
      <c r="T1851" s="1837"/>
      <c r="U1851" s="1837"/>
      <c r="V1851" s="1837"/>
      <c r="W1851" s="1837"/>
      <c r="X1851" s="1837"/>
    </row>
    <row r="1852" spans="1:24" ht="24" customHeight="1">
      <c r="A1852" s="1933"/>
      <c r="B1852" s="2003" t="s">
        <v>644</v>
      </c>
      <c r="C1852" s="1895" t="s">
        <v>643</v>
      </c>
      <c r="D1852" s="1915"/>
      <c r="E1852" s="2045">
        <v>3</v>
      </c>
      <c r="F1852" s="1842" t="s">
        <v>240</v>
      </c>
      <c r="G1852" s="2046">
        <v>63520</v>
      </c>
      <c r="H1852" s="1854">
        <f t="shared" si="905"/>
        <v>190560</v>
      </c>
      <c r="I1852" s="2046">
        <v>4000</v>
      </c>
      <c r="J1852" s="1854">
        <f t="shared" si="906"/>
        <v>12000</v>
      </c>
      <c r="K1852" s="1857">
        <f t="shared" si="907"/>
        <v>202560</v>
      </c>
      <c r="L1852" s="2043"/>
      <c r="M1852" s="2044"/>
      <c r="N1852" s="1837"/>
      <c r="O1852" s="1837"/>
      <c r="P1852" s="1837"/>
      <c r="Q1852" s="1837"/>
      <c r="R1852" s="1837"/>
      <c r="S1852" s="1837"/>
      <c r="T1852" s="1837"/>
      <c r="U1852" s="1837"/>
      <c r="V1852" s="1837"/>
      <c r="W1852" s="1837"/>
      <c r="X1852" s="1837"/>
    </row>
    <row r="1853" spans="1:24" ht="24" customHeight="1">
      <c r="A1853" s="1933"/>
      <c r="B1853" s="2003" t="s">
        <v>645</v>
      </c>
      <c r="C1853" s="1895" t="s">
        <v>639</v>
      </c>
      <c r="D1853" s="1915"/>
      <c r="E1853" s="2045">
        <v>4</v>
      </c>
      <c r="F1853" s="1842" t="s">
        <v>240</v>
      </c>
      <c r="G1853" s="2046">
        <v>20950</v>
      </c>
      <c r="H1853" s="1854">
        <f t="shared" si="905"/>
        <v>83800</v>
      </c>
      <c r="I1853" s="2046">
        <v>3000</v>
      </c>
      <c r="J1853" s="1854">
        <f t="shared" si="906"/>
        <v>12000</v>
      </c>
      <c r="K1853" s="1857">
        <f t="shared" si="907"/>
        <v>95800</v>
      </c>
      <c r="L1853" s="2043"/>
      <c r="M1853" s="2044"/>
      <c r="N1853" s="1837"/>
      <c r="O1853" s="1837"/>
      <c r="P1853" s="1837"/>
      <c r="Q1853" s="1837"/>
      <c r="R1853" s="1837"/>
      <c r="S1853" s="1837"/>
      <c r="T1853" s="1837"/>
      <c r="U1853" s="1837"/>
      <c r="V1853" s="1837"/>
      <c r="W1853" s="1837"/>
      <c r="X1853" s="1837"/>
    </row>
    <row r="1854" spans="1:24" ht="24" customHeight="1">
      <c r="A1854" s="1933"/>
      <c r="B1854" s="2003" t="s">
        <v>646</v>
      </c>
      <c r="C1854" s="1895" t="s">
        <v>647</v>
      </c>
      <c r="D1854" s="1915"/>
      <c r="E1854" s="2045">
        <v>0</v>
      </c>
      <c r="F1854" s="1842" t="s">
        <v>240</v>
      </c>
      <c r="G1854" s="2046">
        <v>78210</v>
      </c>
      <c r="H1854" s="1854">
        <f t="shared" si="905"/>
        <v>0</v>
      </c>
      <c r="I1854" s="2046">
        <v>4000</v>
      </c>
      <c r="J1854" s="1854">
        <f t="shared" si="906"/>
        <v>0</v>
      </c>
      <c r="K1854" s="1857">
        <f t="shared" si="907"/>
        <v>0</v>
      </c>
      <c r="L1854" s="2043"/>
      <c r="M1854" s="2044"/>
      <c r="N1854" s="1837"/>
      <c r="O1854" s="1837"/>
      <c r="P1854" s="1837"/>
      <c r="Q1854" s="1837"/>
      <c r="R1854" s="1837"/>
      <c r="S1854" s="1837"/>
      <c r="T1854" s="1837"/>
      <c r="U1854" s="1837"/>
      <c r="V1854" s="1837"/>
      <c r="W1854" s="1837"/>
      <c r="X1854" s="1837"/>
    </row>
    <row r="1855" spans="1:24" ht="24" customHeight="1">
      <c r="A1855" s="1933"/>
      <c r="B1855" s="2003" t="s">
        <v>648</v>
      </c>
      <c r="C1855" s="1895" t="s">
        <v>2820</v>
      </c>
      <c r="D1855" s="1915"/>
      <c r="E1855" s="2045">
        <v>0</v>
      </c>
      <c r="F1855" s="1842" t="s">
        <v>240</v>
      </c>
      <c r="G1855" s="2046">
        <v>34220</v>
      </c>
      <c r="H1855" s="1854">
        <f t="shared" si="905"/>
        <v>0</v>
      </c>
      <c r="I1855" s="2046">
        <v>4000</v>
      </c>
      <c r="J1855" s="1854">
        <f t="shared" si="906"/>
        <v>0</v>
      </c>
      <c r="K1855" s="1857">
        <f t="shared" si="907"/>
        <v>0</v>
      </c>
      <c r="L1855" s="2043"/>
      <c r="M1855" s="2044"/>
      <c r="N1855" s="1837"/>
      <c r="O1855" s="1837"/>
      <c r="P1855" s="1837"/>
      <c r="Q1855" s="1837"/>
      <c r="R1855" s="1837"/>
      <c r="S1855" s="1837"/>
      <c r="T1855" s="1837"/>
      <c r="U1855" s="1837"/>
      <c r="V1855" s="1837"/>
      <c r="W1855" s="1837"/>
      <c r="X1855" s="1837"/>
    </row>
    <row r="1856" spans="1:24" ht="24" customHeight="1">
      <c r="A1856" s="1933"/>
      <c r="B1856" s="2003" t="s">
        <v>649</v>
      </c>
      <c r="C1856" s="1895" t="s">
        <v>643</v>
      </c>
      <c r="D1856" s="1915"/>
      <c r="E1856" s="2045">
        <v>0</v>
      </c>
      <c r="F1856" s="1842" t="s">
        <v>240</v>
      </c>
      <c r="G1856" s="2046">
        <v>63520</v>
      </c>
      <c r="H1856" s="1854">
        <f t="shared" si="905"/>
        <v>0</v>
      </c>
      <c r="I1856" s="2046">
        <v>4000</v>
      </c>
      <c r="J1856" s="1854">
        <f t="shared" si="906"/>
        <v>0</v>
      </c>
      <c r="K1856" s="1857">
        <f t="shared" si="907"/>
        <v>0</v>
      </c>
      <c r="L1856" s="2043"/>
      <c r="M1856" s="2044"/>
      <c r="N1856" s="1837"/>
      <c r="O1856" s="1837"/>
      <c r="P1856" s="1837"/>
      <c r="Q1856" s="1837"/>
      <c r="R1856" s="1837"/>
      <c r="S1856" s="1837"/>
      <c r="T1856" s="1837"/>
      <c r="U1856" s="1837"/>
      <c r="V1856" s="1837"/>
      <c r="W1856" s="1837"/>
      <c r="X1856" s="1837"/>
    </row>
    <row r="1857" spans="1:24" ht="24" customHeight="1">
      <c r="A1857" s="1933"/>
      <c r="B1857" s="2003" t="s">
        <v>650</v>
      </c>
      <c r="C1857" s="1895" t="s">
        <v>647</v>
      </c>
      <c r="D1857" s="1915"/>
      <c r="E1857" s="2045">
        <v>0</v>
      </c>
      <c r="F1857" s="1842" t="s">
        <v>240</v>
      </c>
      <c r="G1857" s="2046">
        <v>75710</v>
      </c>
      <c r="H1857" s="1854">
        <f t="shared" si="905"/>
        <v>0</v>
      </c>
      <c r="I1857" s="2046">
        <v>4000</v>
      </c>
      <c r="J1857" s="1854">
        <f t="shared" si="906"/>
        <v>0</v>
      </c>
      <c r="K1857" s="1857">
        <f t="shared" si="907"/>
        <v>0</v>
      </c>
      <c r="L1857" s="2043"/>
      <c r="M1857" s="2044"/>
      <c r="N1857" s="1837"/>
      <c r="O1857" s="1837"/>
      <c r="P1857" s="1837"/>
      <c r="Q1857" s="1837"/>
      <c r="R1857" s="1837"/>
      <c r="S1857" s="1837"/>
      <c r="T1857" s="1837"/>
      <c r="U1857" s="1837"/>
      <c r="V1857" s="1837"/>
      <c r="W1857" s="1837"/>
      <c r="X1857" s="1837"/>
    </row>
    <row r="1858" spans="1:24" ht="24" customHeight="1">
      <c r="A1858" s="1933"/>
      <c r="B1858" s="2003" t="s">
        <v>651</v>
      </c>
      <c r="C1858" s="1895" t="s">
        <v>647</v>
      </c>
      <c r="D1858" s="1915"/>
      <c r="E1858" s="2045">
        <v>0</v>
      </c>
      <c r="F1858" s="1842" t="s">
        <v>240</v>
      </c>
      <c r="G1858" s="2046">
        <v>78210</v>
      </c>
      <c r="H1858" s="1854">
        <f t="shared" si="905"/>
        <v>0</v>
      </c>
      <c r="I1858" s="2046">
        <v>4000</v>
      </c>
      <c r="J1858" s="1854">
        <f t="shared" si="906"/>
        <v>0</v>
      </c>
      <c r="K1858" s="1857">
        <f t="shared" si="907"/>
        <v>0</v>
      </c>
      <c r="L1858" s="2043"/>
      <c r="M1858" s="2044"/>
      <c r="N1858" s="1837"/>
      <c r="O1858" s="1837"/>
      <c r="P1858" s="1837"/>
      <c r="Q1858" s="1837"/>
      <c r="R1858" s="1837"/>
      <c r="S1858" s="1837"/>
      <c r="T1858" s="1837"/>
      <c r="U1858" s="1837"/>
      <c r="V1858" s="1837"/>
      <c r="W1858" s="1837"/>
      <c r="X1858" s="1837"/>
    </row>
    <row r="1859" spans="1:24" ht="24" customHeight="1">
      <c r="A1859" s="1933"/>
      <c r="B1859" s="2003" t="s">
        <v>652</v>
      </c>
      <c r="C1859" s="1895" t="s">
        <v>647</v>
      </c>
      <c r="D1859" s="1915"/>
      <c r="E1859" s="2045">
        <v>2</v>
      </c>
      <c r="F1859" s="1842" t="s">
        <v>240</v>
      </c>
      <c r="G1859" s="2046">
        <v>49870</v>
      </c>
      <c r="H1859" s="1854">
        <f t="shared" si="905"/>
        <v>99740</v>
      </c>
      <c r="I1859" s="2046">
        <v>4000</v>
      </c>
      <c r="J1859" s="1854">
        <f t="shared" si="906"/>
        <v>8000</v>
      </c>
      <c r="K1859" s="1857">
        <f t="shared" si="907"/>
        <v>107740</v>
      </c>
      <c r="L1859" s="2043"/>
      <c r="M1859" s="2044"/>
      <c r="N1859" s="1837"/>
      <c r="O1859" s="1837"/>
      <c r="P1859" s="1837"/>
      <c r="Q1859" s="1837"/>
      <c r="R1859" s="1837"/>
      <c r="S1859" s="1837"/>
      <c r="T1859" s="1837"/>
      <c r="U1859" s="1837"/>
      <c r="V1859" s="1837"/>
      <c r="W1859" s="1837"/>
      <c r="X1859" s="1837"/>
    </row>
    <row r="1860" spans="1:24" ht="24" customHeight="1">
      <c r="A1860" s="1933"/>
      <c r="B1860" s="2003" t="s">
        <v>653</v>
      </c>
      <c r="C1860" s="1895" t="s">
        <v>639</v>
      </c>
      <c r="D1860" s="1915"/>
      <c r="E1860" s="2045">
        <v>0</v>
      </c>
      <c r="F1860" s="1842" t="s">
        <v>240</v>
      </c>
      <c r="G1860" s="2046">
        <v>27900</v>
      </c>
      <c r="H1860" s="1854">
        <f t="shared" si="905"/>
        <v>0</v>
      </c>
      <c r="I1860" s="2046">
        <v>4000</v>
      </c>
      <c r="J1860" s="1854">
        <f t="shared" si="906"/>
        <v>0</v>
      </c>
      <c r="K1860" s="1857">
        <f t="shared" si="907"/>
        <v>0</v>
      </c>
      <c r="L1860" s="2043"/>
      <c r="M1860" s="2044"/>
      <c r="N1860" s="1837"/>
      <c r="O1860" s="1837"/>
      <c r="P1860" s="1837"/>
      <c r="Q1860" s="1837"/>
      <c r="R1860" s="1837"/>
      <c r="S1860" s="1837"/>
      <c r="T1860" s="1837"/>
      <c r="U1860" s="1837"/>
      <c r="V1860" s="1837"/>
      <c r="W1860" s="1837"/>
      <c r="X1860" s="1837"/>
    </row>
    <row r="1861" spans="1:24" ht="24" customHeight="1">
      <c r="A1861" s="1782"/>
      <c r="B1861" s="2003"/>
      <c r="C1861" s="1895"/>
      <c r="D1861" s="1915"/>
      <c r="E1861" s="2045"/>
      <c r="F1861" s="1842"/>
      <c r="G1861" s="2046"/>
      <c r="H1861" s="1854"/>
      <c r="I1861" s="2048"/>
      <c r="J1861" s="1854"/>
      <c r="K1861" s="1857"/>
      <c r="L1861" s="2049"/>
      <c r="M1861" s="2044"/>
      <c r="N1861" s="1837"/>
      <c r="O1861" s="1837"/>
      <c r="P1861" s="1837"/>
      <c r="Q1861" s="1837"/>
      <c r="R1861" s="1837"/>
      <c r="S1861" s="1837"/>
      <c r="T1861" s="1837"/>
      <c r="U1861" s="1837"/>
      <c r="V1861" s="1837"/>
      <c r="W1861" s="1837"/>
      <c r="X1861" s="1837"/>
    </row>
    <row r="1862" spans="1:24" ht="24" customHeight="1">
      <c r="A1862" s="1933"/>
      <c r="B1862" s="2003" t="s">
        <v>654</v>
      </c>
      <c r="C1862" s="1895" t="s">
        <v>655</v>
      </c>
      <c r="D1862" s="1915"/>
      <c r="E1862" s="2045">
        <v>2</v>
      </c>
      <c r="F1862" s="1842" t="s">
        <v>240</v>
      </c>
      <c r="G1862" s="2046">
        <v>24170</v>
      </c>
      <c r="H1862" s="1854">
        <f>E1862*G1862</f>
        <v>48340</v>
      </c>
      <c r="I1862" s="2046">
        <v>4000</v>
      </c>
      <c r="J1862" s="1854">
        <f>E1862*I1862</f>
        <v>8000</v>
      </c>
      <c r="K1862" s="1857">
        <f>H1862+J1862</f>
        <v>56340</v>
      </c>
      <c r="L1862" s="2043"/>
      <c r="M1862" s="2044"/>
      <c r="N1862" s="1837"/>
      <c r="O1862" s="1837"/>
      <c r="P1862" s="1837"/>
      <c r="Q1862" s="1837"/>
      <c r="R1862" s="1837"/>
      <c r="S1862" s="1837"/>
      <c r="T1862" s="1837"/>
      <c r="U1862" s="1837"/>
      <c r="V1862" s="1837"/>
      <c r="W1862" s="1837"/>
      <c r="X1862" s="1837"/>
    </row>
    <row r="1863" spans="1:24" ht="24" customHeight="1">
      <c r="A1863" s="1933"/>
      <c r="B1863" s="2003" t="s">
        <v>656</v>
      </c>
      <c r="C1863" s="1895" t="s">
        <v>655</v>
      </c>
      <c r="D1863" s="1915"/>
      <c r="E1863" s="2045">
        <v>8</v>
      </c>
      <c r="F1863" s="1842" t="s">
        <v>240</v>
      </c>
      <c r="G1863" s="2046">
        <v>38620</v>
      </c>
      <c r="H1863" s="1854">
        <f t="shared" ref="H1863:H1867" si="908">E1863*G1863</f>
        <v>308960</v>
      </c>
      <c r="I1863" s="2046">
        <v>4000</v>
      </c>
      <c r="J1863" s="1854">
        <f t="shared" ref="J1863:J1867" si="909">E1863*I1863</f>
        <v>32000</v>
      </c>
      <c r="K1863" s="1857">
        <f t="shared" ref="K1863:K1867" si="910">H1863+J1863</f>
        <v>340960</v>
      </c>
      <c r="L1863" s="2043"/>
      <c r="M1863" s="2044"/>
      <c r="N1863" s="1837"/>
      <c r="O1863" s="1837"/>
      <c r="P1863" s="1837"/>
      <c r="Q1863" s="1837"/>
      <c r="R1863" s="1837"/>
      <c r="S1863" s="1837"/>
      <c r="T1863" s="1837"/>
      <c r="U1863" s="1837"/>
      <c r="V1863" s="1837"/>
      <c r="W1863" s="1837"/>
      <c r="X1863" s="1837"/>
    </row>
    <row r="1864" spans="1:24" ht="24" customHeight="1">
      <c r="A1864" s="1933"/>
      <c r="B1864" s="2003" t="s">
        <v>657</v>
      </c>
      <c r="C1864" s="1895" t="s">
        <v>658</v>
      </c>
      <c r="D1864" s="1915"/>
      <c r="E1864" s="2045">
        <v>3</v>
      </c>
      <c r="F1864" s="1842" t="s">
        <v>240</v>
      </c>
      <c r="G1864" s="2046">
        <v>17400</v>
      </c>
      <c r="H1864" s="1854">
        <f t="shared" si="908"/>
        <v>52200</v>
      </c>
      <c r="I1864" s="2046">
        <v>3000</v>
      </c>
      <c r="J1864" s="1854">
        <f t="shared" si="909"/>
        <v>9000</v>
      </c>
      <c r="K1864" s="1857">
        <f t="shared" si="910"/>
        <v>61200</v>
      </c>
      <c r="L1864" s="2043"/>
      <c r="M1864" s="2044"/>
      <c r="N1864" s="1837"/>
      <c r="O1864" s="1837"/>
      <c r="P1864" s="1837"/>
      <c r="Q1864" s="1837"/>
      <c r="R1864" s="1837"/>
      <c r="S1864" s="1837"/>
      <c r="T1864" s="1837"/>
      <c r="U1864" s="1837"/>
      <c r="V1864" s="1837"/>
      <c r="W1864" s="1837"/>
      <c r="X1864" s="1837"/>
    </row>
    <row r="1865" spans="1:24" ht="24" customHeight="1">
      <c r="A1865" s="1933"/>
      <c r="B1865" s="2003" t="s">
        <v>659</v>
      </c>
      <c r="C1865" s="1895" t="s">
        <v>660</v>
      </c>
      <c r="D1865" s="1915"/>
      <c r="E1865" s="2045">
        <v>0</v>
      </c>
      <c r="F1865" s="1842" t="s">
        <v>240</v>
      </c>
      <c r="G1865" s="2046">
        <v>19450</v>
      </c>
      <c r="H1865" s="1854">
        <f t="shared" si="908"/>
        <v>0</v>
      </c>
      <c r="I1865" s="2046">
        <v>3000</v>
      </c>
      <c r="J1865" s="1854">
        <f t="shared" si="909"/>
        <v>0</v>
      </c>
      <c r="K1865" s="1857">
        <f t="shared" si="910"/>
        <v>0</v>
      </c>
      <c r="L1865" s="2043"/>
      <c r="M1865" s="2044"/>
      <c r="N1865" s="1837"/>
      <c r="O1865" s="1837"/>
      <c r="P1865" s="1837"/>
      <c r="Q1865" s="1837"/>
      <c r="R1865" s="1837"/>
      <c r="S1865" s="1837"/>
      <c r="T1865" s="1837"/>
      <c r="U1865" s="1837"/>
      <c r="V1865" s="1837"/>
      <c r="W1865" s="1837"/>
      <c r="X1865" s="1837"/>
    </row>
    <row r="1866" spans="1:24" ht="24" customHeight="1">
      <c r="A1866" s="1933"/>
      <c r="B1866" s="2003" t="s">
        <v>661</v>
      </c>
      <c r="C1866" s="1895" t="s">
        <v>662</v>
      </c>
      <c r="D1866" s="1915"/>
      <c r="E1866" s="2045">
        <v>0</v>
      </c>
      <c r="F1866" s="1842" t="s">
        <v>240</v>
      </c>
      <c r="G1866" s="2046">
        <v>40120</v>
      </c>
      <c r="H1866" s="1854">
        <f t="shared" si="908"/>
        <v>0</v>
      </c>
      <c r="I1866" s="2046">
        <v>4000</v>
      </c>
      <c r="J1866" s="1854">
        <f t="shared" si="909"/>
        <v>0</v>
      </c>
      <c r="K1866" s="1857">
        <f t="shared" si="910"/>
        <v>0</v>
      </c>
      <c r="L1866" s="2043"/>
      <c r="M1866" s="2044"/>
      <c r="N1866" s="1837"/>
      <c r="O1866" s="1837"/>
      <c r="P1866" s="1837"/>
      <c r="Q1866" s="1837"/>
      <c r="R1866" s="1837"/>
      <c r="S1866" s="1837"/>
      <c r="T1866" s="1837"/>
      <c r="U1866" s="1837"/>
      <c r="V1866" s="1837"/>
      <c r="W1866" s="1837"/>
      <c r="X1866" s="1837"/>
    </row>
    <row r="1867" spans="1:24" ht="24" customHeight="1">
      <c r="A1867" s="1933"/>
      <c r="B1867" s="2003" t="s">
        <v>663</v>
      </c>
      <c r="C1867" s="1895" t="s">
        <v>662</v>
      </c>
      <c r="D1867" s="1915"/>
      <c r="E1867" s="2045">
        <v>4</v>
      </c>
      <c r="F1867" s="1842" t="s">
        <v>240</v>
      </c>
      <c r="G1867" s="2046">
        <v>57600</v>
      </c>
      <c r="H1867" s="1854">
        <f t="shared" si="908"/>
        <v>230400</v>
      </c>
      <c r="I1867" s="2046">
        <v>4000</v>
      </c>
      <c r="J1867" s="1854">
        <f t="shared" si="909"/>
        <v>16000</v>
      </c>
      <c r="K1867" s="1857">
        <f t="shared" si="910"/>
        <v>246400</v>
      </c>
      <c r="L1867" s="2043"/>
      <c r="M1867" s="2044"/>
      <c r="N1867" s="1837"/>
      <c r="O1867" s="1837"/>
      <c r="P1867" s="1837"/>
      <c r="Q1867" s="1837"/>
      <c r="R1867" s="1837"/>
      <c r="S1867" s="1837"/>
      <c r="T1867" s="1837"/>
      <c r="U1867" s="1837"/>
      <c r="V1867" s="1837"/>
      <c r="W1867" s="1837"/>
      <c r="X1867" s="1837"/>
    </row>
    <row r="1868" spans="1:24" ht="24" customHeight="1">
      <c r="A1868" s="1933"/>
      <c r="B1868" s="2003"/>
      <c r="C1868" s="1895"/>
      <c r="D1868" s="1915"/>
      <c r="E1868" s="2045"/>
      <c r="F1868" s="1842"/>
      <c r="G1868" s="2046"/>
      <c r="H1868" s="1854"/>
      <c r="I1868" s="2048"/>
      <c r="J1868" s="1854"/>
      <c r="K1868" s="1857"/>
      <c r="L1868" s="2043"/>
      <c r="M1868" s="2044"/>
      <c r="N1868" s="1837"/>
      <c r="O1868" s="1837"/>
      <c r="P1868" s="1837"/>
      <c r="Q1868" s="1837"/>
      <c r="R1868" s="1837"/>
      <c r="S1868" s="1837"/>
      <c r="T1868" s="1837"/>
      <c r="U1868" s="1837"/>
      <c r="V1868" s="1837"/>
      <c r="W1868" s="1837"/>
      <c r="X1868" s="1837"/>
    </row>
    <row r="1869" spans="1:24" ht="24" customHeight="1">
      <c r="A1869" s="1933"/>
      <c r="B1869" s="2003" t="s">
        <v>664</v>
      </c>
      <c r="C1869" s="1895" t="s">
        <v>665</v>
      </c>
      <c r="D1869" s="1915"/>
      <c r="E1869" s="2045">
        <v>0</v>
      </c>
      <c r="F1869" s="1842" t="s">
        <v>240</v>
      </c>
      <c r="G1869" s="2046">
        <v>18500</v>
      </c>
      <c r="H1869" s="1854">
        <f t="shared" ref="H1869" si="911">E1869*G1869</f>
        <v>0</v>
      </c>
      <c r="I1869" s="2046">
        <v>1200</v>
      </c>
      <c r="J1869" s="1854">
        <f t="shared" ref="J1869" si="912">E1869*I1869</f>
        <v>0</v>
      </c>
      <c r="K1869" s="1857">
        <f t="shared" ref="K1869" si="913">H1869+J1869</f>
        <v>0</v>
      </c>
      <c r="L1869" s="2043"/>
      <c r="M1869" s="2044"/>
      <c r="N1869" s="1837"/>
      <c r="O1869" s="1837"/>
      <c r="P1869" s="1837"/>
      <c r="Q1869" s="1837"/>
      <c r="R1869" s="1837"/>
      <c r="S1869" s="1837"/>
      <c r="T1869" s="1837"/>
      <c r="U1869" s="1837"/>
      <c r="V1869" s="1837"/>
      <c r="W1869" s="1837"/>
      <c r="X1869" s="1837"/>
    </row>
    <row r="1870" spans="1:24" ht="24" customHeight="1">
      <c r="A1870" s="1933"/>
      <c r="B1870" s="2003"/>
      <c r="C1870" s="1895"/>
      <c r="D1870" s="1915"/>
      <c r="E1870" s="2045"/>
      <c r="F1870" s="1842"/>
      <c r="G1870" s="2046"/>
      <c r="H1870" s="1854"/>
      <c r="I1870" s="2046"/>
      <c r="J1870" s="1854"/>
      <c r="K1870" s="1857"/>
      <c r="L1870" s="2043"/>
      <c r="M1870" s="2044"/>
      <c r="N1870" s="1837"/>
      <c r="O1870" s="1837"/>
      <c r="P1870" s="1837"/>
      <c r="Q1870" s="1837"/>
      <c r="R1870" s="1837"/>
      <c r="S1870" s="1837"/>
      <c r="T1870" s="1837"/>
      <c r="U1870" s="1837"/>
      <c r="V1870" s="1837"/>
      <c r="W1870" s="1837"/>
      <c r="X1870" s="1837"/>
    </row>
    <row r="1871" spans="1:24" ht="24" customHeight="1">
      <c r="A1871" s="1933"/>
      <c r="B1871" s="2003" t="s">
        <v>666</v>
      </c>
      <c r="C1871" s="1895" t="s">
        <v>667</v>
      </c>
      <c r="D1871" s="1915"/>
      <c r="E1871" s="2045">
        <v>2</v>
      </c>
      <c r="F1871" s="1842" t="s">
        <v>240</v>
      </c>
      <c r="G1871" s="2046">
        <v>127500</v>
      </c>
      <c r="H1871" s="1854">
        <f t="shared" ref="H1871:H1880" si="914">E1871*G1871</f>
        <v>255000</v>
      </c>
      <c r="I1871" s="2046">
        <v>18750</v>
      </c>
      <c r="J1871" s="1854">
        <f t="shared" ref="J1871:J1880" si="915">E1871*I1871</f>
        <v>37500</v>
      </c>
      <c r="K1871" s="1857">
        <f t="shared" ref="K1871:K1880" si="916">H1871+J1871</f>
        <v>292500</v>
      </c>
      <c r="L1871" s="1910"/>
      <c r="M1871" s="2047"/>
      <c r="N1871" s="1837"/>
      <c r="O1871" s="1837"/>
      <c r="P1871" s="1837"/>
      <c r="Q1871" s="1837"/>
      <c r="R1871" s="1837"/>
      <c r="S1871" s="1837"/>
      <c r="T1871" s="1837"/>
      <c r="U1871" s="1837"/>
      <c r="V1871" s="1837"/>
      <c r="W1871" s="1837"/>
      <c r="X1871" s="1837"/>
    </row>
    <row r="1872" spans="1:24" ht="24" customHeight="1">
      <c r="A1872" s="1933"/>
      <c r="B1872" s="2003" t="s">
        <v>668</v>
      </c>
      <c r="C1872" s="1895" t="s">
        <v>669</v>
      </c>
      <c r="D1872" s="1915"/>
      <c r="E1872" s="2045">
        <v>1</v>
      </c>
      <c r="F1872" s="1842" t="s">
        <v>240</v>
      </c>
      <c r="G1872" s="2046">
        <v>197200</v>
      </c>
      <c r="H1872" s="1854">
        <f t="shared" si="914"/>
        <v>197200</v>
      </c>
      <c r="I1872" s="2046">
        <v>29000</v>
      </c>
      <c r="J1872" s="1854">
        <f t="shared" si="915"/>
        <v>29000</v>
      </c>
      <c r="K1872" s="1857">
        <f t="shared" si="916"/>
        <v>226200</v>
      </c>
      <c r="L1872" s="1910"/>
      <c r="M1872" s="2047"/>
      <c r="N1872" s="1837"/>
      <c r="O1872" s="1837"/>
      <c r="P1872" s="1837"/>
      <c r="Q1872" s="1837"/>
      <c r="R1872" s="1837"/>
      <c r="S1872" s="1837"/>
      <c r="T1872" s="1837"/>
      <c r="U1872" s="1837"/>
      <c r="V1872" s="1837"/>
      <c r="W1872" s="1837"/>
      <c r="X1872" s="1837"/>
    </row>
    <row r="1873" spans="1:24" ht="24" customHeight="1">
      <c r="A1873" s="1933"/>
      <c r="B1873" s="2003" t="s">
        <v>670</v>
      </c>
      <c r="C1873" s="1895" t="s">
        <v>671</v>
      </c>
      <c r="D1873" s="1915"/>
      <c r="E1873" s="2045">
        <v>2</v>
      </c>
      <c r="F1873" s="1842" t="s">
        <v>240</v>
      </c>
      <c r="G1873" s="2046">
        <v>187000</v>
      </c>
      <c r="H1873" s="1854">
        <f t="shared" si="914"/>
        <v>374000</v>
      </c>
      <c r="I1873" s="2046">
        <v>27500</v>
      </c>
      <c r="J1873" s="1854">
        <f t="shared" si="915"/>
        <v>55000</v>
      </c>
      <c r="K1873" s="1857">
        <f t="shared" si="916"/>
        <v>429000</v>
      </c>
      <c r="L1873" s="1910"/>
      <c r="M1873" s="2047"/>
      <c r="N1873" s="1837"/>
      <c r="O1873" s="1837"/>
      <c r="P1873" s="1837"/>
      <c r="Q1873" s="1837"/>
      <c r="R1873" s="1837"/>
      <c r="S1873" s="1837"/>
      <c r="T1873" s="1837"/>
      <c r="U1873" s="1837"/>
      <c r="V1873" s="1837"/>
      <c r="W1873" s="1837"/>
      <c r="X1873" s="1837"/>
    </row>
    <row r="1874" spans="1:24" ht="24" customHeight="1">
      <c r="A1874" s="1933"/>
      <c r="B1874" s="2003" t="s">
        <v>672</v>
      </c>
      <c r="C1874" s="1895" t="s">
        <v>673</v>
      </c>
      <c r="D1874" s="1915"/>
      <c r="E1874" s="2045">
        <v>0</v>
      </c>
      <c r="F1874" s="1842" t="s">
        <v>240</v>
      </c>
      <c r="G1874" s="2046">
        <v>476000</v>
      </c>
      <c r="H1874" s="1854">
        <f t="shared" si="914"/>
        <v>0</v>
      </c>
      <c r="I1874" s="2046">
        <v>70000</v>
      </c>
      <c r="J1874" s="1854">
        <f t="shared" si="915"/>
        <v>0</v>
      </c>
      <c r="K1874" s="1857">
        <f t="shared" si="916"/>
        <v>0</v>
      </c>
      <c r="L1874" s="1910"/>
      <c r="M1874" s="2047"/>
      <c r="N1874" s="1837"/>
      <c r="O1874" s="1837"/>
      <c r="P1874" s="1837"/>
      <c r="Q1874" s="1837"/>
      <c r="R1874" s="1837"/>
      <c r="S1874" s="1837"/>
      <c r="T1874" s="1837"/>
      <c r="U1874" s="1837"/>
      <c r="V1874" s="1837"/>
      <c r="W1874" s="1837"/>
      <c r="X1874" s="1837"/>
    </row>
    <row r="1875" spans="1:24" ht="24" customHeight="1">
      <c r="A1875" s="1933"/>
      <c r="B1875" s="2003" t="s">
        <v>674</v>
      </c>
      <c r="C1875" s="1895" t="s">
        <v>675</v>
      </c>
      <c r="D1875" s="1915"/>
      <c r="E1875" s="2045">
        <v>0</v>
      </c>
      <c r="F1875" s="1842" t="s">
        <v>240</v>
      </c>
      <c r="G1875" s="2046">
        <v>305660</v>
      </c>
      <c r="H1875" s="1854">
        <f t="shared" si="914"/>
        <v>0</v>
      </c>
      <c r="I1875" s="2046">
        <v>44950</v>
      </c>
      <c r="J1875" s="1854">
        <f t="shared" si="915"/>
        <v>0</v>
      </c>
      <c r="K1875" s="1857">
        <f t="shared" si="916"/>
        <v>0</v>
      </c>
      <c r="L1875" s="1910"/>
      <c r="M1875" s="2047"/>
      <c r="N1875" s="1837"/>
      <c r="O1875" s="1837"/>
      <c r="P1875" s="1837"/>
      <c r="Q1875" s="1837"/>
      <c r="R1875" s="1837"/>
      <c r="S1875" s="1837"/>
      <c r="T1875" s="1837"/>
      <c r="U1875" s="1837"/>
      <c r="V1875" s="1837"/>
      <c r="W1875" s="1837"/>
      <c r="X1875" s="1837"/>
    </row>
    <row r="1876" spans="1:24" ht="24" customHeight="1">
      <c r="A1876" s="1933"/>
      <c r="B1876" s="2003" t="s">
        <v>676</v>
      </c>
      <c r="C1876" s="1895" t="s">
        <v>677</v>
      </c>
      <c r="D1876" s="1915"/>
      <c r="E1876" s="2045">
        <v>0</v>
      </c>
      <c r="F1876" s="1842" t="s">
        <v>240</v>
      </c>
      <c r="G1876" s="2046">
        <v>350030</v>
      </c>
      <c r="H1876" s="1854">
        <f t="shared" si="914"/>
        <v>0</v>
      </c>
      <c r="I1876" s="2046">
        <v>51475</v>
      </c>
      <c r="J1876" s="1854">
        <f t="shared" si="915"/>
        <v>0</v>
      </c>
      <c r="K1876" s="1857">
        <f t="shared" si="916"/>
        <v>0</v>
      </c>
      <c r="L1876" s="1910"/>
      <c r="M1876" s="2047"/>
      <c r="N1876" s="1837"/>
      <c r="O1876" s="1837"/>
      <c r="P1876" s="1837"/>
      <c r="Q1876" s="1837"/>
      <c r="R1876" s="1837"/>
      <c r="S1876" s="1837"/>
      <c r="T1876" s="1837"/>
      <c r="U1876" s="1837"/>
      <c r="V1876" s="1837"/>
      <c r="W1876" s="1837"/>
      <c r="X1876" s="1837"/>
    </row>
    <row r="1877" spans="1:24" ht="24" customHeight="1">
      <c r="A1877" s="1933"/>
      <c r="B1877" s="2003" t="s">
        <v>678</v>
      </c>
      <c r="C1877" s="1895" t="s">
        <v>679</v>
      </c>
      <c r="D1877" s="1915"/>
      <c r="E1877" s="2045">
        <v>0</v>
      </c>
      <c r="F1877" s="1842" t="s">
        <v>240</v>
      </c>
      <c r="G1877" s="2046">
        <v>448800</v>
      </c>
      <c r="H1877" s="1854">
        <f t="shared" si="914"/>
        <v>0</v>
      </c>
      <c r="I1877" s="2046">
        <v>66000</v>
      </c>
      <c r="J1877" s="1854">
        <f t="shared" si="915"/>
        <v>0</v>
      </c>
      <c r="K1877" s="1857">
        <f t="shared" si="916"/>
        <v>0</v>
      </c>
      <c r="L1877" s="1910"/>
      <c r="M1877" s="2047"/>
      <c r="N1877" s="1837"/>
      <c r="O1877" s="1837"/>
      <c r="P1877" s="1837"/>
      <c r="Q1877" s="1837"/>
      <c r="R1877" s="1837"/>
      <c r="S1877" s="1837"/>
      <c r="T1877" s="1837"/>
      <c r="U1877" s="1837"/>
      <c r="V1877" s="1837"/>
      <c r="W1877" s="1837"/>
      <c r="X1877" s="1837"/>
    </row>
    <row r="1878" spans="1:24" ht="24" customHeight="1">
      <c r="A1878" s="1933"/>
      <c r="B1878" s="2003" t="s">
        <v>680</v>
      </c>
      <c r="C1878" s="1895" t="s">
        <v>681</v>
      </c>
      <c r="D1878" s="1915"/>
      <c r="E1878" s="2045">
        <v>0</v>
      </c>
      <c r="F1878" s="1842" t="s">
        <v>240</v>
      </c>
      <c r="G1878" s="2046">
        <v>639200</v>
      </c>
      <c r="H1878" s="1854">
        <f t="shared" si="914"/>
        <v>0</v>
      </c>
      <c r="I1878" s="2046">
        <v>94000</v>
      </c>
      <c r="J1878" s="1854">
        <f t="shared" si="915"/>
        <v>0</v>
      </c>
      <c r="K1878" s="1857">
        <f t="shared" si="916"/>
        <v>0</v>
      </c>
      <c r="L1878" s="1910"/>
      <c r="M1878" s="2047"/>
      <c r="N1878" s="1837"/>
      <c r="O1878" s="1837"/>
      <c r="P1878" s="1837"/>
      <c r="Q1878" s="1837"/>
      <c r="R1878" s="1837"/>
      <c r="S1878" s="1837"/>
      <c r="T1878" s="1837"/>
      <c r="U1878" s="1837"/>
      <c r="V1878" s="1837"/>
      <c r="W1878" s="1837"/>
      <c r="X1878" s="1837"/>
    </row>
    <row r="1879" spans="1:24" ht="24" customHeight="1">
      <c r="A1879" s="1933"/>
      <c r="B1879" s="2003" t="s">
        <v>682</v>
      </c>
      <c r="C1879" s="1895" t="s">
        <v>669</v>
      </c>
      <c r="D1879" s="1915"/>
      <c r="E1879" s="2045">
        <v>0</v>
      </c>
      <c r="F1879" s="1842" t="s">
        <v>240</v>
      </c>
      <c r="G1879" s="2046">
        <v>197200</v>
      </c>
      <c r="H1879" s="1854">
        <f t="shared" si="914"/>
        <v>0</v>
      </c>
      <c r="I1879" s="2046">
        <v>29000</v>
      </c>
      <c r="J1879" s="1854">
        <f t="shared" si="915"/>
        <v>0</v>
      </c>
      <c r="K1879" s="1857">
        <f t="shared" si="916"/>
        <v>0</v>
      </c>
      <c r="L1879" s="1910"/>
      <c r="M1879" s="2047"/>
      <c r="N1879" s="1837"/>
      <c r="O1879" s="1837"/>
      <c r="P1879" s="1837"/>
      <c r="Q1879" s="1837"/>
      <c r="R1879" s="1837"/>
      <c r="S1879" s="1837"/>
      <c r="T1879" s="1837"/>
      <c r="U1879" s="1837"/>
      <c r="V1879" s="1837"/>
      <c r="W1879" s="1837"/>
      <c r="X1879" s="1837"/>
    </row>
    <row r="1880" spans="1:24" ht="24" customHeight="1">
      <c r="A1880" s="1933"/>
      <c r="B1880" s="2003" t="s">
        <v>683</v>
      </c>
      <c r="C1880" s="1895" t="s">
        <v>684</v>
      </c>
      <c r="D1880" s="1915"/>
      <c r="E1880" s="2045">
        <v>1</v>
      </c>
      <c r="F1880" s="1842" t="s">
        <v>240</v>
      </c>
      <c r="G1880" s="2046">
        <v>163200</v>
      </c>
      <c r="H1880" s="1854">
        <f t="shared" si="914"/>
        <v>163200</v>
      </c>
      <c r="I1880" s="2046">
        <v>24000</v>
      </c>
      <c r="J1880" s="1854">
        <f t="shared" si="915"/>
        <v>24000</v>
      </c>
      <c r="K1880" s="1857">
        <f t="shared" si="916"/>
        <v>187200</v>
      </c>
      <c r="L1880" s="1910"/>
      <c r="M1880" s="2047"/>
      <c r="N1880" s="1837"/>
      <c r="O1880" s="1837"/>
      <c r="P1880" s="1837"/>
      <c r="Q1880" s="1837"/>
      <c r="R1880" s="1837"/>
      <c r="S1880" s="1837"/>
      <c r="T1880" s="1837"/>
      <c r="U1880" s="1837"/>
      <c r="V1880" s="1837"/>
      <c r="W1880" s="1837"/>
      <c r="X1880" s="1837"/>
    </row>
    <row r="1881" spans="1:24" ht="24" customHeight="1">
      <c r="A1881" s="1933"/>
      <c r="B1881" s="2003"/>
      <c r="C1881" s="1895"/>
      <c r="D1881" s="1915"/>
      <c r="E1881" s="2045"/>
      <c r="F1881" s="1842"/>
      <c r="G1881" s="2050"/>
      <c r="H1881" s="1911"/>
      <c r="I1881" s="2050"/>
      <c r="J1881" s="1913"/>
      <c r="K1881" s="2051"/>
      <c r="L1881" s="2043"/>
      <c r="M1881" s="2044"/>
      <c r="N1881" s="1837"/>
      <c r="O1881" s="1837"/>
      <c r="P1881" s="1837"/>
      <c r="Q1881" s="1837"/>
      <c r="R1881" s="1837"/>
      <c r="S1881" s="1837"/>
      <c r="T1881" s="1837"/>
      <c r="U1881" s="1837"/>
      <c r="V1881" s="1837"/>
      <c r="W1881" s="1837"/>
      <c r="X1881" s="1837"/>
    </row>
    <row r="1882" spans="1:24" ht="24" customHeight="1">
      <c r="A1882" s="1933"/>
      <c r="B1882" s="2003" t="s">
        <v>685</v>
      </c>
      <c r="C1882" s="1895" t="s">
        <v>686</v>
      </c>
      <c r="D1882" s="1915"/>
      <c r="E1882" s="2045">
        <v>0</v>
      </c>
      <c r="F1882" s="1842" t="s">
        <v>240</v>
      </c>
      <c r="G1882" s="2046">
        <v>119580</v>
      </c>
      <c r="H1882" s="1854">
        <f t="shared" ref="H1882:H1895" si="917">E1882*G1882</f>
        <v>0</v>
      </c>
      <c r="I1882" s="2046">
        <v>0</v>
      </c>
      <c r="J1882" s="1854">
        <f t="shared" ref="J1882:J1895" si="918">E1882*I1882</f>
        <v>0</v>
      </c>
      <c r="K1882" s="1857">
        <f t="shared" ref="K1882:K1895" si="919">H1882+J1882</f>
        <v>0</v>
      </c>
      <c r="L1882" s="1910" t="s">
        <v>2887</v>
      </c>
      <c r="M1882" s="2047"/>
      <c r="N1882" s="1837"/>
      <c r="O1882" s="2024"/>
      <c r="P1882" s="1836"/>
      <c r="Q1882" s="1836"/>
      <c r="R1882" s="1837"/>
      <c r="S1882" s="1837"/>
      <c r="T1882" s="1837"/>
      <c r="U1882" s="1837"/>
      <c r="V1882" s="1837"/>
      <c r="W1882" s="1837"/>
      <c r="X1882" s="1837"/>
    </row>
    <row r="1883" spans="1:24" ht="24" customHeight="1">
      <c r="A1883" s="1933"/>
      <c r="B1883" s="2003" t="s">
        <v>687</v>
      </c>
      <c r="C1883" s="1895" t="s">
        <v>686</v>
      </c>
      <c r="D1883" s="1915"/>
      <c r="E1883" s="2045">
        <v>0</v>
      </c>
      <c r="F1883" s="1842" t="s">
        <v>240</v>
      </c>
      <c r="G1883" s="2046">
        <v>207000</v>
      </c>
      <c r="H1883" s="1854">
        <f t="shared" si="917"/>
        <v>0</v>
      </c>
      <c r="I1883" s="2046">
        <v>0</v>
      </c>
      <c r="J1883" s="1854">
        <f t="shared" si="918"/>
        <v>0</v>
      </c>
      <c r="K1883" s="1857">
        <f t="shared" si="919"/>
        <v>0</v>
      </c>
      <c r="L1883" s="1910" t="s">
        <v>2887</v>
      </c>
      <c r="M1883" s="2047"/>
      <c r="N1883" s="1837"/>
      <c r="O1883" s="2024"/>
      <c r="P1883" s="1836"/>
      <c r="Q1883" s="1836"/>
      <c r="R1883" s="1837"/>
      <c r="S1883" s="1837"/>
      <c r="T1883" s="1837"/>
      <c r="U1883" s="1837"/>
      <c r="V1883" s="1837"/>
      <c r="W1883" s="1837"/>
      <c r="X1883" s="1837"/>
    </row>
    <row r="1884" spans="1:24" ht="24" customHeight="1">
      <c r="A1884" s="1933"/>
      <c r="B1884" s="2003" t="s">
        <v>688</v>
      </c>
      <c r="C1884" s="1895" t="s">
        <v>686</v>
      </c>
      <c r="D1884" s="1915"/>
      <c r="E1884" s="2045">
        <v>0</v>
      </c>
      <c r="F1884" s="1842" t="s">
        <v>240</v>
      </c>
      <c r="G1884" s="2046">
        <v>267600</v>
      </c>
      <c r="H1884" s="1854">
        <f t="shared" si="917"/>
        <v>0</v>
      </c>
      <c r="I1884" s="2046">
        <v>0</v>
      </c>
      <c r="J1884" s="1854">
        <f t="shared" si="918"/>
        <v>0</v>
      </c>
      <c r="K1884" s="1857">
        <f t="shared" si="919"/>
        <v>0</v>
      </c>
      <c r="L1884" s="1910" t="s">
        <v>2887</v>
      </c>
      <c r="M1884" s="2047"/>
      <c r="N1884" s="1837"/>
      <c r="O1884" s="2024"/>
      <c r="P1884" s="1836"/>
      <c r="Q1884" s="1836"/>
      <c r="R1884" s="1837"/>
      <c r="S1884" s="1837"/>
      <c r="T1884" s="1837"/>
      <c r="U1884" s="1837"/>
      <c r="V1884" s="1837"/>
      <c r="W1884" s="1837"/>
      <c r="X1884" s="1837"/>
    </row>
    <row r="1885" spans="1:24" ht="24" customHeight="1">
      <c r="A1885" s="1933"/>
      <c r="B1885" s="2003" t="s">
        <v>689</v>
      </c>
      <c r="C1885" s="1895" t="s">
        <v>686</v>
      </c>
      <c r="D1885" s="1915"/>
      <c r="E1885" s="2045">
        <v>0</v>
      </c>
      <c r="F1885" s="1842" t="s">
        <v>240</v>
      </c>
      <c r="G1885" s="2046">
        <v>285430</v>
      </c>
      <c r="H1885" s="1854">
        <f t="shared" si="917"/>
        <v>0</v>
      </c>
      <c r="I1885" s="2046">
        <v>0</v>
      </c>
      <c r="J1885" s="1854">
        <f t="shared" si="918"/>
        <v>0</v>
      </c>
      <c r="K1885" s="1857">
        <f t="shared" si="919"/>
        <v>0</v>
      </c>
      <c r="L1885" s="1910" t="s">
        <v>2887</v>
      </c>
      <c r="M1885" s="2047"/>
      <c r="N1885" s="1837"/>
      <c r="O1885" s="2024"/>
      <c r="P1885" s="1836"/>
      <c r="Q1885" s="1836"/>
      <c r="R1885" s="1837"/>
      <c r="S1885" s="1837"/>
      <c r="T1885" s="1837"/>
      <c r="U1885" s="1837"/>
      <c r="V1885" s="1837"/>
      <c r="W1885" s="1837"/>
      <c r="X1885" s="1837"/>
    </row>
    <row r="1886" spans="1:24" ht="24" customHeight="1">
      <c r="A1886" s="1933"/>
      <c r="B1886" s="2003" t="s">
        <v>690</v>
      </c>
      <c r="C1886" s="1895" t="s">
        <v>686</v>
      </c>
      <c r="D1886" s="1915"/>
      <c r="E1886" s="2045">
        <v>0</v>
      </c>
      <c r="F1886" s="1842" t="s">
        <v>240</v>
      </c>
      <c r="G1886" s="2046">
        <v>440100</v>
      </c>
      <c r="H1886" s="1854">
        <f t="shared" si="917"/>
        <v>0</v>
      </c>
      <c r="I1886" s="2046">
        <v>0</v>
      </c>
      <c r="J1886" s="1854">
        <f t="shared" si="918"/>
        <v>0</v>
      </c>
      <c r="K1886" s="1857">
        <f t="shared" si="919"/>
        <v>0</v>
      </c>
      <c r="L1886" s="1910" t="s">
        <v>2887</v>
      </c>
      <c r="M1886" s="2047"/>
      <c r="N1886" s="1837"/>
      <c r="O1886" s="2024"/>
      <c r="P1886" s="1836"/>
      <c r="Q1886" s="1836"/>
      <c r="R1886" s="1837"/>
      <c r="S1886" s="1837"/>
      <c r="T1886" s="1837"/>
      <c r="U1886" s="1837"/>
      <c r="V1886" s="1837"/>
      <c r="W1886" s="1837"/>
      <c r="X1886" s="1837"/>
    </row>
    <row r="1887" spans="1:24" ht="24" customHeight="1">
      <c r="A1887" s="1933"/>
      <c r="B1887" s="2003" t="s">
        <v>691</v>
      </c>
      <c r="C1887" s="1895" t="s">
        <v>686</v>
      </c>
      <c r="D1887" s="1915"/>
      <c r="E1887" s="2045">
        <v>0</v>
      </c>
      <c r="F1887" s="1842" t="s">
        <v>240</v>
      </c>
      <c r="G1887" s="2046">
        <v>770900</v>
      </c>
      <c r="H1887" s="1854">
        <f t="shared" si="917"/>
        <v>0</v>
      </c>
      <c r="I1887" s="2046">
        <v>0</v>
      </c>
      <c r="J1887" s="1854">
        <f t="shared" si="918"/>
        <v>0</v>
      </c>
      <c r="K1887" s="1857">
        <f t="shared" si="919"/>
        <v>0</v>
      </c>
      <c r="L1887" s="1910" t="s">
        <v>2887</v>
      </c>
      <c r="M1887" s="2047"/>
      <c r="N1887" s="1837"/>
      <c r="O1887" s="2024"/>
      <c r="P1887" s="1836"/>
      <c r="Q1887" s="1836"/>
      <c r="R1887" s="1837"/>
      <c r="S1887" s="1837"/>
      <c r="T1887" s="1837"/>
      <c r="U1887" s="1837"/>
      <c r="V1887" s="1837"/>
      <c r="W1887" s="1837"/>
      <c r="X1887" s="1837"/>
    </row>
    <row r="1888" spans="1:24" ht="24" customHeight="1">
      <c r="A1888" s="1933"/>
      <c r="B1888" s="2003" t="s">
        <v>692</v>
      </c>
      <c r="C1888" s="1895" t="s">
        <v>686</v>
      </c>
      <c r="D1888" s="1915"/>
      <c r="E1888" s="2045">
        <v>0</v>
      </c>
      <c r="F1888" s="1842" t="s">
        <v>240</v>
      </c>
      <c r="G1888" s="2046">
        <f>904400-90440</f>
        <v>813960</v>
      </c>
      <c r="H1888" s="1854">
        <f t="shared" si="917"/>
        <v>0</v>
      </c>
      <c r="I1888" s="2046">
        <v>0</v>
      </c>
      <c r="J1888" s="1854">
        <f t="shared" si="918"/>
        <v>0</v>
      </c>
      <c r="K1888" s="1857">
        <f t="shared" si="919"/>
        <v>0</v>
      </c>
      <c r="L1888" s="1910" t="s">
        <v>2887</v>
      </c>
      <c r="M1888" s="2047"/>
      <c r="N1888" s="1837"/>
      <c r="O1888" s="2024"/>
      <c r="P1888" s="1836"/>
      <c r="Q1888" s="1836"/>
      <c r="R1888" s="1837"/>
      <c r="S1888" s="1837"/>
      <c r="T1888" s="1837"/>
      <c r="U1888" s="1837"/>
      <c r="V1888" s="1837"/>
      <c r="W1888" s="1837"/>
      <c r="X1888" s="1837"/>
    </row>
    <row r="1889" spans="1:24" ht="24" customHeight="1">
      <c r="A1889" s="1933"/>
      <c r="B1889" s="2003" t="s">
        <v>693</v>
      </c>
      <c r="C1889" s="1895" t="s">
        <v>686</v>
      </c>
      <c r="D1889" s="1915"/>
      <c r="E1889" s="2045">
        <v>0</v>
      </c>
      <c r="F1889" s="1842" t="s">
        <v>240</v>
      </c>
      <c r="G1889" s="2046">
        <v>232000</v>
      </c>
      <c r="H1889" s="1854">
        <f t="shared" si="917"/>
        <v>0</v>
      </c>
      <c r="I1889" s="2046">
        <v>0</v>
      </c>
      <c r="J1889" s="1854">
        <f t="shared" si="918"/>
        <v>0</v>
      </c>
      <c r="K1889" s="1857">
        <f t="shared" si="919"/>
        <v>0</v>
      </c>
      <c r="L1889" s="1910" t="s">
        <v>2887</v>
      </c>
      <c r="M1889" s="2047"/>
      <c r="N1889" s="1837"/>
      <c r="O1889" s="2024"/>
      <c r="P1889" s="1836"/>
      <c r="Q1889" s="1836"/>
      <c r="R1889" s="1837"/>
      <c r="S1889" s="1837"/>
      <c r="T1889" s="1837"/>
      <c r="U1889" s="1837"/>
      <c r="V1889" s="1837"/>
      <c r="W1889" s="1837"/>
      <c r="X1889" s="1837"/>
    </row>
    <row r="1890" spans="1:24" ht="24" customHeight="1">
      <c r="A1890" s="1933"/>
      <c r="B1890" s="2003" t="s">
        <v>694</v>
      </c>
      <c r="C1890" s="1895" t="s">
        <v>686</v>
      </c>
      <c r="D1890" s="1915"/>
      <c r="E1890" s="2045">
        <v>0</v>
      </c>
      <c r="F1890" s="1842" t="s">
        <v>240</v>
      </c>
      <c r="G1890" s="2046">
        <v>399100</v>
      </c>
      <c r="H1890" s="1854">
        <f t="shared" si="917"/>
        <v>0</v>
      </c>
      <c r="I1890" s="2046">
        <v>0</v>
      </c>
      <c r="J1890" s="1854">
        <f t="shared" si="918"/>
        <v>0</v>
      </c>
      <c r="K1890" s="1857">
        <f t="shared" si="919"/>
        <v>0</v>
      </c>
      <c r="L1890" s="1910" t="s">
        <v>2887</v>
      </c>
      <c r="M1890" s="2047"/>
      <c r="N1890" s="1837"/>
      <c r="O1890" s="2024"/>
      <c r="P1890" s="1836"/>
      <c r="Q1890" s="1836"/>
      <c r="R1890" s="1837"/>
      <c r="S1890" s="1837"/>
      <c r="T1890" s="1837"/>
      <c r="U1890" s="1837"/>
      <c r="V1890" s="1837"/>
      <c r="W1890" s="1837"/>
      <c r="X1890" s="1837"/>
    </row>
    <row r="1891" spans="1:24" ht="24" customHeight="1">
      <c r="A1891" s="1933"/>
      <c r="B1891" s="2003" t="s">
        <v>695</v>
      </c>
      <c r="C1891" s="1895" t="s">
        <v>686</v>
      </c>
      <c r="D1891" s="1915"/>
      <c r="E1891" s="2045">
        <v>0</v>
      </c>
      <c r="F1891" s="1842" t="s">
        <v>240</v>
      </c>
      <c r="G1891" s="2046">
        <v>528100</v>
      </c>
      <c r="H1891" s="1854">
        <f t="shared" si="917"/>
        <v>0</v>
      </c>
      <c r="I1891" s="2046">
        <v>0</v>
      </c>
      <c r="J1891" s="1854">
        <f t="shared" si="918"/>
        <v>0</v>
      </c>
      <c r="K1891" s="1857">
        <f t="shared" si="919"/>
        <v>0</v>
      </c>
      <c r="L1891" s="1910" t="s">
        <v>2887</v>
      </c>
      <c r="M1891" s="2047"/>
      <c r="N1891" s="1837"/>
      <c r="O1891" s="2024"/>
      <c r="P1891" s="1836"/>
      <c r="Q1891" s="1836"/>
      <c r="R1891" s="1837"/>
      <c r="S1891" s="1837"/>
      <c r="T1891" s="1837"/>
      <c r="U1891" s="1837"/>
      <c r="V1891" s="1837"/>
      <c r="W1891" s="1837"/>
      <c r="X1891" s="1837"/>
    </row>
    <row r="1892" spans="1:24" ht="24" customHeight="1">
      <c r="A1892" s="1933"/>
      <c r="B1892" s="2003" t="s">
        <v>696</v>
      </c>
      <c r="C1892" s="1895" t="s">
        <v>686</v>
      </c>
      <c r="D1892" s="1915"/>
      <c r="E1892" s="2045">
        <v>0</v>
      </c>
      <c r="F1892" s="1842" t="s">
        <v>240</v>
      </c>
      <c r="G1892" s="2046">
        <v>563500</v>
      </c>
      <c r="H1892" s="1854">
        <f t="shared" si="917"/>
        <v>0</v>
      </c>
      <c r="I1892" s="2046">
        <v>0</v>
      </c>
      <c r="J1892" s="1854">
        <f t="shared" si="918"/>
        <v>0</v>
      </c>
      <c r="K1892" s="1857">
        <f t="shared" si="919"/>
        <v>0</v>
      </c>
      <c r="L1892" s="1910" t="s">
        <v>2887</v>
      </c>
      <c r="M1892" s="2047"/>
      <c r="N1892" s="1837"/>
      <c r="O1892" s="2024"/>
      <c r="P1892" s="1836"/>
      <c r="Q1892" s="1836"/>
      <c r="R1892" s="1837"/>
      <c r="S1892" s="1837"/>
      <c r="T1892" s="1837"/>
      <c r="U1892" s="1837"/>
      <c r="V1892" s="1837"/>
      <c r="W1892" s="1837"/>
      <c r="X1892" s="1837"/>
    </row>
    <row r="1893" spans="1:24" ht="24" customHeight="1">
      <c r="A1893" s="1933"/>
      <c r="B1893" s="2003" t="s">
        <v>697</v>
      </c>
      <c r="C1893" s="1895" t="s">
        <v>686</v>
      </c>
      <c r="D1893" s="1915"/>
      <c r="E1893" s="2045">
        <v>0</v>
      </c>
      <c r="F1893" s="1842" t="s">
        <v>240</v>
      </c>
      <c r="G1893" s="2046">
        <v>272800</v>
      </c>
      <c r="H1893" s="1854">
        <f t="shared" si="917"/>
        <v>0</v>
      </c>
      <c r="I1893" s="2046">
        <v>0</v>
      </c>
      <c r="J1893" s="1854">
        <f t="shared" si="918"/>
        <v>0</v>
      </c>
      <c r="K1893" s="1857">
        <f t="shared" si="919"/>
        <v>0</v>
      </c>
      <c r="L1893" s="1910" t="s">
        <v>2887</v>
      </c>
      <c r="M1893" s="2047"/>
      <c r="N1893" s="1837"/>
      <c r="O1893" s="2024"/>
      <c r="P1893" s="1836"/>
      <c r="Q1893" s="1836"/>
      <c r="R1893" s="1837"/>
      <c r="S1893" s="1837"/>
      <c r="T1893" s="1837"/>
      <c r="U1893" s="1837"/>
      <c r="V1893" s="1837"/>
      <c r="W1893" s="1837"/>
      <c r="X1893" s="1837"/>
    </row>
    <row r="1894" spans="1:24" ht="24" customHeight="1">
      <c r="A1894" s="1933"/>
      <c r="B1894" s="2003" t="s">
        <v>698</v>
      </c>
      <c r="C1894" s="1895" t="s">
        <v>686</v>
      </c>
      <c r="D1894" s="1915"/>
      <c r="E1894" s="2045">
        <v>0</v>
      </c>
      <c r="F1894" s="1842" t="s">
        <v>240</v>
      </c>
      <c r="G1894" s="2046">
        <v>6900</v>
      </c>
      <c r="H1894" s="1854">
        <f t="shared" si="917"/>
        <v>0</v>
      </c>
      <c r="I1894" s="2046">
        <v>0</v>
      </c>
      <c r="J1894" s="1854">
        <f t="shared" si="918"/>
        <v>0</v>
      </c>
      <c r="K1894" s="1857">
        <f t="shared" si="919"/>
        <v>0</v>
      </c>
      <c r="L1894" s="1910" t="s">
        <v>2887</v>
      </c>
      <c r="M1894" s="2047"/>
      <c r="N1894" s="1837"/>
      <c r="O1894" s="2024"/>
      <c r="P1894" s="1836"/>
      <c r="Q1894" s="1836"/>
      <c r="R1894" s="1837"/>
      <c r="S1894" s="1837"/>
      <c r="T1894" s="1837"/>
      <c r="U1894" s="1837"/>
      <c r="V1894" s="1837"/>
      <c r="W1894" s="1837"/>
      <c r="X1894" s="1837"/>
    </row>
    <row r="1895" spans="1:24" ht="24" customHeight="1">
      <c r="A1895" s="1933"/>
      <c r="B1895" s="2003" t="s">
        <v>699</v>
      </c>
      <c r="C1895" s="1895" t="s">
        <v>686</v>
      </c>
      <c r="D1895" s="1915"/>
      <c r="E1895" s="2045">
        <v>2</v>
      </c>
      <c r="F1895" s="1842" t="s">
        <v>240</v>
      </c>
      <c r="G1895" s="2046">
        <v>97700</v>
      </c>
      <c r="H1895" s="1854">
        <f t="shared" si="917"/>
        <v>195400</v>
      </c>
      <c r="I1895" s="2046">
        <v>0</v>
      </c>
      <c r="J1895" s="1854">
        <f t="shared" si="918"/>
        <v>0</v>
      </c>
      <c r="K1895" s="1857">
        <f t="shared" si="919"/>
        <v>195400</v>
      </c>
      <c r="L1895" s="1910" t="s">
        <v>2887</v>
      </c>
      <c r="M1895" s="2047"/>
      <c r="N1895" s="2047">
        <f>SUM(K1838:K1895)</f>
        <v>6510050</v>
      </c>
      <c r="O1895" s="2024"/>
      <c r="P1895" s="1836"/>
      <c r="Q1895" s="1836"/>
      <c r="R1895" s="1837"/>
      <c r="S1895" s="1837"/>
      <c r="T1895" s="1837"/>
      <c r="U1895" s="1837"/>
      <c r="V1895" s="1837"/>
      <c r="W1895" s="1837"/>
      <c r="X1895" s="1837"/>
    </row>
    <row r="1896" spans="1:24" s="2061" customFormat="1" ht="24" customHeight="1">
      <c r="A1896" s="2053" t="s">
        <v>704</v>
      </c>
      <c r="B1896" s="2054" t="s">
        <v>705</v>
      </c>
      <c r="C1896" s="2055"/>
      <c r="D1896" s="1909"/>
      <c r="E1896" s="2056"/>
      <c r="F1896" s="2057"/>
      <c r="G1896" s="1921"/>
      <c r="H1896" s="1911"/>
      <c r="I1896" s="1912"/>
      <c r="J1896" s="1913"/>
      <c r="K1896" s="1914"/>
      <c r="L1896" s="2058"/>
      <c r="M1896" s="2059"/>
      <c r="N1896" s="2060"/>
      <c r="O1896" s="2060"/>
      <c r="P1896" s="2060"/>
      <c r="Q1896" s="2060"/>
      <c r="R1896" s="2060"/>
      <c r="S1896" s="2060"/>
      <c r="T1896" s="2060"/>
      <c r="U1896" s="2060"/>
      <c r="V1896" s="2060"/>
      <c r="W1896" s="2060"/>
      <c r="X1896" s="2060"/>
    </row>
    <row r="1897" spans="1:24" ht="24" customHeight="1">
      <c r="A1897" s="1933"/>
      <c r="B1897" s="2003" t="s">
        <v>626</v>
      </c>
      <c r="C1897" s="1895" t="s">
        <v>627</v>
      </c>
      <c r="D1897" s="1915"/>
      <c r="E1897" s="2045">
        <v>0</v>
      </c>
      <c r="F1897" s="1842" t="s">
        <v>240</v>
      </c>
      <c r="G1897" s="2046">
        <v>260300</v>
      </c>
      <c r="H1897" s="1854">
        <f t="shared" ref="H1897:H1905" si="920">E1897*G1897</f>
        <v>0</v>
      </c>
      <c r="I1897" s="2046">
        <v>0</v>
      </c>
      <c r="J1897" s="1854">
        <f t="shared" ref="J1897:J1905" si="921">E1897*I1897</f>
        <v>0</v>
      </c>
      <c r="K1897" s="1857">
        <f t="shared" ref="K1897:K1905" si="922">H1897+J1897</f>
        <v>0</v>
      </c>
      <c r="L1897" s="1910" t="s">
        <v>2886</v>
      </c>
      <c r="M1897" s="2047"/>
      <c r="N1897" s="1837"/>
      <c r="O1897" s="1837"/>
      <c r="P1897" s="1837"/>
      <c r="Q1897" s="1837"/>
      <c r="R1897" s="1837"/>
      <c r="S1897" s="1837"/>
      <c r="T1897" s="1837"/>
      <c r="U1897" s="1837"/>
      <c r="V1897" s="1837"/>
      <c r="W1897" s="1837"/>
      <c r="X1897" s="1837"/>
    </row>
    <row r="1898" spans="1:24" ht="24" customHeight="1">
      <c r="A1898" s="1933"/>
      <c r="B1898" s="2003" t="s">
        <v>628</v>
      </c>
      <c r="C1898" s="1895" t="s">
        <v>629</v>
      </c>
      <c r="D1898" s="1915"/>
      <c r="E1898" s="2045">
        <v>0</v>
      </c>
      <c r="F1898" s="1842" t="s">
        <v>240</v>
      </c>
      <c r="G1898" s="2046">
        <v>386900</v>
      </c>
      <c r="H1898" s="1854">
        <f t="shared" si="920"/>
        <v>0</v>
      </c>
      <c r="I1898" s="2046">
        <v>0</v>
      </c>
      <c r="J1898" s="1854">
        <f t="shared" si="921"/>
        <v>0</v>
      </c>
      <c r="K1898" s="1857">
        <f t="shared" si="922"/>
        <v>0</v>
      </c>
      <c r="L1898" s="1910" t="s">
        <v>2886</v>
      </c>
      <c r="M1898" s="2047"/>
      <c r="N1898" s="1837"/>
      <c r="O1898" s="1837"/>
      <c r="P1898" s="1837"/>
      <c r="Q1898" s="1837"/>
      <c r="R1898" s="1837"/>
      <c r="S1898" s="1837"/>
      <c r="T1898" s="1837"/>
      <c r="U1898" s="1837"/>
      <c r="V1898" s="1837"/>
      <c r="W1898" s="1837"/>
      <c r="X1898" s="1837"/>
    </row>
    <row r="1899" spans="1:24" ht="24" customHeight="1">
      <c r="A1899" s="1782"/>
      <c r="B1899" s="2003" t="s">
        <v>630</v>
      </c>
      <c r="C1899" s="1895" t="s">
        <v>2818</v>
      </c>
      <c r="D1899" s="1915"/>
      <c r="E1899" s="2045">
        <v>0</v>
      </c>
      <c r="F1899" s="1842" t="s">
        <v>240</v>
      </c>
      <c r="G1899" s="2046">
        <v>432400</v>
      </c>
      <c r="H1899" s="1854">
        <f t="shared" si="920"/>
        <v>0</v>
      </c>
      <c r="I1899" s="2046">
        <v>0</v>
      </c>
      <c r="J1899" s="1854">
        <f t="shared" si="921"/>
        <v>0</v>
      </c>
      <c r="K1899" s="1857">
        <f t="shared" si="922"/>
        <v>0</v>
      </c>
      <c r="L1899" s="1910" t="s">
        <v>2886</v>
      </c>
      <c r="M1899" s="2047"/>
      <c r="N1899" s="1837"/>
      <c r="O1899" s="1837"/>
      <c r="P1899" s="1837"/>
      <c r="Q1899" s="1837"/>
      <c r="R1899" s="1837"/>
      <c r="S1899" s="1837"/>
      <c r="T1899" s="1837"/>
      <c r="U1899" s="1837"/>
      <c r="V1899" s="1837"/>
      <c r="W1899" s="1837"/>
      <c r="X1899" s="1837"/>
    </row>
    <row r="1900" spans="1:24" ht="24" customHeight="1">
      <c r="A1900" s="1782"/>
      <c r="B1900" s="2003" t="s">
        <v>631</v>
      </c>
      <c r="C1900" s="1895" t="s">
        <v>2818</v>
      </c>
      <c r="D1900" s="1915"/>
      <c r="E1900" s="2045">
        <v>0</v>
      </c>
      <c r="F1900" s="1842" t="s">
        <v>240</v>
      </c>
      <c r="G1900" s="2046">
        <v>440430</v>
      </c>
      <c r="H1900" s="1854">
        <f t="shared" si="920"/>
        <v>0</v>
      </c>
      <c r="I1900" s="2046">
        <v>0</v>
      </c>
      <c r="J1900" s="1854">
        <f t="shared" si="921"/>
        <v>0</v>
      </c>
      <c r="K1900" s="1857">
        <f t="shared" si="922"/>
        <v>0</v>
      </c>
      <c r="L1900" s="1910" t="s">
        <v>2886</v>
      </c>
      <c r="M1900" s="2047"/>
      <c r="N1900" s="1837"/>
      <c r="O1900" s="1837"/>
      <c r="P1900" s="1837"/>
      <c r="Q1900" s="1837"/>
      <c r="R1900" s="1837"/>
      <c r="S1900" s="1837"/>
      <c r="T1900" s="1837"/>
      <c r="U1900" s="1837"/>
      <c r="V1900" s="1837"/>
      <c r="W1900" s="1837"/>
      <c r="X1900" s="1837"/>
    </row>
    <row r="1901" spans="1:24" ht="24" customHeight="1">
      <c r="A1901" s="1782"/>
      <c r="B1901" s="2003" t="s">
        <v>632</v>
      </c>
      <c r="C1901" s="1895" t="s">
        <v>2819</v>
      </c>
      <c r="D1901" s="1915"/>
      <c r="E1901" s="2045">
        <v>0</v>
      </c>
      <c r="F1901" s="1842" t="s">
        <v>240</v>
      </c>
      <c r="G1901" s="2046">
        <v>48800</v>
      </c>
      <c r="H1901" s="1854">
        <f t="shared" si="920"/>
        <v>0</v>
      </c>
      <c r="I1901" s="2046">
        <v>0</v>
      </c>
      <c r="J1901" s="1854">
        <f t="shared" si="921"/>
        <v>0</v>
      </c>
      <c r="K1901" s="1857">
        <f t="shared" si="922"/>
        <v>0</v>
      </c>
      <c r="L1901" s="1910" t="s">
        <v>2886</v>
      </c>
      <c r="M1901" s="2047"/>
      <c r="N1901" s="1837"/>
      <c r="O1901" s="1837"/>
      <c r="P1901" s="1837"/>
      <c r="Q1901" s="1837"/>
      <c r="R1901" s="1837"/>
      <c r="S1901" s="1837"/>
      <c r="T1901" s="1837"/>
      <c r="U1901" s="1837"/>
      <c r="V1901" s="1837"/>
      <c r="W1901" s="1837"/>
      <c r="X1901" s="1837"/>
    </row>
    <row r="1902" spans="1:24" ht="24" customHeight="1">
      <c r="A1902" s="1782"/>
      <c r="B1902" s="2003" t="s">
        <v>633</v>
      </c>
      <c r="C1902" s="1895" t="s">
        <v>634</v>
      </c>
      <c r="D1902" s="1915"/>
      <c r="E1902" s="2062">
        <v>2</v>
      </c>
      <c r="F1902" s="1842" t="s">
        <v>240</v>
      </c>
      <c r="G1902" s="2046">
        <v>28600</v>
      </c>
      <c r="H1902" s="1854">
        <f t="shared" si="920"/>
        <v>57200</v>
      </c>
      <c r="I1902" s="2046">
        <v>0</v>
      </c>
      <c r="J1902" s="1854">
        <f t="shared" si="921"/>
        <v>0</v>
      </c>
      <c r="K1902" s="1857">
        <f t="shared" si="922"/>
        <v>57200</v>
      </c>
      <c r="L1902" s="1910" t="s">
        <v>2886</v>
      </c>
      <c r="M1902" s="2047"/>
      <c r="N1902" s="1837"/>
      <c r="O1902" s="1837"/>
      <c r="P1902" s="1837"/>
      <c r="Q1902" s="1837"/>
      <c r="R1902" s="1837"/>
      <c r="S1902" s="1837"/>
      <c r="T1902" s="1837"/>
      <c r="U1902" s="1837"/>
      <c r="V1902" s="1837"/>
      <c r="W1902" s="1837"/>
      <c r="X1902" s="1837"/>
    </row>
    <row r="1903" spans="1:24" ht="24" customHeight="1">
      <c r="A1903" s="1782"/>
      <c r="B1903" s="2003" t="s">
        <v>635</v>
      </c>
      <c r="C1903" s="1895" t="s">
        <v>629</v>
      </c>
      <c r="D1903" s="1915"/>
      <c r="E1903" s="2062">
        <v>0</v>
      </c>
      <c r="F1903" s="1842" t="s">
        <v>240</v>
      </c>
      <c r="G1903" s="2046">
        <v>814100</v>
      </c>
      <c r="H1903" s="1854">
        <f t="shared" si="920"/>
        <v>0</v>
      </c>
      <c r="I1903" s="2046">
        <v>0</v>
      </c>
      <c r="J1903" s="1854">
        <f t="shared" si="921"/>
        <v>0</v>
      </c>
      <c r="K1903" s="1857">
        <f t="shared" si="922"/>
        <v>0</v>
      </c>
      <c r="L1903" s="1910" t="s">
        <v>2886</v>
      </c>
      <c r="M1903" s="2047"/>
      <c r="N1903" s="1837"/>
      <c r="O1903" s="1837"/>
      <c r="P1903" s="1837"/>
      <c r="Q1903" s="1837"/>
      <c r="R1903" s="1837"/>
      <c r="S1903" s="1837"/>
      <c r="T1903" s="1837"/>
      <c r="U1903" s="1837"/>
      <c r="V1903" s="1837"/>
      <c r="W1903" s="1837"/>
      <c r="X1903" s="1837"/>
    </row>
    <row r="1904" spans="1:24" ht="24" customHeight="1">
      <c r="A1904" s="1782"/>
      <c r="B1904" s="2003" t="s">
        <v>636</v>
      </c>
      <c r="C1904" s="1895" t="s">
        <v>629</v>
      </c>
      <c r="D1904" s="1915"/>
      <c r="E1904" s="2062">
        <v>0</v>
      </c>
      <c r="F1904" s="1842" t="s">
        <v>240</v>
      </c>
      <c r="G1904" s="2046">
        <v>701500</v>
      </c>
      <c r="H1904" s="1854">
        <f t="shared" si="920"/>
        <v>0</v>
      </c>
      <c r="I1904" s="2046">
        <v>0</v>
      </c>
      <c r="J1904" s="1854">
        <f t="shared" si="921"/>
        <v>0</v>
      </c>
      <c r="K1904" s="1857">
        <f t="shared" si="922"/>
        <v>0</v>
      </c>
      <c r="L1904" s="1910" t="s">
        <v>2886</v>
      </c>
      <c r="M1904" s="2047"/>
      <c r="N1904" s="1837"/>
      <c r="O1904" s="1837"/>
      <c r="P1904" s="1837"/>
      <c r="Q1904" s="1837"/>
      <c r="R1904" s="1837"/>
      <c r="S1904" s="1837"/>
      <c r="T1904" s="1837"/>
      <c r="U1904" s="1837"/>
      <c r="V1904" s="1837"/>
      <c r="W1904" s="1837"/>
      <c r="X1904" s="1837"/>
    </row>
    <row r="1905" spans="1:24" ht="24" customHeight="1">
      <c r="A1905" s="1782"/>
      <c r="B1905" s="2003" t="s">
        <v>637</v>
      </c>
      <c r="C1905" s="1895" t="s">
        <v>629</v>
      </c>
      <c r="D1905" s="1915"/>
      <c r="E1905" s="2062">
        <v>4</v>
      </c>
      <c r="F1905" s="1842" t="s">
        <v>240</v>
      </c>
      <c r="G1905" s="2046">
        <v>240700</v>
      </c>
      <c r="H1905" s="1854">
        <f t="shared" si="920"/>
        <v>962800</v>
      </c>
      <c r="I1905" s="2046">
        <v>0</v>
      </c>
      <c r="J1905" s="1854">
        <f t="shared" si="921"/>
        <v>0</v>
      </c>
      <c r="K1905" s="1857">
        <f t="shared" si="922"/>
        <v>962800</v>
      </c>
      <c r="L1905" s="1910" t="s">
        <v>2886</v>
      </c>
      <c r="M1905" s="2047"/>
      <c r="N1905" s="1837"/>
      <c r="O1905" s="1837"/>
      <c r="P1905" s="1837"/>
      <c r="Q1905" s="1837"/>
      <c r="R1905" s="1837"/>
      <c r="S1905" s="1837"/>
      <c r="T1905" s="1837"/>
      <c r="U1905" s="1837"/>
      <c r="V1905" s="1837"/>
      <c r="W1905" s="1837"/>
      <c r="X1905" s="1837"/>
    </row>
    <row r="1906" spans="1:24" ht="24" customHeight="1">
      <c r="A1906" s="1933"/>
      <c r="B1906" s="2003"/>
      <c r="C1906" s="1895"/>
      <c r="D1906" s="1915"/>
      <c r="E1906" s="2062"/>
      <c r="F1906" s="1842"/>
      <c r="G1906" s="2046"/>
      <c r="H1906" s="1854"/>
      <c r="I1906" s="2048"/>
      <c r="J1906" s="1854"/>
      <c r="K1906" s="1857"/>
      <c r="L1906" s="2043"/>
      <c r="M1906" s="2044"/>
      <c r="N1906" s="1837"/>
      <c r="O1906" s="1837"/>
      <c r="P1906" s="1837"/>
      <c r="Q1906" s="1837"/>
      <c r="R1906" s="1837"/>
      <c r="S1906" s="1837"/>
      <c r="T1906" s="1837"/>
      <c r="U1906" s="1837"/>
      <c r="V1906" s="1837"/>
      <c r="W1906" s="1837"/>
      <c r="X1906" s="1837"/>
    </row>
    <row r="1907" spans="1:24" ht="24" customHeight="1">
      <c r="A1907" s="1782"/>
      <c r="B1907" s="2003" t="s">
        <v>638</v>
      </c>
      <c r="C1907" s="1895" t="s">
        <v>639</v>
      </c>
      <c r="D1907" s="1915"/>
      <c r="E1907" s="2062">
        <v>6</v>
      </c>
      <c r="F1907" s="1842" t="s">
        <v>240</v>
      </c>
      <c r="G1907" s="2046">
        <v>45750</v>
      </c>
      <c r="H1907" s="1854">
        <f>E1907*G1907</f>
        <v>274500</v>
      </c>
      <c r="I1907" s="2046">
        <v>3000</v>
      </c>
      <c r="J1907" s="1854">
        <f>E1907*I1907</f>
        <v>18000</v>
      </c>
      <c r="K1907" s="1857">
        <f>H1907+J1907</f>
        <v>292500</v>
      </c>
      <c r="L1907" s="2043"/>
      <c r="M1907" s="2044"/>
      <c r="N1907" s="1837"/>
      <c r="O1907" s="1837"/>
      <c r="P1907" s="1837"/>
      <c r="Q1907" s="1837"/>
      <c r="R1907" s="1837"/>
      <c r="S1907" s="1837"/>
      <c r="T1907" s="1837"/>
      <c r="U1907" s="1837"/>
      <c r="V1907" s="1837"/>
      <c r="W1907" s="1837"/>
      <c r="X1907" s="1837"/>
    </row>
    <row r="1908" spans="1:24" ht="24" customHeight="1">
      <c r="A1908" s="1933"/>
      <c r="B1908" s="2003" t="s">
        <v>640</v>
      </c>
      <c r="C1908" s="1895" t="s">
        <v>641</v>
      </c>
      <c r="D1908" s="1915"/>
      <c r="E1908" s="2062">
        <v>0</v>
      </c>
      <c r="F1908" s="1842" t="s">
        <v>240</v>
      </c>
      <c r="G1908" s="2046">
        <v>49350</v>
      </c>
      <c r="H1908" s="1854">
        <f t="shared" ref="H1908:H1918" si="923">E1908*G1908</f>
        <v>0</v>
      </c>
      <c r="I1908" s="2046">
        <v>3000</v>
      </c>
      <c r="J1908" s="1854">
        <f t="shared" ref="J1908:J1918" si="924">E1908*I1908</f>
        <v>0</v>
      </c>
      <c r="K1908" s="1857">
        <f t="shared" ref="K1908:K1918" si="925">H1908+J1908</f>
        <v>0</v>
      </c>
      <c r="L1908" s="2043"/>
      <c r="M1908" s="2044"/>
      <c r="N1908" s="1837"/>
      <c r="O1908" s="1837"/>
      <c r="P1908" s="1837"/>
      <c r="Q1908" s="1837"/>
      <c r="R1908" s="1837"/>
      <c r="S1908" s="1837"/>
      <c r="T1908" s="1837"/>
      <c r="U1908" s="1837"/>
      <c r="V1908" s="1837"/>
      <c r="W1908" s="1837"/>
      <c r="X1908" s="1837"/>
    </row>
    <row r="1909" spans="1:24" ht="24" customHeight="1">
      <c r="A1909" s="1933"/>
      <c r="B1909" s="2003" t="s">
        <v>642</v>
      </c>
      <c r="C1909" s="1895" t="s">
        <v>643</v>
      </c>
      <c r="D1909" s="1915"/>
      <c r="E1909" s="2062">
        <v>2</v>
      </c>
      <c r="F1909" s="1842" t="s">
        <v>240</v>
      </c>
      <c r="G1909" s="2046">
        <v>87950</v>
      </c>
      <c r="H1909" s="1854">
        <f t="shared" si="923"/>
        <v>175900</v>
      </c>
      <c r="I1909" s="2046">
        <v>4000</v>
      </c>
      <c r="J1909" s="1854">
        <f t="shared" si="924"/>
        <v>8000</v>
      </c>
      <c r="K1909" s="1857">
        <f t="shared" si="925"/>
        <v>183900</v>
      </c>
      <c r="L1909" s="2043"/>
      <c r="M1909" s="2044"/>
      <c r="N1909" s="1837"/>
      <c r="O1909" s="1837"/>
      <c r="P1909" s="1837"/>
      <c r="Q1909" s="1837"/>
      <c r="R1909" s="1837"/>
      <c r="S1909" s="1837"/>
      <c r="T1909" s="1837"/>
      <c r="U1909" s="1837"/>
      <c r="V1909" s="1837"/>
      <c r="W1909" s="1837"/>
      <c r="X1909" s="1837"/>
    </row>
    <row r="1910" spans="1:24" ht="24" customHeight="1">
      <c r="A1910" s="1933"/>
      <c r="B1910" s="2003" t="s">
        <v>644</v>
      </c>
      <c r="C1910" s="1895" t="s">
        <v>643</v>
      </c>
      <c r="D1910" s="1915"/>
      <c r="E1910" s="2062">
        <v>2</v>
      </c>
      <c r="F1910" s="1842" t="s">
        <v>240</v>
      </c>
      <c r="G1910" s="2046">
        <v>63520</v>
      </c>
      <c r="H1910" s="1854">
        <f t="shared" si="923"/>
        <v>127040</v>
      </c>
      <c r="I1910" s="2046">
        <v>4000</v>
      </c>
      <c r="J1910" s="1854">
        <f t="shared" si="924"/>
        <v>8000</v>
      </c>
      <c r="K1910" s="1857">
        <f t="shared" si="925"/>
        <v>135040</v>
      </c>
      <c r="L1910" s="2043"/>
      <c r="M1910" s="2044"/>
      <c r="N1910" s="1837"/>
      <c r="O1910" s="1837"/>
      <c r="P1910" s="1837"/>
      <c r="Q1910" s="1837"/>
      <c r="R1910" s="1837"/>
      <c r="S1910" s="1837"/>
      <c r="T1910" s="1837"/>
      <c r="U1910" s="1837"/>
      <c r="V1910" s="1837"/>
      <c r="W1910" s="1837"/>
      <c r="X1910" s="1837"/>
    </row>
    <row r="1911" spans="1:24" ht="24" customHeight="1">
      <c r="A1911" s="1933"/>
      <c r="B1911" s="2003" t="s">
        <v>645</v>
      </c>
      <c r="C1911" s="1895" t="s">
        <v>639</v>
      </c>
      <c r="D1911" s="1915"/>
      <c r="E1911" s="2062">
        <v>6</v>
      </c>
      <c r="F1911" s="1842" t="s">
        <v>240</v>
      </c>
      <c r="G1911" s="2046">
        <v>20950</v>
      </c>
      <c r="H1911" s="1854">
        <f t="shared" si="923"/>
        <v>125700</v>
      </c>
      <c r="I1911" s="2046">
        <v>3000</v>
      </c>
      <c r="J1911" s="1854">
        <f t="shared" si="924"/>
        <v>18000</v>
      </c>
      <c r="K1911" s="1857">
        <f t="shared" si="925"/>
        <v>143700</v>
      </c>
      <c r="L1911" s="2043"/>
      <c r="M1911" s="2044"/>
      <c r="N1911" s="1837"/>
      <c r="O1911" s="1837"/>
      <c r="P1911" s="1837"/>
      <c r="Q1911" s="1837"/>
      <c r="R1911" s="1837"/>
      <c r="S1911" s="1837"/>
      <c r="T1911" s="1837"/>
      <c r="U1911" s="1837"/>
      <c r="V1911" s="1837"/>
      <c r="W1911" s="1837"/>
      <c r="X1911" s="1837"/>
    </row>
    <row r="1912" spans="1:24" ht="24" customHeight="1">
      <c r="A1912" s="1933"/>
      <c r="B1912" s="2003" t="s">
        <v>646</v>
      </c>
      <c r="C1912" s="1895" t="s">
        <v>647</v>
      </c>
      <c r="D1912" s="1915"/>
      <c r="E1912" s="2062">
        <v>4</v>
      </c>
      <c r="F1912" s="1842" t="s">
        <v>240</v>
      </c>
      <c r="G1912" s="2046">
        <v>78210</v>
      </c>
      <c r="H1912" s="1854">
        <f t="shared" si="923"/>
        <v>312840</v>
      </c>
      <c r="I1912" s="2046">
        <v>4000</v>
      </c>
      <c r="J1912" s="1854">
        <f t="shared" si="924"/>
        <v>16000</v>
      </c>
      <c r="K1912" s="1857">
        <f t="shared" si="925"/>
        <v>328840</v>
      </c>
      <c r="L1912" s="2043"/>
      <c r="M1912" s="2044"/>
      <c r="N1912" s="1837"/>
      <c r="O1912" s="1837"/>
      <c r="P1912" s="1837"/>
      <c r="Q1912" s="1837"/>
      <c r="R1912" s="1837"/>
      <c r="S1912" s="1837"/>
      <c r="T1912" s="1837"/>
      <c r="U1912" s="1837"/>
      <c r="V1912" s="1837"/>
      <c r="W1912" s="1837"/>
      <c r="X1912" s="1837"/>
    </row>
    <row r="1913" spans="1:24" ht="24" customHeight="1">
      <c r="A1913" s="1933"/>
      <c r="B1913" s="2003" t="s">
        <v>648</v>
      </c>
      <c r="C1913" s="1895" t="s">
        <v>2820</v>
      </c>
      <c r="D1913" s="1915"/>
      <c r="E1913" s="2062">
        <v>0</v>
      </c>
      <c r="F1913" s="1842" t="s">
        <v>240</v>
      </c>
      <c r="G1913" s="2046">
        <v>34220</v>
      </c>
      <c r="H1913" s="1854">
        <f t="shared" si="923"/>
        <v>0</v>
      </c>
      <c r="I1913" s="2046">
        <v>4000</v>
      </c>
      <c r="J1913" s="1854">
        <f t="shared" si="924"/>
        <v>0</v>
      </c>
      <c r="K1913" s="1857">
        <f t="shared" si="925"/>
        <v>0</v>
      </c>
      <c r="L1913" s="2043"/>
      <c r="M1913" s="2044"/>
      <c r="N1913" s="1837"/>
      <c r="O1913" s="1837"/>
      <c r="P1913" s="1837"/>
      <c r="Q1913" s="1837"/>
      <c r="R1913" s="1837"/>
      <c r="S1913" s="1837"/>
      <c r="T1913" s="1837"/>
      <c r="U1913" s="1837"/>
      <c r="V1913" s="1837"/>
      <c r="W1913" s="1837"/>
      <c r="X1913" s="1837"/>
    </row>
    <row r="1914" spans="1:24" ht="24" customHeight="1">
      <c r="A1914" s="1933"/>
      <c r="B1914" s="2003" t="s">
        <v>649</v>
      </c>
      <c r="C1914" s="1895" t="s">
        <v>643</v>
      </c>
      <c r="D1914" s="1915"/>
      <c r="E1914" s="2062">
        <v>0</v>
      </c>
      <c r="F1914" s="1842" t="s">
        <v>240</v>
      </c>
      <c r="G1914" s="2046">
        <v>63520</v>
      </c>
      <c r="H1914" s="1854">
        <f t="shared" si="923"/>
        <v>0</v>
      </c>
      <c r="I1914" s="2046">
        <v>4000</v>
      </c>
      <c r="J1914" s="1854">
        <f t="shared" si="924"/>
        <v>0</v>
      </c>
      <c r="K1914" s="1857">
        <f t="shared" si="925"/>
        <v>0</v>
      </c>
      <c r="L1914" s="2043"/>
      <c r="M1914" s="2044"/>
      <c r="N1914" s="1837"/>
      <c r="O1914" s="1837"/>
      <c r="P1914" s="1837"/>
      <c r="Q1914" s="1837"/>
      <c r="R1914" s="1837"/>
      <c r="S1914" s="1837"/>
      <c r="T1914" s="1837"/>
      <c r="U1914" s="1837"/>
      <c r="V1914" s="1837"/>
      <c r="W1914" s="1837"/>
      <c r="X1914" s="1837"/>
    </row>
    <row r="1915" spans="1:24" ht="24" customHeight="1">
      <c r="A1915" s="1933"/>
      <c r="B1915" s="2003" t="s">
        <v>650</v>
      </c>
      <c r="C1915" s="1895" t="s">
        <v>647</v>
      </c>
      <c r="D1915" s="1915"/>
      <c r="E1915" s="2062">
        <v>0</v>
      </c>
      <c r="F1915" s="1842" t="s">
        <v>240</v>
      </c>
      <c r="G1915" s="2046">
        <v>75710</v>
      </c>
      <c r="H1915" s="1854">
        <f t="shared" si="923"/>
        <v>0</v>
      </c>
      <c r="I1915" s="2046">
        <v>4000</v>
      </c>
      <c r="J1915" s="1854">
        <f t="shared" si="924"/>
        <v>0</v>
      </c>
      <c r="K1915" s="1857">
        <f t="shared" si="925"/>
        <v>0</v>
      </c>
      <c r="L1915" s="2043"/>
      <c r="M1915" s="2044"/>
      <c r="N1915" s="1837"/>
      <c r="O1915" s="1837"/>
      <c r="P1915" s="1837"/>
      <c r="Q1915" s="1837"/>
      <c r="R1915" s="1837"/>
      <c r="S1915" s="1837"/>
      <c r="T1915" s="1837"/>
      <c r="U1915" s="1837"/>
      <c r="V1915" s="1837"/>
      <c r="W1915" s="1837"/>
      <c r="X1915" s="1837"/>
    </row>
    <row r="1916" spans="1:24" ht="24" customHeight="1">
      <c r="A1916" s="1933"/>
      <c r="B1916" s="2003" t="s">
        <v>651</v>
      </c>
      <c r="C1916" s="1895" t="s">
        <v>647</v>
      </c>
      <c r="D1916" s="1915"/>
      <c r="E1916" s="2062">
        <v>0</v>
      </c>
      <c r="F1916" s="1842" t="s">
        <v>240</v>
      </c>
      <c r="G1916" s="2046">
        <v>78210</v>
      </c>
      <c r="H1916" s="1854">
        <f t="shared" si="923"/>
        <v>0</v>
      </c>
      <c r="I1916" s="2046">
        <v>4000</v>
      </c>
      <c r="J1916" s="1854">
        <f t="shared" si="924"/>
        <v>0</v>
      </c>
      <c r="K1916" s="1857">
        <f t="shared" si="925"/>
        <v>0</v>
      </c>
      <c r="L1916" s="2043"/>
      <c r="M1916" s="2044"/>
      <c r="N1916" s="1837"/>
      <c r="O1916" s="1837"/>
      <c r="P1916" s="1837"/>
      <c r="Q1916" s="1837"/>
      <c r="R1916" s="1837"/>
      <c r="S1916" s="1837"/>
      <c r="T1916" s="1837"/>
      <c r="U1916" s="1837"/>
      <c r="V1916" s="1837"/>
      <c r="W1916" s="1837"/>
      <c r="X1916" s="1837"/>
    </row>
    <row r="1917" spans="1:24" ht="24" customHeight="1">
      <c r="A1917" s="1933"/>
      <c r="B1917" s="2003" t="s">
        <v>652</v>
      </c>
      <c r="C1917" s="1895" t="s">
        <v>647</v>
      </c>
      <c r="D1917" s="1915"/>
      <c r="E1917" s="2062">
        <v>2</v>
      </c>
      <c r="F1917" s="1842" t="s">
        <v>240</v>
      </c>
      <c r="G1917" s="2046">
        <v>49870</v>
      </c>
      <c r="H1917" s="1854">
        <f t="shared" si="923"/>
        <v>99740</v>
      </c>
      <c r="I1917" s="2046">
        <v>4000</v>
      </c>
      <c r="J1917" s="1854">
        <f t="shared" si="924"/>
        <v>8000</v>
      </c>
      <c r="K1917" s="1857">
        <f t="shared" si="925"/>
        <v>107740</v>
      </c>
      <c r="L1917" s="2043"/>
      <c r="M1917" s="2044"/>
      <c r="N1917" s="1837"/>
      <c r="O1917" s="1837"/>
      <c r="P1917" s="1837"/>
      <c r="Q1917" s="1837"/>
      <c r="R1917" s="1837"/>
      <c r="S1917" s="1837"/>
      <c r="T1917" s="1837"/>
      <c r="U1917" s="1837"/>
      <c r="V1917" s="1837"/>
      <c r="W1917" s="1837"/>
      <c r="X1917" s="1837"/>
    </row>
    <row r="1918" spans="1:24" ht="24" customHeight="1">
      <c r="A1918" s="1933"/>
      <c r="B1918" s="2003" t="s">
        <v>653</v>
      </c>
      <c r="C1918" s="1895" t="s">
        <v>639</v>
      </c>
      <c r="D1918" s="1915"/>
      <c r="E1918" s="2062">
        <v>0</v>
      </c>
      <c r="F1918" s="1842" t="s">
        <v>240</v>
      </c>
      <c r="G1918" s="2046">
        <v>27900</v>
      </c>
      <c r="H1918" s="1854">
        <f t="shared" si="923"/>
        <v>0</v>
      </c>
      <c r="I1918" s="2046">
        <v>4000</v>
      </c>
      <c r="J1918" s="1854">
        <f t="shared" si="924"/>
        <v>0</v>
      </c>
      <c r="K1918" s="1857">
        <f t="shared" si="925"/>
        <v>0</v>
      </c>
      <c r="L1918" s="2043"/>
      <c r="M1918" s="2044"/>
      <c r="N1918" s="1837"/>
      <c r="O1918" s="1837"/>
      <c r="P1918" s="1837"/>
      <c r="Q1918" s="1837"/>
      <c r="R1918" s="1837"/>
      <c r="S1918" s="1837"/>
      <c r="T1918" s="1837"/>
      <c r="U1918" s="1837"/>
      <c r="V1918" s="1837"/>
      <c r="W1918" s="1837"/>
      <c r="X1918" s="1837"/>
    </row>
    <row r="1919" spans="1:24" ht="24" customHeight="1">
      <c r="A1919" s="1782"/>
      <c r="B1919" s="2003"/>
      <c r="C1919" s="1895"/>
      <c r="D1919" s="1915"/>
      <c r="E1919" s="2062"/>
      <c r="F1919" s="1842"/>
      <c r="G1919" s="2046"/>
      <c r="H1919" s="1854"/>
      <c r="I1919" s="2048"/>
      <c r="J1919" s="1854"/>
      <c r="K1919" s="1857"/>
      <c r="L1919" s="2049"/>
      <c r="M1919" s="2044"/>
      <c r="N1919" s="1837"/>
      <c r="O1919" s="1837"/>
      <c r="P1919" s="1837"/>
      <c r="Q1919" s="1837"/>
      <c r="R1919" s="1837"/>
      <c r="S1919" s="1837"/>
      <c r="T1919" s="1837"/>
      <c r="U1919" s="1837"/>
      <c r="V1919" s="1837"/>
      <c r="W1919" s="1837"/>
      <c r="X1919" s="1837"/>
    </row>
    <row r="1920" spans="1:24" ht="24" customHeight="1">
      <c r="A1920" s="1933"/>
      <c r="B1920" s="2003" t="s">
        <v>654</v>
      </c>
      <c r="C1920" s="1895" t="s">
        <v>655</v>
      </c>
      <c r="D1920" s="1915"/>
      <c r="E1920" s="2062">
        <v>1</v>
      </c>
      <c r="F1920" s="1842" t="s">
        <v>240</v>
      </c>
      <c r="G1920" s="2046">
        <v>24170</v>
      </c>
      <c r="H1920" s="1854">
        <f>E1920*G1920</f>
        <v>24170</v>
      </c>
      <c r="I1920" s="2046">
        <v>4000</v>
      </c>
      <c r="J1920" s="1854">
        <f>E1920*I1920</f>
        <v>4000</v>
      </c>
      <c r="K1920" s="1857">
        <f>H1920+J1920</f>
        <v>28170</v>
      </c>
      <c r="L1920" s="2043"/>
      <c r="M1920" s="2044"/>
      <c r="N1920" s="1837"/>
      <c r="O1920" s="1837"/>
      <c r="P1920" s="1837"/>
      <c r="Q1920" s="1837"/>
      <c r="R1920" s="1837"/>
      <c r="S1920" s="1837"/>
      <c r="T1920" s="1837"/>
      <c r="U1920" s="1837"/>
      <c r="V1920" s="1837"/>
      <c r="W1920" s="1837"/>
      <c r="X1920" s="1837"/>
    </row>
    <row r="1921" spans="1:24" ht="24" customHeight="1">
      <c r="A1921" s="1933"/>
      <c r="B1921" s="2003" t="s">
        <v>656</v>
      </c>
      <c r="C1921" s="1895" t="s">
        <v>655</v>
      </c>
      <c r="D1921" s="1915"/>
      <c r="E1921" s="2062">
        <v>2</v>
      </c>
      <c r="F1921" s="1842" t="s">
        <v>240</v>
      </c>
      <c r="G1921" s="2046">
        <v>38620</v>
      </c>
      <c r="H1921" s="1854">
        <f t="shared" ref="H1921:H1925" si="926">E1921*G1921</f>
        <v>77240</v>
      </c>
      <c r="I1921" s="2046">
        <v>4000</v>
      </c>
      <c r="J1921" s="1854">
        <f t="shared" ref="J1921:J1925" si="927">E1921*I1921</f>
        <v>8000</v>
      </c>
      <c r="K1921" s="1857">
        <f t="shared" ref="K1921:K1925" si="928">H1921+J1921</f>
        <v>85240</v>
      </c>
      <c r="L1921" s="2043"/>
      <c r="M1921" s="2044"/>
      <c r="N1921" s="1837"/>
      <c r="O1921" s="1837"/>
      <c r="P1921" s="1837"/>
      <c r="Q1921" s="1837"/>
      <c r="R1921" s="1837"/>
      <c r="S1921" s="1837"/>
      <c r="T1921" s="1837"/>
      <c r="U1921" s="1837"/>
      <c r="V1921" s="1837"/>
      <c r="W1921" s="1837"/>
      <c r="X1921" s="1837"/>
    </row>
    <row r="1922" spans="1:24" ht="24" customHeight="1">
      <c r="A1922" s="1933"/>
      <c r="B1922" s="2003" t="s">
        <v>657</v>
      </c>
      <c r="C1922" s="1895" t="s">
        <v>658</v>
      </c>
      <c r="D1922" s="1915"/>
      <c r="E1922" s="2062">
        <v>2</v>
      </c>
      <c r="F1922" s="1842" t="s">
        <v>240</v>
      </c>
      <c r="G1922" s="2046">
        <v>17400</v>
      </c>
      <c r="H1922" s="1854">
        <f t="shared" si="926"/>
        <v>34800</v>
      </c>
      <c r="I1922" s="2046">
        <v>3000</v>
      </c>
      <c r="J1922" s="1854">
        <f t="shared" si="927"/>
        <v>6000</v>
      </c>
      <c r="K1922" s="1857">
        <f t="shared" si="928"/>
        <v>40800</v>
      </c>
      <c r="L1922" s="2043"/>
      <c r="M1922" s="2044"/>
      <c r="N1922" s="1837"/>
      <c r="O1922" s="1837"/>
      <c r="P1922" s="1837"/>
      <c r="Q1922" s="1837"/>
      <c r="R1922" s="1837"/>
      <c r="S1922" s="1837"/>
      <c r="T1922" s="1837"/>
      <c r="U1922" s="1837"/>
      <c r="V1922" s="1837"/>
      <c r="W1922" s="1837"/>
      <c r="X1922" s="1837"/>
    </row>
    <row r="1923" spans="1:24" ht="24" customHeight="1">
      <c r="A1923" s="1933"/>
      <c r="B1923" s="2003" t="s">
        <v>659</v>
      </c>
      <c r="C1923" s="1895" t="s">
        <v>660</v>
      </c>
      <c r="D1923" s="1915"/>
      <c r="E1923" s="2062">
        <v>0</v>
      </c>
      <c r="F1923" s="1842" t="s">
        <v>240</v>
      </c>
      <c r="G1923" s="2046">
        <v>19450</v>
      </c>
      <c r="H1923" s="1854">
        <f t="shared" si="926"/>
        <v>0</v>
      </c>
      <c r="I1923" s="2046">
        <v>3000</v>
      </c>
      <c r="J1923" s="1854">
        <f t="shared" si="927"/>
        <v>0</v>
      </c>
      <c r="K1923" s="1857">
        <f t="shared" si="928"/>
        <v>0</v>
      </c>
      <c r="L1923" s="2043"/>
      <c r="M1923" s="2044"/>
      <c r="N1923" s="1837"/>
      <c r="O1923" s="1837"/>
      <c r="P1923" s="1837"/>
      <c r="Q1923" s="1837"/>
      <c r="R1923" s="1837"/>
      <c r="S1923" s="1837"/>
      <c r="T1923" s="1837"/>
      <c r="U1923" s="1837"/>
      <c r="V1923" s="1837"/>
      <c r="W1923" s="1837"/>
      <c r="X1923" s="1837"/>
    </row>
    <row r="1924" spans="1:24" ht="24" customHeight="1">
      <c r="A1924" s="1933"/>
      <c r="B1924" s="2003" t="s">
        <v>661</v>
      </c>
      <c r="C1924" s="1895" t="s">
        <v>662</v>
      </c>
      <c r="D1924" s="1915"/>
      <c r="E1924" s="2062">
        <v>0</v>
      </c>
      <c r="F1924" s="1842" t="s">
        <v>240</v>
      </c>
      <c r="G1924" s="2046">
        <v>40120</v>
      </c>
      <c r="H1924" s="1854">
        <f t="shared" si="926"/>
        <v>0</v>
      </c>
      <c r="I1924" s="2046">
        <v>4000</v>
      </c>
      <c r="J1924" s="1854">
        <f t="shared" si="927"/>
        <v>0</v>
      </c>
      <c r="K1924" s="1857">
        <f t="shared" si="928"/>
        <v>0</v>
      </c>
      <c r="L1924" s="2043"/>
      <c r="M1924" s="2044"/>
      <c r="N1924" s="1837"/>
      <c r="O1924" s="1837"/>
      <c r="P1924" s="1837"/>
      <c r="Q1924" s="1837"/>
      <c r="R1924" s="1837"/>
      <c r="S1924" s="1837"/>
      <c r="T1924" s="1837"/>
      <c r="U1924" s="1837"/>
      <c r="V1924" s="1837"/>
      <c r="W1924" s="1837"/>
      <c r="X1924" s="1837"/>
    </row>
    <row r="1925" spans="1:24" ht="24" customHeight="1">
      <c r="A1925" s="1933"/>
      <c r="B1925" s="2003" t="s">
        <v>663</v>
      </c>
      <c r="C1925" s="1895" t="s">
        <v>662</v>
      </c>
      <c r="D1925" s="1915"/>
      <c r="E1925" s="2062">
        <v>0</v>
      </c>
      <c r="F1925" s="1842" t="s">
        <v>240</v>
      </c>
      <c r="G1925" s="2046">
        <v>57600</v>
      </c>
      <c r="H1925" s="1854">
        <f t="shared" si="926"/>
        <v>0</v>
      </c>
      <c r="I1925" s="2046">
        <v>4000</v>
      </c>
      <c r="J1925" s="1854">
        <f t="shared" si="927"/>
        <v>0</v>
      </c>
      <c r="K1925" s="1857">
        <f t="shared" si="928"/>
        <v>0</v>
      </c>
      <c r="L1925" s="2043"/>
      <c r="M1925" s="2044"/>
      <c r="N1925" s="1837"/>
      <c r="O1925" s="1837"/>
      <c r="P1925" s="1837"/>
      <c r="Q1925" s="1837"/>
      <c r="R1925" s="1837"/>
      <c r="S1925" s="1837"/>
      <c r="T1925" s="1837"/>
      <c r="U1925" s="1837"/>
      <c r="V1925" s="1837"/>
      <c r="W1925" s="1837"/>
      <c r="X1925" s="1837"/>
    </row>
    <row r="1926" spans="1:24" ht="24" customHeight="1">
      <c r="A1926" s="1933"/>
      <c r="B1926" s="2003"/>
      <c r="C1926" s="1895"/>
      <c r="D1926" s="1915"/>
      <c r="E1926" s="2062"/>
      <c r="F1926" s="1842"/>
      <c r="G1926" s="2046"/>
      <c r="H1926" s="1854"/>
      <c r="I1926" s="2048"/>
      <c r="J1926" s="1854"/>
      <c r="K1926" s="1857"/>
      <c r="L1926" s="2043"/>
      <c r="M1926" s="2044"/>
      <c r="N1926" s="1837"/>
      <c r="O1926" s="1837"/>
      <c r="P1926" s="1837"/>
      <c r="Q1926" s="1837"/>
      <c r="R1926" s="1837"/>
      <c r="S1926" s="1837"/>
      <c r="T1926" s="1837"/>
      <c r="U1926" s="1837"/>
      <c r="V1926" s="1837"/>
      <c r="W1926" s="1837"/>
      <c r="X1926" s="1837"/>
    </row>
    <row r="1927" spans="1:24" ht="24" customHeight="1">
      <c r="A1927" s="1933"/>
      <c r="B1927" s="2003" t="s">
        <v>664</v>
      </c>
      <c r="C1927" s="1895" t="s">
        <v>665</v>
      </c>
      <c r="D1927" s="1915"/>
      <c r="E1927" s="2062">
        <v>0</v>
      </c>
      <c r="F1927" s="1842" t="s">
        <v>240</v>
      </c>
      <c r="G1927" s="2046">
        <v>18500</v>
      </c>
      <c r="H1927" s="1854">
        <f t="shared" ref="H1927" si="929">E1927*G1927</f>
        <v>0</v>
      </c>
      <c r="I1927" s="2046">
        <v>1200</v>
      </c>
      <c r="J1927" s="1854">
        <f t="shared" ref="J1927" si="930">E1927*I1927</f>
        <v>0</v>
      </c>
      <c r="K1927" s="1857">
        <f t="shared" ref="K1927" si="931">H1927+J1927</f>
        <v>0</v>
      </c>
      <c r="L1927" s="2043"/>
      <c r="M1927" s="2044"/>
      <c r="N1927" s="1837"/>
      <c r="O1927" s="1837"/>
      <c r="P1927" s="1837"/>
      <c r="Q1927" s="1837"/>
      <c r="R1927" s="1837"/>
      <c r="S1927" s="1837"/>
      <c r="T1927" s="1837"/>
      <c r="U1927" s="1837"/>
      <c r="V1927" s="1837"/>
      <c r="W1927" s="1837"/>
      <c r="X1927" s="1837"/>
    </row>
    <row r="1928" spans="1:24" ht="24" customHeight="1">
      <c r="A1928" s="1933"/>
      <c r="B1928" s="2003"/>
      <c r="C1928" s="1895"/>
      <c r="D1928" s="1915"/>
      <c r="E1928" s="2062"/>
      <c r="F1928" s="1842"/>
      <c r="G1928" s="2046"/>
      <c r="H1928" s="1854"/>
      <c r="I1928" s="2046"/>
      <c r="J1928" s="1854"/>
      <c r="K1928" s="1857"/>
      <c r="L1928" s="2043"/>
      <c r="M1928" s="2044"/>
      <c r="N1928" s="1837"/>
      <c r="O1928" s="1837"/>
      <c r="P1928" s="1837"/>
      <c r="Q1928" s="1837"/>
      <c r="R1928" s="1837"/>
      <c r="S1928" s="1837"/>
      <c r="T1928" s="1837"/>
      <c r="U1928" s="1837"/>
      <c r="V1928" s="1837"/>
      <c r="W1928" s="1837"/>
      <c r="X1928" s="1837"/>
    </row>
    <row r="1929" spans="1:24" ht="24" customHeight="1">
      <c r="A1929" s="1933"/>
      <c r="B1929" s="2003" t="s">
        <v>666</v>
      </c>
      <c r="C1929" s="1895" t="s">
        <v>667</v>
      </c>
      <c r="D1929" s="1915"/>
      <c r="E1929" s="2062">
        <v>0</v>
      </c>
      <c r="F1929" s="1842" t="s">
        <v>240</v>
      </c>
      <c r="G1929" s="2046">
        <v>127500</v>
      </c>
      <c r="H1929" s="1854">
        <f t="shared" ref="H1929:H1952" si="932">E1929*G1929</f>
        <v>0</v>
      </c>
      <c r="I1929" s="2046">
        <v>18750</v>
      </c>
      <c r="J1929" s="1854">
        <f t="shared" ref="J1929:J1952" si="933">E1929*I1929</f>
        <v>0</v>
      </c>
      <c r="K1929" s="1857">
        <f t="shared" ref="K1929:K1952" si="934">H1929+J1929</f>
        <v>0</v>
      </c>
      <c r="L1929" s="1910"/>
      <c r="M1929" s="2047"/>
      <c r="N1929" s="1837"/>
      <c r="O1929" s="1837"/>
      <c r="P1929" s="1837"/>
      <c r="Q1929" s="1837"/>
      <c r="R1929" s="1837"/>
      <c r="S1929" s="1837"/>
      <c r="T1929" s="1837"/>
      <c r="U1929" s="1837"/>
      <c r="V1929" s="1837"/>
      <c r="W1929" s="1837"/>
      <c r="X1929" s="1837"/>
    </row>
    <row r="1930" spans="1:24" ht="24" customHeight="1">
      <c r="A1930" s="1933"/>
      <c r="B1930" s="2003" t="s">
        <v>668</v>
      </c>
      <c r="C1930" s="1895" t="s">
        <v>669</v>
      </c>
      <c r="D1930" s="1915"/>
      <c r="E1930" s="2062">
        <v>1</v>
      </c>
      <c r="F1930" s="1842" t="s">
        <v>240</v>
      </c>
      <c r="G1930" s="2046">
        <v>197200</v>
      </c>
      <c r="H1930" s="1854">
        <f t="shared" si="932"/>
        <v>197200</v>
      </c>
      <c r="I1930" s="2046">
        <v>29000</v>
      </c>
      <c r="J1930" s="1854">
        <f t="shared" si="933"/>
        <v>29000</v>
      </c>
      <c r="K1930" s="1857">
        <f t="shared" si="934"/>
        <v>226200</v>
      </c>
      <c r="L1930" s="1910"/>
      <c r="M1930" s="2047"/>
      <c r="N1930" s="1837"/>
      <c r="O1930" s="1837"/>
      <c r="P1930" s="1837"/>
      <c r="Q1930" s="1837"/>
      <c r="R1930" s="1837"/>
      <c r="S1930" s="1837"/>
      <c r="T1930" s="1837"/>
      <c r="U1930" s="1837"/>
      <c r="V1930" s="1837"/>
      <c r="W1930" s="1837"/>
      <c r="X1930" s="1837"/>
    </row>
    <row r="1931" spans="1:24" ht="24" customHeight="1">
      <c r="A1931" s="1933"/>
      <c r="B1931" s="2003" t="s">
        <v>670</v>
      </c>
      <c r="C1931" s="1895" t="s">
        <v>671</v>
      </c>
      <c r="D1931" s="1915"/>
      <c r="E1931" s="2062">
        <v>0</v>
      </c>
      <c r="F1931" s="1842" t="s">
        <v>240</v>
      </c>
      <c r="G1931" s="2046">
        <v>187000</v>
      </c>
      <c r="H1931" s="1854">
        <f t="shared" si="932"/>
        <v>0</v>
      </c>
      <c r="I1931" s="2046">
        <v>27500</v>
      </c>
      <c r="J1931" s="1854">
        <f t="shared" si="933"/>
        <v>0</v>
      </c>
      <c r="K1931" s="1857">
        <f t="shared" si="934"/>
        <v>0</v>
      </c>
      <c r="L1931" s="1910"/>
      <c r="M1931" s="2047"/>
      <c r="N1931" s="1837"/>
      <c r="O1931" s="1837"/>
      <c r="P1931" s="1837"/>
      <c r="Q1931" s="1837"/>
      <c r="R1931" s="1837"/>
      <c r="S1931" s="1837"/>
      <c r="T1931" s="1837"/>
      <c r="U1931" s="1837"/>
      <c r="V1931" s="1837"/>
      <c r="W1931" s="1837"/>
      <c r="X1931" s="1837"/>
    </row>
    <row r="1932" spans="1:24" ht="24" customHeight="1">
      <c r="A1932" s="1933"/>
      <c r="B1932" s="2003" t="s">
        <v>672</v>
      </c>
      <c r="C1932" s="1895" t="s">
        <v>673</v>
      </c>
      <c r="D1932" s="1915"/>
      <c r="E1932" s="2062">
        <v>0</v>
      </c>
      <c r="F1932" s="1842" t="s">
        <v>240</v>
      </c>
      <c r="G1932" s="2046">
        <v>476000</v>
      </c>
      <c r="H1932" s="1854">
        <f t="shared" si="932"/>
        <v>0</v>
      </c>
      <c r="I1932" s="2046">
        <v>70000</v>
      </c>
      <c r="J1932" s="1854">
        <f t="shared" si="933"/>
        <v>0</v>
      </c>
      <c r="K1932" s="1857">
        <f t="shared" si="934"/>
        <v>0</v>
      </c>
      <c r="L1932" s="1910"/>
      <c r="M1932" s="2047"/>
      <c r="N1932" s="1837"/>
      <c r="O1932" s="1837"/>
      <c r="P1932" s="1837"/>
      <c r="Q1932" s="1837"/>
      <c r="R1932" s="1837"/>
      <c r="S1932" s="1837"/>
      <c r="T1932" s="1837"/>
      <c r="U1932" s="1837"/>
      <c r="V1932" s="1837"/>
      <c r="W1932" s="1837"/>
      <c r="X1932" s="1837"/>
    </row>
    <row r="1933" spans="1:24" ht="24" customHeight="1">
      <c r="A1933" s="1933"/>
      <c r="B1933" s="2003" t="s">
        <v>674</v>
      </c>
      <c r="C1933" s="1895" t="s">
        <v>675</v>
      </c>
      <c r="D1933" s="1915"/>
      <c r="E1933" s="2062">
        <v>0</v>
      </c>
      <c r="F1933" s="1842" t="s">
        <v>240</v>
      </c>
      <c r="G1933" s="2046">
        <v>305660</v>
      </c>
      <c r="H1933" s="1854">
        <f t="shared" si="932"/>
        <v>0</v>
      </c>
      <c r="I1933" s="2046">
        <v>44950</v>
      </c>
      <c r="J1933" s="1854">
        <f t="shared" si="933"/>
        <v>0</v>
      </c>
      <c r="K1933" s="1857">
        <f t="shared" si="934"/>
        <v>0</v>
      </c>
      <c r="L1933" s="1910"/>
      <c r="M1933" s="2047"/>
      <c r="N1933" s="1837"/>
      <c r="O1933" s="1837"/>
      <c r="P1933" s="1837"/>
      <c r="Q1933" s="1837"/>
      <c r="R1933" s="1837"/>
      <c r="S1933" s="1837"/>
      <c r="T1933" s="1837"/>
      <c r="U1933" s="1837"/>
      <c r="V1933" s="1837"/>
      <c r="W1933" s="1837"/>
      <c r="X1933" s="1837"/>
    </row>
    <row r="1934" spans="1:24" ht="24" customHeight="1">
      <c r="A1934" s="1933"/>
      <c r="B1934" s="2003" t="s">
        <v>676</v>
      </c>
      <c r="C1934" s="1895" t="s">
        <v>677</v>
      </c>
      <c r="D1934" s="1915"/>
      <c r="E1934" s="2062">
        <v>0</v>
      </c>
      <c r="F1934" s="1842" t="s">
        <v>240</v>
      </c>
      <c r="G1934" s="2046">
        <v>350030</v>
      </c>
      <c r="H1934" s="1854">
        <f t="shared" si="932"/>
        <v>0</v>
      </c>
      <c r="I1934" s="2046">
        <v>51475</v>
      </c>
      <c r="J1934" s="1854">
        <f t="shared" si="933"/>
        <v>0</v>
      </c>
      <c r="K1934" s="1857">
        <f t="shared" si="934"/>
        <v>0</v>
      </c>
      <c r="L1934" s="1910"/>
      <c r="M1934" s="2047"/>
      <c r="N1934" s="1837"/>
      <c r="O1934" s="1837"/>
      <c r="P1934" s="1837"/>
      <c r="Q1934" s="1837"/>
      <c r="R1934" s="1837"/>
      <c r="S1934" s="1837"/>
      <c r="T1934" s="1837"/>
      <c r="U1934" s="1837"/>
      <c r="V1934" s="1837"/>
      <c r="W1934" s="1837"/>
      <c r="X1934" s="1837"/>
    </row>
    <row r="1935" spans="1:24" ht="24" customHeight="1">
      <c r="A1935" s="1933"/>
      <c r="B1935" s="2003" t="s">
        <v>678</v>
      </c>
      <c r="C1935" s="1895" t="s">
        <v>679</v>
      </c>
      <c r="D1935" s="1915"/>
      <c r="E1935" s="2062">
        <v>0</v>
      </c>
      <c r="F1935" s="1842" t="s">
        <v>240</v>
      </c>
      <c r="G1935" s="2046">
        <v>448800</v>
      </c>
      <c r="H1935" s="1854">
        <f t="shared" si="932"/>
        <v>0</v>
      </c>
      <c r="I1935" s="2046">
        <v>66000</v>
      </c>
      <c r="J1935" s="1854">
        <f t="shared" si="933"/>
        <v>0</v>
      </c>
      <c r="K1935" s="1857">
        <f t="shared" si="934"/>
        <v>0</v>
      </c>
      <c r="L1935" s="1910"/>
      <c r="M1935" s="2047"/>
      <c r="N1935" s="1837"/>
      <c r="O1935" s="1837"/>
      <c r="P1935" s="1837"/>
      <c r="Q1935" s="1837"/>
      <c r="R1935" s="1837"/>
      <c r="S1935" s="1837"/>
      <c r="T1935" s="1837"/>
      <c r="U1935" s="1837"/>
      <c r="V1935" s="1837"/>
      <c r="W1935" s="1837"/>
      <c r="X1935" s="1837"/>
    </row>
    <row r="1936" spans="1:24" ht="24" customHeight="1">
      <c r="A1936" s="1933"/>
      <c r="B1936" s="2003" t="s">
        <v>680</v>
      </c>
      <c r="C1936" s="1895" t="s">
        <v>681</v>
      </c>
      <c r="D1936" s="1915"/>
      <c r="E1936" s="2062">
        <v>0</v>
      </c>
      <c r="F1936" s="1842" t="s">
        <v>240</v>
      </c>
      <c r="G1936" s="2046">
        <v>639200</v>
      </c>
      <c r="H1936" s="1854">
        <f t="shared" si="932"/>
        <v>0</v>
      </c>
      <c r="I1936" s="2046">
        <v>94000</v>
      </c>
      <c r="J1936" s="1854">
        <f t="shared" si="933"/>
        <v>0</v>
      </c>
      <c r="K1936" s="1857">
        <f t="shared" si="934"/>
        <v>0</v>
      </c>
      <c r="L1936" s="1910"/>
      <c r="M1936" s="2047"/>
      <c r="N1936" s="1837"/>
      <c r="O1936" s="1837"/>
      <c r="P1936" s="1837"/>
      <c r="Q1936" s="1837"/>
      <c r="R1936" s="1837"/>
      <c r="S1936" s="1837"/>
      <c r="T1936" s="1837"/>
      <c r="U1936" s="1837"/>
      <c r="V1936" s="1837"/>
      <c r="W1936" s="1837"/>
      <c r="X1936" s="1837"/>
    </row>
    <row r="1937" spans="1:24" ht="24" customHeight="1">
      <c r="A1937" s="1933"/>
      <c r="B1937" s="2003" t="s">
        <v>682</v>
      </c>
      <c r="C1937" s="1895" t="s">
        <v>669</v>
      </c>
      <c r="D1937" s="1915"/>
      <c r="E1937" s="2062">
        <v>0</v>
      </c>
      <c r="F1937" s="1842" t="s">
        <v>240</v>
      </c>
      <c r="G1937" s="2046">
        <v>197200</v>
      </c>
      <c r="H1937" s="1854">
        <f t="shared" si="932"/>
        <v>0</v>
      </c>
      <c r="I1937" s="2046">
        <v>29000</v>
      </c>
      <c r="J1937" s="1854">
        <f t="shared" si="933"/>
        <v>0</v>
      </c>
      <c r="K1937" s="1857">
        <f t="shared" si="934"/>
        <v>0</v>
      </c>
      <c r="L1937" s="1910"/>
      <c r="M1937" s="2047"/>
      <c r="N1937" s="1837"/>
      <c r="O1937" s="1837"/>
      <c r="P1937" s="1837"/>
      <c r="Q1937" s="1837"/>
      <c r="R1937" s="1837"/>
      <c r="S1937" s="1837"/>
      <c r="T1937" s="1837"/>
      <c r="U1937" s="1837"/>
      <c r="V1937" s="1837"/>
      <c r="W1937" s="1837"/>
      <c r="X1937" s="1837"/>
    </row>
    <row r="1938" spans="1:24" ht="24" customHeight="1">
      <c r="A1938" s="1933"/>
      <c r="B1938" s="2003" t="s">
        <v>683</v>
      </c>
      <c r="C1938" s="1895" t="s">
        <v>684</v>
      </c>
      <c r="D1938" s="1915"/>
      <c r="E1938" s="2062">
        <v>0</v>
      </c>
      <c r="F1938" s="1842" t="s">
        <v>240</v>
      </c>
      <c r="G1938" s="2046">
        <v>163200</v>
      </c>
      <c r="H1938" s="1854">
        <f t="shared" si="932"/>
        <v>0</v>
      </c>
      <c r="I1938" s="2046">
        <v>24000</v>
      </c>
      <c r="J1938" s="1854">
        <f t="shared" si="933"/>
        <v>0</v>
      </c>
      <c r="K1938" s="1857">
        <f t="shared" si="934"/>
        <v>0</v>
      </c>
      <c r="L1938" s="2043"/>
      <c r="M1938" s="2044"/>
      <c r="N1938" s="1837"/>
      <c r="O1938" s="1837"/>
      <c r="P1938" s="1837"/>
      <c r="Q1938" s="1837"/>
      <c r="R1938" s="1837"/>
      <c r="S1938" s="1837"/>
      <c r="T1938" s="1837"/>
      <c r="U1938" s="1837"/>
      <c r="V1938" s="1837"/>
      <c r="W1938" s="1837"/>
      <c r="X1938" s="1837"/>
    </row>
    <row r="1939" spans="1:24" ht="24" customHeight="1">
      <c r="A1939" s="1933"/>
      <c r="B1939" s="2003" t="s">
        <v>685</v>
      </c>
      <c r="C1939" s="1895" t="s">
        <v>686</v>
      </c>
      <c r="D1939" s="1915"/>
      <c r="E1939" s="2062">
        <v>0</v>
      </c>
      <c r="F1939" s="1842" t="s">
        <v>240</v>
      </c>
      <c r="G1939" s="2046">
        <v>119580</v>
      </c>
      <c r="H1939" s="1854">
        <f t="shared" si="932"/>
        <v>0</v>
      </c>
      <c r="I1939" s="2046">
        <v>0</v>
      </c>
      <c r="J1939" s="1854">
        <f t="shared" si="933"/>
        <v>0</v>
      </c>
      <c r="K1939" s="1857">
        <f t="shared" si="934"/>
        <v>0</v>
      </c>
      <c r="L1939" s="1910" t="s">
        <v>2887</v>
      </c>
      <c r="M1939" s="2047"/>
      <c r="N1939" s="1837"/>
      <c r="O1939" s="2024"/>
      <c r="P1939" s="1836"/>
      <c r="Q1939" s="1836"/>
      <c r="R1939" s="1837"/>
      <c r="S1939" s="1837"/>
      <c r="T1939" s="1837"/>
      <c r="U1939" s="1837"/>
      <c r="V1939" s="1837"/>
      <c r="W1939" s="1837"/>
      <c r="X1939" s="1837"/>
    </row>
    <row r="1940" spans="1:24" ht="24" customHeight="1">
      <c r="A1940" s="1933"/>
      <c r="B1940" s="2003" t="s">
        <v>687</v>
      </c>
      <c r="C1940" s="1895" t="s">
        <v>686</v>
      </c>
      <c r="D1940" s="1915"/>
      <c r="E1940" s="2062">
        <v>0</v>
      </c>
      <c r="F1940" s="1842" t="s">
        <v>240</v>
      </c>
      <c r="G1940" s="2046">
        <v>207000</v>
      </c>
      <c r="H1940" s="1854">
        <f t="shared" si="932"/>
        <v>0</v>
      </c>
      <c r="I1940" s="2046">
        <v>0</v>
      </c>
      <c r="J1940" s="1854">
        <f t="shared" si="933"/>
        <v>0</v>
      </c>
      <c r="K1940" s="1857">
        <f t="shared" si="934"/>
        <v>0</v>
      </c>
      <c r="L1940" s="1910" t="s">
        <v>2887</v>
      </c>
      <c r="M1940" s="2047"/>
      <c r="N1940" s="1837"/>
      <c r="O1940" s="2024"/>
      <c r="P1940" s="1836"/>
      <c r="Q1940" s="1836"/>
      <c r="R1940" s="1837"/>
      <c r="S1940" s="1837"/>
      <c r="T1940" s="1837"/>
      <c r="U1940" s="1837"/>
      <c r="V1940" s="1837"/>
      <c r="W1940" s="1837"/>
      <c r="X1940" s="1837"/>
    </row>
    <row r="1941" spans="1:24" ht="24" customHeight="1">
      <c r="A1941" s="1933"/>
      <c r="B1941" s="2003" t="s">
        <v>688</v>
      </c>
      <c r="C1941" s="1895" t="s">
        <v>686</v>
      </c>
      <c r="D1941" s="1915"/>
      <c r="E1941" s="2062">
        <v>0</v>
      </c>
      <c r="F1941" s="1842" t="s">
        <v>240</v>
      </c>
      <c r="G1941" s="2046">
        <v>267600</v>
      </c>
      <c r="H1941" s="1854">
        <f t="shared" si="932"/>
        <v>0</v>
      </c>
      <c r="I1941" s="2046">
        <v>0</v>
      </c>
      <c r="J1941" s="1854">
        <f t="shared" si="933"/>
        <v>0</v>
      </c>
      <c r="K1941" s="1857">
        <f t="shared" si="934"/>
        <v>0</v>
      </c>
      <c r="L1941" s="1910" t="s">
        <v>2887</v>
      </c>
      <c r="M1941" s="2047"/>
      <c r="N1941" s="1837"/>
      <c r="O1941" s="2024"/>
      <c r="P1941" s="1836"/>
      <c r="Q1941" s="1836"/>
      <c r="R1941" s="1837"/>
      <c r="S1941" s="1837"/>
      <c r="T1941" s="1837"/>
      <c r="U1941" s="1837"/>
      <c r="V1941" s="1837"/>
      <c r="W1941" s="1837"/>
      <c r="X1941" s="1837"/>
    </row>
    <row r="1942" spans="1:24" ht="24" customHeight="1">
      <c r="A1942" s="1933"/>
      <c r="B1942" s="2003" t="s">
        <v>689</v>
      </c>
      <c r="C1942" s="1895" t="s">
        <v>686</v>
      </c>
      <c r="D1942" s="1915"/>
      <c r="E1942" s="2062">
        <v>0</v>
      </c>
      <c r="F1942" s="1842" t="s">
        <v>240</v>
      </c>
      <c r="G1942" s="2046">
        <v>285430</v>
      </c>
      <c r="H1942" s="1854">
        <f t="shared" si="932"/>
        <v>0</v>
      </c>
      <c r="I1942" s="2046">
        <v>0</v>
      </c>
      <c r="J1942" s="1854">
        <f t="shared" si="933"/>
        <v>0</v>
      </c>
      <c r="K1942" s="1857">
        <f t="shared" si="934"/>
        <v>0</v>
      </c>
      <c r="L1942" s="1910" t="s">
        <v>2887</v>
      </c>
      <c r="M1942" s="2047"/>
      <c r="N1942" s="1837"/>
      <c r="O1942" s="2024"/>
      <c r="P1942" s="1836"/>
      <c r="Q1942" s="1836"/>
      <c r="R1942" s="1837"/>
      <c r="S1942" s="1837"/>
      <c r="T1942" s="1837"/>
      <c r="U1942" s="1837"/>
      <c r="V1942" s="1837"/>
      <c r="W1942" s="1837"/>
      <c r="X1942" s="1837"/>
    </row>
    <row r="1943" spans="1:24" ht="24" customHeight="1">
      <c r="A1943" s="1933"/>
      <c r="B1943" s="2003" t="s">
        <v>690</v>
      </c>
      <c r="C1943" s="1895" t="s">
        <v>686</v>
      </c>
      <c r="D1943" s="1915"/>
      <c r="E1943" s="2062">
        <v>0</v>
      </c>
      <c r="F1943" s="1842" t="s">
        <v>240</v>
      </c>
      <c r="G1943" s="2046">
        <v>440100</v>
      </c>
      <c r="H1943" s="1854">
        <f t="shared" si="932"/>
        <v>0</v>
      </c>
      <c r="I1943" s="2046">
        <v>0</v>
      </c>
      <c r="J1943" s="1854">
        <f t="shared" si="933"/>
        <v>0</v>
      </c>
      <c r="K1943" s="1857">
        <f t="shared" si="934"/>
        <v>0</v>
      </c>
      <c r="L1943" s="1910" t="s">
        <v>2887</v>
      </c>
      <c r="M1943" s="2047"/>
      <c r="N1943" s="1837"/>
      <c r="O1943" s="2024"/>
      <c r="P1943" s="1836"/>
      <c r="Q1943" s="1836"/>
      <c r="R1943" s="1837"/>
      <c r="S1943" s="1837"/>
      <c r="T1943" s="1837"/>
      <c r="U1943" s="1837"/>
      <c r="V1943" s="1837"/>
      <c r="W1943" s="1837"/>
      <c r="X1943" s="1837"/>
    </row>
    <row r="1944" spans="1:24" ht="24" customHeight="1">
      <c r="A1944" s="1933"/>
      <c r="B1944" s="2003" t="s">
        <v>691</v>
      </c>
      <c r="C1944" s="1895" t="s">
        <v>686</v>
      </c>
      <c r="D1944" s="1915"/>
      <c r="E1944" s="2062">
        <v>0</v>
      </c>
      <c r="F1944" s="1842" t="s">
        <v>240</v>
      </c>
      <c r="G1944" s="2046">
        <v>770900</v>
      </c>
      <c r="H1944" s="1854">
        <f t="shared" si="932"/>
        <v>0</v>
      </c>
      <c r="I1944" s="2046">
        <v>0</v>
      </c>
      <c r="J1944" s="1854">
        <f t="shared" si="933"/>
        <v>0</v>
      </c>
      <c r="K1944" s="1857">
        <f t="shared" si="934"/>
        <v>0</v>
      </c>
      <c r="L1944" s="1910" t="s">
        <v>2887</v>
      </c>
      <c r="M1944" s="2047"/>
      <c r="N1944" s="1837"/>
      <c r="O1944" s="2024"/>
      <c r="P1944" s="1836"/>
      <c r="Q1944" s="1836"/>
      <c r="R1944" s="1837"/>
      <c r="S1944" s="1837"/>
      <c r="T1944" s="1837"/>
      <c r="U1944" s="1837"/>
      <c r="V1944" s="1837"/>
      <c r="W1944" s="1837"/>
      <c r="X1944" s="1837"/>
    </row>
    <row r="1945" spans="1:24" ht="24" customHeight="1">
      <c r="A1945" s="1933"/>
      <c r="B1945" s="2003" t="s">
        <v>692</v>
      </c>
      <c r="C1945" s="1895" t="s">
        <v>686</v>
      </c>
      <c r="D1945" s="1915"/>
      <c r="E1945" s="2062">
        <v>0</v>
      </c>
      <c r="F1945" s="1842" t="s">
        <v>240</v>
      </c>
      <c r="G1945" s="2046">
        <f>904400-90440</f>
        <v>813960</v>
      </c>
      <c r="H1945" s="1854">
        <f t="shared" si="932"/>
        <v>0</v>
      </c>
      <c r="I1945" s="2046">
        <v>0</v>
      </c>
      <c r="J1945" s="1854">
        <f t="shared" si="933"/>
        <v>0</v>
      </c>
      <c r="K1945" s="1857">
        <f t="shared" si="934"/>
        <v>0</v>
      </c>
      <c r="L1945" s="1910" t="s">
        <v>2887</v>
      </c>
      <c r="M1945" s="2047"/>
      <c r="N1945" s="1837"/>
      <c r="O1945" s="2024"/>
      <c r="P1945" s="1836"/>
      <c r="Q1945" s="1836"/>
      <c r="R1945" s="1837"/>
      <c r="S1945" s="1837"/>
      <c r="T1945" s="1837"/>
      <c r="U1945" s="1837"/>
      <c r="V1945" s="1837"/>
      <c r="W1945" s="1837"/>
      <c r="X1945" s="1837"/>
    </row>
    <row r="1946" spans="1:24" ht="24" customHeight="1">
      <c r="A1946" s="1933"/>
      <c r="B1946" s="2003" t="s">
        <v>693</v>
      </c>
      <c r="C1946" s="1895" t="s">
        <v>686</v>
      </c>
      <c r="D1946" s="1915"/>
      <c r="E1946" s="2062">
        <v>0</v>
      </c>
      <c r="F1946" s="1842" t="s">
        <v>240</v>
      </c>
      <c r="G1946" s="2046">
        <v>232000</v>
      </c>
      <c r="H1946" s="1854">
        <f t="shared" si="932"/>
        <v>0</v>
      </c>
      <c r="I1946" s="2046">
        <v>0</v>
      </c>
      <c r="J1946" s="1854">
        <f t="shared" si="933"/>
        <v>0</v>
      </c>
      <c r="K1946" s="1857">
        <f t="shared" si="934"/>
        <v>0</v>
      </c>
      <c r="L1946" s="1910" t="s">
        <v>2887</v>
      </c>
      <c r="M1946" s="2047"/>
      <c r="N1946" s="1837"/>
      <c r="O1946" s="2024"/>
      <c r="P1946" s="1836"/>
      <c r="Q1946" s="1836"/>
      <c r="R1946" s="1837"/>
      <c r="S1946" s="1837"/>
      <c r="T1946" s="1837"/>
      <c r="U1946" s="1837"/>
      <c r="V1946" s="1837"/>
      <c r="W1946" s="1837"/>
      <c r="X1946" s="1837"/>
    </row>
    <row r="1947" spans="1:24" ht="24" customHeight="1">
      <c r="A1947" s="1933"/>
      <c r="B1947" s="2003" t="s">
        <v>694</v>
      </c>
      <c r="C1947" s="1895" t="s">
        <v>686</v>
      </c>
      <c r="D1947" s="1915"/>
      <c r="E1947" s="2062">
        <v>0</v>
      </c>
      <c r="F1947" s="1842" t="s">
        <v>240</v>
      </c>
      <c r="G1947" s="2046">
        <v>399100</v>
      </c>
      <c r="H1947" s="1854">
        <f t="shared" si="932"/>
        <v>0</v>
      </c>
      <c r="I1947" s="2046">
        <v>0</v>
      </c>
      <c r="J1947" s="1854">
        <f t="shared" si="933"/>
        <v>0</v>
      </c>
      <c r="K1947" s="1857">
        <f t="shared" si="934"/>
        <v>0</v>
      </c>
      <c r="L1947" s="1910" t="s">
        <v>2887</v>
      </c>
      <c r="M1947" s="2047"/>
      <c r="N1947" s="1837"/>
      <c r="O1947" s="2024"/>
      <c r="P1947" s="1836"/>
      <c r="Q1947" s="1836"/>
      <c r="R1947" s="1837"/>
      <c r="S1947" s="1837"/>
      <c r="T1947" s="1837"/>
      <c r="U1947" s="1837"/>
      <c r="V1947" s="1837"/>
      <c r="W1947" s="1837"/>
      <c r="X1947" s="1837"/>
    </row>
    <row r="1948" spans="1:24" ht="24" customHeight="1">
      <c r="A1948" s="1933"/>
      <c r="B1948" s="2003" t="s">
        <v>695</v>
      </c>
      <c r="C1948" s="1895" t="s">
        <v>686</v>
      </c>
      <c r="D1948" s="1915"/>
      <c r="E1948" s="2062">
        <v>0</v>
      </c>
      <c r="F1948" s="1842" t="s">
        <v>240</v>
      </c>
      <c r="G1948" s="2046">
        <v>528100</v>
      </c>
      <c r="H1948" s="1854">
        <f t="shared" si="932"/>
        <v>0</v>
      </c>
      <c r="I1948" s="2046">
        <v>0</v>
      </c>
      <c r="J1948" s="1854">
        <f t="shared" si="933"/>
        <v>0</v>
      </c>
      <c r="K1948" s="1857">
        <f t="shared" si="934"/>
        <v>0</v>
      </c>
      <c r="L1948" s="1910" t="s">
        <v>2887</v>
      </c>
      <c r="M1948" s="2047"/>
      <c r="N1948" s="1837"/>
      <c r="O1948" s="2024"/>
      <c r="P1948" s="1836"/>
      <c r="Q1948" s="1836"/>
      <c r="R1948" s="1837"/>
      <c r="S1948" s="1837"/>
      <c r="T1948" s="1837"/>
      <c r="U1948" s="1837"/>
      <c r="V1948" s="1837"/>
      <c r="W1948" s="1837"/>
      <c r="X1948" s="1837"/>
    </row>
    <row r="1949" spans="1:24" ht="24" customHeight="1">
      <c r="A1949" s="1933"/>
      <c r="B1949" s="2003" t="s">
        <v>696</v>
      </c>
      <c r="C1949" s="1895" t="s">
        <v>686</v>
      </c>
      <c r="D1949" s="1915"/>
      <c r="E1949" s="2062">
        <v>0</v>
      </c>
      <c r="F1949" s="1842" t="s">
        <v>240</v>
      </c>
      <c r="G1949" s="2046">
        <v>563500</v>
      </c>
      <c r="H1949" s="1854">
        <f t="shared" si="932"/>
        <v>0</v>
      </c>
      <c r="I1949" s="2046">
        <v>0</v>
      </c>
      <c r="J1949" s="1854">
        <f t="shared" si="933"/>
        <v>0</v>
      </c>
      <c r="K1949" s="1857">
        <f t="shared" si="934"/>
        <v>0</v>
      </c>
      <c r="L1949" s="1910" t="s">
        <v>2887</v>
      </c>
      <c r="M1949" s="2047"/>
      <c r="N1949" s="1837"/>
      <c r="O1949" s="2024"/>
      <c r="P1949" s="1836"/>
      <c r="Q1949" s="1836"/>
      <c r="R1949" s="1837"/>
      <c r="S1949" s="1837"/>
      <c r="T1949" s="1837"/>
      <c r="U1949" s="1837"/>
      <c r="V1949" s="1837"/>
      <c r="W1949" s="1837"/>
      <c r="X1949" s="1837"/>
    </row>
    <row r="1950" spans="1:24" ht="24" customHeight="1">
      <c r="A1950" s="1933"/>
      <c r="B1950" s="2003" t="s">
        <v>697</v>
      </c>
      <c r="C1950" s="1895" t="s">
        <v>686</v>
      </c>
      <c r="D1950" s="1915"/>
      <c r="E1950" s="2062">
        <v>0</v>
      </c>
      <c r="F1950" s="1842" t="s">
        <v>240</v>
      </c>
      <c r="G1950" s="2046">
        <v>272800</v>
      </c>
      <c r="H1950" s="1854">
        <f t="shared" si="932"/>
        <v>0</v>
      </c>
      <c r="I1950" s="2046">
        <v>0</v>
      </c>
      <c r="J1950" s="1854">
        <f t="shared" si="933"/>
        <v>0</v>
      </c>
      <c r="K1950" s="1857">
        <f t="shared" si="934"/>
        <v>0</v>
      </c>
      <c r="L1950" s="1910" t="s">
        <v>2887</v>
      </c>
      <c r="M1950" s="2047"/>
      <c r="N1950" s="1837"/>
      <c r="O1950" s="2024"/>
      <c r="P1950" s="1836"/>
      <c r="Q1950" s="1836"/>
      <c r="R1950" s="1837"/>
      <c r="S1950" s="1837"/>
      <c r="T1950" s="1837"/>
      <c r="U1950" s="1837"/>
      <c r="V1950" s="1837"/>
      <c r="W1950" s="1837"/>
      <c r="X1950" s="1837"/>
    </row>
    <row r="1951" spans="1:24" ht="24" customHeight="1">
      <c r="A1951" s="1933"/>
      <c r="B1951" s="2003" t="s">
        <v>698</v>
      </c>
      <c r="C1951" s="1895" t="s">
        <v>686</v>
      </c>
      <c r="D1951" s="1915"/>
      <c r="E1951" s="2062">
        <v>0</v>
      </c>
      <c r="F1951" s="1842" t="s">
        <v>240</v>
      </c>
      <c r="G1951" s="2046">
        <v>6900</v>
      </c>
      <c r="H1951" s="1854">
        <f t="shared" si="932"/>
        <v>0</v>
      </c>
      <c r="I1951" s="2046">
        <v>0</v>
      </c>
      <c r="J1951" s="1854">
        <f t="shared" si="933"/>
        <v>0</v>
      </c>
      <c r="K1951" s="1857">
        <f t="shared" si="934"/>
        <v>0</v>
      </c>
      <c r="L1951" s="1910" t="s">
        <v>2887</v>
      </c>
      <c r="M1951" s="2047"/>
      <c r="N1951" s="1837"/>
      <c r="O1951" s="2024"/>
      <c r="P1951" s="1836"/>
      <c r="Q1951" s="1836"/>
      <c r="R1951" s="1837"/>
      <c r="S1951" s="1837"/>
      <c r="T1951" s="1837"/>
      <c r="U1951" s="1837"/>
      <c r="V1951" s="1837"/>
      <c r="W1951" s="1837"/>
      <c r="X1951" s="1837"/>
    </row>
    <row r="1952" spans="1:24" ht="24" customHeight="1">
      <c r="A1952" s="1933"/>
      <c r="B1952" s="2003" t="s">
        <v>699</v>
      </c>
      <c r="C1952" s="1895" t="s">
        <v>686</v>
      </c>
      <c r="D1952" s="1915"/>
      <c r="E1952" s="2062">
        <v>2</v>
      </c>
      <c r="F1952" s="1842" t="s">
        <v>240</v>
      </c>
      <c r="G1952" s="2046">
        <v>97700</v>
      </c>
      <c r="H1952" s="1854">
        <f t="shared" si="932"/>
        <v>195400</v>
      </c>
      <c r="I1952" s="2046">
        <v>0</v>
      </c>
      <c r="J1952" s="1854">
        <f t="shared" si="933"/>
        <v>0</v>
      </c>
      <c r="K1952" s="1857">
        <f t="shared" si="934"/>
        <v>195400</v>
      </c>
      <c r="L1952" s="1910" t="s">
        <v>2887</v>
      </c>
      <c r="M1952" s="2047"/>
      <c r="N1952" s="2047">
        <f>SUM(K1896:K1952)</f>
        <v>2787530</v>
      </c>
      <c r="O1952" s="2024"/>
      <c r="P1952" s="1836"/>
      <c r="Q1952" s="1836"/>
      <c r="R1952" s="1837"/>
      <c r="S1952" s="1837"/>
      <c r="T1952" s="1837"/>
      <c r="U1952" s="1837"/>
      <c r="V1952" s="1837"/>
      <c r="W1952" s="1837"/>
      <c r="X1952" s="1837"/>
    </row>
    <row r="1953" spans="1:24" s="2061" customFormat="1" ht="24" customHeight="1">
      <c r="A1953" s="2053" t="s">
        <v>706</v>
      </c>
      <c r="B1953" s="2054" t="s">
        <v>707</v>
      </c>
      <c r="C1953" s="1905"/>
      <c r="D1953" s="1909"/>
      <c r="E1953" s="2063"/>
      <c r="F1953" s="2057"/>
      <c r="G1953" s="1921"/>
      <c r="H1953" s="1911"/>
      <c r="I1953" s="1912"/>
      <c r="J1953" s="1913"/>
      <c r="K1953" s="1914"/>
      <c r="L1953" s="2058"/>
      <c r="M1953" s="2059"/>
      <c r="N1953" s="2060"/>
      <c r="O1953" s="2060"/>
      <c r="P1953" s="2060"/>
      <c r="Q1953" s="2060"/>
      <c r="R1953" s="2060"/>
      <c r="S1953" s="2060"/>
      <c r="T1953" s="2060"/>
      <c r="U1953" s="2060"/>
      <c r="V1953" s="2060"/>
      <c r="W1953" s="2060"/>
      <c r="X1953" s="2060"/>
    </row>
    <row r="1954" spans="1:24" ht="24" customHeight="1">
      <c r="A1954" s="1933"/>
      <c r="B1954" s="2003" t="s">
        <v>626</v>
      </c>
      <c r="C1954" s="1895" t="s">
        <v>627</v>
      </c>
      <c r="D1954" s="1915"/>
      <c r="E1954" s="2062">
        <v>3</v>
      </c>
      <c r="F1954" s="1842" t="s">
        <v>240</v>
      </c>
      <c r="G1954" s="2046">
        <v>260300</v>
      </c>
      <c r="H1954" s="1854">
        <f t="shared" ref="H1954:H1962" si="935">E1954*G1954</f>
        <v>780900</v>
      </c>
      <c r="I1954" s="2046">
        <v>0</v>
      </c>
      <c r="J1954" s="1854">
        <f t="shared" ref="J1954:J1962" si="936">E1954*I1954</f>
        <v>0</v>
      </c>
      <c r="K1954" s="1857">
        <f t="shared" ref="K1954:K1962" si="937">H1954+J1954</f>
        <v>780900</v>
      </c>
      <c r="L1954" s="1910" t="s">
        <v>2886</v>
      </c>
      <c r="M1954" s="2047"/>
      <c r="N1954" s="1837"/>
      <c r="O1954" s="1837"/>
      <c r="P1954" s="1837"/>
      <c r="Q1954" s="1837"/>
      <c r="R1954" s="1837"/>
      <c r="S1954" s="1837"/>
      <c r="T1954" s="1837"/>
      <c r="U1954" s="1837"/>
      <c r="V1954" s="1837"/>
      <c r="W1954" s="1837"/>
      <c r="X1954" s="1837"/>
    </row>
    <row r="1955" spans="1:24" ht="24" customHeight="1">
      <c r="A1955" s="1933"/>
      <c r="B1955" s="2003" t="s">
        <v>628</v>
      </c>
      <c r="C1955" s="1895" t="s">
        <v>629</v>
      </c>
      <c r="D1955" s="1915"/>
      <c r="E1955" s="2062">
        <v>0</v>
      </c>
      <c r="F1955" s="1842" t="s">
        <v>240</v>
      </c>
      <c r="G1955" s="2046">
        <v>386900</v>
      </c>
      <c r="H1955" s="1854">
        <f t="shared" si="935"/>
        <v>0</v>
      </c>
      <c r="I1955" s="2046">
        <v>0</v>
      </c>
      <c r="J1955" s="1854">
        <f t="shared" si="936"/>
        <v>0</v>
      </c>
      <c r="K1955" s="1857">
        <f t="shared" si="937"/>
        <v>0</v>
      </c>
      <c r="L1955" s="1910" t="s">
        <v>2886</v>
      </c>
      <c r="M1955" s="2047"/>
      <c r="N1955" s="1837"/>
      <c r="O1955" s="1837"/>
      <c r="P1955" s="1837"/>
      <c r="Q1955" s="1837"/>
      <c r="R1955" s="1837"/>
      <c r="S1955" s="1837"/>
      <c r="T1955" s="1837"/>
      <c r="U1955" s="1837"/>
      <c r="V1955" s="1837"/>
      <c r="W1955" s="1837"/>
      <c r="X1955" s="1837"/>
    </row>
    <row r="1956" spans="1:24" ht="24" customHeight="1">
      <c r="A1956" s="1782"/>
      <c r="B1956" s="2003" t="s">
        <v>630</v>
      </c>
      <c r="C1956" s="1895" t="s">
        <v>2818</v>
      </c>
      <c r="D1956" s="1915"/>
      <c r="E1956" s="2062">
        <v>0</v>
      </c>
      <c r="F1956" s="1842" t="s">
        <v>240</v>
      </c>
      <c r="G1956" s="2046">
        <v>432400</v>
      </c>
      <c r="H1956" s="1854">
        <f t="shared" si="935"/>
        <v>0</v>
      </c>
      <c r="I1956" s="2046">
        <v>0</v>
      </c>
      <c r="J1956" s="1854">
        <f t="shared" si="936"/>
        <v>0</v>
      </c>
      <c r="K1956" s="1857">
        <f t="shared" si="937"/>
        <v>0</v>
      </c>
      <c r="L1956" s="1910" t="s">
        <v>2886</v>
      </c>
      <c r="M1956" s="2047"/>
      <c r="N1956" s="1837"/>
      <c r="O1956" s="1837"/>
      <c r="P1956" s="1837"/>
      <c r="Q1956" s="1837"/>
      <c r="R1956" s="1837"/>
      <c r="S1956" s="1837"/>
      <c r="T1956" s="1837"/>
      <c r="U1956" s="1837"/>
      <c r="V1956" s="1837"/>
      <c r="W1956" s="1837"/>
      <c r="X1956" s="1837"/>
    </row>
    <row r="1957" spans="1:24" ht="24" customHeight="1">
      <c r="A1957" s="1782"/>
      <c r="B1957" s="2003" t="s">
        <v>631</v>
      </c>
      <c r="C1957" s="1895" t="s">
        <v>2818</v>
      </c>
      <c r="D1957" s="1915"/>
      <c r="E1957" s="2062">
        <v>0</v>
      </c>
      <c r="F1957" s="1842" t="s">
        <v>240</v>
      </c>
      <c r="G1957" s="2046">
        <v>440430</v>
      </c>
      <c r="H1957" s="1854">
        <f t="shared" si="935"/>
        <v>0</v>
      </c>
      <c r="I1957" s="2046">
        <v>0</v>
      </c>
      <c r="J1957" s="1854">
        <f t="shared" si="936"/>
        <v>0</v>
      </c>
      <c r="K1957" s="1857">
        <f t="shared" si="937"/>
        <v>0</v>
      </c>
      <c r="L1957" s="1910" t="s">
        <v>2886</v>
      </c>
      <c r="M1957" s="2047"/>
      <c r="N1957" s="1837"/>
      <c r="O1957" s="1837"/>
      <c r="P1957" s="1837"/>
      <c r="Q1957" s="1837"/>
      <c r="R1957" s="1837"/>
      <c r="S1957" s="1837"/>
      <c r="T1957" s="1837"/>
      <c r="U1957" s="1837"/>
      <c r="V1957" s="1837"/>
      <c r="W1957" s="1837"/>
      <c r="X1957" s="1837"/>
    </row>
    <row r="1958" spans="1:24" ht="24" customHeight="1">
      <c r="A1958" s="1782"/>
      <c r="B1958" s="2003" t="s">
        <v>632</v>
      </c>
      <c r="C1958" s="1895" t="s">
        <v>2819</v>
      </c>
      <c r="D1958" s="1915"/>
      <c r="E1958" s="2062">
        <v>0</v>
      </c>
      <c r="F1958" s="1842" t="s">
        <v>240</v>
      </c>
      <c r="G1958" s="2046">
        <v>48800</v>
      </c>
      <c r="H1958" s="1854">
        <f t="shared" si="935"/>
        <v>0</v>
      </c>
      <c r="I1958" s="2046">
        <v>0</v>
      </c>
      <c r="J1958" s="1854">
        <f t="shared" si="936"/>
        <v>0</v>
      </c>
      <c r="K1958" s="1857">
        <f t="shared" si="937"/>
        <v>0</v>
      </c>
      <c r="L1958" s="1910" t="s">
        <v>2886</v>
      </c>
      <c r="M1958" s="2047"/>
      <c r="N1958" s="1837"/>
      <c r="O1958" s="1837"/>
      <c r="P1958" s="1837"/>
      <c r="Q1958" s="1837"/>
      <c r="R1958" s="1837"/>
      <c r="S1958" s="1837"/>
      <c r="T1958" s="1837"/>
      <c r="U1958" s="1837"/>
      <c r="V1958" s="1837"/>
      <c r="W1958" s="1837"/>
      <c r="X1958" s="1837"/>
    </row>
    <row r="1959" spans="1:24" ht="24" customHeight="1">
      <c r="A1959" s="1782"/>
      <c r="B1959" s="2003" t="s">
        <v>633</v>
      </c>
      <c r="C1959" s="1895" t="s">
        <v>634</v>
      </c>
      <c r="D1959" s="1915"/>
      <c r="E1959" s="2062">
        <v>2</v>
      </c>
      <c r="F1959" s="1842" t="s">
        <v>240</v>
      </c>
      <c r="G1959" s="2046">
        <v>28600</v>
      </c>
      <c r="H1959" s="1854">
        <f t="shared" si="935"/>
        <v>57200</v>
      </c>
      <c r="I1959" s="2046">
        <v>0</v>
      </c>
      <c r="J1959" s="1854">
        <f t="shared" si="936"/>
        <v>0</v>
      </c>
      <c r="K1959" s="1857">
        <f t="shared" si="937"/>
        <v>57200</v>
      </c>
      <c r="L1959" s="1910" t="s">
        <v>2886</v>
      </c>
      <c r="M1959" s="2047"/>
      <c r="N1959" s="1837"/>
      <c r="O1959" s="1837"/>
      <c r="P1959" s="1837"/>
      <c r="Q1959" s="1837"/>
      <c r="R1959" s="1837"/>
      <c r="S1959" s="1837"/>
      <c r="T1959" s="1837"/>
      <c r="U1959" s="1837"/>
      <c r="V1959" s="1837"/>
      <c r="W1959" s="1837"/>
      <c r="X1959" s="1837"/>
    </row>
    <row r="1960" spans="1:24" ht="24" customHeight="1">
      <c r="A1960" s="1782"/>
      <c r="B1960" s="2003" t="s">
        <v>635</v>
      </c>
      <c r="C1960" s="1895" t="s">
        <v>629</v>
      </c>
      <c r="D1960" s="1915"/>
      <c r="E1960" s="2062">
        <v>0</v>
      </c>
      <c r="F1960" s="1842" t="s">
        <v>240</v>
      </c>
      <c r="G1960" s="2046">
        <v>814100</v>
      </c>
      <c r="H1960" s="1854">
        <f t="shared" si="935"/>
        <v>0</v>
      </c>
      <c r="I1960" s="2046">
        <v>0</v>
      </c>
      <c r="J1960" s="1854">
        <f t="shared" si="936"/>
        <v>0</v>
      </c>
      <c r="K1960" s="1857">
        <f t="shared" si="937"/>
        <v>0</v>
      </c>
      <c r="L1960" s="1910" t="s">
        <v>2886</v>
      </c>
      <c r="M1960" s="2047"/>
      <c r="N1960" s="1837"/>
      <c r="O1960" s="1837"/>
      <c r="P1960" s="1837"/>
      <c r="Q1960" s="1837"/>
      <c r="R1960" s="1837"/>
      <c r="S1960" s="1837"/>
      <c r="T1960" s="1837"/>
      <c r="U1960" s="1837"/>
      <c r="V1960" s="1837"/>
      <c r="W1960" s="1837"/>
      <c r="X1960" s="1837"/>
    </row>
    <row r="1961" spans="1:24" ht="24" customHeight="1">
      <c r="A1961" s="1782"/>
      <c r="B1961" s="2003" t="s">
        <v>636</v>
      </c>
      <c r="C1961" s="1895" t="s">
        <v>629</v>
      </c>
      <c r="D1961" s="1915"/>
      <c r="E1961" s="2062">
        <v>0</v>
      </c>
      <c r="F1961" s="1842" t="s">
        <v>240</v>
      </c>
      <c r="G1961" s="2046">
        <v>701500</v>
      </c>
      <c r="H1961" s="1854">
        <f t="shared" si="935"/>
        <v>0</v>
      </c>
      <c r="I1961" s="2046">
        <v>0</v>
      </c>
      <c r="J1961" s="1854">
        <f t="shared" si="936"/>
        <v>0</v>
      </c>
      <c r="K1961" s="1857">
        <f t="shared" si="937"/>
        <v>0</v>
      </c>
      <c r="L1961" s="1910" t="s">
        <v>2886</v>
      </c>
      <c r="M1961" s="2047"/>
      <c r="N1961" s="1837"/>
      <c r="O1961" s="1837"/>
      <c r="P1961" s="1837"/>
      <c r="Q1961" s="1837"/>
      <c r="R1961" s="1837"/>
      <c r="S1961" s="1837"/>
      <c r="T1961" s="1837"/>
      <c r="U1961" s="1837"/>
      <c r="V1961" s="1837"/>
      <c r="W1961" s="1837"/>
      <c r="X1961" s="1837"/>
    </row>
    <row r="1962" spans="1:24" ht="24" customHeight="1">
      <c r="A1962" s="1782"/>
      <c r="B1962" s="2003" t="s">
        <v>637</v>
      </c>
      <c r="C1962" s="1895" t="s">
        <v>629</v>
      </c>
      <c r="D1962" s="1915"/>
      <c r="E1962" s="2062">
        <v>0</v>
      </c>
      <c r="F1962" s="1842" t="s">
        <v>240</v>
      </c>
      <c r="G1962" s="2046">
        <v>240700</v>
      </c>
      <c r="H1962" s="1854">
        <f t="shared" si="935"/>
        <v>0</v>
      </c>
      <c r="I1962" s="2046">
        <v>0</v>
      </c>
      <c r="J1962" s="1854">
        <f t="shared" si="936"/>
        <v>0</v>
      </c>
      <c r="K1962" s="1857">
        <f t="shared" si="937"/>
        <v>0</v>
      </c>
      <c r="L1962" s="1910" t="s">
        <v>2886</v>
      </c>
      <c r="M1962" s="2047"/>
      <c r="N1962" s="1837"/>
      <c r="O1962" s="1837"/>
      <c r="P1962" s="1837"/>
      <c r="Q1962" s="1837"/>
      <c r="R1962" s="1837"/>
      <c r="S1962" s="1837"/>
      <c r="T1962" s="1837"/>
      <c r="U1962" s="1837"/>
      <c r="V1962" s="1837"/>
      <c r="W1962" s="1837"/>
      <c r="X1962" s="1837"/>
    </row>
    <row r="1963" spans="1:24" ht="24" customHeight="1">
      <c r="A1963" s="1933"/>
      <c r="B1963" s="2003"/>
      <c r="C1963" s="1895"/>
      <c r="D1963" s="1915"/>
      <c r="E1963" s="2062"/>
      <c r="F1963" s="1842"/>
      <c r="G1963" s="2046"/>
      <c r="H1963" s="1854"/>
      <c r="I1963" s="2048"/>
      <c r="J1963" s="1854"/>
      <c r="K1963" s="1857"/>
      <c r="L1963" s="2043"/>
      <c r="M1963" s="2044"/>
      <c r="N1963" s="1837"/>
      <c r="O1963" s="1837"/>
      <c r="P1963" s="1837"/>
      <c r="Q1963" s="1837"/>
      <c r="R1963" s="1837"/>
      <c r="S1963" s="1837"/>
      <c r="T1963" s="1837"/>
      <c r="U1963" s="1837"/>
      <c r="V1963" s="1837"/>
      <c r="W1963" s="1837"/>
      <c r="X1963" s="1837"/>
    </row>
    <row r="1964" spans="1:24" ht="24" customHeight="1">
      <c r="A1964" s="1782"/>
      <c r="B1964" s="2003" t="s">
        <v>638</v>
      </c>
      <c r="C1964" s="1895" t="s">
        <v>639</v>
      </c>
      <c r="D1964" s="1915"/>
      <c r="E1964" s="2062">
        <v>8</v>
      </c>
      <c r="F1964" s="1842" t="s">
        <v>240</v>
      </c>
      <c r="G1964" s="2046">
        <v>45750</v>
      </c>
      <c r="H1964" s="1854">
        <f>E1964*G1964</f>
        <v>366000</v>
      </c>
      <c r="I1964" s="2046">
        <v>3000</v>
      </c>
      <c r="J1964" s="1854">
        <f>E1964*I1964</f>
        <v>24000</v>
      </c>
      <c r="K1964" s="1857">
        <f>H1964+J1964</f>
        <v>390000</v>
      </c>
      <c r="L1964" s="2043"/>
      <c r="M1964" s="2044"/>
      <c r="N1964" s="1837"/>
      <c r="O1964" s="1837"/>
      <c r="P1964" s="1837"/>
      <c r="Q1964" s="1837"/>
      <c r="R1964" s="1837"/>
      <c r="S1964" s="1837"/>
      <c r="T1964" s="1837"/>
      <c r="U1964" s="1837"/>
      <c r="V1964" s="1837"/>
      <c r="W1964" s="1837"/>
      <c r="X1964" s="1837"/>
    </row>
    <row r="1965" spans="1:24" ht="24" customHeight="1">
      <c r="A1965" s="1933"/>
      <c r="B1965" s="2003" t="s">
        <v>640</v>
      </c>
      <c r="C1965" s="1895" t="s">
        <v>641</v>
      </c>
      <c r="D1965" s="1915"/>
      <c r="E1965" s="2062">
        <v>1</v>
      </c>
      <c r="F1965" s="1842" t="s">
        <v>240</v>
      </c>
      <c r="G1965" s="2046">
        <v>49350</v>
      </c>
      <c r="H1965" s="1854">
        <f t="shared" ref="H1965:H1975" si="938">E1965*G1965</f>
        <v>49350</v>
      </c>
      <c r="I1965" s="2046">
        <v>3000</v>
      </c>
      <c r="J1965" s="1854">
        <f t="shared" ref="J1965:J1975" si="939">E1965*I1965</f>
        <v>3000</v>
      </c>
      <c r="K1965" s="1857">
        <f t="shared" ref="K1965:K1975" si="940">H1965+J1965</f>
        <v>52350</v>
      </c>
      <c r="L1965" s="2043"/>
      <c r="M1965" s="2044"/>
      <c r="N1965" s="1837"/>
      <c r="O1965" s="1837"/>
      <c r="P1965" s="1837"/>
      <c r="Q1965" s="1837"/>
      <c r="R1965" s="1837"/>
      <c r="S1965" s="1837"/>
      <c r="T1965" s="1837"/>
      <c r="U1965" s="1837"/>
      <c r="V1965" s="1837"/>
      <c r="W1965" s="1837"/>
      <c r="X1965" s="1837"/>
    </row>
    <row r="1966" spans="1:24" ht="24" customHeight="1">
      <c r="A1966" s="1933"/>
      <c r="B1966" s="2003" t="s">
        <v>642</v>
      </c>
      <c r="C1966" s="1895" t="s">
        <v>643</v>
      </c>
      <c r="D1966" s="1915"/>
      <c r="E1966" s="2062">
        <v>2</v>
      </c>
      <c r="F1966" s="1842" t="s">
        <v>240</v>
      </c>
      <c r="G1966" s="2046">
        <v>87950</v>
      </c>
      <c r="H1966" s="1854">
        <f t="shared" si="938"/>
        <v>175900</v>
      </c>
      <c r="I1966" s="2046">
        <v>4000</v>
      </c>
      <c r="J1966" s="1854">
        <f t="shared" si="939"/>
        <v>8000</v>
      </c>
      <c r="K1966" s="1857">
        <f t="shared" si="940"/>
        <v>183900</v>
      </c>
      <c r="L1966" s="2043"/>
      <c r="M1966" s="2044"/>
      <c r="N1966" s="1837"/>
      <c r="O1966" s="1837"/>
      <c r="P1966" s="1837"/>
      <c r="Q1966" s="1837"/>
      <c r="R1966" s="1837"/>
      <c r="S1966" s="1837"/>
      <c r="T1966" s="1837"/>
      <c r="U1966" s="1837"/>
      <c r="V1966" s="1837"/>
      <c r="W1966" s="1837"/>
      <c r="X1966" s="1837"/>
    </row>
    <row r="1967" spans="1:24" ht="24" customHeight="1">
      <c r="A1967" s="1933"/>
      <c r="B1967" s="2003" t="s">
        <v>644</v>
      </c>
      <c r="C1967" s="1895" t="s">
        <v>643</v>
      </c>
      <c r="D1967" s="1915"/>
      <c r="E1967" s="2062">
        <v>2</v>
      </c>
      <c r="F1967" s="1842" t="s">
        <v>240</v>
      </c>
      <c r="G1967" s="2046">
        <v>63520</v>
      </c>
      <c r="H1967" s="1854">
        <f t="shared" si="938"/>
        <v>127040</v>
      </c>
      <c r="I1967" s="2046">
        <v>4000</v>
      </c>
      <c r="J1967" s="1854">
        <f t="shared" si="939"/>
        <v>8000</v>
      </c>
      <c r="K1967" s="1857">
        <f t="shared" si="940"/>
        <v>135040</v>
      </c>
      <c r="L1967" s="2043"/>
      <c r="M1967" s="2044"/>
      <c r="N1967" s="1837"/>
      <c r="O1967" s="1837"/>
      <c r="P1967" s="1837"/>
      <c r="Q1967" s="1837"/>
      <c r="R1967" s="1837"/>
      <c r="S1967" s="1837"/>
      <c r="T1967" s="1837"/>
      <c r="U1967" s="1837"/>
      <c r="V1967" s="1837"/>
      <c r="W1967" s="1837"/>
      <c r="X1967" s="1837"/>
    </row>
    <row r="1968" spans="1:24" ht="24" customHeight="1">
      <c r="A1968" s="1933"/>
      <c r="B1968" s="2003" t="s">
        <v>645</v>
      </c>
      <c r="C1968" s="1895" t="s">
        <v>639</v>
      </c>
      <c r="D1968" s="1915"/>
      <c r="E1968" s="2062">
        <v>4</v>
      </c>
      <c r="F1968" s="1842" t="s">
        <v>240</v>
      </c>
      <c r="G1968" s="2046">
        <v>20950</v>
      </c>
      <c r="H1968" s="1854">
        <f t="shared" si="938"/>
        <v>83800</v>
      </c>
      <c r="I1968" s="2046">
        <v>3000</v>
      </c>
      <c r="J1968" s="1854">
        <f t="shared" si="939"/>
        <v>12000</v>
      </c>
      <c r="K1968" s="1857">
        <f t="shared" si="940"/>
        <v>95800</v>
      </c>
      <c r="L1968" s="2043"/>
      <c r="M1968" s="2044"/>
      <c r="N1968" s="1837"/>
      <c r="O1968" s="1837"/>
      <c r="P1968" s="1837"/>
      <c r="Q1968" s="1837"/>
      <c r="R1968" s="1837"/>
      <c r="S1968" s="1837"/>
      <c r="T1968" s="1837"/>
      <c r="U1968" s="1837"/>
      <c r="V1968" s="1837"/>
      <c r="W1968" s="1837"/>
      <c r="X1968" s="1837"/>
    </row>
    <row r="1969" spans="1:24" ht="24" customHeight="1">
      <c r="A1969" s="1933"/>
      <c r="B1969" s="2003" t="s">
        <v>646</v>
      </c>
      <c r="C1969" s="1895" t="s">
        <v>647</v>
      </c>
      <c r="D1969" s="1915"/>
      <c r="E1969" s="2062">
        <v>4</v>
      </c>
      <c r="F1969" s="1842" t="s">
        <v>240</v>
      </c>
      <c r="G1969" s="2046">
        <v>78210</v>
      </c>
      <c r="H1969" s="1854">
        <f t="shared" si="938"/>
        <v>312840</v>
      </c>
      <c r="I1969" s="2046">
        <v>4000</v>
      </c>
      <c r="J1969" s="1854">
        <f t="shared" si="939"/>
        <v>16000</v>
      </c>
      <c r="K1969" s="1857">
        <f t="shared" si="940"/>
        <v>328840</v>
      </c>
      <c r="L1969" s="2043"/>
      <c r="M1969" s="2044"/>
      <c r="N1969" s="1837"/>
      <c r="O1969" s="1837"/>
      <c r="P1969" s="1837"/>
      <c r="Q1969" s="1837"/>
      <c r="R1969" s="1837"/>
      <c r="S1969" s="1837"/>
      <c r="T1969" s="1837"/>
      <c r="U1969" s="1837"/>
      <c r="V1969" s="1837"/>
      <c r="W1969" s="1837"/>
      <c r="X1969" s="1837"/>
    </row>
    <row r="1970" spans="1:24" ht="24" customHeight="1">
      <c r="A1970" s="1933"/>
      <c r="B1970" s="2003" t="s">
        <v>648</v>
      </c>
      <c r="C1970" s="1895" t="s">
        <v>2820</v>
      </c>
      <c r="D1970" s="1915"/>
      <c r="E1970" s="2062">
        <v>0</v>
      </c>
      <c r="F1970" s="1842" t="s">
        <v>240</v>
      </c>
      <c r="G1970" s="2046">
        <v>34220</v>
      </c>
      <c r="H1970" s="1854">
        <f t="shared" si="938"/>
        <v>0</v>
      </c>
      <c r="I1970" s="2046">
        <v>4000</v>
      </c>
      <c r="J1970" s="1854">
        <f t="shared" si="939"/>
        <v>0</v>
      </c>
      <c r="K1970" s="1857">
        <f t="shared" si="940"/>
        <v>0</v>
      </c>
      <c r="L1970" s="2043"/>
      <c r="M1970" s="2044"/>
      <c r="N1970" s="1837"/>
      <c r="O1970" s="1837"/>
      <c r="P1970" s="1837"/>
      <c r="Q1970" s="1837"/>
      <c r="R1970" s="1837"/>
      <c r="S1970" s="1837"/>
      <c r="T1970" s="1837"/>
      <c r="U1970" s="1837"/>
      <c r="V1970" s="1837"/>
      <c r="W1970" s="1837"/>
      <c r="X1970" s="1837"/>
    </row>
    <row r="1971" spans="1:24" ht="24" customHeight="1">
      <c r="A1971" s="1933"/>
      <c r="B1971" s="2003" t="s">
        <v>649</v>
      </c>
      <c r="C1971" s="1895" t="s">
        <v>643</v>
      </c>
      <c r="D1971" s="1915"/>
      <c r="E1971" s="2062">
        <v>1</v>
      </c>
      <c r="F1971" s="1842" t="s">
        <v>240</v>
      </c>
      <c r="G1971" s="2046">
        <v>63520</v>
      </c>
      <c r="H1971" s="1854">
        <f t="shared" si="938"/>
        <v>63520</v>
      </c>
      <c r="I1971" s="2046">
        <v>4000</v>
      </c>
      <c r="J1971" s="1854">
        <f t="shared" si="939"/>
        <v>4000</v>
      </c>
      <c r="K1971" s="1857">
        <f t="shared" si="940"/>
        <v>67520</v>
      </c>
      <c r="L1971" s="2043"/>
      <c r="M1971" s="2044"/>
      <c r="N1971" s="1837"/>
      <c r="O1971" s="1837"/>
      <c r="P1971" s="1837"/>
      <c r="Q1971" s="1837"/>
      <c r="R1971" s="1837"/>
      <c r="S1971" s="1837"/>
      <c r="T1971" s="1837"/>
      <c r="U1971" s="1837"/>
      <c r="V1971" s="1837"/>
      <c r="W1971" s="1837"/>
      <c r="X1971" s="1837"/>
    </row>
    <row r="1972" spans="1:24" ht="24" customHeight="1">
      <c r="A1972" s="1933"/>
      <c r="B1972" s="2003" t="s">
        <v>650</v>
      </c>
      <c r="C1972" s="1895" t="s">
        <v>647</v>
      </c>
      <c r="D1972" s="1915"/>
      <c r="E1972" s="2062">
        <v>2</v>
      </c>
      <c r="F1972" s="1842" t="s">
        <v>240</v>
      </c>
      <c r="G1972" s="2046">
        <v>75710</v>
      </c>
      <c r="H1972" s="1854">
        <f t="shared" si="938"/>
        <v>151420</v>
      </c>
      <c r="I1972" s="2046">
        <v>4000</v>
      </c>
      <c r="J1972" s="1854">
        <f t="shared" si="939"/>
        <v>8000</v>
      </c>
      <c r="K1972" s="1857">
        <f t="shared" si="940"/>
        <v>159420</v>
      </c>
      <c r="L1972" s="2043"/>
      <c r="M1972" s="2044"/>
      <c r="N1972" s="1837"/>
      <c r="O1972" s="1837"/>
      <c r="P1972" s="1837"/>
      <c r="Q1972" s="1837"/>
      <c r="R1972" s="1837"/>
      <c r="S1972" s="1837"/>
      <c r="T1972" s="1837"/>
      <c r="U1972" s="1837"/>
      <c r="V1972" s="1837"/>
      <c r="W1972" s="1837"/>
      <c r="X1972" s="1837"/>
    </row>
    <row r="1973" spans="1:24" ht="24" customHeight="1">
      <c r="A1973" s="1933"/>
      <c r="B1973" s="2003" t="s">
        <v>651</v>
      </c>
      <c r="C1973" s="1895" t="s">
        <v>647</v>
      </c>
      <c r="D1973" s="1915"/>
      <c r="E1973" s="2062">
        <v>0</v>
      </c>
      <c r="F1973" s="1842" t="s">
        <v>240</v>
      </c>
      <c r="G1973" s="2046">
        <v>78210</v>
      </c>
      <c r="H1973" s="1854">
        <f t="shared" si="938"/>
        <v>0</v>
      </c>
      <c r="I1973" s="2046">
        <v>4000</v>
      </c>
      <c r="J1973" s="1854">
        <f t="shared" si="939"/>
        <v>0</v>
      </c>
      <c r="K1973" s="1857">
        <f t="shared" si="940"/>
        <v>0</v>
      </c>
      <c r="L1973" s="2043"/>
      <c r="M1973" s="2044"/>
      <c r="N1973" s="1837"/>
      <c r="O1973" s="1837"/>
      <c r="P1973" s="1837"/>
      <c r="Q1973" s="1837"/>
      <c r="R1973" s="1837"/>
      <c r="S1973" s="1837"/>
      <c r="T1973" s="1837"/>
      <c r="U1973" s="1837"/>
      <c r="V1973" s="1837"/>
      <c r="W1973" s="1837"/>
      <c r="X1973" s="1837"/>
    </row>
    <row r="1974" spans="1:24" ht="24" customHeight="1">
      <c r="A1974" s="1933"/>
      <c r="B1974" s="2003" t="s">
        <v>652</v>
      </c>
      <c r="C1974" s="1895" t="s">
        <v>647</v>
      </c>
      <c r="D1974" s="1915"/>
      <c r="E1974" s="2062">
        <v>2</v>
      </c>
      <c r="F1974" s="1842" t="s">
        <v>240</v>
      </c>
      <c r="G1974" s="2046">
        <v>49870</v>
      </c>
      <c r="H1974" s="1854">
        <f t="shared" si="938"/>
        <v>99740</v>
      </c>
      <c r="I1974" s="2046">
        <v>4000</v>
      </c>
      <c r="J1974" s="1854">
        <f t="shared" si="939"/>
        <v>8000</v>
      </c>
      <c r="K1974" s="1857">
        <f t="shared" si="940"/>
        <v>107740</v>
      </c>
      <c r="L1974" s="2043"/>
      <c r="M1974" s="2044"/>
      <c r="N1974" s="1837"/>
      <c r="O1974" s="1837"/>
      <c r="P1974" s="1837"/>
      <c r="Q1974" s="1837"/>
      <c r="R1974" s="1837"/>
      <c r="S1974" s="1837"/>
      <c r="T1974" s="1837"/>
      <c r="U1974" s="1837"/>
      <c r="V1974" s="1837"/>
      <c r="W1974" s="1837"/>
      <c r="X1974" s="1837"/>
    </row>
    <row r="1975" spans="1:24" ht="24" customHeight="1">
      <c r="A1975" s="1933"/>
      <c r="B1975" s="2003" t="s">
        <v>653</v>
      </c>
      <c r="C1975" s="1895" t="s">
        <v>639</v>
      </c>
      <c r="D1975" s="1915"/>
      <c r="E1975" s="2062">
        <v>0</v>
      </c>
      <c r="F1975" s="1842" t="s">
        <v>240</v>
      </c>
      <c r="G1975" s="2046">
        <v>27900</v>
      </c>
      <c r="H1975" s="1854">
        <f t="shared" si="938"/>
        <v>0</v>
      </c>
      <c r="I1975" s="2046">
        <v>4000</v>
      </c>
      <c r="J1975" s="1854">
        <f t="shared" si="939"/>
        <v>0</v>
      </c>
      <c r="K1975" s="1857">
        <f t="shared" si="940"/>
        <v>0</v>
      </c>
      <c r="L1975" s="2043"/>
      <c r="M1975" s="2044"/>
      <c r="N1975" s="1837"/>
      <c r="O1975" s="1837"/>
      <c r="P1975" s="1837"/>
      <c r="Q1975" s="1837"/>
      <c r="R1975" s="1837"/>
      <c r="S1975" s="1837"/>
      <c r="T1975" s="1837"/>
      <c r="U1975" s="1837"/>
      <c r="V1975" s="1837"/>
      <c r="W1975" s="1837"/>
      <c r="X1975" s="1837"/>
    </row>
    <row r="1976" spans="1:24" ht="24" customHeight="1">
      <c r="A1976" s="1782"/>
      <c r="B1976" s="2003"/>
      <c r="C1976" s="1895"/>
      <c r="D1976" s="1915"/>
      <c r="E1976" s="2062"/>
      <c r="F1976" s="1842"/>
      <c r="G1976" s="2046"/>
      <c r="H1976" s="1854"/>
      <c r="I1976" s="2048"/>
      <c r="J1976" s="1854"/>
      <c r="K1976" s="1857"/>
      <c r="L1976" s="2049"/>
      <c r="M1976" s="2044"/>
      <c r="N1976" s="1837"/>
      <c r="O1976" s="1837"/>
      <c r="P1976" s="1837"/>
      <c r="Q1976" s="1837"/>
      <c r="R1976" s="1837"/>
      <c r="S1976" s="1837"/>
      <c r="T1976" s="1837"/>
      <c r="U1976" s="1837"/>
      <c r="V1976" s="1837"/>
      <c r="W1976" s="1837"/>
      <c r="X1976" s="1837"/>
    </row>
    <row r="1977" spans="1:24" ht="24" customHeight="1">
      <c r="A1977" s="1933"/>
      <c r="B1977" s="2003" t="s">
        <v>654</v>
      </c>
      <c r="C1977" s="1895" t="s">
        <v>655</v>
      </c>
      <c r="D1977" s="1915"/>
      <c r="E1977" s="2062">
        <v>2</v>
      </c>
      <c r="F1977" s="1842" t="s">
        <v>240</v>
      </c>
      <c r="G1977" s="2046">
        <v>24170</v>
      </c>
      <c r="H1977" s="1854">
        <f>E1977*G1977</f>
        <v>48340</v>
      </c>
      <c r="I1977" s="2046">
        <v>4000</v>
      </c>
      <c r="J1977" s="1854">
        <f>E1977*I1977</f>
        <v>8000</v>
      </c>
      <c r="K1977" s="1857">
        <f>H1977+J1977</f>
        <v>56340</v>
      </c>
      <c r="L1977" s="2043"/>
      <c r="M1977" s="2044"/>
      <c r="N1977" s="1837"/>
      <c r="O1977" s="1837"/>
      <c r="P1977" s="1837"/>
      <c r="Q1977" s="1837"/>
      <c r="R1977" s="1837"/>
      <c r="S1977" s="1837"/>
      <c r="T1977" s="1837"/>
      <c r="U1977" s="1837"/>
      <c r="V1977" s="1837"/>
      <c r="W1977" s="1837"/>
      <c r="X1977" s="1837"/>
    </row>
    <row r="1978" spans="1:24" ht="24" customHeight="1">
      <c r="A1978" s="1933"/>
      <c r="B1978" s="2003" t="s">
        <v>656</v>
      </c>
      <c r="C1978" s="1895" t="s">
        <v>655</v>
      </c>
      <c r="D1978" s="1915"/>
      <c r="E1978" s="2062">
        <v>3</v>
      </c>
      <c r="F1978" s="1842" t="s">
        <v>240</v>
      </c>
      <c r="G1978" s="2046">
        <v>38620</v>
      </c>
      <c r="H1978" s="1854">
        <f t="shared" ref="H1978:H1982" si="941">E1978*G1978</f>
        <v>115860</v>
      </c>
      <c r="I1978" s="2046">
        <v>4000</v>
      </c>
      <c r="J1978" s="1854">
        <f t="shared" ref="J1978:J1982" si="942">E1978*I1978</f>
        <v>12000</v>
      </c>
      <c r="K1978" s="1857">
        <f t="shared" ref="K1978:K1982" si="943">H1978+J1978</f>
        <v>127860</v>
      </c>
      <c r="L1978" s="2043"/>
      <c r="M1978" s="2044"/>
      <c r="N1978" s="1837"/>
      <c r="O1978" s="1837"/>
      <c r="P1978" s="1837"/>
      <c r="Q1978" s="1837"/>
      <c r="R1978" s="1837"/>
      <c r="S1978" s="1837"/>
      <c r="T1978" s="1837"/>
      <c r="U1978" s="1837"/>
      <c r="V1978" s="1837"/>
      <c r="W1978" s="1837"/>
      <c r="X1978" s="1837"/>
    </row>
    <row r="1979" spans="1:24" ht="24" customHeight="1">
      <c r="A1979" s="1933"/>
      <c r="B1979" s="2003" t="s">
        <v>657</v>
      </c>
      <c r="C1979" s="1895" t="s">
        <v>658</v>
      </c>
      <c r="D1979" s="1915"/>
      <c r="E1979" s="2062">
        <v>2</v>
      </c>
      <c r="F1979" s="1842" t="s">
        <v>240</v>
      </c>
      <c r="G1979" s="2046">
        <v>17400</v>
      </c>
      <c r="H1979" s="1854">
        <f t="shared" si="941"/>
        <v>34800</v>
      </c>
      <c r="I1979" s="2046">
        <v>3000</v>
      </c>
      <c r="J1979" s="1854">
        <f t="shared" si="942"/>
        <v>6000</v>
      </c>
      <c r="K1979" s="1857">
        <f t="shared" si="943"/>
        <v>40800</v>
      </c>
      <c r="L1979" s="2043"/>
      <c r="M1979" s="2044"/>
      <c r="N1979" s="1837"/>
      <c r="O1979" s="1837"/>
      <c r="P1979" s="1837"/>
      <c r="Q1979" s="1837"/>
      <c r="R1979" s="1837"/>
      <c r="S1979" s="1837"/>
      <c r="T1979" s="1837"/>
      <c r="U1979" s="1837"/>
      <c r="V1979" s="1837"/>
      <c r="W1979" s="1837"/>
      <c r="X1979" s="1837"/>
    </row>
    <row r="1980" spans="1:24" ht="24" customHeight="1">
      <c r="A1980" s="1933"/>
      <c r="B1980" s="2310" t="s">
        <v>659</v>
      </c>
      <c r="C1980" s="2311" t="s">
        <v>660</v>
      </c>
      <c r="D1980" s="2312"/>
      <c r="E1980" s="2313">
        <v>4</v>
      </c>
      <c r="F1980" s="2314" t="s">
        <v>240</v>
      </c>
      <c r="G1980" s="2315">
        <v>19450</v>
      </c>
      <c r="H1980" s="2316">
        <f t="shared" si="941"/>
        <v>77800</v>
      </c>
      <c r="I1980" s="2315">
        <v>3000</v>
      </c>
      <c r="J1980" s="2316">
        <f t="shared" si="942"/>
        <v>12000</v>
      </c>
      <c r="K1980" s="2317">
        <f t="shared" si="943"/>
        <v>89800</v>
      </c>
      <c r="L1980" s="2043"/>
      <c r="M1980" s="2044"/>
      <c r="N1980" s="1837"/>
      <c r="O1980" s="1837"/>
      <c r="P1980" s="1837"/>
      <c r="Q1980" s="1837"/>
      <c r="R1980" s="1837"/>
      <c r="S1980" s="1837"/>
      <c r="T1980" s="1837"/>
      <c r="U1980" s="1837"/>
      <c r="V1980" s="1837"/>
      <c r="W1980" s="1837"/>
      <c r="X1980" s="1837"/>
    </row>
    <row r="1981" spans="1:24" ht="24" customHeight="1">
      <c r="A1981" s="1933"/>
      <c r="B1981" s="2003" t="s">
        <v>661</v>
      </c>
      <c r="C1981" s="1895" t="s">
        <v>662</v>
      </c>
      <c r="D1981" s="1915"/>
      <c r="E1981" s="2062">
        <v>2</v>
      </c>
      <c r="F1981" s="1842" t="s">
        <v>240</v>
      </c>
      <c r="G1981" s="2046">
        <v>40120</v>
      </c>
      <c r="H1981" s="1854">
        <f t="shared" si="941"/>
        <v>80240</v>
      </c>
      <c r="I1981" s="2046">
        <v>4000</v>
      </c>
      <c r="J1981" s="1854">
        <f t="shared" si="942"/>
        <v>8000</v>
      </c>
      <c r="K1981" s="1857">
        <f t="shared" si="943"/>
        <v>88240</v>
      </c>
      <c r="L1981" s="2043"/>
      <c r="M1981" s="2044"/>
      <c r="N1981" s="1837"/>
      <c r="O1981" s="1837"/>
      <c r="P1981" s="1837"/>
      <c r="Q1981" s="1837"/>
      <c r="R1981" s="1837"/>
      <c r="S1981" s="1837"/>
      <c r="T1981" s="1837"/>
      <c r="U1981" s="1837"/>
      <c r="V1981" s="1837"/>
      <c r="W1981" s="1837"/>
      <c r="X1981" s="1837"/>
    </row>
    <row r="1982" spans="1:24" ht="24" customHeight="1">
      <c r="A1982" s="1933"/>
      <c r="B1982" s="2003" t="s">
        <v>663</v>
      </c>
      <c r="C1982" s="1895" t="s">
        <v>662</v>
      </c>
      <c r="D1982" s="1915"/>
      <c r="E1982" s="2062">
        <v>0</v>
      </c>
      <c r="F1982" s="1842" t="s">
        <v>240</v>
      </c>
      <c r="G1982" s="2046">
        <v>57600</v>
      </c>
      <c r="H1982" s="1854">
        <f t="shared" si="941"/>
        <v>0</v>
      </c>
      <c r="I1982" s="2046">
        <v>4000</v>
      </c>
      <c r="J1982" s="1854">
        <f t="shared" si="942"/>
        <v>0</v>
      </c>
      <c r="K1982" s="1857">
        <f t="shared" si="943"/>
        <v>0</v>
      </c>
      <c r="L1982" s="2043"/>
      <c r="M1982" s="2044"/>
      <c r="N1982" s="1837"/>
      <c r="O1982" s="1837"/>
      <c r="P1982" s="1837"/>
      <c r="Q1982" s="1837"/>
      <c r="R1982" s="1837"/>
      <c r="S1982" s="1837"/>
      <c r="T1982" s="1837"/>
      <c r="U1982" s="1837"/>
      <c r="V1982" s="1837"/>
      <c r="W1982" s="1837"/>
      <c r="X1982" s="1837"/>
    </row>
    <row r="1983" spans="1:24" ht="24" customHeight="1">
      <c r="A1983" s="1933"/>
      <c r="B1983" s="2003"/>
      <c r="C1983" s="1895"/>
      <c r="D1983" s="1915"/>
      <c r="E1983" s="2062"/>
      <c r="F1983" s="1842"/>
      <c r="G1983" s="2046"/>
      <c r="H1983" s="1854"/>
      <c r="I1983" s="2048"/>
      <c r="J1983" s="1854"/>
      <c r="K1983" s="1857"/>
      <c r="L1983" s="2043"/>
      <c r="M1983" s="2044"/>
      <c r="N1983" s="1837"/>
      <c r="O1983" s="1837"/>
      <c r="P1983" s="1837"/>
      <c r="Q1983" s="1837"/>
      <c r="R1983" s="1837"/>
      <c r="S1983" s="1837"/>
      <c r="T1983" s="1837"/>
      <c r="U1983" s="1837"/>
      <c r="V1983" s="1837"/>
      <c r="W1983" s="1837"/>
      <c r="X1983" s="1837"/>
    </row>
    <row r="1984" spans="1:24" ht="24" customHeight="1">
      <c r="A1984" s="1933"/>
      <c r="B1984" s="2003" t="s">
        <v>664</v>
      </c>
      <c r="C1984" s="1895" t="s">
        <v>665</v>
      </c>
      <c r="D1984" s="1915"/>
      <c r="E1984" s="2062">
        <v>0</v>
      </c>
      <c r="F1984" s="1842" t="s">
        <v>240</v>
      </c>
      <c r="G1984" s="2046">
        <v>18500</v>
      </c>
      <c r="H1984" s="1854">
        <f t="shared" ref="H1984" si="944">E1984*G1984</f>
        <v>0</v>
      </c>
      <c r="I1984" s="2046">
        <v>1200</v>
      </c>
      <c r="J1984" s="1854">
        <f t="shared" ref="J1984" si="945">E1984*I1984</f>
        <v>0</v>
      </c>
      <c r="K1984" s="1857">
        <f t="shared" ref="K1984" si="946">H1984+J1984</f>
        <v>0</v>
      </c>
      <c r="L1984" s="2043"/>
      <c r="M1984" s="2044"/>
      <c r="N1984" s="1837"/>
      <c r="O1984" s="1837"/>
      <c r="P1984" s="1837"/>
      <c r="Q1984" s="1837"/>
      <c r="R1984" s="1837"/>
      <c r="S1984" s="1837"/>
      <c r="T1984" s="1837"/>
      <c r="U1984" s="1837"/>
      <c r="V1984" s="1837"/>
      <c r="W1984" s="1837"/>
      <c r="X1984" s="1837"/>
    </row>
    <row r="1985" spans="1:24" ht="24" customHeight="1">
      <c r="A1985" s="1933"/>
      <c r="B1985" s="2003"/>
      <c r="C1985" s="1895"/>
      <c r="D1985" s="1915"/>
      <c r="E1985" s="2062"/>
      <c r="F1985" s="1842"/>
      <c r="G1985" s="2046"/>
      <c r="H1985" s="1854"/>
      <c r="I1985" s="2046"/>
      <c r="J1985" s="1854"/>
      <c r="K1985" s="1857"/>
      <c r="L1985" s="2043"/>
      <c r="M1985" s="2044"/>
      <c r="N1985" s="1837"/>
      <c r="O1985" s="1837"/>
      <c r="P1985" s="1837"/>
      <c r="Q1985" s="1837"/>
      <c r="R1985" s="1837"/>
      <c r="S1985" s="1837"/>
      <c r="T1985" s="1837"/>
      <c r="U1985" s="1837"/>
      <c r="V1985" s="1837"/>
      <c r="W1985" s="1837"/>
      <c r="X1985" s="1837"/>
    </row>
    <row r="1986" spans="1:24" ht="24" customHeight="1">
      <c r="A1986" s="1933"/>
      <c r="B1986" s="2003" t="s">
        <v>666</v>
      </c>
      <c r="C1986" s="1895" t="s">
        <v>667</v>
      </c>
      <c r="D1986" s="1915"/>
      <c r="E1986" s="2062">
        <v>0</v>
      </c>
      <c r="F1986" s="1842" t="s">
        <v>240</v>
      </c>
      <c r="G1986" s="2046">
        <v>127500</v>
      </c>
      <c r="H1986" s="1854">
        <f t="shared" ref="H1986:H1995" si="947">E1986*G1986</f>
        <v>0</v>
      </c>
      <c r="I1986" s="2046">
        <v>18750</v>
      </c>
      <c r="J1986" s="1854">
        <f t="shared" ref="J1986:J1995" si="948">E1986*I1986</f>
        <v>0</v>
      </c>
      <c r="K1986" s="1857">
        <f t="shared" ref="K1986:K1995" si="949">H1986+J1986</f>
        <v>0</v>
      </c>
      <c r="L1986" s="1910"/>
      <c r="M1986" s="2047"/>
      <c r="N1986" s="1837"/>
      <c r="O1986" s="1837"/>
      <c r="P1986" s="1837"/>
      <c r="Q1986" s="1837"/>
      <c r="R1986" s="1837"/>
      <c r="S1986" s="1837"/>
      <c r="T1986" s="1837"/>
      <c r="U1986" s="1837"/>
      <c r="V1986" s="1837"/>
      <c r="W1986" s="1837"/>
      <c r="X1986" s="1837"/>
    </row>
    <row r="1987" spans="1:24" ht="24" customHeight="1">
      <c r="A1987" s="1933"/>
      <c r="B1987" s="2003" t="s">
        <v>668</v>
      </c>
      <c r="C1987" s="1895" t="s">
        <v>669</v>
      </c>
      <c r="D1987" s="1915"/>
      <c r="E1987" s="2062">
        <v>1</v>
      </c>
      <c r="F1987" s="1842" t="s">
        <v>240</v>
      </c>
      <c r="G1987" s="2046">
        <v>197200</v>
      </c>
      <c r="H1987" s="1854">
        <f t="shared" si="947"/>
        <v>197200</v>
      </c>
      <c r="I1987" s="2046">
        <v>29000</v>
      </c>
      <c r="J1987" s="1854">
        <f t="shared" si="948"/>
        <v>29000</v>
      </c>
      <c r="K1987" s="1857">
        <f t="shared" si="949"/>
        <v>226200</v>
      </c>
      <c r="L1987" s="1910"/>
      <c r="M1987" s="2047"/>
      <c r="N1987" s="1837"/>
      <c r="O1987" s="1837"/>
      <c r="P1987" s="1837"/>
      <c r="Q1987" s="1837"/>
      <c r="R1987" s="1837"/>
      <c r="S1987" s="1837"/>
      <c r="T1987" s="1837"/>
      <c r="U1987" s="1837"/>
      <c r="V1987" s="1837"/>
      <c r="W1987" s="1837"/>
      <c r="X1987" s="1837"/>
    </row>
    <row r="1988" spans="1:24" ht="24" customHeight="1">
      <c r="A1988" s="1933"/>
      <c r="B1988" s="2003" t="s">
        <v>670</v>
      </c>
      <c r="C1988" s="1895" t="s">
        <v>671</v>
      </c>
      <c r="D1988" s="1915"/>
      <c r="E1988" s="2062">
        <v>0</v>
      </c>
      <c r="F1988" s="1842" t="s">
        <v>240</v>
      </c>
      <c r="G1988" s="2046">
        <v>187000</v>
      </c>
      <c r="H1988" s="1854">
        <f t="shared" si="947"/>
        <v>0</v>
      </c>
      <c r="I1988" s="2046">
        <v>27500</v>
      </c>
      <c r="J1988" s="1854">
        <f t="shared" si="948"/>
        <v>0</v>
      </c>
      <c r="K1988" s="1857">
        <f t="shared" si="949"/>
        <v>0</v>
      </c>
      <c r="L1988" s="1910"/>
      <c r="M1988" s="2047"/>
      <c r="N1988" s="1837"/>
      <c r="O1988" s="1837"/>
      <c r="P1988" s="1837"/>
      <c r="Q1988" s="1837"/>
      <c r="R1988" s="1837"/>
      <c r="S1988" s="1837"/>
      <c r="T1988" s="1837"/>
      <c r="U1988" s="1837"/>
      <c r="V1988" s="1837"/>
      <c r="W1988" s="1837"/>
      <c r="X1988" s="1837"/>
    </row>
    <row r="1989" spans="1:24" ht="24" customHeight="1">
      <c r="A1989" s="1933"/>
      <c r="B1989" s="2003" t="s">
        <v>672</v>
      </c>
      <c r="C1989" s="1895" t="s">
        <v>673</v>
      </c>
      <c r="D1989" s="1915"/>
      <c r="E1989" s="2062">
        <v>0</v>
      </c>
      <c r="F1989" s="1842" t="s">
        <v>240</v>
      </c>
      <c r="G1989" s="2046">
        <v>476000</v>
      </c>
      <c r="H1989" s="1854">
        <f t="shared" si="947"/>
        <v>0</v>
      </c>
      <c r="I1989" s="2046">
        <v>70000</v>
      </c>
      <c r="J1989" s="1854">
        <f t="shared" si="948"/>
        <v>0</v>
      </c>
      <c r="K1989" s="1857">
        <f t="shared" si="949"/>
        <v>0</v>
      </c>
      <c r="L1989" s="1910"/>
      <c r="M1989" s="2047"/>
      <c r="N1989" s="1837"/>
      <c r="O1989" s="1837"/>
      <c r="P1989" s="1837"/>
      <c r="Q1989" s="1837"/>
      <c r="R1989" s="1837"/>
      <c r="S1989" s="1837"/>
      <c r="T1989" s="1837"/>
      <c r="U1989" s="1837"/>
      <c r="V1989" s="1837"/>
      <c r="W1989" s="1837"/>
      <c r="X1989" s="1837"/>
    </row>
    <row r="1990" spans="1:24" ht="24" customHeight="1">
      <c r="A1990" s="1933"/>
      <c r="B1990" s="2003" t="s">
        <v>674</v>
      </c>
      <c r="C1990" s="1895" t="s">
        <v>675</v>
      </c>
      <c r="D1990" s="1915"/>
      <c r="E1990" s="2062">
        <v>0</v>
      </c>
      <c r="F1990" s="1842" t="s">
        <v>240</v>
      </c>
      <c r="G1990" s="2046">
        <v>305660</v>
      </c>
      <c r="H1990" s="1854">
        <f t="shared" si="947"/>
        <v>0</v>
      </c>
      <c r="I1990" s="2046">
        <v>44950</v>
      </c>
      <c r="J1990" s="1854">
        <f t="shared" si="948"/>
        <v>0</v>
      </c>
      <c r="K1990" s="1857">
        <f t="shared" si="949"/>
        <v>0</v>
      </c>
      <c r="L1990" s="1910"/>
      <c r="M1990" s="2047"/>
      <c r="N1990" s="1837"/>
      <c r="O1990" s="1837"/>
      <c r="P1990" s="1837"/>
      <c r="Q1990" s="1837"/>
      <c r="R1990" s="1837"/>
      <c r="S1990" s="1837"/>
      <c r="T1990" s="1837"/>
      <c r="U1990" s="1837"/>
      <c r="V1990" s="1837"/>
      <c r="W1990" s="1837"/>
      <c r="X1990" s="1837"/>
    </row>
    <row r="1991" spans="1:24" ht="24" customHeight="1">
      <c r="A1991" s="1933"/>
      <c r="B1991" s="2003" t="s">
        <v>676</v>
      </c>
      <c r="C1991" s="1895" t="s">
        <v>677</v>
      </c>
      <c r="D1991" s="1915"/>
      <c r="E1991" s="2062">
        <v>0</v>
      </c>
      <c r="F1991" s="1842" t="s">
        <v>240</v>
      </c>
      <c r="G1991" s="2046">
        <v>350030</v>
      </c>
      <c r="H1991" s="1854">
        <f t="shared" si="947"/>
        <v>0</v>
      </c>
      <c r="I1991" s="2046">
        <v>51475</v>
      </c>
      <c r="J1991" s="1854">
        <f t="shared" si="948"/>
        <v>0</v>
      </c>
      <c r="K1991" s="1857">
        <f t="shared" si="949"/>
        <v>0</v>
      </c>
      <c r="L1991" s="1910"/>
      <c r="M1991" s="2047"/>
      <c r="N1991" s="1837"/>
      <c r="O1991" s="1837"/>
      <c r="P1991" s="1837"/>
      <c r="Q1991" s="1837"/>
      <c r="R1991" s="1837"/>
      <c r="S1991" s="1837"/>
      <c r="T1991" s="1837"/>
      <c r="U1991" s="1837"/>
      <c r="V1991" s="1837"/>
      <c r="W1991" s="1837"/>
      <c r="X1991" s="1837"/>
    </row>
    <row r="1992" spans="1:24" ht="24" customHeight="1">
      <c r="A1992" s="1933"/>
      <c r="B1992" s="2003" t="s">
        <v>678</v>
      </c>
      <c r="C1992" s="1895" t="s">
        <v>679</v>
      </c>
      <c r="D1992" s="1915"/>
      <c r="E1992" s="2062">
        <v>0</v>
      </c>
      <c r="F1992" s="1842" t="s">
        <v>240</v>
      </c>
      <c r="G1992" s="2046">
        <v>448800</v>
      </c>
      <c r="H1992" s="1854">
        <f t="shared" si="947"/>
        <v>0</v>
      </c>
      <c r="I1992" s="2046">
        <v>66000</v>
      </c>
      <c r="J1992" s="1854">
        <f t="shared" si="948"/>
        <v>0</v>
      </c>
      <c r="K1992" s="1857">
        <f t="shared" si="949"/>
        <v>0</v>
      </c>
      <c r="L1992" s="1910"/>
      <c r="M1992" s="2047"/>
      <c r="N1992" s="1837"/>
      <c r="O1992" s="1837"/>
      <c r="P1992" s="1837"/>
      <c r="Q1992" s="1837"/>
      <c r="R1992" s="1837"/>
      <c r="S1992" s="1837"/>
      <c r="T1992" s="1837"/>
      <c r="U1992" s="1837"/>
      <c r="V1992" s="1837"/>
      <c r="W1992" s="1837"/>
      <c r="X1992" s="1837"/>
    </row>
    <row r="1993" spans="1:24" ht="24" customHeight="1">
      <c r="A1993" s="1933"/>
      <c r="B1993" s="2003" t="s">
        <v>680</v>
      </c>
      <c r="C1993" s="1895" t="s">
        <v>681</v>
      </c>
      <c r="D1993" s="1915"/>
      <c r="E1993" s="2062">
        <v>0</v>
      </c>
      <c r="F1993" s="1842" t="s">
        <v>240</v>
      </c>
      <c r="G1993" s="2046">
        <v>639200</v>
      </c>
      <c r="H1993" s="1854">
        <f t="shared" si="947"/>
        <v>0</v>
      </c>
      <c r="I1993" s="2046">
        <v>94000</v>
      </c>
      <c r="J1993" s="1854">
        <f t="shared" si="948"/>
        <v>0</v>
      </c>
      <c r="K1993" s="1857">
        <f t="shared" si="949"/>
        <v>0</v>
      </c>
      <c r="L1993" s="1910"/>
      <c r="M1993" s="2047"/>
      <c r="N1993" s="1837"/>
      <c r="O1993" s="1837"/>
      <c r="P1993" s="1837"/>
      <c r="Q1993" s="1837"/>
      <c r="R1993" s="1837"/>
      <c r="S1993" s="1837"/>
      <c r="T1993" s="1837"/>
      <c r="U1993" s="1837"/>
      <c r="V1993" s="1837"/>
      <c r="W1993" s="1837"/>
      <c r="X1993" s="1837"/>
    </row>
    <row r="1994" spans="1:24" ht="24" customHeight="1">
      <c r="A1994" s="1933"/>
      <c r="B1994" s="2003" t="s">
        <v>682</v>
      </c>
      <c r="C1994" s="1895" t="s">
        <v>669</v>
      </c>
      <c r="D1994" s="1915"/>
      <c r="E1994" s="2062">
        <v>0</v>
      </c>
      <c r="F1994" s="1842" t="s">
        <v>240</v>
      </c>
      <c r="G1994" s="2046">
        <v>197200</v>
      </c>
      <c r="H1994" s="1854">
        <f t="shared" si="947"/>
        <v>0</v>
      </c>
      <c r="I1994" s="2046">
        <v>29000</v>
      </c>
      <c r="J1994" s="1854">
        <f t="shared" si="948"/>
        <v>0</v>
      </c>
      <c r="K1994" s="1857">
        <f t="shared" si="949"/>
        <v>0</v>
      </c>
      <c r="L1994" s="1910"/>
      <c r="M1994" s="2047"/>
      <c r="N1994" s="1837"/>
      <c r="O1994" s="1837"/>
      <c r="P1994" s="1837"/>
      <c r="Q1994" s="1837"/>
      <c r="R1994" s="1837"/>
      <c r="S1994" s="1837"/>
      <c r="T1994" s="1837"/>
      <c r="U1994" s="1837"/>
      <c r="V1994" s="1837"/>
      <c r="W1994" s="1837"/>
      <c r="X1994" s="1837"/>
    </row>
    <row r="1995" spans="1:24" ht="24" customHeight="1">
      <c r="A1995" s="1933"/>
      <c r="B1995" s="2003" t="s">
        <v>683</v>
      </c>
      <c r="C1995" s="1895" t="s">
        <v>684</v>
      </c>
      <c r="D1995" s="1915"/>
      <c r="E1995" s="2062">
        <v>0</v>
      </c>
      <c r="F1995" s="1842" t="s">
        <v>240</v>
      </c>
      <c r="G1995" s="2046">
        <v>163200</v>
      </c>
      <c r="H1995" s="1854">
        <f t="shared" si="947"/>
        <v>0</v>
      </c>
      <c r="I1995" s="2046">
        <v>24000</v>
      </c>
      <c r="J1995" s="1854">
        <f t="shared" si="948"/>
        <v>0</v>
      </c>
      <c r="K1995" s="1857">
        <f t="shared" si="949"/>
        <v>0</v>
      </c>
      <c r="L1995" s="2043"/>
      <c r="M1995" s="2044"/>
      <c r="N1995" s="1837"/>
      <c r="O1995" s="1837"/>
      <c r="P1995" s="1837"/>
      <c r="Q1995" s="1837"/>
      <c r="R1995" s="1837"/>
      <c r="S1995" s="1837"/>
      <c r="T1995" s="1837"/>
      <c r="U1995" s="1837"/>
      <c r="V1995" s="1837"/>
      <c r="W1995" s="1837"/>
      <c r="X1995" s="1837"/>
    </row>
    <row r="1996" spans="1:24" ht="24" customHeight="1">
      <c r="A1996" s="1933"/>
      <c r="B1996" s="2003"/>
      <c r="C1996" s="1895"/>
      <c r="D1996" s="1915"/>
      <c r="E1996" s="2062"/>
      <c r="F1996" s="1842"/>
      <c r="G1996" s="2050"/>
      <c r="H1996" s="1911"/>
      <c r="I1996" s="2050"/>
      <c r="J1996" s="1913"/>
      <c r="K1996" s="2051"/>
      <c r="L1996" s="2043"/>
      <c r="M1996" s="2044"/>
      <c r="N1996" s="1837"/>
      <c r="O1996" s="1837"/>
      <c r="P1996" s="1837"/>
      <c r="Q1996" s="1837"/>
      <c r="R1996" s="1837"/>
      <c r="S1996" s="1837"/>
      <c r="T1996" s="1837"/>
      <c r="U1996" s="1837"/>
      <c r="V1996" s="1837"/>
      <c r="W1996" s="1837"/>
      <c r="X1996" s="1837"/>
    </row>
    <row r="1997" spans="1:24" ht="24" customHeight="1">
      <c r="A1997" s="1933"/>
      <c r="B1997" s="2003" t="s">
        <v>685</v>
      </c>
      <c r="C1997" s="1895" t="s">
        <v>686</v>
      </c>
      <c r="D1997" s="1915"/>
      <c r="E1997" s="2062">
        <v>4</v>
      </c>
      <c r="F1997" s="1842" t="s">
        <v>240</v>
      </c>
      <c r="G1997" s="2046">
        <v>119580</v>
      </c>
      <c r="H1997" s="1854">
        <f t="shared" ref="H1997:H2010" si="950">E1997*G1997</f>
        <v>478320</v>
      </c>
      <c r="I1997" s="2046">
        <v>0</v>
      </c>
      <c r="J1997" s="1854">
        <f t="shared" ref="J1997:J2010" si="951">E1997*I1997</f>
        <v>0</v>
      </c>
      <c r="K1997" s="1857">
        <f t="shared" ref="K1997:K2010" si="952">H1997+J1997</f>
        <v>478320</v>
      </c>
      <c r="L1997" s="1910" t="s">
        <v>2887</v>
      </c>
      <c r="M1997" s="2047"/>
      <c r="N1997" s="1837"/>
      <c r="O1997" s="2024"/>
      <c r="P1997" s="1836"/>
      <c r="Q1997" s="1836"/>
      <c r="R1997" s="1837"/>
      <c r="S1997" s="1837"/>
      <c r="T1997" s="1837"/>
      <c r="U1997" s="1837"/>
      <c r="V1997" s="1837"/>
      <c r="W1997" s="1837"/>
      <c r="X1997" s="1837"/>
    </row>
    <row r="1998" spans="1:24" ht="24" customHeight="1">
      <c r="A1998" s="1933"/>
      <c r="B1998" s="2003" t="s">
        <v>687</v>
      </c>
      <c r="C1998" s="1895" t="s">
        <v>686</v>
      </c>
      <c r="D1998" s="1915"/>
      <c r="E1998" s="2062">
        <v>0</v>
      </c>
      <c r="F1998" s="1842" t="s">
        <v>240</v>
      </c>
      <c r="G1998" s="2046">
        <v>207000</v>
      </c>
      <c r="H1998" s="1854">
        <f t="shared" si="950"/>
        <v>0</v>
      </c>
      <c r="I1998" s="2046">
        <v>0</v>
      </c>
      <c r="J1998" s="1854">
        <f t="shared" si="951"/>
        <v>0</v>
      </c>
      <c r="K1998" s="1857">
        <f t="shared" si="952"/>
        <v>0</v>
      </c>
      <c r="L1998" s="1910" t="s">
        <v>2887</v>
      </c>
      <c r="M1998" s="2047"/>
      <c r="N1998" s="1837"/>
      <c r="O1998" s="2024"/>
      <c r="P1998" s="1836"/>
      <c r="Q1998" s="1836"/>
      <c r="R1998" s="1837"/>
      <c r="S1998" s="1837"/>
      <c r="T1998" s="1837"/>
      <c r="U1998" s="1837"/>
      <c r="V1998" s="1837"/>
      <c r="W1998" s="1837"/>
      <c r="X1998" s="1837"/>
    </row>
    <row r="1999" spans="1:24" ht="24" customHeight="1">
      <c r="A1999" s="1933"/>
      <c r="B1999" s="2003" t="s">
        <v>688</v>
      </c>
      <c r="C1999" s="1895" t="s">
        <v>686</v>
      </c>
      <c r="D1999" s="1915"/>
      <c r="E1999" s="2062">
        <v>0</v>
      </c>
      <c r="F1999" s="1842" t="s">
        <v>240</v>
      </c>
      <c r="G1999" s="2046">
        <v>267600</v>
      </c>
      <c r="H1999" s="1854">
        <f t="shared" si="950"/>
        <v>0</v>
      </c>
      <c r="I1999" s="2046">
        <v>0</v>
      </c>
      <c r="J1999" s="1854">
        <f t="shared" si="951"/>
        <v>0</v>
      </c>
      <c r="K1999" s="1857">
        <f t="shared" si="952"/>
        <v>0</v>
      </c>
      <c r="L1999" s="1910" t="s">
        <v>2887</v>
      </c>
      <c r="M1999" s="2047"/>
      <c r="N1999" s="1837"/>
      <c r="O1999" s="2024"/>
      <c r="P1999" s="1836"/>
      <c r="Q1999" s="1836"/>
      <c r="R1999" s="1837"/>
      <c r="S1999" s="1837"/>
      <c r="T1999" s="1837"/>
      <c r="U1999" s="1837"/>
      <c r="V1999" s="1837"/>
      <c r="W1999" s="1837"/>
      <c r="X1999" s="1837"/>
    </row>
    <row r="2000" spans="1:24" ht="24" customHeight="1">
      <c r="A2000" s="1933"/>
      <c r="B2000" s="2003" t="s">
        <v>689</v>
      </c>
      <c r="C2000" s="1895" t="s">
        <v>686</v>
      </c>
      <c r="D2000" s="1915"/>
      <c r="E2000" s="2062">
        <v>0</v>
      </c>
      <c r="F2000" s="1842" t="s">
        <v>240</v>
      </c>
      <c r="G2000" s="2046">
        <v>285430</v>
      </c>
      <c r="H2000" s="1854">
        <f t="shared" si="950"/>
        <v>0</v>
      </c>
      <c r="I2000" s="2046">
        <v>0</v>
      </c>
      <c r="J2000" s="1854">
        <f t="shared" si="951"/>
        <v>0</v>
      </c>
      <c r="K2000" s="1857">
        <f t="shared" si="952"/>
        <v>0</v>
      </c>
      <c r="L2000" s="1910" t="s">
        <v>2887</v>
      </c>
      <c r="M2000" s="2047"/>
      <c r="N2000" s="1837"/>
      <c r="O2000" s="2024"/>
      <c r="P2000" s="1836"/>
      <c r="Q2000" s="1836"/>
      <c r="R2000" s="1837"/>
      <c r="S2000" s="1837"/>
      <c r="T2000" s="1837"/>
      <c r="U2000" s="1837"/>
      <c r="V2000" s="1837"/>
      <c r="W2000" s="1837"/>
      <c r="X2000" s="1837"/>
    </row>
    <row r="2001" spans="1:24" ht="24" customHeight="1">
      <c r="A2001" s="1933"/>
      <c r="B2001" s="2003" t="s">
        <v>690</v>
      </c>
      <c r="C2001" s="1895" t="s">
        <v>686</v>
      </c>
      <c r="D2001" s="1915"/>
      <c r="E2001" s="2062">
        <v>2</v>
      </c>
      <c r="F2001" s="1842" t="s">
        <v>240</v>
      </c>
      <c r="G2001" s="2046">
        <v>440100</v>
      </c>
      <c r="H2001" s="1854">
        <f t="shared" si="950"/>
        <v>880200</v>
      </c>
      <c r="I2001" s="2046">
        <v>0</v>
      </c>
      <c r="J2001" s="1854">
        <f t="shared" si="951"/>
        <v>0</v>
      </c>
      <c r="K2001" s="1857">
        <f t="shared" si="952"/>
        <v>880200</v>
      </c>
      <c r="L2001" s="1910" t="s">
        <v>2887</v>
      </c>
      <c r="M2001" s="2047"/>
      <c r="N2001" s="1837"/>
      <c r="O2001" s="2024"/>
      <c r="P2001" s="1836"/>
      <c r="Q2001" s="1836"/>
      <c r="R2001" s="1837"/>
      <c r="S2001" s="1837"/>
      <c r="T2001" s="1837"/>
      <c r="U2001" s="1837"/>
      <c r="V2001" s="1837"/>
      <c r="W2001" s="1837"/>
      <c r="X2001" s="1837"/>
    </row>
    <row r="2002" spans="1:24" ht="24" customHeight="1">
      <c r="A2002" s="1933"/>
      <c r="B2002" s="2003" t="s">
        <v>691</v>
      </c>
      <c r="C2002" s="1895" t="s">
        <v>686</v>
      </c>
      <c r="D2002" s="1915"/>
      <c r="E2002" s="2062">
        <v>0</v>
      </c>
      <c r="F2002" s="1842" t="s">
        <v>240</v>
      </c>
      <c r="G2002" s="2046">
        <v>770900</v>
      </c>
      <c r="H2002" s="1854">
        <f t="shared" si="950"/>
        <v>0</v>
      </c>
      <c r="I2002" s="2046">
        <v>0</v>
      </c>
      <c r="J2002" s="1854">
        <f t="shared" si="951"/>
        <v>0</v>
      </c>
      <c r="K2002" s="1857">
        <f t="shared" si="952"/>
        <v>0</v>
      </c>
      <c r="L2002" s="1910" t="s">
        <v>2887</v>
      </c>
      <c r="M2002" s="2047"/>
      <c r="N2002" s="1837"/>
      <c r="O2002" s="2024"/>
      <c r="P2002" s="1836"/>
      <c r="Q2002" s="1836"/>
      <c r="R2002" s="1837"/>
      <c r="S2002" s="1837"/>
      <c r="T2002" s="1837"/>
      <c r="U2002" s="1837"/>
      <c r="V2002" s="1837"/>
      <c r="W2002" s="1837"/>
      <c r="X2002" s="1837"/>
    </row>
    <row r="2003" spans="1:24" ht="24" customHeight="1">
      <c r="A2003" s="1933"/>
      <c r="B2003" s="2003" t="s">
        <v>692</v>
      </c>
      <c r="C2003" s="1895" t="s">
        <v>686</v>
      </c>
      <c r="D2003" s="1915"/>
      <c r="E2003" s="2062">
        <v>0</v>
      </c>
      <c r="F2003" s="1842" t="s">
        <v>240</v>
      </c>
      <c r="G2003" s="2046">
        <f>904400-90440</f>
        <v>813960</v>
      </c>
      <c r="H2003" s="1854">
        <f t="shared" si="950"/>
        <v>0</v>
      </c>
      <c r="I2003" s="2046">
        <v>0</v>
      </c>
      <c r="J2003" s="1854">
        <f t="shared" si="951"/>
        <v>0</v>
      </c>
      <c r="K2003" s="1857">
        <f t="shared" si="952"/>
        <v>0</v>
      </c>
      <c r="L2003" s="1910" t="s">
        <v>2887</v>
      </c>
      <c r="M2003" s="2047"/>
      <c r="N2003" s="1837"/>
      <c r="O2003" s="2024"/>
      <c r="P2003" s="1836"/>
      <c r="Q2003" s="1836"/>
      <c r="R2003" s="1837"/>
      <c r="S2003" s="1837"/>
      <c r="T2003" s="1837"/>
      <c r="U2003" s="1837"/>
      <c r="V2003" s="1837"/>
      <c r="W2003" s="1837"/>
      <c r="X2003" s="1837"/>
    </row>
    <row r="2004" spans="1:24" ht="24" customHeight="1">
      <c r="A2004" s="1933"/>
      <c r="B2004" s="2003" t="s">
        <v>693</v>
      </c>
      <c r="C2004" s="1895" t="s">
        <v>686</v>
      </c>
      <c r="D2004" s="1915"/>
      <c r="E2004" s="2062">
        <v>0</v>
      </c>
      <c r="F2004" s="1842" t="s">
        <v>240</v>
      </c>
      <c r="G2004" s="2046">
        <v>232000</v>
      </c>
      <c r="H2004" s="1854">
        <f t="shared" si="950"/>
        <v>0</v>
      </c>
      <c r="I2004" s="2046">
        <v>0</v>
      </c>
      <c r="J2004" s="1854">
        <f t="shared" si="951"/>
        <v>0</v>
      </c>
      <c r="K2004" s="1857">
        <f t="shared" si="952"/>
        <v>0</v>
      </c>
      <c r="L2004" s="1910" t="s">
        <v>2887</v>
      </c>
      <c r="M2004" s="2047"/>
      <c r="N2004" s="1837"/>
      <c r="O2004" s="2024"/>
      <c r="P2004" s="1836"/>
      <c r="Q2004" s="1836"/>
      <c r="R2004" s="1837"/>
      <c r="S2004" s="1837"/>
      <c r="T2004" s="1837"/>
      <c r="U2004" s="1837"/>
      <c r="V2004" s="1837"/>
      <c r="W2004" s="1837"/>
      <c r="X2004" s="1837"/>
    </row>
    <row r="2005" spans="1:24" ht="24" customHeight="1">
      <c r="A2005" s="1933"/>
      <c r="B2005" s="2003" t="s">
        <v>694</v>
      </c>
      <c r="C2005" s="1895" t="s">
        <v>686</v>
      </c>
      <c r="D2005" s="1915"/>
      <c r="E2005" s="2062">
        <v>0</v>
      </c>
      <c r="F2005" s="1842" t="s">
        <v>240</v>
      </c>
      <c r="G2005" s="2046">
        <v>399100</v>
      </c>
      <c r="H2005" s="1854">
        <f t="shared" si="950"/>
        <v>0</v>
      </c>
      <c r="I2005" s="2046">
        <v>0</v>
      </c>
      <c r="J2005" s="1854">
        <f t="shared" si="951"/>
        <v>0</v>
      </c>
      <c r="K2005" s="1857">
        <f t="shared" si="952"/>
        <v>0</v>
      </c>
      <c r="L2005" s="1910" t="s">
        <v>2887</v>
      </c>
      <c r="M2005" s="2047"/>
      <c r="N2005" s="1837"/>
      <c r="O2005" s="2024"/>
      <c r="P2005" s="1836"/>
      <c r="Q2005" s="1836"/>
      <c r="R2005" s="1837"/>
      <c r="S2005" s="1837"/>
      <c r="T2005" s="1837"/>
      <c r="U2005" s="1837"/>
      <c r="V2005" s="1837"/>
      <c r="W2005" s="1837"/>
      <c r="X2005" s="1837"/>
    </row>
    <row r="2006" spans="1:24" ht="24" customHeight="1">
      <c r="A2006" s="1933"/>
      <c r="B2006" s="2003" t="s">
        <v>695</v>
      </c>
      <c r="C2006" s="1895" t="s">
        <v>686</v>
      </c>
      <c r="D2006" s="1915"/>
      <c r="E2006" s="2062">
        <v>0</v>
      </c>
      <c r="F2006" s="1842" t="s">
        <v>240</v>
      </c>
      <c r="G2006" s="2046">
        <v>528100</v>
      </c>
      <c r="H2006" s="1854">
        <f t="shared" si="950"/>
        <v>0</v>
      </c>
      <c r="I2006" s="2046">
        <v>0</v>
      </c>
      <c r="J2006" s="1854">
        <f t="shared" si="951"/>
        <v>0</v>
      </c>
      <c r="K2006" s="1857">
        <f t="shared" si="952"/>
        <v>0</v>
      </c>
      <c r="L2006" s="1910" t="s">
        <v>2887</v>
      </c>
      <c r="M2006" s="2047"/>
      <c r="N2006" s="1837"/>
      <c r="O2006" s="2024"/>
      <c r="P2006" s="1836"/>
      <c r="Q2006" s="1836"/>
      <c r="R2006" s="1837"/>
      <c r="S2006" s="1837"/>
      <c r="T2006" s="1837"/>
      <c r="U2006" s="1837"/>
      <c r="V2006" s="1837"/>
      <c r="W2006" s="1837"/>
      <c r="X2006" s="1837"/>
    </row>
    <row r="2007" spans="1:24" ht="24" customHeight="1">
      <c r="A2007" s="1933"/>
      <c r="B2007" s="2003" t="s">
        <v>696</v>
      </c>
      <c r="C2007" s="1895" t="s">
        <v>686</v>
      </c>
      <c r="D2007" s="1915"/>
      <c r="E2007" s="2062">
        <v>0</v>
      </c>
      <c r="F2007" s="1842" t="s">
        <v>240</v>
      </c>
      <c r="G2007" s="2046">
        <v>563500</v>
      </c>
      <c r="H2007" s="1854">
        <f t="shared" si="950"/>
        <v>0</v>
      </c>
      <c r="I2007" s="2046">
        <v>0</v>
      </c>
      <c r="J2007" s="1854">
        <f t="shared" si="951"/>
        <v>0</v>
      </c>
      <c r="K2007" s="1857">
        <f t="shared" si="952"/>
        <v>0</v>
      </c>
      <c r="L2007" s="1910" t="s">
        <v>2887</v>
      </c>
      <c r="M2007" s="2047"/>
      <c r="N2007" s="1837"/>
      <c r="O2007" s="2024"/>
      <c r="P2007" s="1836"/>
      <c r="Q2007" s="1836"/>
      <c r="R2007" s="1837"/>
      <c r="S2007" s="1837"/>
      <c r="T2007" s="1837"/>
      <c r="U2007" s="1837"/>
      <c r="V2007" s="1837"/>
      <c r="W2007" s="1837"/>
      <c r="X2007" s="1837"/>
    </row>
    <row r="2008" spans="1:24" ht="24" customHeight="1">
      <c r="A2008" s="1933"/>
      <c r="B2008" s="2003" t="s">
        <v>697</v>
      </c>
      <c r="C2008" s="1895" t="s">
        <v>686</v>
      </c>
      <c r="D2008" s="1915"/>
      <c r="E2008" s="2062">
        <v>0</v>
      </c>
      <c r="F2008" s="1842" t="s">
        <v>240</v>
      </c>
      <c r="G2008" s="2046">
        <v>272800</v>
      </c>
      <c r="H2008" s="1854">
        <f t="shared" si="950"/>
        <v>0</v>
      </c>
      <c r="I2008" s="2046">
        <v>0</v>
      </c>
      <c r="J2008" s="1854">
        <f t="shared" si="951"/>
        <v>0</v>
      </c>
      <c r="K2008" s="1857">
        <f t="shared" si="952"/>
        <v>0</v>
      </c>
      <c r="L2008" s="1910" t="s">
        <v>2887</v>
      </c>
      <c r="M2008" s="2047"/>
      <c r="N2008" s="1837"/>
      <c r="O2008" s="2024"/>
      <c r="P2008" s="1836"/>
      <c r="Q2008" s="1836"/>
      <c r="R2008" s="1837"/>
      <c r="S2008" s="1837"/>
      <c r="T2008" s="1837"/>
      <c r="U2008" s="1837"/>
      <c r="V2008" s="1837"/>
      <c r="W2008" s="1837"/>
      <c r="X2008" s="1837"/>
    </row>
    <row r="2009" spans="1:24" ht="24" customHeight="1">
      <c r="A2009" s="1933"/>
      <c r="B2009" s="2003" t="s">
        <v>698</v>
      </c>
      <c r="C2009" s="1895" t="s">
        <v>686</v>
      </c>
      <c r="D2009" s="1915"/>
      <c r="E2009" s="2062">
        <v>2</v>
      </c>
      <c r="F2009" s="1842" t="s">
        <v>240</v>
      </c>
      <c r="G2009" s="2046">
        <v>6900</v>
      </c>
      <c r="H2009" s="1854">
        <f t="shared" si="950"/>
        <v>13800</v>
      </c>
      <c r="I2009" s="2046">
        <v>0</v>
      </c>
      <c r="J2009" s="1854">
        <f t="shared" si="951"/>
        <v>0</v>
      </c>
      <c r="K2009" s="1857">
        <f t="shared" si="952"/>
        <v>13800</v>
      </c>
      <c r="L2009" s="1910" t="s">
        <v>2887</v>
      </c>
      <c r="M2009" s="2047"/>
      <c r="N2009" s="1837"/>
      <c r="O2009" s="2024"/>
      <c r="P2009" s="1836"/>
      <c r="Q2009" s="1836"/>
      <c r="R2009" s="1837"/>
      <c r="S2009" s="1837"/>
      <c r="T2009" s="1837"/>
      <c r="U2009" s="1837"/>
      <c r="V2009" s="1837"/>
      <c r="W2009" s="1837"/>
      <c r="X2009" s="1837"/>
    </row>
    <row r="2010" spans="1:24" ht="24" customHeight="1">
      <c r="A2010" s="1933"/>
      <c r="B2010" s="2003" t="s">
        <v>699</v>
      </c>
      <c r="C2010" s="1895" t="s">
        <v>686</v>
      </c>
      <c r="D2010" s="1915"/>
      <c r="E2010" s="2062">
        <v>0</v>
      </c>
      <c r="F2010" s="1842" t="s">
        <v>240</v>
      </c>
      <c r="G2010" s="2046">
        <v>97700</v>
      </c>
      <c r="H2010" s="1854">
        <f t="shared" si="950"/>
        <v>0</v>
      </c>
      <c r="I2010" s="2046">
        <v>0</v>
      </c>
      <c r="J2010" s="1854">
        <f t="shared" si="951"/>
        <v>0</v>
      </c>
      <c r="K2010" s="1857">
        <f t="shared" si="952"/>
        <v>0</v>
      </c>
      <c r="L2010" s="1910" t="s">
        <v>2887</v>
      </c>
      <c r="M2010" s="2047"/>
      <c r="N2010" s="2047">
        <f>SUM(K1953:K2010)</f>
        <v>4360270</v>
      </c>
      <c r="O2010" s="2024"/>
      <c r="P2010" s="1836"/>
      <c r="Q2010" s="1836"/>
      <c r="R2010" s="1837"/>
      <c r="S2010" s="1837"/>
      <c r="T2010" s="1837"/>
      <c r="U2010" s="1837"/>
      <c r="V2010" s="1837"/>
      <c r="W2010" s="1837"/>
      <c r="X2010" s="1837"/>
    </row>
    <row r="2011" spans="1:24" s="2061" customFormat="1" ht="24" customHeight="1">
      <c r="A2011" s="2053" t="s">
        <v>708</v>
      </c>
      <c r="B2011" s="2054" t="s">
        <v>709</v>
      </c>
      <c r="C2011" s="1905"/>
      <c r="D2011" s="1903"/>
      <c r="E2011" s="2063"/>
      <c r="F2011" s="2057"/>
      <c r="G2011" s="2064"/>
      <c r="H2011" s="1911"/>
      <c r="I2011" s="2065"/>
      <c r="J2011" s="1913"/>
      <c r="K2011" s="1914"/>
      <c r="L2011" s="2058"/>
      <c r="M2011" s="2059"/>
      <c r="N2011" s="2060"/>
      <c r="O2011" s="2060"/>
      <c r="P2011" s="2060"/>
      <c r="Q2011" s="2060"/>
      <c r="R2011" s="2060"/>
      <c r="S2011" s="2060"/>
      <c r="T2011" s="2060"/>
      <c r="U2011" s="2060"/>
      <c r="V2011" s="2060"/>
      <c r="W2011" s="2060"/>
      <c r="X2011" s="2060"/>
    </row>
    <row r="2012" spans="1:24" ht="24" customHeight="1">
      <c r="A2012" s="1933"/>
      <c r="B2012" s="2003" t="s">
        <v>626</v>
      </c>
      <c r="C2012" s="1895" t="s">
        <v>627</v>
      </c>
      <c r="D2012" s="1915"/>
      <c r="E2012" s="2062">
        <v>3</v>
      </c>
      <c r="F2012" s="1842" t="s">
        <v>240</v>
      </c>
      <c r="G2012" s="2046">
        <v>260300</v>
      </c>
      <c r="H2012" s="1854">
        <f t="shared" ref="H2012:H2020" si="953">E2012*G2012</f>
        <v>780900</v>
      </c>
      <c r="I2012" s="2046">
        <v>0</v>
      </c>
      <c r="J2012" s="1854">
        <f t="shared" ref="J2012:J2020" si="954">E2012*I2012</f>
        <v>0</v>
      </c>
      <c r="K2012" s="1857">
        <f t="shared" ref="K2012:K2020" si="955">H2012+J2012</f>
        <v>780900</v>
      </c>
      <c r="L2012" s="1910" t="s">
        <v>2886</v>
      </c>
      <c r="M2012" s="2047"/>
      <c r="N2012" s="1837"/>
      <c r="O2012" s="1837"/>
      <c r="P2012" s="1837"/>
      <c r="Q2012" s="1837"/>
      <c r="R2012" s="1837"/>
      <c r="S2012" s="1837"/>
      <c r="T2012" s="1837"/>
      <c r="U2012" s="1837"/>
      <c r="V2012" s="1837"/>
      <c r="W2012" s="1837"/>
      <c r="X2012" s="1837"/>
    </row>
    <row r="2013" spans="1:24" ht="24" customHeight="1">
      <c r="A2013" s="1933"/>
      <c r="B2013" s="2003" t="s">
        <v>628</v>
      </c>
      <c r="C2013" s="1895" t="s">
        <v>629</v>
      </c>
      <c r="D2013" s="1915"/>
      <c r="E2013" s="2062">
        <v>0</v>
      </c>
      <c r="F2013" s="1842" t="s">
        <v>240</v>
      </c>
      <c r="G2013" s="2046">
        <v>386900</v>
      </c>
      <c r="H2013" s="1854">
        <f t="shared" si="953"/>
        <v>0</v>
      </c>
      <c r="I2013" s="2046">
        <v>0</v>
      </c>
      <c r="J2013" s="1854">
        <f t="shared" si="954"/>
        <v>0</v>
      </c>
      <c r="K2013" s="1857">
        <f t="shared" si="955"/>
        <v>0</v>
      </c>
      <c r="L2013" s="1910" t="s">
        <v>2886</v>
      </c>
      <c r="M2013" s="2047"/>
      <c r="N2013" s="1837"/>
      <c r="O2013" s="1837"/>
      <c r="P2013" s="1837"/>
      <c r="Q2013" s="1837"/>
      <c r="R2013" s="1837"/>
      <c r="S2013" s="1837"/>
      <c r="T2013" s="1837"/>
      <c r="U2013" s="1837"/>
      <c r="V2013" s="1837"/>
      <c r="W2013" s="1837"/>
      <c r="X2013" s="1837"/>
    </row>
    <row r="2014" spans="1:24" ht="24" customHeight="1">
      <c r="A2014" s="1782"/>
      <c r="B2014" s="2003" t="s">
        <v>630</v>
      </c>
      <c r="C2014" s="1895" t="s">
        <v>2818</v>
      </c>
      <c r="D2014" s="1915"/>
      <c r="E2014" s="2062">
        <v>0</v>
      </c>
      <c r="F2014" s="1842" t="s">
        <v>240</v>
      </c>
      <c r="G2014" s="2046">
        <v>432400</v>
      </c>
      <c r="H2014" s="1854">
        <f t="shared" si="953"/>
        <v>0</v>
      </c>
      <c r="I2014" s="2046">
        <v>0</v>
      </c>
      <c r="J2014" s="1854">
        <f t="shared" si="954"/>
        <v>0</v>
      </c>
      <c r="K2014" s="1857">
        <f t="shared" si="955"/>
        <v>0</v>
      </c>
      <c r="L2014" s="1910" t="s">
        <v>2886</v>
      </c>
      <c r="M2014" s="2047"/>
      <c r="N2014" s="1837"/>
      <c r="O2014" s="1837"/>
      <c r="P2014" s="1837"/>
      <c r="Q2014" s="1837"/>
      <c r="R2014" s="1837"/>
      <c r="S2014" s="1837"/>
      <c r="T2014" s="1837"/>
      <c r="U2014" s="1837"/>
      <c r="V2014" s="1837"/>
      <c r="W2014" s="1837"/>
      <c r="X2014" s="1837"/>
    </row>
    <row r="2015" spans="1:24" ht="24" customHeight="1">
      <c r="A2015" s="1782"/>
      <c r="B2015" s="2003" t="s">
        <v>631</v>
      </c>
      <c r="C2015" s="1895" t="s">
        <v>2818</v>
      </c>
      <c r="D2015" s="1915"/>
      <c r="E2015" s="2062">
        <v>0</v>
      </c>
      <c r="F2015" s="1842" t="s">
        <v>240</v>
      </c>
      <c r="G2015" s="2046">
        <v>440430</v>
      </c>
      <c r="H2015" s="1854">
        <f t="shared" si="953"/>
        <v>0</v>
      </c>
      <c r="I2015" s="2046">
        <v>0</v>
      </c>
      <c r="J2015" s="1854">
        <f t="shared" si="954"/>
        <v>0</v>
      </c>
      <c r="K2015" s="1857">
        <f t="shared" si="955"/>
        <v>0</v>
      </c>
      <c r="L2015" s="1910" t="s">
        <v>2886</v>
      </c>
      <c r="M2015" s="2047"/>
      <c r="N2015" s="1837"/>
      <c r="O2015" s="1837"/>
      <c r="P2015" s="1837"/>
      <c r="Q2015" s="1837"/>
      <c r="R2015" s="1837"/>
      <c r="S2015" s="1837"/>
      <c r="T2015" s="1837"/>
      <c r="U2015" s="1837"/>
      <c r="V2015" s="1837"/>
      <c r="W2015" s="1837"/>
      <c r="X2015" s="1837"/>
    </row>
    <row r="2016" spans="1:24" ht="24" customHeight="1">
      <c r="A2016" s="1782"/>
      <c r="B2016" s="2003" t="s">
        <v>632</v>
      </c>
      <c r="C2016" s="1895" t="s">
        <v>2819</v>
      </c>
      <c r="D2016" s="1915"/>
      <c r="E2016" s="2062">
        <v>0</v>
      </c>
      <c r="F2016" s="1842" t="s">
        <v>240</v>
      </c>
      <c r="G2016" s="2046">
        <v>48800</v>
      </c>
      <c r="H2016" s="1854">
        <f t="shared" si="953"/>
        <v>0</v>
      </c>
      <c r="I2016" s="2046">
        <v>0</v>
      </c>
      <c r="J2016" s="1854">
        <f t="shared" si="954"/>
        <v>0</v>
      </c>
      <c r="K2016" s="1857">
        <f t="shared" si="955"/>
        <v>0</v>
      </c>
      <c r="L2016" s="1910" t="s">
        <v>2886</v>
      </c>
      <c r="M2016" s="2047"/>
      <c r="N2016" s="1837"/>
      <c r="O2016" s="1837"/>
      <c r="P2016" s="1837"/>
      <c r="Q2016" s="1837"/>
      <c r="R2016" s="1837"/>
      <c r="S2016" s="1837"/>
      <c r="T2016" s="1837"/>
      <c r="U2016" s="1837"/>
      <c r="V2016" s="1837"/>
      <c r="W2016" s="1837"/>
      <c r="X2016" s="1837"/>
    </row>
    <row r="2017" spans="1:24" ht="24" customHeight="1">
      <c r="A2017" s="1782"/>
      <c r="B2017" s="2003" t="s">
        <v>633</v>
      </c>
      <c r="C2017" s="1895" t="s">
        <v>634</v>
      </c>
      <c r="D2017" s="1915"/>
      <c r="E2017" s="2062">
        <v>2</v>
      </c>
      <c r="F2017" s="1842" t="s">
        <v>240</v>
      </c>
      <c r="G2017" s="2046">
        <v>28600</v>
      </c>
      <c r="H2017" s="1854">
        <f t="shared" si="953"/>
        <v>57200</v>
      </c>
      <c r="I2017" s="2046">
        <v>0</v>
      </c>
      <c r="J2017" s="1854">
        <f t="shared" si="954"/>
        <v>0</v>
      </c>
      <c r="K2017" s="1857">
        <f t="shared" si="955"/>
        <v>57200</v>
      </c>
      <c r="L2017" s="1910" t="s">
        <v>2886</v>
      </c>
      <c r="M2017" s="2047"/>
      <c r="N2017" s="1837"/>
      <c r="O2017" s="1837"/>
      <c r="P2017" s="1837"/>
      <c r="Q2017" s="1837"/>
      <c r="R2017" s="1837"/>
      <c r="S2017" s="1837"/>
      <c r="T2017" s="1837"/>
      <c r="U2017" s="1837"/>
      <c r="V2017" s="1837"/>
      <c r="W2017" s="1837"/>
      <c r="X2017" s="1837"/>
    </row>
    <row r="2018" spans="1:24" ht="24" customHeight="1">
      <c r="A2018" s="1782"/>
      <c r="B2018" s="2003" t="s">
        <v>635</v>
      </c>
      <c r="C2018" s="1895" t="s">
        <v>629</v>
      </c>
      <c r="D2018" s="1915"/>
      <c r="E2018" s="2062">
        <v>0</v>
      </c>
      <c r="F2018" s="1842" t="s">
        <v>240</v>
      </c>
      <c r="G2018" s="2046">
        <v>814100</v>
      </c>
      <c r="H2018" s="1854">
        <f t="shared" si="953"/>
        <v>0</v>
      </c>
      <c r="I2018" s="2046">
        <v>0</v>
      </c>
      <c r="J2018" s="1854">
        <f t="shared" si="954"/>
        <v>0</v>
      </c>
      <c r="K2018" s="1857">
        <f t="shared" si="955"/>
        <v>0</v>
      </c>
      <c r="L2018" s="1910" t="s">
        <v>2886</v>
      </c>
      <c r="M2018" s="2047"/>
      <c r="N2018" s="1837"/>
      <c r="O2018" s="1837"/>
      <c r="P2018" s="1837"/>
      <c r="Q2018" s="1837"/>
      <c r="R2018" s="1837"/>
      <c r="S2018" s="1837"/>
      <c r="T2018" s="1837"/>
      <c r="U2018" s="1837"/>
      <c r="V2018" s="1837"/>
      <c r="W2018" s="1837"/>
      <c r="X2018" s="1837"/>
    </row>
    <row r="2019" spans="1:24" ht="24" customHeight="1">
      <c r="A2019" s="1782"/>
      <c r="B2019" s="2003" t="s">
        <v>636</v>
      </c>
      <c r="C2019" s="1895" t="s">
        <v>629</v>
      </c>
      <c r="D2019" s="1915"/>
      <c r="E2019" s="2062">
        <v>0</v>
      </c>
      <c r="F2019" s="1842" t="s">
        <v>240</v>
      </c>
      <c r="G2019" s="2046">
        <v>701500</v>
      </c>
      <c r="H2019" s="1854">
        <f t="shared" si="953"/>
        <v>0</v>
      </c>
      <c r="I2019" s="2046">
        <v>0</v>
      </c>
      <c r="J2019" s="1854">
        <f t="shared" si="954"/>
        <v>0</v>
      </c>
      <c r="K2019" s="1857">
        <f t="shared" si="955"/>
        <v>0</v>
      </c>
      <c r="L2019" s="1910" t="s">
        <v>2886</v>
      </c>
      <c r="M2019" s="2047"/>
      <c r="N2019" s="1837"/>
      <c r="O2019" s="1837"/>
      <c r="P2019" s="1837"/>
      <c r="Q2019" s="1837"/>
      <c r="R2019" s="1837"/>
      <c r="S2019" s="1837"/>
      <c r="T2019" s="1837"/>
      <c r="U2019" s="1837"/>
      <c r="V2019" s="1837"/>
      <c r="W2019" s="1837"/>
      <c r="X2019" s="1837"/>
    </row>
    <row r="2020" spans="1:24" ht="24" customHeight="1">
      <c r="A2020" s="1782"/>
      <c r="B2020" s="2003" t="s">
        <v>637</v>
      </c>
      <c r="C2020" s="1895" t="s">
        <v>629</v>
      </c>
      <c r="D2020" s="1915"/>
      <c r="E2020" s="2062">
        <v>0</v>
      </c>
      <c r="F2020" s="1842" t="s">
        <v>240</v>
      </c>
      <c r="G2020" s="2046">
        <v>240700</v>
      </c>
      <c r="H2020" s="1854">
        <f t="shared" si="953"/>
        <v>0</v>
      </c>
      <c r="I2020" s="2046">
        <v>0</v>
      </c>
      <c r="J2020" s="1854">
        <f t="shared" si="954"/>
        <v>0</v>
      </c>
      <c r="K2020" s="1857">
        <f t="shared" si="955"/>
        <v>0</v>
      </c>
      <c r="L2020" s="1910" t="s">
        <v>2886</v>
      </c>
      <c r="M2020" s="2047"/>
      <c r="N2020" s="1837"/>
      <c r="O2020" s="1837"/>
      <c r="P2020" s="1837"/>
      <c r="Q2020" s="1837"/>
      <c r="R2020" s="1837"/>
      <c r="S2020" s="1837"/>
      <c r="T2020" s="1837"/>
      <c r="U2020" s="1837"/>
      <c r="V2020" s="1837"/>
      <c r="W2020" s="1837"/>
      <c r="X2020" s="1837"/>
    </row>
    <row r="2021" spans="1:24" ht="24" customHeight="1">
      <c r="A2021" s="1933"/>
      <c r="B2021" s="2003"/>
      <c r="C2021" s="1895"/>
      <c r="D2021" s="1915"/>
      <c r="E2021" s="2062"/>
      <c r="F2021" s="1842"/>
      <c r="G2021" s="2046"/>
      <c r="H2021" s="1854"/>
      <c r="I2021" s="2048"/>
      <c r="J2021" s="1854"/>
      <c r="K2021" s="1857"/>
      <c r="L2021" s="2043"/>
      <c r="M2021" s="2044"/>
      <c r="N2021" s="1837"/>
      <c r="O2021" s="1837"/>
      <c r="P2021" s="1837"/>
      <c r="Q2021" s="1837"/>
      <c r="R2021" s="1837"/>
      <c r="S2021" s="1837"/>
      <c r="T2021" s="1837"/>
      <c r="U2021" s="1837"/>
      <c r="V2021" s="1837"/>
      <c r="W2021" s="1837"/>
      <c r="X2021" s="1837"/>
    </row>
    <row r="2022" spans="1:24" ht="24" customHeight="1">
      <c r="A2022" s="1782"/>
      <c r="B2022" s="2003" t="s">
        <v>638</v>
      </c>
      <c r="C2022" s="1895" t="s">
        <v>639</v>
      </c>
      <c r="D2022" s="1915"/>
      <c r="E2022" s="2062">
        <v>8</v>
      </c>
      <c r="F2022" s="1842" t="s">
        <v>240</v>
      </c>
      <c r="G2022" s="2046">
        <v>45750</v>
      </c>
      <c r="H2022" s="1854">
        <f>E2022*G2022</f>
        <v>366000</v>
      </c>
      <c r="I2022" s="2046">
        <v>3000</v>
      </c>
      <c r="J2022" s="1854">
        <f>E2022*I2022</f>
        <v>24000</v>
      </c>
      <c r="K2022" s="1857">
        <f>H2022+J2022</f>
        <v>390000</v>
      </c>
      <c r="L2022" s="2043"/>
      <c r="M2022" s="2044"/>
      <c r="N2022" s="1837"/>
      <c r="O2022" s="1837"/>
      <c r="P2022" s="1837"/>
      <c r="Q2022" s="1837"/>
      <c r="R2022" s="1837"/>
      <c r="S2022" s="1837"/>
      <c r="T2022" s="1837"/>
      <c r="U2022" s="1837"/>
      <c r="V2022" s="1837"/>
      <c r="W2022" s="1837"/>
      <c r="X2022" s="1837"/>
    </row>
    <row r="2023" spans="1:24" ht="24" customHeight="1">
      <c r="A2023" s="1933"/>
      <c r="B2023" s="2003" t="s">
        <v>640</v>
      </c>
      <c r="C2023" s="1895" t="s">
        <v>641</v>
      </c>
      <c r="D2023" s="1915"/>
      <c r="E2023" s="2062">
        <v>0</v>
      </c>
      <c r="F2023" s="1842" t="s">
        <v>240</v>
      </c>
      <c r="G2023" s="2046">
        <v>49350</v>
      </c>
      <c r="H2023" s="1854">
        <f t="shared" ref="H2023:H2033" si="956">E2023*G2023</f>
        <v>0</v>
      </c>
      <c r="I2023" s="2046">
        <v>3000</v>
      </c>
      <c r="J2023" s="1854">
        <f t="shared" ref="J2023:J2033" si="957">E2023*I2023</f>
        <v>0</v>
      </c>
      <c r="K2023" s="1857">
        <f t="shared" ref="K2023:K2033" si="958">H2023+J2023</f>
        <v>0</v>
      </c>
      <c r="L2023" s="2043"/>
      <c r="M2023" s="2044"/>
      <c r="N2023" s="1837"/>
      <c r="O2023" s="1837"/>
      <c r="P2023" s="1837"/>
      <c r="Q2023" s="1837"/>
      <c r="R2023" s="1837"/>
      <c r="S2023" s="1837"/>
      <c r="T2023" s="1837"/>
      <c r="U2023" s="1837"/>
      <c r="V2023" s="1837"/>
      <c r="W2023" s="1837"/>
      <c r="X2023" s="1837"/>
    </row>
    <row r="2024" spans="1:24" ht="24" customHeight="1">
      <c r="A2024" s="1933"/>
      <c r="B2024" s="2003" t="s">
        <v>642</v>
      </c>
      <c r="C2024" s="1895" t="s">
        <v>643</v>
      </c>
      <c r="D2024" s="1915"/>
      <c r="E2024" s="2062">
        <v>2</v>
      </c>
      <c r="F2024" s="1842" t="s">
        <v>240</v>
      </c>
      <c r="G2024" s="2046">
        <v>87950</v>
      </c>
      <c r="H2024" s="1854">
        <f t="shared" si="956"/>
        <v>175900</v>
      </c>
      <c r="I2024" s="2046">
        <v>4000</v>
      </c>
      <c r="J2024" s="1854">
        <f t="shared" si="957"/>
        <v>8000</v>
      </c>
      <c r="K2024" s="1857">
        <f t="shared" si="958"/>
        <v>183900</v>
      </c>
      <c r="L2024" s="2043"/>
      <c r="M2024" s="2044"/>
      <c r="N2024" s="1837"/>
      <c r="O2024" s="1837"/>
      <c r="P2024" s="1837"/>
      <c r="Q2024" s="1837"/>
      <c r="R2024" s="1837"/>
      <c r="S2024" s="1837"/>
      <c r="T2024" s="1837"/>
      <c r="U2024" s="1837"/>
      <c r="V2024" s="1837"/>
      <c r="W2024" s="1837"/>
      <c r="X2024" s="1837"/>
    </row>
    <row r="2025" spans="1:24" ht="24" customHeight="1">
      <c r="A2025" s="1933"/>
      <c r="B2025" s="2003" t="s">
        <v>644</v>
      </c>
      <c r="C2025" s="1895" t="s">
        <v>643</v>
      </c>
      <c r="D2025" s="1915"/>
      <c r="E2025" s="2062">
        <v>2</v>
      </c>
      <c r="F2025" s="1842" t="s">
        <v>240</v>
      </c>
      <c r="G2025" s="2046">
        <v>63520</v>
      </c>
      <c r="H2025" s="1854">
        <f t="shared" si="956"/>
        <v>127040</v>
      </c>
      <c r="I2025" s="2046">
        <v>4000</v>
      </c>
      <c r="J2025" s="1854">
        <f t="shared" si="957"/>
        <v>8000</v>
      </c>
      <c r="K2025" s="1857">
        <f t="shared" si="958"/>
        <v>135040</v>
      </c>
      <c r="L2025" s="2043"/>
      <c r="M2025" s="2044"/>
      <c r="N2025" s="1837"/>
      <c r="O2025" s="1837"/>
      <c r="P2025" s="1837"/>
      <c r="Q2025" s="1837"/>
      <c r="R2025" s="1837"/>
      <c r="S2025" s="1837"/>
      <c r="T2025" s="1837"/>
      <c r="U2025" s="1837"/>
      <c r="V2025" s="1837"/>
      <c r="W2025" s="1837"/>
      <c r="X2025" s="1837"/>
    </row>
    <row r="2026" spans="1:24" ht="24" customHeight="1">
      <c r="A2026" s="1933"/>
      <c r="B2026" s="2003" t="s">
        <v>645</v>
      </c>
      <c r="C2026" s="1895" t="s">
        <v>639</v>
      </c>
      <c r="D2026" s="1915"/>
      <c r="E2026" s="2062">
        <v>4</v>
      </c>
      <c r="F2026" s="1842" t="s">
        <v>240</v>
      </c>
      <c r="G2026" s="2046">
        <v>20950</v>
      </c>
      <c r="H2026" s="1854">
        <f t="shared" si="956"/>
        <v>83800</v>
      </c>
      <c r="I2026" s="2046">
        <v>3000</v>
      </c>
      <c r="J2026" s="1854">
        <f t="shared" si="957"/>
        <v>12000</v>
      </c>
      <c r="K2026" s="1857">
        <f t="shared" si="958"/>
        <v>95800</v>
      </c>
      <c r="L2026" s="2043"/>
      <c r="M2026" s="2044"/>
      <c r="N2026" s="1837"/>
      <c r="O2026" s="1837"/>
      <c r="P2026" s="1837"/>
      <c r="Q2026" s="1837"/>
      <c r="R2026" s="1837"/>
      <c r="S2026" s="1837"/>
      <c r="T2026" s="1837"/>
      <c r="U2026" s="1837"/>
      <c r="V2026" s="1837"/>
      <c r="W2026" s="1837"/>
      <c r="X2026" s="1837"/>
    </row>
    <row r="2027" spans="1:24" ht="24" customHeight="1">
      <c r="A2027" s="1933"/>
      <c r="B2027" s="2003" t="s">
        <v>646</v>
      </c>
      <c r="C2027" s="1895" t="s">
        <v>647</v>
      </c>
      <c r="D2027" s="1915"/>
      <c r="E2027" s="2062">
        <v>4</v>
      </c>
      <c r="F2027" s="1842" t="s">
        <v>240</v>
      </c>
      <c r="G2027" s="2046">
        <v>78210</v>
      </c>
      <c r="H2027" s="1854">
        <f t="shared" si="956"/>
        <v>312840</v>
      </c>
      <c r="I2027" s="2046">
        <v>4000</v>
      </c>
      <c r="J2027" s="1854">
        <f t="shared" si="957"/>
        <v>16000</v>
      </c>
      <c r="K2027" s="1857">
        <f t="shared" si="958"/>
        <v>328840</v>
      </c>
      <c r="L2027" s="2043"/>
      <c r="M2027" s="2044"/>
      <c r="N2027" s="1837"/>
      <c r="O2027" s="1837"/>
      <c r="P2027" s="1837"/>
      <c r="Q2027" s="1837"/>
      <c r="R2027" s="1837"/>
      <c r="S2027" s="1837"/>
      <c r="T2027" s="1837"/>
      <c r="U2027" s="1837"/>
      <c r="V2027" s="1837"/>
      <c r="W2027" s="1837"/>
      <c r="X2027" s="1837"/>
    </row>
    <row r="2028" spans="1:24" ht="24" customHeight="1">
      <c r="A2028" s="1933"/>
      <c r="B2028" s="2003" t="s">
        <v>648</v>
      </c>
      <c r="C2028" s="1895" t="s">
        <v>2820</v>
      </c>
      <c r="D2028" s="1915"/>
      <c r="E2028" s="2062">
        <v>0</v>
      </c>
      <c r="F2028" s="1842" t="s">
        <v>240</v>
      </c>
      <c r="G2028" s="2046">
        <v>34220</v>
      </c>
      <c r="H2028" s="1854">
        <f t="shared" si="956"/>
        <v>0</v>
      </c>
      <c r="I2028" s="2046">
        <v>4000</v>
      </c>
      <c r="J2028" s="1854">
        <f t="shared" si="957"/>
        <v>0</v>
      </c>
      <c r="K2028" s="1857">
        <f t="shared" si="958"/>
        <v>0</v>
      </c>
      <c r="L2028" s="2043"/>
      <c r="M2028" s="2044"/>
      <c r="N2028" s="1837"/>
      <c r="O2028" s="1837"/>
      <c r="P2028" s="1837"/>
      <c r="Q2028" s="1837"/>
      <c r="R2028" s="1837"/>
      <c r="S2028" s="1837"/>
      <c r="T2028" s="1837"/>
      <c r="U2028" s="1837"/>
      <c r="V2028" s="1837"/>
      <c r="W2028" s="1837"/>
      <c r="X2028" s="1837"/>
    </row>
    <row r="2029" spans="1:24" ht="24" customHeight="1">
      <c r="A2029" s="1933"/>
      <c r="B2029" s="2003" t="s">
        <v>649</v>
      </c>
      <c r="C2029" s="1895" t="s">
        <v>643</v>
      </c>
      <c r="D2029" s="1915"/>
      <c r="E2029" s="2062">
        <v>0</v>
      </c>
      <c r="F2029" s="1842" t="s">
        <v>240</v>
      </c>
      <c r="G2029" s="2046">
        <v>63520</v>
      </c>
      <c r="H2029" s="1854">
        <f t="shared" si="956"/>
        <v>0</v>
      </c>
      <c r="I2029" s="2046">
        <v>4000</v>
      </c>
      <c r="J2029" s="1854">
        <f t="shared" si="957"/>
        <v>0</v>
      </c>
      <c r="K2029" s="1857">
        <f t="shared" si="958"/>
        <v>0</v>
      </c>
      <c r="L2029" s="2043"/>
      <c r="M2029" s="2044"/>
      <c r="N2029" s="1837"/>
      <c r="O2029" s="1837"/>
      <c r="P2029" s="1837"/>
      <c r="Q2029" s="1837"/>
      <c r="R2029" s="1837"/>
      <c r="S2029" s="1837"/>
      <c r="T2029" s="1837"/>
      <c r="U2029" s="1837"/>
      <c r="V2029" s="1837"/>
      <c r="W2029" s="1837"/>
      <c r="X2029" s="1837"/>
    </row>
    <row r="2030" spans="1:24" ht="24" customHeight="1">
      <c r="A2030" s="1933"/>
      <c r="B2030" s="2003" t="s">
        <v>650</v>
      </c>
      <c r="C2030" s="1895" t="s">
        <v>647</v>
      </c>
      <c r="D2030" s="1915"/>
      <c r="E2030" s="2062">
        <v>2</v>
      </c>
      <c r="F2030" s="1842" t="s">
        <v>240</v>
      </c>
      <c r="G2030" s="2046">
        <v>75710</v>
      </c>
      <c r="H2030" s="1854">
        <f t="shared" si="956"/>
        <v>151420</v>
      </c>
      <c r="I2030" s="2046">
        <v>4000</v>
      </c>
      <c r="J2030" s="1854">
        <f t="shared" si="957"/>
        <v>8000</v>
      </c>
      <c r="K2030" s="1857">
        <f t="shared" si="958"/>
        <v>159420</v>
      </c>
      <c r="L2030" s="2043"/>
      <c r="M2030" s="2044"/>
      <c r="N2030" s="1837"/>
      <c r="O2030" s="1837"/>
      <c r="P2030" s="1837"/>
      <c r="Q2030" s="1837"/>
      <c r="R2030" s="1837"/>
      <c r="S2030" s="1837"/>
      <c r="T2030" s="1837"/>
      <c r="U2030" s="1837"/>
      <c r="V2030" s="1837"/>
      <c r="W2030" s="1837"/>
      <c r="X2030" s="1837"/>
    </row>
    <row r="2031" spans="1:24" ht="24" customHeight="1">
      <c r="A2031" s="1933"/>
      <c r="B2031" s="2003" t="s">
        <v>651</v>
      </c>
      <c r="C2031" s="1895" t="s">
        <v>647</v>
      </c>
      <c r="D2031" s="1915"/>
      <c r="E2031" s="2062">
        <v>0</v>
      </c>
      <c r="F2031" s="1842" t="s">
        <v>240</v>
      </c>
      <c r="G2031" s="2046">
        <v>78210</v>
      </c>
      <c r="H2031" s="1854">
        <f t="shared" si="956"/>
        <v>0</v>
      </c>
      <c r="I2031" s="2046">
        <v>4000</v>
      </c>
      <c r="J2031" s="1854">
        <f t="shared" si="957"/>
        <v>0</v>
      </c>
      <c r="K2031" s="1857">
        <f t="shared" si="958"/>
        <v>0</v>
      </c>
      <c r="L2031" s="2043"/>
      <c r="M2031" s="2044"/>
      <c r="N2031" s="1837"/>
      <c r="O2031" s="1837"/>
      <c r="P2031" s="1837"/>
      <c r="Q2031" s="1837"/>
      <c r="R2031" s="1837"/>
      <c r="S2031" s="1837"/>
      <c r="T2031" s="1837"/>
      <c r="U2031" s="1837"/>
      <c r="V2031" s="1837"/>
      <c r="W2031" s="1837"/>
      <c r="X2031" s="1837"/>
    </row>
    <row r="2032" spans="1:24" ht="24" customHeight="1">
      <c r="A2032" s="1933"/>
      <c r="B2032" s="2003" t="s">
        <v>652</v>
      </c>
      <c r="C2032" s="1895" t="s">
        <v>647</v>
      </c>
      <c r="D2032" s="1915"/>
      <c r="E2032" s="2062">
        <v>2</v>
      </c>
      <c r="F2032" s="1842" t="s">
        <v>240</v>
      </c>
      <c r="G2032" s="2046">
        <v>49870</v>
      </c>
      <c r="H2032" s="1854">
        <f t="shared" si="956"/>
        <v>99740</v>
      </c>
      <c r="I2032" s="2046">
        <v>4000</v>
      </c>
      <c r="J2032" s="1854">
        <f t="shared" si="957"/>
        <v>8000</v>
      </c>
      <c r="K2032" s="1857">
        <f t="shared" si="958"/>
        <v>107740</v>
      </c>
      <c r="L2032" s="2043"/>
      <c r="M2032" s="2044"/>
      <c r="N2032" s="1837"/>
      <c r="O2032" s="1837"/>
      <c r="P2032" s="1837"/>
      <c r="Q2032" s="1837"/>
      <c r="R2032" s="1837"/>
      <c r="S2032" s="1837"/>
      <c r="T2032" s="1837"/>
      <c r="U2032" s="1837"/>
      <c r="V2032" s="1837"/>
      <c r="W2032" s="1837"/>
      <c r="X2032" s="1837"/>
    </row>
    <row r="2033" spans="1:24" ht="24" customHeight="1">
      <c r="A2033" s="1933"/>
      <c r="B2033" s="2003" t="s">
        <v>653</v>
      </c>
      <c r="C2033" s="1895" t="s">
        <v>639</v>
      </c>
      <c r="D2033" s="1915"/>
      <c r="E2033" s="2062">
        <v>0</v>
      </c>
      <c r="F2033" s="1842" t="s">
        <v>240</v>
      </c>
      <c r="G2033" s="2046">
        <v>27900</v>
      </c>
      <c r="H2033" s="1854">
        <f t="shared" si="956"/>
        <v>0</v>
      </c>
      <c r="I2033" s="2046">
        <v>4000</v>
      </c>
      <c r="J2033" s="1854">
        <f t="shared" si="957"/>
        <v>0</v>
      </c>
      <c r="K2033" s="1857">
        <f t="shared" si="958"/>
        <v>0</v>
      </c>
      <c r="L2033" s="2043"/>
      <c r="M2033" s="2044"/>
      <c r="N2033" s="1837"/>
      <c r="O2033" s="1837"/>
      <c r="P2033" s="1837"/>
      <c r="Q2033" s="1837"/>
      <c r="R2033" s="1837"/>
      <c r="S2033" s="1837"/>
      <c r="T2033" s="1837"/>
      <c r="U2033" s="1837"/>
      <c r="V2033" s="1837"/>
      <c r="W2033" s="1837"/>
      <c r="X2033" s="1837"/>
    </row>
    <row r="2034" spans="1:24" ht="24" customHeight="1">
      <c r="A2034" s="1782"/>
      <c r="B2034" s="2003"/>
      <c r="C2034" s="1895"/>
      <c r="D2034" s="1915"/>
      <c r="E2034" s="2062"/>
      <c r="F2034" s="1842"/>
      <c r="G2034" s="2046"/>
      <c r="H2034" s="1854"/>
      <c r="I2034" s="2048"/>
      <c r="J2034" s="1854"/>
      <c r="K2034" s="1857"/>
      <c r="L2034" s="2049"/>
      <c r="M2034" s="2044"/>
      <c r="N2034" s="1837"/>
      <c r="O2034" s="1837"/>
      <c r="P2034" s="1837"/>
      <c r="Q2034" s="1837"/>
      <c r="R2034" s="1837"/>
      <c r="S2034" s="1837"/>
      <c r="T2034" s="1837"/>
      <c r="U2034" s="1837"/>
      <c r="V2034" s="1837"/>
      <c r="W2034" s="1837"/>
      <c r="X2034" s="1837"/>
    </row>
    <row r="2035" spans="1:24" ht="24" customHeight="1">
      <c r="A2035" s="1933"/>
      <c r="B2035" s="2003" t="s">
        <v>654</v>
      </c>
      <c r="C2035" s="1895" t="s">
        <v>655</v>
      </c>
      <c r="D2035" s="1915"/>
      <c r="E2035" s="2062">
        <v>2</v>
      </c>
      <c r="F2035" s="1842" t="s">
        <v>240</v>
      </c>
      <c r="G2035" s="2046">
        <v>24170</v>
      </c>
      <c r="H2035" s="1854">
        <f>E2035*G2035</f>
        <v>48340</v>
      </c>
      <c r="I2035" s="2046">
        <v>4000</v>
      </c>
      <c r="J2035" s="1854">
        <f>E2035*I2035</f>
        <v>8000</v>
      </c>
      <c r="K2035" s="1857">
        <f>H2035+J2035</f>
        <v>56340</v>
      </c>
      <c r="L2035" s="2043"/>
      <c r="M2035" s="2044"/>
      <c r="N2035" s="1837"/>
      <c r="O2035" s="1837"/>
      <c r="P2035" s="1837"/>
      <c r="Q2035" s="1837"/>
      <c r="R2035" s="1837"/>
      <c r="S2035" s="1837"/>
      <c r="T2035" s="1837"/>
      <c r="U2035" s="1837"/>
      <c r="V2035" s="1837"/>
      <c r="W2035" s="1837"/>
      <c r="X2035" s="1837"/>
    </row>
    <row r="2036" spans="1:24" ht="24" customHeight="1">
      <c r="A2036" s="1933"/>
      <c r="B2036" s="2003" t="s">
        <v>656</v>
      </c>
      <c r="C2036" s="1895" t="s">
        <v>655</v>
      </c>
      <c r="D2036" s="1915"/>
      <c r="E2036" s="2062">
        <v>4</v>
      </c>
      <c r="F2036" s="1842" t="s">
        <v>240</v>
      </c>
      <c r="G2036" s="2046">
        <v>38620</v>
      </c>
      <c r="H2036" s="1854">
        <f t="shared" ref="H2036:H2040" si="959">E2036*G2036</f>
        <v>154480</v>
      </c>
      <c r="I2036" s="2046">
        <v>4000</v>
      </c>
      <c r="J2036" s="1854">
        <f t="shared" ref="J2036:J2040" si="960">E2036*I2036</f>
        <v>16000</v>
      </c>
      <c r="K2036" s="1857">
        <f t="shared" ref="K2036:K2040" si="961">H2036+J2036</f>
        <v>170480</v>
      </c>
      <c r="L2036" s="2043"/>
      <c r="M2036" s="2044"/>
      <c r="N2036" s="1837"/>
      <c r="O2036" s="1837"/>
      <c r="P2036" s="1837"/>
      <c r="Q2036" s="1837"/>
      <c r="R2036" s="1837"/>
      <c r="S2036" s="1837"/>
      <c r="T2036" s="1837"/>
      <c r="U2036" s="1837"/>
      <c r="V2036" s="1837"/>
      <c r="W2036" s="1837"/>
      <c r="X2036" s="1837"/>
    </row>
    <row r="2037" spans="1:24" ht="24" customHeight="1">
      <c r="A2037" s="1933"/>
      <c r="B2037" s="2003" t="s">
        <v>657</v>
      </c>
      <c r="C2037" s="1895" t="s">
        <v>658</v>
      </c>
      <c r="D2037" s="1915"/>
      <c r="E2037" s="2062">
        <v>2</v>
      </c>
      <c r="F2037" s="1842" t="s">
        <v>240</v>
      </c>
      <c r="G2037" s="2046">
        <v>17400</v>
      </c>
      <c r="H2037" s="1854">
        <f t="shared" si="959"/>
        <v>34800</v>
      </c>
      <c r="I2037" s="2046">
        <v>3000</v>
      </c>
      <c r="J2037" s="1854">
        <f t="shared" si="960"/>
        <v>6000</v>
      </c>
      <c r="K2037" s="1857">
        <f t="shared" si="961"/>
        <v>40800</v>
      </c>
      <c r="L2037" s="2043"/>
      <c r="M2037" s="2044"/>
      <c r="N2037" s="1837"/>
      <c r="O2037" s="1837"/>
      <c r="P2037" s="1837"/>
      <c r="Q2037" s="1837"/>
      <c r="R2037" s="1837"/>
      <c r="S2037" s="1837"/>
      <c r="T2037" s="1837"/>
      <c r="U2037" s="1837"/>
      <c r="V2037" s="1837"/>
      <c r="W2037" s="1837"/>
      <c r="X2037" s="1837"/>
    </row>
    <row r="2038" spans="1:24" ht="24" customHeight="1">
      <c r="A2038" s="1933"/>
      <c r="B2038" s="2310" t="s">
        <v>659</v>
      </c>
      <c r="C2038" s="2311" t="s">
        <v>660</v>
      </c>
      <c r="D2038" s="2312"/>
      <c r="E2038" s="2313">
        <v>4</v>
      </c>
      <c r="F2038" s="2314" t="s">
        <v>240</v>
      </c>
      <c r="G2038" s="2315">
        <v>19450</v>
      </c>
      <c r="H2038" s="2316">
        <f t="shared" si="959"/>
        <v>77800</v>
      </c>
      <c r="I2038" s="2315">
        <v>3000</v>
      </c>
      <c r="J2038" s="2316">
        <f t="shared" si="960"/>
        <v>12000</v>
      </c>
      <c r="K2038" s="2317">
        <f t="shared" si="961"/>
        <v>89800</v>
      </c>
      <c r="L2038" s="2043"/>
      <c r="M2038" s="2044"/>
      <c r="N2038" s="1837"/>
      <c r="O2038" s="1837"/>
      <c r="P2038" s="1837"/>
      <c r="Q2038" s="1837"/>
      <c r="R2038" s="1837"/>
      <c r="S2038" s="1837"/>
      <c r="T2038" s="1837"/>
      <c r="U2038" s="1837"/>
      <c r="V2038" s="1837"/>
      <c r="W2038" s="1837"/>
      <c r="X2038" s="1837"/>
    </row>
    <row r="2039" spans="1:24" ht="24" customHeight="1">
      <c r="A2039" s="1933"/>
      <c r="B2039" s="2003" t="s">
        <v>661</v>
      </c>
      <c r="C2039" s="1895" t="s">
        <v>662</v>
      </c>
      <c r="D2039" s="1915"/>
      <c r="E2039" s="2062">
        <v>2</v>
      </c>
      <c r="F2039" s="1842" t="s">
        <v>240</v>
      </c>
      <c r="G2039" s="2046">
        <v>40120</v>
      </c>
      <c r="H2039" s="1854">
        <f t="shared" si="959"/>
        <v>80240</v>
      </c>
      <c r="I2039" s="2046">
        <v>4000</v>
      </c>
      <c r="J2039" s="1854">
        <f t="shared" si="960"/>
        <v>8000</v>
      </c>
      <c r="K2039" s="1857">
        <f t="shared" si="961"/>
        <v>88240</v>
      </c>
      <c r="L2039" s="2043"/>
      <c r="M2039" s="2044"/>
      <c r="N2039" s="1837"/>
      <c r="O2039" s="1837"/>
      <c r="P2039" s="1837"/>
      <c r="Q2039" s="1837"/>
      <c r="R2039" s="1837"/>
      <c r="S2039" s="1837"/>
      <c r="T2039" s="1837"/>
      <c r="U2039" s="1837"/>
      <c r="V2039" s="1837"/>
      <c r="W2039" s="1837"/>
      <c r="X2039" s="1837"/>
    </row>
    <row r="2040" spans="1:24" ht="24" customHeight="1">
      <c r="A2040" s="1933"/>
      <c r="B2040" s="2003" t="s">
        <v>663</v>
      </c>
      <c r="C2040" s="1895" t="s">
        <v>662</v>
      </c>
      <c r="D2040" s="1915"/>
      <c r="E2040" s="2062">
        <v>0</v>
      </c>
      <c r="F2040" s="1842" t="s">
        <v>240</v>
      </c>
      <c r="G2040" s="2046">
        <v>57600</v>
      </c>
      <c r="H2040" s="1854">
        <f t="shared" si="959"/>
        <v>0</v>
      </c>
      <c r="I2040" s="2046">
        <v>4000</v>
      </c>
      <c r="J2040" s="1854">
        <f t="shared" si="960"/>
        <v>0</v>
      </c>
      <c r="K2040" s="1857">
        <f t="shared" si="961"/>
        <v>0</v>
      </c>
      <c r="L2040" s="2043"/>
      <c r="M2040" s="2044"/>
      <c r="N2040" s="1837"/>
      <c r="O2040" s="1837"/>
      <c r="P2040" s="1837"/>
      <c r="Q2040" s="1837"/>
      <c r="R2040" s="1837"/>
      <c r="S2040" s="1837"/>
      <c r="T2040" s="1837"/>
      <c r="U2040" s="1837"/>
      <c r="V2040" s="1837"/>
      <c r="W2040" s="1837"/>
      <c r="X2040" s="1837"/>
    </row>
    <row r="2041" spans="1:24" ht="24" customHeight="1">
      <c r="A2041" s="1933"/>
      <c r="B2041" s="2003"/>
      <c r="C2041" s="1895"/>
      <c r="D2041" s="1915"/>
      <c r="E2041" s="2062"/>
      <c r="F2041" s="1842"/>
      <c r="G2041" s="2046"/>
      <c r="H2041" s="1854"/>
      <c r="I2041" s="2048"/>
      <c r="J2041" s="1854"/>
      <c r="K2041" s="1857"/>
      <c r="L2041" s="2043"/>
      <c r="M2041" s="2044"/>
      <c r="N2041" s="1837"/>
      <c r="O2041" s="1837"/>
      <c r="P2041" s="1837"/>
      <c r="Q2041" s="1837"/>
      <c r="R2041" s="1837"/>
      <c r="S2041" s="1837"/>
      <c r="T2041" s="1837"/>
      <c r="U2041" s="1837"/>
      <c r="V2041" s="1837"/>
      <c r="W2041" s="1837"/>
      <c r="X2041" s="1837"/>
    </row>
    <row r="2042" spans="1:24" ht="24" customHeight="1">
      <c r="A2042" s="1933"/>
      <c r="B2042" s="2003" t="s">
        <v>664</v>
      </c>
      <c r="C2042" s="1895" t="s">
        <v>665</v>
      </c>
      <c r="D2042" s="1915"/>
      <c r="E2042" s="2062">
        <v>0</v>
      </c>
      <c r="F2042" s="1842" t="s">
        <v>240</v>
      </c>
      <c r="G2042" s="2046">
        <v>18500</v>
      </c>
      <c r="H2042" s="1854">
        <f t="shared" ref="H2042" si="962">E2042*G2042</f>
        <v>0</v>
      </c>
      <c r="I2042" s="2046">
        <v>1200</v>
      </c>
      <c r="J2042" s="1854">
        <f t="shared" ref="J2042" si="963">E2042*I2042</f>
        <v>0</v>
      </c>
      <c r="K2042" s="1857">
        <f t="shared" ref="K2042" si="964">H2042+J2042</f>
        <v>0</v>
      </c>
      <c r="L2042" s="2043"/>
      <c r="M2042" s="2044"/>
      <c r="N2042" s="1837"/>
      <c r="O2042" s="1837"/>
      <c r="P2042" s="1837"/>
      <c r="Q2042" s="1837"/>
      <c r="R2042" s="1837"/>
      <c r="S2042" s="1837"/>
      <c r="T2042" s="1837"/>
      <c r="U2042" s="1837"/>
      <c r="V2042" s="1837"/>
      <c r="W2042" s="1837"/>
      <c r="X2042" s="1837"/>
    </row>
    <row r="2043" spans="1:24" ht="24" customHeight="1">
      <c r="A2043" s="1933"/>
      <c r="B2043" s="2003"/>
      <c r="C2043" s="1895"/>
      <c r="D2043" s="1915"/>
      <c r="E2043" s="2062"/>
      <c r="F2043" s="1842"/>
      <c r="G2043" s="2046"/>
      <c r="H2043" s="1854"/>
      <c r="I2043" s="2046"/>
      <c r="J2043" s="1854"/>
      <c r="K2043" s="1857"/>
      <c r="L2043" s="2043"/>
      <c r="M2043" s="2044"/>
      <c r="N2043" s="1837"/>
      <c r="O2043" s="1837"/>
      <c r="P2043" s="1837"/>
      <c r="Q2043" s="1837"/>
      <c r="R2043" s="1837"/>
      <c r="S2043" s="1837"/>
      <c r="T2043" s="1837"/>
      <c r="U2043" s="1837"/>
      <c r="V2043" s="1837"/>
      <c r="W2043" s="1837"/>
      <c r="X2043" s="1837"/>
    </row>
    <row r="2044" spans="1:24" ht="24" customHeight="1">
      <c r="A2044" s="1933"/>
      <c r="B2044" s="2003" t="s">
        <v>666</v>
      </c>
      <c r="C2044" s="1895" t="s">
        <v>667</v>
      </c>
      <c r="D2044" s="1915"/>
      <c r="E2044" s="2062">
        <v>0</v>
      </c>
      <c r="F2044" s="1842" t="s">
        <v>240</v>
      </c>
      <c r="G2044" s="2046">
        <v>127500</v>
      </c>
      <c r="H2044" s="1854">
        <f t="shared" ref="H2044:H2053" si="965">E2044*G2044</f>
        <v>0</v>
      </c>
      <c r="I2044" s="2046">
        <v>18750</v>
      </c>
      <c r="J2044" s="1854">
        <f t="shared" ref="J2044:J2053" si="966">E2044*I2044</f>
        <v>0</v>
      </c>
      <c r="K2044" s="1857">
        <f t="shared" ref="K2044:K2053" si="967">H2044+J2044</f>
        <v>0</v>
      </c>
      <c r="L2044" s="1910"/>
      <c r="M2044" s="2047"/>
      <c r="N2044" s="1837"/>
      <c r="O2044" s="1837"/>
      <c r="P2044" s="1837"/>
      <c r="Q2044" s="1837"/>
      <c r="R2044" s="1837"/>
      <c r="S2044" s="1837"/>
      <c r="T2044" s="1837"/>
      <c r="U2044" s="1837"/>
      <c r="V2044" s="1837"/>
      <c r="W2044" s="1837"/>
      <c r="X2044" s="1837"/>
    </row>
    <row r="2045" spans="1:24" ht="24" customHeight="1">
      <c r="A2045" s="1933"/>
      <c r="B2045" s="2003" t="s">
        <v>668</v>
      </c>
      <c r="C2045" s="1895" t="s">
        <v>669</v>
      </c>
      <c r="D2045" s="1915"/>
      <c r="E2045" s="2062">
        <v>1</v>
      </c>
      <c r="F2045" s="1842" t="s">
        <v>240</v>
      </c>
      <c r="G2045" s="2046">
        <v>197200</v>
      </c>
      <c r="H2045" s="1854">
        <f t="shared" si="965"/>
        <v>197200</v>
      </c>
      <c r="I2045" s="2046">
        <v>29000</v>
      </c>
      <c r="J2045" s="1854">
        <f t="shared" si="966"/>
        <v>29000</v>
      </c>
      <c r="K2045" s="1857">
        <f t="shared" si="967"/>
        <v>226200</v>
      </c>
      <c r="L2045" s="1910"/>
      <c r="M2045" s="2047"/>
      <c r="N2045" s="1837"/>
      <c r="O2045" s="1837"/>
      <c r="P2045" s="1837"/>
      <c r="Q2045" s="1837"/>
      <c r="R2045" s="1837"/>
      <c r="S2045" s="1837"/>
      <c r="T2045" s="1837"/>
      <c r="U2045" s="1837"/>
      <c r="V2045" s="1837"/>
      <c r="W2045" s="1837"/>
      <c r="X2045" s="1837"/>
    </row>
    <row r="2046" spans="1:24" ht="24" customHeight="1">
      <c r="A2046" s="1933"/>
      <c r="B2046" s="2003" t="s">
        <v>670</v>
      </c>
      <c r="C2046" s="1895" t="s">
        <v>671</v>
      </c>
      <c r="D2046" s="1915"/>
      <c r="E2046" s="2062">
        <v>0</v>
      </c>
      <c r="F2046" s="1842" t="s">
        <v>240</v>
      </c>
      <c r="G2046" s="2046">
        <v>187000</v>
      </c>
      <c r="H2046" s="1854">
        <f t="shared" si="965"/>
        <v>0</v>
      </c>
      <c r="I2046" s="2046">
        <v>27500</v>
      </c>
      <c r="J2046" s="1854">
        <f t="shared" si="966"/>
        <v>0</v>
      </c>
      <c r="K2046" s="1857">
        <f t="shared" si="967"/>
        <v>0</v>
      </c>
      <c r="L2046" s="1910"/>
      <c r="M2046" s="2047"/>
      <c r="N2046" s="1837"/>
      <c r="O2046" s="1837"/>
      <c r="P2046" s="1837"/>
      <c r="Q2046" s="1837"/>
      <c r="R2046" s="1837"/>
      <c r="S2046" s="1837"/>
      <c r="T2046" s="1837"/>
      <c r="U2046" s="1837"/>
      <c r="V2046" s="1837"/>
      <c r="W2046" s="1837"/>
      <c r="X2046" s="1837"/>
    </row>
    <row r="2047" spans="1:24" ht="24" customHeight="1">
      <c r="A2047" s="1933"/>
      <c r="B2047" s="2003" t="s">
        <v>672</v>
      </c>
      <c r="C2047" s="1895" t="s">
        <v>673</v>
      </c>
      <c r="D2047" s="1915"/>
      <c r="E2047" s="2062">
        <v>0</v>
      </c>
      <c r="F2047" s="1842" t="s">
        <v>240</v>
      </c>
      <c r="G2047" s="2046">
        <v>476000</v>
      </c>
      <c r="H2047" s="1854">
        <f t="shared" si="965"/>
        <v>0</v>
      </c>
      <c r="I2047" s="2046">
        <v>70000</v>
      </c>
      <c r="J2047" s="1854">
        <f t="shared" si="966"/>
        <v>0</v>
      </c>
      <c r="K2047" s="1857">
        <f t="shared" si="967"/>
        <v>0</v>
      </c>
      <c r="L2047" s="1910"/>
      <c r="M2047" s="2047"/>
      <c r="N2047" s="1837"/>
      <c r="O2047" s="1837"/>
      <c r="P2047" s="1837"/>
      <c r="Q2047" s="1837"/>
      <c r="R2047" s="1837"/>
      <c r="S2047" s="1837"/>
      <c r="T2047" s="1837"/>
      <c r="U2047" s="1837"/>
      <c r="V2047" s="1837"/>
      <c r="W2047" s="1837"/>
      <c r="X2047" s="1837"/>
    </row>
    <row r="2048" spans="1:24" ht="24" customHeight="1">
      <c r="A2048" s="1933"/>
      <c r="B2048" s="2003" t="s">
        <v>674</v>
      </c>
      <c r="C2048" s="1895" t="s">
        <v>675</v>
      </c>
      <c r="D2048" s="1915"/>
      <c r="E2048" s="2062">
        <v>0</v>
      </c>
      <c r="F2048" s="1842" t="s">
        <v>240</v>
      </c>
      <c r="G2048" s="2046">
        <v>305660</v>
      </c>
      <c r="H2048" s="1854">
        <f t="shared" si="965"/>
        <v>0</v>
      </c>
      <c r="I2048" s="2046">
        <v>44950</v>
      </c>
      <c r="J2048" s="1854">
        <f t="shared" si="966"/>
        <v>0</v>
      </c>
      <c r="K2048" s="1857">
        <f t="shared" si="967"/>
        <v>0</v>
      </c>
      <c r="L2048" s="1910"/>
      <c r="M2048" s="2047"/>
      <c r="N2048" s="1837"/>
      <c r="O2048" s="1837"/>
      <c r="P2048" s="1837"/>
      <c r="Q2048" s="1837"/>
      <c r="R2048" s="1837"/>
      <c r="S2048" s="1837"/>
      <c r="T2048" s="1837"/>
      <c r="U2048" s="1837"/>
      <c r="V2048" s="1837"/>
      <c r="W2048" s="1837"/>
      <c r="X2048" s="1837"/>
    </row>
    <row r="2049" spans="1:24" ht="24" customHeight="1">
      <c r="A2049" s="1933"/>
      <c r="B2049" s="2003" t="s">
        <v>676</v>
      </c>
      <c r="C2049" s="1895" t="s">
        <v>677</v>
      </c>
      <c r="D2049" s="1915"/>
      <c r="E2049" s="2062">
        <v>0</v>
      </c>
      <c r="F2049" s="1842" t="s">
        <v>240</v>
      </c>
      <c r="G2049" s="2046">
        <v>350030</v>
      </c>
      <c r="H2049" s="1854">
        <f t="shared" si="965"/>
        <v>0</v>
      </c>
      <c r="I2049" s="2046">
        <v>51475</v>
      </c>
      <c r="J2049" s="1854">
        <f t="shared" si="966"/>
        <v>0</v>
      </c>
      <c r="K2049" s="1857">
        <f t="shared" si="967"/>
        <v>0</v>
      </c>
      <c r="L2049" s="1910"/>
      <c r="M2049" s="2047"/>
      <c r="N2049" s="1837"/>
      <c r="O2049" s="1837"/>
      <c r="P2049" s="1837"/>
      <c r="Q2049" s="1837"/>
      <c r="R2049" s="1837"/>
      <c r="S2049" s="1837"/>
      <c r="T2049" s="1837"/>
      <c r="U2049" s="1837"/>
      <c r="V2049" s="1837"/>
      <c r="W2049" s="1837"/>
      <c r="X2049" s="1837"/>
    </row>
    <row r="2050" spans="1:24" ht="24" customHeight="1">
      <c r="A2050" s="1933"/>
      <c r="B2050" s="2003" t="s">
        <v>678</v>
      </c>
      <c r="C2050" s="1895" t="s">
        <v>679</v>
      </c>
      <c r="D2050" s="1915"/>
      <c r="E2050" s="2062">
        <v>0</v>
      </c>
      <c r="F2050" s="1842" t="s">
        <v>240</v>
      </c>
      <c r="G2050" s="2046">
        <v>448800</v>
      </c>
      <c r="H2050" s="1854">
        <f t="shared" si="965"/>
        <v>0</v>
      </c>
      <c r="I2050" s="2046">
        <v>66000</v>
      </c>
      <c r="J2050" s="1854">
        <f t="shared" si="966"/>
        <v>0</v>
      </c>
      <c r="K2050" s="1857">
        <f t="shared" si="967"/>
        <v>0</v>
      </c>
      <c r="L2050" s="1910"/>
      <c r="M2050" s="2047"/>
      <c r="N2050" s="1837"/>
      <c r="O2050" s="1837"/>
      <c r="P2050" s="1837"/>
      <c r="Q2050" s="1837"/>
      <c r="R2050" s="1837"/>
      <c r="S2050" s="1837"/>
      <c r="T2050" s="1837"/>
      <c r="U2050" s="1837"/>
      <c r="V2050" s="1837"/>
      <c r="W2050" s="1837"/>
      <c r="X2050" s="1837"/>
    </row>
    <row r="2051" spans="1:24" ht="24" customHeight="1">
      <c r="A2051" s="1933"/>
      <c r="B2051" s="2003" t="s">
        <v>680</v>
      </c>
      <c r="C2051" s="1895" t="s">
        <v>681</v>
      </c>
      <c r="D2051" s="1915"/>
      <c r="E2051" s="2062">
        <v>0</v>
      </c>
      <c r="F2051" s="1842" t="s">
        <v>240</v>
      </c>
      <c r="G2051" s="2046">
        <v>639200</v>
      </c>
      <c r="H2051" s="1854">
        <f t="shared" si="965"/>
        <v>0</v>
      </c>
      <c r="I2051" s="2046">
        <v>94000</v>
      </c>
      <c r="J2051" s="1854">
        <f t="shared" si="966"/>
        <v>0</v>
      </c>
      <c r="K2051" s="1857">
        <f t="shared" si="967"/>
        <v>0</v>
      </c>
      <c r="L2051" s="1910"/>
      <c r="M2051" s="2047"/>
      <c r="N2051" s="1837"/>
      <c r="O2051" s="1837"/>
      <c r="P2051" s="1837"/>
      <c r="Q2051" s="1837"/>
      <c r="R2051" s="1837"/>
      <c r="S2051" s="1837"/>
      <c r="T2051" s="1837"/>
      <c r="U2051" s="1837"/>
      <c r="V2051" s="1837"/>
      <c r="W2051" s="1837"/>
      <c r="X2051" s="1837"/>
    </row>
    <row r="2052" spans="1:24" ht="24" customHeight="1">
      <c r="A2052" s="1933"/>
      <c r="B2052" s="2003" t="s">
        <v>682</v>
      </c>
      <c r="C2052" s="1895" t="s">
        <v>669</v>
      </c>
      <c r="D2052" s="1915"/>
      <c r="E2052" s="2062">
        <v>0</v>
      </c>
      <c r="F2052" s="1842" t="s">
        <v>240</v>
      </c>
      <c r="G2052" s="2046">
        <v>197200</v>
      </c>
      <c r="H2052" s="1854">
        <f t="shared" si="965"/>
        <v>0</v>
      </c>
      <c r="I2052" s="2046">
        <v>29000</v>
      </c>
      <c r="J2052" s="1854">
        <f t="shared" si="966"/>
        <v>0</v>
      </c>
      <c r="K2052" s="1857">
        <f t="shared" si="967"/>
        <v>0</v>
      </c>
      <c r="L2052" s="1910"/>
      <c r="M2052" s="2047"/>
      <c r="N2052" s="1837"/>
      <c r="O2052" s="1837"/>
      <c r="P2052" s="1837"/>
      <c r="Q2052" s="1837"/>
      <c r="R2052" s="1837"/>
      <c r="S2052" s="1837"/>
      <c r="T2052" s="1837"/>
      <c r="U2052" s="1837"/>
      <c r="V2052" s="1837"/>
      <c r="W2052" s="1837"/>
      <c r="X2052" s="1837"/>
    </row>
    <row r="2053" spans="1:24" ht="24" customHeight="1">
      <c r="A2053" s="1933"/>
      <c r="B2053" s="2003" t="s">
        <v>683</v>
      </c>
      <c r="C2053" s="1895" t="s">
        <v>684</v>
      </c>
      <c r="D2053" s="1915"/>
      <c r="E2053" s="2062">
        <v>0</v>
      </c>
      <c r="F2053" s="1842" t="s">
        <v>240</v>
      </c>
      <c r="G2053" s="2046">
        <v>163200</v>
      </c>
      <c r="H2053" s="1854">
        <f t="shared" si="965"/>
        <v>0</v>
      </c>
      <c r="I2053" s="2046">
        <v>24000</v>
      </c>
      <c r="J2053" s="1854">
        <f t="shared" si="966"/>
        <v>0</v>
      </c>
      <c r="K2053" s="1857">
        <f t="shared" si="967"/>
        <v>0</v>
      </c>
      <c r="L2053" s="2043"/>
      <c r="M2053" s="2044"/>
      <c r="N2053" s="1837"/>
      <c r="O2053" s="1837"/>
      <c r="P2053" s="1837"/>
      <c r="Q2053" s="1837"/>
      <c r="R2053" s="1837"/>
      <c r="S2053" s="1837"/>
      <c r="T2053" s="1837"/>
      <c r="U2053" s="1837"/>
      <c r="V2053" s="1837"/>
      <c r="W2053" s="1837"/>
      <c r="X2053" s="1837"/>
    </row>
    <row r="2054" spans="1:24" ht="24" customHeight="1">
      <c r="A2054" s="1933"/>
      <c r="B2054" s="2003"/>
      <c r="C2054" s="1895"/>
      <c r="D2054" s="1915"/>
      <c r="E2054" s="2062"/>
      <c r="F2054" s="1842"/>
      <c r="G2054" s="2050"/>
      <c r="H2054" s="1911"/>
      <c r="I2054" s="2050"/>
      <c r="J2054" s="1913"/>
      <c r="K2054" s="2051"/>
      <c r="L2054" s="2043"/>
      <c r="M2054" s="2044"/>
      <c r="N2054" s="1837"/>
      <c r="O2054" s="1837"/>
      <c r="P2054" s="1837"/>
      <c r="Q2054" s="1837"/>
      <c r="R2054" s="1837"/>
      <c r="S2054" s="1837"/>
      <c r="T2054" s="1837"/>
      <c r="U2054" s="1837"/>
      <c r="V2054" s="1837"/>
      <c r="W2054" s="1837"/>
      <c r="X2054" s="1837"/>
    </row>
    <row r="2055" spans="1:24" ht="24" customHeight="1">
      <c r="A2055" s="1933"/>
      <c r="B2055" s="2003" t="s">
        <v>685</v>
      </c>
      <c r="C2055" s="1895" t="s">
        <v>686</v>
      </c>
      <c r="D2055" s="1915"/>
      <c r="E2055" s="2062">
        <v>4</v>
      </c>
      <c r="F2055" s="1842" t="s">
        <v>240</v>
      </c>
      <c r="G2055" s="2046">
        <v>119580</v>
      </c>
      <c r="H2055" s="1854">
        <f t="shared" ref="H2055:H2068" si="968">E2055*G2055</f>
        <v>478320</v>
      </c>
      <c r="I2055" s="2046">
        <v>0</v>
      </c>
      <c r="J2055" s="1854">
        <f t="shared" ref="J2055:J2068" si="969">E2055*I2055</f>
        <v>0</v>
      </c>
      <c r="K2055" s="1857">
        <f t="shared" ref="K2055:K2068" si="970">H2055+J2055</f>
        <v>478320</v>
      </c>
      <c r="L2055" s="1910" t="s">
        <v>2887</v>
      </c>
      <c r="M2055" s="2047"/>
      <c r="N2055" s="1837"/>
      <c r="O2055" s="2024"/>
      <c r="P2055" s="1836"/>
      <c r="Q2055" s="1836"/>
      <c r="R2055" s="1837"/>
      <c r="S2055" s="1837"/>
      <c r="T2055" s="1837"/>
      <c r="U2055" s="1837"/>
      <c r="V2055" s="1837"/>
      <c r="W2055" s="1837"/>
      <c r="X2055" s="1837"/>
    </row>
    <row r="2056" spans="1:24" ht="24" customHeight="1">
      <c r="A2056" s="1933"/>
      <c r="B2056" s="2003" t="s">
        <v>687</v>
      </c>
      <c r="C2056" s="1895" t="s">
        <v>686</v>
      </c>
      <c r="D2056" s="1915"/>
      <c r="E2056" s="2062">
        <v>0</v>
      </c>
      <c r="F2056" s="1842" t="s">
        <v>240</v>
      </c>
      <c r="G2056" s="2046">
        <v>207000</v>
      </c>
      <c r="H2056" s="1854">
        <f t="shared" si="968"/>
        <v>0</v>
      </c>
      <c r="I2056" s="2046">
        <v>0</v>
      </c>
      <c r="J2056" s="1854">
        <f t="shared" si="969"/>
        <v>0</v>
      </c>
      <c r="K2056" s="1857">
        <f t="shared" si="970"/>
        <v>0</v>
      </c>
      <c r="L2056" s="1910" t="s">
        <v>2887</v>
      </c>
      <c r="M2056" s="2047"/>
      <c r="N2056" s="1837"/>
      <c r="O2056" s="2024"/>
      <c r="P2056" s="1836"/>
      <c r="Q2056" s="1836"/>
      <c r="R2056" s="1837"/>
      <c r="S2056" s="1837"/>
      <c r="T2056" s="1837"/>
      <c r="U2056" s="1837"/>
      <c r="V2056" s="1837"/>
      <c r="W2056" s="1837"/>
      <c r="X2056" s="1837"/>
    </row>
    <row r="2057" spans="1:24" ht="24" customHeight="1">
      <c r="A2057" s="1933"/>
      <c r="B2057" s="2003" t="s">
        <v>688</v>
      </c>
      <c r="C2057" s="1895" t="s">
        <v>686</v>
      </c>
      <c r="D2057" s="1915"/>
      <c r="E2057" s="2062">
        <v>0</v>
      </c>
      <c r="F2057" s="1842" t="s">
        <v>240</v>
      </c>
      <c r="G2057" s="2046">
        <v>267600</v>
      </c>
      <c r="H2057" s="1854">
        <f t="shared" si="968"/>
        <v>0</v>
      </c>
      <c r="I2057" s="2046">
        <v>0</v>
      </c>
      <c r="J2057" s="1854">
        <f t="shared" si="969"/>
        <v>0</v>
      </c>
      <c r="K2057" s="1857">
        <f t="shared" si="970"/>
        <v>0</v>
      </c>
      <c r="L2057" s="1910" t="s">
        <v>2887</v>
      </c>
      <c r="M2057" s="2047"/>
      <c r="N2057" s="1837"/>
      <c r="O2057" s="2024"/>
      <c r="P2057" s="1836"/>
      <c r="Q2057" s="1836"/>
      <c r="R2057" s="1837"/>
      <c r="S2057" s="1837"/>
      <c r="T2057" s="1837"/>
      <c r="U2057" s="1837"/>
      <c r="V2057" s="1837"/>
      <c r="W2057" s="1837"/>
      <c r="X2057" s="1837"/>
    </row>
    <row r="2058" spans="1:24" ht="24" customHeight="1">
      <c r="A2058" s="1933"/>
      <c r="B2058" s="2003" t="s">
        <v>689</v>
      </c>
      <c r="C2058" s="1895" t="s">
        <v>686</v>
      </c>
      <c r="D2058" s="1915"/>
      <c r="E2058" s="2062">
        <v>0</v>
      </c>
      <c r="F2058" s="1842" t="s">
        <v>240</v>
      </c>
      <c r="G2058" s="2046">
        <v>285430</v>
      </c>
      <c r="H2058" s="1854">
        <f t="shared" si="968"/>
        <v>0</v>
      </c>
      <c r="I2058" s="2046">
        <v>0</v>
      </c>
      <c r="J2058" s="1854">
        <f t="shared" si="969"/>
        <v>0</v>
      </c>
      <c r="K2058" s="1857">
        <f t="shared" si="970"/>
        <v>0</v>
      </c>
      <c r="L2058" s="1910" t="s">
        <v>2887</v>
      </c>
      <c r="M2058" s="2047"/>
      <c r="N2058" s="1837"/>
      <c r="O2058" s="2024"/>
      <c r="P2058" s="1836"/>
      <c r="Q2058" s="1836"/>
      <c r="R2058" s="1837"/>
      <c r="S2058" s="1837"/>
      <c r="T2058" s="1837"/>
      <c r="U2058" s="1837"/>
      <c r="V2058" s="1837"/>
      <c r="W2058" s="1837"/>
      <c r="X2058" s="1837"/>
    </row>
    <row r="2059" spans="1:24" ht="24" customHeight="1">
      <c r="A2059" s="1933"/>
      <c r="B2059" s="2003" t="s">
        <v>690</v>
      </c>
      <c r="C2059" s="1895" t="s">
        <v>686</v>
      </c>
      <c r="D2059" s="1915"/>
      <c r="E2059" s="2062">
        <v>2</v>
      </c>
      <c r="F2059" s="1842" t="s">
        <v>240</v>
      </c>
      <c r="G2059" s="2046">
        <v>440100</v>
      </c>
      <c r="H2059" s="1854">
        <f t="shared" si="968"/>
        <v>880200</v>
      </c>
      <c r="I2059" s="2046">
        <v>0</v>
      </c>
      <c r="J2059" s="1854">
        <f t="shared" si="969"/>
        <v>0</v>
      </c>
      <c r="K2059" s="1857">
        <f t="shared" si="970"/>
        <v>880200</v>
      </c>
      <c r="L2059" s="1910" t="s">
        <v>2887</v>
      </c>
      <c r="M2059" s="2047"/>
      <c r="N2059" s="1837"/>
      <c r="O2059" s="2024"/>
      <c r="P2059" s="1836"/>
      <c r="Q2059" s="1836"/>
      <c r="R2059" s="1837"/>
      <c r="S2059" s="1837"/>
      <c r="T2059" s="1837"/>
      <c r="U2059" s="1837"/>
      <c r="V2059" s="1837"/>
      <c r="W2059" s="1837"/>
      <c r="X2059" s="1837"/>
    </row>
    <row r="2060" spans="1:24" ht="24" customHeight="1">
      <c r="A2060" s="1933"/>
      <c r="B2060" s="2003" t="s">
        <v>691</v>
      </c>
      <c r="C2060" s="1895" t="s">
        <v>686</v>
      </c>
      <c r="D2060" s="1915"/>
      <c r="E2060" s="2062">
        <v>0</v>
      </c>
      <c r="F2060" s="1842" t="s">
        <v>240</v>
      </c>
      <c r="G2060" s="2046">
        <v>770900</v>
      </c>
      <c r="H2060" s="1854">
        <f t="shared" si="968"/>
        <v>0</v>
      </c>
      <c r="I2060" s="2046">
        <v>0</v>
      </c>
      <c r="J2060" s="1854">
        <f t="shared" si="969"/>
        <v>0</v>
      </c>
      <c r="K2060" s="1857">
        <f t="shared" si="970"/>
        <v>0</v>
      </c>
      <c r="L2060" s="1910" t="s">
        <v>2887</v>
      </c>
      <c r="M2060" s="2047"/>
      <c r="N2060" s="1837"/>
      <c r="O2060" s="2024"/>
      <c r="P2060" s="1836"/>
      <c r="Q2060" s="1836"/>
      <c r="R2060" s="1837"/>
      <c r="S2060" s="1837"/>
      <c r="T2060" s="1837"/>
      <c r="U2060" s="1837"/>
      <c r="V2060" s="1837"/>
      <c r="W2060" s="1837"/>
      <c r="X2060" s="1837"/>
    </row>
    <row r="2061" spans="1:24" ht="24" customHeight="1">
      <c r="A2061" s="1933"/>
      <c r="B2061" s="2003" t="s">
        <v>692</v>
      </c>
      <c r="C2061" s="1895" t="s">
        <v>686</v>
      </c>
      <c r="D2061" s="1915"/>
      <c r="E2061" s="2062">
        <v>0</v>
      </c>
      <c r="F2061" s="1842" t="s">
        <v>240</v>
      </c>
      <c r="G2061" s="2046">
        <f>904400-90440</f>
        <v>813960</v>
      </c>
      <c r="H2061" s="1854">
        <f t="shared" si="968"/>
        <v>0</v>
      </c>
      <c r="I2061" s="2046">
        <v>0</v>
      </c>
      <c r="J2061" s="1854">
        <f t="shared" si="969"/>
        <v>0</v>
      </c>
      <c r="K2061" s="1857">
        <f t="shared" si="970"/>
        <v>0</v>
      </c>
      <c r="L2061" s="1910" t="s">
        <v>2887</v>
      </c>
      <c r="M2061" s="2047"/>
      <c r="N2061" s="1837"/>
      <c r="O2061" s="2024"/>
      <c r="P2061" s="1836"/>
      <c r="Q2061" s="1836"/>
      <c r="R2061" s="1837"/>
      <c r="S2061" s="1837"/>
      <c r="T2061" s="1837"/>
      <c r="U2061" s="1837"/>
      <c r="V2061" s="1837"/>
      <c r="W2061" s="1837"/>
      <c r="X2061" s="1837"/>
    </row>
    <row r="2062" spans="1:24" ht="24" customHeight="1">
      <c r="A2062" s="1933"/>
      <c r="B2062" s="2003" t="s">
        <v>693</v>
      </c>
      <c r="C2062" s="1895" t="s">
        <v>686</v>
      </c>
      <c r="D2062" s="1915"/>
      <c r="E2062" s="2062">
        <v>2</v>
      </c>
      <c r="F2062" s="1842" t="s">
        <v>240</v>
      </c>
      <c r="G2062" s="2046">
        <v>232000</v>
      </c>
      <c r="H2062" s="1854">
        <f t="shared" si="968"/>
        <v>464000</v>
      </c>
      <c r="I2062" s="2046">
        <v>0</v>
      </c>
      <c r="J2062" s="1854">
        <f t="shared" si="969"/>
        <v>0</v>
      </c>
      <c r="K2062" s="1857">
        <f t="shared" si="970"/>
        <v>464000</v>
      </c>
      <c r="L2062" s="1910" t="s">
        <v>2887</v>
      </c>
      <c r="M2062" s="2047"/>
      <c r="N2062" s="1837"/>
      <c r="O2062" s="2024"/>
      <c r="P2062" s="1836"/>
      <c r="Q2062" s="1836"/>
      <c r="R2062" s="1837"/>
      <c r="S2062" s="1837"/>
      <c r="T2062" s="1837"/>
      <c r="U2062" s="1837"/>
      <c r="V2062" s="1837"/>
      <c r="W2062" s="1837"/>
      <c r="X2062" s="1837"/>
    </row>
    <row r="2063" spans="1:24" ht="24" customHeight="1">
      <c r="A2063" s="1933"/>
      <c r="B2063" s="2003" t="s">
        <v>694</v>
      </c>
      <c r="C2063" s="1895" t="s">
        <v>686</v>
      </c>
      <c r="D2063" s="1915"/>
      <c r="E2063" s="2045">
        <v>0</v>
      </c>
      <c r="F2063" s="1842" t="s">
        <v>240</v>
      </c>
      <c r="G2063" s="2046">
        <v>399100</v>
      </c>
      <c r="H2063" s="1854">
        <f t="shared" si="968"/>
        <v>0</v>
      </c>
      <c r="I2063" s="2046">
        <v>0</v>
      </c>
      <c r="J2063" s="1854">
        <f t="shared" si="969"/>
        <v>0</v>
      </c>
      <c r="K2063" s="1857">
        <f t="shared" si="970"/>
        <v>0</v>
      </c>
      <c r="L2063" s="1910" t="s">
        <v>2887</v>
      </c>
      <c r="M2063" s="2047"/>
      <c r="N2063" s="1837"/>
      <c r="O2063" s="2024"/>
      <c r="P2063" s="1836"/>
      <c r="Q2063" s="1836"/>
      <c r="R2063" s="1837"/>
      <c r="S2063" s="1837"/>
      <c r="T2063" s="1837"/>
      <c r="U2063" s="1837"/>
      <c r="V2063" s="1837"/>
      <c r="W2063" s="1837"/>
      <c r="X2063" s="1837"/>
    </row>
    <row r="2064" spans="1:24" ht="24" customHeight="1">
      <c r="A2064" s="1933"/>
      <c r="B2064" s="2003" t="s">
        <v>695</v>
      </c>
      <c r="C2064" s="1895" t="s">
        <v>686</v>
      </c>
      <c r="D2064" s="1915"/>
      <c r="E2064" s="2062">
        <v>0</v>
      </c>
      <c r="F2064" s="1842" t="s">
        <v>240</v>
      </c>
      <c r="G2064" s="2046">
        <v>528100</v>
      </c>
      <c r="H2064" s="1854">
        <f t="shared" si="968"/>
        <v>0</v>
      </c>
      <c r="I2064" s="2046">
        <v>0</v>
      </c>
      <c r="J2064" s="1854">
        <f t="shared" si="969"/>
        <v>0</v>
      </c>
      <c r="K2064" s="1857">
        <f t="shared" si="970"/>
        <v>0</v>
      </c>
      <c r="L2064" s="1910" t="s">
        <v>2887</v>
      </c>
      <c r="M2064" s="2047"/>
      <c r="N2064" s="1837"/>
      <c r="O2064" s="2024"/>
      <c r="P2064" s="1836"/>
      <c r="Q2064" s="1836"/>
      <c r="R2064" s="1837"/>
      <c r="S2064" s="1837"/>
      <c r="T2064" s="1837"/>
      <c r="U2064" s="1837"/>
      <c r="V2064" s="1837"/>
      <c r="W2064" s="1837"/>
      <c r="X2064" s="1837"/>
    </row>
    <row r="2065" spans="1:24" ht="24" customHeight="1">
      <c r="A2065" s="1933"/>
      <c r="B2065" s="2003" t="s">
        <v>696</v>
      </c>
      <c r="C2065" s="1895" t="s">
        <v>686</v>
      </c>
      <c r="D2065" s="1915"/>
      <c r="E2065" s="2062">
        <v>0</v>
      </c>
      <c r="F2065" s="1842" t="s">
        <v>240</v>
      </c>
      <c r="G2065" s="2046">
        <v>563500</v>
      </c>
      <c r="H2065" s="1854">
        <f t="shared" si="968"/>
        <v>0</v>
      </c>
      <c r="I2065" s="2046">
        <v>0</v>
      </c>
      <c r="J2065" s="1854">
        <f t="shared" si="969"/>
        <v>0</v>
      </c>
      <c r="K2065" s="1857">
        <f t="shared" si="970"/>
        <v>0</v>
      </c>
      <c r="L2065" s="1910" t="s">
        <v>2887</v>
      </c>
      <c r="M2065" s="2047"/>
      <c r="N2065" s="1837"/>
      <c r="O2065" s="2024"/>
      <c r="P2065" s="1836"/>
      <c r="Q2065" s="1836"/>
      <c r="R2065" s="1837"/>
      <c r="S2065" s="1837"/>
      <c r="T2065" s="1837"/>
      <c r="U2065" s="1837"/>
      <c r="V2065" s="1837"/>
      <c r="W2065" s="1837"/>
      <c r="X2065" s="1837"/>
    </row>
    <row r="2066" spans="1:24" ht="24" customHeight="1">
      <c r="A2066" s="1933"/>
      <c r="B2066" s="2003" t="s">
        <v>697</v>
      </c>
      <c r="C2066" s="1895" t="s">
        <v>686</v>
      </c>
      <c r="D2066" s="1915"/>
      <c r="E2066" s="2062">
        <v>0</v>
      </c>
      <c r="F2066" s="1842" t="s">
        <v>240</v>
      </c>
      <c r="G2066" s="2046">
        <v>272800</v>
      </c>
      <c r="H2066" s="1854">
        <f t="shared" si="968"/>
        <v>0</v>
      </c>
      <c r="I2066" s="2046">
        <v>0</v>
      </c>
      <c r="J2066" s="1854">
        <f t="shared" si="969"/>
        <v>0</v>
      </c>
      <c r="K2066" s="1857">
        <f t="shared" si="970"/>
        <v>0</v>
      </c>
      <c r="L2066" s="1910" t="s">
        <v>2887</v>
      </c>
      <c r="M2066" s="2047"/>
      <c r="N2066" s="1837"/>
      <c r="O2066" s="2024"/>
      <c r="P2066" s="1836"/>
      <c r="Q2066" s="1836"/>
      <c r="R2066" s="1837"/>
      <c r="S2066" s="1837"/>
      <c r="T2066" s="1837"/>
      <c r="U2066" s="1837"/>
      <c r="V2066" s="1837"/>
      <c r="W2066" s="1837"/>
      <c r="X2066" s="1837"/>
    </row>
    <row r="2067" spans="1:24" ht="24" customHeight="1">
      <c r="A2067" s="1933"/>
      <c r="B2067" s="2003" t="s">
        <v>698</v>
      </c>
      <c r="C2067" s="1895" t="s">
        <v>686</v>
      </c>
      <c r="D2067" s="1915"/>
      <c r="E2067" s="2062">
        <v>0</v>
      </c>
      <c r="F2067" s="1842" t="s">
        <v>240</v>
      </c>
      <c r="G2067" s="2046">
        <v>6900</v>
      </c>
      <c r="H2067" s="1854">
        <f t="shared" si="968"/>
        <v>0</v>
      </c>
      <c r="I2067" s="2046">
        <v>0</v>
      </c>
      <c r="J2067" s="1854">
        <f t="shared" si="969"/>
        <v>0</v>
      </c>
      <c r="K2067" s="1857">
        <f t="shared" si="970"/>
        <v>0</v>
      </c>
      <c r="L2067" s="1910" t="s">
        <v>2887</v>
      </c>
      <c r="M2067" s="2047"/>
      <c r="N2067" s="1837"/>
      <c r="O2067" s="2024"/>
      <c r="P2067" s="1836"/>
      <c r="Q2067" s="1836"/>
      <c r="R2067" s="1837"/>
      <c r="S2067" s="1837"/>
      <c r="T2067" s="1837"/>
      <c r="U2067" s="1837"/>
      <c r="V2067" s="1837"/>
      <c r="W2067" s="1837"/>
      <c r="X2067" s="1837"/>
    </row>
    <row r="2068" spans="1:24" ht="24" customHeight="1">
      <c r="A2068" s="1933"/>
      <c r="B2068" s="2003" t="s">
        <v>699</v>
      </c>
      <c r="C2068" s="1895" t="s">
        <v>686</v>
      </c>
      <c r="D2068" s="1915"/>
      <c r="E2068" s="2062">
        <v>0</v>
      </c>
      <c r="F2068" s="1842" t="s">
        <v>240</v>
      </c>
      <c r="G2068" s="2046">
        <v>97700</v>
      </c>
      <c r="H2068" s="1854">
        <f t="shared" si="968"/>
        <v>0</v>
      </c>
      <c r="I2068" s="2046">
        <v>0</v>
      </c>
      <c r="J2068" s="1854">
        <f t="shared" si="969"/>
        <v>0</v>
      </c>
      <c r="K2068" s="1857">
        <f t="shared" si="970"/>
        <v>0</v>
      </c>
      <c r="L2068" s="1910" t="s">
        <v>2887</v>
      </c>
      <c r="M2068" s="2047"/>
      <c r="N2068" s="2047">
        <f>SUM(K2011:K2068)</f>
        <v>4733220</v>
      </c>
      <c r="O2068" s="2024"/>
      <c r="P2068" s="1836"/>
      <c r="Q2068" s="1836"/>
      <c r="R2068" s="1837"/>
      <c r="S2068" s="1837"/>
      <c r="T2068" s="1837"/>
      <c r="U2068" s="1837"/>
      <c r="V2068" s="1837"/>
      <c r="W2068" s="1837"/>
      <c r="X2068" s="1837"/>
    </row>
    <row r="2069" spans="1:24" ht="24" customHeight="1">
      <c r="A2069" s="1933"/>
      <c r="B2069" s="2003"/>
      <c r="C2069" s="1895"/>
      <c r="D2069" s="1915"/>
      <c r="E2069" s="2062"/>
      <c r="F2069" s="1842"/>
      <c r="G2069" s="2050"/>
      <c r="H2069" s="1911"/>
      <c r="I2069" s="2050"/>
      <c r="J2069" s="1913"/>
      <c r="K2069" s="1914"/>
      <c r="L2069" s="1910"/>
      <c r="M2069" s="2047"/>
      <c r="N2069" s="2047"/>
      <c r="O2069" s="2024"/>
      <c r="P2069" s="1836"/>
      <c r="Q2069" s="1836"/>
      <c r="R2069" s="1837"/>
      <c r="S2069" s="1837"/>
      <c r="T2069" s="1837"/>
      <c r="U2069" s="1837"/>
      <c r="V2069" s="1837"/>
      <c r="W2069" s="1837"/>
      <c r="X2069" s="1837"/>
    </row>
    <row r="2070" spans="1:24" s="2061" customFormat="1" ht="24" customHeight="1">
      <c r="A2070" s="2053" t="s">
        <v>710</v>
      </c>
      <c r="B2070" s="2054" t="s">
        <v>711</v>
      </c>
      <c r="C2070" s="1905"/>
      <c r="D2070" s="1903"/>
      <c r="E2070" s="2063"/>
      <c r="F2070" s="2057"/>
      <c r="G2070" s="2066"/>
      <c r="H2070" s="1911"/>
      <c r="I2070" s="2065"/>
      <c r="J2070" s="1913"/>
      <c r="K2070" s="1914"/>
      <c r="L2070" s="2067"/>
      <c r="N2070" s="2060"/>
      <c r="O2070" s="2060"/>
      <c r="P2070" s="2060"/>
      <c r="Q2070" s="2060"/>
      <c r="R2070" s="2060"/>
      <c r="S2070" s="2060"/>
      <c r="T2070" s="2060"/>
      <c r="U2070" s="2060"/>
      <c r="V2070" s="2060"/>
      <c r="W2070" s="2060"/>
      <c r="X2070" s="2060"/>
    </row>
    <row r="2071" spans="1:24" ht="24" customHeight="1">
      <c r="A2071" s="1933"/>
      <c r="B2071" s="2003" t="s">
        <v>626</v>
      </c>
      <c r="C2071" s="1895" t="s">
        <v>627</v>
      </c>
      <c r="D2071" s="1915"/>
      <c r="E2071" s="2062">
        <v>3</v>
      </c>
      <c r="F2071" s="1842" t="s">
        <v>240</v>
      </c>
      <c r="G2071" s="2046">
        <v>260300</v>
      </c>
      <c r="H2071" s="1854">
        <f t="shared" ref="H2071:H2079" si="971">E2071*G2071</f>
        <v>780900</v>
      </c>
      <c r="I2071" s="2046">
        <v>0</v>
      </c>
      <c r="J2071" s="1854">
        <f t="shared" ref="J2071:J2079" si="972">E2071*I2071</f>
        <v>0</v>
      </c>
      <c r="K2071" s="1857">
        <f t="shared" ref="K2071:K2079" si="973">H2071+J2071</f>
        <v>780900</v>
      </c>
      <c r="L2071" s="1910" t="s">
        <v>2886</v>
      </c>
      <c r="M2071" s="2047"/>
      <c r="N2071" s="1837"/>
      <c r="O2071" s="1837"/>
      <c r="P2071" s="1837"/>
      <c r="Q2071" s="1837"/>
      <c r="R2071" s="1837"/>
      <c r="S2071" s="1837"/>
      <c r="T2071" s="1837"/>
      <c r="U2071" s="1837"/>
      <c r="V2071" s="1837"/>
      <c r="W2071" s="1837"/>
      <c r="X2071" s="1837"/>
    </row>
    <row r="2072" spans="1:24" ht="24" customHeight="1">
      <c r="A2072" s="1933"/>
      <c r="B2072" s="2003" t="s">
        <v>628</v>
      </c>
      <c r="C2072" s="1895" t="s">
        <v>629</v>
      </c>
      <c r="D2072" s="1915"/>
      <c r="E2072" s="2062">
        <v>0</v>
      </c>
      <c r="F2072" s="1842" t="s">
        <v>240</v>
      </c>
      <c r="G2072" s="2046">
        <v>386900</v>
      </c>
      <c r="H2072" s="1854">
        <f t="shared" si="971"/>
        <v>0</v>
      </c>
      <c r="I2072" s="2046">
        <v>0</v>
      </c>
      <c r="J2072" s="1854">
        <f t="shared" si="972"/>
        <v>0</v>
      </c>
      <c r="K2072" s="1857">
        <f t="shared" si="973"/>
        <v>0</v>
      </c>
      <c r="L2072" s="1910" t="s">
        <v>2886</v>
      </c>
      <c r="M2072" s="2047"/>
      <c r="N2072" s="1837"/>
      <c r="O2072" s="1837"/>
      <c r="P2072" s="1837"/>
      <c r="Q2072" s="1837"/>
      <c r="R2072" s="1837"/>
      <c r="S2072" s="1837"/>
      <c r="T2072" s="1837"/>
      <c r="U2072" s="1837"/>
      <c r="V2072" s="1837"/>
      <c r="W2072" s="1837"/>
      <c r="X2072" s="1837"/>
    </row>
    <row r="2073" spans="1:24" ht="24" customHeight="1">
      <c r="A2073" s="1782"/>
      <c r="B2073" s="2003" t="s">
        <v>630</v>
      </c>
      <c r="C2073" s="1895" t="s">
        <v>2818</v>
      </c>
      <c r="D2073" s="1915"/>
      <c r="E2073" s="2062">
        <v>0</v>
      </c>
      <c r="F2073" s="1842" t="s">
        <v>240</v>
      </c>
      <c r="G2073" s="2046">
        <v>432400</v>
      </c>
      <c r="H2073" s="1854">
        <f t="shared" si="971"/>
        <v>0</v>
      </c>
      <c r="I2073" s="2046">
        <v>0</v>
      </c>
      <c r="J2073" s="1854">
        <f t="shared" si="972"/>
        <v>0</v>
      </c>
      <c r="K2073" s="1857">
        <f t="shared" si="973"/>
        <v>0</v>
      </c>
      <c r="L2073" s="1910" t="s">
        <v>2886</v>
      </c>
      <c r="M2073" s="2047"/>
      <c r="N2073" s="1837"/>
      <c r="O2073" s="1837"/>
      <c r="P2073" s="1837"/>
      <c r="Q2073" s="1837"/>
      <c r="R2073" s="1837"/>
      <c r="S2073" s="1837"/>
      <c r="T2073" s="1837"/>
      <c r="U2073" s="1837"/>
      <c r="V2073" s="1837"/>
      <c r="W2073" s="1837"/>
      <c r="X2073" s="1837"/>
    </row>
    <row r="2074" spans="1:24" ht="24" customHeight="1">
      <c r="A2074" s="1782"/>
      <c r="B2074" s="2003" t="s">
        <v>631</v>
      </c>
      <c r="C2074" s="1895" t="s">
        <v>2818</v>
      </c>
      <c r="D2074" s="1915"/>
      <c r="E2074" s="2062">
        <v>0</v>
      </c>
      <c r="F2074" s="1842" t="s">
        <v>240</v>
      </c>
      <c r="G2074" s="2046">
        <v>440430</v>
      </c>
      <c r="H2074" s="1854">
        <f t="shared" si="971"/>
        <v>0</v>
      </c>
      <c r="I2074" s="2046">
        <v>0</v>
      </c>
      <c r="J2074" s="1854">
        <f t="shared" si="972"/>
        <v>0</v>
      </c>
      <c r="K2074" s="1857">
        <f t="shared" si="973"/>
        <v>0</v>
      </c>
      <c r="L2074" s="1910" t="s">
        <v>2886</v>
      </c>
      <c r="M2074" s="2047"/>
      <c r="N2074" s="1837"/>
      <c r="O2074" s="1837"/>
      <c r="P2074" s="1837"/>
      <c r="Q2074" s="1837"/>
      <c r="R2074" s="1837"/>
      <c r="S2074" s="1837"/>
      <c r="T2074" s="1837"/>
      <c r="U2074" s="1837"/>
      <c r="V2074" s="1837"/>
      <c r="W2074" s="1837"/>
      <c r="X2074" s="1837"/>
    </row>
    <row r="2075" spans="1:24" ht="24" customHeight="1">
      <c r="A2075" s="1782"/>
      <c r="B2075" s="2003" t="s">
        <v>632</v>
      </c>
      <c r="C2075" s="1895" t="s">
        <v>2819</v>
      </c>
      <c r="D2075" s="1915"/>
      <c r="E2075" s="2062">
        <v>0</v>
      </c>
      <c r="F2075" s="1842" t="s">
        <v>240</v>
      </c>
      <c r="G2075" s="2046">
        <v>48800</v>
      </c>
      <c r="H2075" s="1854">
        <f t="shared" si="971"/>
        <v>0</v>
      </c>
      <c r="I2075" s="2046">
        <v>0</v>
      </c>
      <c r="J2075" s="1854">
        <f t="shared" si="972"/>
        <v>0</v>
      </c>
      <c r="K2075" s="1857">
        <f t="shared" si="973"/>
        <v>0</v>
      </c>
      <c r="L2075" s="1910" t="s">
        <v>2886</v>
      </c>
      <c r="M2075" s="2047"/>
      <c r="N2075" s="1837"/>
      <c r="O2075" s="1837"/>
      <c r="P2075" s="1837"/>
      <c r="Q2075" s="1837"/>
      <c r="R2075" s="1837"/>
      <c r="S2075" s="1837"/>
      <c r="T2075" s="1837"/>
      <c r="U2075" s="1837"/>
      <c r="V2075" s="1837"/>
      <c r="W2075" s="1837"/>
      <c r="X2075" s="1837"/>
    </row>
    <row r="2076" spans="1:24" ht="24" customHeight="1">
      <c r="A2076" s="1782"/>
      <c r="B2076" s="2003" t="s">
        <v>633</v>
      </c>
      <c r="C2076" s="1895" t="s">
        <v>634</v>
      </c>
      <c r="D2076" s="1915"/>
      <c r="E2076" s="2062">
        <v>2</v>
      </c>
      <c r="F2076" s="1842" t="s">
        <v>240</v>
      </c>
      <c r="G2076" s="2046">
        <v>28600</v>
      </c>
      <c r="H2076" s="1854">
        <f t="shared" si="971"/>
        <v>57200</v>
      </c>
      <c r="I2076" s="2046">
        <v>0</v>
      </c>
      <c r="J2076" s="1854">
        <f t="shared" si="972"/>
        <v>0</v>
      </c>
      <c r="K2076" s="1857">
        <f t="shared" si="973"/>
        <v>57200</v>
      </c>
      <c r="L2076" s="1910" t="s">
        <v>2886</v>
      </c>
      <c r="M2076" s="2047"/>
      <c r="N2076" s="1837"/>
      <c r="O2076" s="1837"/>
      <c r="P2076" s="1837"/>
      <c r="Q2076" s="1837"/>
      <c r="R2076" s="1837"/>
      <c r="S2076" s="1837"/>
      <c r="T2076" s="1837"/>
      <c r="U2076" s="1837"/>
      <c r="V2076" s="1837"/>
      <c r="W2076" s="1837"/>
      <c r="X2076" s="1837"/>
    </row>
    <row r="2077" spans="1:24" ht="24" customHeight="1">
      <c r="A2077" s="1782"/>
      <c r="B2077" s="2003" t="s">
        <v>635</v>
      </c>
      <c r="C2077" s="1895" t="s">
        <v>629</v>
      </c>
      <c r="D2077" s="1915"/>
      <c r="E2077" s="2062">
        <v>0</v>
      </c>
      <c r="F2077" s="1842" t="s">
        <v>240</v>
      </c>
      <c r="G2077" s="2046">
        <v>814100</v>
      </c>
      <c r="H2077" s="1854">
        <f t="shared" si="971"/>
        <v>0</v>
      </c>
      <c r="I2077" s="2046">
        <v>0</v>
      </c>
      <c r="J2077" s="1854">
        <f t="shared" si="972"/>
        <v>0</v>
      </c>
      <c r="K2077" s="1857">
        <f t="shared" si="973"/>
        <v>0</v>
      </c>
      <c r="L2077" s="1910" t="s">
        <v>2886</v>
      </c>
      <c r="M2077" s="2047"/>
      <c r="N2077" s="1837"/>
      <c r="O2077" s="1837"/>
      <c r="P2077" s="1837"/>
      <c r="Q2077" s="1837"/>
      <c r="R2077" s="1837"/>
      <c r="S2077" s="1837"/>
      <c r="T2077" s="1837"/>
      <c r="U2077" s="1837"/>
      <c r="V2077" s="1837"/>
      <c r="W2077" s="1837"/>
      <c r="X2077" s="1837"/>
    </row>
    <row r="2078" spans="1:24" ht="24" customHeight="1">
      <c r="A2078" s="1782"/>
      <c r="B2078" s="2003" t="s">
        <v>636</v>
      </c>
      <c r="C2078" s="1895" t="s">
        <v>629</v>
      </c>
      <c r="D2078" s="1915"/>
      <c r="E2078" s="2062">
        <v>0</v>
      </c>
      <c r="F2078" s="1842" t="s">
        <v>240</v>
      </c>
      <c r="G2078" s="2046">
        <v>701500</v>
      </c>
      <c r="H2078" s="1854">
        <f t="shared" si="971"/>
        <v>0</v>
      </c>
      <c r="I2078" s="2046">
        <v>0</v>
      </c>
      <c r="J2078" s="1854">
        <f t="shared" si="972"/>
        <v>0</v>
      </c>
      <c r="K2078" s="1857">
        <f t="shared" si="973"/>
        <v>0</v>
      </c>
      <c r="L2078" s="1910" t="s">
        <v>2886</v>
      </c>
      <c r="M2078" s="2047"/>
      <c r="N2078" s="1837"/>
      <c r="O2078" s="1837"/>
      <c r="P2078" s="1837"/>
      <c r="Q2078" s="1837"/>
      <c r="R2078" s="1837"/>
      <c r="S2078" s="1837"/>
      <c r="T2078" s="1837"/>
      <c r="U2078" s="1837"/>
      <c r="V2078" s="1837"/>
      <c r="W2078" s="1837"/>
      <c r="X2078" s="1837"/>
    </row>
    <row r="2079" spans="1:24" ht="24" customHeight="1">
      <c r="A2079" s="1782"/>
      <c r="B2079" s="2003" t="s">
        <v>637</v>
      </c>
      <c r="C2079" s="1895" t="s">
        <v>629</v>
      </c>
      <c r="D2079" s="1915"/>
      <c r="E2079" s="2062">
        <v>0</v>
      </c>
      <c r="F2079" s="1842" t="s">
        <v>240</v>
      </c>
      <c r="G2079" s="2046">
        <v>240700</v>
      </c>
      <c r="H2079" s="1854">
        <f t="shared" si="971"/>
        <v>0</v>
      </c>
      <c r="I2079" s="2046">
        <v>0</v>
      </c>
      <c r="J2079" s="1854">
        <f t="shared" si="972"/>
        <v>0</v>
      </c>
      <c r="K2079" s="1857">
        <f t="shared" si="973"/>
        <v>0</v>
      </c>
      <c r="L2079" s="1910" t="s">
        <v>2886</v>
      </c>
      <c r="M2079" s="2047"/>
      <c r="N2079" s="1837"/>
      <c r="O2079" s="1837"/>
      <c r="P2079" s="1837"/>
      <c r="Q2079" s="1837"/>
      <c r="R2079" s="1837"/>
      <c r="S2079" s="1837"/>
      <c r="T2079" s="1837"/>
      <c r="U2079" s="1837"/>
      <c r="V2079" s="1837"/>
      <c r="W2079" s="1837"/>
      <c r="X2079" s="1837"/>
    </row>
    <row r="2080" spans="1:24" ht="24" customHeight="1">
      <c r="A2080" s="1933"/>
      <c r="B2080" s="2003"/>
      <c r="C2080" s="1895"/>
      <c r="D2080" s="1915"/>
      <c r="E2080" s="2062"/>
      <c r="F2080" s="1842"/>
      <c r="G2080" s="2046"/>
      <c r="H2080" s="1854"/>
      <c r="I2080" s="2048"/>
      <c r="J2080" s="1854"/>
      <c r="K2080" s="1857"/>
      <c r="L2080" s="2043"/>
      <c r="M2080" s="2044"/>
      <c r="N2080" s="1837"/>
      <c r="O2080" s="1837"/>
      <c r="P2080" s="1837"/>
      <c r="Q2080" s="1837"/>
      <c r="R2080" s="1837"/>
      <c r="S2080" s="1837"/>
      <c r="T2080" s="1837"/>
      <c r="U2080" s="1837"/>
      <c r="V2080" s="1837"/>
      <c r="W2080" s="1837"/>
      <c r="X2080" s="1837"/>
    </row>
    <row r="2081" spans="1:24" ht="24" customHeight="1">
      <c r="A2081" s="1782"/>
      <c r="B2081" s="2003" t="s">
        <v>638</v>
      </c>
      <c r="C2081" s="1895" t="s">
        <v>639</v>
      </c>
      <c r="D2081" s="1915"/>
      <c r="E2081" s="2062">
        <v>8</v>
      </c>
      <c r="F2081" s="1842" t="s">
        <v>240</v>
      </c>
      <c r="G2081" s="2046">
        <v>45750</v>
      </c>
      <c r="H2081" s="1854">
        <f>E2081*G2081</f>
        <v>366000</v>
      </c>
      <c r="I2081" s="2046">
        <v>3000</v>
      </c>
      <c r="J2081" s="1854">
        <f>E2081*I2081</f>
        <v>24000</v>
      </c>
      <c r="K2081" s="1857">
        <f>H2081+J2081</f>
        <v>390000</v>
      </c>
      <c r="L2081" s="2043"/>
      <c r="M2081" s="2044"/>
      <c r="N2081" s="1837"/>
      <c r="O2081" s="1837"/>
      <c r="P2081" s="1837"/>
      <c r="Q2081" s="1837"/>
      <c r="R2081" s="1837"/>
      <c r="S2081" s="1837"/>
      <c r="T2081" s="1837"/>
      <c r="U2081" s="1837"/>
      <c r="V2081" s="1837"/>
      <c r="W2081" s="1837"/>
      <c r="X2081" s="1837"/>
    </row>
    <row r="2082" spans="1:24" ht="24" customHeight="1">
      <c r="A2082" s="1933"/>
      <c r="B2082" s="2003" t="s">
        <v>640</v>
      </c>
      <c r="C2082" s="1895" t="s">
        <v>641</v>
      </c>
      <c r="D2082" s="1915"/>
      <c r="E2082" s="2062">
        <v>0</v>
      </c>
      <c r="F2082" s="1842" t="s">
        <v>240</v>
      </c>
      <c r="G2082" s="2046">
        <v>49350</v>
      </c>
      <c r="H2082" s="1854">
        <f t="shared" ref="H2082:H2092" si="974">E2082*G2082</f>
        <v>0</v>
      </c>
      <c r="I2082" s="2046">
        <v>3000</v>
      </c>
      <c r="J2082" s="1854">
        <f t="shared" ref="J2082:J2092" si="975">E2082*I2082</f>
        <v>0</v>
      </c>
      <c r="K2082" s="1857">
        <f t="shared" ref="K2082:K2092" si="976">H2082+J2082</f>
        <v>0</v>
      </c>
      <c r="L2082" s="2043"/>
      <c r="M2082" s="2044"/>
      <c r="N2082" s="1837"/>
      <c r="O2082" s="1837"/>
      <c r="P2082" s="1837"/>
      <c r="Q2082" s="1837"/>
      <c r="R2082" s="1837"/>
      <c r="S2082" s="1837"/>
      <c r="T2082" s="1837"/>
      <c r="U2082" s="1837"/>
      <c r="V2082" s="1837"/>
      <c r="W2082" s="1837"/>
      <c r="X2082" s="1837"/>
    </row>
    <row r="2083" spans="1:24" ht="24" customHeight="1">
      <c r="A2083" s="1933"/>
      <c r="B2083" s="2003" t="s">
        <v>642</v>
      </c>
      <c r="C2083" s="1895" t="s">
        <v>643</v>
      </c>
      <c r="D2083" s="1915"/>
      <c r="E2083" s="2062">
        <v>2</v>
      </c>
      <c r="F2083" s="1842" t="s">
        <v>240</v>
      </c>
      <c r="G2083" s="2046">
        <v>87950</v>
      </c>
      <c r="H2083" s="1854">
        <f t="shared" si="974"/>
        <v>175900</v>
      </c>
      <c r="I2083" s="2046">
        <v>4000</v>
      </c>
      <c r="J2083" s="1854">
        <f t="shared" si="975"/>
        <v>8000</v>
      </c>
      <c r="K2083" s="1857">
        <f t="shared" si="976"/>
        <v>183900</v>
      </c>
      <c r="L2083" s="2043"/>
      <c r="M2083" s="2044"/>
      <c r="N2083" s="1837"/>
      <c r="O2083" s="1837"/>
      <c r="P2083" s="1837"/>
      <c r="Q2083" s="1837"/>
      <c r="R2083" s="1837"/>
      <c r="S2083" s="1837"/>
      <c r="T2083" s="1837"/>
      <c r="U2083" s="1837"/>
      <c r="V2083" s="1837"/>
      <c r="W2083" s="1837"/>
      <c r="X2083" s="1837"/>
    </row>
    <row r="2084" spans="1:24" ht="24" customHeight="1">
      <c r="A2084" s="1933"/>
      <c r="B2084" s="2003" t="s">
        <v>644</v>
      </c>
      <c r="C2084" s="1895" t="s">
        <v>643</v>
      </c>
      <c r="D2084" s="1915"/>
      <c r="E2084" s="2062">
        <v>2</v>
      </c>
      <c r="F2084" s="1842" t="s">
        <v>240</v>
      </c>
      <c r="G2084" s="2046">
        <v>63520</v>
      </c>
      <c r="H2084" s="1854">
        <f t="shared" si="974"/>
        <v>127040</v>
      </c>
      <c r="I2084" s="2046">
        <v>4000</v>
      </c>
      <c r="J2084" s="1854">
        <f t="shared" si="975"/>
        <v>8000</v>
      </c>
      <c r="K2084" s="1857">
        <f t="shared" si="976"/>
        <v>135040</v>
      </c>
      <c r="L2084" s="2043"/>
      <c r="M2084" s="2044"/>
      <c r="N2084" s="1837"/>
      <c r="O2084" s="1837"/>
      <c r="P2084" s="1837"/>
      <c r="Q2084" s="1837"/>
      <c r="R2084" s="1837"/>
      <c r="S2084" s="1837"/>
      <c r="T2084" s="1837"/>
      <c r="U2084" s="1837"/>
      <c r="V2084" s="1837"/>
      <c r="W2084" s="1837"/>
      <c r="X2084" s="1837"/>
    </row>
    <row r="2085" spans="1:24" ht="24" customHeight="1">
      <c r="A2085" s="1933"/>
      <c r="B2085" s="2003" t="s">
        <v>645</v>
      </c>
      <c r="C2085" s="1895" t="s">
        <v>639</v>
      </c>
      <c r="D2085" s="1915"/>
      <c r="E2085" s="2062">
        <v>4</v>
      </c>
      <c r="F2085" s="1842" t="s">
        <v>240</v>
      </c>
      <c r="G2085" s="2046">
        <v>20950</v>
      </c>
      <c r="H2085" s="1854">
        <f t="shared" si="974"/>
        <v>83800</v>
      </c>
      <c r="I2085" s="2046">
        <v>3000</v>
      </c>
      <c r="J2085" s="1854">
        <f t="shared" si="975"/>
        <v>12000</v>
      </c>
      <c r="K2085" s="1857">
        <f t="shared" si="976"/>
        <v>95800</v>
      </c>
      <c r="L2085" s="2043"/>
      <c r="M2085" s="2044"/>
      <c r="N2085" s="1837"/>
      <c r="O2085" s="1837"/>
      <c r="P2085" s="1837"/>
      <c r="Q2085" s="1837"/>
      <c r="R2085" s="1837"/>
      <c r="S2085" s="1837"/>
      <c r="T2085" s="1837"/>
      <c r="U2085" s="1837"/>
      <c r="V2085" s="1837"/>
      <c r="W2085" s="1837"/>
      <c r="X2085" s="1837"/>
    </row>
    <row r="2086" spans="1:24" ht="24" customHeight="1">
      <c r="A2086" s="1933"/>
      <c r="B2086" s="2003" t="s">
        <v>646</v>
      </c>
      <c r="C2086" s="1895" t="s">
        <v>647</v>
      </c>
      <c r="D2086" s="1915"/>
      <c r="E2086" s="2062">
        <v>4</v>
      </c>
      <c r="F2086" s="1842" t="s">
        <v>240</v>
      </c>
      <c r="G2086" s="2046">
        <v>78210</v>
      </c>
      <c r="H2086" s="1854">
        <f t="shared" si="974"/>
        <v>312840</v>
      </c>
      <c r="I2086" s="2046">
        <v>4000</v>
      </c>
      <c r="J2086" s="1854">
        <f t="shared" si="975"/>
        <v>16000</v>
      </c>
      <c r="K2086" s="1857">
        <f t="shared" si="976"/>
        <v>328840</v>
      </c>
      <c r="L2086" s="2043"/>
      <c r="M2086" s="2044"/>
      <c r="N2086" s="1837"/>
      <c r="O2086" s="1837"/>
      <c r="P2086" s="1837"/>
      <c r="Q2086" s="1837"/>
      <c r="R2086" s="1837"/>
      <c r="S2086" s="1837"/>
      <c r="T2086" s="1837"/>
      <c r="U2086" s="1837"/>
      <c r="V2086" s="1837"/>
      <c r="W2086" s="1837"/>
      <c r="X2086" s="1837"/>
    </row>
    <row r="2087" spans="1:24" ht="24" customHeight="1">
      <c r="A2087" s="1933"/>
      <c r="B2087" s="2003" t="s">
        <v>648</v>
      </c>
      <c r="C2087" s="1895" t="s">
        <v>2820</v>
      </c>
      <c r="D2087" s="1915"/>
      <c r="E2087" s="2062">
        <v>0</v>
      </c>
      <c r="F2087" s="1842" t="s">
        <v>240</v>
      </c>
      <c r="G2087" s="2046">
        <v>34220</v>
      </c>
      <c r="H2087" s="1854">
        <f t="shared" si="974"/>
        <v>0</v>
      </c>
      <c r="I2087" s="2046">
        <v>4000</v>
      </c>
      <c r="J2087" s="1854">
        <f t="shared" si="975"/>
        <v>0</v>
      </c>
      <c r="K2087" s="1857">
        <f t="shared" si="976"/>
        <v>0</v>
      </c>
      <c r="L2087" s="2043"/>
      <c r="M2087" s="2044"/>
      <c r="N2087" s="1837"/>
      <c r="O2087" s="1837"/>
      <c r="P2087" s="1837"/>
      <c r="Q2087" s="1837"/>
      <c r="R2087" s="1837"/>
      <c r="S2087" s="1837"/>
      <c r="T2087" s="1837"/>
      <c r="U2087" s="1837"/>
      <c r="V2087" s="1837"/>
      <c r="W2087" s="1837"/>
      <c r="X2087" s="1837"/>
    </row>
    <row r="2088" spans="1:24" ht="24" customHeight="1">
      <c r="A2088" s="1933"/>
      <c r="B2088" s="2003" t="s">
        <v>649</v>
      </c>
      <c r="C2088" s="1895" t="s">
        <v>643</v>
      </c>
      <c r="D2088" s="1915"/>
      <c r="E2088" s="2062">
        <v>0</v>
      </c>
      <c r="F2088" s="1842" t="s">
        <v>240</v>
      </c>
      <c r="G2088" s="2046">
        <v>63520</v>
      </c>
      <c r="H2088" s="1854">
        <f t="shared" si="974"/>
        <v>0</v>
      </c>
      <c r="I2088" s="2046">
        <v>4000</v>
      </c>
      <c r="J2088" s="1854">
        <f t="shared" si="975"/>
        <v>0</v>
      </c>
      <c r="K2088" s="1857">
        <f t="shared" si="976"/>
        <v>0</v>
      </c>
      <c r="L2088" s="2043"/>
      <c r="M2088" s="2044"/>
      <c r="N2088" s="1837"/>
      <c r="O2088" s="1837"/>
      <c r="P2088" s="1837"/>
      <c r="Q2088" s="1837"/>
      <c r="R2088" s="1837"/>
      <c r="S2088" s="1837"/>
      <c r="T2088" s="1837"/>
      <c r="U2088" s="1837"/>
      <c r="V2088" s="1837"/>
      <c r="W2088" s="1837"/>
      <c r="X2088" s="1837"/>
    </row>
    <row r="2089" spans="1:24" ht="24" customHeight="1">
      <c r="A2089" s="1933"/>
      <c r="B2089" s="2003" t="s">
        <v>650</v>
      </c>
      <c r="C2089" s="1895" t="s">
        <v>647</v>
      </c>
      <c r="D2089" s="1915"/>
      <c r="E2089" s="2062">
        <v>2</v>
      </c>
      <c r="F2089" s="1842" t="s">
        <v>240</v>
      </c>
      <c r="G2089" s="2046">
        <v>75710</v>
      </c>
      <c r="H2089" s="1854">
        <f t="shared" si="974"/>
        <v>151420</v>
      </c>
      <c r="I2089" s="2046">
        <v>4000</v>
      </c>
      <c r="J2089" s="1854">
        <f t="shared" si="975"/>
        <v>8000</v>
      </c>
      <c r="K2089" s="1857">
        <f t="shared" si="976"/>
        <v>159420</v>
      </c>
      <c r="L2089" s="2043"/>
      <c r="M2089" s="2044"/>
      <c r="N2089" s="1837"/>
      <c r="O2089" s="1837"/>
      <c r="P2089" s="1837"/>
      <c r="Q2089" s="1837"/>
      <c r="R2089" s="1837"/>
      <c r="S2089" s="1837"/>
      <c r="T2089" s="1837"/>
      <c r="U2089" s="1837"/>
      <c r="V2089" s="1837"/>
      <c r="W2089" s="1837"/>
      <c r="X2089" s="1837"/>
    </row>
    <row r="2090" spans="1:24" ht="24" customHeight="1">
      <c r="A2090" s="1933"/>
      <c r="B2090" s="2003" t="s">
        <v>651</v>
      </c>
      <c r="C2090" s="1895" t="s">
        <v>647</v>
      </c>
      <c r="D2090" s="1915"/>
      <c r="E2090" s="2062">
        <v>0</v>
      </c>
      <c r="F2090" s="1842" t="s">
        <v>240</v>
      </c>
      <c r="G2090" s="2046">
        <v>78210</v>
      </c>
      <c r="H2090" s="1854">
        <f t="shared" si="974"/>
        <v>0</v>
      </c>
      <c r="I2090" s="2046">
        <v>4000</v>
      </c>
      <c r="J2090" s="1854">
        <f t="shared" si="975"/>
        <v>0</v>
      </c>
      <c r="K2090" s="1857">
        <f t="shared" si="976"/>
        <v>0</v>
      </c>
      <c r="L2090" s="2043"/>
      <c r="M2090" s="2044"/>
      <c r="N2090" s="1837"/>
      <c r="O2090" s="1837"/>
      <c r="P2090" s="1837"/>
      <c r="Q2090" s="1837"/>
      <c r="R2090" s="1837"/>
      <c r="S2090" s="1837"/>
      <c r="T2090" s="1837"/>
      <c r="U2090" s="1837"/>
      <c r="V2090" s="1837"/>
      <c r="W2090" s="1837"/>
      <c r="X2090" s="1837"/>
    </row>
    <row r="2091" spans="1:24" ht="24" customHeight="1">
      <c r="A2091" s="1933"/>
      <c r="B2091" s="2003" t="s">
        <v>652</v>
      </c>
      <c r="C2091" s="1895" t="s">
        <v>647</v>
      </c>
      <c r="D2091" s="1915"/>
      <c r="E2091" s="2062">
        <v>2</v>
      </c>
      <c r="F2091" s="1842" t="s">
        <v>240</v>
      </c>
      <c r="G2091" s="2046">
        <v>49870</v>
      </c>
      <c r="H2091" s="1854">
        <f t="shared" si="974"/>
        <v>99740</v>
      </c>
      <c r="I2091" s="2046">
        <v>4000</v>
      </c>
      <c r="J2091" s="1854">
        <f t="shared" si="975"/>
        <v>8000</v>
      </c>
      <c r="K2091" s="1857">
        <f t="shared" si="976"/>
        <v>107740</v>
      </c>
      <c r="L2091" s="2043"/>
      <c r="M2091" s="2044"/>
      <c r="N2091" s="1837"/>
      <c r="O2091" s="1837"/>
      <c r="P2091" s="1837"/>
      <c r="Q2091" s="1837"/>
      <c r="R2091" s="1837"/>
      <c r="S2091" s="1837"/>
      <c r="T2091" s="1837"/>
      <c r="U2091" s="1837"/>
      <c r="V2091" s="1837"/>
      <c r="W2091" s="1837"/>
      <c r="X2091" s="1837"/>
    </row>
    <row r="2092" spans="1:24" ht="24" customHeight="1">
      <c r="A2092" s="1933"/>
      <c r="B2092" s="2003" t="s">
        <v>653</v>
      </c>
      <c r="C2092" s="1895" t="s">
        <v>639</v>
      </c>
      <c r="D2092" s="1915"/>
      <c r="E2092" s="2062">
        <v>0</v>
      </c>
      <c r="F2092" s="1842" t="s">
        <v>240</v>
      </c>
      <c r="G2092" s="2046">
        <v>27900</v>
      </c>
      <c r="H2092" s="1854">
        <f t="shared" si="974"/>
        <v>0</v>
      </c>
      <c r="I2092" s="2046">
        <v>4000</v>
      </c>
      <c r="J2092" s="1854">
        <f t="shared" si="975"/>
        <v>0</v>
      </c>
      <c r="K2092" s="1857">
        <f t="shared" si="976"/>
        <v>0</v>
      </c>
      <c r="L2092" s="2043"/>
      <c r="M2092" s="2044"/>
      <c r="N2092" s="1837"/>
      <c r="O2092" s="1837"/>
      <c r="P2092" s="1837"/>
      <c r="Q2092" s="1837"/>
      <c r="R2092" s="1837"/>
      <c r="S2092" s="1837"/>
      <c r="T2092" s="1837"/>
      <c r="U2092" s="1837"/>
      <c r="V2092" s="1837"/>
      <c r="W2092" s="1837"/>
      <c r="X2092" s="1837"/>
    </row>
    <row r="2093" spans="1:24" ht="24" customHeight="1">
      <c r="A2093" s="1782"/>
      <c r="B2093" s="2003"/>
      <c r="C2093" s="1895"/>
      <c r="D2093" s="1915"/>
      <c r="E2093" s="2062"/>
      <c r="F2093" s="1842"/>
      <c r="G2093" s="2046"/>
      <c r="H2093" s="1854"/>
      <c r="I2093" s="2048"/>
      <c r="J2093" s="1854"/>
      <c r="K2093" s="1857"/>
      <c r="L2093" s="2049"/>
      <c r="M2093" s="2044"/>
      <c r="N2093" s="1837"/>
      <c r="O2093" s="1837"/>
      <c r="P2093" s="1837"/>
      <c r="Q2093" s="1837"/>
      <c r="R2093" s="1837"/>
      <c r="S2093" s="1837"/>
      <c r="T2093" s="1837"/>
      <c r="U2093" s="1837"/>
      <c r="V2093" s="1837"/>
      <c r="W2093" s="1837"/>
      <c r="X2093" s="1837"/>
    </row>
    <row r="2094" spans="1:24" ht="24" customHeight="1">
      <c r="A2094" s="1933"/>
      <c r="B2094" s="2003" t="s">
        <v>654</v>
      </c>
      <c r="C2094" s="1895" t="s">
        <v>655</v>
      </c>
      <c r="D2094" s="1915"/>
      <c r="E2094" s="2062">
        <v>2</v>
      </c>
      <c r="F2094" s="1842" t="s">
        <v>240</v>
      </c>
      <c r="G2094" s="2046">
        <v>24170</v>
      </c>
      <c r="H2094" s="1854">
        <f>E2094*G2094</f>
        <v>48340</v>
      </c>
      <c r="I2094" s="2046">
        <v>4000</v>
      </c>
      <c r="J2094" s="1854">
        <f>E2094*I2094</f>
        <v>8000</v>
      </c>
      <c r="K2094" s="1857">
        <f>H2094+J2094</f>
        <v>56340</v>
      </c>
      <c r="L2094" s="2043"/>
      <c r="M2094" s="2044"/>
      <c r="N2094" s="1837"/>
      <c r="O2094" s="1837"/>
      <c r="P2094" s="1837"/>
      <c r="Q2094" s="1837"/>
      <c r="R2094" s="1837"/>
      <c r="S2094" s="1837"/>
      <c r="T2094" s="1837"/>
      <c r="U2094" s="1837"/>
      <c r="V2094" s="1837"/>
      <c r="W2094" s="1837"/>
      <c r="X2094" s="1837"/>
    </row>
    <row r="2095" spans="1:24" ht="24" customHeight="1">
      <c r="A2095" s="1933"/>
      <c r="B2095" s="2003" t="s">
        <v>656</v>
      </c>
      <c r="C2095" s="1895" t="s">
        <v>655</v>
      </c>
      <c r="D2095" s="1915"/>
      <c r="E2095" s="2062">
        <v>4</v>
      </c>
      <c r="F2095" s="1842" t="s">
        <v>240</v>
      </c>
      <c r="G2095" s="2046">
        <v>38620</v>
      </c>
      <c r="H2095" s="1854">
        <f t="shared" ref="H2095:H2099" si="977">E2095*G2095</f>
        <v>154480</v>
      </c>
      <c r="I2095" s="2046">
        <v>4000</v>
      </c>
      <c r="J2095" s="1854">
        <f t="shared" ref="J2095:J2099" si="978">E2095*I2095</f>
        <v>16000</v>
      </c>
      <c r="K2095" s="1857">
        <f t="shared" ref="K2095:K2099" si="979">H2095+J2095</f>
        <v>170480</v>
      </c>
      <c r="L2095" s="2043"/>
      <c r="M2095" s="2044"/>
      <c r="N2095" s="1837"/>
      <c r="O2095" s="1837"/>
      <c r="P2095" s="1837"/>
      <c r="Q2095" s="1837"/>
      <c r="R2095" s="1837"/>
      <c r="S2095" s="1837"/>
      <c r="T2095" s="1837"/>
      <c r="U2095" s="1837"/>
      <c r="V2095" s="1837"/>
      <c r="W2095" s="1837"/>
      <c r="X2095" s="1837"/>
    </row>
    <row r="2096" spans="1:24" ht="24" customHeight="1">
      <c r="A2096" s="1933"/>
      <c r="B2096" s="2003" t="s">
        <v>657</v>
      </c>
      <c r="C2096" s="1895" t="s">
        <v>658</v>
      </c>
      <c r="D2096" s="1915"/>
      <c r="E2096" s="2062">
        <v>2</v>
      </c>
      <c r="F2096" s="1842" t="s">
        <v>240</v>
      </c>
      <c r="G2096" s="2046">
        <v>17400</v>
      </c>
      <c r="H2096" s="1854">
        <f t="shared" si="977"/>
        <v>34800</v>
      </c>
      <c r="I2096" s="2046">
        <v>3000</v>
      </c>
      <c r="J2096" s="1854">
        <f t="shared" si="978"/>
        <v>6000</v>
      </c>
      <c r="K2096" s="1857">
        <f t="shared" si="979"/>
        <v>40800</v>
      </c>
      <c r="L2096" s="2043"/>
      <c r="M2096" s="2044"/>
      <c r="N2096" s="1837"/>
      <c r="O2096" s="1837"/>
      <c r="P2096" s="1837"/>
      <c r="Q2096" s="1837"/>
      <c r="R2096" s="1837"/>
      <c r="S2096" s="1837"/>
      <c r="T2096" s="1837"/>
      <c r="U2096" s="1837"/>
      <c r="V2096" s="1837"/>
      <c r="W2096" s="1837"/>
      <c r="X2096" s="1837"/>
    </row>
    <row r="2097" spans="1:24" ht="24" customHeight="1">
      <c r="A2097" s="1933"/>
      <c r="B2097" s="2310" t="s">
        <v>659</v>
      </c>
      <c r="C2097" s="2311" t="s">
        <v>660</v>
      </c>
      <c r="D2097" s="2312"/>
      <c r="E2097" s="2313">
        <v>4</v>
      </c>
      <c r="F2097" s="2314" t="s">
        <v>240</v>
      </c>
      <c r="G2097" s="2315">
        <v>19450</v>
      </c>
      <c r="H2097" s="2316">
        <f t="shared" si="977"/>
        <v>77800</v>
      </c>
      <c r="I2097" s="2315">
        <v>3000</v>
      </c>
      <c r="J2097" s="2316">
        <f t="shared" si="978"/>
        <v>12000</v>
      </c>
      <c r="K2097" s="2317">
        <f t="shared" si="979"/>
        <v>89800</v>
      </c>
      <c r="L2097" s="2043"/>
      <c r="M2097" s="2044"/>
      <c r="N2097" s="1837"/>
      <c r="O2097" s="1837"/>
      <c r="P2097" s="1837"/>
      <c r="Q2097" s="1837"/>
      <c r="R2097" s="1837"/>
      <c r="S2097" s="1837"/>
      <c r="T2097" s="1837"/>
      <c r="U2097" s="1837"/>
      <c r="V2097" s="1837"/>
      <c r="W2097" s="1837"/>
      <c r="X2097" s="1837"/>
    </row>
    <row r="2098" spans="1:24" ht="24" customHeight="1">
      <c r="A2098" s="1933"/>
      <c r="B2098" s="2003" t="s">
        <v>661</v>
      </c>
      <c r="C2098" s="1895" t="s">
        <v>662</v>
      </c>
      <c r="D2098" s="1915"/>
      <c r="E2098" s="2062">
        <v>2</v>
      </c>
      <c r="F2098" s="1842" t="s">
        <v>240</v>
      </c>
      <c r="G2098" s="2046">
        <v>40120</v>
      </c>
      <c r="H2098" s="1854">
        <f t="shared" si="977"/>
        <v>80240</v>
      </c>
      <c r="I2098" s="2046">
        <v>4000</v>
      </c>
      <c r="J2098" s="1854">
        <f t="shared" si="978"/>
        <v>8000</v>
      </c>
      <c r="K2098" s="1857">
        <f t="shared" si="979"/>
        <v>88240</v>
      </c>
      <c r="L2098" s="2043"/>
      <c r="M2098" s="2044"/>
      <c r="N2098" s="1837"/>
      <c r="O2098" s="1837"/>
      <c r="P2098" s="1837"/>
      <c r="Q2098" s="1837"/>
      <c r="R2098" s="1837"/>
      <c r="S2098" s="1837"/>
      <c r="T2098" s="1837"/>
      <c r="U2098" s="1837"/>
      <c r="V2098" s="1837"/>
      <c r="W2098" s="1837"/>
      <c r="X2098" s="1837"/>
    </row>
    <row r="2099" spans="1:24" ht="24" customHeight="1">
      <c r="A2099" s="1933"/>
      <c r="B2099" s="2003" t="s">
        <v>663</v>
      </c>
      <c r="C2099" s="1895" t="s">
        <v>662</v>
      </c>
      <c r="D2099" s="1915"/>
      <c r="E2099" s="2062">
        <v>0</v>
      </c>
      <c r="F2099" s="1842" t="s">
        <v>240</v>
      </c>
      <c r="G2099" s="2046">
        <v>57600</v>
      </c>
      <c r="H2099" s="1854">
        <f t="shared" si="977"/>
        <v>0</v>
      </c>
      <c r="I2099" s="2046">
        <v>4000</v>
      </c>
      <c r="J2099" s="1854">
        <f t="shared" si="978"/>
        <v>0</v>
      </c>
      <c r="K2099" s="1857">
        <f t="shared" si="979"/>
        <v>0</v>
      </c>
      <c r="L2099" s="2043"/>
      <c r="M2099" s="2044"/>
      <c r="N2099" s="1837"/>
      <c r="O2099" s="1837"/>
      <c r="P2099" s="1837"/>
      <c r="Q2099" s="1837"/>
      <c r="R2099" s="1837"/>
      <c r="S2099" s="1837"/>
      <c r="T2099" s="1837"/>
      <c r="U2099" s="1837"/>
      <c r="V2099" s="1837"/>
      <c r="W2099" s="1837"/>
      <c r="X2099" s="1837"/>
    </row>
    <row r="2100" spans="1:24" ht="24" customHeight="1">
      <c r="A2100" s="1933"/>
      <c r="B2100" s="2003"/>
      <c r="C2100" s="1895"/>
      <c r="D2100" s="1915"/>
      <c r="E2100" s="2062"/>
      <c r="F2100" s="1842"/>
      <c r="G2100" s="2046"/>
      <c r="H2100" s="1854"/>
      <c r="I2100" s="2048"/>
      <c r="J2100" s="1854"/>
      <c r="K2100" s="1857"/>
      <c r="L2100" s="2043"/>
      <c r="M2100" s="2044"/>
      <c r="N2100" s="1837"/>
      <c r="O2100" s="1837"/>
      <c r="P2100" s="1837"/>
      <c r="Q2100" s="1837"/>
      <c r="R2100" s="1837"/>
      <c r="S2100" s="1837"/>
      <c r="T2100" s="1837"/>
      <c r="U2100" s="1837"/>
      <c r="V2100" s="1837"/>
      <c r="W2100" s="1837"/>
      <c r="X2100" s="1837"/>
    </row>
    <row r="2101" spans="1:24" ht="24" customHeight="1">
      <c r="A2101" s="1933"/>
      <c r="B2101" s="2003" t="s">
        <v>664</v>
      </c>
      <c r="C2101" s="1895" t="s">
        <v>665</v>
      </c>
      <c r="D2101" s="1915"/>
      <c r="E2101" s="2062">
        <v>0</v>
      </c>
      <c r="F2101" s="1842" t="s">
        <v>240</v>
      </c>
      <c r="G2101" s="2046">
        <v>18500</v>
      </c>
      <c r="H2101" s="1854">
        <f t="shared" ref="H2101" si="980">E2101*G2101</f>
        <v>0</v>
      </c>
      <c r="I2101" s="2046">
        <v>1200</v>
      </c>
      <c r="J2101" s="1854">
        <f t="shared" ref="J2101" si="981">E2101*I2101</f>
        <v>0</v>
      </c>
      <c r="K2101" s="1857">
        <f t="shared" ref="K2101" si="982">H2101+J2101</f>
        <v>0</v>
      </c>
      <c r="L2101" s="2043"/>
      <c r="M2101" s="2044"/>
      <c r="N2101" s="1837"/>
      <c r="O2101" s="1837"/>
      <c r="P2101" s="1837"/>
      <c r="Q2101" s="1837"/>
      <c r="R2101" s="1837"/>
      <c r="S2101" s="1837"/>
      <c r="T2101" s="1837"/>
      <c r="U2101" s="1837"/>
      <c r="V2101" s="1837"/>
      <c r="W2101" s="1837"/>
      <c r="X2101" s="1837"/>
    </row>
    <row r="2102" spans="1:24" ht="24" customHeight="1">
      <c r="A2102" s="1933"/>
      <c r="B2102" s="2003"/>
      <c r="C2102" s="1895"/>
      <c r="D2102" s="1915"/>
      <c r="E2102" s="2062"/>
      <c r="F2102" s="1842"/>
      <c r="G2102" s="2046"/>
      <c r="H2102" s="1854"/>
      <c r="I2102" s="2046"/>
      <c r="J2102" s="1854"/>
      <c r="K2102" s="1857"/>
      <c r="L2102" s="2043"/>
      <c r="M2102" s="2044"/>
      <c r="N2102" s="1837"/>
      <c r="O2102" s="1837"/>
      <c r="P2102" s="1837"/>
      <c r="Q2102" s="1837"/>
      <c r="R2102" s="1837"/>
      <c r="S2102" s="1837"/>
      <c r="T2102" s="1837"/>
      <c r="U2102" s="1837"/>
      <c r="V2102" s="1837"/>
      <c r="W2102" s="1837"/>
      <c r="X2102" s="1837"/>
    </row>
    <row r="2103" spans="1:24" ht="24" customHeight="1">
      <c r="A2103" s="1933"/>
      <c r="B2103" s="2003" t="s">
        <v>666</v>
      </c>
      <c r="C2103" s="1895" t="s">
        <v>667</v>
      </c>
      <c r="D2103" s="1915"/>
      <c r="E2103" s="2062">
        <v>0</v>
      </c>
      <c r="F2103" s="1842" t="s">
        <v>240</v>
      </c>
      <c r="G2103" s="2046">
        <v>127500</v>
      </c>
      <c r="H2103" s="1854">
        <f t="shared" ref="H2103:H2112" si="983">E2103*G2103</f>
        <v>0</v>
      </c>
      <c r="I2103" s="2046">
        <v>18750</v>
      </c>
      <c r="J2103" s="1854">
        <f t="shared" ref="J2103:J2112" si="984">E2103*I2103</f>
        <v>0</v>
      </c>
      <c r="K2103" s="1857">
        <f t="shared" ref="K2103:K2112" si="985">H2103+J2103</f>
        <v>0</v>
      </c>
      <c r="L2103" s="1910"/>
      <c r="M2103" s="2047"/>
      <c r="N2103" s="1837"/>
      <c r="O2103" s="1837"/>
      <c r="P2103" s="1837"/>
      <c r="Q2103" s="1837"/>
      <c r="R2103" s="1837"/>
      <c r="S2103" s="1837"/>
      <c r="T2103" s="1837"/>
      <c r="U2103" s="1837"/>
      <c r="V2103" s="1837"/>
      <c r="W2103" s="1837"/>
      <c r="X2103" s="1837"/>
    </row>
    <row r="2104" spans="1:24" ht="24" customHeight="1">
      <c r="A2104" s="1933"/>
      <c r="B2104" s="2003" t="s">
        <v>668</v>
      </c>
      <c r="C2104" s="1895" t="s">
        <v>669</v>
      </c>
      <c r="D2104" s="1915"/>
      <c r="E2104" s="2062">
        <v>1</v>
      </c>
      <c r="F2104" s="1842" t="s">
        <v>240</v>
      </c>
      <c r="G2104" s="2046">
        <v>197200</v>
      </c>
      <c r="H2104" s="1854">
        <f t="shared" si="983"/>
        <v>197200</v>
      </c>
      <c r="I2104" s="2046">
        <v>29000</v>
      </c>
      <c r="J2104" s="1854">
        <f t="shared" si="984"/>
        <v>29000</v>
      </c>
      <c r="K2104" s="1857">
        <f t="shared" si="985"/>
        <v>226200</v>
      </c>
      <c r="L2104" s="1910"/>
      <c r="M2104" s="2047"/>
      <c r="N2104" s="1837"/>
      <c r="O2104" s="1837"/>
      <c r="P2104" s="1837"/>
      <c r="Q2104" s="1837"/>
      <c r="R2104" s="1837"/>
      <c r="S2104" s="1837"/>
      <c r="T2104" s="1837"/>
      <c r="U2104" s="1837"/>
      <c r="V2104" s="1837"/>
      <c r="W2104" s="1837"/>
      <c r="X2104" s="1837"/>
    </row>
    <row r="2105" spans="1:24" ht="24" customHeight="1">
      <c r="A2105" s="1933"/>
      <c r="B2105" s="2003" t="s">
        <v>670</v>
      </c>
      <c r="C2105" s="1895" t="s">
        <v>671</v>
      </c>
      <c r="D2105" s="1915"/>
      <c r="E2105" s="2062">
        <v>0</v>
      </c>
      <c r="F2105" s="1842" t="s">
        <v>240</v>
      </c>
      <c r="G2105" s="2046">
        <v>187000</v>
      </c>
      <c r="H2105" s="1854">
        <f t="shared" si="983"/>
        <v>0</v>
      </c>
      <c r="I2105" s="2046">
        <v>27500</v>
      </c>
      <c r="J2105" s="1854">
        <f t="shared" si="984"/>
        <v>0</v>
      </c>
      <c r="K2105" s="1857">
        <f t="shared" si="985"/>
        <v>0</v>
      </c>
      <c r="L2105" s="1910"/>
      <c r="M2105" s="2047"/>
      <c r="N2105" s="1837"/>
      <c r="O2105" s="1837"/>
      <c r="P2105" s="1837"/>
      <c r="Q2105" s="1837"/>
      <c r="R2105" s="1837"/>
      <c r="S2105" s="1837"/>
      <c r="T2105" s="1837"/>
      <c r="U2105" s="1837"/>
      <c r="V2105" s="1837"/>
      <c r="W2105" s="1837"/>
      <c r="X2105" s="1837"/>
    </row>
    <row r="2106" spans="1:24" ht="24" customHeight="1">
      <c r="A2106" s="1933"/>
      <c r="B2106" s="2003" t="s">
        <v>672</v>
      </c>
      <c r="C2106" s="1895" t="s">
        <v>673</v>
      </c>
      <c r="D2106" s="1915"/>
      <c r="E2106" s="2062">
        <v>0</v>
      </c>
      <c r="F2106" s="1842" t="s">
        <v>240</v>
      </c>
      <c r="G2106" s="2046">
        <v>476000</v>
      </c>
      <c r="H2106" s="1854">
        <f t="shared" si="983"/>
        <v>0</v>
      </c>
      <c r="I2106" s="2046">
        <v>70000</v>
      </c>
      <c r="J2106" s="1854">
        <f t="shared" si="984"/>
        <v>0</v>
      </c>
      <c r="K2106" s="1857">
        <f t="shared" si="985"/>
        <v>0</v>
      </c>
      <c r="L2106" s="1910"/>
      <c r="M2106" s="2047"/>
      <c r="N2106" s="1837"/>
      <c r="O2106" s="1837"/>
      <c r="P2106" s="1837"/>
      <c r="Q2106" s="1837"/>
      <c r="R2106" s="1837"/>
      <c r="S2106" s="1837"/>
      <c r="T2106" s="1837"/>
      <c r="U2106" s="1837"/>
      <c r="V2106" s="1837"/>
      <c r="W2106" s="1837"/>
      <c r="X2106" s="1837"/>
    </row>
    <row r="2107" spans="1:24" ht="24" customHeight="1">
      <c r="A2107" s="1933"/>
      <c r="B2107" s="2003" t="s">
        <v>674</v>
      </c>
      <c r="C2107" s="1895" t="s">
        <v>675</v>
      </c>
      <c r="D2107" s="1915"/>
      <c r="E2107" s="2062">
        <v>0</v>
      </c>
      <c r="F2107" s="1842" t="s">
        <v>240</v>
      </c>
      <c r="G2107" s="2046">
        <v>305660</v>
      </c>
      <c r="H2107" s="1854">
        <f t="shared" si="983"/>
        <v>0</v>
      </c>
      <c r="I2107" s="2046">
        <v>44950</v>
      </c>
      <c r="J2107" s="1854">
        <f t="shared" si="984"/>
        <v>0</v>
      </c>
      <c r="K2107" s="1857">
        <f t="shared" si="985"/>
        <v>0</v>
      </c>
      <c r="L2107" s="1910"/>
      <c r="M2107" s="2047"/>
      <c r="N2107" s="1837"/>
      <c r="O2107" s="1837"/>
      <c r="P2107" s="1837"/>
      <c r="Q2107" s="1837"/>
      <c r="R2107" s="1837"/>
      <c r="S2107" s="1837"/>
      <c r="T2107" s="1837"/>
      <c r="U2107" s="1837"/>
      <c r="V2107" s="1837"/>
      <c r="W2107" s="1837"/>
      <c r="X2107" s="1837"/>
    </row>
    <row r="2108" spans="1:24" ht="24" customHeight="1">
      <c r="A2108" s="1933"/>
      <c r="B2108" s="2003" t="s">
        <v>676</v>
      </c>
      <c r="C2108" s="1895" t="s">
        <v>677</v>
      </c>
      <c r="D2108" s="1915"/>
      <c r="E2108" s="2062">
        <v>0</v>
      </c>
      <c r="F2108" s="1842" t="s">
        <v>240</v>
      </c>
      <c r="G2108" s="2046">
        <v>350030</v>
      </c>
      <c r="H2108" s="1854">
        <f t="shared" si="983"/>
        <v>0</v>
      </c>
      <c r="I2108" s="2046">
        <v>51475</v>
      </c>
      <c r="J2108" s="1854">
        <f t="shared" si="984"/>
        <v>0</v>
      </c>
      <c r="K2108" s="1857">
        <f t="shared" si="985"/>
        <v>0</v>
      </c>
      <c r="L2108" s="1910"/>
      <c r="M2108" s="2047"/>
      <c r="N2108" s="1837"/>
      <c r="O2108" s="1837"/>
      <c r="P2108" s="1837"/>
      <c r="Q2108" s="1837"/>
      <c r="R2108" s="1837"/>
      <c r="S2108" s="1837"/>
      <c r="T2108" s="1837"/>
      <c r="U2108" s="1837"/>
      <c r="V2108" s="1837"/>
      <c r="W2108" s="1837"/>
      <c r="X2108" s="1837"/>
    </row>
    <row r="2109" spans="1:24" ht="24" customHeight="1">
      <c r="A2109" s="1933"/>
      <c r="B2109" s="2003" t="s">
        <v>678</v>
      </c>
      <c r="C2109" s="1895" t="s">
        <v>679</v>
      </c>
      <c r="D2109" s="1915"/>
      <c r="E2109" s="2062">
        <v>0</v>
      </c>
      <c r="F2109" s="1842" t="s">
        <v>240</v>
      </c>
      <c r="G2109" s="2046">
        <v>448800</v>
      </c>
      <c r="H2109" s="1854">
        <f t="shared" si="983"/>
        <v>0</v>
      </c>
      <c r="I2109" s="2046">
        <v>66000</v>
      </c>
      <c r="J2109" s="1854">
        <f t="shared" si="984"/>
        <v>0</v>
      </c>
      <c r="K2109" s="1857">
        <f t="shared" si="985"/>
        <v>0</v>
      </c>
      <c r="L2109" s="1910"/>
      <c r="M2109" s="2047"/>
      <c r="N2109" s="1837"/>
      <c r="O2109" s="1837"/>
      <c r="P2109" s="1837"/>
      <c r="Q2109" s="1837"/>
      <c r="R2109" s="1837"/>
      <c r="S2109" s="1837"/>
      <c r="T2109" s="1837"/>
      <c r="U2109" s="1837"/>
      <c r="V2109" s="1837"/>
      <c r="W2109" s="1837"/>
      <c r="X2109" s="1837"/>
    </row>
    <row r="2110" spans="1:24" ht="24" customHeight="1">
      <c r="A2110" s="1933"/>
      <c r="B2110" s="2003" t="s">
        <v>680</v>
      </c>
      <c r="C2110" s="1895" t="s">
        <v>681</v>
      </c>
      <c r="D2110" s="1915"/>
      <c r="E2110" s="2062">
        <v>0</v>
      </c>
      <c r="F2110" s="1842" t="s">
        <v>240</v>
      </c>
      <c r="G2110" s="2046">
        <v>639200</v>
      </c>
      <c r="H2110" s="1854">
        <f t="shared" si="983"/>
        <v>0</v>
      </c>
      <c r="I2110" s="2046">
        <v>94000</v>
      </c>
      <c r="J2110" s="1854">
        <f t="shared" si="984"/>
        <v>0</v>
      </c>
      <c r="K2110" s="1857">
        <f t="shared" si="985"/>
        <v>0</v>
      </c>
      <c r="L2110" s="1910"/>
      <c r="M2110" s="2047"/>
      <c r="N2110" s="1837"/>
      <c r="O2110" s="1837"/>
      <c r="P2110" s="1837"/>
      <c r="Q2110" s="1837"/>
      <c r="R2110" s="1837"/>
      <c r="S2110" s="1837"/>
      <c r="T2110" s="1837"/>
      <c r="U2110" s="1837"/>
      <c r="V2110" s="1837"/>
      <c r="W2110" s="1837"/>
      <c r="X2110" s="1837"/>
    </row>
    <row r="2111" spans="1:24" ht="24" customHeight="1">
      <c r="A2111" s="1933"/>
      <c r="B2111" s="2003" t="s">
        <v>682</v>
      </c>
      <c r="C2111" s="1895" t="s">
        <v>669</v>
      </c>
      <c r="D2111" s="1915"/>
      <c r="E2111" s="2062">
        <v>0</v>
      </c>
      <c r="F2111" s="1842" t="s">
        <v>240</v>
      </c>
      <c r="G2111" s="2046">
        <v>197200</v>
      </c>
      <c r="H2111" s="1854">
        <f t="shared" si="983"/>
        <v>0</v>
      </c>
      <c r="I2111" s="2046">
        <v>29000</v>
      </c>
      <c r="J2111" s="1854">
        <f t="shared" si="984"/>
        <v>0</v>
      </c>
      <c r="K2111" s="1857">
        <f t="shared" si="985"/>
        <v>0</v>
      </c>
      <c r="L2111" s="1910"/>
      <c r="M2111" s="2047"/>
      <c r="N2111" s="1837"/>
      <c r="O2111" s="1837"/>
      <c r="P2111" s="1837"/>
      <c r="Q2111" s="1837"/>
      <c r="R2111" s="1837"/>
      <c r="S2111" s="1837"/>
      <c r="T2111" s="1837"/>
      <c r="U2111" s="1837"/>
      <c r="V2111" s="1837"/>
      <c r="W2111" s="1837"/>
      <c r="X2111" s="1837"/>
    </row>
    <row r="2112" spans="1:24" ht="24" customHeight="1">
      <c r="A2112" s="1933"/>
      <c r="B2112" s="2003" t="s">
        <v>683</v>
      </c>
      <c r="C2112" s="1895" t="s">
        <v>684</v>
      </c>
      <c r="D2112" s="1915"/>
      <c r="E2112" s="2062">
        <v>0</v>
      </c>
      <c r="F2112" s="1842" t="s">
        <v>240</v>
      </c>
      <c r="G2112" s="2046">
        <v>163200</v>
      </c>
      <c r="H2112" s="1854">
        <f t="shared" si="983"/>
        <v>0</v>
      </c>
      <c r="I2112" s="2046">
        <v>24000</v>
      </c>
      <c r="J2112" s="1854">
        <f t="shared" si="984"/>
        <v>0</v>
      </c>
      <c r="K2112" s="1857">
        <f t="shared" si="985"/>
        <v>0</v>
      </c>
      <c r="L2112" s="2043"/>
      <c r="M2112" s="2044"/>
      <c r="N2112" s="1837"/>
      <c r="O2112" s="1837"/>
      <c r="P2112" s="1837"/>
      <c r="Q2112" s="1837"/>
      <c r="R2112" s="1837"/>
      <c r="S2112" s="1837"/>
      <c r="T2112" s="1837"/>
      <c r="U2112" s="1837"/>
      <c r="V2112" s="1837"/>
      <c r="W2112" s="1837"/>
      <c r="X2112" s="1837"/>
    </row>
    <row r="2113" spans="1:24" ht="24" customHeight="1">
      <c r="A2113" s="1933"/>
      <c r="B2113" s="2003"/>
      <c r="C2113" s="1895"/>
      <c r="D2113" s="1915"/>
      <c r="E2113" s="2062"/>
      <c r="F2113" s="1842"/>
      <c r="G2113" s="2050"/>
      <c r="H2113" s="1911"/>
      <c r="I2113" s="2050"/>
      <c r="J2113" s="1913"/>
      <c r="K2113" s="2051"/>
      <c r="L2113" s="2043"/>
      <c r="M2113" s="2044"/>
      <c r="N2113" s="1837"/>
      <c r="O2113" s="1837"/>
      <c r="P2113" s="1837"/>
      <c r="Q2113" s="1837"/>
      <c r="R2113" s="1837"/>
      <c r="S2113" s="1837"/>
      <c r="T2113" s="1837"/>
      <c r="U2113" s="1837"/>
      <c r="V2113" s="1837"/>
      <c r="W2113" s="1837"/>
      <c r="X2113" s="1837"/>
    </row>
    <row r="2114" spans="1:24" ht="24" customHeight="1">
      <c r="A2114" s="1933"/>
      <c r="B2114" s="2003" t="s">
        <v>685</v>
      </c>
      <c r="C2114" s="1895" t="s">
        <v>686</v>
      </c>
      <c r="D2114" s="1915"/>
      <c r="E2114" s="2062">
        <v>4</v>
      </c>
      <c r="F2114" s="1842" t="s">
        <v>240</v>
      </c>
      <c r="G2114" s="2046">
        <v>119580</v>
      </c>
      <c r="H2114" s="1854">
        <f t="shared" ref="H2114:H2127" si="986">E2114*G2114</f>
        <v>478320</v>
      </c>
      <c r="I2114" s="2046">
        <v>0</v>
      </c>
      <c r="J2114" s="1854">
        <f t="shared" ref="J2114:J2127" si="987">E2114*I2114</f>
        <v>0</v>
      </c>
      <c r="K2114" s="1857">
        <f t="shared" ref="K2114:K2127" si="988">H2114+J2114</f>
        <v>478320</v>
      </c>
      <c r="L2114" s="1910" t="s">
        <v>2887</v>
      </c>
      <c r="M2114" s="2047"/>
      <c r="N2114" s="1837"/>
      <c r="O2114" s="2024"/>
      <c r="P2114" s="1836"/>
      <c r="Q2114" s="1836"/>
      <c r="R2114" s="1837"/>
      <c r="S2114" s="1837"/>
      <c r="T2114" s="1837"/>
      <c r="U2114" s="1837"/>
      <c r="V2114" s="1837"/>
      <c r="W2114" s="1837"/>
      <c r="X2114" s="1837"/>
    </row>
    <row r="2115" spans="1:24" ht="24" customHeight="1">
      <c r="A2115" s="1933"/>
      <c r="B2115" s="2003" t="s">
        <v>687</v>
      </c>
      <c r="C2115" s="1895" t="s">
        <v>686</v>
      </c>
      <c r="D2115" s="1915"/>
      <c r="E2115" s="2062">
        <v>0</v>
      </c>
      <c r="F2115" s="1842" t="s">
        <v>240</v>
      </c>
      <c r="G2115" s="2046">
        <v>207000</v>
      </c>
      <c r="H2115" s="1854">
        <f t="shared" si="986"/>
        <v>0</v>
      </c>
      <c r="I2115" s="2046">
        <v>0</v>
      </c>
      <c r="J2115" s="1854">
        <f t="shared" si="987"/>
        <v>0</v>
      </c>
      <c r="K2115" s="1857">
        <f t="shared" si="988"/>
        <v>0</v>
      </c>
      <c r="L2115" s="1910" t="s">
        <v>2887</v>
      </c>
      <c r="M2115" s="2047"/>
      <c r="N2115" s="1837"/>
      <c r="O2115" s="2024"/>
      <c r="P2115" s="1836"/>
      <c r="Q2115" s="1836"/>
      <c r="R2115" s="1837"/>
      <c r="S2115" s="1837"/>
      <c r="T2115" s="1837"/>
      <c r="U2115" s="1837"/>
      <c r="V2115" s="1837"/>
      <c r="W2115" s="1837"/>
      <c r="X2115" s="1837"/>
    </row>
    <row r="2116" spans="1:24" ht="24" customHeight="1">
      <c r="A2116" s="1933"/>
      <c r="B2116" s="2003" t="s">
        <v>688</v>
      </c>
      <c r="C2116" s="1895" t="s">
        <v>686</v>
      </c>
      <c r="D2116" s="1915"/>
      <c r="E2116" s="2062">
        <v>0</v>
      </c>
      <c r="F2116" s="1842" t="s">
        <v>240</v>
      </c>
      <c r="G2116" s="2046">
        <v>267600</v>
      </c>
      <c r="H2116" s="1854">
        <f t="shared" si="986"/>
        <v>0</v>
      </c>
      <c r="I2116" s="2046">
        <v>0</v>
      </c>
      <c r="J2116" s="1854">
        <f t="shared" si="987"/>
        <v>0</v>
      </c>
      <c r="K2116" s="1857">
        <f t="shared" si="988"/>
        <v>0</v>
      </c>
      <c r="L2116" s="1910" t="s">
        <v>2887</v>
      </c>
      <c r="M2116" s="2047"/>
      <c r="N2116" s="1837"/>
      <c r="O2116" s="2024"/>
      <c r="P2116" s="1836"/>
      <c r="Q2116" s="1836"/>
      <c r="R2116" s="1837"/>
      <c r="S2116" s="1837"/>
      <c r="T2116" s="1837"/>
      <c r="U2116" s="1837"/>
      <c r="V2116" s="1837"/>
      <c r="W2116" s="1837"/>
      <c r="X2116" s="1837"/>
    </row>
    <row r="2117" spans="1:24" ht="24" customHeight="1">
      <c r="A2117" s="1933"/>
      <c r="B2117" s="2003" t="s">
        <v>689</v>
      </c>
      <c r="C2117" s="1895" t="s">
        <v>686</v>
      </c>
      <c r="D2117" s="1915"/>
      <c r="E2117" s="2062">
        <v>0</v>
      </c>
      <c r="F2117" s="1842" t="s">
        <v>240</v>
      </c>
      <c r="G2117" s="2046">
        <v>285430</v>
      </c>
      <c r="H2117" s="1854">
        <f t="shared" si="986"/>
        <v>0</v>
      </c>
      <c r="I2117" s="2046">
        <v>0</v>
      </c>
      <c r="J2117" s="1854">
        <f t="shared" si="987"/>
        <v>0</v>
      </c>
      <c r="K2117" s="1857">
        <f t="shared" si="988"/>
        <v>0</v>
      </c>
      <c r="L2117" s="1910" t="s">
        <v>2887</v>
      </c>
      <c r="M2117" s="2047"/>
      <c r="N2117" s="1837"/>
      <c r="O2117" s="2024"/>
      <c r="P2117" s="1836"/>
      <c r="Q2117" s="1836"/>
      <c r="R2117" s="1837"/>
      <c r="S2117" s="1837"/>
      <c r="T2117" s="1837"/>
      <c r="U2117" s="1837"/>
      <c r="V2117" s="1837"/>
      <c r="W2117" s="1837"/>
      <c r="X2117" s="1837"/>
    </row>
    <row r="2118" spans="1:24" ht="24" customHeight="1">
      <c r="A2118" s="1933"/>
      <c r="B2118" s="2003" t="s">
        <v>690</v>
      </c>
      <c r="C2118" s="1895" t="s">
        <v>686</v>
      </c>
      <c r="D2118" s="1915"/>
      <c r="E2118" s="2062">
        <v>2</v>
      </c>
      <c r="F2118" s="1842" t="s">
        <v>240</v>
      </c>
      <c r="G2118" s="2046">
        <v>440100</v>
      </c>
      <c r="H2118" s="1854">
        <f t="shared" si="986"/>
        <v>880200</v>
      </c>
      <c r="I2118" s="2046">
        <v>0</v>
      </c>
      <c r="J2118" s="1854">
        <f t="shared" si="987"/>
        <v>0</v>
      </c>
      <c r="K2118" s="1857">
        <f t="shared" si="988"/>
        <v>880200</v>
      </c>
      <c r="L2118" s="1910" t="s">
        <v>2887</v>
      </c>
      <c r="M2118" s="2047"/>
      <c r="N2118" s="1837"/>
      <c r="O2118" s="2024"/>
      <c r="P2118" s="1836"/>
      <c r="Q2118" s="1836"/>
      <c r="R2118" s="1837"/>
      <c r="S2118" s="1837"/>
      <c r="T2118" s="1837"/>
      <c r="U2118" s="1837"/>
      <c r="V2118" s="1837"/>
      <c r="W2118" s="1837"/>
      <c r="X2118" s="1837"/>
    </row>
    <row r="2119" spans="1:24" ht="24" customHeight="1">
      <c r="A2119" s="1933"/>
      <c r="B2119" s="2003" t="s">
        <v>691</v>
      </c>
      <c r="C2119" s="1895" t="s">
        <v>686</v>
      </c>
      <c r="D2119" s="1915"/>
      <c r="E2119" s="2062">
        <v>0</v>
      </c>
      <c r="F2119" s="1842" t="s">
        <v>240</v>
      </c>
      <c r="G2119" s="2046">
        <v>770900</v>
      </c>
      <c r="H2119" s="1854">
        <f t="shared" si="986"/>
        <v>0</v>
      </c>
      <c r="I2119" s="2046">
        <v>0</v>
      </c>
      <c r="J2119" s="1854">
        <f t="shared" si="987"/>
        <v>0</v>
      </c>
      <c r="K2119" s="1857">
        <f t="shared" si="988"/>
        <v>0</v>
      </c>
      <c r="L2119" s="1910" t="s">
        <v>2887</v>
      </c>
      <c r="M2119" s="2047"/>
      <c r="N2119" s="1837"/>
      <c r="O2119" s="2024"/>
      <c r="P2119" s="1836"/>
      <c r="Q2119" s="1836"/>
      <c r="R2119" s="1837"/>
      <c r="S2119" s="1837"/>
      <c r="T2119" s="1837"/>
      <c r="U2119" s="1837"/>
      <c r="V2119" s="1837"/>
      <c r="W2119" s="1837"/>
      <c r="X2119" s="1837"/>
    </row>
    <row r="2120" spans="1:24" ht="24" customHeight="1">
      <c r="A2120" s="1933"/>
      <c r="B2120" s="2003" t="s">
        <v>692</v>
      </c>
      <c r="C2120" s="1895" t="s">
        <v>686</v>
      </c>
      <c r="D2120" s="1915"/>
      <c r="E2120" s="2062">
        <v>0</v>
      </c>
      <c r="F2120" s="1842" t="s">
        <v>240</v>
      </c>
      <c r="G2120" s="2046">
        <f>904400-90440</f>
        <v>813960</v>
      </c>
      <c r="H2120" s="1854">
        <f t="shared" si="986"/>
        <v>0</v>
      </c>
      <c r="I2120" s="2046">
        <v>0</v>
      </c>
      <c r="J2120" s="1854">
        <f t="shared" si="987"/>
        <v>0</v>
      </c>
      <c r="K2120" s="1857">
        <f t="shared" si="988"/>
        <v>0</v>
      </c>
      <c r="L2120" s="1910" t="s">
        <v>2887</v>
      </c>
      <c r="M2120" s="2047"/>
      <c r="N2120" s="1837"/>
      <c r="O2120" s="2024"/>
      <c r="P2120" s="1836"/>
      <c r="Q2120" s="1836"/>
      <c r="R2120" s="1837"/>
      <c r="S2120" s="1837"/>
      <c r="T2120" s="1837"/>
      <c r="U2120" s="1837"/>
      <c r="V2120" s="1837"/>
      <c r="W2120" s="1837"/>
      <c r="X2120" s="1837"/>
    </row>
    <row r="2121" spans="1:24" ht="24" customHeight="1">
      <c r="A2121" s="1933"/>
      <c r="B2121" s="2003" t="s">
        <v>693</v>
      </c>
      <c r="C2121" s="1895" t="s">
        <v>686</v>
      </c>
      <c r="D2121" s="1915"/>
      <c r="E2121" s="2062">
        <v>2</v>
      </c>
      <c r="F2121" s="1842" t="s">
        <v>240</v>
      </c>
      <c r="G2121" s="2046">
        <v>232000</v>
      </c>
      <c r="H2121" s="1854">
        <f t="shared" si="986"/>
        <v>464000</v>
      </c>
      <c r="I2121" s="2046">
        <v>0</v>
      </c>
      <c r="J2121" s="1854">
        <f t="shared" si="987"/>
        <v>0</v>
      </c>
      <c r="K2121" s="1857">
        <f t="shared" si="988"/>
        <v>464000</v>
      </c>
      <c r="L2121" s="1910" t="s">
        <v>2887</v>
      </c>
      <c r="M2121" s="2047"/>
      <c r="N2121" s="1837"/>
      <c r="O2121" s="2024"/>
      <c r="P2121" s="1836"/>
      <c r="Q2121" s="1836"/>
      <c r="R2121" s="1837"/>
      <c r="S2121" s="1837"/>
      <c r="T2121" s="1837"/>
      <c r="U2121" s="1837"/>
      <c r="V2121" s="1837"/>
      <c r="W2121" s="1837"/>
      <c r="X2121" s="1837"/>
    </row>
    <row r="2122" spans="1:24" ht="24" customHeight="1">
      <c r="A2122" s="1933"/>
      <c r="B2122" s="2003" t="s">
        <v>694</v>
      </c>
      <c r="C2122" s="1895" t="s">
        <v>686</v>
      </c>
      <c r="D2122" s="1915"/>
      <c r="E2122" s="2062">
        <v>0</v>
      </c>
      <c r="F2122" s="1842" t="s">
        <v>240</v>
      </c>
      <c r="G2122" s="2046">
        <v>399100</v>
      </c>
      <c r="H2122" s="1854">
        <f t="shared" si="986"/>
        <v>0</v>
      </c>
      <c r="I2122" s="2046">
        <v>0</v>
      </c>
      <c r="J2122" s="1854">
        <f t="shared" si="987"/>
        <v>0</v>
      </c>
      <c r="K2122" s="1857">
        <f t="shared" si="988"/>
        <v>0</v>
      </c>
      <c r="L2122" s="1910" t="s">
        <v>2887</v>
      </c>
      <c r="M2122" s="2047"/>
      <c r="N2122" s="1837"/>
      <c r="O2122" s="2024"/>
      <c r="P2122" s="1836"/>
      <c r="Q2122" s="1836"/>
      <c r="R2122" s="1837"/>
      <c r="S2122" s="1837"/>
      <c r="T2122" s="1837"/>
      <c r="U2122" s="1837"/>
      <c r="V2122" s="1837"/>
      <c r="W2122" s="1837"/>
      <c r="X2122" s="1837"/>
    </row>
    <row r="2123" spans="1:24" ht="24" customHeight="1">
      <c r="A2123" s="1933"/>
      <c r="B2123" s="2003" t="s">
        <v>695</v>
      </c>
      <c r="C2123" s="1895" t="s">
        <v>686</v>
      </c>
      <c r="D2123" s="1915"/>
      <c r="E2123" s="2062">
        <v>0</v>
      </c>
      <c r="F2123" s="1842" t="s">
        <v>240</v>
      </c>
      <c r="G2123" s="2046">
        <v>528100</v>
      </c>
      <c r="H2123" s="1854">
        <f t="shared" si="986"/>
        <v>0</v>
      </c>
      <c r="I2123" s="2046">
        <v>0</v>
      </c>
      <c r="J2123" s="1854">
        <f t="shared" si="987"/>
        <v>0</v>
      </c>
      <c r="K2123" s="1857">
        <f t="shared" si="988"/>
        <v>0</v>
      </c>
      <c r="L2123" s="1910" t="s">
        <v>2887</v>
      </c>
      <c r="M2123" s="2047"/>
      <c r="N2123" s="1837"/>
      <c r="O2123" s="2024"/>
      <c r="P2123" s="1836"/>
      <c r="Q2123" s="1836"/>
      <c r="R2123" s="1837"/>
      <c r="S2123" s="1837"/>
      <c r="T2123" s="1837"/>
      <c r="U2123" s="1837"/>
      <c r="V2123" s="1837"/>
      <c r="W2123" s="1837"/>
      <c r="X2123" s="1837"/>
    </row>
    <row r="2124" spans="1:24" ht="24" customHeight="1">
      <c r="A2124" s="1933"/>
      <c r="B2124" s="2003" t="s">
        <v>696</v>
      </c>
      <c r="C2124" s="1895" t="s">
        <v>686</v>
      </c>
      <c r="D2124" s="1915"/>
      <c r="E2124" s="2062">
        <v>0</v>
      </c>
      <c r="F2124" s="1842" t="s">
        <v>240</v>
      </c>
      <c r="G2124" s="2046">
        <v>563500</v>
      </c>
      <c r="H2124" s="1854">
        <f t="shared" si="986"/>
        <v>0</v>
      </c>
      <c r="I2124" s="2046">
        <v>0</v>
      </c>
      <c r="J2124" s="1854">
        <f t="shared" si="987"/>
        <v>0</v>
      </c>
      <c r="K2124" s="1857">
        <f t="shared" si="988"/>
        <v>0</v>
      </c>
      <c r="L2124" s="1910" t="s">
        <v>2887</v>
      </c>
      <c r="M2124" s="2047"/>
      <c r="N2124" s="1837"/>
      <c r="O2124" s="2024"/>
      <c r="P2124" s="1836"/>
      <c r="Q2124" s="1836"/>
      <c r="R2124" s="1837"/>
      <c r="S2124" s="1837"/>
      <c r="T2124" s="1837"/>
      <c r="U2124" s="1837"/>
      <c r="V2124" s="1837"/>
      <c r="W2124" s="1837"/>
      <c r="X2124" s="1837"/>
    </row>
    <row r="2125" spans="1:24" ht="24" customHeight="1">
      <c r="A2125" s="1933"/>
      <c r="B2125" s="2003" t="s">
        <v>697</v>
      </c>
      <c r="C2125" s="1895" t="s">
        <v>686</v>
      </c>
      <c r="D2125" s="1915"/>
      <c r="E2125" s="2062">
        <v>0</v>
      </c>
      <c r="F2125" s="1842" t="s">
        <v>240</v>
      </c>
      <c r="G2125" s="2046">
        <v>272800</v>
      </c>
      <c r="H2125" s="1854">
        <f t="shared" si="986"/>
        <v>0</v>
      </c>
      <c r="I2125" s="2046">
        <v>0</v>
      </c>
      <c r="J2125" s="1854">
        <f t="shared" si="987"/>
        <v>0</v>
      </c>
      <c r="K2125" s="1857">
        <f t="shared" si="988"/>
        <v>0</v>
      </c>
      <c r="L2125" s="1910" t="s">
        <v>2887</v>
      </c>
      <c r="M2125" s="2047"/>
      <c r="N2125" s="1837"/>
      <c r="O2125" s="2024"/>
      <c r="P2125" s="1836"/>
      <c r="Q2125" s="1836"/>
      <c r="R2125" s="1837"/>
      <c r="S2125" s="1837"/>
      <c r="T2125" s="1837"/>
      <c r="U2125" s="1837"/>
      <c r="V2125" s="1837"/>
      <c r="W2125" s="1837"/>
      <c r="X2125" s="1837"/>
    </row>
    <row r="2126" spans="1:24" ht="24" customHeight="1">
      <c r="A2126" s="1933"/>
      <c r="B2126" s="2003" t="s">
        <v>698</v>
      </c>
      <c r="C2126" s="1895" t="s">
        <v>686</v>
      </c>
      <c r="D2126" s="1915"/>
      <c r="E2126" s="2062">
        <v>0</v>
      </c>
      <c r="F2126" s="1842" t="s">
        <v>240</v>
      </c>
      <c r="G2126" s="2046">
        <v>6900</v>
      </c>
      <c r="H2126" s="1854">
        <f t="shared" si="986"/>
        <v>0</v>
      </c>
      <c r="I2126" s="2046">
        <v>0</v>
      </c>
      <c r="J2126" s="1854">
        <f t="shared" si="987"/>
        <v>0</v>
      </c>
      <c r="K2126" s="1857">
        <f t="shared" si="988"/>
        <v>0</v>
      </c>
      <c r="L2126" s="1910" t="s">
        <v>2887</v>
      </c>
      <c r="M2126" s="2047"/>
      <c r="N2126" s="1837"/>
      <c r="O2126" s="2024"/>
      <c r="P2126" s="1836"/>
      <c r="Q2126" s="1836"/>
      <c r="R2126" s="1837"/>
      <c r="S2126" s="1837"/>
      <c r="T2126" s="1837"/>
      <c r="U2126" s="1837"/>
      <c r="V2126" s="1837"/>
      <c r="W2126" s="1837"/>
      <c r="X2126" s="1837"/>
    </row>
    <row r="2127" spans="1:24" ht="24" customHeight="1">
      <c r="A2127" s="1933"/>
      <c r="B2127" s="2003" t="s">
        <v>699</v>
      </c>
      <c r="C2127" s="1895" t="s">
        <v>686</v>
      </c>
      <c r="D2127" s="1915"/>
      <c r="E2127" s="2062">
        <v>0</v>
      </c>
      <c r="F2127" s="1842" t="s">
        <v>240</v>
      </c>
      <c r="G2127" s="2046">
        <v>97700</v>
      </c>
      <c r="H2127" s="1854">
        <f t="shared" si="986"/>
        <v>0</v>
      </c>
      <c r="I2127" s="2046">
        <v>0</v>
      </c>
      <c r="J2127" s="1854">
        <f t="shared" si="987"/>
        <v>0</v>
      </c>
      <c r="K2127" s="1857">
        <f t="shared" si="988"/>
        <v>0</v>
      </c>
      <c r="L2127" s="1910" t="s">
        <v>2887</v>
      </c>
      <c r="M2127" s="2047"/>
      <c r="N2127" s="2047">
        <f>SUM(K2070:K2127)</f>
        <v>4733220</v>
      </c>
      <c r="O2127" s="2024"/>
      <c r="P2127" s="1836"/>
      <c r="Q2127" s="1836"/>
      <c r="R2127" s="1837"/>
      <c r="S2127" s="1837"/>
      <c r="T2127" s="1837"/>
      <c r="U2127" s="1837"/>
      <c r="V2127" s="1837"/>
      <c r="W2127" s="1837"/>
      <c r="X2127" s="1837"/>
    </row>
    <row r="2128" spans="1:24" s="2061" customFormat="1" ht="24" customHeight="1">
      <c r="A2128" s="2053" t="s">
        <v>712</v>
      </c>
      <c r="B2128" s="2054" t="s">
        <v>713</v>
      </c>
      <c r="C2128" s="1905"/>
      <c r="D2128" s="1903"/>
      <c r="E2128" s="2063"/>
      <c r="F2128" s="2057"/>
      <c r="G2128" s="2066"/>
      <c r="H2128" s="1911"/>
      <c r="I2128" s="2065"/>
      <c r="J2128" s="1913"/>
      <c r="K2128" s="1914"/>
      <c r="L2128" s="2067"/>
      <c r="N2128" s="2060"/>
      <c r="O2128" s="2060"/>
      <c r="P2128" s="2060"/>
      <c r="Q2128" s="2060"/>
      <c r="R2128" s="2060"/>
      <c r="S2128" s="2060"/>
      <c r="T2128" s="2060"/>
      <c r="U2128" s="2060"/>
      <c r="V2128" s="2060"/>
      <c r="W2128" s="2060"/>
      <c r="X2128" s="2060"/>
    </row>
    <row r="2129" spans="1:24" ht="24" customHeight="1">
      <c r="A2129" s="1933"/>
      <c r="B2129" s="2003" t="s">
        <v>626</v>
      </c>
      <c r="C2129" s="1895" t="s">
        <v>627</v>
      </c>
      <c r="D2129" s="1915"/>
      <c r="E2129" s="2062">
        <v>3</v>
      </c>
      <c r="F2129" s="1842" t="s">
        <v>240</v>
      </c>
      <c r="G2129" s="2046">
        <v>260300</v>
      </c>
      <c r="H2129" s="1854">
        <f t="shared" ref="H2129:H2137" si="989">E2129*G2129</f>
        <v>780900</v>
      </c>
      <c r="I2129" s="2046">
        <v>0</v>
      </c>
      <c r="J2129" s="1854">
        <f t="shared" ref="J2129:J2137" si="990">E2129*I2129</f>
        <v>0</v>
      </c>
      <c r="K2129" s="1857">
        <f t="shared" ref="K2129:K2137" si="991">H2129+J2129</f>
        <v>780900</v>
      </c>
      <c r="L2129" s="1910" t="s">
        <v>2886</v>
      </c>
      <c r="M2129" s="2047"/>
      <c r="N2129" s="1837"/>
      <c r="O2129" s="1837"/>
      <c r="P2129" s="1837"/>
      <c r="Q2129" s="1837"/>
      <c r="R2129" s="1837"/>
      <c r="S2129" s="1837"/>
      <c r="T2129" s="1837"/>
      <c r="U2129" s="1837"/>
      <c r="V2129" s="1837"/>
      <c r="W2129" s="1837"/>
      <c r="X2129" s="1837"/>
    </row>
    <row r="2130" spans="1:24" ht="24" customHeight="1">
      <c r="A2130" s="1933"/>
      <c r="B2130" s="2003" t="s">
        <v>628</v>
      </c>
      <c r="C2130" s="1895" t="s">
        <v>629</v>
      </c>
      <c r="D2130" s="1915"/>
      <c r="E2130" s="2062">
        <v>0</v>
      </c>
      <c r="F2130" s="1842" t="s">
        <v>240</v>
      </c>
      <c r="G2130" s="2046">
        <v>386900</v>
      </c>
      <c r="H2130" s="1854">
        <f t="shared" si="989"/>
        <v>0</v>
      </c>
      <c r="I2130" s="2046">
        <v>0</v>
      </c>
      <c r="J2130" s="1854">
        <f t="shared" si="990"/>
        <v>0</v>
      </c>
      <c r="K2130" s="1857">
        <f t="shared" si="991"/>
        <v>0</v>
      </c>
      <c r="L2130" s="1910" t="s">
        <v>2886</v>
      </c>
      <c r="M2130" s="2047"/>
      <c r="N2130" s="1837"/>
      <c r="O2130" s="1837"/>
      <c r="P2130" s="1837"/>
      <c r="Q2130" s="1837"/>
      <c r="R2130" s="1837"/>
      <c r="S2130" s="1837"/>
      <c r="T2130" s="1837"/>
      <c r="U2130" s="1837"/>
      <c r="V2130" s="1837"/>
      <c r="W2130" s="1837"/>
      <c r="X2130" s="1837"/>
    </row>
    <row r="2131" spans="1:24" ht="24" customHeight="1">
      <c r="A2131" s="1782"/>
      <c r="B2131" s="2003" t="s">
        <v>630</v>
      </c>
      <c r="C2131" s="1895" t="s">
        <v>2818</v>
      </c>
      <c r="D2131" s="1915"/>
      <c r="E2131" s="2062">
        <v>0</v>
      </c>
      <c r="F2131" s="1842" t="s">
        <v>240</v>
      </c>
      <c r="G2131" s="2046">
        <v>432400</v>
      </c>
      <c r="H2131" s="1854">
        <f t="shared" si="989"/>
        <v>0</v>
      </c>
      <c r="I2131" s="2046">
        <v>0</v>
      </c>
      <c r="J2131" s="1854">
        <f t="shared" si="990"/>
        <v>0</v>
      </c>
      <c r="K2131" s="1857">
        <f t="shared" si="991"/>
        <v>0</v>
      </c>
      <c r="L2131" s="1910" t="s">
        <v>2886</v>
      </c>
      <c r="M2131" s="2047"/>
      <c r="N2131" s="1837"/>
      <c r="O2131" s="1837"/>
      <c r="P2131" s="1837"/>
      <c r="Q2131" s="1837"/>
      <c r="R2131" s="1837"/>
      <c r="S2131" s="1837"/>
      <c r="T2131" s="1837"/>
      <c r="U2131" s="1837"/>
      <c r="V2131" s="1837"/>
      <c r="W2131" s="1837"/>
      <c r="X2131" s="1837"/>
    </row>
    <row r="2132" spans="1:24" ht="24" customHeight="1">
      <c r="A2132" s="1782"/>
      <c r="B2132" s="2003" t="s">
        <v>631</v>
      </c>
      <c r="C2132" s="1895" t="s">
        <v>2818</v>
      </c>
      <c r="D2132" s="1915"/>
      <c r="E2132" s="2062">
        <v>0</v>
      </c>
      <c r="F2132" s="1842" t="s">
        <v>240</v>
      </c>
      <c r="G2132" s="2046">
        <v>440430</v>
      </c>
      <c r="H2132" s="1854">
        <f t="shared" si="989"/>
        <v>0</v>
      </c>
      <c r="I2132" s="2046">
        <v>0</v>
      </c>
      <c r="J2132" s="1854">
        <f t="shared" si="990"/>
        <v>0</v>
      </c>
      <c r="K2132" s="1857">
        <f t="shared" si="991"/>
        <v>0</v>
      </c>
      <c r="L2132" s="1910" t="s">
        <v>2886</v>
      </c>
      <c r="M2132" s="2047"/>
      <c r="N2132" s="1837"/>
      <c r="O2132" s="1837"/>
      <c r="P2132" s="1837"/>
      <c r="Q2132" s="1837"/>
      <c r="R2132" s="1837"/>
      <c r="S2132" s="1837"/>
      <c r="T2132" s="1837"/>
      <c r="U2132" s="1837"/>
      <c r="V2132" s="1837"/>
      <c r="W2132" s="1837"/>
      <c r="X2132" s="1837"/>
    </row>
    <row r="2133" spans="1:24" ht="24" customHeight="1">
      <c r="A2133" s="1782"/>
      <c r="B2133" s="2003" t="s">
        <v>632</v>
      </c>
      <c r="C2133" s="1895" t="s">
        <v>2819</v>
      </c>
      <c r="D2133" s="1915"/>
      <c r="E2133" s="2062">
        <v>0</v>
      </c>
      <c r="F2133" s="1842" t="s">
        <v>240</v>
      </c>
      <c r="G2133" s="2046">
        <v>48800</v>
      </c>
      <c r="H2133" s="1854">
        <f t="shared" si="989"/>
        <v>0</v>
      </c>
      <c r="I2133" s="2046">
        <v>0</v>
      </c>
      <c r="J2133" s="1854">
        <f t="shared" si="990"/>
        <v>0</v>
      </c>
      <c r="K2133" s="1857">
        <f t="shared" si="991"/>
        <v>0</v>
      </c>
      <c r="L2133" s="1910" t="s">
        <v>2886</v>
      </c>
      <c r="M2133" s="2047"/>
      <c r="N2133" s="1837"/>
      <c r="O2133" s="1837"/>
      <c r="P2133" s="1837"/>
      <c r="Q2133" s="1837"/>
      <c r="R2133" s="1837"/>
      <c r="S2133" s="1837"/>
      <c r="T2133" s="1837"/>
      <c r="U2133" s="1837"/>
      <c r="V2133" s="1837"/>
      <c r="W2133" s="1837"/>
      <c r="X2133" s="1837"/>
    </row>
    <row r="2134" spans="1:24" ht="24" customHeight="1">
      <c r="A2134" s="1782"/>
      <c r="B2134" s="2003" t="s">
        <v>633</v>
      </c>
      <c r="C2134" s="1895" t="s">
        <v>634</v>
      </c>
      <c r="D2134" s="1915"/>
      <c r="E2134" s="2062">
        <v>2</v>
      </c>
      <c r="F2134" s="1842" t="s">
        <v>240</v>
      </c>
      <c r="G2134" s="2046">
        <v>28600</v>
      </c>
      <c r="H2134" s="1854">
        <f t="shared" si="989"/>
        <v>57200</v>
      </c>
      <c r="I2134" s="2046">
        <v>0</v>
      </c>
      <c r="J2134" s="1854">
        <f t="shared" si="990"/>
        <v>0</v>
      </c>
      <c r="K2134" s="1857">
        <f t="shared" si="991"/>
        <v>57200</v>
      </c>
      <c r="L2134" s="1910" t="s">
        <v>2886</v>
      </c>
      <c r="M2134" s="2047"/>
      <c r="N2134" s="1837"/>
      <c r="O2134" s="1837"/>
      <c r="P2134" s="1837"/>
      <c r="Q2134" s="1837"/>
      <c r="R2134" s="1837"/>
      <c r="S2134" s="1837"/>
      <c r="T2134" s="1837"/>
      <c r="U2134" s="1837"/>
      <c r="V2134" s="1837"/>
      <c r="W2134" s="1837"/>
      <c r="X2134" s="1837"/>
    </row>
    <row r="2135" spans="1:24" ht="24" customHeight="1">
      <c r="A2135" s="1782"/>
      <c r="B2135" s="2003" t="s">
        <v>635</v>
      </c>
      <c r="C2135" s="1895" t="s">
        <v>629</v>
      </c>
      <c r="D2135" s="1915"/>
      <c r="E2135" s="2062">
        <v>0</v>
      </c>
      <c r="F2135" s="1842" t="s">
        <v>240</v>
      </c>
      <c r="G2135" s="2046">
        <v>814100</v>
      </c>
      <c r="H2135" s="1854">
        <f t="shared" si="989"/>
        <v>0</v>
      </c>
      <c r="I2135" s="2046">
        <v>0</v>
      </c>
      <c r="J2135" s="1854">
        <f t="shared" si="990"/>
        <v>0</v>
      </c>
      <c r="K2135" s="1857">
        <f t="shared" si="991"/>
        <v>0</v>
      </c>
      <c r="L2135" s="1910" t="s">
        <v>2886</v>
      </c>
      <c r="M2135" s="2047"/>
      <c r="N2135" s="1837"/>
      <c r="O2135" s="1837"/>
      <c r="P2135" s="1837"/>
      <c r="Q2135" s="1837"/>
      <c r="R2135" s="1837"/>
      <c r="S2135" s="1837"/>
      <c r="T2135" s="1837"/>
      <c r="U2135" s="1837"/>
      <c r="V2135" s="1837"/>
      <c r="W2135" s="1837"/>
      <c r="X2135" s="1837"/>
    </row>
    <row r="2136" spans="1:24" ht="24" customHeight="1">
      <c r="A2136" s="1782"/>
      <c r="B2136" s="2003" t="s">
        <v>636</v>
      </c>
      <c r="C2136" s="1895" t="s">
        <v>629</v>
      </c>
      <c r="D2136" s="1915"/>
      <c r="E2136" s="2062">
        <v>0</v>
      </c>
      <c r="F2136" s="1842" t="s">
        <v>240</v>
      </c>
      <c r="G2136" s="2046">
        <v>701500</v>
      </c>
      <c r="H2136" s="1854">
        <f t="shared" si="989"/>
        <v>0</v>
      </c>
      <c r="I2136" s="2046">
        <v>0</v>
      </c>
      <c r="J2136" s="1854">
        <f t="shared" si="990"/>
        <v>0</v>
      </c>
      <c r="K2136" s="1857">
        <f t="shared" si="991"/>
        <v>0</v>
      </c>
      <c r="L2136" s="1910" t="s">
        <v>2886</v>
      </c>
      <c r="M2136" s="2047"/>
      <c r="N2136" s="1837"/>
      <c r="O2136" s="1837"/>
      <c r="P2136" s="1837"/>
      <c r="Q2136" s="1837"/>
      <c r="R2136" s="1837"/>
      <c r="S2136" s="1837"/>
      <c r="T2136" s="1837"/>
      <c r="U2136" s="1837"/>
      <c r="V2136" s="1837"/>
      <c r="W2136" s="1837"/>
      <c r="X2136" s="1837"/>
    </row>
    <row r="2137" spans="1:24" ht="24" customHeight="1">
      <c r="A2137" s="1782"/>
      <c r="B2137" s="2003" t="s">
        <v>637</v>
      </c>
      <c r="C2137" s="1895" t="s">
        <v>629</v>
      </c>
      <c r="D2137" s="1915"/>
      <c r="E2137" s="2062">
        <v>0</v>
      </c>
      <c r="F2137" s="1842" t="s">
        <v>240</v>
      </c>
      <c r="G2137" s="2046">
        <v>240700</v>
      </c>
      <c r="H2137" s="1854">
        <f t="shared" si="989"/>
        <v>0</v>
      </c>
      <c r="I2137" s="2046">
        <v>0</v>
      </c>
      <c r="J2137" s="1854">
        <f t="shared" si="990"/>
        <v>0</v>
      </c>
      <c r="K2137" s="1857">
        <f t="shared" si="991"/>
        <v>0</v>
      </c>
      <c r="L2137" s="1910" t="s">
        <v>2886</v>
      </c>
      <c r="M2137" s="2047"/>
      <c r="N2137" s="1837"/>
      <c r="O2137" s="1837"/>
      <c r="P2137" s="1837"/>
      <c r="Q2137" s="1837"/>
      <c r="R2137" s="1837"/>
      <c r="S2137" s="1837"/>
      <c r="T2137" s="1837"/>
      <c r="U2137" s="1837"/>
      <c r="V2137" s="1837"/>
      <c r="W2137" s="1837"/>
      <c r="X2137" s="1837"/>
    </row>
    <row r="2138" spans="1:24" ht="24" customHeight="1">
      <c r="A2138" s="1933"/>
      <c r="B2138" s="2003"/>
      <c r="C2138" s="1895"/>
      <c r="D2138" s="1915"/>
      <c r="E2138" s="2062"/>
      <c r="F2138" s="1842"/>
      <c r="G2138" s="2046"/>
      <c r="H2138" s="1854"/>
      <c r="I2138" s="2048"/>
      <c r="J2138" s="1854"/>
      <c r="K2138" s="1857"/>
      <c r="L2138" s="2043"/>
      <c r="M2138" s="2044"/>
      <c r="N2138" s="1837"/>
      <c r="O2138" s="1837"/>
      <c r="P2138" s="1837"/>
      <c r="Q2138" s="1837"/>
      <c r="R2138" s="1837"/>
      <c r="S2138" s="1837"/>
      <c r="T2138" s="1837"/>
      <c r="U2138" s="1837"/>
      <c r="V2138" s="1837"/>
      <c r="W2138" s="1837"/>
      <c r="X2138" s="1837"/>
    </row>
    <row r="2139" spans="1:24" ht="24" customHeight="1">
      <c r="A2139" s="1782"/>
      <c r="B2139" s="2003" t="s">
        <v>638</v>
      </c>
      <c r="C2139" s="1895" t="s">
        <v>639</v>
      </c>
      <c r="D2139" s="1915"/>
      <c r="E2139" s="2062">
        <v>8</v>
      </c>
      <c r="F2139" s="1842" t="s">
        <v>240</v>
      </c>
      <c r="G2139" s="2046">
        <v>45750</v>
      </c>
      <c r="H2139" s="1854">
        <f>E2139*G2139</f>
        <v>366000</v>
      </c>
      <c r="I2139" s="2046">
        <v>3000</v>
      </c>
      <c r="J2139" s="1854">
        <f>E2139*I2139</f>
        <v>24000</v>
      </c>
      <c r="K2139" s="1857">
        <f>H2139+J2139</f>
        <v>390000</v>
      </c>
      <c r="L2139" s="2043"/>
      <c r="M2139" s="2044"/>
      <c r="N2139" s="1837"/>
      <c r="O2139" s="1837"/>
      <c r="P2139" s="1837"/>
      <c r="Q2139" s="1837"/>
      <c r="R2139" s="1837"/>
      <c r="S2139" s="1837"/>
      <c r="T2139" s="1837"/>
      <c r="U2139" s="1837"/>
      <c r="V2139" s="1837"/>
      <c r="W2139" s="1837"/>
      <c r="X2139" s="1837"/>
    </row>
    <row r="2140" spans="1:24" ht="24" customHeight="1">
      <c r="A2140" s="1933"/>
      <c r="B2140" s="2003" t="s">
        <v>640</v>
      </c>
      <c r="C2140" s="1895" t="s">
        <v>641</v>
      </c>
      <c r="D2140" s="1915"/>
      <c r="E2140" s="2062">
        <v>0</v>
      </c>
      <c r="F2140" s="1842" t="s">
        <v>240</v>
      </c>
      <c r="G2140" s="2046">
        <v>49350</v>
      </c>
      <c r="H2140" s="1854">
        <f t="shared" ref="H2140:H2150" si="992">E2140*G2140</f>
        <v>0</v>
      </c>
      <c r="I2140" s="2046">
        <v>3000</v>
      </c>
      <c r="J2140" s="1854">
        <f t="shared" ref="J2140:J2150" si="993">E2140*I2140</f>
        <v>0</v>
      </c>
      <c r="K2140" s="1857">
        <f t="shared" ref="K2140:K2150" si="994">H2140+J2140</f>
        <v>0</v>
      </c>
      <c r="L2140" s="2043"/>
      <c r="M2140" s="2044"/>
      <c r="N2140" s="1837"/>
      <c r="O2140" s="1837"/>
      <c r="P2140" s="1837"/>
      <c r="Q2140" s="1837"/>
      <c r="R2140" s="1837"/>
      <c r="S2140" s="1837"/>
      <c r="T2140" s="1837"/>
      <c r="U2140" s="1837"/>
      <c r="V2140" s="1837"/>
      <c r="W2140" s="1837"/>
      <c r="X2140" s="1837"/>
    </row>
    <row r="2141" spans="1:24" ht="24" customHeight="1">
      <c r="A2141" s="1933"/>
      <c r="B2141" s="2003" t="s">
        <v>642</v>
      </c>
      <c r="C2141" s="1895" t="s">
        <v>643</v>
      </c>
      <c r="D2141" s="1915"/>
      <c r="E2141" s="2062">
        <v>2</v>
      </c>
      <c r="F2141" s="1842" t="s">
        <v>240</v>
      </c>
      <c r="G2141" s="2046">
        <v>87950</v>
      </c>
      <c r="H2141" s="1854">
        <f t="shared" si="992"/>
        <v>175900</v>
      </c>
      <c r="I2141" s="2046">
        <v>4000</v>
      </c>
      <c r="J2141" s="1854">
        <f t="shared" si="993"/>
        <v>8000</v>
      </c>
      <c r="K2141" s="1857">
        <f t="shared" si="994"/>
        <v>183900</v>
      </c>
      <c r="L2141" s="2043"/>
      <c r="M2141" s="2044"/>
      <c r="N2141" s="1837"/>
      <c r="O2141" s="1837"/>
      <c r="P2141" s="1837"/>
      <c r="Q2141" s="1837"/>
      <c r="R2141" s="1837"/>
      <c r="S2141" s="1837"/>
      <c r="T2141" s="1837"/>
      <c r="U2141" s="1837"/>
      <c r="V2141" s="1837"/>
      <c r="W2141" s="1837"/>
      <c r="X2141" s="1837"/>
    </row>
    <row r="2142" spans="1:24" ht="24" customHeight="1">
      <c r="A2142" s="1933"/>
      <c r="B2142" s="2003" t="s">
        <v>644</v>
      </c>
      <c r="C2142" s="1895" t="s">
        <v>643</v>
      </c>
      <c r="D2142" s="1915"/>
      <c r="E2142" s="2062">
        <v>2</v>
      </c>
      <c r="F2142" s="1842" t="s">
        <v>240</v>
      </c>
      <c r="G2142" s="2046">
        <v>63520</v>
      </c>
      <c r="H2142" s="1854">
        <f t="shared" si="992"/>
        <v>127040</v>
      </c>
      <c r="I2142" s="2046">
        <v>4000</v>
      </c>
      <c r="J2142" s="1854">
        <f t="shared" si="993"/>
        <v>8000</v>
      </c>
      <c r="K2142" s="1857">
        <f t="shared" si="994"/>
        <v>135040</v>
      </c>
      <c r="L2142" s="2043"/>
      <c r="M2142" s="2044"/>
      <c r="N2142" s="1837"/>
      <c r="O2142" s="1837"/>
      <c r="P2142" s="1837"/>
      <c r="Q2142" s="1837"/>
      <c r="R2142" s="1837"/>
      <c r="S2142" s="1837"/>
      <c r="T2142" s="1837"/>
      <c r="U2142" s="1837"/>
      <c r="V2142" s="1837"/>
      <c r="W2142" s="1837"/>
      <c r="X2142" s="1837"/>
    </row>
    <row r="2143" spans="1:24" ht="24" customHeight="1">
      <c r="A2143" s="1933"/>
      <c r="B2143" s="2003" t="s">
        <v>645</v>
      </c>
      <c r="C2143" s="1895" t="s">
        <v>639</v>
      </c>
      <c r="D2143" s="1915"/>
      <c r="E2143" s="2062">
        <v>4</v>
      </c>
      <c r="F2143" s="1842" t="s">
        <v>240</v>
      </c>
      <c r="G2143" s="2046">
        <v>20950</v>
      </c>
      <c r="H2143" s="1854">
        <f t="shared" si="992"/>
        <v>83800</v>
      </c>
      <c r="I2143" s="2046">
        <v>3000</v>
      </c>
      <c r="J2143" s="1854">
        <f t="shared" si="993"/>
        <v>12000</v>
      </c>
      <c r="K2143" s="1857">
        <f t="shared" si="994"/>
        <v>95800</v>
      </c>
      <c r="L2143" s="2043"/>
      <c r="M2143" s="2044"/>
      <c r="N2143" s="1837"/>
      <c r="O2143" s="1837"/>
      <c r="P2143" s="1837"/>
      <c r="Q2143" s="1837"/>
      <c r="R2143" s="1837"/>
      <c r="S2143" s="1837"/>
      <c r="T2143" s="1837"/>
      <c r="U2143" s="1837"/>
      <c r="V2143" s="1837"/>
      <c r="W2143" s="1837"/>
      <c r="X2143" s="1837"/>
    </row>
    <row r="2144" spans="1:24" ht="24" customHeight="1">
      <c r="A2144" s="1933"/>
      <c r="B2144" s="2003" t="s">
        <v>646</v>
      </c>
      <c r="C2144" s="1895" t="s">
        <v>647</v>
      </c>
      <c r="D2144" s="1915"/>
      <c r="E2144" s="2062">
        <v>4</v>
      </c>
      <c r="F2144" s="1842" t="s">
        <v>240</v>
      </c>
      <c r="G2144" s="2046">
        <v>78210</v>
      </c>
      <c r="H2144" s="1854">
        <f t="shared" si="992"/>
        <v>312840</v>
      </c>
      <c r="I2144" s="2046">
        <v>4000</v>
      </c>
      <c r="J2144" s="1854">
        <f t="shared" si="993"/>
        <v>16000</v>
      </c>
      <c r="K2144" s="1857">
        <f t="shared" si="994"/>
        <v>328840</v>
      </c>
      <c r="L2144" s="2043"/>
      <c r="M2144" s="2044"/>
      <c r="N2144" s="1837"/>
      <c r="O2144" s="1837"/>
      <c r="P2144" s="1837"/>
      <c r="Q2144" s="1837"/>
      <c r="R2144" s="1837"/>
      <c r="S2144" s="1837"/>
      <c r="T2144" s="1837"/>
      <c r="U2144" s="1837"/>
      <c r="V2144" s="1837"/>
      <c r="W2144" s="1837"/>
      <c r="X2144" s="1837"/>
    </row>
    <row r="2145" spans="1:24" ht="24" customHeight="1">
      <c r="A2145" s="1933"/>
      <c r="B2145" s="2003" t="s">
        <v>648</v>
      </c>
      <c r="C2145" s="1895" t="s">
        <v>2820</v>
      </c>
      <c r="D2145" s="1915"/>
      <c r="E2145" s="2062">
        <v>2</v>
      </c>
      <c r="F2145" s="1842" t="s">
        <v>240</v>
      </c>
      <c r="G2145" s="2046">
        <v>34220</v>
      </c>
      <c r="H2145" s="1854">
        <f t="shared" si="992"/>
        <v>68440</v>
      </c>
      <c r="I2145" s="2046">
        <v>4000</v>
      </c>
      <c r="J2145" s="1854">
        <f t="shared" si="993"/>
        <v>8000</v>
      </c>
      <c r="K2145" s="1857">
        <f t="shared" si="994"/>
        <v>76440</v>
      </c>
      <c r="L2145" s="2043"/>
      <c r="M2145" s="2044"/>
      <c r="N2145" s="1837"/>
      <c r="O2145" s="1837"/>
      <c r="P2145" s="1837"/>
      <c r="Q2145" s="1837"/>
      <c r="R2145" s="1837"/>
      <c r="S2145" s="1837"/>
      <c r="T2145" s="1837"/>
      <c r="U2145" s="1837"/>
      <c r="V2145" s="1837"/>
      <c r="W2145" s="1837"/>
      <c r="X2145" s="1837"/>
    </row>
    <row r="2146" spans="1:24" ht="24" customHeight="1">
      <c r="A2146" s="1933"/>
      <c r="B2146" s="2003" t="s">
        <v>649</v>
      </c>
      <c r="C2146" s="1895" t="s">
        <v>643</v>
      </c>
      <c r="D2146" s="1915"/>
      <c r="E2146" s="2062">
        <v>0</v>
      </c>
      <c r="F2146" s="1842" t="s">
        <v>240</v>
      </c>
      <c r="G2146" s="2046">
        <v>63520</v>
      </c>
      <c r="H2146" s="1854">
        <f t="shared" si="992"/>
        <v>0</v>
      </c>
      <c r="I2146" s="2046">
        <v>4000</v>
      </c>
      <c r="J2146" s="1854">
        <f t="shared" si="993"/>
        <v>0</v>
      </c>
      <c r="K2146" s="1857">
        <f t="shared" si="994"/>
        <v>0</v>
      </c>
      <c r="L2146" s="2043"/>
      <c r="M2146" s="2044"/>
      <c r="N2146" s="1837"/>
      <c r="O2146" s="1837"/>
      <c r="P2146" s="1837"/>
      <c r="Q2146" s="1837"/>
      <c r="R2146" s="1837"/>
      <c r="S2146" s="1837"/>
      <c r="T2146" s="1837"/>
      <c r="U2146" s="1837"/>
      <c r="V2146" s="1837"/>
      <c r="W2146" s="1837"/>
      <c r="X2146" s="1837"/>
    </row>
    <row r="2147" spans="1:24" ht="24" customHeight="1">
      <c r="A2147" s="1933"/>
      <c r="B2147" s="2003" t="s">
        <v>650</v>
      </c>
      <c r="C2147" s="1895" t="s">
        <v>647</v>
      </c>
      <c r="D2147" s="1915"/>
      <c r="E2147" s="2062">
        <v>2</v>
      </c>
      <c r="F2147" s="1842" t="s">
        <v>240</v>
      </c>
      <c r="G2147" s="2046">
        <v>75710</v>
      </c>
      <c r="H2147" s="1854">
        <f t="shared" si="992"/>
        <v>151420</v>
      </c>
      <c r="I2147" s="2046">
        <v>4000</v>
      </c>
      <c r="J2147" s="1854">
        <f t="shared" si="993"/>
        <v>8000</v>
      </c>
      <c r="K2147" s="1857">
        <f t="shared" si="994"/>
        <v>159420</v>
      </c>
      <c r="L2147" s="2043"/>
      <c r="M2147" s="2044"/>
      <c r="N2147" s="1837"/>
      <c r="O2147" s="1837"/>
      <c r="P2147" s="1837"/>
      <c r="Q2147" s="1837"/>
      <c r="R2147" s="1837"/>
      <c r="S2147" s="1837"/>
      <c r="T2147" s="1837"/>
      <c r="U2147" s="1837"/>
      <c r="V2147" s="1837"/>
      <c r="W2147" s="1837"/>
      <c r="X2147" s="1837"/>
    </row>
    <row r="2148" spans="1:24" ht="24" customHeight="1">
      <c r="A2148" s="1933"/>
      <c r="B2148" s="2003" t="s">
        <v>651</v>
      </c>
      <c r="C2148" s="1895" t="s">
        <v>647</v>
      </c>
      <c r="D2148" s="1915"/>
      <c r="E2148" s="2062">
        <v>0</v>
      </c>
      <c r="F2148" s="1842" t="s">
        <v>240</v>
      </c>
      <c r="G2148" s="2046">
        <v>78210</v>
      </c>
      <c r="H2148" s="1854">
        <f t="shared" si="992"/>
        <v>0</v>
      </c>
      <c r="I2148" s="2046">
        <v>4000</v>
      </c>
      <c r="J2148" s="1854">
        <f t="shared" si="993"/>
        <v>0</v>
      </c>
      <c r="K2148" s="1857">
        <f t="shared" si="994"/>
        <v>0</v>
      </c>
      <c r="L2148" s="2043"/>
      <c r="M2148" s="2044"/>
      <c r="N2148" s="1837"/>
      <c r="O2148" s="1837"/>
      <c r="P2148" s="1837"/>
      <c r="Q2148" s="1837"/>
      <c r="R2148" s="1837"/>
      <c r="S2148" s="1837"/>
      <c r="T2148" s="1837"/>
      <c r="U2148" s="1837"/>
      <c r="V2148" s="1837"/>
      <c r="W2148" s="1837"/>
      <c r="X2148" s="1837"/>
    </row>
    <row r="2149" spans="1:24" ht="24" customHeight="1">
      <c r="A2149" s="1933"/>
      <c r="B2149" s="2003" t="s">
        <v>652</v>
      </c>
      <c r="C2149" s="1895" t="s">
        <v>647</v>
      </c>
      <c r="D2149" s="1915"/>
      <c r="E2149" s="2062">
        <v>2</v>
      </c>
      <c r="F2149" s="1842" t="s">
        <v>240</v>
      </c>
      <c r="G2149" s="2046">
        <v>49870</v>
      </c>
      <c r="H2149" s="1854">
        <f t="shared" si="992"/>
        <v>99740</v>
      </c>
      <c r="I2149" s="2046">
        <v>4000</v>
      </c>
      <c r="J2149" s="1854">
        <f t="shared" si="993"/>
        <v>8000</v>
      </c>
      <c r="K2149" s="1857">
        <f t="shared" si="994"/>
        <v>107740</v>
      </c>
      <c r="L2149" s="2043"/>
      <c r="M2149" s="2044"/>
      <c r="N2149" s="1837"/>
      <c r="O2149" s="1837"/>
      <c r="P2149" s="1837"/>
      <c r="Q2149" s="1837"/>
      <c r="R2149" s="1837"/>
      <c r="S2149" s="1837"/>
      <c r="T2149" s="1837"/>
      <c r="U2149" s="1837"/>
      <c r="V2149" s="1837"/>
      <c r="W2149" s="1837"/>
      <c r="X2149" s="1837"/>
    </row>
    <row r="2150" spans="1:24" ht="24" customHeight="1">
      <c r="A2150" s="1933"/>
      <c r="B2150" s="2003" t="s">
        <v>653</v>
      </c>
      <c r="C2150" s="1895" t="s">
        <v>639</v>
      </c>
      <c r="D2150" s="1915"/>
      <c r="E2150" s="2062">
        <v>0</v>
      </c>
      <c r="F2150" s="1842" t="s">
        <v>240</v>
      </c>
      <c r="G2150" s="2046">
        <v>27900</v>
      </c>
      <c r="H2150" s="1854">
        <f t="shared" si="992"/>
        <v>0</v>
      </c>
      <c r="I2150" s="2046">
        <v>4000</v>
      </c>
      <c r="J2150" s="1854">
        <f t="shared" si="993"/>
        <v>0</v>
      </c>
      <c r="K2150" s="1857">
        <f t="shared" si="994"/>
        <v>0</v>
      </c>
      <c r="L2150" s="2043"/>
      <c r="M2150" s="2044"/>
      <c r="N2150" s="1837"/>
      <c r="O2150" s="1837"/>
      <c r="P2150" s="1837"/>
      <c r="Q2150" s="1837"/>
      <c r="R2150" s="1837"/>
      <c r="S2150" s="1837"/>
      <c r="T2150" s="1837"/>
      <c r="U2150" s="1837"/>
      <c r="V2150" s="1837"/>
      <c r="W2150" s="1837"/>
      <c r="X2150" s="1837"/>
    </row>
    <row r="2151" spans="1:24" ht="24" customHeight="1">
      <c r="A2151" s="1782"/>
      <c r="B2151" s="2003"/>
      <c r="C2151" s="1895"/>
      <c r="D2151" s="1915"/>
      <c r="E2151" s="2062"/>
      <c r="F2151" s="1842"/>
      <c r="G2151" s="2046"/>
      <c r="H2151" s="1854"/>
      <c r="I2151" s="2048"/>
      <c r="J2151" s="1854"/>
      <c r="K2151" s="1857"/>
      <c r="L2151" s="2049"/>
      <c r="M2151" s="2044"/>
      <c r="N2151" s="1837"/>
      <c r="O2151" s="1837"/>
      <c r="P2151" s="1837"/>
      <c r="Q2151" s="1837"/>
      <c r="R2151" s="1837"/>
      <c r="S2151" s="1837"/>
      <c r="T2151" s="1837"/>
      <c r="U2151" s="1837"/>
      <c r="V2151" s="1837"/>
      <c r="W2151" s="1837"/>
      <c r="X2151" s="1837"/>
    </row>
    <row r="2152" spans="1:24" ht="24" customHeight="1">
      <c r="A2152" s="1933"/>
      <c r="B2152" s="2003" t="s">
        <v>654</v>
      </c>
      <c r="C2152" s="1895" t="s">
        <v>655</v>
      </c>
      <c r="D2152" s="1915"/>
      <c r="E2152" s="2062">
        <v>2</v>
      </c>
      <c r="F2152" s="1842" t="s">
        <v>240</v>
      </c>
      <c r="G2152" s="2046">
        <v>24170</v>
      </c>
      <c r="H2152" s="1854">
        <f>E2152*G2152</f>
        <v>48340</v>
      </c>
      <c r="I2152" s="2046">
        <v>4000</v>
      </c>
      <c r="J2152" s="1854">
        <f>E2152*I2152</f>
        <v>8000</v>
      </c>
      <c r="K2152" s="1857">
        <f>H2152+J2152</f>
        <v>56340</v>
      </c>
      <c r="L2152" s="2043"/>
      <c r="M2152" s="2044"/>
      <c r="N2152" s="1837"/>
      <c r="O2152" s="1837"/>
      <c r="P2152" s="1837"/>
      <c r="Q2152" s="1837"/>
      <c r="R2152" s="1837"/>
      <c r="S2152" s="1837"/>
      <c r="T2152" s="1837"/>
      <c r="U2152" s="1837"/>
      <c r="V2152" s="1837"/>
      <c r="W2152" s="1837"/>
      <c r="X2152" s="1837"/>
    </row>
    <row r="2153" spans="1:24" ht="24" customHeight="1">
      <c r="A2153" s="1933"/>
      <c r="B2153" s="2003" t="s">
        <v>656</v>
      </c>
      <c r="C2153" s="1895" t="s">
        <v>655</v>
      </c>
      <c r="D2153" s="1915"/>
      <c r="E2153" s="2062">
        <v>3</v>
      </c>
      <c r="F2153" s="1842" t="s">
        <v>240</v>
      </c>
      <c r="G2153" s="2046">
        <v>38620</v>
      </c>
      <c r="H2153" s="1854">
        <f t="shared" ref="H2153:H2157" si="995">E2153*G2153</f>
        <v>115860</v>
      </c>
      <c r="I2153" s="2046">
        <v>4000</v>
      </c>
      <c r="J2153" s="1854">
        <f t="shared" ref="J2153:J2157" si="996">E2153*I2153</f>
        <v>12000</v>
      </c>
      <c r="K2153" s="1857">
        <f t="shared" ref="K2153:K2157" si="997">H2153+J2153</f>
        <v>127860</v>
      </c>
      <c r="L2153" s="2043"/>
      <c r="M2153" s="2044"/>
      <c r="N2153" s="1837"/>
      <c r="O2153" s="1837"/>
      <c r="P2153" s="1837"/>
      <c r="Q2153" s="1837"/>
      <c r="R2153" s="1837"/>
      <c r="S2153" s="1837"/>
      <c r="T2153" s="1837"/>
      <c r="U2153" s="1837"/>
      <c r="V2153" s="1837"/>
      <c r="W2153" s="1837"/>
      <c r="X2153" s="1837"/>
    </row>
    <row r="2154" spans="1:24" ht="24" customHeight="1">
      <c r="A2154" s="1933"/>
      <c r="B2154" s="2003" t="s">
        <v>657</v>
      </c>
      <c r="C2154" s="1895" t="s">
        <v>658</v>
      </c>
      <c r="D2154" s="1915"/>
      <c r="E2154" s="2062">
        <v>2</v>
      </c>
      <c r="F2154" s="1842" t="s">
        <v>240</v>
      </c>
      <c r="G2154" s="2046">
        <v>17400</v>
      </c>
      <c r="H2154" s="1854">
        <f t="shared" si="995"/>
        <v>34800</v>
      </c>
      <c r="I2154" s="2046">
        <v>3000</v>
      </c>
      <c r="J2154" s="1854">
        <f t="shared" si="996"/>
        <v>6000</v>
      </c>
      <c r="K2154" s="1857">
        <f t="shared" si="997"/>
        <v>40800</v>
      </c>
      <c r="L2154" s="2043"/>
      <c r="M2154" s="2044"/>
      <c r="N2154" s="1837"/>
      <c r="O2154" s="1837"/>
      <c r="P2154" s="1837"/>
      <c r="Q2154" s="1837"/>
      <c r="R2154" s="1837"/>
      <c r="S2154" s="1837"/>
      <c r="T2154" s="1837"/>
      <c r="U2154" s="1837"/>
      <c r="V2154" s="1837"/>
      <c r="W2154" s="1837"/>
      <c r="X2154" s="1837"/>
    </row>
    <row r="2155" spans="1:24" ht="24" customHeight="1">
      <c r="A2155" s="1933"/>
      <c r="B2155" s="2310" t="s">
        <v>659</v>
      </c>
      <c r="C2155" s="2311" t="s">
        <v>660</v>
      </c>
      <c r="D2155" s="2312"/>
      <c r="E2155" s="2313">
        <v>4</v>
      </c>
      <c r="F2155" s="2314" t="s">
        <v>240</v>
      </c>
      <c r="G2155" s="2315">
        <v>19450</v>
      </c>
      <c r="H2155" s="2316">
        <f t="shared" si="995"/>
        <v>77800</v>
      </c>
      <c r="I2155" s="2315">
        <v>3000</v>
      </c>
      <c r="J2155" s="2316">
        <f t="shared" si="996"/>
        <v>12000</v>
      </c>
      <c r="K2155" s="2317">
        <f t="shared" si="997"/>
        <v>89800</v>
      </c>
      <c r="L2155" s="2043"/>
      <c r="M2155" s="2044"/>
      <c r="N2155" s="1837"/>
      <c r="O2155" s="1837"/>
      <c r="P2155" s="1837"/>
      <c r="Q2155" s="1837"/>
      <c r="R2155" s="1837"/>
      <c r="S2155" s="1837"/>
      <c r="T2155" s="1837"/>
      <c r="U2155" s="1837"/>
      <c r="V2155" s="1837"/>
      <c r="W2155" s="1837"/>
      <c r="X2155" s="1837"/>
    </row>
    <row r="2156" spans="1:24" ht="24" customHeight="1">
      <c r="A2156" s="1933"/>
      <c r="B2156" s="2003" t="s">
        <v>661</v>
      </c>
      <c r="C2156" s="1895" t="s">
        <v>662</v>
      </c>
      <c r="D2156" s="1915"/>
      <c r="E2156" s="2062">
        <v>3</v>
      </c>
      <c r="F2156" s="1842" t="s">
        <v>240</v>
      </c>
      <c r="G2156" s="2046">
        <v>40120</v>
      </c>
      <c r="H2156" s="1854">
        <f t="shared" si="995"/>
        <v>120360</v>
      </c>
      <c r="I2156" s="2046">
        <v>4000</v>
      </c>
      <c r="J2156" s="1854">
        <f t="shared" si="996"/>
        <v>12000</v>
      </c>
      <c r="K2156" s="1857">
        <f t="shared" si="997"/>
        <v>132360</v>
      </c>
      <c r="L2156" s="2043"/>
      <c r="M2156" s="2044"/>
      <c r="N2156" s="1837"/>
      <c r="O2156" s="1837"/>
      <c r="P2156" s="1837"/>
      <c r="Q2156" s="1837"/>
      <c r="R2156" s="1837"/>
      <c r="S2156" s="1837"/>
      <c r="T2156" s="1837"/>
      <c r="U2156" s="1837"/>
      <c r="V2156" s="1837"/>
      <c r="W2156" s="1837"/>
      <c r="X2156" s="1837"/>
    </row>
    <row r="2157" spans="1:24" ht="24" customHeight="1">
      <c r="A2157" s="1933"/>
      <c r="B2157" s="2003" t="s">
        <v>663</v>
      </c>
      <c r="C2157" s="1895" t="s">
        <v>662</v>
      </c>
      <c r="D2157" s="1915"/>
      <c r="E2157" s="2062">
        <v>0</v>
      </c>
      <c r="F2157" s="1842" t="s">
        <v>240</v>
      </c>
      <c r="G2157" s="2046">
        <v>57600</v>
      </c>
      <c r="H2157" s="1854">
        <f t="shared" si="995"/>
        <v>0</v>
      </c>
      <c r="I2157" s="2046">
        <v>4000</v>
      </c>
      <c r="J2157" s="1854">
        <f t="shared" si="996"/>
        <v>0</v>
      </c>
      <c r="K2157" s="1857">
        <f t="shared" si="997"/>
        <v>0</v>
      </c>
      <c r="L2157" s="2043"/>
      <c r="M2157" s="2044"/>
      <c r="N2157" s="1837"/>
      <c r="O2157" s="1837"/>
      <c r="P2157" s="1837"/>
      <c r="Q2157" s="1837"/>
      <c r="R2157" s="1837"/>
      <c r="S2157" s="1837"/>
      <c r="T2157" s="1837"/>
      <c r="U2157" s="1837"/>
      <c r="V2157" s="1837"/>
      <c r="W2157" s="1837"/>
      <c r="X2157" s="1837"/>
    </row>
    <row r="2158" spans="1:24" ht="24" customHeight="1">
      <c r="A2158" s="1933"/>
      <c r="B2158" s="2003"/>
      <c r="C2158" s="1895"/>
      <c r="D2158" s="1915"/>
      <c r="E2158" s="2062"/>
      <c r="F2158" s="1842"/>
      <c r="G2158" s="2046"/>
      <c r="H2158" s="1854"/>
      <c r="I2158" s="2048"/>
      <c r="J2158" s="1854"/>
      <c r="K2158" s="1857"/>
      <c r="L2158" s="2043"/>
      <c r="M2158" s="2044"/>
      <c r="N2158" s="1837"/>
      <c r="O2158" s="1837"/>
      <c r="P2158" s="1837"/>
      <c r="Q2158" s="1837"/>
      <c r="R2158" s="1837"/>
      <c r="S2158" s="1837"/>
      <c r="T2158" s="1837"/>
      <c r="U2158" s="1837"/>
      <c r="V2158" s="1837"/>
      <c r="W2158" s="1837"/>
      <c r="X2158" s="1837"/>
    </row>
    <row r="2159" spans="1:24" ht="24" customHeight="1">
      <c r="A2159" s="1933"/>
      <c r="B2159" s="2003" t="s">
        <v>664</v>
      </c>
      <c r="C2159" s="1895" t="s">
        <v>665</v>
      </c>
      <c r="D2159" s="1915"/>
      <c r="E2159" s="2062">
        <v>0</v>
      </c>
      <c r="F2159" s="1842" t="s">
        <v>240</v>
      </c>
      <c r="G2159" s="2046">
        <v>18500</v>
      </c>
      <c r="H2159" s="1854">
        <f t="shared" ref="H2159" si="998">E2159*G2159</f>
        <v>0</v>
      </c>
      <c r="I2159" s="2046">
        <v>1200</v>
      </c>
      <c r="J2159" s="1854">
        <f t="shared" ref="J2159" si="999">E2159*I2159</f>
        <v>0</v>
      </c>
      <c r="K2159" s="1857">
        <f t="shared" ref="K2159" si="1000">H2159+J2159</f>
        <v>0</v>
      </c>
      <c r="L2159" s="2043"/>
      <c r="M2159" s="2044"/>
      <c r="N2159" s="1837"/>
      <c r="O2159" s="1837"/>
      <c r="P2159" s="1837"/>
      <c r="Q2159" s="1837"/>
      <c r="R2159" s="1837"/>
      <c r="S2159" s="1837"/>
      <c r="T2159" s="1837"/>
      <c r="U2159" s="1837"/>
      <c r="V2159" s="1837"/>
      <c r="W2159" s="1837"/>
      <c r="X2159" s="1837"/>
    </row>
    <row r="2160" spans="1:24" ht="24" customHeight="1">
      <c r="A2160" s="1933"/>
      <c r="B2160" s="2003"/>
      <c r="C2160" s="1895"/>
      <c r="D2160" s="1915"/>
      <c r="E2160" s="2062"/>
      <c r="F2160" s="1842"/>
      <c r="G2160" s="2046"/>
      <c r="H2160" s="1854"/>
      <c r="I2160" s="2046"/>
      <c r="J2160" s="1854"/>
      <c r="K2160" s="1857"/>
      <c r="L2160" s="2043"/>
      <c r="M2160" s="2044"/>
      <c r="N2160" s="1837"/>
      <c r="O2160" s="1837"/>
      <c r="P2160" s="1837"/>
      <c r="Q2160" s="1837"/>
      <c r="R2160" s="1837"/>
      <c r="S2160" s="1837"/>
      <c r="T2160" s="1837"/>
      <c r="U2160" s="1837"/>
      <c r="V2160" s="1837"/>
      <c r="W2160" s="1837"/>
      <c r="X2160" s="1837"/>
    </row>
    <row r="2161" spans="1:24" ht="24" customHeight="1">
      <c r="A2161" s="1933"/>
      <c r="B2161" s="2003" t="s">
        <v>666</v>
      </c>
      <c r="C2161" s="1895" t="s">
        <v>667</v>
      </c>
      <c r="D2161" s="1915"/>
      <c r="E2161" s="2062">
        <v>0</v>
      </c>
      <c r="F2161" s="1842" t="s">
        <v>240</v>
      </c>
      <c r="G2161" s="2046">
        <v>127500</v>
      </c>
      <c r="H2161" s="1854">
        <f t="shared" ref="H2161:H2170" si="1001">E2161*G2161</f>
        <v>0</v>
      </c>
      <c r="I2161" s="2046">
        <v>18750</v>
      </c>
      <c r="J2161" s="1854">
        <f t="shared" ref="J2161:J2170" si="1002">E2161*I2161</f>
        <v>0</v>
      </c>
      <c r="K2161" s="1857">
        <f t="shared" ref="K2161:K2170" si="1003">H2161+J2161</f>
        <v>0</v>
      </c>
      <c r="L2161" s="1910"/>
      <c r="M2161" s="2047"/>
      <c r="N2161" s="1837"/>
      <c r="O2161" s="1837"/>
      <c r="P2161" s="1837"/>
      <c r="Q2161" s="1837"/>
      <c r="R2161" s="1837"/>
      <c r="S2161" s="1837"/>
      <c r="T2161" s="1837"/>
      <c r="U2161" s="1837"/>
      <c r="V2161" s="1837"/>
      <c r="W2161" s="1837"/>
      <c r="X2161" s="1837"/>
    </row>
    <row r="2162" spans="1:24" ht="24" customHeight="1">
      <c r="A2162" s="1933"/>
      <c r="B2162" s="2003" t="s">
        <v>668</v>
      </c>
      <c r="C2162" s="1895" t="s">
        <v>669</v>
      </c>
      <c r="D2162" s="1915"/>
      <c r="E2162" s="2062">
        <v>1</v>
      </c>
      <c r="F2162" s="1842" t="s">
        <v>240</v>
      </c>
      <c r="G2162" s="2046">
        <v>197200</v>
      </c>
      <c r="H2162" s="1854">
        <f t="shared" si="1001"/>
        <v>197200</v>
      </c>
      <c r="I2162" s="2046">
        <v>29000</v>
      </c>
      <c r="J2162" s="1854">
        <f t="shared" si="1002"/>
        <v>29000</v>
      </c>
      <c r="K2162" s="1857">
        <f t="shared" si="1003"/>
        <v>226200</v>
      </c>
      <c r="L2162" s="1910"/>
      <c r="M2162" s="2047"/>
      <c r="N2162" s="1837"/>
      <c r="O2162" s="1837"/>
      <c r="P2162" s="1837"/>
      <c r="Q2162" s="1837"/>
      <c r="R2162" s="1837"/>
      <c r="S2162" s="1837"/>
      <c r="T2162" s="1837"/>
      <c r="U2162" s="1837"/>
      <c r="V2162" s="1837"/>
      <c r="W2162" s="1837"/>
      <c r="X2162" s="1837"/>
    </row>
    <row r="2163" spans="1:24" ht="24" customHeight="1">
      <c r="A2163" s="1933"/>
      <c r="B2163" s="2003" t="s">
        <v>670</v>
      </c>
      <c r="C2163" s="1895" t="s">
        <v>671</v>
      </c>
      <c r="D2163" s="1915"/>
      <c r="E2163" s="2062">
        <v>0</v>
      </c>
      <c r="F2163" s="1842" t="s">
        <v>240</v>
      </c>
      <c r="G2163" s="2046">
        <v>187000</v>
      </c>
      <c r="H2163" s="1854">
        <f t="shared" si="1001"/>
        <v>0</v>
      </c>
      <c r="I2163" s="2046">
        <v>27500</v>
      </c>
      <c r="J2163" s="1854">
        <f t="shared" si="1002"/>
        <v>0</v>
      </c>
      <c r="K2163" s="1857">
        <f t="shared" si="1003"/>
        <v>0</v>
      </c>
      <c r="L2163" s="1910"/>
      <c r="M2163" s="2047"/>
      <c r="N2163" s="1837"/>
      <c r="O2163" s="1837"/>
      <c r="P2163" s="1837"/>
      <c r="Q2163" s="1837"/>
      <c r="R2163" s="1837"/>
      <c r="S2163" s="1837"/>
      <c r="T2163" s="1837"/>
      <c r="U2163" s="1837"/>
      <c r="V2163" s="1837"/>
      <c r="W2163" s="1837"/>
      <c r="X2163" s="1837"/>
    </row>
    <row r="2164" spans="1:24" ht="24" customHeight="1">
      <c r="A2164" s="1933"/>
      <c r="B2164" s="2003" t="s">
        <v>672</v>
      </c>
      <c r="C2164" s="1895" t="s">
        <v>673</v>
      </c>
      <c r="D2164" s="1915"/>
      <c r="E2164" s="2062">
        <v>0</v>
      </c>
      <c r="F2164" s="1842" t="s">
        <v>240</v>
      </c>
      <c r="G2164" s="2046">
        <v>476000</v>
      </c>
      <c r="H2164" s="1854">
        <f t="shared" si="1001"/>
        <v>0</v>
      </c>
      <c r="I2164" s="2046">
        <v>70000</v>
      </c>
      <c r="J2164" s="1854">
        <f t="shared" si="1002"/>
        <v>0</v>
      </c>
      <c r="K2164" s="1857">
        <f t="shared" si="1003"/>
        <v>0</v>
      </c>
      <c r="L2164" s="1910"/>
      <c r="M2164" s="2047"/>
      <c r="N2164" s="1837"/>
      <c r="O2164" s="1837"/>
      <c r="P2164" s="1837"/>
      <c r="Q2164" s="1837"/>
      <c r="R2164" s="1837"/>
      <c r="S2164" s="1837"/>
      <c r="T2164" s="1837"/>
      <c r="U2164" s="1837"/>
      <c r="V2164" s="1837"/>
      <c r="W2164" s="1837"/>
      <c r="X2164" s="1837"/>
    </row>
    <row r="2165" spans="1:24" ht="24" customHeight="1">
      <c r="A2165" s="1933"/>
      <c r="B2165" s="2003" t="s">
        <v>674</v>
      </c>
      <c r="C2165" s="1895" t="s">
        <v>675</v>
      </c>
      <c r="D2165" s="1915"/>
      <c r="E2165" s="2062">
        <v>0</v>
      </c>
      <c r="F2165" s="1842" t="s">
        <v>240</v>
      </c>
      <c r="G2165" s="2046">
        <v>305660</v>
      </c>
      <c r="H2165" s="1854">
        <f t="shared" si="1001"/>
        <v>0</v>
      </c>
      <c r="I2165" s="2046">
        <v>44950</v>
      </c>
      <c r="J2165" s="1854">
        <f t="shared" si="1002"/>
        <v>0</v>
      </c>
      <c r="K2165" s="1857">
        <f t="shared" si="1003"/>
        <v>0</v>
      </c>
      <c r="L2165" s="1910"/>
      <c r="M2165" s="2047"/>
      <c r="N2165" s="1837"/>
      <c r="O2165" s="1837"/>
      <c r="P2165" s="1837"/>
      <c r="Q2165" s="1837"/>
      <c r="R2165" s="1837"/>
      <c r="S2165" s="1837"/>
      <c r="T2165" s="1837"/>
      <c r="U2165" s="1837"/>
      <c r="V2165" s="1837"/>
      <c r="W2165" s="1837"/>
      <c r="X2165" s="1837"/>
    </row>
    <row r="2166" spans="1:24" ht="24" customHeight="1">
      <c r="A2166" s="1933"/>
      <c r="B2166" s="2003" t="s">
        <v>676</v>
      </c>
      <c r="C2166" s="1895" t="s">
        <v>677</v>
      </c>
      <c r="D2166" s="1915"/>
      <c r="E2166" s="2062">
        <v>0</v>
      </c>
      <c r="F2166" s="1842" t="s">
        <v>240</v>
      </c>
      <c r="G2166" s="2046">
        <v>350030</v>
      </c>
      <c r="H2166" s="1854">
        <f t="shared" si="1001"/>
        <v>0</v>
      </c>
      <c r="I2166" s="2046">
        <v>51475</v>
      </c>
      <c r="J2166" s="1854">
        <f t="shared" si="1002"/>
        <v>0</v>
      </c>
      <c r="K2166" s="1857">
        <f t="shared" si="1003"/>
        <v>0</v>
      </c>
      <c r="L2166" s="1910"/>
      <c r="M2166" s="2047"/>
      <c r="N2166" s="1837"/>
      <c r="O2166" s="1837"/>
      <c r="P2166" s="1837"/>
      <c r="Q2166" s="1837"/>
      <c r="R2166" s="1837"/>
      <c r="S2166" s="1837"/>
      <c r="T2166" s="1837"/>
      <c r="U2166" s="1837"/>
      <c r="V2166" s="1837"/>
      <c r="W2166" s="1837"/>
      <c r="X2166" s="1837"/>
    </row>
    <row r="2167" spans="1:24" ht="24" customHeight="1">
      <c r="A2167" s="1933"/>
      <c r="B2167" s="2003" t="s">
        <v>678</v>
      </c>
      <c r="C2167" s="1895" t="s">
        <v>679</v>
      </c>
      <c r="D2167" s="1915"/>
      <c r="E2167" s="2062">
        <v>0</v>
      </c>
      <c r="F2167" s="1842" t="s">
        <v>240</v>
      </c>
      <c r="G2167" s="2046">
        <v>448800</v>
      </c>
      <c r="H2167" s="1854">
        <f t="shared" si="1001"/>
        <v>0</v>
      </c>
      <c r="I2167" s="2046">
        <v>66000</v>
      </c>
      <c r="J2167" s="1854">
        <f t="shared" si="1002"/>
        <v>0</v>
      </c>
      <c r="K2167" s="1857">
        <f t="shared" si="1003"/>
        <v>0</v>
      </c>
      <c r="L2167" s="1910"/>
      <c r="M2167" s="2047"/>
      <c r="N2167" s="1837"/>
      <c r="O2167" s="1837"/>
      <c r="P2167" s="1837"/>
      <c r="Q2167" s="1837"/>
      <c r="R2167" s="1837"/>
      <c r="S2167" s="1837"/>
      <c r="T2167" s="1837"/>
      <c r="U2167" s="1837"/>
      <c r="V2167" s="1837"/>
      <c r="W2167" s="1837"/>
      <c r="X2167" s="1837"/>
    </row>
    <row r="2168" spans="1:24" ht="24" customHeight="1">
      <c r="A2168" s="1933"/>
      <c r="B2168" s="2003" t="s">
        <v>680</v>
      </c>
      <c r="C2168" s="1895" t="s">
        <v>681</v>
      </c>
      <c r="D2168" s="1915"/>
      <c r="E2168" s="2062">
        <v>0</v>
      </c>
      <c r="F2168" s="1842" t="s">
        <v>240</v>
      </c>
      <c r="G2168" s="2046">
        <v>639200</v>
      </c>
      <c r="H2168" s="1854">
        <f t="shared" si="1001"/>
        <v>0</v>
      </c>
      <c r="I2168" s="2046">
        <v>94000</v>
      </c>
      <c r="J2168" s="1854">
        <f t="shared" si="1002"/>
        <v>0</v>
      </c>
      <c r="K2168" s="1857">
        <f t="shared" si="1003"/>
        <v>0</v>
      </c>
      <c r="L2168" s="1910"/>
      <c r="M2168" s="2047"/>
      <c r="N2168" s="1837"/>
      <c r="O2168" s="1837"/>
      <c r="P2168" s="1837"/>
      <c r="Q2168" s="1837"/>
      <c r="R2168" s="1837"/>
      <c r="S2168" s="1837"/>
      <c r="T2168" s="1837"/>
      <c r="U2168" s="1837"/>
      <c r="V2168" s="1837"/>
      <c r="W2168" s="1837"/>
      <c r="X2168" s="1837"/>
    </row>
    <row r="2169" spans="1:24" ht="24" customHeight="1">
      <c r="A2169" s="1933"/>
      <c r="B2169" s="2003" t="s">
        <v>682</v>
      </c>
      <c r="C2169" s="1895" t="s">
        <v>669</v>
      </c>
      <c r="D2169" s="1915"/>
      <c r="E2169" s="2062">
        <v>0</v>
      </c>
      <c r="F2169" s="1842" t="s">
        <v>240</v>
      </c>
      <c r="G2169" s="2046">
        <v>197200</v>
      </c>
      <c r="H2169" s="1854">
        <f t="shared" si="1001"/>
        <v>0</v>
      </c>
      <c r="I2169" s="2046">
        <v>29000</v>
      </c>
      <c r="J2169" s="1854">
        <f t="shared" si="1002"/>
        <v>0</v>
      </c>
      <c r="K2169" s="1857">
        <f t="shared" si="1003"/>
        <v>0</v>
      </c>
      <c r="L2169" s="1910"/>
      <c r="M2169" s="2047"/>
      <c r="N2169" s="1837"/>
      <c r="O2169" s="1837"/>
      <c r="P2169" s="1837"/>
      <c r="Q2169" s="1837"/>
      <c r="R2169" s="1837"/>
      <c r="S2169" s="1837"/>
      <c r="T2169" s="1837"/>
      <c r="U2169" s="1837"/>
      <c r="V2169" s="1837"/>
      <c r="W2169" s="1837"/>
      <c r="X2169" s="1837"/>
    </row>
    <row r="2170" spans="1:24" ht="24" customHeight="1">
      <c r="A2170" s="1933"/>
      <c r="B2170" s="2003" t="s">
        <v>683</v>
      </c>
      <c r="C2170" s="1895" t="s">
        <v>684</v>
      </c>
      <c r="D2170" s="1915"/>
      <c r="E2170" s="2062">
        <v>0</v>
      </c>
      <c r="F2170" s="1842" t="s">
        <v>240</v>
      </c>
      <c r="G2170" s="2046">
        <v>163200</v>
      </c>
      <c r="H2170" s="1854">
        <f t="shared" si="1001"/>
        <v>0</v>
      </c>
      <c r="I2170" s="2046">
        <v>24000</v>
      </c>
      <c r="J2170" s="1854">
        <f t="shared" si="1002"/>
        <v>0</v>
      </c>
      <c r="K2170" s="1857">
        <f t="shared" si="1003"/>
        <v>0</v>
      </c>
      <c r="L2170" s="2043"/>
      <c r="M2170" s="2044"/>
      <c r="N2170" s="1837"/>
      <c r="O2170" s="1837"/>
      <c r="P2170" s="1837"/>
      <c r="Q2170" s="1837"/>
      <c r="R2170" s="1837"/>
      <c r="S2170" s="1837"/>
      <c r="T2170" s="1837"/>
      <c r="U2170" s="1837"/>
      <c r="V2170" s="1837"/>
      <c r="W2170" s="1837"/>
      <c r="X2170" s="1837"/>
    </row>
    <row r="2171" spans="1:24" ht="24" customHeight="1">
      <c r="A2171" s="1933"/>
      <c r="B2171" s="2003"/>
      <c r="C2171" s="1895"/>
      <c r="D2171" s="1915"/>
      <c r="E2171" s="2062"/>
      <c r="F2171" s="1842"/>
      <c r="G2171" s="2050"/>
      <c r="H2171" s="1911"/>
      <c r="I2171" s="2050"/>
      <c r="J2171" s="1911"/>
      <c r="K2171" s="2051"/>
      <c r="L2171" s="2043"/>
      <c r="M2171" s="2044"/>
      <c r="N2171" s="1837"/>
      <c r="O2171" s="1837"/>
      <c r="P2171" s="1837"/>
      <c r="Q2171" s="1837"/>
      <c r="R2171" s="1837"/>
      <c r="S2171" s="1837"/>
      <c r="T2171" s="1837"/>
      <c r="U2171" s="1837"/>
      <c r="V2171" s="1837"/>
      <c r="W2171" s="1837"/>
      <c r="X2171" s="1837"/>
    </row>
    <row r="2172" spans="1:24" ht="24" customHeight="1">
      <c r="A2172" s="1933"/>
      <c r="B2172" s="2003" t="s">
        <v>685</v>
      </c>
      <c r="C2172" s="1895" t="s">
        <v>686</v>
      </c>
      <c r="D2172" s="1915"/>
      <c r="E2172" s="2062">
        <v>4</v>
      </c>
      <c r="F2172" s="1842" t="s">
        <v>240</v>
      </c>
      <c r="G2172" s="2046">
        <v>119580</v>
      </c>
      <c r="H2172" s="1854">
        <f t="shared" ref="H2172:H2185" si="1004">E2172*G2172</f>
        <v>478320</v>
      </c>
      <c r="I2172" s="2046">
        <v>0</v>
      </c>
      <c r="J2172" s="1854">
        <f t="shared" ref="J2172:J2185" si="1005">E2172*I2172</f>
        <v>0</v>
      </c>
      <c r="K2172" s="1857">
        <f t="shared" ref="K2172:K2185" si="1006">H2172+J2172</f>
        <v>478320</v>
      </c>
      <c r="L2172" s="1910" t="s">
        <v>2887</v>
      </c>
      <c r="M2172" s="2047"/>
      <c r="N2172" s="1837"/>
      <c r="O2172" s="2024"/>
      <c r="P2172" s="1836"/>
      <c r="Q2172" s="1836"/>
      <c r="R2172" s="1837"/>
      <c r="S2172" s="1837"/>
      <c r="T2172" s="1837"/>
      <c r="U2172" s="1837"/>
      <c r="V2172" s="1837"/>
      <c r="W2172" s="1837"/>
      <c r="X2172" s="1837"/>
    </row>
    <row r="2173" spans="1:24" ht="24" customHeight="1">
      <c r="A2173" s="1933"/>
      <c r="B2173" s="2003" t="s">
        <v>687</v>
      </c>
      <c r="C2173" s="1895" t="s">
        <v>686</v>
      </c>
      <c r="D2173" s="1915"/>
      <c r="E2173" s="2062">
        <v>0</v>
      </c>
      <c r="F2173" s="1842" t="s">
        <v>240</v>
      </c>
      <c r="G2173" s="2046">
        <v>207000</v>
      </c>
      <c r="H2173" s="1854">
        <f t="shared" si="1004"/>
        <v>0</v>
      </c>
      <c r="I2173" s="2046">
        <v>0</v>
      </c>
      <c r="J2173" s="1854">
        <f t="shared" si="1005"/>
        <v>0</v>
      </c>
      <c r="K2173" s="1857">
        <f t="shared" si="1006"/>
        <v>0</v>
      </c>
      <c r="L2173" s="1910" t="s">
        <v>2887</v>
      </c>
      <c r="M2173" s="2047"/>
      <c r="N2173" s="1837"/>
      <c r="O2173" s="2024"/>
      <c r="P2173" s="1836"/>
      <c r="Q2173" s="1836"/>
      <c r="R2173" s="1837"/>
      <c r="S2173" s="1837"/>
      <c r="T2173" s="1837"/>
      <c r="U2173" s="1837"/>
      <c r="V2173" s="1837"/>
      <c r="W2173" s="1837"/>
      <c r="X2173" s="1837"/>
    </row>
    <row r="2174" spans="1:24" ht="24" customHeight="1">
      <c r="A2174" s="1933"/>
      <c r="B2174" s="2003" t="s">
        <v>688</v>
      </c>
      <c r="C2174" s="1895" t="s">
        <v>686</v>
      </c>
      <c r="D2174" s="1915"/>
      <c r="E2174" s="2062">
        <v>0</v>
      </c>
      <c r="F2174" s="1842" t="s">
        <v>240</v>
      </c>
      <c r="G2174" s="2046">
        <v>267600</v>
      </c>
      <c r="H2174" s="1854">
        <f t="shared" si="1004"/>
        <v>0</v>
      </c>
      <c r="I2174" s="2046">
        <v>0</v>
      </c>
      <c r="J2174" s="1854">
        <f t="shared" si="1005"/>
        <v>0</v>
      </c>
      <c r="K2174" s="1857">
        <f t="shared" si="1006"/>
        <v>0</v>
      </c>
      <c r="L2174" s="1910" t="s">
        <v>2887</v>
      </c>
      <c r="M2174" s="2047"/>
      <c r="N2174" s="1837"/>
      <c r="O2174" s="2024"/>
      <c r="P2174" s="1836"/>
      <c r="Q2174" s="1836"/>
      <c r="R2174" s="1837"/>
      <c r="S2174" s="1837"/>
      <c r="T2174" s="1837"/>
      <c r="U2174" s="1837"/>
      <c r="V2174" s="1837"/>
      <c r="W2174" s="1837"/>
      <c r="X2174" s="1837"/>
    </row>
    <row r="2175" spans="1:24" ht="24" customHeight="1">
      <c r="A2175" s="1933"/>
      <c r="B2175" s="2003" t="s">
        <v>689</v>
      </c>
      <c r="C2175" s="1895" t="s">
        <v>686</v>
      </c>
      <c r="D2175" s="1915"/>
      <c r="E2175" s="2062">
        <v>0</v>
      </c>
      <c r="F2175" s="1842" t="s">
        <v>240</v>
      </c>
      <c r="G2175" s="2046">
        <v>285430</v>
      </c>
      <c r="H2175" s="1854">
        <f t="shared" si="1004"/>
        <v>0</v>
      </c>
      <c r="I2175" s="2046">
        <v>0</v>
      </c>
      <c r="J2175" s="1854">
        <f t="shared" si="1005"/>
        <v>0</v>
      </c>
      <c r="K2175" s="1857">
        <f t="shared" si="1006"/>
        <v>0</v>
      </c>
      <c r="L2175" s="1910" t="s">
        <v>2887</v>
      </c>
      <c r="M2175" s="2047"/>
      <c r="N2175" s="1837"/>
      <c r="O2175" s="2024"/>
      <c r="P2175" s="1836"/>
      <c r="Q2175" s="1836"/>
      <c r="R2175" s="1837"/>
      <c r="S2175" s="1837"/>
      <c r="T2175" s="1837"/>
      <c r="U2175" s="1837"/>
      <c r="V2175" s="1837"/>
      <c r="W2175" s="1837"/>
      <c r="X2175" s="1837"/>
    </row>
    <row r="2176" spans="1:24" ht="24" customHeight="1">
      <c r="A2176" s="1933"/>
      <c r="B2176" s="2003" t="s">
        <v>690</v>
      </c>
      <c r="C2176" s="1895" t="s">
        <v>686</v>
      </c>
      <c r="D2176" s="1915"/>
      <c r="E2176" s="2062">
        <v>0</v>
      </c>
      <c r="F2176" s="1842" t="s">
        <v>240</v>
      </c>
      <c r="G2176" s="2046">
        <v>440100</v>
      </c>
      <c r="H2176" s="1854">
        <f t="shared" si="1004"/>
        <v>0</v>
      </c>
      <c r="I2176" s="2046">
        <v>0</v>
      </c>
      <c r="J2176" s="1854">
        <f t="shared" si="1005"/>
        <v>0</v>
      </c>
      <c r="K2176" s="1857">
        <f t="shared" si="1006"/>
        <v>0</v>
      </c>
      <c r="L2176" s="1910" t="s">
        <v>2887</v>
      </c>
      <c r="M2176" s="2047"/>
      <c r="N2176" s="1837"/>
      <c r="O2176" s="2024"/>
      <c r="P2176" s="1836"/>
      <c r="Q2176" s="1836"/>
      <c r="R2176" s="1837"/>
      <c r="S2176" s="1837"/>
      <c r="T2176" s="1837"/>
      <c r="U2176" s="1837"/>
      <c r="V2176" s="1837"/>
      <c r="W2176" s="1837"/>
      <c r="X2176" s="1837"/>
    </row>
    <row r="2177" spans="1:24" ht="24" customHeight="1">
      <c r="A2177" s="1933"/>
      <c r="B2177" s="2003" t="s">
        <v>691</v>
      </c>
      <c r="C2177" s="1895" t="s">
        <v>686</v>
      </c>
      <c r="D2177" s="1915"/>
      <c r="E2177" s="2062">
        <v>0</v>
      </c>
      <c r="F2177" s="1842" t="s">
        <v>240</v>
      </c>
      <c r="G2177" s="2046">
        <v>770900</v>
      </c>
      <c r="H2177" s="1854">
        <f t="shared" si="1004"/>
        <v>0</v>
      </c>
      <c r="I2177" s="2046">
        <v>0</v>
      </c>
      <c r="J2177" s="1854">
        <f t="shared" si="1005"/>
        <v>0</v>
      </c>
      <c r="K2177" s="1857">
        <f t="shared" si="1006"/>
        <v>0</v>
      </c>
      <c r="L2177" s="1910" t="s">
        <v>2887</v>
      </c>
      <c r="M2177" s="2047"/>
      <c r="N2177" s="1837"/>
      <c r="O2177" s="2024"/>
      <c r="P2177" s="1836"/>
      <c r="Q2177" s="1836"/>
      <c r="R2177" s="1837"/>
      <c r="S2177" s="1837"/>
      <c r="T2177" s="1837"/>
      <c r="U2177" s="1837"/>
      <c r="V2177" s="1837"/>
      <c r="W2177" s="1837"/>
      <c r="X2177" s="1837"/>
    </row>
    <row r="2178" spans="1:24" ht="24" customHeight="1">
      <c r="A2178" s="1933"/>
      <c r="B2178" s="2003" t="s">
        <v>692</v>
      </c>
      <c r="C2178" s="1895" t="s">
        <v>686</v>
      </c>
      <c r="D2178" s="2068"/>
      <c r="E2178" s="2062">
        <v>2</v>
      </c>
      <c r="F2178" s="1842" t="s">
        <v>240</v>
      </c>
      <c r="G2178" s="2046">
        <f>904400-90440</f>
        <v>813960</v>
      </c>
      <c r="H2178" s="1854">
        <f t="shared" si="1004"/>
        <v>1627920</v>
      </c>
      <c r="I2178" s="2046">
        <v>0</v>
      </c>
      <c r="J2178" s="1854">
        <f t="shared" si="1005"/>
        <v>0</v>
      </c>
      <c r="K2178" s="1857">
        <f t="shared" si="1006"/>
        <v>1627920</v>
      </c>
      <c r="L2178" s="1910" t="s">
        <v>2887</v>
      </c>
      <c r="M2178" s="2047"/>
      <c r="N2178" s="1837"/>
      <c r="O2178" s="2024"/>
      <c r="P2178" s="1836"/>
      <c r="Q2178" s="1836"/>
      <c r="R2178" s="1837"/>
      <c r="S2178" s="1837"/>
      <c r="T2178" s="1837"/>
      <c r="U2178" s="1837"/>
      <c r="V2178" s="1837"/>
      <c r="W2178" s="1837"/>
      <c r="X2178" s="1837"/>
    </row>
    <row r="2179" spans="1:24" ht="24" customHeight="1">
      <c r="A2179" s="1933"/>
      <c r="B2179" s="2003" t="s">
        <v>693</v>
      </c>
      <c r="C2179" s="1895" t="s">
        <v>686</v>
      </c>
      <c r="D2179" s="1915"/>
      <c r="E2179" s="2062">
        <v>2</v>
      </c>
      <c r="F2179" s="1842" t="s">
        <v>240</v>
      </c>
      <c r="G2179" s="2046">
        <v>232000</v>
      </c>
      <c r="H2179" s="1854">
        <f t="shared" si="1004"/>
        <v>464000</v>
      </c>
      <c r="I2179" s="2046">
        <v>0</v>
      </c>
      <c r="J2179" s="1854">
        <f t="shared" si="1005"/>
        <v>0</v>
      </c>
      <c r="K2179" s="1857">
        <f t="shared" si="1006"/>
        <v>464000</v>
      </c>
      <c r="L2179" s="1910" t="s">
        <v>2887</v>
      </c>
      <c r="M2179" s="2047"/>
      <c r="N2179" s="1837"/>
      <c r="O2179" s="2024"/>
      <c r="P2179" s="1836"/>
      <c r="Q2179" s="1836"/>
      <c r="R2179" s="1837"/>
      <c r="S2179" s="1837"/>
      <c r="T2179" s="1837"/>
      <c r="U2179" s="1837"/>
      <c r="V2179" s="1837"/>
      <c r="W2179" s="1837"/>
      <c r="X2179" s="1837"/>
    </row>
    <row r="2180" spans="1:24" ht="24" customHeight="1">
      <c r="A2180" s="1933"/>
      <c r="B2180" s="2003" t="s">
        <v>694</v>
      </c>
      <c r="C2180" s="1895" t="s">
        <v>686</v>
      </c>
      <c r="D2180" s="1915"/>
      <c r="E2180" s="2062">
        <v>0</v>
      </c>
      <c r="F2180" s="1842" t="s">
        <v>240</v>
      </c>
      <c r="G2180" s="2046">
        <v>399100</v>
      </c>
      <c r="H2180" s="1854">
        <f t="shared" si="1004"/>
        <v>0</v>
      </c>
      <c r="I2180" s="2046">
        <v>0</v>
      </c>
      <c r="J2180" s="1854">
        <f t="shared" si="1005"/>
        <v>0</v>
      </c>
      <c r="K2180" s="1857">
        <f t="shared" si="1006"/>
        <v>0</v>
      </c>
      <c r="L2180" s="1910" t="s">
        <v>2887</v>
      </c>
      <c r="M2180" s="2047"/>
      <c r="N2180" s="1837"/>
      <c r="O2180" s="2024"/>
      <c r="P2180" s="1836"/>
      <c r="Q2180" s="1836"/>
      <c r="R2180" s="1837"/>
      <c r="S2180" s="1837"/>
      <c r="T2180" s="1837"/>
      <c r="U2180" s="1837"/>
      <c r="V2180" s="1837"/>
      <c r="W2180" s="1837"/>
      <c r="X2180" s="1837"/>
    </row>
    <row r="2181" spans="1:24" ht="24" customHeight="1">
      <c r="A2181" s="1933"/>
      <c r="B2181" s="2003" t="s">
        <v>695</v>
      </c>
      <c r="C2181" s="1895" t="s">
        <v>686</v>
      </c>
      <c r="D2181" s="1915"/>
      <c r="E2181" s="2062">
        <v>0</v>
      </c>
      <c r="F2181" s="1842" t="s">
        <v>240</v>
      </c>
      <c r="G2181" s="2046">
        <v>528100</v>
      </c>
      <c r="H2181" s="1854">
        <f t="shared" si="1004"/>
        <v>0</v>
      </c>
      <c r="I2181" s="2046">
        <v>0</v>
      </c>
      <c r="J2181" s="1854">
        <f t="shared" si="1005"/>
        <v>0</v>
      </c>
      <c r="K2181" s="1857">
        <f t="shared" si="1006"/>
        <v>0</v>
      </c>
      <c r="L2181" s="1910" t="s">
        <v>2887</v>
      </c>
      <c r="M2181" s="2047"/>
      <c r="N2181" s="1837"/>
      <c r="O2181" s="2024"/>
      <c r="P2181" s="1836"/>
      <c r="Q2181" s="1836"/>
      <c r="R2181" s="1837"/>
      <c r="S2181" s="1837"/>
      <c r="T2181" s="1837"/>
      <c r="U2181" s="1837"/>
      <c r="V2181" s="1837"/>
      <c r="W2181" s="1837"/>
      <c r="X2181" s="1837"/>
    </row>
    <row r="2182" spans="1:24" ht="24" customHeight="1">
      <c r="A2182" s="1933"/>
      <c r="B2182" s="2003" t="s">
        <v>696</v>
      </c>
      <c r="C2182" s="1895" t="s">
        <v>686</v>
      </c>
      <c r="D2182" s="1915"/>
      <c r="E2182" s="2062">
        <v>0</v>
      </c>
      <c r="F2182" s="1842" t="s">
        <v>240</v>
      </c>
      <c r="G2182" s="2046">
        <v>563500</v>
      </c>
      <c r="H2182" s="1854">
        <f t="shared" si="1004"/>
        <v>0</v>
      </c>
      <c r="I2182" s="2046">
        <v>0</v>
      </c>
      <c r="J2182" s="1854">
        <f t="shared" si="1005"/>
        <v>0</v>
      </c>
      <c r="K2182" s="1857">
        <f t="shared" si="1006"/>
        <v>0</v>
      </c>
      <c r="L2182" s="1910" t="s">
        <v>2887</v>
      </c>
      <c r="M2182" s="2047"/>
      <c r="N2182" s="1837"/>
      <c r="O2182" s="2024"/>
      <c r="P2182" s="1836"/>
      <c r="Q2182" s="1836"/>
      <c r="R2182" s="1837"/>
      <c r="S2182" s="1837"/>
      <c r="T2182" s="1837"/>
      <c r="U2182" s="1837"/>
      <c r="V2182" s="1837"/>
      <c r="W2182" s="1837"/>
      <c r="X2182" s="1837"/>
    </row>
    <row r="2183" spans="1:24" ht="24" customHeight="1">
      <c r="A2183" s="1933"/>
      <c r="B2183" s="2003" t="s">
        <v>697</v>
      </c>
      <c r="C2183" s="1895" t="s">
        <v>686</v>
      </c>
      <c r="D2183" s="1915"/>
      <c r="E2183" s="2062">
        <v>0</v>
      </c>
      <c r="F2183" s="1842" t="s">
        <v>240</v>
      </c>
      <c r="G2183" s="2046">
        <v>272800</v>
      </c>
      <c r="H2183" s="1854">
        <f t="shared" si="1004"/>
        <v>0</v>
      </c>
      <c r="I2183" s="2046">
        <v>0</v>
      </c>
      <c r="J2183" s="1854">
        <f t="shared" si="1005"/>
        <v>0</v>
      </c>
      <c r="K2183" s="1857">
        <f t="shared" si="1006"/>
        <v>0</v>
      </c>
      <c r="L2183" s="1910" t="s">
        <v>2887</v>
      </c>
      <c r="M2183" s="2047"/>
      <c r="N2183" s="1837"/>
      <c r="O2183" s="2024"/>
      <c r="P2183" s="1836"/>
      <c r="Q2183" s="1836"/>
      <c r="R2183" s="1837"/>
      <c r="S2183" s="1837"/>
      <c r="T2183" s="1837"/>
      <c r="U2183" s="1837"/>
      <c r="V2183" s="1837"/>
      <c r="W2183" s="1837"/>
      <c r="X2183" s="1837"/>
    </row>
    <row r="2184" spans="1:24" ht="24" customHeight="1">
      <c r="A2184" s="1933"/>
      <c r="B2184" s="2003" t="s">
        <v>698</v>
      </c>
      <c r="C2184" s="1895" t="s">
        <v>686</v>
      </c>
      <c r="D2184" s="1915"/>
      <c r="E2184" s="2062">
        <v>0</v>
      </c>
      <c r="F2184" s="1842" t="s">
        <v>240</v>
      </c>
      <c r="G2184" s="2046">
        <v>6900</v>
      </c>
      <c r="H2184" s="1854">
        <f t="shared" si="1004"/>
        <v>0</v>
      </c>
      <c r="I2184" s="2046">
        <v>0</v>
      </c>
      <c r="J2184" s="1854">
        <f t="shared" si="1005"/>
        <v>0</v>
      </c>
      <c r="K2184" s="1857">
        <f t="shared" si="1006"/>
        <v>0</v>
      </c>
      <c r="L2184" s="1910" t="s">
        <v>2887</v>
      </c>
      <c r="M2184" s="2047"/>
      <c r="N2184" s="1837"/>
      <c r="O2184" s="2024"/>
      <c r="P2184" s="1836"/>
      <c r="Q2184" s="1836"/>
      <c r="R2184" s="1837"/>
      <c r="S2184" s="1837"/>
      <c r="T2184" s="1837"/>
      <c r="U2184" s="1837"/>
      <c r="V2184" s="1837"/>
      <c r="W2184" s="1837"/>
      <c r="X2184" s="1837"/>
    </row>
    <row r="2185" spans="1:24" ht="24" customHeight="1">
      <c r="A2185" s="1933"/>
      <c r="B2185" s="2003" t="s">
        <v>699</v>
      </c>
      <c r="C2185" s="1895" t="s">
        <v>686</v>
      </c>
      <c r="D2185" s="1915"/>
      <c r="E2185" s="2062">
        <v>0</v>
      </c>
      <c r="F2185" s="1842" t="s">
        <v>240</v>
      </c>
      <c r="G2185" s="2046">
        <v>97700</v>
      </c>
      <c r="H2185" s="1854">
        <f t="shared" si="1004"/>
        <v>0</v>
      </c>
      <c r="I2185" s="2046">
        <v>0</v>
      </c>
      <c r="J2185" s="1854">
        <f t="shared" si="1005"/>
        <v>0</v>
      </c>
      <c r="K2185" s="1857">
        <f t="shared" si="1006"/>
        <v>0</v>
      </c>
      <c r="L2185" s="1910" t="s">
        <v>2887</v>
      </c>
      <c r="M2185" s="2047"/>
      <c r="N2185" s="2047">
        <f>SUM(K2128:K2185)</f>
        <v>5558880</v>
      </c>
      <c r="O2185" s="2024"/>
      <c r="P2185" s="1836"/>
      <c r="Q2185" s="1836"/>
      <c r="R2185" s="1837"/>
      <c r="S2185" s="1837"/>
      <c r="T2185" s="1837"/>
      <c r="U2185" s="1837"/>
      <c r="V2185" s="1837"/>
      <c r="W2185" s="1837"/>
      <c r="X2185" s="1837"/>
    </row>
    <row r="2186" spans="1:24" s="2061" customFormat="1" ht="24" customHeight="1">
      <c r="A2186" s="2053" t="s">
        <v>714</v>
      </c>
      <c r="B2186" s="2054" t="s">
        <v>715</v>
      </c>
      <c r="C2186" s="1905"/>
      <c r="D2186" s="1903"/>
      <c r="E2186" s="2063"/>
      <c r="F2186" s="2057"/>
      <c r="G2186" s="2066"/>
      <c r="H2186" s="1911"/>
      <c r="I2186" s="2065"/>
      <c r="J2186" s="1913"/>
      <c r="K2186" s="1914"/>
      <c r="L2186" s="2067"/>
      <c r="N2186" s="2060"/>
      <c r="O2186" s="2060"/>
      <c r="P2186" s="2060"/>
      <c r="Q2186" s="2060"/>
      <c r="R2186" s="2060"/>
      <c r="S2186" s="2060"/>
      <c r="T2186" s="2060"/>
      <c r="U2186" s="2060"/>
      <c r="V2186" s="2060"/>
      <c r="W2186" s="2060"/>
      <c r="X2186" s="2060"/>
    </row>
    <row r="2187" spans="1:24" ht="24" customHeight="1">
      <c r="A2187" s="1933"/>
      <c r="B2187" s="2003" t="s">
        <v>626</v>
      </c>
      <c r="C2187" s="1895" t="s">
        <v>627</v>
      </c>
      <c r="D2187" s="1915"/>
      <c r="E2187" s="2062">
        <v>3</v>
      </c>
      <c r="F2187" s="1842" t="s">
        <v>240</v>
      </c>
      <c r="G2187" s="2046">
        <v>260300</v>
      </c>
      <c r="H2187" s="1854">
        <f t="shared" ref="H2187:H2195" si="1007">E2187*G2187</f>
        <v>780900</v>
      </c>
      <c r="I2187" s="2046">
        <v>0</v>
      </c>
      <c r="J2187" s="1854">
        <f t="shared" ref="J2187:J2195" si="1008">E2187*I2187</f>
        <v>0</v>
      </c>
      <c r="K2187" s="1857">
        <f t="shared" ref="K2187:K2195" si="1009">H2187+J2187</f>
        <v>780900</v>
      </c>
      <c r="L2187" s="1910" t="s">
        <v>2886</v>
      </c>
      <c r="M2187" s="2047"/>
      <c r="N2187" s="1837"/>
      <c r="O2187" s="1837"/>
      <c r="P2187" s="1837"/>
      <c r="Q2187" s="1837"/>
      <c r="R2187" s="1837"/>
      <c r="S2187" s="1837"/>
      <c r="T2187" s="1837"/>
      <c r="U2187" s="1837"/>
      <c r="V2187" s="1837"/>
      <c r="W2187" s="1837"/>
      <c r="X2187" s="1837"/>
    </row>
    <row r="2188" spans="1:24" ht="24" customHeight="1">
      <c r="A2188" s="1933"/>
      <c r="B2188" s="2003" t="s">
        <v>628</v>
      </c>
      <c r="C2188" s="1895" t="s">
        <v>629</v>
      </c>
      <c r="D2188" s="1915"/>
      <c r="E2188" s="2062">
        <v>0</v>
      </c>
      <c r="F2188" s="1842" t="s">
        <v>240</v>
      </c>
      <c r="G2188" s="2046">
        <v>386900</v>
      </c>
      <c r="H2188" s="1854">
        <f t="shared" si="1007"/>
        <v>0</v>
      </c>
      <c r="I2188" s="2046">
        <v>0</v>
      </c>
      <c r="J2188" s="1854">
        <f t="shared" si="1008"/>
        <v>0</v>
      </c>
      <c r="K2188" s="1857">
        <f t="shared" si="1009"/>
        <v>0</v>
      </c>
      <c r="L2188" s="1910" t="s">
        <v>2886</v>
      </c>
      <c r="M2188" s="2047"/>
      <c r="N2188" s="1837"/>
      <c r="O2188" s="1837"/>
      <c r="P2188" s="1837"/>
      <c r="Q2188" s="1837"/>
      <c r="R2188" s="1837"/>
      <c r="S2188" s="1837"/>
      <c r="T2188" s="1837"/>
      <c r="U2188" s="1837"/>
      <c r="V2188" s="1837"/>
      <c r="W2188" s="1837"/>
      <c r="X2188" s="1837"/>
    </row>
    <row r="2189" spans="1:24" ht="24" customHeight="1">
      <c r="A2189" s="1782"/>
      <c r="B2189" s="2003" t="s">
        <v>630</v>
      </c>
      <c r="C2189" s="1895" t="s">
        <v>2818</v>
      </c>
      <c r="D2189" s="1915"/>
      <c r="E2189" s="2062">
        <v>0</v>
      </c>
      <c r="F2189" s="1842" t="s">
        <v>240</v>
      </c>
      <c r="G2189" s="2046">
        <v>432400</v>
      </c>
      <c r="H2189" s="1854">
        <f t="shared" si="1007"/>
        <v>0</v>
      </c>
      <c r="I2189" s="2046">
        <v>0</v>
      </c>
      <c r="J2189" s="1854">
        <f t="shared" si="1008"/>
        <v>0</v>
      </c>
      <c r="K2189" s="1857">
        <f t="shared" si="1009"/>
        <v>0</v>
      </c>
      <c r="L2189" s="1910" t="s">
        <v>2886</v>
      </c>
      <c r="M2189" s="2047"/>
      <c r="N2189" s="1837"/>
      <c r="O2189" s="1837"/>
      <c r="P2189" s="1837"/>
      <c r="Q2189" s="1837"/>
      <c r="R2189" s="1837"/>
      <c r="S2189" s="1837"/>
      <c r="T2189" s="1837"/>
      <c r="U2189" s="1837"/>
      <c r="V2189" s="1837"/>
      <c r="W2189" s="1837"/>
      <c r="X2189" s="1837"/>
    </row>
    <row r="2190" spans="1:24" ht="24" customHeight="1">
      <c r="A2190" s="1782"/>
      <c r="B2190" s="2003" t="s">
        <v>631</v>
      </c>
      <c r="C2190" s="1895" t="s">
        <v>2818</v>
      </c>
      <c r="D2190" s="1915"/>
      <c r="E2190" s="2062">
        <v>0</v>
      </c>
      <c r="F2190" s="1842" t="s">
        <v>240</v>
      </c>
      <c r="G2190" s="2046">
        <v>440430</v>
      </c>
      <c r="H2190" s="1854">
        <f t="shared" si="1007"/>
        <v>0</v>
      </c>
      <c r="I2190" s="2046">
        <v>0</v>
      </c>
      <c r="J2190" s="1854">
        <f t="shared" si="1008"/>
        <v>0</v>
      </c>
      <c r="K2190" s="1857">
        <f t="shared" si="1009"/>
        <v>0</v>
      </c>
      <c r="L2190" s="1910" t="s">
        <v>2886</v>
      </c>
      <c r="M2190" s="2047"/>
      <c r="N2190" s="1837"/>
      <c r="O2190" s="1837"/>
      <c r="P2190" s="1837"/>
      <c r="Q2190" s="1837"/>
      <c r="R2190" s="1837"/>
      <c r="S2190" s="1837"/>
      <c r="T2190" s="1837"/>
      <c r="U2190" s="1837"/>
      <c r="V2190" s="1837"/>
      <c r="W2190" s="1837"/>
      <c r="X2190" s="1837"/>
    </row>
    <row r="2191" spans="1:24" ht="24" customHeight="1">
      <c r="A2191" s="1782"/>
      <c r="B2191" s="2003" t="s">
        <v>632</v>
      </c>
      <c r="C2191" s="1895" t="s">
        <v>2819</v>
      </c>
      <c r="D2191" s="1915"/>
      <c r="E2191" s="2062">
        <v>0</v>
      </c>
      <c r="F2191" s="1842" t="s">
        <v>240</v>
      </c>
      <c r="G2191" s="2046">
        <v>48800</v>
      </c>
      <c r="H2191" s="1854">
        <f t="shared" si="1007"/>
        <v>0</v>
      </c>
      <c r="I2191" s="2046">
        <v>0</v>
      </c>
      <c r="J2191" s="1854">
        <f t="shared" si="1008"/>
        <v>0</v>
      </c>
      <c r="K2191" s="1857">
        <f t="shared" si="1009"/>
        <v>0</v>
      </c>
      <c r="L2191" s="1910" t="s">
        <v>2886</v>
      </c>
      <c r="M2191" s="2047"/>
      <c r="N2191" s="1837"/>
      <c r="O2191" s="1837"/>
      <c r="P2191" s="1837"/>
      <c r="Q2191" s="1837"/>
      <c r="R2191" s="1837"/>
      <c r="S2191" s="1837"/>
      <c r="T2191" s="1837"/>
      <c r="U2191" s="1837"/>
      <c r="V2191" s="1837"/>
      <c r="W2191" s="1837"/>
      <c r="X2191" s="1837"/>
    </row>
    <row r="2192" spans="1:24" ht="24" customHeight="1">
      <c r="A2192" s="1782"/>
      <c r="B2192" s="2003" t="s">
        <v>633</v>
      </c>
      <c r="C2192" s="1895" t="s">
        <v>634</v>
      </c>
      <c r="D2192" s="1915"/>
      <c r="E2192" s="2062">
        <v>2</v>
      </c>
      <c r="F2192" s="1842" t="s">
        <v>240</v>
      </c>
      <c r="G2192" s="2046">
        <v>28600</v>
      </c>
      <c r="H2192" s="1854">
        <f t="shared" si="1007"/>
        <v>57200</v>
      </c>
      <c r="I2192" s="2046">
        <v>0</v>
      </c>
      <c r="J2192" s="1854">
        <f t="shared" si="1008"/>
        <v>0</v>
      </c>
      <c r="K2192" s="1857">
        <f t="shared" si="1009"/>
        <v>57200</v>
      </c>
      <c r="L2192" s="1910" t="s">
        <v>2886</v>
      </c>
      <c r="M2192" s="2047"/>
      <c r="N2192" s="1837"/>
      <c r="O2192" s="1837"/>
      <c r="P2192" s="1837"/>
      <c r="Q2192" s="1837"/>
      <c r="R2192" s="1837"/>
      <c r="S2192" s="1837"/>
      <c r="T2192" s="1837"/>
      <c r="U2192" s="1837"/>
      <c r="V2192" s="1837"/>
      <c r="W2192" s="1837"/>
      <c r="X2192" s="1837"/>
    </row>
    <row r="2193" spans="1:24" ht="24" customHeight="1">
      <c r="A2193" s="1782"/>
      <c r="B2193" s="2003" t="s">
        <v>635</v>
      </c>
      <c r="C2193" s="1895" t="s">
        <v>629</v>
      </c>
      <c r="D2193" s="1915"/>
      <c r="E2193" s="2062">
        <v>0</v>
      </c>
      <c r="F2193" s="1842" t="s">
        <v>240</v>
      </c>
      <c r="G2193" s="2046">
        <v>814100</v>
      </c>
      <c r="H2193" s="1854">
        <f t="shared" si="1007"/>
        <v>0</v>
      </c>
      <c r="I2193" s="2046">
        <v>0</v>
      </c>
      <c r="J2193" s="1854">
        <f t="shared" si="1008"/>
        <v>0</v>
      </c>
      <c r="K2193" s="1857">
        <f t="shared" si="1009"/>
        <v>0</v>
      </c>
      <c r="L2193" s="1910" t="s">
        <v>2886</v>
      </c>
      <c r="M2193" s="2047"/>
      <c r="N2193" s="1837"/>
      <c r="O2193" s="1837"/>
      <c r="P2193" s="1837"/>
      <c r="Q2193" s="1837"/>
      <c r="R2193" s="1837"/>
      <c r="S2193" s="1837"/>
      <c r="T2193" s="1837"/>
      <c r="U2193" s="1837"/>
      <c r="V2193" s="1837"/>
      <c r="W2193" s="1837"/>
      <c r="X2193" s="1837"/>
    </row>
    <row r="2194" spans="1:24" ht="24" customHeight="1">
      <c r="A2194" s="1782"/>
      <c r="B2194" s="2003" t="s">
        <v>636</v>
      </c>
      <c r="C2194" s="1895" t="s">
        <v>629</v>
      </c>
      <c r="D2194" s="1915"/>
      <c r="E2194" s="2062">
        <v>0</v>
      </c>
      <c r="F2194" s="1842" t="s">
        <v>240</v>
      </c>
      <c r="G2194" s="2046">
        <v>701500</v>
      </c>
      <c r="H2194" s="1854">
        <f t="shared" si="1007"/>
        <v>0</v>
      </c>
      <c r="I2194" s="2046">
        <v>0</v>
      </c>
      <c r="J2194" s="1854">
        <f t="shared" si="1008"/>
        <v>0</v>
      </c>
      <c r="K2194" s="1857">
        <f t="shared" si="1009"/>
        <v>0</v>
      </c>
      <c r="L2194" s="1910" t="s">
        <v>2886</v>
      </c>
      <c r="M2194" s="2047"/>
      <c r="N2194" s="1837"/>
      <c r="O2194" s="1837"/>
      <c r="P2194" s="1837"/>
      <c r="Q2194" s="1837"/>
      <c r="R2194" s="1837"/>
      <c r="S2194" s="1837"/>
      <c r="T2194" s="1837"/>
      <c r="U2194" s="1837"/>
      <c r="V2194" s="1837"/>
      <c r="W2194" s="1837"/>
      <c r="X2194" s="1837"/>
    </row>
    <row r="2195" spans="1:24" ht="24" customHeight="1">
      <c r="A2195" s="1782"/>
      <c r="B2195" s="2003" t="s">
        <v>637</v>
      </c>
      <c r="C2195" s="1895" t="s">
        <v>629</v>
      </c>
      <c r="D2195" s="1915"/>
      <c r="E2195" s="2062">
        <v>0</v>
      </c>
      <c r="F2195" s="1842" t="s">
        <v>240</v>
      </c>
      <c r="G2195" s="2046">
        <v>240700</v>
      </c>
      <c r="H2195" s="1854">
        <f t="shared" si="1007"/>
        <v>0</v>
      </c>
      <c r="I2195" s="2046">
        <v>0</v>
      </c>
      <c r="J2195" s="1854">
        <f t="shared" si="1008"/>
        <v>0</v>
      </c>
      <c r="K2195" s="1857">
        <f t="shared" si="1009"/>
        <v>0</v>
      </c>
      <c r="L2195" s="1910" t="s">
        <v>2886</v>
      </c>
      <c r="M2195" s="2047"/>
      <c r="N2195" s="1837"/>
      <c r="O2195" s="1837"/>
      <c r="P2195" s="1837"/>
      <c r="Q2195" s="1837"/>
      <c r="R2195" s="1837"/>
      <c r="S2195" s="1837"/>
      <c r="T2195" s="1837"/>
      <c r="U2195" s="1837"/>
      <c r="V2195" s="1837"/>
      <c r="W2195" s="1837"/>
      <c r="X2195" s="1837"/>
    </row>
    <row r="2196" spans="1:24" ht="24" customHeight="1">
      <c r="A2196" s="1933"/>
      <c r="B2196" s="2003"/>
      <c r="C2196" s="1895"/>
      <c r="D2196" s="1915"/>
      <c r="E2196" s="2062"/>
      <c r="F2196" s="1842"/>
      <c r="G2196" s="2046"/>
      <c r="H2196" s="1854"/>
      <c r="I2196" s="2048"/>
      <c r="J2196" s="1854"/>
      <c r="K2196" s="1857"/>
      <c r="L2196" s="2043"/>
      <c r="M2196" s="2044"/>
      <c r="N2196" s="1837"/>
      <c r="O2196" s="1837"/>
      <c r="P2196" s="1837"/>
      <c r="Q2196" s="1837"/>
      <c r="R2196" s="1837"/>
      <c r="S2196" s="1837"/>
      <c r="T2196" s="1837"/>
      <c r="U2196" s="1837"/>
      <c r="V2196" s="1837"/>
      <c r="W2196" s="1837"/>
      <c r="X2196" s="1837"/>
    </row>
    <row r="2197" spans="1:24" ht="24" customHeight="1">
      <c r="A2197" s="1782"/>
      <c r="B2197" s="2003" t="s">
        <v>638</v>
      </c>
      <c r="C2197" s="1895" t="s">
        <v>639</v>
      </c>
      <c r="D2197" s="1915"/>
      <c r="E2197" s="2062">
        <v>4</v>
      </c>
      <c r="F2197" s="1842" t="s">
        <v>240</v>
      </c>
      <c r="G2197" s="2046">
        <v>45750</v>
      </c>
      <c r="H2197" s="1854">
        <f>E2197*G2197</f>
        <v>183000</v>
      </c>
      <c r="I2197" s="2046">
        <v>3000</v>
      </c>
      <c r="J2197" s="1854">
        <f>E2197*I2197</f>
        <v>12000</v>
      </c>
      <c r="K2197" s="1857">
        <f>H2197+J2197</f>
        <v>195000</v>
      </c>
      <c r="L2197" s="2043"/>
      <c r="M2197" s="2044"/>
      <c r="N2197" s="1837"/>
      <c r="O2197" s="1837"/>
      <c r="P2197" s="1837"/>
      <c r="Q2197" s="1837"/>
      <c r="R2197" s="1837"/>
      <c r="S2197" s="1837"/>
      <c r="T2197" s="1837"/>
      <c r="U2197" s="1837"/>
      <c r="V2197" s="1837"/>
      <c r="W2197" s="1837"/>
      <c r="X2197" s="1837"/>
    </row>
    <row r="2198" spans="1:24" ht="24" customHeight="1">
      <c r="A2198" s="1933"/>
      <c r="B2198" s="2003" t="s">
        <v>640</v>
      </c>
      <c r="C2198" s="1895" t="s">
        <v>641</v>
      </c>
      <c r="D2198" s="1915"/>
      <c r="E2198" s="2062">
        <v>0</v>
      </c>
      <c r="F2198" s="1842" t="s">
        <v>240</v>
      </c>
      <c r="G2198" s="2046">
        <v>49350</v>
      </c>
      <c r="H2198" s="1854">
        <f t="shared" ref="H2198:H2208" si="1010">E2198*G2198</f>
        <v>0</v>
      </c>
      <c r="I2198" s="2046">
        <v>3000</v>
      </c>
      <c r="J2198" s="1854">
        <f t="shared" ref="J2198:J2208" si="1011">E2198*I2198</f>
        <v>0</v>
      </c>
      <c r="K2198" s="1857">
        <f t="shared" ref="K2198:K2208" si="1012">H2198+J2198</f>
        <v>0</v>
      </c>
      <c r="L2198" s="2043"/>
      <c r="M2198" s="2044"/>
      <c r="N2198" s="1837"/>
      <c r="O2198" s="1837"/>
      <c r="P2198" s="1837"/>
      <c r="Q2198" s="1837"/>
      <c r="R2198" s="1837"/>
      <c r="S2198" s="1837"/>
      <c r="T2198" s="1837"/>
      <c r="U2198" s="1837"/>
      <c r="V2198" s="1837"/>
      <c r="W2198" s="1837"/>
      <c r="X2198" s="1837"/>
    </row>
    <row r="2199" spans="1:24" ht="24" customHeight="1">
      <c r="A2199" s="1933"/>
      <c r="B2199" s="2003" t="s">
        <v>642</v>
      </c>
      <c r="C2199" s="1895" t="s">
        <v>643</v>
      </c>
      <c r="D2199" s="1915"/>
      <c r="E2199" s="2062">
        <v>2</v>
      </c>
      <c r="F2199" s="1842" t="s">
        <v>240</v>
      </c>
      <c r="G2199" s="2046">
        <v>87950</v>
      </c>
      <c r="H2199" s="1854">
        <f t="shared" si="1010"/>
        <v>175900</v>
      </c>
      <c r="I2199" s="2046">
        <v>4000</v>
      </c>
      <c r="J2199" s="1854">
        <f t="shared" si="1011"/>
        <v>8000</v>
      </c>
      <c r="K2199" s="1857">
        <f t="shared" si="1012"/>
        <v>183900</v>
      </c>
      <c r="L2199" s="2043"/>
      <c r="M2199" s="2044"/>
      <c r="N2199" s="1837"/>
      <c r="O2199" s="1837"/>
      <c r="P2199" s="1837"/>
      <c r="Q2199" s="1837"/>
      <c r="R2199" s="1837"/>
      <c r="S2199" s="1837"/>
      <c r="T2199" s="1837"/>
      <c r="U2199" s="1837"/>
      <c r="V2199" s="1837"/>
      <c r="W2199" s="1837"/>
      <c r="X2199" s="1837"/>
    </row>
    <row r="2200" spans="1:24" ht="24" customHeight="1">
      <c r="A2200" s="1933"/>
      <c r="B2200" s="2003" t="s">
        <v>644</v>
      </c>
      <c r="C2200" s="1895" t="s">
        <v>643</v>
      </c>
      <c r="D2200" s="1915"/>
      <c r="E2200" s="2062">
        <v>1</v>
      </c>
      <c r="F2200" s="1842" t="s">
        <v>240</v>
      </c>
      <c r="G2200" s="2046">
        <v>63520</v>
      </c>
      <c r="H2200" s="1854">
        <f t="shared" si="1010"/>
        <v>63520</v>
      </c>
      <c r="I2200" s="2046">
        <v>4000</v>
      </c>
      <c r="J2200" s="1854">
        <f t="shared" si="1011"/>
        <v>4000</v>
      </c>
      <c r="K2200" s="1857">
        <f t="shared" si="1012"/>
        <v>67520</v>
      </c>
      <c r="L2200" s="2043"/>
      <c r="M2200" s="2044"/>
      <c r="N2200" s="1837"/>
      <c r="O2200" s="1837"/>
      <c r="P2200" s="1837"/>
      <c r="Q2200" s="1837"/>
      <c r="R2200" s="1837"/>
      <c r="S2200" s="1837"/>
      <c r="T2200" s="1837"/>
      <c r="U2200" s="1837"/>
      <c r="V2200" s="1837"/>
      <c r="W2200" s="1837"/>
      <c r="X2200" s="1837"/>
    </row>
    <row r="2201" spans="1:24" ht="24" customHeight="1">
      <c r="A2201" s="1933"/>
      <c r="B2201" s="2003" t="s">
        <v>645</v>
      </c>
      <c r="C2201" s="1895" t="s">
        <v>639</v>
      </c>
      <c r="D2201" s="1915"/>
      <c r="E2201" s="2062">
        <v>3</v>
      </c>
      <c r="F2201" s="1842" t="s">
        <v>240</v>
      </c>
      <c r="G2201" s="2046">
        <v>20950</v>
      </c>
      <c r="H2201" s="1854">
        <f t="shared" si="1010"/>
        <v>62850</v>
      </c>
      <c r="I2201" s="2046">
        <v>3000</v>
      </c>
      <c r="J2201" s="1854">
        <f t="shared" si="1011"/>
        <v>9000</v>
      </c>
      <c r="K2201" s="1857">
        <f t="shared" si="1012"/>
        <v>71850</v>
      </c>
      <c r="L2201" s="2043"/>
      <c r="M2201" s="2044"/>
      <c r="N2201" s="1837"/>
      <c r="O2201" s="1837"/>
      <c r="P2201" s="1837"/>
      <c r="Q2201" s="1837"/>
      <c r="R2201" s="1837"/>
      <c r="S2201" s="1837"/>
      <c r="T2201" s="1837"/>
      <c r="U2201" s="1837"/>
      <c r="V2201" s="1837"/>
      <c r="W2201" s="1837"/>
      <c r="X2201" s="1837"/>
    </row>
    <row r="2202" spans="1:24" ht="24" customHeight="1">
      <c r="A2202" s="1933"/>
      <c r="B2202" s="2003" t="s">
        <v>646</v>
      </c>
      <c r="C2202" s="1895" t="s">
        <v>647</v>
      </c>
      <c r="D2202" s="1915"/>
      <c r="E2202" s="2062">
        <v>1</v>
      </c>
      <c r="F2202" s="1842" t="s">
        <v>240</v>
      </c>
      <c r="G2202" s="2046">
        <v>78210</v>
      </c>
      <c r="H2202" s="1854">
        <f t="shared" si="1010"/>
        <v>78210</v>
      </c>
      <c r="I2202" s="2046">
        <v>4000</v>
      </c>
      <c r="J2202" s="1854">
        <f t="shared" si="1011"/>
        <v>4000</v>
      </c>
      <c r="K2202" s="1857">
        <f t="shared" si="1012"/>
        <v>82210</v>
      </c>
      <c r="L2202" s="2043"/>
      <c r="M2202" s="2044"/>
      <c r="N2202" s="1837"/>
      <c r="O2202" s="1837"/>
      <c r="P2202" s="1837"/>
      <c r="Q2202" s="1837"/>
      <c r="R2202" s="1837"/>
      <c r="S2202" s="1837"/>
      <c r="T2202" s="1837"/>
      <c r="U2202" s="1837"/>
      <c r="V2202" s="1837"/>
      <c r="W2202" s="1837"/>
      <c r="X2202" s="1837"/>
    </row>
    <row r="2203" spans="1:24" ht="24" customHeight="1">
      <c r="A2203" s="1933"/>
      <c r="B2203" s="2003" t="s">
        <v>648</v>
      </c>
      <c r="C2203" s="1895" t="s">
        <v>2820</v>
      </c>
      <c r="D2203" s="1915"/>
      <c r="E2203" s="2062">
        <v>0</v>
      </c>
      <c r="F2203" s="1842" t="s">
        <v>240</v>
      </c>
      <c r="G2203" s="2046">
        <v>34220</v>
      </c>
      <c r="H2203" s="1854">
        <f t="shared" si="1010"/>
        <v>0</v>
      </c>
      <c r="I2203" s="2046">
        <v>4000</v>
      </c>
      <c r="J2203" s="1854">
        <f t="shared" si="1011"/>
        <v>0</v>
      </c>
      <c r="K2203" s="1857">
        <f t="shared" si="1012"/>
        <v>0</v>
      </c>
      <c r="L2203" s="2043"/>
      <c r="M2203" s="2044"/>
      <c r="N2203" s="1837"/>
      <c r="O2203" s="1837"/>
      <c r="P2203" s="1837"/>
      <c r="Q2203" s="1837"/>
      <c r="R2203" s="1837"/>
      <c r="S2203" s="1837"/>
      <c r="T2203" s="1837"/>
      <c r="U2203" s="1837"/>
      <c r="V2203" s="1837"/>
      <c r="W2203" s="1837"/>
      <c r="X2203" s="1837"/>
    </row>
    <row r="2204" spans="1:24" ht="24" customHeight="1">
      <c r="A2204" s="1933"/>
      <c r="B2204" s="2003" t="s">
        <v>649</v>
      </c>
      <c r="C2204" s="1895" t="s">
        <v>643</v>
      </c>
      <c r="D2204" s="1915"/>
      <c r="E2204" s="2062">
        <v>0</v>
      </c>
      <c r="F2204" s="1842" t="s">
        <v>240</v>
      </c>
      <c r="G2204" s="2046">
        <v>63520</v>
      </c>
      <c r="H2204" s="1854">
        <f t="shared" si="1010"/>
        <v>0</v>
      </c>
      <c r="I2204" s="2046">
        <v>4000</v>
      </c>
      <c r="J2204" s="1854">
        <f t="shared" si="1011"/>
        <v>0</v>
      </c>
      <c r="K2204" s="1857">
        <f t="shared" si="1012"/>
        <v>0</v>
      </c>
      <c r="L2204" s="2043"/>
      <c r="M2204" s="2044"/>
      <c r="N2204" s="1837"/>
      <c r="O2204" s="1837"/>
      <c r="P2204" s="1837"/>
      <c r="Q2204" s="1837"/>
      <c r="R2204" s="1837"/>
      <c r="S2204" s="1837"/>
      <c r="T2204" s="1837"/>
      <c r="U2204" s="1837"/>
      <c r="V2204" s="1837"/>
      <c r="W2204" s="1837"/>
      <c r="X2204" s="1837"/>
    </row>
    <row r="2205" spans="1:24" ht="24" customHeight="1">
      <c r="A2205" s="1933"/>
      <c r="B2205" s="2003" t="s">
        <v>650</v>
      </c>
      <c r="C2205" s="1895" t="s">
        <v>647</v>
      </c>
      <c r="D2205" s="1915"/>
      <c r="E2205" s="2062">
        <v>0</v>
      </c>
      <c r="F2205" s="1842" t="s">
        <v>240</v>
      </c>
      <c r="G2205" s="2046">
        <v>75710</v>
      </c>
      <c r="H2205" s="1854">
        <f t="shared" si="1010"/>
        <v>0</v>
      </c>
      <c r="I2205" s="2046">
        <v>4000</v>
      </c>
      <c r="J2205" s="1854">
        <f t="shared" si="1011"/>
        <v>0</v>
      </c>
      <c r="K2205" s="1857">
        <f t="shared" si="1012"/>
        <v>0</v>
      </c>
      <c r="L2205" s="2043"/>
      <c r="M2205" s="2044"/>
      <c r="N2205" s="1837"/>
      <c r="O2205" s="1837"/>
      <c r="P2205" s="1837"/>
      <c r="Q2205" s="1837"/>
      <c r="R2205" s="1837"/>
      <c r="S2205" s="1837"/>
      <c r="T2205" s="1837"/>
      <c r="U2205" s="1837"/>
      <c r="V2205" s="1837"/>
      <c r="W2205" s="1837"/>
      <c r="X2205" s="1837"/>
    </row>
    <row r="2206" spans="1:24" ht="24" customHeight="1">
      <c r="A2206" s="1933"/>
      <c r="B2206" s="2003" t="s">
        <v>651</v>
      </c>
      <c r="C2206" s="1895" t="s">
        <v>647</v>
      </c>
      <c r="D2206" s="1915"/>
      <c r="E2206" s="2062">
        <v>2</v>
      </c>
      <c r="F2206" s="1842" t="s">
        <v>240</v>
      </c>
      <c r="G2206" s="2046">
        <v>78210</v>
      </c>
      <c r="H2206" s="1854">
        <f t="shared" si="1010"/>
        <v>156420</v>
      </c>
      <c r="I2206" s="2046">
        <v>4000</v>
      </c>
      <c r="J2206" s="1854">
        <f t="shared" si="1011"/>
        <v>8000</v>
      </c>
      <c r="K2206" s="1857">
        <f t="shared" si="1012"/>
        <v>164420</v>
      </c>
      <c r="L2206" s="2043"/>
      <c r="M2206" s="2044"/>
      <c r="N2206" s="1837"/>
      <c r="O2206" s="1837"/>
      <c r="P2206" s="1837"/>
      <c r="Q2206" s="1837"/>
      <c r="R2206" s="1837"/>
      <c r="S2206" s="1837"/>
      <c r="T2206" s="1837"/>
      <c r="U2206" s="1837"/>
      <c r="V2206" s="1837"/>
      <c r="W2206" s="1837"/>
      <c r="X2206" s="1837"/>
    </row>
    <row r="2207" spans="1:24" ht="24" customHeight="1">
      <c r="A2207" s="1933"/>
      <c r="B2207" s="2003" t="s">
        <v>652</v>
      </c>
      <c r="C2207" s="1895" t="s">
        <v>647</v>
      </c>
      <c r="D2207" s="1915"/>
      <c r="E2207" s="2062">
        <v>2</v>
      </c>
      <c r="F2207" s="1842" t="s">
        <v>240</v>
      </c>
      <c r="G2207" s="2046">
        <v>49870</v>
      </c>
      <c r="H2207" s="1854">
        <f t="shared" si="1010"/>
        <v>99740</v>
      </c>
      <c r="I2207" s="2046">
        <v>4000</v>
      </c>
      <c r="J2207" s="1854">
        <f t="shared" si="1011"/>
        <v>8000</v>
      </c>
      <c r="K2207" s="1857">
        <f t="shared" si="1012"/>
        <v>107740</v>
      </c>
      <c r="L2207" s="2043"/>
      <c r="M2207" s="2044"/>
      <c r="N2207" s="1837"/>
      <c r="O2207" s="1837"/>
      <c r="P2207" s="1837"/>
      <c r="Q2207" s="1837"/>
      <c r="R2207" s="1837"/>
      <c r="S2207" s="1837"/>
      <c r="T2207" s="1837"/>
      <c r="U2207" s="1837"/>
      <c r="V2207" s="1837"/>
      <c r="W2207" s="1837"/>
      <c r="X2207" s="1837"/>
    </row>
    <row r="2208" spans="1:24" ht="24" customHeight="1">
      <c r="A2208" s="1933"/>
      <c r="B2208" s="2003" t="s">
        <v>653</v>
      </c>
      <c r="C2208" s="1895" t="s">
        <v>639</v>
      </c>
      <c r="D2208" s="1915"/>
      <c r="E2208" s="2062">
        <v>0</v>
      </c>
      <c r="F2208" s="1842" t="s">
        <v>240</v>
      </c>
      <c r="G2208" s="2046">
        <v>27900</v>
      </c>
      <c r="H2208" s="1854">
        <f t="shared" si="1010"/>
        <v>0</v>
      </c>
      <c r="I2208" s="2046">
        <v>4000</v>
      </c>
      <c r="J2208" s="1854">
        <f t="shared" si="1011"/>
        <v>0</v>
      </c>
      <c r="K2208" s="1857">
        <f t="shared" si="1012"/>
        <v>0</v>
      </c>
      <c r="L2208" s="2043"/>
      <c r="M2208" s="2044"/>
      <c r="N2208" s="1837"/>
      <c r="O2208" s="1837"/>
      <c r="P2208" s="1837"/>
      <c r="Q2208" s="1837"/>
      <c r="R2208" s="1837"/>
      <c r="S2208" s="1837"/>
      <c r="T2208" s="1837"/>
      <c r="U2208" s="1837"/>
      <c r="V2208" s="1837"/>
      <c r="W2208" s="1837"/>
      <c r="X2208" s="1837"/>
    </row>
    <row r="2209" spans="1:24" ht="24" customHeight="1">
      <c r="A2209" s="1782"/>
      <c r="B2209" s="2003"/>
      <c r="C2209" s="1895"/>
      <c r="D2209" s="1915"/>
      <c r="E2209" s="2062"/>
      <c r="F2209" s="1842"/>
      <c r="G2209" s="2046"/>
      <c r="H2209" s="1854"/>
      <c r="I2209" s="2048"/>
      <c r="J2209" s="1854"/>
      <c r="K2209" s="1857"/>
      <c r="L2209" s="2049"/>
      <c r="M2209" s="2044"/>
      <c r="N2209" s="1837"/>
      <c r="O2209" s="1837"/>
      <c r="P2209" s="1837"/>
      <c r="Q2209" s="1837"/>
      <c r="R2209" s="1837"/>
      <c r="S2209" s="1837"/>
      <c r="T2209" s="1837"/>
      <c r="U2209" s="1837"/>
      <c r="V2209" s="1837"/>
      <c r="W2209" s="1837"/>
      <c r="X2209" s="1837"/>
    </row>
    <row r="2210" spans="1:24" ht="24" customHeight="1">
      <c r="A2210" s="1933"/>
      <c r="B2210" s="2003" t="s">
        <v>654</v>
      </c>
      <c r="C2210" s="1895" t="s">
        <v>655</v>
      </c>
      <c r="D2210" s="1915"/>
      <c r="E2210" s="2062">
        <v>2</v>
      </c>
      <c r="F2210" s="1842" t="s">
        <v>240</v>
      </c>
      <c r="G2210" s="2046">
        <v>24170</v>
      </c>
      <c r="H2210" s="1854">
        <f>E2210*G2210</f>
        <v>48340</v>
      </c>
      <c r="I2210" s="2046">
        <v>4000</v>
      </c>
      <c r="J2210" s="1854">
        <f>E2210*I2210</f>
        <v>8000</v>
      </c>
      <c r="K2210" s="1857">
        <f>H2210+J2210</f>
        <v>56340</v>
      </c>
      <c r="L2210" s="2043"/>
      <c r="M2210" s="2044"/>
      <c r="N2210" s="1837"/>
      <c r="O2210" s="1837"/>
      <c r="P2210" s="1837"/>
      <c r="Q2210" s="1837"/>
      <c r="R2210" s="1837"/>
      <c r="S2210" s="1837"/>
      <c r="T2210" s="1837"/>
      <c r="U2210" s="1837"/>
      <c r="V2210" s="1837"/>
      <c r="W2210" s="1837"/>
      <c r="X2210" s="1837"/>
    </row>
    <row r="2211" spans="1:24" ht="24" customHeight="1">
      <c r="A2211" s="1933"/>
      <c r="B2211" s="2003" t="s">
        <v>656</v>
      </c>
      <c r="C2211" s="1895" t="s">
        <v>655</v>
      </c>
      <c r="D2211" s="1915"/>
      <c r="E2211" s="2062">
        <v>5</v>
      </c>
      <c r="F2211" s="1842" t="s">
        <v>240</v>
      </c>
      <c r="G2211" s="2046">
        <v>38620</v>
      </c>
      <c r="H2211" s="1854">
        <f t="shared" ref="H2211:H2215" si="1013">E2211*G2211</f>
        <v>193100</v>
      </c>
      <c r="I2211" s="2046">
        <v>4000</v>
      </c>
      <c r="J2211" s="1854">
        <f t="shared" ref="J2211:J2215" si="1014">E2211*I2211</f>
        <v>20000</v>
      </c>
      <c r="K2211" s="1857">
        <f t="shared" ref="K2211:K2215" si="1015">H2211+J2211</f>
        <v>213100</v>
      </c>
      <c r="L2211" s="2043"/>
      <c r="M2211" s="2044"/>
      <c r="N2211" s="1837"/>
      <c r="O2211" s="1837"/>
      <c r="P2211" s="1837"/>
      <c r="Q2211" s="1837"/>
      <c r="R2211" s="1837"/>
      <c r="S2211" s="1837"/>
      <c r="T2211" s="1837"/>
      <c r="U2211" s="1837"/>
      <c r="V2211" s="1837"/>
      <c r="W2211" s="1837"/>
      <c r="X2211" s="1837"/>
    </row>
    <row r="2212" spans="1:24" ht="24" customHeight="1">
      <c r="A2212" s="1933"/>
      <c r="B2212" s="2003" t="s">
        <v>657</v>
      </c>
      <c r="C2212" s="1895" t="s">
        <v>658</v>
      </c>
      <c r="D2212" s="1915"/>
      <c r="E2212" s="2062">
        <v>2</v>
      </c>
      <c r="F2212" s="1842" t="s">
        <v>240</v>
      </c>
      <c r="G2212" s="2046">
        <v>17400</v>
      </c>
      <c r="H2212" s="1854">
        <f t="shared" si="1013"/>
        <v>34800</v>
      </c>
      <c r="I2212" s="2046">
        <v>3000</v>
      </c>
      <c r="J2212" s="1854">
        <f t="shared" si="1014"/>
        <v>6000</v>
      </c>
      <c r="K2212" s="1857">
        <f t="shared" si="1015"/>
        <v>40800</v>
      </c>
      <c r="L2212" s="2043"/>
      <c r="M2212" s="2044"/>
      <c r="N2212" s="1837"/>
      <c r="O2212" s="1837"/>
      <c r="P2212" s="1837"/>
      <c r="Q2212" s="1837"/>
      <c r="R2212" s="1837"/>
      <c r="S2212" s="1837"/>
      <c r="T2212" s="1837"/>
      <c r="U2212" s="1837"/>
      <c r="V2212" s="1837"/>
      <c r="W2212" s="1837"/>
      <c r="X2212" s="1837"/>
    </row>
    <row r="2213" spans="1:24" ht="24" customHeight="1">
      <c r="A2213" s="1933"/>
      <c r="B2213" s="2310" t="s">
        <v>659</v>
      </c>
      <c r="C2213" s="2311" t="s">
        <v>660</v>
      </c>
      <c r="D2213" s="2312"/>
      <c r="E2213" s="2313">
        <v>4</v>
      </c>
      <c r="F2213" s="2314" t="s">
        <v>240</v>
      </c>
      <c r="G2213" s="2315">
        <v>19450</v>
      </c>
      <c r="H2213" s="2316">
        <f t="shared" si="1013"/>
        <v>77800</v>
      </c>
      <c r="I2213" s="2315">
        <v>3000</v>
      </c>
      <c r="J2213" s="2316">
        <f t="shared" si="1014"/>
        <v>12000</v>
      </c>
      <c r="K2213" s="2317">
        <f t="shared" si="1015"/>
        <v>89800</v>
      </c>
      <c r="L2213" s="2043"/>
      <c r="M2213" s="2044"/>
      <c r="N2213" s="1837"/>
      <c r="O2213" s="1837"/>
      <c r="P2213" s="1837"/>
      <c r="Q2213" s="1837"/>
      <c r="R2213" s="1837"/>
      <c r="S2213" s="1837"/>
      <c r="T2213" s="1837"/>
      <c r="U2213" s="1837"/>
      <c r="V2213" s="1837"/>
      <c r="W2213" s="1837"/>
      <c r="X2213" s="1837"/>
    </row>
    <row r="2214" spans="1:24" ht="24" customHeight="1">
      <c r="A2214" s="1933"/>
      <c r="B2214" s="2003" t="s">
        <v>661</v>
      </c>
      <c r="C2214" s="1895" t="s">
        <v>662</v>
      </c>
      <c r="D2214" s="1915"/>
      <c r="E2214" s="2062">
        <v>3</v>
      </c>
      <c r="F2214" s="1842" t="s">
        <v>240</v>
      </c>
      <c r="G2214" s="2046">
        <v>40120</v>
      </c>
      <c r="H2214" s="1854">
        <f t="shared" si="1013"/>
        <v>120360</v>
      </c>
      <c r="I2214" s="2046">
        <v>4000</v>
      </c>
      <c r="J2214" s="1854">
        <f t="shared" si="1014"/>
        <v>12000</v>
      </c>
      <c r="K2214" s="1857">
        <f t="shared" si="1015"/>
        <v>132360</v>
      </c>
      <c r="L2214" s="2043"/>
      <c r="M2214" s="2044"/>
      <c r="N2214" s="1837"/>
      <c r="O2214" s="1837"/>
      <c r="P2214" s="1837"/>
      <c r="Q2214" s="1837"/>
      <c r="R2214" s="1837"/>
      <c r="S2214" s="1837"/>
      <c r="T2214" s="1837"/>
      <c r="U2214" s="1837"/>
      <c r="V2214" s="1837"/>
      <c r="W2214" s="1837"/>
      <c r="X2214" s="1837"/>
    </row>
    <row r="2215" spans="1:24" ht="24" customHeight="1">
      <c r="A2215" s="1933"/>
      <c r="B2215" s="2003" t="s">
        <v>663</v>
      </c>
      <c r="C2215" s="1895" t="s">
        <v>662</v>
      </c>
      <c r="D2215" s="1915"/>
      <c r="E2215" s="2062">
        <v>0</v>
      </c>
      <c r="F2215" s="1842" t="s">
        <v>240</v>
      </c>
      <c r="G2215" s="2046">
        <v>57600</v>
      </c>
      <c r="H2215" s="1854">
        <f t="shared" si="1013"/>
        <v>0</v>
      </c>
      <c r="I2215" s="2046">
        <v>4000</v>
      </c>
      <c r="J2215" s="1854">
        <f t="shared" si="1014"/>
        <v>0</v>
      </c>
      <c r="K2215" s="1857">
        <f t="shared" si="1015"/>
        <v>0</v>
      </c>
      <c r="L2215" s="2043"/>
      <c r="M2215" s="2044"/>
      <c r="N2215" s="1837"/>
      <c r="O2215" s="1837"/>
      <c r="P2215" s="1837"/>
      <c r="Q2215" s="1837"/>
      <c r="R2215" s="1837"/>
      <c r="S2215" s="1837"/>
      <c r="T2215" s="1837"/>
      <c r="U2215" s="1837"/>
      <c r="V2215" s="1837"/>
      <c r="W2215" s="1837"/>
      <c r="X2215" s="1837"/>
    </row>
    <row r="2216" spans="1:24" ht="24" customHeight="1">
      <c r="A2216" s="1933"/>
      <c r="B2216" s="2003"/>
      <c r="C2216" s="1895"/>
      <c r="D2216" s="1915"/>
      <c r="E2216" s="2062"/>
      <c r="F2216" s="1842"/>
      <c r="G2216" s="2046"/>
      <c r="H2216" s="1854"/>
      <c r="I2216" s="2048"/>
      <c r="J2216" s="1854"/>
      <c r="K2216" s="1857"/>
      <c r="L2216" s="2043"/>
      <c r="M2216" s="2044"/>
      <c r="N2216" s="1837"/>
      <c r="O2216" s="1837"/>
      <c r="P2216" s="1837"/>
      <c r="Q2216" s="1837"/>
      <c r="R2216" s="1837"/>
      <c r="S2216" s="1837"/>
      <c r="T2216" s="1837"/>
      <c r="U2216" s="1837"/>
      <c r="V2216" s="1837"/>
      <c r="W2216" s="1837"/>
      <c r="X2216" s="1837"/>
    </row>
    <row r="2217" spans="1:24" ht="24" customHeight="1">
      <c r="A2217" s="1933"/>
      <c r="B2217" s="2003" t="s">
        <v>664</v>
      </c>
      <c r="C2217" s="1895" t="s">
        <v>665</v>
      </c>
      <c r="D2217" s="1915"/>
      <c r="E2217" s="2062">
        <v>0</v>
      </c>
      <c r="F2217" s="1842" t="s">
        <v>240</v>
      </c>
      <c r="G2217" s="2046">
        <v>18500</v>
      </c>
      <c r="H2217" s="1854">
        <f t="shared" ref="H2217" si="1016">E2217*G2217</f>
        <v>0</v>
      </c>
      <c r="I2217" s="2046">
        <v>1200</v>
      </c>
      <c r="J2217" s="1854">
        <f t="shared" ref="J2217" si="1017">E2217*I2217</f>
        <v>0</v>
      </c>
      <c r="K2217" s="1857">
        <f t="shared" ref="K2217" si="1018">H2217+J2217</f>
        <v>0</v>
      </c>
      <c r="L2217" s="2043"/>
      <c r="M2217" s="2044"/>
      <c r="N2217" s="1837"/>
      <c r="O2217" s="1837"/>
      <c r="P2217" s="1837"/>
      <c r="Q2217" s="1837"/>
      <c r="R2217" s="1837"/>
      <c r="S2217" s="1837"/>
      <c r="T2217" s="1837"/>
      <c r="U2217" s="1837"/>
      <c r="V2217" s="1837"/>
      <c r="W2217" s="1837"/>
      <c r="X2217" s="1837"/>
    </row>
    <row r="2218" spans="1:24" ht="24" customHeight="1">
      <c r="A2218" s="1933"/>
      <c r="B2218" s="2003"/>
      <c r="C2218" s="1895"/>
      <c r="D2218" s="1915"/>
      <c r="E2218" s="2062"/>
      <c r="F2218" s="1842"/>
      <c r="G2218" s="2046"/>
      <c r="H2218" s="1854"/>
      <c r="I2218" s="2046"/>
      <c r="J2218" s="1854"/>
      <c r="K2218" s="1857"/>
      <c r="L2218" s="2043"/>
      <c r="M2218" s="2044"/>
      <c r="N2218" s="1837"/>
      <c r="O2218" s="1837"/>
      <c r="P2218" s="1837"/>
      <c r="Q2218" s="1837"/>
      <c r="R2218" s="1837"/>
      <c r="S2218" s="1837"/>
      <c r="T2218" s="1837"/>
      <c r="U2218" s="1837"/>
      <c r="V2218" s="1837"/>
      <c r="W2218" s="1837"/>
      <c r="X2218" s="1837"/>
    </row>
    <row r="2219" spans="1:24" ht="24" customHeight="1">
      <c r="A2219" s="1933"/>
      <c r="B2219" s="2003" t="s">
        <v>666</v>
      </c>
      <c r="C2219" s="1895" t="s">
        <v>667</v>
      </c>
      <c r="D2219" s="1915"/>
      <c r="E2219" s="2062">
        <v>0</v>
      </c>
      <c r="F2219" s="1842" t="s">
        <v>240</v>
      </c>
      <c r="G2219" s="2046">
        <v>127500</v>
      </c>
      <c r="H2219" s="1854">
        <f t="shared" ref="H2219:H2228" si="1019">E2219*G2219</f>
        <v>0</v>
      </c>
      <c r="I2219" s="2046">
        <v>18750</v>
      </c>
      <c r="J2219" s="1854">
        <f t="shared" ref="J2219:J2228" si="1020">E2219*I2219</f>
        <v>0</v>
      </c>
      <c r="K2219" s="1857">
        <f t="shared" ref="K2219:K2228" si="1021">H2219+J2219</f>
        <v>0</v>
      </c>
      <c r="L2219" s="1910"/>
      <c r="M2219" s="2047"/>
      <c r="N2219" s="1837"/>
      <c r="O2219" s="1837"/>
      <c r="P2219" s="1837"/>
      <c r="Q2219" s="1837"/>
      <c r="R2219" s="1837"/>
      <c r="S2219" s="1837"/>
      <c r="T2219" s="1837"/>
      <c r="U2219" s="1837"/>
      <c r="V2219" s="1837"/>
      <c r="W2219" s="1837"/>
      <c r="X2219" s="1837"/>
    </row>
    <row r="2220" spans="1:24" ht="24" customHeight="1">
      <c r="A2220" s="1933"/>
      <c r="B2220" s="2003" t="s">
        <v>668</v>
      </c>
      <c r="C2220" s="1895" t="s">
        <v>669</v>
      </c>
      <c r="D2220" s="1915"/>
      <c r="E2220" s="2062">
        <v>0</v>
      </c>
      <c r="F2220" s="1842" t="s">
        <v>240</v>
      </c>
      <c r="G2220" s="2046">
        <v>197200</v>
      </c>
      <c r="H2220" s="1854">
        <f t="shared" si="1019"/>
        <v>0</v>
      </c>
      <c r="I2220" s="2046">
        <v>29000</v>
      </c>
      <c r="J2220" s="1854">
        <f t="shared" si="1020"/>
        <v>0</v>
      </c>
      <c r="K2220" s="1857">
        <f t="shared" si="1021"/>
        <v>0</v>
      </c>
      <c r="L2220" s="1910"/>
      <c r="M2220" s="2047"/>
      <c r="N2220" s="1837"/>
      <c r="O2220" s="1837"/>
      <c r="P2220" s="1837"/>
      <c r="Q2220" s="1837"/>
      <c r="R2220" s="1837"/>
      <c r="S2220" s="1837"/>
      <c r="T2220" s="1837"/>
      <c r="U2220" s="1837"/>
      <c r="V2220" s="1837"/>
      <c r="W2220" s="1837"/>
      <c r="X2220" s="1837"/>
    </row>
    <row r="2221" spans="1:24" ht="24" customHeight="1">
      <c r="A2221" s="1933"/>
      <c r="B2221" s="2003" t="s">
        <v>670</v>
      </c>
      <c r="C2221" s="1895" t="s">
        <v>671</v>
      </c>
      <c r="D2221" s="1915"/>
      <c r="E2221" s="2062">
        <v>0</v>
      </c>
      <c r="F2221" s="1842" t="s">
        <v>240</v>
      </c>
      <c r="G2221" s="2046">
        <v>187000</v>
      </c>
      <c r="H2221" s="1854">
        <f t="shared" si="1019"/>
        <v>0</v>
      </c>
      <c r="I2221" s="2046">
        <v>27500</v>
      </c>
      <c r="J2221" s="1854">
        <f t="shared" si="1020"/>
        <v>0</v>
      </c>
      <c r="K2221" s="1857">
        <f t="shared" si="1021"/>
        <v>0</v>
      </c>
      <c r="L2221" s="1910"/>
      <c r="M2221" s="2047"/>
      <c r="N2221" s="1837"/>
      <c r="O2221" s="1837"/>
      <c r="P2221" s="1837"/>
      <c r="Q2221" s="1837"/>
      <c r="R2221" s="1837"/>
      <c r="S2221" s="1837"/>
      <c r="T2221" s="1837"/>
      <c r="U2221" s="1837"/>
      <c r="V2221" s="1837"/>
      <c r="W2221" s="1837"/>
      <c r="X2221" s="1837"/>
    </row>
    <row r="2222" spans="1:24" ht="24" customHeight="1">
      <c r="A2222" s="1933"/>
      <c r="B2222" s="2003" t="s">
        <v>672</v>
      </c>
      <c r="C2222" s="1895" t="s">
        <v>673</v>
      </c>
      <c r="D2222" s="1915"/>
      <c r="E2222" s="2062">
        <v>0</v>
      </c>
      <c r="F2222" s="1842" t="s">
        <v>240</v>
      </c>
      <c r="G2222" s="2046">
        <v>476000</v>
      </c>
      <c r="H2222" s="1854">
        <f t="shared" si="1019"/>
        <v>0</v>
      </c>
      <c r="I2222" s="2046">
        <v>70000</v>
      </c>
      <c r="J2222" s="1854">
        <f t="shared" si="1020"/>
        <v>0</v>
      </c>
      <c r="K2222" s="1857">
        <f t="shared" si="1021"/>
        <v>0</v>
      </c>
      <c r="L2222" s="1910"/>
      <c r="M2222" s="2047"/>
      <c r="N2222" s="1837"/>
      <c r="O2222" s="1837"/>
      <c r="P2222" s="1837"/>
      <c r="Q2222" s="1837"/>
      <c r="R2222" s="1837"/>
      <c r="S2222" s="1837"/>
      <c r="T2222" s="1837"/>
      <c r="U2222" s="1837"/>
      <c r="V2222" s="1837"/>
      <c r="W2222" s="1837"/>
      <c r="X2222" s="1837"/>
    </row>
    <row r="2223" spans="1:24" ht="24" customHeight="1">
      <c r="A2223" s="1933"/>
      <c r="B2223" s="2003" t="s">
        <v>674</v>
      </c>
      <c r="C2223" s="1895" t="s">
        <v>675</v>
      </c>
      <c r="D2223" s="1915"/>
      <c r="E2223" s="2062">
        <v>0</v>
      </c>
      <c r="F2223" s="1842" t="s">
        <v>240</v>
      </c>
      <c r="G2223" s="2046">
        <v>305660</v>
      </c>
      <c r="H2223" s="1854">
        <f t="shared" si="1019"/>
        <v>0</v>
      </c>
      <c r="I2223" s="2046">
        <v>44950</v>
      </c>
      <c r="J2223" s="1854">
        <f t="shared" si="1020"/>
        <v>0</v>
      </c>
      <c r="K2223" s="1857">
        <f t="shared" si="1021"/>
        <v>0</v>
      </c>
      <c r="L2223" s="1910"/>
      <c r="M2223" s="2047"/>
      <c r="N2223" s="1837"/>
      <c r="O2223" s="1837"/>
      <c r="P2223" s="1837"/>
      <c r="Q2223" s="1837"/>
      <c r="R2223" s="1837"/>
      <c r="S2223" s="1837"/>
      <c r="T2223" s="1837"/>
      <c r="U2223" s="1837"/>
      <c r="V2223" s="1837"/>
      <c r="W2223" s="1837"/>
      <c r="X2223" s="1837"/>
    </row>
    <row r="2224" spans="1:24" ht="24" customHeight="1">
      <c r="A2224" s="1933"/>
      <c r="B2224" s="2003" t="s">
        <v>676</v>
      </c>
      <c r="C2224" s="1895" t="s">
        <v>677</v>
      </c>
      <c r="D2224" s="1915"/>
      <c r="E2224" s="2062">
        <v>0</v>
      </c>
      <c r="F2224" s="1842" t="s">
        <v>240</v>
      </c>
      <c r="G2224" s="2046">
        <v>350030</v>
      </c>
      <c r="H2224" s="1854">
        <f t="shared" si="1019"/>
        <v>0</v>
      </c>
      <c r="I2224" s="2046">
        <v>51475</v>
      </c>
      <c r="J2224" s="1854">
        <f t="shared" si="1020"/>
        <v>0</v>
      </c>
      <c r="K2224" s="1857">
        <f t="shared" si="1021"/>
        <v>0</v>
      </c>
      <c r="L2224" s="1910"/>
      <c r="M2224" s="2047"/>
      <c r="N2224" s="1837"/>
      <c r="O2224" s="1837"/>
      <c r="P2224" s="1837"/>
      <c r="Q2224" s="1837"/>
      <c r="R2224" s="1837"/>
      <c r="S2224" s="1837"/>
      <c r="T2224" s="1837"/>
      <c r="U2224" s="1837"/>
      <c r="V2224" s="1837"/>
      <c r="W2224" s="1837"/>
      <c r="X2224" s="1837"/>
    </row>
    <row r="2225" spans="1:24" ht="24" customHeight="1">
      <c r="A2225" s="1933"/>
      <c r="B2225" s="2003" t="s">
        <v>678</v>
      </c>
      <c r="C2225" s="1895" t="s">
        <v>679</v>
      </c>
      <c r="D2225" s="1915"/>
      <c r="E2225" s="2062">
        <v>0</v>
      </c>
      <c r="F2225" s="1842" t="s">
        <v>240</v>
      </c>
      <c r="G2225" s="2046">
        <v>448800</v>
      </c>
      <c r="H2225" s="1854">
        <f t="shared" si="1019"/>
        <v>0</v>
      </c>
      <c r="I2225" s="2046">
        <v>66000</v>
      </c>
      <c r="J2225" s="1854">
        <f t="shared" si="1020"/>
        <v>0</v>
      </c>
      <c r="K2225" s="1857">
        <f t="shared" si="1021"/>
        <v>0</v>
      </c>
      <c r="L2225" s="1910"/>
      <c r="M2225" s="2047"/>
      <c r="N2225" s="1837"/>
      <c r="O2225" s="1837"/>
      <c r="P2225" s="1837"/>
      <c r="Q2225" s="1837"/>
      <c r="R2225" s="1837"/>
      <c r="S2225" s="1837"/>
      <c r="T2225" s="1837"/>
      <c r="U2225" s="1837"/>
      <c r="V2225" s="1837"/>
      <c r="W2225" s="1837"/>
      <c r="X2225" s="1837"/>
    </row>
    <row r="2226" spans="1:24" ht="24" customHeight="1">
      <c r="A2226" s="1933"/>
      <c r="B2226" s="2003" t="s">
        <v>680</v>
      </c>
      <c r="C2226" s="1895" t="s">
        <v>681</v>
      </c>
      <c r="D2226" s="1915"/>
      <c r="E2226" s="2062">
        <v>0</v>
      </c>
      <c r="F2226" s="1842" t="s">
        <v>240</v>
      </c>
      <c r="G2226" s="2046">
        <v>639200</v>
      </c>
      <c r="H2226" s="1854">
        <f t="shared" si="1019"/>
        <v>0</v>
      </c>
      <c r="I2226" s="2046">
        <v>94000</v>
      </c>
      <c r="J2226" s="1854">
        <f t="shared" si="1020"/>
        <v>0</v>
      </c>
      <c r="K2226" s="1857">
        <f t="shared" si="1021"/>
        <v>0</v>
      </c>
      <c r="L2226" s="1910"/>
      <c r="M2226" s="2047"/>
      <c r="N2226" s="1837"/>
      <c r="O2226" s="1837"/>
      <c r="P2226" s="1837"/>
      <c r="Q2226" s="1837"/>
      <c r="R2226" s="1837"/>
      <c r="S2226" s="1837"/>
      <c r="T2226" s="1837"/>
      <c r="U2226" s="1837"/>
      <c r="V2226" s="1837"/>
      <c r="W2226" s="1837"/>
      <c r="X2226" s="1837"/>
    </row>
    <row r="2227" spans="1:24" ht="24" customHeight="1">
      <c r="A2227" s="1933"/>
      <c r="B2227" s="2003" t="s">
        <v>682</v>
      </c>
      <c r="C2227" s="1895" t="s">
        <v>669</v>
      </c>
      <c r="D2227" s="1915"/>
      <c r="E2227" s="2062">
        <v>1</v>
      </c>
      <c r="F2227" s="1842" t="s">
        <v>240</v>
      </c>
      <c r="G2227" s="2046">
        <v>197200</v>
      </c>
      <c r="H2227" s="1854">
        <f t="shared" si="1019"/>
        <v>197200</v>
      </c>
      <c r="I2227" s="2046">
        <v>29000</v>
      </c>
      <c r="J2227" s="1854">
        <f t="shared" si="1020"/>
        <v>29000</v>
      </c>
      <c r="K2227" s="1857">
        <f t="shared" si="1021"/>
        <v>226200</v>
      </c>
      <c r="L2227" s="1910"/>
      <c r="M2227" s="2047"/>
      <c r="N2227" s="1837"/>
      <c r="O2227" s="1837"/>
      <c r="P2227" s="1837"/>
      <c r="Q2227" s="1837"/>
      <c r="R2227" s="1837"/>
      <c r="S2227" s="1837"/>
      <c r="T2227" s="1837"/>
      <c r="U2227" s="1837"/>
      <c r="V2227" s="1837"/>
      <c r="W2227" s="1837"/>
      <c r="X2227" s="1837"/>
    </row>
    <row r="2228" spans="1:24" ht="24" customHeight="1">
      <c r="A2228" s="1933"/>
      <c r="B2228" s="2003" t="s">
        <v>683</v>
      </c>
      <c r="C2228" s="1895" t="s">
        <v>684</v>
      </c>
      <c r="D2228" s="1915"/>
      <c r="E2228" s="2062">
        <v>0</v>
      </c>
      <c r="F2228" s="1842" t="s">
        <v>240</v>
      </c>
      <c r="G2228" s="2046">
        <v>163200</v>
      </c>
      <c r="H2228" s="1854">
        <f t="shared" si="1019"/>
        <v>0</v>
      </c>
      <c r="I2228" s="2046">
        <v>24000</v>
      </c>
      <c r="J2228" s="1854">
        <f t="shared" si="1020"/>
        <v>0</v>
      </c>
      <c r="K2228" s="1857">
        <f t="shared" si="1021"/>
        <v>0</v>
      </c>
      <c r="L2228" s="2043"/>
      <c r="M2228" s="2044"/>
      <c r="N2228" s="1837"/>
      <c r="O2228" s="1837"/>
      <c r="P2228" s="1837"/>
      <c r="Q2228" s="1837"/>
      <c r="R2228" s="1837"/>
      <c r="S2228" s="1837"/>
      <c r="T2228" s="1837"/>
      <c r="U2228" s="1837"/>
      <c r="V2228" s="1837"/>
      <c r="W2228" s="1837"/>
      <c r="X2228" s="1837"/>
    </row>
    <row r="2229" spans="1:24" ht="24" customHeight="1">
      <c r="A2229" s="1933"/>
      <c r="B2229" s="2003"/>
      <c r="C2229" s="1895"/>
      <c r="D2229" s="1915"/>
      <c r="E2229" s="2062"/>
      <c r="F2229" s="1842"/>
      <c r="G2229" s="2050"/>
      <c r="H2229" s="1911"/>
      <c r="I2229" s="2050"/>
      <c r="J2229" s="1913"/>
      <c r="K2229" s="2051"/>
      <c r="L2229" s="2043"/>
      <c r="M2229" s="2044"/>
      <c r="N2229" s="1837"/>
      <c r="O2229" s="1837"/>
      <c r="P2229" s="1837"/>
      <c r="Q2229" s="1837"/>
      <c r="R2229" s="1837"/>
      <c r="S2229" s="1837"/>
      <c r="T2229" s="1837"/>
      <c r="U2229" s="1837"/>
      <c r="V2229" s="1837"/>
      <c r="W2229" s="1837"/>
      <c r="X2229" s="1837"/>
    </row>
    <row r="2230" spans="1:24" ht="24" customHeight="1">
      <c r="A2230" s="1933"/>
      <c r="B2230" s="2003" t="s">
        <v>685</v>
      </c>
      <c r="C2230" s="1895" t="s">
        <v>686</v>
      </c>
      <c r="D2230" s="1915"/>
      <c r="E2230" s="2062">
        <v>4</v>
      </c>
      <c r="F2230" s="1842" t="s">
        <v>240</v>
      </c>
      <c r="G2230" s="2046">
        <v>119580</v>
      </c>
      <c r="H2230" s="1854">
        <f t="shared" ref="H2230:H2243" si="1022">E2230*G2230</f>
        <v>478320</v>
      </c>
      <c r="I2230" s="2046">
        <v>0</v>
      </c>
      <c r="J2230" s="1854">
        <f t="shared" ref="J2230:J2243" si="1023">E2230*I2230</f>
        <v>0</v>
      </c>
      <c r="K2230" s="1857">
        <f t="shared" ref="K2230:K2243" si="1024">H2230+J2230</f>
        <v>478320</v>
      </c>
      <c r="L2230" s="1910" t="s">
        <v>2887</v>
      </c>
      <c r="M2230" s="2047"/>
      <c r="N2230" s="1837"/>
      <c r="O2230" s="2024"/>
      <c r="P2230" s="1836"/>
      <c r="Q2230" s="1836"/>
      <c r="R2230" s="1837"/>
      <c r="S2230" s="1837"/>
      <c r="T2230" s="1837"/>
      <c r="U2230" s="1837"/>
      <c r="V2230" s="1837"/>
      <c r="W2230" s="1837"/>
      <c r="X2230" s="1837"/>
    </row>
    <row r="2231" spans="1:24" ht="24" customHeight="1">
      <c r="A2231" s="1933"/>
      <c r="B2231" s="2003" t="s">
        <v>687</v>
      </c>
      <c r="C2231" s="1895" t="s">
        <v>686</v>
      </c>
      <c r="D2231" s="1915"/>
      <c r="E2231" s="2062">
        <v>0</v>
      </c>
      <c r="F2231" s="1842" t="s">
        <v>240</v>
      </c>
      <c r="G2231" s="2046">
        <v>207000</v>
      </c>
      <c r="H2231" s="1854">
        <f t="shared" si="1022"/>
        <v>0</v>
      </c>
      <c r="I2231" s="2046">
        <v>0</v>
      </c>
      <c r="J2231" s="1854">
        <f t="shared" si="1023"/>
        <v>0</v>
      </c>
      <c r="K2231" s="1857">
        <f t="shared" si="1024"/>
        <v>0</v>
      </c>
      <c r="L2231" s="1910" t="s">
        <v>2887</v>
      </c>
      <c r="M2231" s="2047"/>
      <c r="N2231" s="1837"/>
      <c r="O2231" s="2024"/>
      <c r="P2231" s="1836"/>
      <c r="Q2231" s="1836"/>
      <c r="R2231" s="1837"/>
      <c r="S2231" s="1837"/>
      <c r="T2231" s="1837"/>
      <c r="U2231" s="1837"/>
      <c r="V2231" s="1837"/>
      <c r="W2231" s="1837"/>
      <c r="X2231" s="1837"/>
    </row>
    <row r="2232" spans="1:24" ht="24" customHeight="1">
      <c r="A2232" s="1933"/>
      <c r="B2232" s="2003" t="s">
        <v>688</v>
      </c>
      <c r="C2232" s="1895" t="s">
        <v>686</v>
      </c>
      <c r="D2232" s="1915"/>
      <c r="E2232" s="2062">
        <v>0</v>
      </c>
      <c r="F2232" s="1842" t="s">
        <v>240</v>
      </c>
      <c r="G2232" s="2046">
        <v>267600</v>
      </c>
      <c r="H2232" s="1854">
        <f t="shared" si="1022"/>
        <v>0</v>
      </c>
      <c r="I2232" s="2046">
        <v>0</v>
      </c>
      <c r="J2232" s="1854">
        <f t="shared" si="1023"/>
        <v>0</v>
      </c>
      <c r="K2232" s="1857">
        <f t="shared" si="1024"/>
        <v>0</v>
      </c>
      <c r="L2232" s="1910" t="s">
        <v>2887</v>
      </c>
      <c r="M2232" s="2047"/>
      <c r="N2232" s="1837"/>
      <c r="O2232" s="2024"/>
      <c r="P2232" s="1836"/>
      <c r="Q2232" s="1836"/>
      <c r="R2232" s="1837"/>
      <c r="S2232" s="1837"/>
      <c r="T2232" s="1837"/>
      <c r="U2232" s="1837"/>
      <c r="V2232" s="1837"/>
      <c r="W2232" s="1837"/>
      <c r="X2232" s="1837"/>
    </row>
    <row r="2233" spans="1:24" ht="24" customHeight="1">
      <c r="A2233" s="1933"/>
      <c r="B2233" s="2003" t="s">
        <v>689</v>
      </c>
      <c r="C2233" s="1895" t="s">
        <v>686</v>
      </c>
      <c r="D2233" s="1915"/>
      <c r="E2233" s="2062">
        <v>0</v>
      </c>
      <c r="F2233" s="1842" t="s">
        <v>240</v>
      </c>
      <c r="G2233" s="2046">
        <v>285430</v>
      </c>
      <c r="H2233" s="1854">
        <f t="shared" si="1022"/>
        <v>0</v>
      </c>
      <c r="I2233" s="2046">
        <v>0</v>
      </c>
      <c r="J2233" s="1854">
        <f t="shared" si="1023"/>
        <v>0</v>
      </c>
      <c r="K2233" s="1857">
        <f t="shared" si="1024"/>
        <v>0</v>
      </c>
      <c r="L2233" s="1910" t="s">
        <v>2887</v>
      </c>
      <c r="M2233" s="2047"/>
      <c r="N2233" s="1837"/>
      <c r="O2233" s="2024"/>
      <c r="P2233" s="1836"/>
      <c r="Q2233" s="1836"/>
      <c r="R2233" s="1837"/>
      <c r="S2233" s="1837"/>
      <c r="T2233" s="1837"/>
      <c r="U2233" s="1837"/>
      <c r="V2233" s="1837"/>
      <c r="W2233" s="1837"/>
      <c r="X2233" s="1837"/>
    </row>
    <row r="2234" spans="1:24" ht="24" customHeight="1">
      <c r="A2234" s="1933"/>
      <c r="B2234" s="2003" t="s">
        <v>690</v>
      </c>
      <c r="C2234" s="1895" t="s">
        <v>686</v>
      </c>
      <c r="D2234" s="1915"/>
      <c r="E2234" s="2062">
        <v>0</v>
      </c>
      <c r="F2234" s="1842" t="s">
        <v>240</v>
      </c>
      <c r="G2234" s="2046">
        <v>440100</v>
      </c>
      <c r="H2234" s="1854">
        <f t="shared" si="1022"/>
        <v>0</v>
      </c>
      <c r="I2234" s="2046">
        <v>0</v>
      </c>
      <c r="J2234" s="1854">
        <f t="shared" si="1023"/>
        <v>0</v>
      </c>
      <c r="K2234" s="1857">
        <f t="shared" si="1024"/>
        <v>0</v>
      </c>
      <c r="L2234" s="1910" t="s">
        <v>2887</v>
      </c>
      <c r="M2234" s="2047"/>
      <c r="N2234" s="1837"/>
      <c r="O2234" s="2024"/>
      <c r="P2234" s="1836"/>
      <c r="Q2234" s="1836"/>
      <c r="R2234" s="1837"/>
      <c r="S2234" s="1837"/>
      <c r="T2234" s="1837"/>
      <c r="U2234" s="1837"/>
      <c r="V2234" s="1837"/>
      <c r="W2234" s="1837"/>
      <c r="X2234" s="1837"/>
    </row>
    <row r="2235" spans="1:24" ht="24" customHeight="1">
      <c r="A2235" s="1933"/>
      <c r="B2235" s="2003" t="s">
        <v>691</v>
      </c>
      <c r="C2235" s="1895" t="s">
        <v>686</v>
      </c>
      <c r="D2235" s="1915"/>
      <c r="E2235" s="2062">
        <v>0</v>
      </c>
      <c r="F2235" s="1842" t="s">
        <v>240</v>
      </c>
      <c r="G2235" s="2046">
        <v>770900</v>
      </c>
      <c r="H2235" s="1854">
        <f t="shared" si="1022"/>
        <v>0</v>
      </c>
      <c r="I2235" s="2046">
        <v>0</v>
      </c>
      <c r="J2235" s="1854">
        <f t="shared" si="1023"/>
        <v>0</v>
      </c>
      <c r="K2235" s="1857">
        <f t="shared" si="1024"/>
        <v>0</v>
      </c>
      <c r="L2235" s="1910" t="s">
        <v>2887</v>
      </c>
      <c r="M2235" s="2047"/>
      <c r="N2235" s="1837"/>
      <c r="O2235" s="2024"/>
      <c r="P2235" s="1836"/>
      <c r="Q2235" s="1836"/>
      <c r="R2235" s="1837"/>
      <c r="S2235" s="1837"/>
      <c r="T2235" s="1837"/>
      <c r="U2235" s="1837"/>
      <c r="V2235" s="1837"/>
      <c r="W2235" s="1837"/>
      <c r="X2235" s="1837"/>
    </row>
    <row r="2236" spans="1:24" ht="24" customHeight="1">
      <c r="A2236" s="1933"/>
      <c r="B2236" s="2003" t="s">
        <v>692</v>
      </c>
      <c r="C2236" s="1895" t="s">
        <v>686</v>
      </c>
      <c r="D2236" s="1915"/>
      <c r="E2236" s="2062">
        <v>0</v>
      </c>
      <c r="F2236" s="1842" t="s">
        <v>240</v>
      </c>
      <c r="G2236" s="2046">
        <f>904400-90440</f>
        <v>813960</v>
      </c>
      <c r="H2236" s="1854">
        <f t="shared" si="1022"/>
        <v>0</v>
      </c>
      <c r="I2236" s="2046">
        <v>0</v>
      </c>
      <c r="J2236" s="1854">
        <f t="shared" si="1023"/>
        <v>0</v>
      </c>
      <c r="K2236" s="1857">
        <f t="shared" si="1024"/>
        <v>0</v>
      </c>
      <c r="L2236" s="1910" t="s">
        <v>2887</v>
      </c>
      <c r="M2236" s="2047"/>
      <c r="N2236" s="1837"/>
      <c r="O2236" s="2024"/>
      <c r="P2236" s="1836"/>
      <c r="Q2236" s="1836"/>
      <c r="R2236" s="1837"/>
      <c r="S2236" s="1837"/>
      <c r="T2236" s="1837"/>
      <c r="U2236" s="1837"/>
      <c r="V2236" s="1837"/>
      <c r="W2236" s="1837"/>
      <c r="X2236" s="1837"/>
    </row>
    <row r="2237" spans="1:24" ht="24" customHeight="1">
      <c r="A2237" s="1933"/>
      <c r="B2237" s="2003" t="s">
        <v>693</v>
      </c>
      <c r="C2237" s="1895" t="s">
        <v>686</v>
      </c>
      <c r="D2237" s="1915"/>
      <c r="E2237" s="2062">
        <v>2</v>
      </c>
      <c r="F2237" s="1842" t="s">
        <v>240</v>
      </c>
      <c r="G2237" s="2046">
        <v>232000</v>
      </c>
      <c r="H2237" s="1854">
        <f t="shared" si="1022"/>
        <v>464000</v>
      </c>
      <c r="I2237" s="2046">
        <v>0</v>
      </c>
      <c r="J2237" s="1854">
        <f t="shared" si="1023"/>
        <v>0</v>
      </c>
      <c r="K2237" s="1857">
        <f t="shared" si="1024"/>
        <v>464000</v>
      </c>
      <c r="L2237" s="1910" t="s">
        <v>2887</v>
      </c>
      <c r="M2237" s="2047"/>
      <c r="N2237" s="1837"/>
      <c r="O2237" s="2024"/>
      <c r="P2237" s="1836"/>
      <c r="Q2237" s="1836"/>
      <c r="R2237" s="1837"/>
      <c r="S2237" s="1837"/>
      <c r="T2237" s="1837"/>
      <c r="U2237" s="1837"/>
      <c r="V2237" s="1837"/>
      <c r="W2237" s="1837"/>
      <c r="X2237" s="1837"/>
    </row>
    <row r="2238" spans="1:24" ht="24" customHeight="1">
      <c r="A2238" s="1933"/>
      <c r="B2238" s="2003" t="s">
        <v>694</v>
      </c>
      <c r="C2238" s="1895" t="s">
        <v>686</v>
      </c>
      <c r="D2238" s="1915"/>
      <c r="E2238" s="2062">
        <v>0</v>
      </c>
      <c r="F2238" s="1842" t="s">
        <v>240</v>
      </c>
      <c r="G2238" s="2046">
        <v>399100</v>
      </c>
      <c r="H2238" s="1854">
        <f t="shared" si="1022"/>
        <v>0</v>
      </c>
      <c r="I2238" s="2046">
        <v>0</v>
      </c>
      <c r="J2238" s="1854">
        <f t="shared" si="1023"/>
        <v>0</v>
      </c>
      <c r="K2238" s="1857">
        <f t="shared" si="1024"/>
        <v>0</v>
      </c>
      <c r="L2238" s="1910" t="s">
        <v>2887</v>
      </c>
      <c r="M2238" s="2047"/>
      <c r="N2238" s="1837"/>
      <c r="O2238" s="2024"/>
      <c r="P2238" s="1836"/>
      <c r="Q2238" s="1836"/>
      <c r="R2238" s="1837"/>
      <c r="S2238" s="1837"/>
      <c r="T2238" s="1837"/>
      <c r="U2238" s="1837"/>
      <c r="V2238" s="1837"/>
      <c r="W2238" s="1837"/>
      <c r="X2238" s="1837"/>
    </row>
    <row r="2239" spans="1:24" ht="24" customHeight="1">
      <c r="A2239" s="1933"/>
      <c r="B2239" s="2003" t="s">
        <v>695</v>
      </c>
      <c r="C2239" s="1895" t="s">
        <v>686</v>
      </c>
      <c r="D2239" s="1915"/>
      <c r="E2239" s="2062">
        <v>0</v>
      </c>
      <c r="F2239" s="1842" t="s">
        <v>240</v>
      </c>
      <c r="G2239" s="2046">
        <v>528100</v>
      </c>
      <c r="H2239" s="1854">
        <f t="shared" si="1022"/>
        <v>0</v>
      </c>
      <c r="I2239" s="2046">
        <v>0</v>
      </c>
      <c r="J2239" s="1854">
        <f t="shared" si="1023"/>
        <v>0</v>
      </c>
      <c r="K2239" s="1857">
        <f t="shared" si="1024"/>
        <v>0</v>
      </c>
      <c r="L2239" s="1910" t="s">
        <v>2887</v>
      </c>
      <c r="M2239" s="2047"/>
      <c r="N2239" s="1837"/>
      <c r="O2239" s="2024"/>
      <c r="P2239" s="1836"/>
      <c r="Q2239" s="1836"/>
      <c r="R2239" s="1837"/>
      <c r="S2239" s="1837"/>
      <c r="T2239" s="1837"/>
      <c r="U2239" s="1837"/>
      <c r="V2239" s="1837"/>
      <c r="W2239" s="1837"/>
      <c r="X2239" s="1837"/>
    </row>
    <row r="2240" spans="1:24" ht="24" customHeight="1">
      <c r="A2240" s="1933"/>
      <c r="B2240" s="2003" t="s">
        <v>696</v>
      </c>
      <c r="C2240" s="1895" t="s">
        <v>686</v>
      </c>
      <c r="D2240" s="1915"/>
      <c r="E2240" s="2062">
        <v>0</v>
      </c>
      <c r="F2240" s="1842" t="s">
        <v>240</v>
      </c>
      <c r="G2240" s="2046">
        <v>563500</v>
      </c>
      <c r="H2240" s="1854">
        <f t="shared" si="1022"/>
        <v>0</v>
      </c>
      <c r="I2240" s="2046">
        <v>0</v>
      </c>
      <c r="J2240" s="1854">
        <f t="shared" si="1023"/>
        <v>0</v>
      </c>
      <c r="K2240" s="1857">
        <f t="shared" si="1024"/>
        <v>0</v>
      </c>
      <c r="L2240" s="1910" t="s">
        <v>2887</v>
      </c>
      <c r="M2240" s="2047"/>
      <c r="N2240" s="1837"/>
      <c r="O2240" s="2024"/>
      <c r="P2240" s="1836"/>
      <c r="Q2240" s="1836"/>
      <c r="R2240" s="1837"/>
      <c r="S2240" s="1837"/>
      <c r="T2240" s="1837"/>
      <c r="U2240" s="1837"/>
      <c r="V2240" s="1837"/>
      <c r="W2240" s="1837"/>
      <c r="X2240" s="1837"/>
    </row>
    <row r="2241" spans="1:24" ht="24" customHeight="1">
      <c r="A2241" s="1933"/>
      <c r="B2241" s="2003" t="s">
        <v>697</v>
      </c>
      <c r="C2241" s="1895" t="s">
        <v>686</v>
      </c>
      <c r="D2241" s="1915"/>
      <c r="E2241" s="2062">
        <v>0</v>
      </c>
      <c r="F2241" s="1842" t="s">
        <v>240</v>
      </c>
      <c r="G2241" s="2046">
        <v>272800</v>
      </c>
      <c r="H2241" s="1854">
        <f t="shared" si="1022"/>
        <v>0</v>
      </c>
      <c r="I2241" s="2046">
        <v>0</v>
      </c>
      <c r="J2241" s="1854">
        <f t="shared" si="1023"/>
        <v>0</v>
      </c>
      <c r="K2241" s="1857">
        <f t="shared" si="1024"/>
        <v>0</v>
      </c>
      <c r="L2241" s="1910" t="s">
        <v>2887</v>
      </c>
      <c r="M2241" s="2047"/>
      <c r="N2241" s="1837"/>
      <c r="O2241" s="2024"/>
      <c r="P2241" s="1836"/>
      <c r="Q2241" s="1836"/>
      <c r="R2241" s="1837"/>
      <c r="S2241" s="1837"/>
      <c r="T2241" s="1837"/>
      <c r="U2241" s="1837"/>
      <c r="V2241" s="1837"/>
      <c r="W2241" s="1837"/>
      <c r="X2241" s="1837"/>
    </row>
    <row r="2242" spans="1:24" ht="24" customHeight="1">
      <c r="A2242" s="1933"/>
      <c r="B2242" s="2003" t="s">
        <v>698</v>
      </c>
      <c r="C2242" s="1895" t="s">
        <v>686</v>
      </c>
      <c r="D2242" s="1915"/>
      <c r="E2242" s="2062">
        <v>0</v>
      </c>
      <c r="F2242" s="1842" t="s">
        <v>240</v>
      </c>
      <c r="G2242" s="2046">
        <v>6900</v>
      </c>
      <c r="H2242" s="1854">
        <f t="shared" si="1022"/>
        <v>0</v>
      </c>
      <c r="I2242" s="2046">
        <v>0</v>
      </c>
      <c r="J2242" s="1854">
        <f t="shared" si="1023"/>
        <v>0</v>
      </c>
      <c r="K2242" s="1857">
        <f t="shared" si="1024"/>
        <v>0</v>
      </c>
      <c r="L2242" s="1910" t="s">
        <v>2887</v>
      </c>
      <c r="M2242" s="2047"/>
      <c r="N2242" s="1837"/>
      <c r="O2242" s="2024"/>
      <c r="P2242" s="1836"/>
      <c r="Q2242" s="1836"/>
      <c r="R2242" s="1837"/>
      <c r="S2242" s="1837"/>
      <c r="T2242" s="1837"/>
      <c r="U2242" s="1837"/>
      <c r="V2242" s="1837"/>
      <c r="W2242" s="1837"/>
      <c r="X2242" s="1837"/>
    </row>
    <row r="2243" spans="1:24" ht="24" customHeight="1">
      <c r="A2243" s="1933"/>
      <c r="B2243" s="2003" t="s">
        <v>699</v>
      </c>
      <c r="C2243" s="1895" t="s">
        <v>686</v>
      </c>
      <c r="D2243" s="1915"/>
      <c r="E2243" s="2062">
        <v>0</v>
      </c>
      <c r="F2243" s="1842" t="s">
        <v>240</v>
      </c>
      <c r="G2243" s="2046">
        <v>97700</v>
      </c>
      <c r="H2243" s="1854">
        <f t="shared" si="1022"/>
        <v>0</v>
      </c>
      <c r="I2243" s="2046">
        <v>0</v>
      </c>
      <c r="J2243" s="1854">
        <f t="shared" si="1023"/>
        <v>0</v>
      </c>
      <c r="K2243" s="1857">
        <f t="shared" si="1024"/>
        <v>0</v>
      </c>
      <c r="L2243" s="1910" t="s">
        <v>2887</v>
      </c>
      <c r="M2243" s="2047"/>
      <c r="N2243" s="2047">
        <f>SUM(K2186:K2243)</f>
        <v>3411660</v>
      </c>
      <c r="O2243" s="2024"/>
      <c r="P2243" s="1836"/>
      <c r="Q2243" s="1836"/>
      <c r="R2243" s="1837"/>
      <c r="S2243" s="1837"/>
      <c r="T2243" s="1837"/>
      <c r="U2243" s="1837"/>
      <c r="V2243" s="1837"/>
      <c r="W2243" s="1837"/>
      <c r="X2243" s="1837"/>
    </row>
    <row r="2244" spans="1:24" ht="24" customHeight="1">
      <c r="A2244" s="1933"/>
      <c r="B2244" s="2003"/>
      <c r="C2244" s="1895"/>
      <c r="D2244" s="1915"/>
      <c r="E2244" s="2062"/>
      <c r="F2244" s="1842"/>
      <c r="G2244" s="2050"/>
      <c r="H2244" s="1911"/>
      <c r="I2244" s="2050"/>
      <c r="J2244" s="1913"/>
      <c r="K2244" s="1914"/>
      <c r="L2244" s="1910"/>
      <c r="M2244" s="2047"/>
      <c r="N2244" s="1837"/>
      <c r="O2244" s="2024"/>
      <c r="P2244" s="1836"/>
      <c r="Q2244" s="1836"/>
      <c r="R2244" s="1837"/>
      <c r="S2244" s="1837"/>
      <c r="T2244" s="1837"/>
      <c r="U2244" s="1837"/>
      <c r="V2244" s="1837"/>
      <c r="W2244" s="1837"/>
      <c r="X2244" s="1837"/>
    </row>
    <row r="2245" spans="1:24" s="2061" customFormat="1" ht="24" customHeight="1">
      <c r="A2245" s="2053" t="s">
        <v>716</v>
      </c>
      <c r="B2245" s="2054" t="s">
        <v>717</v>
      </c>
      <c r="C2245" s="1905"/>
      <c r="D2245" s="1903"/>
      <c r="E2245" s="2063"/>
      <c r="F2245" s="2057"/>
      <c r="G2245" s="2066"/>
      <c r="H2245" s="1911"/>
      <c r="I2245" s="2065"/>
      <c r="J2245" s="1913"/>
      <c r="K2245" s="1914"/>
      <c r="L2245" s="2067"/>
      <c r="N2245" s="2060"/>
      <c r="O2245" s="2060"/>
      <c r="P2245" s="2060"/>
      <c r="Q2245" s="2060"/>
      <c r="R2245" s="2060"/>
      <c r="S2245" s="2060"/>
      <c r="T2245" s="2060"/>
      <c r="U2245" s="2060"/>
      <c r="V2245" s="2060"/>
      <c r="W2245" s="2060"/>
      <c r="X2245" s="2060"/>
    </row>
    <row r="2246" spans="1:24" ht="24" customHeight="1">
      <c r="A2246" s="1933"/>
      <c r="B2246" s="2003" t="s">
        <v>626</v>
      </c>
      <c r="C2246" s="1895" t="s">
        <v>627</v>
      </c>
      <c r="D2246" s="1915"/>
      <c r="E2246" s="2062">
        <v>0</v>
      </c>
      <c r="F2246" s="1842" t="s">
        <v>240</v>
      </c>
      <c r="G2246" s="2046">
        <v>260300</v>
      </c>
      <c r="H2246" s="1854">
        <f t="shared" ref="H2246:H2254" si="1025">E2246*G2246</f>
        <v>0</v>
      </c>
      <c r="I2246" s="2046">
        <v>0</v>
      </c>
      <c r="J2246" s="1854">
        <f t="shared" ref="J2246:J2254" si="1026">E2246*I2246</f>
        <v>0</v>
      </c>
      <c r="K2246" s="1857">
        <f t="shared" ref="K2246:K2254" si="1027">H2246+J2246</f>
        <v>0</v>
      </c>
      <c r="L2246" s="1910" t="s">
        <v>2886</v>
      </c>
      <c r="M2246" s="2047"/>
      <c r="N2246" s="1837"/>
      <c r="O2246" s="1837"/>
      <c r="P2246" s="1837"/>
      <c r="Q2246" s="1837"/>
      <c r="R2246" s="1837"/>
      <c r="S2246" s="1837"/>
      <c r="T2246" s="1837"/>
      <c r="U2246" s="1837"/>
      <c r="V2246" s="1837"/>
      <c r="W2246" s="1837"/>
      <c r="X2246" s="1837"/>
    </row>
    <row r="2247" spans="1:24" ht="24" customHeight="1">
      <c r="A2247" s="1933"/>
      <c r="B2247" s="2003" t="s">
        <v>628</v>
      </c>
      <c r="C2247" s="1895" t="s">
        <v>629</v>
      </c>
      <c r="D2247" s="1915"/>
      <c r="E2247" s="2062">
        <v>0</v>
      </c>
      <c r="F2247" s="1842" t="s">
        <v>240</v>
      </c>
      <c r="G2247" s="2046">
        <v>386900</v>
      </c>
      <c r="H2247" s="1854">
        <f t="shared" si="1025"/>
        <v>0</v>
      </c>
      <c r="I2247" s="2046">
        <v>0</v>
      </c>
      <c r="J2247" s="1854">
        <f t="shared" si="1026"/>
        <v>0</v>
      </c>
      <c r="K2247" s="1857">
        <f t="shared" si="1027"/>
        <v>0</v>
      </c>
      <c r="L2247" s="1910" t="s">
        <v>2886</v>
      </c>
      <c r="M2247" s="2047"/>
      <c r="N2247" s="1837"/>
      <c r="O2247" s="1837"/>
      <c r="P2247" s="1837"/>
      <c r="Q2247" s="1837"/>
      <c r="R2247" s="1837"/>
      <c r="S2247" s="1837"/>
      <c r="T2247" s="1837"/>
      <c r="U2247" s="1837"/>
      <c r="V2247" s="1837"/>
      <c r="W2247" s="1837"/>
      <c r="X2247" s="1837"/>
    </row>
    <row r="2248" spans="1:24" ht="24" customHeight="1">
      <c r="A2248" s="1782"/>
      <c r="B2248" s="2003" t="s">
        <v>630</v>
      </c>
      <c r="C2248" s="1895" t="s">
        <v>2818</v>
      </c>
      <c r="D2248" s="1915"/>
      <c r="E2248" s="2062">
        <v>0</v>
      </c>
      <c r="F2248" s="1842" t="s">
        <v>240</v>
      </c>
      <c r="G2248" s="2046">
        <v>432400</v>
      </c>
      <c r="H2248" s="1854">
        <f t="shared" si="1025"/>
        <v>0</v>
      </c>
      <c r="I2248" s="2046">
        <v>0</v>
      </c>
      <c r="J2248" s="1854">
        <f t="shared" si="1026"/>
        <v>0</v>
      </c>
      <c r="K2248" s="1857">
        <f t="shared" si="1027"/>
        <v>0</v>
      </c>
      <c r="L2248" s="1910" t="s">
        <v>2886</v>
      </c>
      <c r="M2248" s="2047"/>
      <c r="N2248" s="1837"/>
      <c r="O2248" s="1837"/>
      <c r="P2248" s="1837"/>
      <c r="Q2248" s="1837"/>
      <c r="R2248" s="1837"/>
      <c r="S2248" s="1837"/>
      <c r="T2248" s="1837"/>
      <c r="U2248" s="1837"/>
      <c r="V2248" s="1837"/>
      <c r="W2248" s="1837"/>
      <c r="X2248" s="1837"/>
    </row>
    <row r="2249" spans="1:24" ht="24" customHeight="1">
      <c r="A2249" s="1782"/>
      <c r="B2249" s="2003" t="s">
        <v>631</v>
      </c>
      <c r="C2249" s="1895" t="s">
        <v>2818</v>
      </c>
      <c r="D2249" s="1915"/>
      <c r="E2249" s="2062">
        <v>0</v>
      </c>
      <c r="F2249" s="1842" t="s">
        <v>240</v>
      </c>
      <c r="G2249" s="2046">
        <v>440430</v>
      </c>
      <c r="H2249" s="1854">
        <f t="shared" si="1025"/>
        <v>0</v>
      </c>
      <c r="I2249" s="2046">
        <v>0</v>
      </c>
      <c r="J2249" s="1854">
        <f t="shared" si="1026"/>
        <v>0</v>
      </c>
      <c r="K2249" s="1857">
        <f t="shared" si="1027"/>
        <v>0</v>
      </c>
      <c r="L2249" s="1910" t="s">
        <v>2886</v>
      </c>
      <c r="M2249" s="2047"/>
      <c r="N2249" s="1837"/>
      <c r="O2249" s="1837"/>
      <c r="P2249" s="1837"/>
      <c r="Q2249" s="1837"/>
      <c r="R2249" s="1837"/>
      <c r="S2249" s="1837"/>
      <c r="T2249" s="1837"/>
      <c r="U2249" s="1837"/>
      <c r="V2249" s="1837"/>
      <c r="W2249" s="1837"/>
      <c r="X2249" s="1837"/>
    </row>
    <row r="2250" spans="1:24" ht="24" customHeight="1">
      <c r="A2250" s="1782"/>
      <c r="B2250" s="2003" t="s">
        <v>632</v>
      </c>
      <c r="C2250" s="1895" t="s">
        <v>2819</v>
      </c>
      <c r="D2250" s="1915"/>
      <c r="E2250" s="2062">
        <v>0</v>
      </c>
      <c r="F2250" s="1842" t="s">
        <v>240</v>
      </c>
      <c r="G2250" s="2046">
        <v>48800</v>
      </c>
      <c r="H2250" s="1854">
        <f t="shared" si="1025"/>
        <v>0</v>
      </c>
      <c r="I2250" s="2046">
        <v>0</v>
      </c>
      <c r="J2250" s="1854">
        <f t="shared" si="1026"/>
        <v>0</v>
      </c>
      <c r="K2250" s="1857">
        <f t="shared" si="1027"/>
        <v>0</v>
      </c>
      <c r="L2250" s="1910" t="s">
        <v>2886</v>
      </c>
      <c r="M2250" s="2047"/>
      <c r="N2250" s="1837"/>
      <c r="O2250" s="1837"/>
      <c r="P2250" s="1837"/>
      <c r="Q2250" s="1837"/>
      <c r="R2250" s="1837"/>
      <c r="S2250" s="1837"/>
      <c r="T2250" s="1837"/>
      <c r="U2250" s="1837"/>
      <c r="V2250" s="1837"/>
      <c r="W2250" s="1837"/>
      <c r="X2250" s="1837"/>
    </row>
    <row r="2251" spans="1:24" ht="24" customHeight="1">
      <c r="A2251" s="1782"/>
      <c r="B2251" s="2003" t="s">
        <v>633</v>
      </c>
      <c r="C2251" s="1895" t="s">
        <v>634</v>
      </c>
      <c r="D2251" s="1915"/>
      <c r="E2251" s="2062">
        <v>0</v>
      </c>
      <c r="F2251" s="1842" t="s">
        <v>240</v>
      </c>
      <c r="G2251" s="2046">
        <v>28600</v>
      </c>
      <c r="H2251" s="1854">
        <f t="shared" si="1025"/>
        <v>0</v>
      </c>
      <c r="I2251" s="2046">
        <v>0</v>
      </c>
      <c r="J2251" s="1854">
        <f t="shared" si="1026"/>
        <v>0</v>
      </c>
      <c r="K2251" s="1857">
        <f t="shared" si="1027"/>
        <v>0</v>
      </c>
      <c r="L2251" s="1910" t="s">
        <v>2886</v>
      </c>
      <c r="M2251" s="2047"/>
      <c r="N2251" s="1837"/>
      <c r="O2251" s="1837"/>
      <c r="P2251" s="1837"/>
      <c r="Q2251" s="1837"/>
      <c r="R2251" s="1837"/>
      <c r="S2251" s="1837"/>
      <c r="T2251" s="1837"/>
      <c r="U2251" s="1837"/>
      <c r="V2251" s="1837"/>
      <c r="W2251" s="1837"/>
      <c r="X2251" s="1837"/>
    </row>
    <row r="2252" spans="1:24" ht="24" customHeight="1">
      <c r="A2252" s="1782"/>
      <c r="B2252" s="2003" t="s">
        <v>635</v>
      </c>
      <c r="C2252" s="1895" t="s">
        <v>629</v>
      </c>
      <c r="D2252" s="1915"/>
      <c r="E2252" s="2062">
        <v>0</v>
      </c>
      <c r="F2252" s="1842" t="s">
        <v>240</v>
      </c>
      <c r="G2252" s="2046">
        <v>814100</v>
      </c>
      <c r="H2252" s="1854">
        <f t="shared" si="1025"/>
        <v>0</v>
      </c>
      <c r="I2252" s="2046">
        <v>0</v>
      </c>
      <c r="J2252" s="1854">
        <f t="shared" si="1026"/>
        <v>0</v>
      </c>
      <c r="K2252" s="1857">
        <f t="shared" si="1027"/>
        <v>0</v>
      </c>
      <c r="L2252" s="1910" t="s">
        <v>2886</v>
      </c>
      <c r="M2252" s="2047"/>
      <c r="N2252" s="1837"/>
      <c r="O2252" s="1837"/>
      <c r="P2252" s="1837"/>
      <c r="Q2252" s="1837"/>
      <c r="R2252" s="1837"/>
      <c r="S2252" s="1837"/>
      <c r="T2252" s="1837"/>
      <c r="U2252" s="1837"/>
      <c r="V2252" s="1837"/>
      <c r="W2252" s="1837"/>
      <c r="X2252" s="1837"/>
    </row>
    <row r="2253" spans="1:24" ht="24" customHeight="1">
      <c r="A2253" s="1782"/>
      <c r="B2253" s="2003" t="s">
        <v>636</v>
      </c>
      <c r="C2253" s="1895" t="s">
        <v>629</v>
      </c>
      <c r="D2253" s="1915"/>
      <c r="E2253" s="2062">
        <v>0</v>
      </c>
      <c r="F2253" s="1842" t="s">
        <v>240</v>
      </c>
      <c r="G2253" s="2046">
        <v>701500</v>
      </c>
      <c r="H2253" s="1854">
        <f t="shared" si="1025"/>
        <v>0</v>
      </c>
      <c r="I2253" s="2046">
        <v>0</v>
      </c>
      <c r="J2253" s="1854">
        <f t="shared" si="1026"/>
        <v>0</v>
      </c>
      <c r="K2253" s="1857">
        <f t="shared" si="1027"/>
        <v>0</v>
      </c>
      <c r="L2253" s="1910" t="s">
        <v>2886</v>
      </c>
      <c r="M2253" s="2047"/>
      <c r="N2253" s="1837"/>
      <c r="O2253" s="1837"/>
      <c r="P2253" s="1837"/>
      <c r="Q2253" s="1837"/>
      <c r="R2253" s="1837"/>
      <c r="S2253" s="1837"/>
      <c r="T2253" s="1837"/>
      <c r="U2253" s="1837"/>
      <c r="V2253" s="1837"/>
      <c r="W2253" s="1837"/>
      <c r="X2253" s="1837"/>
    </row>
    <row r="2254" spans="1:24" ht="24" customHeight="1">
      <c r="A2254" s="1782"/>
      <c r="B2254" s="2003" t="s">
        <v>637</v>
      </c>
      <c r="C2254" s="1895" t="s">
        <v>629</v>
      </c>
      <c r="D2254" s="1915"/>
      <c r="E2254" s="2062">
        <v>0</v>
      </c>
      <c r="F2254" s="1842" t="s">
        <v>240</v>
      </c>
      <c r="G2254" s="2046">
        <v>240700</v>
      </c>
      <c r="H2254" s="1854">
        <f t="shared" si="1025"/>
        <v>0</v>
      </c>
      <c r="I2254" s="2046">
        <v>0</v>
      </c>
      <c r="J2254" s="1854">
        <f t="shared" si="1026"/>
        <v>0</v>
      </c>
      <c r="K2254" s="1857">
        <f t="shared" si="1027"/>
        <v>0</v>
      </c>
      <c r="L2254" s="1910" t="s">
        <v>2886</v>
      </c>
      <c r="M2254" s="2047"/>
      <c r="N2254" s="1837"/>
      <c r="O2254" s="1837"/>
      <c r="P2254" s="1837"/>
      <c r="Q2254" s="1837"/>
      <c r="R2254" s="1837"/>
      <c r="S2254" s="1837"/>
      <c r="T2254" s="1837"/>
      <c r="U2254" s="1837"/>
      <c r="V2254" s="1837"/>
      <c r="W2254" s="1837"/>
      <c r="X2254" s="1837"/>
    </row>
    <row r="2255" spans="1:24" ht="24" customHeight="1">
      <c r="A2255" s="1933"/>
      <c r="B2255" s="2003"/>
      <c r="C2255" s="1895"/>
      <c r="D2255" s="1915"/>
      <c r="E2255" s="2062"/>
      <c r="F2255" s="1842"/>
      <c r="G2255" s="2046"/>
      <c r="H2255" s="1854"/>
      <c r="I2255" s="2048"/>
      <c r="J2255" s="1854"/>
      <c r="K2255" s="1857"/>
      <c r="L2255" s="2043"/>
      <c r="M2255" s="2044"/>
      <c r="N2255" s="1837"/>
      <c r="O2255" s="1837"/>
      <c r="P2255" s="1837"/>
      <c r="Q2255" s="1837"/>
      <c r="R2255" s="1837"/>
      <c r="S2255" s="1837"/>
      <c r="T2255" s="1837"/>
      <c r="U2255" s="1837"/>
      <c r="V2255" s="1837"/>
      <c r="W2255" s="1837"/>
      <c r="X2255" s="1837"/>
    </row>
    <row r="2256" spans="1:24" ht="24" customHeight="1">
      <c r="A2256" s="1782"/>
      <c r="B2256" s="2003" t="s">
        <v>638</v>
      </c>
      <c r="C2256" s="1895" t="s">
        <v>639</v>
      </c>
      <c r="D2256" s="1915"/>
      <c r="E2256" s="2062">
        <v>5</v>
      </c>
      <c r="F2256" s="1842" t="s">
        <v>240</v>
      </c>
      <c r="G2256" s="2046">
        <v>45750</v>
      </c>
      <c r="H2256" s="1854">
        <f>E2256*G2256</f>
        <v>228750</v>
      </c>
      <c r="I2256" s="2046">
        <v>3000</v>
      </c>
      <c r="J2256" s="1854">
        <f>E2256*I2256</f>
        <v>15000</v>
      </c>
      <c r="K2256" s="1857">
        <f>H2256+J2256</f>
        <v>243750</v>
      </c>
      <c r="L2256" s="2043"/>
      <c r="M2256" s="2044"/>
      <c r="N2256" s="1837"/>
      <c r="O2256" s="1837"/>
      <c r="P2256" s="1837"/>
      <c r="Q2256" s="1837"/>
      <c r="R2256" s="1837"/>
      <c r="S2256" s="1837"/>
      <c r="T2256" s="1837"/>
      <c r="U2256" s="1837"/>
      <c r="V2256" s="1837"/>
      <c r="W2256" s="1837"/>
      <c r="X2256" s="1837"/>
    </row>
    <row r="2257" spans="1:24" ht="24" customHeight="1">
      <c r="A2257" s="1933"/>
      <c r="B2257" s="2003" t="s">
        <v>640</v>
      </c>
      <c r="C2257" s="1895" t="s">
        <v>641</v>
      </c>
      <c r="D2257" s="1915"/>
      <c r="E2257" s="2062">
        <v>0</v>
      </c>
      <c r="F2257" s="1842" t="s">
        <v>240</v>
      </c>
      <c r="G2257" s="2046">
        <v>49350</v>
      </c>
      <c r="H2257" s="1854">
        <f t="shared" ref="H2257:H2267" si="1028">E2257*G2257</f>
        <v>0</v>
      </c>
      <c r="I2257" s="2046">
        <v>3000</v>
      </c>
      <c r="J2257" s="1854">
        <f t="shared" ref="J2257:J2267" si="1029">E2257*I2257</f>
        <v>0</v>
      </c>
      <c r="K2257" s="1857">
        <f t="shared" ref="K2257:K2267" si="1030">H2257+J2257</f>
        <v>0</v>
      </c>
      <c r="L2257" s="2043"/>
      <c r="M2257" s="2044"/>
      <c r="N2257" s="1837"/>
      <c r="O2257" s="1837"/>
      <c r="P2257" s="1837"/>
      <c r="Q2257" s="1837"/>
      <c r="R2257" s="1837"/>
      <c r="S2257" s="1837"/>
      <c r="T2257" s="1837"/>
      <c r="U2257" s="1837"/>
      <c r="V2257" s="1837"/>
      <c r="W2257" s="1837"/>
      <c r="X2257" s="1837"/>
    </row>
    <row r="2258" spans="1:24" ht="24" customHeight="1">
      <c r="A2258" s="1933"/>
      <c r="B2258" s="2003" t="s">
        <v>642</v>
      </c>
      <c r="C2258" s="1895" t="s">
        <v>643</v>
      </c>
      <c r="D2258" s="1915"/>
      <c r="E2258" s="2062">
        <v>2</v>
      </c>
      <c r="F2258" s="1842" t="s">
        <v>240</v>
      </c>
      <c r="G2258" s="2046">
        <v>87950</v>
      </c>
      <c r="H2258" s="1854">
        <f t="shared" si="1028"/>
        <v>175900</v>
      </c>
      <c r="I2258" s="2046">
        <v>4000</v>
      </c>
      <c r="J2258" s="1854">
        <f t="shared" si="1029"/>
        <v>8000</v>
      </c>
      <c r="K2258" s="1857">
        <f t="shared" si="1030"/>
        <v>183900</v>
      </c>
      <c r="L2258" s="2043"/>
      <c r="M2258" s="2044"/>
      <c r="N2258" s="1837"/>
      <c r="O2258" s="1837"/>
      <c r="P2258" s="1837"/>
      <c r="Q2258" s="1837"/>
      <c r="R2258" s="1837"/>
      <c r="S2258" s="1837"/>
      <c r="T2258" s="1837"/>
      <c r="U2258" s="1837"/>
      <c r="V2258" s="1837"/>
      <c r="W2258" s="1837"/>
      <c r="X2258" s="1837"/>
    </row>
    <row r="2259" spans="1:24" ht="24" customHeight="1">
      <c r="A2259" s="1933"/>
      <c r="B2259" s="2003" t="s">
        <v>644</v>
      </c>
      <c r="C2259" s="1895" t="s">
        <v>643</v>
      </c>
      <c r="D2259" s="1915"/>
      <c r="E2259" s="2062">
        <v>0</v>
      </c>
      <c r="F2259" s="1842" t="s">
        <v>240</v>
      </c>
      <c r="G2259" s="2046">
        <v>63520</v>
      </c>
      <c r="H2259" s="1854">
        <f t="shared" si="1028"/>
        <v>0</v>
      </c>
      <c r="I2259" s="2046">
        <v>4000</v>
      </c>
      <c r="J2259" s="1854">
        <f t="shared" si="1029"/>
        <v>0</v>
      </c>
      <c r="K2259" s="1857">
        <f t="shared" si="1030"/>
        <v>0</v>
      </c>
      <c r="L2259" s="2043"/>
      <c r="M2259" s="2044"/>
      <c r="N2259" s="1837"/>
      <c r="O2259" s="1837"/>
      <c r="P2259" s="1837"/>
      <c r="Q2259" s="1837"/>
      <c r="R2259" s="1837"/>
      <c r="S2259" s="1837"/>
      <c r="T2259" s="1837"/>
      <c r="U2259" s="1837"/>
      <c r="V2259" s="1837"/>
      <c r="W2259" s="1837"/>
      <c r="X2259" s="1837"/>
    </row>
    <row r="2260" spans="1:24" ht="24" customHeight="1">
      <c r="A2260" s="1933"/>
      <c r="B2260" s="2003" t="s">
        <v>645</v>
      </c>
      <c r="C2260" s="1895" t="s">
        <v>639</v>
      </c>
      <c r="D2260" s="1915"/>
      <c r="E2260" s="2062">
        <v>0</v>
      </c>
      <c r="F2260" s="1842" t="s">
        <v>240</v>
      </c>
      <c r="G2260" s="2046">
        <v>20950</v>
      </c>
      <c r="H2260" s="1854">
        <f t="shared" si="1028"/>
        <v>0</v>
      </c>
      <c r="I2260" s="2046">
        <v>3000</v>
      </c>
      <c r="J2260" s="1854">
        <f t="shared" si="1029"/>
        <v>0</v>
      </c>
      <c r="K2260" s="1857">
        <f t="shared" si="1030"/>
        <v>0</v>
      </c>
      <c r="L2260" s="2043"/>
      <c r="M2260" s="2044"/>
      <c r="N2260" s="1837"/>
      <c r="O2260" s="1837"/>
      <c r="P2260" s="1837"/>
      <c r="Q2260" s="1837"/>
      <c r="R2260" s="1837"/>
      <c r="S2260" s="1837"/>
      <c r="T2260" s="1837"/>
      <c r="U2260" s="1837"/>
      <c r="V2260" s="1837"/>
      <c r="W2260" s="1837"/>
      <c r="X2260" s="1837"/>
    </row>
    <row r="2261" spans="1:24" ht="24" customHeight="1">
      <c r="A2261" s="1933"/>
      <c r="B2261" s="2003" t="s">
        <v>646</v>
      </c>
      <c r="C2261" s="1895" t="s">
        <v>647</v>
      </c>
      <c r="D2261" s="1915"/>
      <c r="E2261" s="2062">
        <v>4</v>
      </c>
      <c r="F2261" s="1842" t="s">
        <v>240</v>
      </c>
      <c r="G2261" s="2046">
        <v>78210</v>
      </c>
      <c r="H2261" s="1854">
        <f t="shared" si="1028"/>
        <v>312840</v>
      </c>
      <c r="I2261" s="2046">
        <v>4000</v>
      </c>
      <c r="J2261" s="1854">
        <f t="shared" si="1029"/>
        <v>16000</v>
      </c>
      <c r="K2261" s="1857">
        <f t="shared" si="1030"/>
        <v>328840</v>
      </c>
      <c r="L2261" s="2043"/>
      <c r="M2261" s="2044"/>
      <c r="N2261" s="1837"/>
      <c r="O2261" s="1837"/>
      <c r="P2261" s="1837"/>
      <c r="Q2261" s="1837"/>
      <c r="R2261" s="1837"/>
      <c r="S2261" s="1837"/>
      <c r="T2261" s="1837"/>
      <c r="U2261" s="1837"/>
      <c r="V2261" s="1837"/>
      <c r="W2261" s="1837"/>
      <c r="X2261" s="1837"/>
    </row>
    <row r="2262" spans="1:24" ht="24" customHeight="1">
      <c r="A2262" s="1933"/>
      <c r="B2262" s="2003" t="s">
        <v>648</v>
      </c>
      <c r="C2262" s="1895" t="s">
        <v>2820</v>
      </c>
      <c r="D2262" s="1915"/>
      <c r="E2262" s="2062">
        <v>0</v>
      </c>
      <c r="F2262" s="1842" t="s">
        <v>240</v>
      </c>
      <c r="G2262" s="2046">
        <v>34220</v>
      </c>
      <c r="H2262" s="1854">
        <f t="shared" si="1028"/>
        <v>0</v>
      </c>
      <c r="I2262" s="2046">
        <v>4000</v>
      </c>
      <c r="J2262" s="1854">
        <f t="shared" si="1029"/>
        <v>0</v>
      </c>
      <c r="K2262" s="1857">
        <f t="shared" si="1030"/>
        <v>0</v>
      </c>
      <c r="L2262" s="2043"/>
      <c r="M2262" s="2044"/>
      <c r="N2262" s="1837"/>
      <c r="O2262" s="1837"/>
      <c r="P2262" s="1837"/>
      <c r="Q2262" s="1837"/>
      <c r="R2262" s="1837"/>
      <c r="S2262" s="1837"/>
      <c r="T2262" s="1837"/>
      <c r="U2262" s="1837"/>
      <c r="V2262" s="1837"/>
      <c r="W2262" s="1837"/>
      <c r="X2262" s="1837"/>
    </row>
    <row r="2263" spans="1:24" ht="24" customHeight="1">
      <c r="A2263" s="1933"/>
      <c r="B2263" s="2003" t="s">
        <v>649</v>
      </c>
      <c r="C2263" s="1895" t="s">
        <v>643</v>
      </c>
      <c r="D2263" s="1915"/>
      <c r="E2263" s="2062">
        <v>0</v>
      </c>
      <c r="F2263" s="1842" t="s">
        <v>240</v>
      </c>
      <c r="G2263" s="2046">
        <v>63520</v>
      </c>
      <c r="H2263" s="1854">
        <f t="shared" si="1028"/>
        <v>0</v>
      </c>
      <c r="I2263" s="2046">
        <v>4000</v>
      </c>
      <c r="J2263" s="1854">
        <f t="shared" si="1029"/>
        <v>0</v>
      </c>
      <c r="K2263" s="1857">
        <f t="shared" si="1030"/>
        <v>0</v>
      </c>
      <c r="L2263" s="2043"/>
      <c r="M2263" s="2044"/>
      <c r="N2263" s="1837"/>
      <c r="O2263" s="1837"/>
      <c r="P2263" s="1837"/>
      <c r="Q2263" s="1837"/>
      <c r="R2263" s="1837"/>
      <c r="S2263" s="1837"/>
      <c r="T2263" s="1837"/>
      <c r="U2263" s="1837"/>
      <c r="V2263" s="1837"/>
      <c r="W2263" s="1837"/>
      <c r="X2263" s="1837"/>
    </row>
    <row r="2264" spans="1:24" ht="24" customHeight="1">
      <c r="A2264" s="1933"/>
      <c r="B2264" s="2003" t="s">
        <v>650</v>
      </c>
      <c r="C2264" s="1895" t="s">
        <v>647</v>
      </c>
      <c r="D2264" s="1915"/>
      <c r="E2264" s="2062">
        <v>0</v>
      </c>
      <c r="F2264" s="1842" t="s">
        <v>240</v>
      </c>
      <c r="G2264" s="2046">
        <v>75710</v>
      </c>
      <c r="H2264" s="1854">
        <f t="shared" si="1028"/>
        <v>0</v>
      </c>
      <c r="I2264" s="2046">
        <v>4000</v>
      </c>
      <c r="J2264" s="1854">
        <f t="shared" si="1029"/>
        <v>0</v>
      </c>
      <c r="K2264" s="1857">
        <f t="shared" si="1030"/>
        <v>0</v>
      </c>
      <c r="L2264" s="2043"/>
      <c r="M2264" s="2044"/>
      <c r="N2264" s="1837"/>
      <c r="O2264" s="1837"/>
      <c r="P2264" s="1837"/>
      <c r="Q2264" s="1837"/>
      <c r="R2264" s="1837"/>
      <c r="S2264" s="1837"/>
      <c r="T2264" s="1837"/>
      <c r="U2264" s="1837"/>
      <c r="V2264" s="1837"/>
      <c r="W2264" s="1837"/>
      <c r="X2264" s="1837"/>
    </row>
    <row r="2265" spans="1:24" ht="24" customHeight="1">
      <c r="A2265" s="1933"/>
      <c r="B2265" s="2003" t="s">
        <v>651</v>
      </c>
      <c r="C2265" s="1895" t="s">
        <v>647</v>
      </c>
      <c r="D2265" s="1915"/>
      <c r="E2265" s="2062">
        <v>0</v>
      </c>
      <c r="F2265" s="1842" t="s">
        <v>240</v>
      </c>
      <c r="G2265" s="2046">
        <v>78210</v>
      </c>
      <c r="H2265" s="1854">
        <f t="shared" si="1028"/>
        <v>0</v>
      </c>
      <c r="I2265" s="2046">
        <v>4000</v>
      </c>
      <c r="J2265" s="1854">
        <f t="shared" si="1029"/>
        <v>0</v>
      </c>
      <c r="K2265" s="1857">
        <f t="shared" si="1030"/>
        <v>0</v>
      </c>
      <c r="L2265" s="2043"/>
      <c r="M2265" s="2044"/>
      <c r="N2265" s="1837"/>
      <c r="O2265" s="1837"/>
      <c r="P2265" s="1837"/>
      <c r="Q2265" s="1837"/>
      <c r="R2265" s="1837"/>
      <c r="S2265" s="1837"/>
      <c r="T2265" s="1837"/>
      <c r="U2265" s="1837"/>
      <c r="V2265" s="1837"/>
      <c r="W2265" s="1837"/>
      <c r="X2265" s="1837"/>
    </row>
    <row r="2266" spans="1:24" ht="24" customHeight="1">
      <c r="A2266" s="1933"/>
      <c r="B2266" s="2003" t="s">
        <v>652</v>
      </c>
      <c r="C2266" s="1895" t="s">
        <v>647</v>
      </c>
      <c r="D2266" s="1915"/>
      <c r="E2266" s="2062">
        <v>0</v>
      </c>
      <c r="F2266" s="1842" t="s">
        <v>240</v>
      </c>
      <c r="G2266" s="2046">
        <v>49870</v>
      </c>
      <c r="H2266" s="1854">
        <f t="shared" si="1028"/>
        <v>0</v>
      </c>
      <c r="I2266" s="2046">
        <v>4000</v>
      </c>
      <c r="J2266" s="1854">
        <f t="shared" si="1029"/>
        <v>0</v>
      </c>
      <c r="K2266" s="1857">
        <f t="shared" si="1030"/>
        <v>0</v>
      </c>
      <c r="L2266" s="2043"/>
      <c r="M2266" s="2044"/>
      <c r="N2266" s="1837"/>
      <c r="O2266" s="1837"/>
      <c r="P2266" s="1837"/>
      <c r="Q2266" s="1837"/>
      <c r="R2266" s="1837"/>
      <c r="S2266" s="1837"/>
      <c r="T2266" s="1837"/>
      <c r="U2266" s="1837"/>
      <c r="V2266" s="1837"/>
      <c r="W2266" s="1837"/>
      <c r="X2266" s="1837"/>
    </row>
    <row r="2267" spans="1:24" ht="24" customHeight="1">
      <c r="A2267" s="1933"/>
      <c r="B2267" s="2003" t="s">
        <v>653</v>
      </c>
      <c r="C2267" s="1895" t="s">
        <v>639</v>
      </c>
      <c r="D2267" s="1915"/>
      <c r="E2267" s="2062">
        <v>0</v>
      </c>
      <c r="F2267" s="1842" t="s">
        <v>240</v>
      </c>
      <c r="G2267" s="2046">
        <v>27900</v>
      </c>
      <c r="H2267" s="1854">
        <f t="shared" si="1028"/>
        <v>0</v>
      </c>
      <c r="I2267" s="2046">
        <v>4000</v>
      </c>
      <c r="J2267" s="1854">
        <f t="shared" si="1029"/>
        <v>0</v>
      </c>
      <c r="K2267" s="1857">
        <f t="shared" si="1030"/>
        <v>0</v>
      </c>
      <c r="L2267" s="2043"/>
      <c r="M2267" s="2044"/>
      <c r="N2267" s="1837"/>
      <c r="O2267" s="1837"/>
      <c r="P2267" s="1837"/>
      <c r="Q2267" s="1837"/>
      <c r="R2267" s="1837"/>
      <c r="S2267" s="1837"/>
      <c r="T2267" s="1837"/>
      <c r="U2267" s="1837"/>
      <c r="V2267" s="1837"/>
      <c r="W2267" s="1837"/>
      <c r="X2267" s="1837"/>
    </row>
    <row r="2268" spans="1:24" ht="24" customHeight="1">
      <c r="A2268" s="1782"/>
      <c r="B2268" s="2003"/>
      <c r="C2268" s="1895"/>
      <c r="D2268" s="1915"/>
      <c r="E2268" s="2062"/>
      <c r="F2268" s="1842"/>
      <c r="G2268" s="2046"/>
      <c r="H2268" s="1854"/>
      <c r="I2268" s="2048"/>
      <c r="J2268" s="1854"/>
      <c r="K2268" s="1857"/>
      <c r="L2268" s="2049"/>
      <c r="M2268" s="2044"/>
      <c r="N2268" s="1837"/>
      <c r="O2268" s="1837"/>
      <c r="P2268" s="1837"/>
      <c r="Q2268" s="1837"/>
      <c r="R2268" s="1837"/>
      <c r="S2268" s="1837"/>
      <c r="T2268" s="1837"/>
      <c r="U2268" s="1837"/>
      <c r="V2268" s="1837"/>
      <c r="W2268" s="1837"/>
      <c r="X2268" s="1837"/>
    </row>
    <row r="2269" spans="1:24" ht="24" customHeight="1">
      <c r="A2269" s="1933"/>
      <c r="B2269" s="2003" t="s">
        <v>654</v>
      </c>
      <c r="C2269" s="1895" t="s">
        <v>655</v>
      </c>
      <c r="D2269" s="1915"/>
      <c r="E2269" s="2062">
        <v>0</v>
      </c>
      <c r="F2269" s="1842" t="s">
        <v>240</v>
      </c>
      <c r="G2269" s="2046">
        <v>24170</v>
      </c>
      <c r="H2269" s="1854">
        <f>E2269*G2269</f>
        <v>0</v>
      </c>
      <c r="I2269" s="2046">
        <v>4000</v>
      </c>
      <c r="J2269" s="1854">
        <f>E2269*I2269</f>
        <v>0</v>
      </c>
      <c r="K2269" s="1857">
        <f>H2269+J2269</f>
        <v>0</v>
      </c>
      <c r="L2269" s="2043"/>
      <c r="M2269" s="2044"/>
      <c r="N2269" s="1837"/>
      <c r="O2269" s="1837"/>
      <c r="P2269" s="1837"/>
      <c r="Q2269" s="1837"/>
      <c r="R2269" s="1837"/>
      <c r="S2269" s="1837"/>
      <c r="T2269" s="1837"/>
      <c r="U2269" s="1837"/>
      <c r="V2269" s="1837"/>
      <c r="W2269" s="1837"/>
      <c r="X2269" s="1837"/>
    </row>
    <row r="2270" spans="1:24" ht="24" customHeight="1">
      <c r="A2270" s="1933"/>
      <c r="B2270" s="2003" t="s">
        <v>656</v>
      </c>
      <c r="C2270" s="1895" t="s">
        <v>655</v>
      </c>
      <c r="D2270" s="1915"/>
      <c r="E2270" s="2062">
        <v>21</v>
      </c>
      <c r="F2270" s="1842" t="s">
        <v>240</v>
      </c>
      <c r="G2270" s="2046">
        <v>38620</v>
      </c>
      <c r="H2270" s="1854">
        <f t="shared" ref="H2270:H2274" si="1031">E2270*G2270</f>
        <v>811020</v>
      </c>
      <c r="I2270" s="2046">
        <v>4000</v>
      </c>
      <c r="J2270" s="1854">
        <f t="shared" ref="J2270:J2274" si="1032">E2270*I2270</f>
        <v>84000</v>
      </c>
      <c r="K2270" s="1857">
        <f t="shared" ref="K2270:K2274" si="1033">H2270+J2270</f>
        <v>895020</v>
      </c>
      <c r="L2270" s="2043"/>
      <c r="M2270" s="2044"/>
      <c r="N2270" s="1837"/>
      <c r="O2270" s="1837"/>
      <c r="P2270" s="1837"/>
      <c r="Q2270" s="1837"/>
      <c r="R2270" s="1837"/>
      <c r="S2270" s="1837"/>
      <c r="T2270" s="1837"/>
      <c r="U2270" s="1837"/>
      <c r="V2270" s="1837"/>
      <c r="W2270" s="1837"/>
      <c r="X2270" s="1837"/>
    </row>
    <row r="2271" spans="1:24" ht="24" customHeight="1">
      <c r="A2271" s="1933"/>
      <c r="B2271" s="2003" t="s">
        <v>657</v>
      </c>
      <c r="C2271" s="1895" t="s">
        <v>658</v>
      </c>
      <c r="D2271" s="1915"/>
      <c r="E2271" s="2062">
        <v>0</v>
      </c>
      <c r="F2271" s="1842" t="s">
        <v>240</v>
      </c>
      <c r="G2271" s="2046">
        <v>17400</v>
      </c>
      <c r="H2271" s="1854">
        <f t="shared" si="1031"/>
        <v>0</v>
      </c>
      <c r="I2271" s="2046">
        <v>3000</v>
      </c>
      <c r="J2271" s="1854">
        <f t="shared" si="1032"/>
        <v>0</v>
      </c>
      <c r="K2271" s="1857">
        <f t="shared" si="1033"/>
        <v>0</v>
      </c>
      <c r="L2271" s="2043"/>
      <c r="M2271" s="2044"/>
      <c r="N2271" s="1837"/>
      <c r="O2271" s="1837"/>
      <c r="P2271" s="1837"/>
      <c r="Q2271" s="1837"/>
      <c r="R2271" s="1837"/>
      <c r="S2271" s="1837"/>
      <c r="T2271" s="1837"/>
      <c r="U2271" s="1837"/>
      <c r="V2271" s="1837"/>
      <c r="W2271" s="1837"/>
      <c r="X2271" s="1837"/>
    </row>
    <row r="2272" spans="1:24" ht="24" customHeight="1">
      <c r="A2272" s="1933"/>
      <c r="B2272" s="2310" t="s">
        <v>659</v>
      </c>
      <c r="C2272" s="2311" t="s">
        <v>660</v>
      </c>
      <c r="D2272" s="2312"/>
      <c r="E2272" s="2313">
        <v>8</v>
      </c>
      <c r="F2272" s="2314" t="s">
        <v>240</v>
      </c>
      <c r="G2272" s="2315">
        <v>19450</v>
      </c>
      <c r="H2272" s="2316">
        <f t="shared" si="1031"/>
        <v>155600</v>
      </c>
      <c r="I2272" s="2315">
        <v>3000</v>
      </c>
      <c r="J2272" s="2316">
        <f t="shared" si="1032"/>
        <v>24000</v>
      </c>
      <c r="K2272" s="2317">
        <f t="shared" si="1033"/>
        <v>179600</v>
      </c>
      <c r="L2272" s="2043"/>
      <c r="M2272" s="2044"/>
      <c r="N2272" s="1837"/>
      <c r="O2272" s="1837"/>
      <c r="P2272" s="1837"/>
      <c r="Q2272" s="1837"/>
      <c r="R2272" s="1837"/>
      <c r="S2272" s="1837"/>
      <c r="T2272" s="1837"/>
      <c r="U2272" s="1837"/>
      <c r="V2272" s="1837"/>
      <c r="W2272" s="1837"/>
      <c r="X2272" s="1837"/>
    </row>
    <row r="2273" spans="1:24" ht="24" customHeight="1">
      <c r="A2273" s="1933"/>
      <c r="B2273" s="2003" t="s">
        <v>661</v>
      </c>
      <c r="C2273" s="1895" t="s">
        <v>662</v>
      </c>
      <c r="D2273" s="1915"/>
      <c r="E2273" s="2062">
        <v>1</v>
      </c>
      <c r="F2273" s="1842" t="s">
        <v>240</v>
      </c>
      <c r="G2273" s="2046">
        <v>40120</v>
      </c>
      <c r="H2273" s="1854">
        <f t="shared" si="1031"/>
        <v>40120</v>
      </c>
      <c r="I2273" s="2046">
        <v>4000</v>
      </c>
      <c r="J2273" s="1854">
        <f t="shared" si="1032"/>
        <v>4000</v>
      </c>
      <c r="K2273" s="1857">
        <f t="shared" si="1033"/>
        <v>44120</v>
      </c>
      <c r="L2273" s="2043"/>
      <c r="M2273" s="2044"/>
      <c r="N2273" s="1837"/>
      <c r="O2273" s="1837"/>
      <c r="P2273" s="1837"/>
      <c r="Q2273" s="1837"/>
      <c r="R2273" s="1837"/>
      <c r="S2273" s="1837"/>
      <c r="T2273" s="1837"/>
      <c r="U2273" s="1837"/>
      <c r="V2273" s="1837"/>
      <c r="W2273" s="1837"/>
      <c r="X2273" s="1837"/>
    </row>
    <row r="2274" spans="1:24" ht="24" customHeight="1">
      <c r="A2274" s="1933"/>
      <c r="B2274" s="2003" t="s">
        <v>663</v>
      </c>
      <c r="C2274" s="1895" t="s">
        <v>662</v>
      </c>
      <c r="D2274" s="1915"/>
      <c r="E2274" s="2062">
        <v>0</v>
      </c>
      <c r="F2274" s="1842" t="s">
        <v>240</v>
      </c>
      <c r="G2274" s="2046">
        <v>57600</v>
      </c>
      <c r="H2274" s="1854">
        <f t="shared" si="1031"/>
        <v>0</v>
      </c>
      <c r="I2274" s="2046">
        <v>4000</v>
      </c>
      <c r="J2274" s="1854">
        <f t="shared" si="1032"/>
        <v>0</v>
      </c>
      <c r="K2274" s="1857">
        <f t="shared" si="1033"/>
        <v>0</v>
      </c>
      <c r="L2274" s="2043"/>
      <c r="M2274" s="2044"/>
      <c r="N2274" s="1837"/>
      <c r="O2274" s="1837"/>
      <c r="P2274" s="1837"/>
      <c r="Q2274" s="1837"/>
      <c r="R2274" s="1837"/>
      <c r="S2274" s="1837"/>
      <c r="T2274" s="1837"/>
      <c r="U2274" s="1837"/>
      <c r="V2274" s="1837"/>
      <c r="W2274" s="1837"/>
      <c r="X2274" s="1837"/>
    </row>
    <row r="2275" spans="1:24" ht="24" customHeight="1">
      <c r="A2275" s="1933"/>
      <c r="B2275" s="2003"/>
      <c r="C2275" s="1895"/>
      <c r="D2275" s="1915"/>
      <c r="E2275" s="2062"/>
      <c r="F2275" s="1842"/>
      <c r="G2275" s="2046"/>
      <c r="H2275" s="1854"/>
      <c r="I2275" s="2048"/>
      <c r="J2275" s="1854"/>
      <c r="K2275" s="1857"/>
      <c r="L2275" s="2043"/>
      <c r="M2275" s="2044"/>
      <c r="N2275" s="1837"/>
      <c r="O2275" s="1837"/>
      <c r="P2275" s="1837"/>
      <c r="Q2275" s="1837"/>
      <c r="R2275" s="1837"/>
      <c r="S2275" s="1837"/>
      <c r="T2275" s="1837"/>
      <c r="U2275" s="1837"/>
      <c r="V2275" s="1837"/>
      <c r="W2275" s="1837"/>
      <c r="X2275" s="1837"/>
    </row>
    <row r="2276" spans="1:24" ht="24" customHeight="1">
      <c r="A2276" s="1933"/>
      <c r="B2276" s="2003" t="s">
        <v>664</v>
      </c>
      <c r="C2276" s="1895" t="s">
        <v>665</v>
      </c>
      <c r="D2276" s="1915"/>
      <c r="E2276" s="2062">
        <v>3</v>
      </c>
      <c r="F2276" s="1842" t="s">
        <v>240</v>
      </c>
      <c r="G2276" s="2046">
        <v>18500</v>
      </c>
      <c r="H2276" s="1854">
        <f t="shared" ref="H2276" si="1034">E2276*G2276</f>
        <v>55500</v>
      </c>
      <c r="I2276" s="2046">
        <v>1200</v>
      </c>
      <c r="J2276" s="1854">
        <f t="shared" ref="J2276" si="1035">E2276*I2276</f>
        <v>3600</v>
      </c>
      <c r="K2276" s="1857">
        <f t="shared" ref="K2276" si="1036">H2276+J2276</f>
        <v>59100</v>
      </c>
      <c r="L2276" s="2043"/>
      <c r="M2276" s="2044"/>
      <c r="N2276" s="1837"/>
      <c r="O2276" s="1837"/>
      <c r="P2276" s="1837"/>
      <c r="Q2276" s="1837"/>
      <c r="R2276" s="1837"/>
      <c r="S2276" s="1837"/>
      <c r="T2276" s="1837"/>
      <c r="U2276" s="1837"/>
      <c r="V2276" s="1837"/>
      <c r="W2276" s="1837"/>
      <c r="X2276" s="1837"/>
    </row>
    <row r="2277" spans="1:24" ht="24" customHeight="1">
      <c r="A2277" s="1933"/>
      <c r="B2277" s="2003"/>
      <c r="C2277" s="1895"/>
      <c r="D2277" s="1915"/>
      <c r="E2277" s="2062"/>
      <c r="F2277" s="1842"/>
      <c r="G2277" s="2046"/>
      <c r="H2277" s="1854"/>
      <c r="I2277" s="2046"/>
      <c r="J2277" s="1854"/>
      <c r="K2277" s="1857"/>
      <c r="L2277" s="2043"/>
      <c r="M2277" s="2044"/>
      <c r="N2277" s="1837"/>
      <c r="O2277" s="1837"/>
      <c r="P2277" s="1837"/>
      <c r="Q2277" s="1837"/>
      <c r="R2277" s="1837"/>
      <c r="S2277" s="1837"/>
      <c r="T2277" s="1837"/>
      <c r="U2277" s="1837"/>
      <c r="V2277" s="1837"/>
      <c r="W2277" s="1837"/>
      <c r="X2277" s="1837"/>
    </row>
    <row r="2278" spans="1:24" ht="24" customHeight="1">
      <c r="A2278" s="1933"/>
      <c r="B2278" s="2003" t="s">
        <v>666</v>
      </c>
      <c r="C2278" s="1895" t="s">
        <v>667</v>
      </c>
      <c r="D2278" s="1915"/>
      <c r="E2278" s="2062">
        <v>0</v>
      </c>
      <c r="F2278" s="1842" t="s">
        <v>240</v>
      </c>
      <c r="G2278" s="2046">
        <v>127500</v>
      </c>
      <c r="H2278" s="1854">
        <f t="shared" ref="H2278:H2287" si="1037">E2278*G2278</f>
        <v>0</v>
      </c>
      <c r="I2278" s="2046">
        <v>18750</v>
      </c>
      <c r="J2278" s="1854">
        <f t="shared" ref="J2278:J2287" si="1038">E2278*I2278</f>
        <v>0</v>
      </c>
      <c r="K2278" s="1857">
        <f t="shared" ref="K2278:K2287" si="1039">H2278+J2278</f>
        <v>0</v>
      </c>
      <c r="L2278" s="1910"/>
      <c r="M2278" s="2047"/>
      <c r="N2278" s="1837"/>
      <c r="O2278" s="1837"/>
      <c r="P2278" s="1837"/>
      <c r="Q2278" s="1837"/>
      <c r="R2278" s="1837"/>
      <c r="S2278" s="1837"/>
      <c r="T2278" s="1837"/>
      <c r="U2278" s="1837"/>
      <c r="V2278" s="1837"/>
      <c r="W2278" s="1837"/>
      <c r="X2278" s="1837"/>
    </row>
    <row r="2279" spans="1:24" ht="24" customHeight="1">
      <c r="A2279" s="1933"/>
      <c r="B2279" s="2003" t="s">
        <v>668</v>
      </c>
      <c r="C2279" s="1895" t="s">
        <v>669</v>
      </c>
      <c r="D2279" s="1915"/>
      <c r="E2279" s="2062">
        <v>0</v>
      </c>
      <c r="F2279" s="1842" t="s">
        <v>240</v>
      </c>
      <c r="G2279" s="2046">
        <v>197200</v>
      </c>
      <c r="H2279" s="1854">
        <f t="shared" si="1037"/>
        <v>0</v>
      </c>
      <c r="I2279" s="2046">
        <v>29000</v>
      </c>
      <c r="J2279" s="1854">
        <f t="shared" si="1038"/>
        <v>0</v>
      </c>
      <c r="K2279" s="1857">
        <f t="shared" si="1039"/>
        <v>0</v>
      </c>
      <c r="L2279" s="1910"/>
      <c r="M2279" s="2047"/>
      <c r="N2279" s="1837"/>
      <c r="O2279" s="1837"/>
      <c r="P2279" s="1837"/>
      <c r="Q2279" s="1837"/>
      <c r="R2279" s="1837"/>
      <c r="S2279" s="1837"/>
      <c r="T2279" s="1837"/>
      <c r="U2279" s="1837"/>
      <c r="V2279" s="1837"/>
      <c r="W2279" s="1837"/>
      <c r="X2279" s="1837"/>
    </row>
    <row r="2280" spans="1:24" ht="24" customHeight="1">
      <c r="A2280" s="1933"/>
      <c r="B2280" s="2003" t="s">
        <v>670</v>
      </c>
      <c r="C2280" s="1895" t="s">
        <v>671</v>
      </c>
      <c r="D2280" s="1915"/>
      <c r="E2280" s="2062">
        <v>0</v>
      </c>
      <c r="F2280" s="1842" t="s">
        <v>240</v>
      </c>
      <c r="G2280" s="2046">
        <v>187000</v>
      </c>
      <c r="H2280" s="1854">
        <f t="shared" si="1037"/>
        <v>0</v>
      </c>
      <c r="I2280" s="2046">
        <v>27500</v>
      </c>
      <c r="J2280" s="1854">
        <f t="shared" si="1038"/>
        <v>0</v>
      </c>
      <c r="K2280" s="1857">
        <f t="shared" si="1039"/>
        <v>0</v>
      </c>
      <c r="L2280" s="1910"/>
      <c r="M2280" s="2047"/>
      <c r="N2280" s="1837"/>
      <c r="O2280" s="1837"/>
      <c r="P2280" s="1837"/>
      <c r="Q2280" s="1837"/>
      <c r="R2280" s="1837"/>
      <c r="S2280" s="1837"/>
      <c r="T2280" s="1837"/>
      <c r="U2280" s="1837"/>
      <c r="V2280" s="1837"/>
      <c r="W2280" s="1837"/>
      <c r="X2280" s="1837"/>
    </row>
    <row r="2281" spans="1:24" ht="24" customHeight="1">
      <c r="A2281" s="1933"/>
      <c r="B2281" s="2003" t="s">
        <v>672</v>
      </c>
      <c r="C2281" s="1895" t="s">
        <v>673</v>
      </c>
      <c r="D2281" s="1915"/>
      <c r="E2281" s="2062">
        <v>0</v>
      </c>
      <c r="F2281" s="1842" t="s">
        <v>240</v>
      </c>
      <c r="G2281" s="2046">
        <v>476000</v>
      </c>
      <c r="H2281" s="1854">
        <f t="shared" si="1037"/>
        <v>0</v>
      </c>
      <c r="I2281" s="2046">
        <v>70000</v>
      </c>
      <c r="J2281" s="1854">
        <f t="shared" si="1038"/>
        <v>0</v>
      </c>
      <c r="K2281" s="1857">
        <f t="shared" si="1039"/>
        <v>0</v>
      </c>
      <c r="L2281" s="1910"/>
      <c r="M2281" s="2047"/>
      <c r="N2281" s="1837"/>
      <c r="O2281" s="1837"/>
      <c r="P2281" s="1837"/>
      <c r="Q2281" s="1837"/>
      <c r="R2281" s="1837"/>
      <c r="S2281" s="1837"/>
      <c r="T2281" s="1837"/>
      <c r="U2281" s="1837"/>
      <c r="V2281" s="1837"/>
      <c r="W2281" s="1837"/>
      <c r="X2281" s="1837"/>
    </row>
    <row r="2282" spans="1:24" ht="24" customHeight="1">
      <c r="A2282" s="1933"/>
      <c r="B2282" s="2003" t="s">
        <v>674</v>
      </c>
      <c r="C2282" s="1895" t="s">
        <v>675</v>
      </c>
      <c r="D2282" s="1915"/>
      <c r="E2282" s="2062">
        <v>0</v>
      </c>
      <c r="F2282" s="1842" t="s">
        <v>240</v>
      </c>
      <c r="G2282" s="2046">
        <v>305660</v>
      </c>
      <c r="H2282" s="1854">
        <f t="shared" si="1037"/>
        <v>0</v>
      </c>
      <c r="I2282" s="2046">
        <v>44950</v>
      </c>
      <c r="J2282" s="1854">
        <f t="shared" si="1038"/>
        <v>0</v>
      </c>
      <c r="K2282" s="1857">
        <f t="shared" si="1039"/>
        <v>0</v>
      </c>
      <c r="L2282" s="1910"/>
      <c r="M2282" s="2047"/>
      <c r="N2282" s="1837"/>
      <c r="O2282" s="1837"/>
      <c r="P2282" s="1837"/>
      <c r="Q2282" s="1837"/>
      <c r="R2282" s="1837"/>
      <c r="S2282" s="1837"/>
      <c r="T2282" s="1837"/>
      <c r="U2282" s="1837"/>
      <c r="V2282" s="1837"/>
      <c r="W2282" s="1837"/>
      <c r="X2282" s="1837"/>
    </row>
    <row r="2283" spans="1:24" ht="24" customHeight="1">
      <c r="A2283" s="1933"/>
      <c r="B2283" s="2003" t="s">
        <v>676</v>
      </c>
      <c r="C2283" s="1895" t="s">
        <v>677</v>
      </c>
      <c r="D2283" s="1915"/>
      <c r="E2283" s="2062">
        <v>0</v>
      </c>
      <c r="F2283" s="1842" t="s">
        <v>240</v>
      </c>
      <c r="G2283" s="2046">
        <v>350030</v>
      </c>
      <c r="H2283" s="1854">
        <f t="shared" si="1037"/>
        <v>0</v>
      </c>
      <c r="I2283" s="2046">
        <v>51475</v>
      </c>
      <c r="J2283" s="1854">
        <f t="shared" si="1038"/>
        <v>0</v>
      </c>
      <c r="K2283" s="1857">
        <f t="shared" si="1039"/>
        <v>0</v>
      </c>
      <c r="L2283" s="1910"/>
      <c r="M2283" s="2047"/>
      <c r="N2283" s="1837"/>
      <c r="O2283" s="1837"/>
      <c r="P2283" s="1837"/>
      <c r="Q2283" s="1837"/>
      <c r="R2283" s="1837"/>
      <c r="S2283" s="1837"/>
      <c r="T2283" s="1837"/>
      <c r="U2283" s="1837"/>
      <c r="V2283" s="1837"/>
      <c r="W2283" s="1837"/>
      <c r="X2283" s="1837"/>
    </row>
    <row r="2284" spans="1:24" ht="24" customHeight="1">
      <c r="A2284" s="1933"/>
      <c r="B2284" s="2003" t="s">
        <v>678</v>
      </c>
      <c r="C2284" s="1895" t="s">
        <v>679</v>
      </c>
      <c r="D2284" s="1915"/>
      <c r="E2284" s="2062">
        <v>0</v>
      </c>
      <c r="F2284" s="1842" t="s">
        <v>240</v>
      </c>
      <c r="G2284" s="2046">
        <v>448800</v>
      </c>
      <c r="H2284" s="1854">
        <f t="shared" si="1037"/>
        <v>0</v>
      </c>
      <c r="I2284" s="2046">
        <v>66000</v>
      </c>
      <c r="J2284" s="1854">
        <f t="shared" si="1038"/>
        <v>0</v>
      </c>
      <c r="K2284" s="1857">
        <f t="shared" si="1039"/>
        <v>0</v>
      </c>
      <c r="L2284" s="1910"/>
      <c r="M2284" s="2047"/>
      <c r="N2284" s="1837"/>
      <c r="O2284" s="1837"/>
      <c r="P2284" s="1837"/>
      <c r="Q2284" s="1837"/>
      <c r="R2284" s="1837"/>
      <c r="S2284" s="1837"/>
      <c r="T2284" s="1837"/>
      <c r="U2284" s="1837"/>
      <c r="V2284" s="1837"/>
      <c r="W2284" s="1837"/>
      <c r="X2284" s="1837"/>
    </row>
    <row r="2285" spans="1:24" ht="24" customHeight="1">
      <c r="A2285" s="1933"/>
      <c r="B2285" s="2003" t="s">
        <v>680</v>
      </c>
      <c r="C2285" s="1895" t="s">
        <v>681</v>
      </c>
      <c r="D2285" s="1915"/>
      <c r="E2285" s="2062">
        <v>0</v>
      </c>
      <c r="F2285" s="1842" t="s">
        <v>240</v>
      </c>
      <c r="G2285" s="2046">
        <v>639200</v>
      </c>
      <c r="H2285" s="1854">
        <f t="shared" si="1037"/>
        <v>0</v>
      </c>
      <c r="I2285" s="2046">
        <v>94000</v>
      </c>
      <c r="J2285" s="1854">
        <f t="shared" si="1038"/>
        <v>0</v>
      </c>
      <c r="K2285" s="1857">
        <f t="shared" si="1039"/>
        <v>0</v>
      </c>
      <c r="L2285" s="1910"/>
      <c r="M2285" s="2047"/>
      <c r="N2285" s="1837"/>
      <c r="O2285" s="1837"/>
      <c r="P2285" s="1837"/>
      <c r="Q2285" s="1837"/>
      <c r="R2285" s="1837"/>
      <c r="S2285" s="1837"/>
      <c r="T2285" s="1837"/>
      <c r="U2285" s="1837"/>
      <c r="V2285" s="1837"/>
      <c r="W2285" s="1837"/>
      <c r="X2285" s="1837"/>
    </row>
    <row r="2286" spans="1:24" ht="24" customHeight="1">
      <c r="A2286" s="1933"/>
      <c r="B2286" s="2003" t="s">
        <v>682</v>
      </c>
      <c r="C2286" s="1895" t="s">
        <v>669</v>
      </c>
      <c r="D2286" s="1915"/>
      <c r="E2286" s="2062">
        <v>0</v>
      </c>
      <c r="F2286" s="1842" t="s">
        <v>240</v>
      </c>
      <c r="G2286" s="2046">
        <v>197200</v>
      </c>
      <c r="H2286" s="1854">
        <f t="shared" si="1037"/>
        <v>0</v>
      </c>
      <c r="I2286" s="2046">
        <v>29000</v>
      </c>
      <c r="J2286" s="1854">
        <f t="shared" si="1038"/>
        <v>0</v>
      </c>
      <c r="K2286" s="1857">
        <f t="shared" si="1039"/>
        <v>0</v>
      </c>
      <c r="L2286" s="1910"/>
      <c r="M2286" s="2047"/>
      <c r="N2286" s="1837"/>
      <c r="O2286" s="1837"/>
      <c r="P2286" s="1837"/>
      <c r="Q2286" s="1837"/>
      <c r="R2286" s="1837"/>
      <c r="S2286" s="1837"/>
      <c r="T2286" s="1837"/>
      <c r="U2286" s="1837"/>
      <c r="V2286" s="1837"/>
      <c r="W2286" s="1837"/>
      <c r="X2286" s="1837"/>
    </row>
    <row r="2287" spans="1:24" ht="24" customHeight="1">
      <c r="A2287" s="1933"/>
      <c r="B2287" s="2003" t="s">
        <v>683</v>
      </c>
      <c r="C2287" s="1895" t="s">
        <v>684</v>
      </c>
      <c r="D2287" s="1915"/>
      <c r="E2287" s="2062">
        <v>0</v>
      </c>
      <c r="F2287" s="1842" t="s">
        <v>240</v>
      </c>
      <c r="G2287" s="2046">
        <v>163200</v>
      </c>
      <c r="H2287" s="1854">
        <f t="shared" si="1037"/>
        <v>0</v>
      </c>
      <c r="I2287" s="2046">
        <v>24000</v>
      </c>
      <c r="J2287" s="1854">
        <f t="shared" si="1038"/>
        <v>0</v>
      </c>
      <c r="K2287" s="1857">
        <f t="shared" si="1039"/>
        <v>0</v>
      </c>
      <c r="L2287" s="2043"/>
      <c r="M2287" s="2044"/>
      <c r="N2287" s="1837"/>
      <c r="O2287" s="1837"/>
      <c r="P2287" s="1837"/>
      <c r="Q2287" s="1837"/>
      <c r="R2287" s="1837"/>
      <c r="S2287" s="1837"/>
      <c r="T2287" s="1837"/>
      <c r="U2287" s="1837"/>
      <c r="V2287" s="1837"/>
      <c r="W2287" s="1837"/>
      <c r="X2287" s="1837"/>
    </row>
    <row r="2288" spans="1:24" ht="24" customHeight="1">
      <c r="A2288" s="1933"/>
      <c r="B2288" s="2003"/>
      <c r="C2288" s="1895"/>
      <c r="D2288" s="1915"/>
      <c r="E2288" s="2062"/>
      <c r="F2288" s="1842"/>
      <c r="G2288" s="2050"/>
      <c r="H2288" s="1911"/>
      <c r="I2288" s="2050"/>
      <c r="J2288" s="1913"/>
      <c r="K2288" s="2051"/>
      <c r="L2288" s="2043"/>
      <c r="M2288" s="2044"/>
      <c r="N2288" s="1837"/>
      <c r="O2288" s="1837"/>
      <c r="P2288" s="1837"/>
      <c r="Q2288" s="1837"/>
      <c r="R2288" s="1837"/>
      <c r="S2288" s="1837"/>
      <c r="T2288" s="1837"/>
      <c r="U2288" s="1837"/>
      <c r="V2288" s="1837"/>
      <c r="W2288" s="1837"/>
      <c r="X2288" s="1837"/>
    </row>
    <row r="2289" spans="1:24" ht="24" customHeight="1">
      <c r="A2289" s="1933"/>
      <c r="B2289" s="2003" t="s">
        <v>685</v>
      </c>
      <c r="C2289" s="1895" t="s">
        <v>686</v>
      </c>
      <c r="D2289" s="1915"/>
      <c r="E2289" s="2062">
        <v>0</v>
      </c>
      <c r="F2289" s="1842" t="s">
        <v>240</v>
      </c>
      <c r="G2289" s="2046">
        <v>119580</v>
      </c>
      <c r="H2289" s="1854">
        <f t="shared" ref="H2289:H2302" si="1040">E2289*G2289</f>
        <v>0</v>
      </c>
      <c r="I2289" s="2046">
        <v>0</v>
      </c>
      <c r="J2289" s="1854">
        <f t="shared" ref="J2289:J2302" si="1041">E2289*I2289</f>
        <v>0</v>
      </c>
      <c r="K2289" s="1857">
        <f t="shared" ref="K2289:K2302" si="1042">H2289+J2289</f>
        <v>0</v>
      </c>
      <c r="L2289" s="1910" t="s">
        <v>2887</v>
      </c>
      <c r="M2289" s="2047"/>
      <c r="N2289" s="1837"/>
      <c r="O2289" s="2024"/>
      <c r="P2289" s="1836"/>
      <c r="Q2289" s="1836"/>
      <c r="R2289" s="1837"/>
      <c r="S2289" s="1837"/>
      <c r="T2289" s="1837"/>
      <c r="U2289" s="1837"/>
      <c r="V2289" s="1837"/>
      <c r="W2289" s="1837"/>
      <c r="X2289" s="1837"/>
    </row>
    <row r="2290" spans="1:24" ht="24" customHeight="1">
      <c r="A2290" s="1933"/>
      <c r="B2290" s="2003" t="s">
        <v>687</v>
      </c>
      <c r="C2290" s="1895" t="s">
        <v>686</v>
      </c>
      <c r="D2290" s="1915"/>
      <c r="E2290" s="2062">
        <v>0</v>
      </c>
      <c r="F2290" s="1842" t="s">
        <v>240</v>
      </c>
      <c r="G2290" s="2046">
        <v>207000</v>
      </c>
      <c r="H2290" s="1854">
        <f t="shared" si="1040"/>
        <v>0</v>
      </c>
      <c r="I2290" s="2046">
        <v>0</v>
      </c>
      <c r="J2290" s="1854">
        <f t="shared" si="1041"/>
        <v>0</v>
      </c>
      <c r="K2290" s="1857">
        <f t="shared" si="1042"/>
        <v>0</v>
      </c>
      <c r="L2290" s="1910" t="s">
        <v>2887</v>
      </c>
      <c r="M2290" s="2047"/>
      <c r="N2290" s="1837"/>
      <c r="O2290" s="2024"/>
      <c r="P2290" s="1836"/>
      <c r="Q2290" s="1836"/>
      <c r="R2290" s="1837"/>
      <c r="S2290" s="1837"/>
      <c r="T2290" s="1837"/>
      <c r="U2290" s="1837"/>
      <c r="V2290" s="1837"/>
      <c r="W2290" s="1837"/>
      <c r="X2290" s="1837"/>
    </row>
    <row r="2291" spans="1:24" ht="24" customHeight="1">
      <c r="A2291" s="1933"/>
      <c r="B2291" s="2003" t="s">
        <v>688</v>
      </c>
      <c r="C2291" s="1895" t="s">
        <v>686</v>
      </c>
      <c r="D2291" s="1915"/>
      <c r="E2291" s="2062">
        <v>0</v>
      </c>
      <c r="F2291" s="1842" t="s">
        <v>240</v>
      </c>
      <c r="G2291" s="2046">
        <v>267600</v>
      </c>
      <c r="H2291" s="1854">
        <f t="shared" si="1040"/>
        <v>0</v>
      </c>
      <c r="I2291" s="2046">
        <v>0</v>
      </c>
      <c r="J2291" s="1854">
        <f t="shared" si="1041"/>
        <v>0</v>
      </c>
      <c r="K2291" s="1857">
        <f t="shared" si="1042"/>
        <v>0</v>
      </c>
      <c r="L2291" s="1910" t="s">
        <v>2887</v>
      </c>
      <c r="M2291" s="2047"/>
      <c r="N2291" s="1837"/>
      <c r="O2291" s="2024"/>
      <c r="P2291" s="1836"/>
      <c r="Q2291" s="1836"/>
      <c r="R2291" s="1837"/>
      <c r="S2291" s="1837"/>
      <c r="T2291" s="1837"/>
      <c r="U2291" s="1837"/>
      <c r="V2291" s="1837"/>
      <c r="W2291" s="1837"/>
      <c r="X2291" s="1837"/>
    </row>
    <row r="2292" spans="1:24" ht="24" customHeight="1">
      <c r="A2292" s="1933"/>
      <c r="B2292" s="2003" t="s">
        <v>689</v>
      </c>
      <c r="C2292" s="1895" t="s">
        <v>686</v>
      </c>
      <c r="D2292" s="1915"/>
      <c r="E2292" s="2062">
        <v>0</v>
      </c>
      <c r="F2292" s="1842" t="s">
        <v>240</v>
      </c>
      <c r="G2292" s="2046">
        <v>285430</v>
      </c>
      <c r="H2292" s="1854">
        <f t="shared" si="1040"/>
        <v>0</v>
      </c>
      <c r="I2292" s="2046">
        <v>0</v>
      </c>
      <c r="J2292" s="1854">
        <f t="shared" si="1041"/>
        <v>0</v>
      </c>
      <c r="K2292" s="1857">
        <f t="shared" si="1042"/>
        <v>0</v>
      </c>
      <c r="L2292" s="1910" t="s">
        <v>2887</v>
      </c>
      <c r="M2292" s="2047"/>
      <c r="N2292" s="1837"/>
      <c r="O2292" s="2024"/>
      <c r="P2292" s="1836"/>
      <c r="Q2292" s="1836"/>
      <c r="R2292" s="1837"/>
      <c r="S2292" s="1837"/>
      <c r="T2292" s="1837"/>
      <c r="U2292" s="1837"/>
      <c r="V2292" s="1837"/>
      <c r="W2292" s="1837"/>
      <c r="X2292" s="1837"/>
    </row>
    <row r="2293" spans="1:24" ht="24" customHeight="1">
      <c r="A2293" s="1933"/>
      <c r="B2293" s="2003" t="s">
        <v>690</v>
      </c>
      <c r="C2293" s="1895" t="s">
        <v>686</v>
      </c>
      <c r="D2293" s="1915"/>
      <c r="E2293" s="2062">
        <v>0</v>
      </c>
      <c r="F2293" s="1842" t="s">
        <v>240</v>
      </c>
      <c r="G2293" s="2046">
        <v>440100</v>
      </c>
      <c r="H2293" s="1854">
        <f t="shared" si="1040"/>
        <v>0</v>
      </c>
      <c r="I2293" s="2046">
        <v>0</v>
      </c>
      <c r="J2293" s="1854">
        <f t="shared" si="1041"/>
        <v>0</v>
      </c>
      <c r="K2293" s="1857">
        <f t="shared" si="1042"/>
        <v>0</v>
      </c>
      <c r="L2293" s="1910" t="s">
        <v>2887</v>
      </c>
      <c r="M2293" s="2047"/>
      <c r="N2293" s="1837"/>
      <c r="O2293" s="2024"/>
      <c r="P2293" s="1836"/>
      <c r="Q2293" s="1836"/>
      <c r="R2293" s="1837"/>
      <c r="S2293" s="1837"/>
      <c r="T2293" s="1837"/>
      <c r="U2293" s="1837"/>
      <c r="V2293" s="1837"/>
      <c r="W2293" s="1837"/>
      <c r="X2293" s="1837"/>
    </row>
    <row r="2294" spans="1:24" ht="24" customHeight="1">
      <c r="A2294" s="1933"/>
      <c r="B2294" s="2003" t="s">
        <v>691</v>
      </c>
      <c r="C2294" s="1895" t="s">
        <v>686</v>
      </c>
      <c r="D2294" s="1915"/>
      <c r="E2294" s="2062">
        <v>0</v>
      </c>
      <c r="F2294" s="1842" t="s">
        <v>240</v>
      </c>
      <c r="G2294" s="2046">
        <v>770900</v>
      </c>
      <c r="H2294" s="1854">
        <f t="shared" si="1040"/>
        <v>0</v>
      </c>
      <c r="I2294" s="2046">
        <v>0</v>
      </c>
      <c r="J2294" s="1854">
        <f t="shared" si="1041"/>
        <v>0</v>
      </c>
      <c r="K2294" s="1857">
        <f t="shared" si="1042"/>
        <v>0</v>
      </c>
      <c r="L2294" s="1910" t="s">
        <v>2887</v>
      </c>
      <c r="M2294" s="2047"/>
      <c r="N2294" s="1837"/>
      <c r="O2294" s="2024"/>
      <c r="P2294" s="1836"/>
      <c r="Q2294" s="1836"/>
      <c r="R2294" s="1837"/>
      <c r="S2294" s="1837"/>
      <c r="T2294" s="1837"/>
      <c r="U2294" s="1837"/>
      <c r="V2294" s="1837"/>
      <c r="W2294" s="1837"/>
      <c r="X2294" s="1837"/>
    </row>
    <row r="2295" spans="1:24" ht="24" customHeight="1">
      <c r="A2295" s="1933"/>
      <c r="B2295" s="2003" t="s">
        <v>692</v>
      </c>
      <c r="C2295" s="1895" t="s">
        <v>686</v>
      </c>
      <c r="D2295" s="1915"/>
      <c r="E2295" s="2062">
        <v>0</v>
      </c>
      <c r="F2295" s="1842" t="s">
        <v>240</v>
      </c>
      <c r="G2295" s="2046">
        <v>904400</v>
      </c>
      <c r="H2295" s="1854">
        <f t="shared" si="1040"/>
        <v>0</v>
      </c>
      <c r="I2295" s="2046">
        <v>0</v>
      </c>
      <c r="J2295" s="1854">
        <f t="shared" si="1041"/>
        <v>0</v>
      </c>
      <c r="K2295" s="1857">
        <f t="shared" si="1042"/>
        <v>0</v>
      </c>
      <c r="L2295" s="1910" t="s">
        <v>2887</v>
      </c>
      <c r="M2295" s="2047"/>
      <c r="N2295" s="1837"/>
      <c r="O2295" s="2024"/>
      <c r="P2295" s="1836"/>
      <c r="Q2295" s="1836"/>
      <c r="R2295" s="1837"/>
      <c r="S2295" s="1837"/>
      <c r="T2295" s="1837"/>
      <c r="U2295" s="1837"/>
      <c r="V2295" s="1837"/>
      <c r="W2295" s="1837"/>
      <c r="X2295" s="1837"/>
    </row>
    <row r="2296" spans="1:24" ht="24" customHeight="1">
      <c r="A2296" s="1933"/>
      <c r="B2296" s="2003" t="s">
        <v>693</v>
      </c>
      <c r="C2296" s="1895" t="s">
        <v>686</v>
      </c>
      <c r="D2296" s="1915"/>
      <c r="E2296" s="2062">
        <v>0</v>
      </c>
      <c r="F2296" s="1842" t="s">
        <v>240</v>
      </c>
      <c r="G2296" s="2046">
        <v>232000</v>
      </c>
      <c r="H2296" s="1854">
        <f t="shared" si="1040"/>
        <v>0</v>
      </c>
      <c r="I2296" s="2046">
        <v>0</v>
      </c>
      <c r="J2296" s="1854">
        <f t="shared" si="1041"/>
        <v>0</v>
      </c>
      <c r="K2296" s="1857">
        <f t="shared" si="1042"/>
        <v>0</v>
      </c>
      <c r="L2296" s="1910" t="s">
        <v>2887</v>
      </c>
      <c r="M2296" s="2047"/>
      <c r="N2296" s="1837"/>
      <c r="O2296" s="2024"/>
      <c r="P2296" s="1836"/>
      <c r="Q2296" s="1836"/>
      <c r="R2296" s="1837"/>
      <c r="S2296" s="1837"/>
      <c r="T2296" s="1837"/>
      <c r="U2296" s="1837"/>
      <c r="V2296" s="1837"/>
      <c r="W2296" s="1837"/>
      <c r="X2296" s="1837"/>
    </row>
    <row r="2297" spans="1:24" ht="24" customHeight="1">
      <c r="A2297" s="1933"/>
      <c r="B2297" s="2003" t="s">
        <v>694</v>
      </c>
      <c r="C2297" s="1895" t="s">
        <v>686</v>
      </c>
      <c r="D2297" s="1915"/>
      <c r="E2297" s="2062">
        <v>0</v>
      </c>
      <c r="F2297" s="1842" t="s">
        <v>240</v>
      </c>
      <c r="G2297" s="2046">
        <v>399100</v>
      </c>
      <c r="H2297" s="1854">
        <f t="shared" si="1040"/>
        <v>0</v>
      </c>
      <c r="I2297" s="2046">
        <v>0</v>
      </c>
      <c r="J2297" s="1854">
        <f t="shared" si="1041"/>
        <v>0</v>
      </c>
      <c r="K2297" s="1857">
        <f t="shared" si="1042"/>
        <v>0</v>
      </c>
      <c r="L2297" s="1910" t="s">
        <v>2887</v>
      </c>
      <c r="M2297" s="2047"/>
      <c r="N2297" s="1837"/>
      <c r="O2297" s="2024"/>
      <c r="P2297" s="1836"/>
      <c r="Q2297" s="1836"/>
      <c r="R2297" s="1837"/>
      <c r="S2297" s="1837"/>
      <c r="T2297" s="1837"/>
      <c r="U2297" s="1837"/>
      <c r="V2297" s="1837"/>
      <c r="W2297" s="1837"/>
      <c r="X2297" s="1837"/>
    </row>
    <row r="2298" spans="1:24" ht="24" customHeight="1">
      <c r="A2298" s="1933"/>
      <c r="B2298" s="2003" t="s">
        <v>695</v>
      </c>
      <c r="C2298" s="1895" t="s">
        <v>686</v>
      </c>
      <c r="D2298" s="1915"/>
      <c r="E2298" s="2062">
        <v>0</v>
      </c>
      <c r="F2298" s="1842" t="s">
        <v>240</v>
      </c>
      <c r="G2298" s="2046">
        <v>528100</v>
      </c>
      <c r="H2298" s="1854">
        <f t="shared" si="1040"/>
        <v>0</v>
      </c>
      <c r="I2298" s="2046">
        <v>0</v>
      </c>
      <c r="J2298" s="1854">
        <f t="shared" si="1041"/>
        <v>0</v>
      </c>
      <c r="K2298" s="1857">
        <f t="shared" si="1042"/>
        <v>0</v>
      </c>
      <c r="L2298" s="1910" t="s">
        <v>2887</v>
      </c>
      <c r="M2298" s="2047"/>
      <c r="N2298" s="1837"/>
      <c r="O2298" s="2024"/>
      <c r="P2298" s="1836"/>
      <c r="Q2298" s="1836"/>
      <c r="R2298" s="1837"/>
      <c r="S2298" s="1837"/>
      <c r="T2298" s="1837"/>
      <c r="U2298" s="1837"/>
      <c r="V2298" s="1837"/>
      <c r="W2298" s="1837"/>
      <c r="X2298" s="1837"/>
    </row>
    <row r="2299" spans="1:24" ht="24" customHeight="1">
      <c r="A2299" s="1933"/>
      <c r="B2299" s="2003" t="s">
        <v>696</v>
      </c>
      <c r="C2299" s="1895" t="s">
        <v>686</v>
      </c>
      <c r="D2299" s="1915"/>
      <c r="E2299" s="2062">
        <v>0</v>
      </c>
      <c r="F2299" s="1842" t="s">
        <v>240</v>
      </c>
      <c r="G2299" s="2046">
        <v>563500</v>
      </c>
      <c r="H2299" s="1854">
        <f t="shared" si="1040"/>
        <v>0</v>
      </c>
      <c r="I2299" s="2046">
        <v>0</v>
      </c>
      <c r="J2299" s="1854">
        <f t="shared" si="1041"/>
        <v>0</v>
      </c>
      <c r="K2299" s="1857">
        <f t="shared" si="1042"/>
        <v>0</v>
      </c>
      <c r="L2299" s="1910" t="s">
        <v>2887</v>
      </c>
      <c r="M2299" s="2047"/>
      <c r="N2299" s="1837"/>
      <c r="O2299" s="2024"/>
      <c r="P2299" s="1836"/>
      <c r="Q2299" s="1836"/>
      <c r="R2299" s="1837"/>
      <c r="S2299" s="1837"/>
      <c r="T2299" s="1837"/>
      <c r="U2299" s="1837"/>
      <c r="V2299" s="1837"/>
      <c r="W2299" s="1837"/>
      <c r="X2299" s="1837"/>
    </row>
    <row r="2300" spans="1:24" ht="24" customHeight="1">
      <c r="A2300" s="1933"/>
      <c r="B2300" s="2003" t="s">
        <v>697</v>
      </c>
      <c r="C2300" s="1895" t="s">
        <v>686</v>
      </c>
      <c r="D2300" s="1915"/>
      <c r="E2300" s="2062">
        <v>0</v>
      </c>
      <c r="F2300" s="1842" t="s">
        <v>240</v>
      </c>
      <c r="G2300" s="2046">
        <v>272800</v>
      </c>
      <c r="H2300" s="1854">
        <f t="shared" si="1040"/>
        <v>0</v>
      </c>
      <c r="I2300" s="2046">
        <v>0</v>
      </c>
      <c r="J2300" s="1854">
        <f t="shared" si="1041"/>
        <v>0</v>
      </c>
      <c r="K2300" s="1857">
        <f t="shared" si="1042"/>
        <v>0</v>
      </c>
      <c r="L2300" s="1910" t="s">
        <v>2887</v>
      </c>
      <c r="M2300" s="2047"/>
      <c r="N2300" s="1837"/>
      <c r="O2300" s="2024"/>
      <c r="P2300" s="1836"/>
      <c r="Q2300" s="1836"/>
      <c r="R2300" s="1837"/>
      <c r="S2300" s="1837"/>
      <c r="T2300" s="1837"/>
      <c r="U2300" s="1837"/>
      <c r="V2300" s="1837"/>
      <c r="W2300" s="1837"/>
      <c r="X2300" s="1837"/>
    </row>
    <row r="2301" spans="1:24" ht="24" customHeight="1">
      <c r="A2301" s="1933"/>
      <c r="B2301" s="2003" t="s">
        <v>698</v>
      </c>
      <c r="C2301" s="1895" t="s">
        <v>686</v>
      </c>
      <c r="D2301" s="1915"/>
      <c r="E2301" s="2062">
        <v>3</v>
      </c>
      <c r="F2301" s="1842" t="s">
        <v>240</v>
      </c>
      <c r="G2301" s="2046">
        <v>6900</v>
      </c>
      <c r="H2301" s="1854">
        <f t="shared" si="1040"/>
        <v>20700</v>
      </c>
      <c r="I2301" s="2046">
        <v>0</v>
      </c>
      <c r="J2301" s="1854">
        <f t="shared" si="1041"/>
        <v>0</v>
      </c>
      <c r="K2301" s="1857">
        <f t="shared" si="1042"/>
        <v>20700</v>
      </c>
      <c r="L2301" s="1910" t="s">
        <v>2887</v>
      </c>
      <c r="M2301" s="2047"/>
      <c r="N2301" s="1837"/>
      <c r="O2301" s="2024"/>
      <c r="P2301" s="1836"/>
      <c r="Q2301" s="1836"/>
      <c r="R2301" s="1837"/>
      <c r="S2301" s="1837"/>
      <c r="T2301" s="1837"/>
      <c r="U2301" s="1837"/>
      <c r="V2301" s="1837"/>
      <c r="W2301" s="1837"/>
      <c r="X2301" s="1837"/>
    </row>
    <row r="2302" spans="1:24" ht="24" customHeight="1">
      <c r="A2302" s="1933"/>
      <c r="B2302" s="2003" t="s">
        <v>699</v>
      </c>
      <c r="C2302" s="1895" t="s">
        <v>686</v>
      </c>
      <c r="D2302" s="1915"/>
      <c r="E2302" s="2062">
        <v>0</v>
      </c>
      <c r="F2302" s="1842" t="s">
        <v>240</v>
      </c>
      <c r="G2302" s="2046">
        <v>97700</v>
      </c>
      <c r="H2302" s="1854">
        <f t="shared" si="1040"/>
        <v>0</v>
      </c>
      <c r="I2302" s="2046">
        <v>0</v>
      </c>
      <c r="J2302" s="1854">
        <f t="shared" si="1041"/>
        <v>0</v>
      </c>
      <c r="K2302" s="1857">
        <f t="shared" si="1042"/>
        <v>0</v>
      </c>
      <c r="L2302" s="1910" t="s">
        <v>2887</v>
      </c>
      <c r="M2302" s="2047"/>
      <c r="N2302" s="2047">
        <f>SUM(K2245:K2302)</f>
        <v>1955030</v>
      </c>
      <c r="O2302" s="2024"/>
      <c r="P2302" s="1836"/>
      <c r="Q2302" s="1836"/>
      <c r="R2302" s="1837"/>
      <c r="S2302" s="1837"/>
      <c r="T2302" s="1837"/>
      <c r="U2302" s="1837"/>
      <c r="V2302" s="1837"/>
      <c r="W2302" s="1837"/>
      <c r="X2302" s="1837"/>
    </row>
    <row r="2303" spans="1:24" ht="24" customHeight="1">
      <c r="A2303" s="1782" t="s">
        <v>718</v>
      </c>
      <c r="B2303" s="2041" t="s">
        <v>719</v>
      </c>
      <c r="C2303" s="1895"/>
      <c r="D2303" s="1987"/>
      <c r="E2303" s="2063"/>
      <c r="F2303" s="2275"/>
      <c r="G2303" s="1922"/>
      <c r="H2303" s="1911"/>
      <c r="I2303" s="1923"/>
      <c r="J2303" s="1913"/>
      <c r="K2303" s="1914"/>
      <c r="L2303" s="1918"/>
      <c r="N2303" s="1837"/>
      <c r="O2303" s="1837"/>
      <c r="P2303" s="1837"/>
      <c r="Q2303" s="1837"/>
      <c r="R2303" s="1837"/>
      <c r="S2303" s="1837"/>
      <c r="T2303" s="1837"/>
      <c r="U2303" s="1837"/>
      <c r="V2303" s="1837"/>
      <c r="W2303" s="1837"/>
      <c r="X2303" s="1837"/>
    </row>
    <row r="2304" spans="1:24" ht="24" customHeight="1">
      <c r="A2304" s="1933"/>
      <c r="B2304" s="2003" t="s">
        <v>626</v>
      </c>
      <c r="C2304" s="1895" t="s">
        <v>627</v>
      </c>
      <c r="D2304" s="1915"/>
      <c r="E2304" s="2062">
        <v>0</v>
      </c>
      <c r="F2304" s="1842" t="s">
        <v>240</v>
      </c>
      <c r="G2304" s="2046">
        <v>260300</v>
      </c>
      <c r="H2304" s="1854">
        <f t="shared" ref="H2304:H2312" si="1043">E2304*G2304</f>
        <v>0</v>
      </c>
      <c r="I2304" s="2046">
        <v>0</v>
      </c>
      <c r="J2304" s="1854">
        <f t="shared" ref="J2304:J2312" si="1044">E2304*I2304</f>
        <v>0</v>
      </c>
      <c r="K2304" s="1857">
        <f t="shared" ref="K2304:K2312" si="1045">H2304+J2304</f>
        <v>0</v>
      </c>
      <c r="L2304" s="1910" t="s">
        <v>2886</v>
      </c>
      <c r="M2304" s="2047"/>
      <c r="N2304" s="1837"/>
      <c r="O2304" s="1837"/>
      <c r="P2304" s="1837"/>
      <c r="Q2304" s="1837"/>
      <c r="R2304" s="1837"/>
      <c r="S2304" s="1837"/>
      <c r="T2304" s="1837"/>
      <c r="U2304" s="1837"/>
      <c r="V2304" s="1837"/>
      <c r="W2304" s="1837"/>
      <c r="X2304" s="1837"/>
    </row>
    <row r="2305" spans="1:24" ht="24" customHeight="1">
      <c r="A2305" s="1933"/>
      <c r="B2305" s="2003" t="s">
        <v>628</v>
      </c>
      <c r="C2305" s="1895" t="s">
        <v>629</v>
      </c>
      <c r="D2305" s="1915"/>
      <c r="E2305" s="2062">
        <v>0</v>
      </c>
      <c r="F2305" s="1842" t="s">
        <v>240</v>
      </c>
      <c r="G2305" s="2046">
        <v>386900</v>
      </c>
      <c r="H2305" s="1854">
        <f t="shared" si="1043"/>
        <v>0</v>
      </c>
      <c r="I2305" s="2046">
        <v>0</v>
      </c>
      <c r="J2305" s="1854">
        <f t="shared" si="1044"/>
        <v>0</v>
      </c>
      <c r="K2305" s="1857">
        <f t="shared" si="1045"/>
        <v>0</v>
      </c>
      <c r="L2305" s="1910" t="s">
        <v>2886</v>
      </c>
      <c r="M2305" s="2047"/>
      <c r="N2305" s="1837"/>
      <c r="O2305" s="1837"/>
      <c r="P2305" s="1837"/>
      <c r="Q2305" s="1837"/>
      <c r="R2305" s="1837"/>
      <c r="S2305" s="1837"/>
      <c r="T2305" s="1837"/>
      <c r="U2305" s="1837"/>
      <c r="V2305" s="1837"/>
      <c r="W2305" s="1837"/>
      <c r="X2305" s="1837"/>
    </row>
    <row r="2306" spans="1:24" ht="24" customHeight="1">
      <c r="A2306" s="1782"/>
      <c r="B2306" s="2003" t="s">
        <v>630</v>
      </c>
      <c r="C2306" s="1895" t="s">
        <v>2818</v>
      </c>
      <c r="D2306" s="1915"/>
      <c r="E2306" s="2062">
        <v>0</v>
      </c>
      <c r="F2306" s="1842" t="s">
        <v>240</v>
      </c>
      <c r="G2306" s="2046">
        <v>432400</v>
      </c>
      <c r="H2306" s="1854">
        <f t="shared" si="1043"/>
        <v>0</v>
      </c>
      <c r="I2306" s="2046">
        <v>0</v>
      </c>
      <c r="J2306" s="1854">
        <f t="shared" si="1044"/>
        <v>0</v>
      </c>
      <c r="K2306" s="1857">
        <f t="shared" si="1045"/>
        <v>0</v>
      </c>
      <c r="L2306" s="1910" t="s">
        <v>2886</v>
      </c>
      <c r="M2306" s="2047"/>
      <c r="N2306" s="1837"/>
      <c r="O2306" s="1837"/>
      <c r="P2306" s="1837"/>
      <c r="Q2306" s="1837"/>
      <c r="R2306" s="1837"/>
      <c r="S2306" s="1837"/>
      <c r="T2306" s="1837"/>
      <c r="U2306" s="1837"/>
      <c r="V2306" s="1837"/>
      <c r="W2306" s="1837"/>
      <c r="X2306" s="1837"/>
    </row>
    <row r="2307" spans="1:24" ht="24" customHeight="1">
      <c r="A2307" s="1782"/>
      <c r="B2307" s="2003" t="s">
        <v>631</v>
      </c>
      <c r="C2307" s="1895" t="s">
        <v>2818</v>
      </c>
      <c r="D2307" s="1915"/>
      <c r="E2307" s="2062">
        <v>0</v>
      </c>
      <c r="F2307" s="1842" t="s">
        <v>240</v>
      </c>
      <c r="G2307" s="2046">
        <v>440430</v>
      </c>
      <c r="H2307" s="1854">
        <f t="shared" si="1043"/>
        <v>0</v>
      </c>
      <c r="I2307" s="2046">
        <v>0</v>
      </c>
      <c r="J2307" s="1854">
        <f t="shared" si="1044"/>
        <v>0</v>
      </c>
      <c r="K2307" s="1857">
        <f t="shared" si="1045"/>
        <v>0</v>
      </c>
      <c r="L2307" s="1910" t="s">
        <v>2886</v>
      </c>
      <c r="M2307" s="2047"/>
      <c r="N2307" s="1837"/>
      <c r="O2307" s="1837"/>
      <c r="P2307" s="1837"/>
      <c r="Q2307" s="1837"/>
      <c r="R2307" s="1837"/>
      <c r="S2307" s="1837"/>
      <c r="T2307" s="1837"/>
      <c r="U2307" s="1837"/>
      <c r="V2307" s="1837"/>
      <c r="W2307" s="1837"/>
      <c r="X2307" s="1837"/>
    </row>
    <row r="2308" spans="1:24" ht="24" customHeight="1">
      <c r="A2308" s="1782"/>
      <c r="B2308" s="2003" t="s">
        <v>632</v>
      </c>
      <c r="C2308" s="1895" t="s">
        <v>2819</v>
      </c>
      <c r="D2308" s="1915"/>
      <c r="E2308" s="2062">
        <v>0</v>
      </c>
      <c r="F2308" s="1842" t="s">
        <v>240</v>
      </c>
      <c r="G2308" s="2046">
        <v>48800</v>
      </c>
      <c r="H2308" s="1854">
        <f t="shared" si="1043"/>
        <v>0</v>
      </c>
      <c r="I2308" s="2046">
        <v>0</v>
      </c>
      <c r="J2308" s="1854">
        <f t="shared" si="1044"/>
        <v>0</v>
      </c>
      <c r="K2308" s="1857">
        <f t="shared" si="1045"/>
        <v>0</v>
      </c>
      <c r="L2308" s="1910" t="s">
        <v>2886</v>
      </c>
      <c r="M2308" s="2047"/>
      <c r="N2308" s="1837"/>
      <c r="O2308" s="1837"/>
      <c r="P2308" s="1837"/>
      <c r="Q2308" s="1837"/>
      <c r="R2308" s="1837"/>
      <c r="S2308" s="1837"/>
      <c r="T2308" s="1837"/>
      <c r="U2308" s="1837"/>
      <c r="V2308" s="1837"/>
      <c r="W2308" s="1837"/>
      <c r="X2308" s="1837"/>
    </row>
    <row r="2309" spans="1:24" ht="24" customHeight="1">
      <c r="A2309" s="1782"/>
      <c r="B2309" s="2003" t="s">
        <v>633</v>
      </c>
      <c r="C2309" s="1895" t="s">
        <v>634</v>
      </c>
      <c r="D2309" s="1915"/>
      <c r="E2309" s="2062">
        <v>0</v>
      </c>
      <c r="F2309" s="1842" t="s">
        <v>240</v>
      </c>
      <c r="G2309" s="2046">
        <v>28600</v>
      </c>
      <c r="H2309" s="1854">
        <f t="shared" si="1043"/>
        <v>0</v>
      </c>
      <c r="I2309" s="2046">
        <v>0</v>
      </c>
      <c r="J2309" s="1854">
        <f t="shared" si="1044"/>
        <v>0</v>
      </c>
      <c r="K2309" s="1857">
        <f t="shared" si="1045"/>
        <v>0</v>
      </c>
      <c r="L2309" s="1910" t="s">
        <v>2886</v>
      </c>
      <c r="M2309" s="2047"/>
      <c r="N2309" s="1837"/>
      <c r="O2309" s="1837"/>
      <c r="P2309" s="1837"/>
      <c r="Q2309" s="1837"/>
      <c r="R2309" s="1837"/>
      <c r="S2309" s="1837"/>
      <c r="T2309" s="1837"/>
      <c r="U2309" s="1837"/>
      <c r="V2309" s="1837"/>
      <c r="W2309" s="1837"/>
      <c r="X2309" s="1837"/>
    </row>
    <row r="2310" spans="1:24" ht="24" customHeight="1">
      <c r="A2310" s="1782"/>
      <c r="B2310" s="2003" t="s">
        <v>635</v>
      </c>
      <c r="C2310" s="1895" t="s">
        <v>629</v>
      </c>
      <c r="D2310" s="1915"/>
      <c r="E2310" s="2062">
        <v>0</v>
      </c>
      <c r="F2310" s="1842" t="s">
        <v>240</v>
      </c>
      <c r="G2310" s="2046">
        <v>814100</v>
      </c>
      <c r="H2310" s="1854">
        <f t="shared" si="1043"/>
        <v>0</v>
      </c>
      <c r="I2310" s="2046">
        <v>0</v>
      </c>
      <c r="J2310" s="1854">
        <f t="shared" si="1044"/>
        <v>0</v>
      </c>
      <c r="K2310" s="1857">
        <f t="shared" si="1045"/>
        <v>0</v>
      </c>
      <c r="L2310" s="1910" t="s">
        <v>2886</v>
      </c>
      <c r="M2310" s="2047"/>
      <c r="N2310" s="1837"/>
      <c r="O2310" s="1837"/>
      <c r="P2310" s="1837"/>
      <c r="Q2310" s="1837"/>
      <c r="R2310" s="1837"/>
      <c r="S2310" s="1837"/>
      <c r="T2310" s="1837"/>
      <c r="U2310" s="1837"/>
      <c r="V2310" s="1837"/>
      <c r="W2310" s="1837"/>
      <c r="X2310" s="1837"/>
    </row>
    <row r="2311" spans="1:24" ht="24" customHeight="1">
      <c r="A2311" s="1782"/>
      <c r="B2311" s="2003" t="s">
        <v>636</v>
      </c>
      <c r="C2311" s="1895" t="s">
        <v>629</v>
      </c>
      <c r="D2311" s="1915"/>
      <c r="E2311" s="2062">
        <v>0</v>
      </c>
      <c r="F2311" s="1842" t="s">
        <v>240</v>
      </c>
      <c r="G2311" s="2046">
        <v>701500</v>
      </c>
      <c r="H2311" s="1854">
        <f t="shared" si="1043"/>
        <v>0</v>
      </c>
      <c r="I2311" s="2046">
        <v>0</v>
      </c>
      <c r="J2311" s="1854">
        <f t="shared" si="1044"/>
        <v>0</v>
      </c>
      <c r="K2311" s="1857">
        <f t="shared" si="1045"/>
        <v>0</v>
      </c>
      <c r="L2311" s="1910" t="s">
        <v>2886</v>
      </c>
      <c r="M2311" s="2047"/>
      <c r="N2311" s="1837"/>
      <c r="O2311" s="1837"/>
      <c r="P2311" s="1837"/>
      <c r="Q2311" s="1837"/>
      <c r="R2311" s="1837"/>
      <c r="S2311" s="1837"/>
      <c r="T2311" s="1837"/>
      <c r="U2311" s="1837"/>
      <c r="V2311" s="1837"/>
      <c r="W2311" s="1837"/>
      <c r="X2311" s="1837"/>
    </row>
    <row r="2312" spans="1:24" ht="24" customHeight="1">
      <c r="A2312" s="1782"/>
      <c r="B2312" s="2003" t="s">
        <v>637</v>
      </c>
      <c r="C2312" s="1895" t="s">
        <v>629</v>
      </c>
      <c r="D2312" s="1915"/>
      <c r="E2312" s="2062">
        <v>0</v>
      </c>
      <c r="F2312" s="1842" t="s">
        <v>240</v>
      </c>
      <c r="G2312" s="2046">
        <v>240700</v>
      </c>
      <c r="H2312" s="1854">
        <f t="shared" si="1043"/>
        <v>0</v>
      </c>
      <c r="I2312" s="2046">
        <v>0</v>
      </c>
      <c r="J2312" s="1854">
        <f t="shared" si="1044"/>
        <v>0</v>
      </c>
      <c r="K2312" s="1857">
        <f t="shared" si="1045"/>
        <v>0</v>
      </c>
      <c r="L2312" s="1910" t="s">
        <v>2886</v>
      </c>
      <c r="M2312" s="2047"/>
      <c r="N2312" s="1837"/>
      <c r="O2312" s="1837"/>
      <c r="P2312" s="1837"/>
      <c r="Q2312" s="1837"/>
      <c r="R2312" s="1837"/>
      <c r="S2312" s="1837"/>
      <c r="T2312" s="1837"/>
      <c r="U2312" s="1837"/>
      <c r="V2312" s="1837"/>
      <c r="W2312" s="1837"/>
      <c r="X2312" s="1837"/>
    </row>
    <row r="2313" spans="1:24" ht="24" customHeight="1">
      <c r="A2313" s="1933"/>
      <c r="B2313" s="2003"/>
      <c r="C2313" s="1895"/>
      <c r="D2313" s="1915"/>
      <c r="E2313" s="2062"/>
      <c r="F2313" s="1842"/>
      <c r="G2313" s="2046"/>
      <c r="H2313" s="1854"/>
      <c r="I2313" s="2048"/>
      <c r="J2313" s="1854"/>
      <c r="K2313" s="1857"/>
      <c r="L2313" s="2043"/>
      <c r="M2313" s="2044"/>
      <c r="N2313" s="1837"/>
      <c r="O2313" s="1837"/>
      <c r="P2313" s="1837"/>
      <c r="Q2313" s="1837"/>
      <c r="R2313" s="1837"/>
      <c r="S2313" s="1837"/>
      <c r="T2313" s="1837"/>
      <c r="U2313" s="1837"/>
      <c r="V2313" s="1837"/>
      <c r="W2313" s="1837"/>
      <c r="X2313" s="1837"/>
    </row>
    <row r="2314" spans="1:24" ht="24" customHeight="1">
      <c r="A2314" s="1782"/>
      <c r="B2314" s="2003" t="s">
        <v>638</v>
      </c>
      <c r="C2314" s="1895" t="s">
        <v>639</v>
      </c>
      <c r="D2314" s="1915"/>
      <c r="E2314" s="2062">
        <v>0</v>
      </c>
      <c r="F2314" s="1842" t="s">
        <v>240</v>
      </c>
      <c r="G2314" s="2046">
        <v>45750</v>
      </c>
      <c r="H2314" s="1854">
        <f>E2314*G2314</f>
        <v>0</v>
      </c>
      <c r="I2314" s="2046">
        <v>3000</v>
      </c>
      <c r="J2314" s="1854">
        <f>E2314*I2314</f>
        <v>0</v>
      </c>
      <c r="K2314" s="1857">
        <f>H2314+J2314</f>
        <v>0</v>
      </c>
      <c r="L2314" s="2043"/>
      <c r="M2314" s="2044"/>
      <c r="N2314" s="1837"/>
      <c r="O2314" s="1837"/>
      <c r="P2314" s="1837"/>
      <c r="Q2314" s="1837"/>
      <c r="R2314" s="1837"/>
      <c r="S2314" s="1837"/>
      <c r="T2314" s="1837"/>
      <c r="U2314" s="1837"/>
      <c r="V2314" s="1837"/>
      <c r="W2314" s="1837"/>
      <c r="X2314" s="1837"/>
    </row>
    <row r="2315" spans="1:24" ht="24" customHeight="1">
      <c r="A2315" s="1933"/>
      <c r="B2315" s="2003" t="s">
        <v>640</v>
      </c>
      <c r="C2315" s="1895" t="s">
        <v>641</v>
      </c>
      <c r="D2315" s="1915"/>
      <c r="E2315" s="2062">
        <v>0</v>
      </c>
      <c r="F2315" s="1842" t="s">
        <v>240</v>
      </c>
      <c r="G2315" s="2046">
        <v>49350</v>
      </c>
      <c r="H2315" s="1854">
        <f t="shared" ref="H2315:H2325" si="1046">E2315*G2315</f>
        <v>0</v>
      </c>
      <c r="I2315" s="2046">
        <v>3000</v>
      </c>
      <c r="J2315" s="1854">
        <f t="shared" ref="J2315:J2325" si="1047">E2315*I2315</f>
        <v>0</v>
      </c>
      <c r="K2315" s="1857">
        <f t="shared" ref="K2315:K2325" si="1048">H2315+J2315</f>
        <v>0</v>
      </c>
      <c r="L2315" s="2043"/>
      <c r="M2315" s="2044"/>
      <c r="N2315" s="1837"/>
      <c r="O2315" s="1837"/>
      <c r="P2315" s="1837"/>
      <c r="Q2315" s="1837"/>
      <c r="R2315" s="1837"/>
      <c r="S2315" s="1837"/>
      <c r="T2315" s="1837"/>
      <c r="U2315" s="1837"/>
      <c r="V2315" s="1837"/>
      <c r="W2315" s="1837"/>
      <c r="X2315" s="1837"/>
    </row>
    <row r="2316" spans="1:24" ht="24" customHeight="1">
      <c r="A2316" s="1933"/>
      <c r="B2316" s="2003" t="s">
        <v>642</v>
      </c>
      <c r="C2316" s="1895" t="s">
        <v>643</v>
      </c>
      <c r="D2316" s="1915"/>
      <c r="E2316" s="2062">
        <v>0</v>
      </c>
      <c r="F2316" s="1842" t="s">
        <v>240</v>
      </c>
      <c r="G2316" s="2046">
        <v>87950</v>
      </c>
      <c r="H2316" s="1854">
        <f t="shared" si="1046"/>
        <v>0</v>
      </c>
      <c r="I2316" s="2046">
        <v>4000</v>
      </c>
      <c r="J2316" s="1854">
        <f t="shared" si="1047"/>
        <v>0</v>
      </c>
      <c r="K2316" s="1857">
        <f t="shared" si="1048"/>
        <v>0</v>
      </c>
      <c r="L2316" s="2043"/>
      <c r="M2316" s="2044"/>
      <c r="N2316" s="1837"/>
      <c r="O2316" s="1837"/>
      <c r="P2316" s="1837"/>
      <c r="Q2316" s="1837"/>
      <c r="R2316" s="1837"/>
      <c r="S2316" s="1837"/>
      <c r="T2316" s="1837"/>
      <c r="U2316" s="1837"/>
      <c r="V2316" s="1837"/>
      <c r="W2316" s="1837"/>
      <c r="X2316" s="1837"/>
    </row>
    <row r="2317" spans="1:24" ht="24" customHeight="1">
      <c r="A2317" s="1933"/>
      <c r="B2317" s="2003" t="s">
        <v>644</v>
      </c>
      <c r="C2317" s="1895" t="s">
        <v>643</v>
      </c>
      <c r="D2317" s="1915"/>
      <c r="E2317" s="2062">
        <v>0</v>
      </c>
      <c r="F2317" s="1842" t="s">
        <v>240</v>
      </c>
      <c r="G2317" s="2046">
        <v>63520</v>
      </c>
      <c r="H2317" s="1854">
        <f t="shared" si="1046"/>
        <v>0</v>
      </c>
      <c r="I2317" s="2046">
        <v>4000</v>
      </c>
      <c r="J2317" s="1854">
        <f t="shared" si="1047"/>
        <v>0</v>
      </c>
      <c r="K2317" s="1857">
        <f t="shared" si="1048"/>
        <v>0</v>
      </c>
      <c r="L2317" s="2043"/>
      <c r="M2317" s="2044"/>
      <c r="N2317" s="1837"/>
      <c r="O2317" s="1837"/>
      <c r="P2317" s="1837"/>
      <c r="Q2317" s="1837"/>
      <c r="R2317" s="1837"/>
      <c r="S2317" s="1837"/>
      <c r="T2317" s="1837"/>
      <c r="U2317" s="1837"/>
      <c r="V2317" s="1837"/>
      <c r="W2317" s="1837"/>
      <c r="X2317" s="1837"/>
    </row>
    <row r="2318" spans="1:24" ht="24" customHeight="1">
      <c r="A2318" s="1933"/>
      <c r="B2318" s="2003" t="s">
        <v>645</v>
      </c>
      <c r="C2318" s="1895" t="s">
        <v>639</v>
      </c>
      <c r="D2318" s="1915"/>
      <c r="E2318" s="2062">
        <v>0</v>
      </c>
      <c r="F2318" s="1842" t="s">
        <v>240</v>
      </c>
      <c r="G2318" s="2046">
        <v>20950</v>
      </c>
      <c r="H2318" s="1854">
        <f t="shared" si="1046"/>
        <v>0</v>
      </c>
      <c r="I2318" s="2046">
        <v>3000</v>
      </c>
      <c r="J2318" s="1854">
        <f t="shared" si="1047"/>
        <v>0</v>
      </c>
      <c r="K2318" s="1857">
        <f t="shared" si="1048"/>
        <v>0</v>
      </c>
      <c r="L2318" s="2043"/>
      <c r="M2318" s="2044"/>
      <c r="N2318" s="1837"/>
      <c r="O2318" s="1837"/>
      <c r="P2318" s="1837"/>
      <c r="Q2318" s="1837"/>
      <c r="R2318" s="1837"/>
      <c r="S2318" s="1837"/>
      <c r="T2318" s="1837"/>
      <c r="U2318" s="1837"/>
      <c r="V2318" s="1837"/>
      <c r="W2318" s="1837"/>
      <c r="X2318" s="1837"/>
    </row>
    <row r="2319" spans="1:24" ht="24" customHeight="1">
      <c r="A2319" s="1933"/>
      <c r="B2319" s="2003" t="s">
        <v>646</v>
      </c>
      <c r="C2319" s="1895" t="s">
        <v>647</v>
      </c>
      <c r="D2319" s="1915"/>
      <c r="E2319" s="2062">
        <v>0</v>
      </c>
      <c r="F2319" s="1842" t="s">
        <v>240</v>
      </c>
      <c r="G2319" s="2046">
        <v>78210</v>
      </c>
      <c r="H2319" s="1854">
        <f t="shared" si="1046"/>
        <v>0</v>
      </c>
      <c r="I2319" s="2046">
        <v>4000</v>
      </c>
      <c r="J2319" s="1854">
        <f t="shared" si="1047"/>
        <v>0</v>
      </c>
      <c r="K2319" s="1857">
        <f t="shared" si="1048"/>
        <v>0</v>
      </c>
      <c r="L2319" s="2043"/>
      <c r="M2319" s="2044"/>
      <c r="N2319" s="1837"/>
      <c r="O2319" s="1837"/>
      <c r="P2319" s="1837"/>
      <c r="Q2319" s="1837"/>
      <c r="R2319" s="1837"/>
      <c r="S2319" s="1837"/>
      <c r="T2319" s="1837"/>
      <c r="U2319" s="1837"/>
      <c r="V2319" s="1837"/>
      <c r="W2319" s="1837"/>
      <c r="X2319" s="1837"/>
    </row>
    <row r="2320" spans="1:24" ht="24" customHeight="1">
      <c r="A2320" s="1933"/>
      <c r="B2320" s="2003" t="s">
        <v>648</v>
      </c>
      <c r="C2320" s="1895" t="s">
        <v>2820</v>
      </c>
      <c r="D2320" s="1915"/>
      <c r="E2320" s="2062">
        <v>0</v>
      </c>
      <c r="F2320" s="1842" t="s">
        <v>240</v>
      </c>
      <c r="G2320" s="2046">
        <v>34220</v>
      </c>
      <c r="H2320" s="1854">
        <f t="shared" si="1046"/>
        <v>0</v>
      </c>
      <c r="I2320" s="2046">
        <v>4000</v>
      </c>
      <c r="J2320" s="1854">
        <f t="shared" si="1047"/>
        <v>0</v>
      </c>
      <c r="K2320" s="1857">
        <f t="shared" si="1048"/>
        <v>0</v>
      </c>
      <c r="L2320" s="2043"/>
      <c r="M2320" s="2044"/>
      <c r="N2320" s="1837"/>
      <c r="O2320" s="1837"/>
      <c r="P2320" s="1837"/>
      <c r="Q2320" s="1837"/>
      <c r="R2320" s="1837"/>
      <c r="S2320" s="1837"/>
      <c r="T2320" s="1837"/>
      <c r="U2320" s="1837"/>
      <c r="V2320" s="1837"/>
      <c r="W2320" s="1837"/>
      <c r="X2320" s="1837"/>
    </row>
    <row r="2321" spans="1:24" ht="24" customHeight="1">
      <c r="A2321" s="1933"/>
      <c r="B2321" s="2003" t="s">
        <v>649</v>
      </c>
      <c r="C2321" s="1895" t="s">
        <v>643</v>
      </c>
      <c r="D2321" s="1915"/>
      <c r="E2321" s="2062">
        <v>0</v>
      </c>
      <c r="F2321" s="1842" t="s">
        <v>240</v>
      </c>
      <c r="G2321" s="2046">
        <v>63520</v>
      </c>
      <c r="H2321" s="1854">
        <f t="shared" si="1046"/>
        <v>0</v>
      </c>
      <c r="I2321" s="2046">
        <v>4000</v>
      </c>
      <c r="J2321" s="1854">
        <f t="shared" si="1047"/>
        <v>0</v>
      </c>
      <c r="K2321" s="1857">
        <f t="shared" si="1048"/>
        <v>0</v>
      </c>
      <c r="L2321" s="2043"/>
      <c r="M2321" s="2044"/>
      <c r="N2321" s="1837"/>
      <c r="O2321" s="1837"/>
      <c r="P2321" s="1837"/>
      <c r="Q2321" s="1837"/>
      <c r="R2321" s="1837"/>
      <c r="S2321" s="1837"/>
      <c r="T2321" s="1837"/>
      <c r="U2321" s="1837"/>
      <c r="V2321" s="1837"/>
      <c r="W2321" s="1837"/>
      <c r="X2321" s="1837"/>
    </row>
    <row r="2322" spans="1:24" ht="24" customHeight="1">
      <c r="A2322" s="1933"/>
      <c r="B2322" s="2003" t="s">
        <v>650</v>
      </c>
      <c r="C2322" s="1895" t="s">
        <v>647</v>
      </c>
      <c r="D2322" s="1915"/>
      <c r="E2322" s="2062">
        <v>0</v>
      </c>
      <c r="F2322" s="1842" t="s">
        <v>240</v>
      </c>
      <c r="G2322" s="2046">
        <v>75710</v>
      </c>
      <c r="H2322" s="1854">
        <f t="shared" si="1046"/>
        <v>0</v>
      </c>
      <c r="I2322" s="2046">
        <v>4000</v>
      </c>
      <c r="J2322" s="1854">
        <f t="shared" si="1047"/>
        <v>0</v>
      </c>
      <c r="K2322" s="1857">
        <f t="shared" si="1048"/>
        <v>0</v>
      </c>
      <c r="L2322" s="2043"/>
      <c r="M2322" s="2044"/>
      <c r="N2322" s="1837"/>
      <c r="O2322" s="1837"/>
      <c r="P2322" s="1837"/>
      <c r="Q2322" s="1837"/>
      <c r="R2322" s="1837"/>
      <c r="S2322" s="1837"/>
      <c r="T2322" s="1837"/>
      <c r="U2322" s="1837"/>
      <c r="V2322" s="1837"/>
      <c r="W2322" s="1837"/>
      <c r="X2322" s="1837"/>
    </row>
    <row r="2323" spans="1:24" ht="24" customHeight="1">
      <c r="A2323" s="1933"/>
      <c r="B2323" s="2003" t="s">
        <v>651</v>
      </c>
      <c r="C2323" s="1895" t="s">
        <v>647</v>
      </c>
      <c r="D2323" s="1915"/>
      <c r="E2323" s="2062">
        <v>0</v>
      </c>
      <c r="F2323" s="1842" t="s">
        <v>240</v>
      </c>
      <c r="G2323" s="2046">
        <v>78210</v>
      </c>
      <c r="H2323" s="1854">
        <f t="shared" si="1046"/>
        <v>0</v>
      </c>
      <c r="I2323" s="2046">
        <v>4000</v>
      </c>
      <c r="J2323" s="1854">
        <f t="shared" si="1047"/>
        <v>0</v>
      </c>
      <c r="K2323" s="1857">
        <f t="shared" si="1048"/>
        <v>0</v>
      </c>
      <c r="L2323" s="2043"/>
      <c r="M2323" s="2044"/>
      <c r="N2323" s="1837"/>
      <c r="O2323" s="1837"/>
      <c r="P2323" s="1837"/>
      <c r="Q2323" s="1837"/>
      <c r="R2323" s="1837"/>
      <c r="S2323" s="1837"/>
      <c r="T2323" s="1837"/>
      <c r="U2323" s="1837"/>
      <c r="V2323" s="1837"/>
      <c r="W2323" s="1837"/>
      <c r="X2323" s="1837"/>
    </row>
    <row r="2324" spans="1:24" ht="24" customHeight="1">
      <c r="A2324" s="1933"/>
      <c r="B2324" s="2003" t="s">
        <v>652</v>
      </c>
      <c r="C2324" s="1895" t="s">
        <v>647</v>
      </c>
      <c r="D2324" s="1915"/>
      <c r="E2324" s="2062">
        <v>0</v>
      </c>
      <c r="F2324" s="1842" t="s">
        <v>240</v>
      </c>
      <c r="G2324" s="2046">
        <v>49870</v>
      </c>
      <c r="H2324" s="1854">
        <f t="shared" si="1046"/>
        <v>0</v>
      </c>
      <c r="I2324" s="2046">
        <v>4000</v>
      </c>
      <c r="J2324" s="1854">
        <f t="shared" si="1047"/>
        <v>0</v>
      </c>
      <c r="K2324" s="1857">
        <f t="shared" si="1048"/>
        <v>0</v>
      </c>
      <c r="L2324" s="2043"/>
      <c r="M2324" s="2044"/>
      <c r="N2324" s="1837"/>
      <c r="O2324" s="1837"/>
      <c r="P2324" s="1837"/>
      <c r="Q2324" s="1837"/>
      <c r="R2324" s="1837"/>
      <c r="S2324" s="1837"/>
      <c r="T2324" s="1837"/>
      <c r="U2324" s="1837"/>
      <c r="V2324" s="1837"/>
      <c r="W2324" s="1837"/>
      <c r="X2324" s="1837"/>
    </row>
    <row r="2325" spans="1:24" ht="24" customHeight="1">
      <c r="A2325" s="1933"/>
      <c r="B2325" s="2003" t="s">
        <v>653</v>
      </c>
      <c r="C2325" s="1895" t="s">
        <v>639</v>
      </c>
      <c r="D2325" s="1915"/>
      <c r="E2325" s="2062">
        <v>0</v>
      </c>
      <c r="F2325" s="1842" t="s">
        <v>240</v>
      </c>
      <c r="G2325" s="2046">
        <v>27900</v>
      </c>
      <c r="H2325" s="1854">
        <f t="shared" si="1046"/>
        <v>0</v>
      </c>
      <c r="I2325" s="2046">
        <v>4000</v>
      </c>
      <c r="J2325" s="1854">
        <f t="shared" si="1047"/>
        <v>0</v>
      </c>
      <c r="K2325" s="1857">
        <f t="shared" si="1048"/>
        <v>0</v>
      </c>
      <c r="L2325" s="2043"/>
      <c r="M2325" s="2044"/>
      <c r="N2325" s="1837"/>
      <c r="O2325" s="1837"/>
      <c r="P2325" s="1837"/>
      <c r="Q2325" s="1837"/>
      <c r="R2325" s="1837"/>
      <c r="S2325" s="1837"/>
      <c r="T2325" s="1837"/>
      <c r="U2325" s="1837"/>
      <c r="V2325" s="1837"/>
      <c r="W2325" s="1837"/>
      <c r="X2325" s="1837"/>
    </row>
    <row r="2326" spans="1:24" ht="24" customHeight="1">
      <c r="A2326" s="1782"/>
      <c r="B2326" s="2003"/>
      <c r="C2326" s="1895"/>
      <c r="D2326" s="1915"/>
      <c r="E2326" s="2062"/>
      <c r="F2326" s="1842"/>
      <c r="G2326" s="2046"/>
      <c r="H2326" s="1854"/>
      <c r="I2326" s="2048"/>
      <c r="J2326" s="1854"/>
      <c r="K2326" s="1857"/>
      <c r="L2326" s="2049"/>
      <c r="M2326" s="2044"/>
      <c r="N2326" s="1837"/>
      <c r="O2326" s="1837"/>
      <c r="P2326" s="1837"/>
      <c r="Q2326" s="1837"/>
      <c r="R2326" s="1837"/>
      <c r="S2326" s="1837"/>
      <c r="T2326" s="1837"/>
      <c r="U2326" s="1837"/>
      <c r="V2326" s="1837"/>
      <c r="W2326" s="1837"/>
      <c r="X2326" s="1837"/>
    </row>
    <row r="2327" spans="1:24" ht="24" customHeight="1">
      <c r="A2327" s="1933"/>
      <c r="B2327" s="2003" t="s">
        <v>654</v>
      </c>
      <c r="C2327" s="1895" t="s">
        <v>655</v>
      </c>
      <c r="D2327" s="1915"/>
      <c r="E2327" s="2062">
        <v>0</v>
      </c>
      <c r="F2327" s="1842" t="s">
        <v>240</v>
      </c>
      <c r="G2327" s="2046">
        <v>24170</v>
      </c>
      <c r="H2327" s="1854">
        <f>E2327*G2327</f>
        <v>0</v>
      </c>
      <c r="I2327" s="2046">
        <v>4000</v>
      </c>
      <c r="J2327" s="1854">
        <f>E2327*I2327</f>
        <v>0</v>
      </c>
      <c r="K2327" s="1857">
        <f>H2327+J2327</f>
        <v>0</v>
      </c>
      <c r="L2327" s="2043"/>
      <c r="M2327" s="2044"/>
      <c r="N2327" s="1837"/>
      <c r="O2327" s="1837"/>
      <c r="P2327" s="1837"/>
      <c r="Q2327" s="1837"/>
      <c r="R2327" s="1837"/>
      <c r="S2327" s="1837"/>
      <c r="T2327" s="1837"/>
      <c r="U2327" s="1837"/>
      <c r="V2327" s="1837"/>
      <c r="W2327" s="1837"/>
      <c r="X2327" s="1837"/>
    </row>
    <row r="2328" spans="1:24" ht="24" customHeight="1">
      <c r="A2328" s="1933"/>
      <c r="B2328" s="2003" t="s">
        <v>656</v>
      </c>
      <c r="C2328" s="1895" t="s">
        <v>655</v>
      </c>
      <c r="D2328" s="1915"/>
      <c r="E2328" s="2062">
        <v>0</v>
      </c>
      <c r="F2328" s="1842" t="s">
        <v>240</v>
      </c>
      <c r="G2328" s="2046">
        <v>38620</v>
      </c>
      <c r="H2328" s="1854">
        <f t="shared" ref="H2328:H2332" si="1049">E2328*G2328</f>
        <v>0</v>
      </c>
      <c r="I2328" s="2046">
        <v>4000</v>
      </c>
      <c r="J2328" s="1854">
        <f t="shared" ref="J2328:J2332" si="1050">E2328*I2328</f>
        <v>0</v>
      </c>
      <c r="K2328" s="1857">
        <f t="shared" ref="K2328:K2332" si="1051">H2328+J2328</f>
        <v>0</v>
      </c>
      <c r="L2328" s="2043"/>
      <c r="M2328" s="2044"/>
      <c r="N2328" s="1837"/>
      <c r="O2328" s="1837"/>
      <c r="P2328" s="1837"/>
      <c r="Q2328" s="1837"/>
      <c r="R2328" s="1837"/>
      <c r="S2328" s="1837"/>
      <c r="T2328" s="1837"/>
      <c r="U2328" s="1837"/>
      <c r="V2328" s="1837"/>
      <c r="W2328" s="1837"/>
      <c r="X2328" s="1837"/>
    </row>
    <row r="2329" spans="1:24" ht="24" customHeight="1">
      <c r="A2329" s="1933"/>
      <c r="B2329" s="2003" t="s">
        <v>657</v>
      </c>
      <c r="C2329" s="1895" t="s">
        <v>658</v>
      </c>
      <c r="D2329" s="1915"/>
      <c r="E2329" s="2062">
        <v>0</v>
      </c>
      <c r="F2329" s="1842" t="s">
        <v>240</v>
      </c>
      <c r="G2329" s="2046">
        <v>17400</v>
      </c>
      <c r="H2329" s="1854">
        <f t="shared" si="1049"/>
        <v>0</v>
      </c>
      <c r="I2329" s="2046">
        <v>3000</v>
      </c>
      <c r="J2329" s="1854">
        <f t="shared" si="1050"/>
        <v>0</v>
      </c>
      <c r="K2329" s="1857">
        <f t="shared" si="1051"/>
        <v>0</v>
      </c>
      <c r="L2329" s="2043"/>
      <c r="M2329" s="2044"/>
      <c r="N2329" s="1837"/>
      <c r="O2329" s="1837"/>
      <c r="P2329" s="1837"/>
      <c r="Q2329" s="1837"/>
      <c r="R2329" s="1837"/>
      <c r="S2329" s="1837"/>
      <c r="T2329" s="1837"/>
      <c r="U2329" s="1837"/>
      <c r="V2329" s="1837"/>
      <c r="W2329" s="1837"/>
      <c r="X2329" s="1837"/>
    </row>
    <row r="2330" spans="1:24" ht="24" customHeight="1">
      <c r="A2330" s="1933"/>
      <c r="B2330" s="2003" t="s">
        <v>659</v>
      </c>
      <c r="C2330" s="1895" t="s">
        <v>660</v>
      </c>
      <c r="D2330" s="1915"/>
      <c r="E2330" s="2062">
        <v>0</v>
      </c>
      <c r="F2330" s="1842" t="s">
        <v>240</v>
      </c>
      <c r="G2330" s="2046">
        <v>19450</v>
      </c>
      <c r="H2330" s="1854">
        <f t="shared" si="1049"/>
        <v>0</v>
      </c>
      <c r="I2330" s="2046">
        <v>3000</v>
      </c>
      <c r="J2330" s="1854">
        <f t="shared" si="1050"/>
        <v>0</v>
      </c>
      <c r="K2330" s="1857">
        <f t="shared" si="1051"/>
        <v>0</v>
      </c>
      <c r="L2330" s="2043"/>
      <c r="M2330" s="2044"/>
      <c r="N2330" s="1837"/>
      <c r="O2330" s="1837"/>
      <c r="P2330" s="1837"/>
      <c r="Q2330" s="1837"/>
      <c r="R2330" s="1837"/>
      <c r="S2330" s="1837"/>
      <c r="T2330" s="1837"/>
      <c r="U2330" s="1837"/>
      <c r="V2330" s="1837"/>
      <c r="W2330" s="1837"/>
      <c r="X2330" s="1837"/>
    </row>
    <row r="2331" spans="1:24" ht="24" customHeight="1">
      <c r="A2331" s="1933"/>
      <c r="B2331" s="2003" t="s">
        <v>661</v>
      </c>
      <c r="C2331" s="1895" t="s">
        <v>662</v>
      </c>
      <c r="D2331" s="1915"/>
      <c r="E2331" s="2062">
        <v>0</v>
      </c>
      <c r="F2331" s="1842" t="s">
        <v>240</v>
      </c>
      <c r="G2331" s="2046">
        <v>40120</v>
      </c>
      <c r="H2331" s="1854">
        <f t="shared" si="1049"/>
        <v>0</v>
      </c>
      <c r="I2331" s="2046">
        <v>4000</v>
      </c>
      <c r="J2331" s="1854">
        <f t="shared" si="1050"/>
        <v>0</v>
      </c>
      <c r="K2331" s="1857">
        <f t="shared" si="1051"/>
        <v>0</v>
      </c>
      <c r="L2331" s="2043"/>
      <c r="M2331" s="2044"/>
      <c r="N2331" s="1837"/>
      <c r="O2331" s="1837"/>
      <c r="P2331" s="1837"/>
      <c r="Q2331" s="1837"/>
      <c r="R2331" s="1837"/>
      <c r="S2331" s="1837"/>
      <c r="T2331" s="1837"/>
      <c r="U2331" s="1837"/>
      <c r="V2331" s="1837"/>
      <c r="W2331" s="1837"/>
      <c r="X2331" s="1837"/>
    </row>
    <row r="2332" spans="1:24" ht="24" customHeight="1">
      <c r="A2332" s="1933"/>
      <c r="B2332" s="2003" t="s">
        <v>663</v>
      </c>
      <c r="C2332" s="1895" t="s">
        <v>662</v>
      </c>
      <c r="D2332" s="1915"/>
      <c r="E2332" s="2062">
        <v>0</v>
      </c>
      <c r="F2332" s="1842" t="s">
        <v>240</v>
      </c>
      <c r="G2332" s="2046">
        <v>57600</v>
      </c>
      <c r="H2332" s="1854">
        <f t="shared" si="1049"/>
        <v>0</v>
      </c>
      <c r="I2332" s="2046">
        <v>4000</v>
      </c>
      <c r="J2332" s="1854">
        <f t="shared" si="1050"/>
        <v>0</v>
      </c>
      <c r="K2332" s="1857">
        <f t="shared" si="1051"/>
        <v>0</v>
      </c>
      <c r="L2332" s="2043"/>
      <c r="M2332" s="2044"/>
      <c r="N2332" s="1837"/>
      <c r="O2332" s="1837"/>
      <c r="P2332" s="1837"/>
      <c r="Q2332" s="1837"/>
      <c r="R2332" s="1837"/>
      <c r="S2332" s="1837"/>
      <c r="T2332" s="1837"/>
      <c r="U2332" s="1837"/>
      <c r="V2332" s="1837"/>
      <c r="W2332" s="1837"/>
      <c r="X2332" s="1837"/>
    </row>
    <row r="2333" spans="1:24" ht="24" customHeight="1">
      <c r="A2333" s="1933"/>
      <c r="B2333" s="2003"/>
      <c r="C2333" s="1895"/>
      <c r="D2333" s="1915"/>
      <c r="E2333" s="2062"/>
      <c r="F2333" s="1842"/>
      <c r="G2333" s="2046"/>
      <c r="H2333" s="1854"/>
      <c r="I2333" s="2048"/>
      <c r="J2333" s="1854"/>
      <c r="K2333" s="1857"/>
      <c r="L2333" s="2043"/>
      <c r="M2333" s="2044"/>
      <c r="N2333" s="1837"/>
      <c r="O2333" s="1837"/>
      <c r="P2333" s="1837"/>
      <c r="Q2333" s="1837"/>
      <c r="R2333" s="1837"/>
      <c r="S2333" s="1837"/>
      <c r="T2333" s="1837"/>
      <c r="U2333" s="1837"/>
      <c r="V2333" s="1837"/>
      <c r="W2333" s="1837"/>
      <c r="X2333" s="1837"/>
    </row>
    <row r="2334" spans="1:24" ht="24" customHeight="1">
      <c r="A2334" s="1933"/>
      <c r="B2334" s="2003" t="s">
        <v>664</v>
      </c>
      <c r="C2334" s="1895" t="s">
        <v>665</v>
      </c>
      <c r="D2334" s="1915"/>
      <c r="E2334" s="2062">
        <v>0</v>
      </c>
      <c r="F2334" s="1842" t="s">
        <v>240</v>
      </c>
      <c r="G2334" s="2046">
        <v>18500</v>
      </c>
      <c r="H2334" s="1854">
        <f t="shared" ref="H2334" si="1052">E2334*G2334</f>
        <v>0</v>
      </c>
      <c r="I2334" s="2046">
        <v>1200</v>
      </c>
      <c r="J2334" s="1854">
        <f t="shared" ref="J2334" si="1053">E2334*I2334</f>
        <v>0</v>
      </c>
      <c r="K2334" s="1857">
        <f t="shared" ref="K2334" si="1054">H2334+J2334</f>
        <v>0</v>
      </c>
      <c r="L2334" s="2043"/>
      <c r="M2334" s="2044"/>
      <c r="N2334" s="1837"/>
      <c r="O2334" s="1837"/>
      <c r="P2334" s="1837"/>
      <c r="Q2334" s="1837"/>
      <c r="R2334" s="1837"/>
      <c r="S2334" s="1837"/>
      <c r="T2334" s="1837"/>
      <c r="U2334" s="1837"/>
      <c r="V2334" s="1837"/>
      <c r="W2334" s="1837"/>
      <c r="X2334" s="1837"/>
    </row>
    <row r="2335" spans="1:24" ht="24" customHeight="1">
      <c r="A2335" s="1933"/>
      <c r="B2335" s="2003"/>
      <c r="C2335" s="1895"/>
      <c r="D2335" s="1915"/>
      <c r="E2335" s="2062"/>
      <c r="F2335" s="1842"/>
      <c r="G2335" s="2046"/>
      <c r="H2335" s="1854"/>
      <c r="I2335" s="2046"/>
      <c r="J2335" s="1854"/>
      <c r="K2335" s="1857"/>
      <c r="L2335" s="2043"/>
      <c r="M2335" s="2044"/>
      <c r="N2335" s="1837"/>
      <c r="O2335" s="1837"/>
      <c r="P2335" s="1837"/>
      <c r="Q2335" s="1837"/>
      <c r="R2335" s="1837"/>
      <c r="S2335" s="1837"/>
      <c r="T2335" s="1837"/>
      <c r="U2335" s="1837"/>
      <c r="V2335" s="1837"/>
      <c r="W2335" s="1837"/>
      <c r="X2335" s="1837"/>
    </row>
    <row r="2336" spans="1:24" ht="24" customHeight="1">
      <c r="A2336" s="1933"/>
      <c r="B2336" s="2003" t="s">
        <v>666</v>
      </c>
      <c r="C2336" s="1895" t="s">
        <v>667</v>
      </c>
      <c r="D2336" s="1915"/>
      <c r="E2336" s="2062">
        <v>0</v>
      </c>
      <c r="F2336" s="1842" t="s">
        <v>240</v>
      </c>
      <c r="G2336" s="2046">
        <v>127500</v>
      </c>
      <c r="H2336" s="1854">
        <f t="shared" ref="H2336:H2345" si="1055">E2336*G2336</f>
        <v>0</v>
      </c>
      <c r="I2336" s="2046">
        <v>18750</v>
      </c>
      <c r="J2336" s="1854">
        <f t="shared" ref="J2336:J2345" si="1056">E2336*I2336</f>
        <v>0</v>
      </c>
      <c r="K2336" s="1857">
        <f t="shared" ref="K2336:K2345" si="1057">H2336+J2336</f>
        <v>0</v>
      </c>
      <c r="L2336" s="1910"/>
      <c r="M2336" s="2047"/>
      <c r="N2336" s="1837"/>
      <c r="O2336" s="1837"/>
      <c r="P2336" s="1837"/>
      <c r="Q2336" s="1837"/>
      <c r="R2336" s="1837"/>
      <c r="S2336" s="1837"/>
      <c r="T2336" s="1837"/>
      <c r="U2336" s="1837"/>
      <c r="V2336" s="1837"/>
      <c r="W2336" s="1837"/>
      <c r="X2336" s="1837"/>
    </row>
    <row r="2337" spans="1:24" ht="24" customHeight="1">
      <c r="A2337" s="1933"/>
      <c r="B2337" s="2003" t="s">
        <v>668</v>
      </c>
      <c r="C2337" s="1895" t="s">
        <v>669</v>
      </c>
      <c r="D2337" s="1915"/>
      <c r="E2337" s="2062">
        <v>0</v>
      </c>
      <c r="F2337" s="1842" t="s">
        <v>240</v>
      </c>
      <c r="G2337" s="2046">
        <v>197200</v>
      </c>
      <c r="H2337" s="1854">
        <f t="shared" si="1055"/>
        <v>0</v>
      </c>
      <c r="I2337" s="2046">
        <v>29000</v>
      </c>
      <c r="J2337" s="1854">
        <f t="shared" si="1056"/>
        <v>0</v>
      </c>
      <c r="K2337" s="1857">
        <f t="shared" si="1057"/>
        <v>0</v>
      </c>
      <c r="L2337" s="1910"/>
      <c r="M2337" s="2047"/>
      <c r="N2337" s="1837"/>
      <c r="O2337" s="1837"/>
      <c r="P2337" s="1837"/>
      <c r="Q2337" s="1837"/>
      <c r="R2337" s="1837"/>
      <c r="S2337" s="1837"/>
      <c r="T2337" s="1837"/>
      <c r="U2337" s="1837"/>
      <c r="V2337" s="1837"/>
      <c r="W2337" s="1837"/>
      <c r="X2337" s="1837"/>
    </row>
    <row r="2338" spans="1:24" ht="24" customHeight="1">
      <c r="A2338" s="1933"/>
      <c r="B2338" s="2003" t="s">
        <v>670</v>
      </c>
      <c r="C2338" s="1895" t="s">
        <v>671</v>
      </c>
      <c r="D2338" s="1915"/>
      <c r="E2338" s="2062">
        <v>0</v>
      </c>
      <c r="F2338" s="1842" t="s">
        <v>240</v>
      </c>
      <c r="G2338" s="2046">
        <v>187000</v>
      </c>
      <c r="H2338" s="1854">
        <f t="shared" si="1055"/>
        <v>0</v>
      </c>
      <c r="I2338" s="2046">
        <v>27500</v>
      </c>
      <c r="J2338" s="1854">
        <f t="shared" si="1056"/>
        <v>0</v>
      </c>
      <c r="K2338" s="1857">
        <f t="shared" si="1057"/>
        <v>0</v>
      </c>
      <c r="L2338" s="1910"/>
      <c r="M2338" s="2047"/>
      <c r="N2338" s="1837"/>
      <c r="O2338" s="1837"/>
      <c r="P2338" s="1837"/>
      <c r="Q2338" s="1837"/>
      <c r="R2338" s="1837"/>
      <c r="S2338" s="1837"/>
      <c r="T2338" s="1837"/>
      <c r="U2338" s="1837"/>
      <c r="V2338" s="1837"/>
      <c r="W2338" s="1837"/>
      <c r="X2338" s="1837"/>
    </row>
    <row r="2339" spans="1:24" ht="24" customHeight="1">
      <c r="A2339" s="1933"/>
      <c r="B2339" s="2003" t="s">
        <v>672</v>
      </c>
      <c r="C2339" s="1895" t="s">
        <v>673</v>
      </c>
      <c r="D2339" s="1915"/>
      <c r="E2339" s="2062">
        <v>0</v>
      </c>
      <c r="F2339" s="1842" t="s">
        <v>240</v>
      </c>
      <c r="G2339" s="2046">
        <v>476000</v>
      </c>
      <c r="H2339" s="1854">
        <f t="shared" si="1055"/>
        <v>0</v>
      </c>
      <c r="I2339" s="2046">
        <v>70000</v>
      </c>
      <c r="J2339" s="1854">
        <f t="shared" si="1056"/>
        <v>0</v>
      </c>
      <c r="K2339" s="1857">
        <f t="shared" si="1057"/>
        <v>0</v>
      </c>
      <c r="L2339" s="1910"/>
      <c r="M2339" s="2047"/>
      <c r="N2339" s="1837"/>
      <c r="O2339" s="1837"/>
      <c r="P2339" s="1837"/>
      <c r="Q2339" s="1837"/>
      <c r="R2339" s="1837"/>
      <c r="S2339" s="1837"/>
      <c r="T2339" s="1837"/>
      <c r="U2339" s="1837"/>
      <c r="V2339" s="1837"/>
      <c r="W2339" s="1837"/>
      <c r="X2339" s="1837"/>
    </row>
    <row r="2340" spans="1:24" ht="24" customHeight="1">
      <c r="A2340" s="1933"/>
      <c r="B2340" s="2003" t="s">
        <v>674</v>
      </c>
      <c r="C2340" s="1895" t="s">
        <v>675</v>
      </c>
      <c r="D2340" s="1915"/>
      <c r="E2340" s="2062">
        <v>0</v>
      </c>
      <c r="F2340" s="1842" t="s">
        <v>240</v>
      </c>
      <c r="G2340" s="2046">
        <v>305660</v>
      </c>
      <c r="H2340" s="1854">
        <f t="shared" si="1055"/>
        <v>0</v>
      </c>
      <c r="I2340" s="2046">
        <v>44950</v>
      </c>
      <c r="J2340" s="1854">
        <f t="shared" si="1056"/>
        <v>0</v>
      </c>
      <c r="K2340" s="1857">
        <f t="shared" si="1057"/>
        <v>0</v>
      </c>
      <c r="L2340" s="1910"/>
      <c r="M2340" s="2047"/>
      <c r="N2340" s="1837"/>
      <c r="O2340" s="1837"/>
      <c r="P2340" s="1837"/>
      <c r="Q2340" s="1837"/>
      <c r="R2340" s="1837"/>
      <c r="S2340" s="1837"/>
      <c r="T2340" s="1837"/>
      <c r="U2340" s="1837"/>
      <c r="V2340" s="1837"/>
      <c r="W2340" s="1837"/>
      <c r="X2340" s="1837"/>
    </row>
    <row r="2341" spans="1:24" ht="24" customHeight="1">
      <c r="A2341" s="1933"/>
      <c r="B2341" s="2003" t="s">
        <v>676</v>
      </c>
      <c r="C2341" s="1895" t="s">
        <v>677</v>
      </c>
      <c r="D2341" s="1915"/>
      <c r="E2341" s="2062">
        <v>0</v>
      </c>
      <c r="F2341" s="1842" t="s">
        <v>240</v>
      </c>
      <c r="G2341" s="2046">
        <v>350030</v>
      </c>
      <c r="H2341" s="1854">
        <f t="shared" si="1055"/>
        <v>0</v>
      </c>
      <c r="I2341" s="2046">
        <v>51475</v>
      </c>
      <c r="J2341" s="1854">
        <f t="shared" si="1056"/>
        <v>0</v>
      </c>
      <c r="K2341" s="1857">
        <f t="shared" si="1057"/>
        <v>0</v>
      </c>
      <c r="L2341" s="1910"/>
      <c r="M2341" s="2047"/>
      <c r="N2341" s="1837"/>
      <c r="O2341" s="1837"/>
      <c r="P2341" s="1837"/>
      <c r="Q2341" s="1837"/>
      <c r="R2341" s="1837"/>
      <c r="S2341" s="1837"/>
      <c r="T2341" s="1837"/>
      <c r="U2341" s="1837"/>
      <c r="V2341" s="1837"/>
      <c r="W2341" s="1837"/>
      <c r="X2341" s="1837"/>
    </row>
    <row r="2342" spans="1:24" ht="24" customHeight="1">
      <c r="A2342" s="1933"/>
      <c r="B2342" s="2003" t="s">
        <v>678</v>
      </c>
      <c r="C2342" s="1895" t="s">
        <v>679</v>
      </c>
      <c r="D2342" s="1915"/>
      <c r="E2342" s="2062">
        <v>0</v>
      </c>
      <c r="F2342" s="1842" t="s">
        <v>240</v>
      </c>
      <c r="G2342" s="2046">
        <v>448800</v>
      </c>
      <c r="H2342" s="1854">
        <f t="shared" si="1055"/>
        <v>0</v>
      </c>
      <c r="I2342" s="2046">
        <v>66000</v>
      </c>
      <c r="J2342" s="1854">
        <f t="shared" si="1056"/>
        <v>0</v>
      </c>
      <c r="K2342" s="1857">
        <f t="shared" si="1057"/>
        <v>0</v>
      </c>
      <c r="L2342" s="1910"/>
      <c r="M2342" s="2047"/>
      <c r="N2342" s="1837"/>
      <c r="O2342" s="1837"/>
      <c r="P2342" s="1837"/>
      <c r="Q2342" s="1837"/>
      <c r="R2342" s="1837"/>
      <c r="S2342" s="1837"/>
      <c r="T2342" s="1837"/>
      <c r="U2342" s="1837"/>
      <c r="V2342" s="1837"/>
      <c r="W2342" s="1837"/>
      <c r="X2342" s="1837"/>
    </row>
    <row r="2343" spans="1:24" ht="24" customHeight="1">
      <c r="A2343" s="1933"/>
      <c r="B2343" s="2003" t="s">
        <v>680</v>
      </c>
      <c r="C2343" s="1895" t="s">
        <v>681</v>
      </c>
      <c r="D2343" s="1915"/>
      <c r="E2343" s="2062">
        <v>0</v>
      </c>
      <c r="F2343" s="1842" t="s">
        <v>240</v>
      </c>
      <c r="G2343" s="2046">
        <v>639200</v>
      </c>
      <c r="H2343" s="1854">
        <f t="shared" si="1055"/>
        <v>0</v>
      </c>
      <c r="I2343" s="2046">
        <v>94000</v>
      </c>
      <c r="J2343" s="1854">
        <f t="shared" si="1056"/>
        <v>0</v>
      </c>
      <c r="K2343" s="1857">
        <f t="shared" si="1057"/>
        <v>0</v>
      </c>
      <c r="L2343" s="1910"/>
      <c r="M2343" s="2047"/>
      <c r="N2343" s="1837"/>
      <c r="O2343" s="1837"/>
      <c r="P2343" s="1837"/>
      <c r="Q2343" s="1837"/>
      <c r="R2343" s="1837"/>
      <c r="S2343" s="1837"/>
      <c r="T2343" s="1837"/>
      <c r="U2343" s="1837"/>
      <c r="V2343" s="1837"/>
      <c r="W2343" s="1837"/>
      <c r="X2343" s="1837"/>
    </row>
    <row r="2344" spans="1:24" ht="24" customHeight="1">
      <c r="A2344" s="1933"/>
      <c r="B2344" s="2003" t="s">
        <v>682</v>
      </c>
      <c r="C2344" s="1895" t="s">
        <v>669</v>
      </c>
      <c r="D2344" s="1915"/>
      <c r="E2344" s="2062">
        <v>0</v>
      </c>
      <c r="F2344" s="1842" t="s">
        <v>240</v>
      </c>
      <c r="G2344" s="2046">
        <v>197200</v>
      </c>
      <c r="H2344" s="1854">
        <f t="shared" si="1055"/>
        <v>0</v>
      </c>
      <c r="I2344" s="2046">
        <v>29000</v>
      </c>
      <c r="J2344" s="1854">
        <f t="shared" si="1056"/>
        <v>0</v>
      </c>
      <c r="K2344" s="1857">
        <f t="shared" si="1057"/>
        <v>0</v>
      </c>
      <c r="L2344" s="1910"/>
      <c r="M2344" s="2047"/>
      <c r="N2344" s="1837"/>
      <c r="O2344" s="1837"/>
      <c r="P2344" s="1837"/>
      <c r="Q2344" s="1837"/>
      <c r="R2344" s="1837"/>
      <c r="S2344" s="1837"/>
      <c r="T2344" s="1837"/>
      <c r="U2344" s="1837"/>
      <c r="V2344" s="1837"/>
      <c r="W2344" s="1837"/>
      <c r="X2344" s="1837"/>
    </row>
    <row r="2345" spans="1:24" ht="24" customHeight="1">
      <c r="A2345" s="1933"/>
      <c r="B2345" s="2003" t="s">
        <v>683</v>
      </c>
      <c r="C2345" s="1895" t="s">
        <v>684</v>
      </c>
      <c r="D2345" s="1915"/>
      <c r="E2345" s="2062">
        <v>0</v>
      </c>
      <c r="F2345" s="1842" t="s">
        <v>240</v>
      </c>
      <c r="G2345" s="2046">
        <v>163200</v>
      </c>
      <c r="H2345" s="1854">
        <f t="shared" si="1055"/>
        <v>0</v>
      </c>
      <c r="I2345" s="2046">
        <v>24000</v>
      </c>
      <c r="J2345" s="1854">
        <f t="shared" si="1056"/>
        <v>0</v>
      </c>
      <c r="K2345" s="1857">
        <f t="shared" si="1057"/>
        <v>0</v>
      </c>
      <c r="L2345" s="2043"/>
      <c r="M2345" s="2044"/>
      <c r="N2345" s="1837"/>
      <c r="O2345" s="1837"/>
      <c r="P2345" s="1837"/>
      <c r="Q2345" s="1837"/>
      <c r="R2345" s="1837"/>
      <c r="S2345" s="1837"/>
      <c r="T2345" s="1837"/>
      <c r="U2345" s="1837"/>
      <c r="V2345" s="1837"/>
      <c r="W2345" s="1837"/>
      <c r="X2345" s="1837"/>
    </row>
    <row r="2346" spans="1:24" ht="24" customHeight="1">
      <c r="A2346" s="1933"/>
      <c r="B2346" s="2003"/>
      <c r="C2346" s="1895"/>
      <c r="D2346" s="1915"/>
      <c r="E2346" s="2062"/>
      <c r="F2346" s="1842"/>
      <c r="G2346" s="2050"/>
      <c r="H2346" s="1911"/>
      <c r="I2346" s="2050"/>
      <c r="J2346" s="1913"/>
      <c r="K2346" s="2051"/>
      <c r="L2346" s="2043"/>
      <c r="M2346" s="2044"/>
      <c r="N2346" s="1837"/>
      <c r="O2346" s="1837"/>
      <c r="P2346" s="1837"/>
      <c r="Q2346" s="1837"/>
      <c r="R2346" s="1837"/>
      <c r="S2346" s="1837"/>
      <c r="T2346" s="1837"/>
      <c r="U2346" s="1837"/>
      <c r="V2346" s="1837"/>
      <c r="W2346" s="1837"/>
      <c r="X2346" s="1837"/>
    </row>
    <row r="2347" spans="1:24" ht="24" customHeight="1">
      <c r="A2347" s="1933"/>
      <c r="B2347" s="2003" t="s">
        <v>685</v>
      </c>
      <c r="C2347" s="1895" t="s">
        <v>686</v>
      </c>
      <c r="D2347" s="1915"/>
      <c r="E2347" s="2062">
        <v>0</v>
      </c>
      <c r="F2347" s="1842" t="s">
        <v>240</v>
      </c>
      <c r="G2347" s="2046">
        <v>119580</v>
      </c>
      <c r="H2347" s="1854">
        <f t="shared" ref="H2347:H2360" si="1058">E2347*G2347</f>
        <v>0</v>
      </c>
      <c r="I2347" s="2046">
        <v>0</v>
      </c>
      <c r="J2347" s="1854">
        <f t="shared" ref="J2347:J2360" si="1059">E2347*I2347</f>
        <v>0</v>
      </c>
      <c r="K2347" s="1857">
        <f t="shared" ref="K2347:K2360" si="1060">H2347+J2347</f>
        <v>0</v>
      </c>
      <c r="L2347" s="1910" t="s">
        <v>2887</v>
      </c>
      <c r="M2347" s="2047"/>
      <c r="N2347" s="1837"/>
      <c r="O2347" s="2024"/>
      <c r="P2347" s="1836"/>
      <c r="Q2347" s="1836"/>
      <c r="R2347" s="1837"/>
      <c r="S2347" s="1837"/>
      <c r="T2347" s="1837"/>
      <c r="U2347" s="1837"/>
      <c r="V2347" s="1837"/>
      <c r="W2347" s="1837"/>
      <c r="X2347" s="1837"/>
    </row>
    <row r="2348" spans="1:24" ht="24" customHeight="1">
      <c r="A2348" s="1933"/>
      <c r="B2348" s="2003" t="s">
        <v>687</v>
      </c>
      <c r="C2348" s="1895" t="s">
        <v>686</v>
      </c>
      <c r="D2348" s="1915"/>
      <c r="E2348" s="2062">
        <v>0</v>
      </c>
      <c r="F2348" s="1842" t="s">
        <v>240</v>
      </c>
      <c r="G2348" s="2046">
        <v>207000</v>
      </c>
      <c r="H2348" s="1854">
        <f t="shared" si="1058"/>
        <v>0</v>
      </c>
      <c r="I2348" s="2046">
        <v>0</v>
      </c>
      <c r="J2348" s="1854">
        <f t="shared" si="1059"/>
        <v>0</v>
      </c>
      <c r="K2348" s="1857">
        <f t="shared" si="1060"/>
        <v>0</v>
      </c>
      <c r="L2348" s="1910" t="s">
        <v>2887</v>
      </c>
      <c r="M2348" s="2047"/>
      <c r="N2348" s="1837"/>
      <c r="O2348" s="2024"/>
      <c r="P2348" s="1836"/>
      <c r="Q2348" s="1836"/>
      <c r="R2348" s="1837"/>
      <c r="S2348" s="1837"/>
      <c r="T2348" s="1837"/>
      <c r="U2348" s="1837"/>
      <c r="V2348" s="1837"/>
      <c r="W2348" s="1837"/>
      <c r="X2348" s="1837"/>
    </row>
    <row r="2349" spans="1:24" ht="24" customHeight="1">
      <c r="A2349" s="1933"/>
      <c r="B2349" s="2003" t="s">
        <v>688</v>
      </c>
      <c r="C2349" s="1895" t="s">
        <v>686</v>
      </c>
      <c r="D2349" s="1915"/>
      <c r="E2349" s="2062">
        <v>0</v>
      </c>
      <c r="F2349" s="1842" t="s">
        <v>240</v>
      </c>
      <c r="G2349" s="2046">
        <v>267600</v>
      </c>
      <c r="H2349" s="1854">
        <f t="shared" si="1058"/>
        <v>0</v>
      </c>
      <c r="I2349" s="2046">
        <v>0</v>
      </c>
      <c r="J2349" s="1854">
        <f t="shared" si="1059"/>
        <v>0</v>
      </c>
      <c r="K2349" s="1857">
        <f t="shared" si="1060"/>
        <v>0</v>
      </c>
      <c r="L2349" s="1910" t="s">
        <v>2887</v>
      </c>
      <c r="M2349" s="2047"/>
      <c r="N2349" s="1837"/>
      <c r="O2349" s="2024"/>
      <c r="P2349" s="1836"/>
      <c r="Q2349" s="1836"/>
      <c r="R2349" s="1837"/>
      <c r="S2349" s="1837"/>
      <c r="T2349" s="1837"/>
      <c r="U2349" s="1837"/>
      <c r="V2349" s="1837"/>
      <c r="W2349" s="1837"/>
      <c r="X2349" s="1837"/>
    </row>
    <row r="2350" spans="1:24" ht="24" customHeight="1">
      <c r="A2350" s="1933"/>
      <c r="B2350" s="2003" t="s">
        <v>689</v>
      </c>
      <c r="C2350" s="1895" t="s">
        <v>686</v>
      </c>
      <c r="D2350" s="1915"/>
      <c r="E2350" s="2062">
        <v>0</v>
      </c>
      <c r="F2350" s="1842" t="s">
        <v>240</v>
      </c>
      <c r="G2350" s="2046">
        <v>285430</v>
      </c>
      <c r="H2350" s="1854">
        <f t="shared" si="1058"/>
        <v>0</v>
      </c>
      <c r="I2350" s="2046">
        <v>0</v>
      </c>
      <c r="J2350" s="1854">
        <f t="shared" si="1059"/>
        <v>0</v>
      </c>
      <c r="K2350" s="1857">
        <f t="shared" si="1060"/>
        <v>0</v>
      </c>
      <c r="L2350" s="1910" t="s">
        <v>2887</v>
      </c>
      <c r="M2350" s="2047"/>
      <c r="N2350" s="1837"/>
      <c r="O2350" s="2024"/>
      <c r="P2350" s="1836"/>
      <c r="Q2350" s="1836"/>
      <c r="R2350" s="1837"/>
      <c r="S2350" s="1837"/>
      <c r="T2350" s="1837"/>
      <c r="U2350" s="1837"/>
      <c r="V2350" s="1837"/>
      <c r="W2350" s="1837"/>
      <c r="X2350" s="1837"/>
    </row>
    <row r="2351" spans="1:24" ht="24" customHeight="1">
      <c r="A2351" s="1933"/>
      <c r="B2351" s="2003" t="s">
        <v>690</v>
      </c>
      <c r="C2351" s="1895" t="s">
        <v>686</v>
      </c>
      <c r="D2351" s="1915"/>
      <c r="E2351" s="2062">
        <v>0</v>
      </c>
      <c r="F2351" s="1842" t="s">
        <v>240</v>
      </c>
      <c r="G2351" s="2046">
        <v>440100</v>
      </c>
      <c r="H2351" s="1854">
        <f t="shared" si="1058"/>
        <v>0</v>
      </c>
      <c r="I2351" s="2046">
        <v>0</v>
      </c>
      <c r="J2351" s="1854">
        <f t="shared" si="1059"/>
        <v>0</v>
      </c>
      <c r="K2351" s="1857">
        <f t="shared" si="1060"/>
        <v>0</v>
      </c>
      <c r="L2351" s="1910" t="s">
        <v>2887</v>
      </c>
      <c r="M2351" s="2047"/>
      <c r="N2351" s="1837"/>
      <c r="O2351" s="2024"/>
      <c r="P2351" s="1836"/>
      <c r="Q2351" s="1836"/>
      <c r="R2351" s="1837"/>
      <c r="S2351" s="1837"/>
      <c r="T2351" s="1837"/>
      <c r="U2351" s="1837"/>
      <c r="V2351" s="1837"/>
      <c r="W2351" s="1837"/>
      <c r="X2351" s="1837"/>
    </row>
    <row r="2352" spans="1:24" ht="24" customHeight="1">
      <c r="A2352" s="1933"/>
      <c r="B2352" s="2003" t="s">
        <v>691</v>
      </c>
      <c r="C2352" s="1895" t="s">
        <v>686</v>
      </c>
      <c r="D2352" s="1915"/>
      <c r="E2352" s="2062">
        <v>0</v>
      </c>
      <c r="F2352" s="1842" t="s">
        <v>240</v>
      </c>
      <c r="G2352" s="2046">
        <v>770900</v>
      </c>
      <c r="H2352" s="1854">
        <f t="shared" si="1058"/>
        <v>0</v>
      </c>
      <c r="I2352" s="2046">
        <v>0</v>
      </c>
      <c r="J2352" s="1854">
        <f t="shared" si="1059"/>
        <v>0</v>
      </c>
      <c r="K2352" s="1857">
        <f t="shared" si="1060"/>
        <v>0</v>
      </c>
      <c r="L2352" s="1910" t="s">
        <v>2887</v>
      </c>
      <c r="M2352" s="2047"/>
      <c r="N2352" s="1837"/>
      <c r="O2352" s="2024"/>
      <c r="P2352" s="1836"/>
      <c r="Q2352" s="1836"/>
      <c r="R2352" s="1837"/>
      <c r="S2352" s="1837"/>
      <c r="T2352" s="1837"/>
      <c r="U2352" s="1837"/>
      <c r="V2352" s="1837"/>
      <c r="W2352" s="1837"/>
      <c r="X2352" s="1837"/>
    </row>
    <row r="2353" spans="1:24" ht="24" customHeight="1">
      <c r="A2353" s="1933"/>
      <c r="B2353" s="2003" t="s">
        <v>692</v>
      </c>
      <c r="C2353" s="1895" t="s">
        <v>686</v>
      </c>
      <c r="D2353" s="1915"/>
      <c r="E2353" s="2062">
        <v>0</v>
      </c>
      <c r="F2353" s="1842" t="s">
        <v>240</v>
      </c>
      <c r="G2353" s="2046">
        <f>904400-90440</f>
        <v>813960</v>
      </c>
      <c r="H2353" s="1854">
        <f t="shared" si="1058"/>
        <v>0</v>
      </c>
      <c r="I2353" s="2046">
        <v>0</v>
      </c>
      <c r="J2353" s="1854">
        <f t="shared" si="1059"/>
        <v>0</v>
      </c>
      <c r="K2353" s="1857">
        <f t="shared" si="1060"/>
        <v>0</v>
      </c>
      <c r="L2353" s="1910" t="s">
        <v>2887</v>
      </c>
      <c r="M2353" s="2047"/>
      <c r="N2353" s="1837"/>
      <c r="O2353" s="2024"/>
      <c r="P2353" s="1836"/>
      <c r="Q2353" s="1836"/>
      <c r="R2353" s="1837"/>
      <c r="S2353" s="1837"/>
      <c r="T2353" s="1837"/>
      <c r="U2353" s="1837"/>
      <c r="V2353" s="1837"/>
      <c r="W2353" s="1837"/>
      <c r="X2353" s="1837"/>
    </row>
    <row r="2354" spans="1:24" ht="24" customHeight="1">
      <c r="A2354" s="1933"/>
      <c r="B2354" s="2003" t="s">
        <v>693</v>
      </c>
      <c r="C2354" s="1895" t="s">
        <v>686</v>
      </c>
      <c r="D2354" s="1915"/>
      <c r="E2354" s="2062">
        <v>0</v>
      </c>
      <c r="F2354" s="1842" t="s">
        <v>240</v>
      </c>
      <c r="G2354" s="2046">
        <v>232000</v>
      </c>
      <c r="H2354" s="1854">
        <f t="shared" si="1058"/>
        <v>0</v>
      </c>
      <c r="I2354" s="2046">
        <v>0</v>
      </c>
      <c r="J2354" s="1854">
        <f t="shared" si="1059"/>
        <v>0</v>
      </c>
      <c r="K2354" s="1857">
        <f t="shared" si="1060"/>
        <v>0</v>
      </c>
      <c r="L2354" s="1910" t="s">
        <v>2887</v>
      </c>
      <c r="M2354" s="2047"/>
      <c r="N2354" s="1837"/>
      <c r="O2354" s="2024"/>
      <c r="P2354" s="1836"/>
      <c r="Q2354" s="1836"/>
      <c r="R2354" s="1837"/>
      <c r="S2354" s="1837"/>
      <c r="T2354" s="1837"/>
      <c r="U2354" s="1837"/>
      <c r="V2354" s="1837"/>
      <c r="W2354" s="1837"/>
      <c r="X2354" s="1837"/>
    </row>
    <row r="2355" spans="1:24" ht="24" customHeight="1">
      <c r="A2355" s="1933"/>
      <c r="B2355" s="2003" t="s">
        <v>694</v>
      </c>
      <c r="C2355" s="1895" t="s">
        <v>686</v>
      </c>
      <c r="D2355" s="1915"/>
      <c r="E2355" s="2062">
        <v>0</v>
      </c>
      <c r="F2355" s="1842" t="s">
        <v>240</v>
      </c>
      <c r="G2355" s="2046">
        <v>399100</v>
      </c>
      <c r="H2355" s="1854">
        <f t="shared" si="1058"/>
        <v>0</v>
      </c>
      <c r="I2355" s="2046">
        <v>0</v>
      </c>
      <c r="J2355" s="1854">
        <f t="shared" si="1059"/>
        <v>0</v>
      </c>
      <c r="K2355" s="1857">
        <f t="shared" si="1060"/>
        <v>0</v>
      </c>
      <c r="L2355" s="1910" t="s">
        <v>2887</v>
      </c>
      <c r="M2355" s="2047"/>
      <c r="N2355" s="1837"/>
      <c r="O2355" s="2024"/>
      <c r="P2355" s="1836"/>
      <c r="Q2355" s="1836"/>
      <c r="R2355" s="1837"/>
      <c r="S2355" s="1837"/>
      <c r="T2355" s="1837"/>
      <c r="U2355" s="1837"/>
      <c r="V2355" s="1837"/>
      <c r="W2355" s="1837"/>
      <c r="X2355" s="1837"/>
    </row>
    <row r="2356" spans="1:24" ht="24" customHeight="1">
      <c r="A2356" s="1933"/>
      <c r="B2356" s="2003" t="s">
        <v>695</v>
      </c>
      <c r="C2356" s="1895" t="s">
        <v>686</v>
      </c>
      <c r="D2356" s="1915"/>
      <c r="E2356" s="2062">
        <v>0</v>
      </c>
      <c r="F2356" s="1842" t="s">
        <v>240</v>
      </c>
      <c r="G2356" s="2046">
        <v>528100</v>
      </c>
      <c r="H2356" s="1854">
        <f t="shared" si="1058"/>
        <v>0</v>
      </c>
      <c r="I2356" s="2046">
        <v>0</v>
      </c>
      <c r="J2356" s="1854">
        <f t="shared" si="1059"/>
        <v>0</v>
      </c>
      <c r="K2356" s="1857">
        <f t="shared" si="1060"/>
        <v>0</v>
      </c>
      <c r="L2356" s="1910" t="s">
        <v>2887</v>
      </c>
      <c r="M2356" s="2047"/>
      <c r="N2356" s="1837"/>
      <c r="O2356" s="2024"/>
      <c r="P2356" s="1836"/>
      <c r="Q2356" s="1836"/>
      <c r="R2356" s="1837"/>
      <c r="S2356" s="1837"/>
      <c r="T2356" s="1837"/>
      <c r="U2356" s="1837"/>
      <c r="V2356" s="1837"/>
      <c r="W2356" s="1837"/>
      <c r="X2356" s="1837"/>
    </row>
    <row r="2357" spans="1:24" ht="24" customHeight="1">
      <c r="A2357" s="1933"/>
      <c r="B2357" s="2003" t="s">
        <v>696</v>
      </c>
      <c r="C2357" s="1895" t="s">
        <v>686</v>
      </c>
      <c r="D2357" s="1915"/>
      <c r="E2357" s="2062">
        <v>0</v>
      </c>
      <c r="F2357" s="1842" t="s">
        <v>240</v>
      </c>
      <c r="G2357" s="2046">
        <v>563500</v>
      </c>
      <c r="H2357" s="1854">
        <f t="shared" si="1058"/>
        <v>0</v>
      </c>
      <c r="I2357" s="2046">
        <v>0</v>
      </c>
      <c r="J2357" s="1854">
        <f t="shared" si="1059"/>
        <v>0</v>
      </c>
      <c r="K2357" s="1857">
        <f t="shared" si="1060"/>
        <v>0</v>
      </c>
      <c r="L2357" s="1910" t="s">
        <v>2887</v>
      </c>
      <c r="M2357" s="2047"/>
      <c r="N2357" s="1837"/>
      <c r="O2357" s="2024"/>
      <c r="P2357" s="1836"/>
      <c r="Q2357" s="1836"/>
      <c r="R2357" s="1837"/>
      <c r="S2357" s="1837"/>
      <c r="T2357" s="1837"/>
      <c r="U2357" s="1837"/>
      <c r="V2357" s="1837"/>
      <c r="W2357" s="1837"/>
      <c r="X2357" s="1837"/>
    </row>
    <row r="2358" spans="1:24" ht="24" customHeight="1">
      <c r="A2358" s="1933"/>
      <c r="B2358" s="2003" t="s">
        <v>697</v>
      </c>
      <c r="C2358" s="1895" t="s">
        <v>686</v>
      </c>
      <c r="D2358" s="1915"/>
      <c r="E2358" s="2062">
        <v>0</v>
      </c>
      <c r="F2358" s="1842" t="s">
        <v>240</v>
      </c>
      <c r="G2358" s="2046">
        <v>272800</v>
      </c>
      <c r="H2358" s="1854">
        <f t="shared" si="1058"/>
        <v>0</v>
      </c>
      <c r="I2358" s="2046">
        <v>0</v>
      </c>
      <c r="J2358" s="1854">
        <f t="shared" si="1059"/>
        <v>0</v>
      </c>
      <c r="K2358" s="1857">
        <f t="shared" si="1060"/>
        <v>0</v>
      </c>
      <c r="L2358" s="1910" t="s">
        <v>2887</v>
      </c>
      <c r="M2358" s="2047"/>
      <c r="N2358" s="1837"/>
      <c r="O2358" s="2024"/>
      <c r="P2358" s="1836"/>
      <c r="Q2358" s="1836"/>
      <c r="R2358" s="1837"/>
      <c r="S2358" s="1837"/>
      <c r="T2358" s="1837"/>
      <c r="U2358" s="1837"/>
      <c r="V2358" s="1837"/>
      <c r="W2358" s="1837"/>
      <c r="X2358" s="1837"/>
    </row>
    <row r="2359" spans="1:24" ht="24" customHeight="1">
      <c r="A2359" s="1933"/>
      <c r="B2359" s="2003" t="s">
        <v>698</v>
      </c>
      <c r="C2359" s="1895" t="s">
        <v>686</v>
      </c>
      <c r="D2359" s="1915"/>
      <c r="E2359" s="2062">
        <v>3</v>
      </c>
      <c r="F2359" s="1842" t="s">
        <v>240</v>
      </c>
      <c r="G2359" s="2046">
        <v>6900</v>
      </c>
      <c r="H2359" s="1854">
        <f t="shared" si="1058"/>
        <v>20700</v>
      </c>
      <c r="I2359" s="2046">
        <v>0</v>
      </c>
      <c r="J2359" s="1854">
        <f t="shared" si="1059"/>
        <v>0</v>
      </c>
      <c r="K2359" s="1857">
        <f t="shared" si="1060"/>
        <v>20700</v>
      </c>
      <c r="L2359" s="1910" t="s">
        <v>2887</v>
      </c>
      <c r="M2359" s="2047"/>
      <c r="N2359" s="1837"/>
      <c r="O2359" s="2024"/>
      <c r="P2359" s="1836"/>
      <c r="Q2359" s="1836"/>
      <c r="R2359" s="1837"/>
      <c r="S2359" s="1837"/>
      <c r="T2359" s="1837"/>
      <c r="U2359" s="1837"/>
      <c r="V2359" s="1837"/>
      <c r="W2359" s="1837"/>
      <c r="X2359" s="1837"/>
    </row>
    <row r="2360" spans="1:24" ht="24" customHeight="1">
      <c r="A2360" s="1933"/>
      <c r="B2360" s="2003" t="s">
        <v>699</v>
      </c>
      <c r="C2360" s="1895" t="s">
        <v>686</v>
      </c>
      <c r="D2360" s="1915"/>
      <c r="E2360" s="2062">
        <v>0</v>
      </c>
      <c r="F2360" s="1842" t="s">
        <v>240</v>
      </c>
      <c r="G2360" s="2046">
        <v>97700</v>
      </c>
      <c r="H2360" s="1854">
        <f t="shared" si="1058"/>
        <v>0</v>
      </c>
      <c r="I2360" s="2046">
        <v>0</v>
      </c>
      <c r="J2360" s="1854">
        <f t="shared" si="1059"/>
        <v>0</v>
      </c>
      <c r="K2360" s="1857">
        <f t="shared" si="1060"/>
        <v>0</v>
      </c>
      <c r="L2360" s="1910" t="s">
        <v>2887</v>
      </c>
      <c r="M2360" s="2047"/>
      <c r="N2360" s="2047">
        <f>SUM(K2303:K2360)</f>
        <v>20700</v>
      </c>
      <c r="O2360" s="2024"/>
      <c r="P2360" s="1836"/>
      <c r="Q2360" s="1836"/>
      <c r="R2360" s="1837"/>
      <c r="S2360" s="1837"/>
      <c r="T2360" s="1837"/>
      <c r="U2360" s="1837"/>
      <c r="V2360" s="1837"/>
      <c r="W2360" s="1837"/>
      <c r="X2360" s="1837"/>
    </row>
    <row r="2361" spans="1:24" ht="24" customHeight="1">
      <c r="A2361" s="1933"/>
      <c r="B2361" s="2003"/>
      <c r="C2361" s="1895"/>
      <c r="D2361" s="1915"/>
      <c r="E2361" s="2062"/>
      <c r="F2361" s="1842"/>
      <c r="G2361" s="2046"/>
      <c r="H2361" s="1854"/>
      <c r="I2361" s="2046"/>
      <c r="J2361" s="1854"/>
      <c r="K2361" s="1857"/>
      <c r="L2361" s="1910"/>
      <c r="M2361" s="2047"/>
      <c r="N2361" s="1837"/>
      <c r="O2361" s="2024"/>
      <c r="P2361" s="1836"/>
      <c r="Q2361" s="1836"/>
      <c r="R2361" s="1837"/>
      <c r="S2361" s="1837"/>
      <c r="T2361" s="1837"/>
      <c r="U2361" s="1837"/>
      <c r="V2361" s="1837"/>
      <c r="W2361" s="1837"/>
      <c r="X2361" s="1837"/>
    </row>
    <row r="2362" spans="1:24" ht="24" customHeight="1">
      <c r="A2362" s="1933"/>
      <c r="B2362" s="2003"/>
      <c r="C2362" s="1895"/>
      <c r="D2362" s="1915"/>
      <c r="E2362" s="2062"/>
      <c r="F2362" s="1842"/>
      <c r="G2362" s="2046"/>
      <c r="H2362" s="1854"/>
      <c r="I2362" s="2046"/>
      <c r="J2362" s="1854"/>
      <c r="K2362" s="1857"/>
      <c r="L2362" s="1910"/>
      <c r="M2362" s="2047"/>
      <c r="N2362" s="1837"/>
      <c r="O2362" s="2024"/>
      <c r="P2362" s="1836"/>
      <c r="Q2362" s="1836"/>
      <c r="R2362" s="1837"/>
      <c r="S2362" s="1837"/>
      <c r="T2362" s="1837"/>
      <c r="U2362" s="1837"/>
      <c r="V2362" s="1837"/>
      <c r="W2362" s="1837"/>
      <c r="X2362" s="1837"/>
    </row>
    <row r="2363" spans="1:24" ht="24" customHeight="1">
      <c r="A2363" s="1933"/>
      <c r="B2363" s="2003"/>
      <c r="C2363" s="1895"/>
      <c r="D2363" s="1915"/>
      <c r="E2363" s="2062"/>
      <c r="F2363" s="1842"/>
      <c r="G2363" s="2046"/>
      <c r="H2363" s="1854"/>
      <c r="I2363" s="2046"/>
      <c r="J2363" s="1854"/>
      <c r="K2363" s="1857"/>
      <c r="L2363" s="1910"/>
      <c r="M2363" s="2047"/>
      <c r="N2363" s="1837"/>
      <c r="O2363" s="2024"/>
      <c r="P2363" s="1836"/>
      <c r="Q2363" s="1836"/>
      <c r="R2363" s="1837"/>
      <c r="S2363" s="1837"/>
      <c r="T2363" s="1837"/>
      <c r="U2363" s="1837"/>
      <c r="V2363" s="1837"/>
      <c r="W2363" s="1837"/>
      <c r="X2363" s="1837"/>
    </row>
    <row r="2364" spans="1:24" ht="24" customHeight="1">
      <c r="A2364" s="1973"/>
      <c r="B2364" s="2449" t="str">
        <f>"รวมราคารายการที่ "&amp;A1718</f>
        <v>รวมราคารายการที่ 2.5</v>
      </c>
      <c r="C2364" s="2449"/>
      <c r="D2364" s="2449"/>
      <c r="E2364" s="1974"/>
      <c r="F2364" s="1932"/>
      <c r="G2364" s="1975"/>
      <c r="H2364" s="1976">
        <f>SUM(H1718:H2363)</f>
        <v>34804470</v>
      </c>
      <c r="I2364" s="1930"/>
      <c r="J2364" s="1976">
        <f>SUM(J1718:J2363)</f>
        <v>1499100</v>
      </c>
      <c r="K2364" s="1932">
        <f>SUM(K1718:K2363)</f>
        <v>36303570</v>
      </c>
      <c r="L2364" s="1932"/>
      <c r="M2364" s="2047"/>
      <c r="N2364" s="1837"/>
      <c r="O2364" s="1837"/>
      <c r="P2364" s="1837"/>
      <c r="Q2364" s="1837"/>
      <c r="R2364" s="1837"/>
      <c r="S2364" s="1837"/>
      <c r="T2364" s="1837"/>
      <c r="U2364" s="1837"/>
      <c r="V2364" s="1837"/>
      <c r="W2364" s="1837"/>
      <c r="X2364" s="1837"/>
    </row>
    <row r="2365" spans="1:24" ht="24" customHeight="1">
      <c r="A2365" s="1933">
        <v>2.6</v>
      </c>
      <c r="B2365" s="1908" t="s">
        <v>720</v>
      </c>
      <c r="C2365" s="1840"/>
      <c r="D2365" s="1915"/>
      <c r="E2365" s="1842"/>
      <c r="F2365" s="1842"/>
      <c r="G2365" s="1843"/>
      <c r="H2365" s="1844"/>
      <c r="I2365" s="1845"/>
      <c r="J2365" s="1846"/>
      <c r="K2365" s="1843"/>
      <c r="L2365" s="1847"/>
      <c r="M2365" s="2047"/>
      <c r="N2365" s="1837"/>
      <c r="O2365" s="1837"/>
      <c r="P2365" s="1837"/>
      <c r="Q2365" s="1837"/>
      <c r="R2365" s="1837"/>
      <c r="S2365" s="1837"/>
      <c r="T2365" s="1837"/>
      <c r="U2365" s="1837"/>
      <c r="V2365" s="1837"/>
      <c r="W2365" s="1837"/>
      <c r="X2365" s="1837"/>
    </row>
    <row r="2366" spans="1:24" ht="24" customHeight="1">
      <c r="A2366" s="1782" t="s">
        <v>721</v>
      </c>
      <c r="B2366" s="2041" t="s">
        <v>722</v>
      </c>
      <c r="C2366" s="1905"/>
      <c r="D2366" s="1909"/>
      <c r="E2366" s="1910"/>
      <c r="F2366" s="2275"/>
      <c r="G2366" s="1921"/>
      <c r="H2366" s="1911"/>
      <c r="I2366" s="1912"/>
      <c r="J2366" s="1913"/>
      <c r="K2366" s="1914"/>
      <c r="L2366" s="1847"/>
      <c r="M2366" s="2047"/>
      <c r="N2366" s="1837"/>
      <c r="O2366" s="1837"/>
      <c r="P2366" s="1837"/>
      <c r="Q2366" s="1837"/>
      <c r="R2366" s="1837"/>
      <c r="S2366" s="1837"/>
      <c r="T2366" s="1837"/>
      <c r="U2366" s="1837"/>
      <c r="V2366" s="1837"/>
      <c r="W2366" s="1837"/>
      <c r="X2366" s="1837"/>
    </row>
    <row r="2367" spans="1:24" ht="22.15" customHeight="1">
      <c r="A2367" s="1901"/>
      <c r="B2367" s="2069" t="s">
        <v>2821</v>
      </c>
      <c r="C2367" s="2070"/>
      <c r="D2367" s="2071"/>
      <c r="E2367" s="2072">
        <v>1</v>
      </c>
      <c r="F2367" s="2073" t="s">
        <v>723</v>
      </c>
      <c r="G2367" s="1853"/>
      <c r="H2367" s="2074"/>
      <c r="I2367" s="1855"/>
      <c r="J2367" s="2073"/>
      <c r="K2367" s="2075"/>
      <c r="L2367" s="2076"/>
      <c r="M2367" s="2047"/>
      <c r="O2367" s="1863"/>
      <c r="P2367" s="2077"/>
      <c r="Q2367" s="2077"/>
    </row>
    <row r="2368" spans="1:24" ht="22.15" customHeight="1">
      <c r="A2368" s="1901"/>
      <c r="B2368" s="2078" t="s">
        <v>425</v>
      </c>
      <c r="C2368" s="2070" t="s">
        <v>724</v>
      </c>
      <c r="D2368" s="2071"/>
      <c r="E2368" s="2079">
        <v>5</v>
      </c>
      <c r="F2368" s="2073" t="s">
        <v>240</v>
      </c>
      <c r="G2368" s="1853">
        <v>1430</v>
      </c>
      <c r="H2368" s="2074">
        <f t="shared" ref="H2368:H2395" si="1061">G2368*E2368</f>
        <v>7150</v>
      </c>
      <c r="I2368" s="1855">
        <v>450</v>
      </c>
      <c r="J2368" s="2073">
        <f t="shared" ref="J2368:J2395" si="1062">I2368*E2368</f>
        <v>2250</v>
      </c>
      <c r="K2368" s="2075">
        <f t="shared" ref="K2368:K2395" si="1063">H2368+J2368</f>
        <v>9400</v>
      </c>
      <c r="L2368" s="2076"/>
      <c r="M2368" s="2059"/>
      <c r="O2368" s="1863"/>
      <c r="P2368" s="2077"/>
      <c r="Q2368" s="2077"/>
    </row>
    <row r="2369" spans="1:17" ht="22.15" customHeight="1">
      <c r="A2369" s="1901"/>
      <c r="B2369" s="2078" t="s">
        <v>425</v>
      </c>
      <c r="C2369" s="2070" t="s">
        <v>2822</v>
      </c>
      <c r="D2369" s="2071"/>
      <c r="E2369" s="2079">
        <v>5</v>
      </c>
      <c r="F2369" s="2073" t="s">
        <v>240</v>
      </c>
      <c r="G2369" s="1853">
        <v>6225</v>
      </c>
      <c r="H2369" s="2074">
        <f t="shared" si="1061"/>
        <v>31125</v>
      </c>
      <c r="I2369" s="1855">
        <v>200</v>
      </c>
      <c r="J2369" s="2073">
        <f t="shared" si="1062"/>
        <v>1000</v>
      </c>
      <c r="K2369" s="2075">
        <f t="shared" si="1063"/>
        <v>32125</v>
      </c>
      <c r="L2369" s="2076"/>
      <c r="M2369" s="2059"/>
      <c r="O2369" s="1863"/>
      <c r="P2369" s="2077"/>
      <c r="Q2369" s="2077"/>
    </row>
    <row r="2370" spans="1:17" ht="22.15" customHeight="1">
      <c r="A2370" s="1901"/>
      <c r="B2370" s="2078" t="s">
        <v>425</v>
      </c>
      <c r="C2370" s="2070" t="s">
        <v>2823</v>
      </c>
      <c r="D2370" s="2071"/>
      <c r="E2370" s="2079">
        <v>5</v>
      </c>
      <c r="F2370" s="2073" t="s">
        <v>240</v>
      </c>
      <c r="G2370" s="1853">
        <v>315</v>
      </c>
      <c r="H2370" s="2074">
        <f t="shared" si="1061"/>
        <v>1575</v>
      </c>
      <c r="I2370" s="1855">
        <v>0</v>
      </c>
      <c r="J2370" s="2073">
        <f t="shared" si="1062"/>
        <v>0</v>
      </c>
      <c r="K2370" s="2075">
        <f t="shared" si="1063"/>
        <v>1575</v>
      </c>
      <c r="L2370" s="2076"/>
      <c r="M2370" s="2059"/>
      <c r="O2370" s="1863"/>
      <c r="P2370" s="2077"/>
      <c r="Q2370" s="2077"/>
    </row>
    <row r="2371" spans="1:17" ht="22.15" customHeight="1">
      <c r="A2371" s="1901"/>
      <c r="B2371" s="2078" t="s">
        <v>425</v>
      </c>
      <c r="C2371" s="2070" t="s">
        <v>2824</v>
      </c>
      <c r="D2371" s="2071"/>
      <c r="E2371" s="2079">
        <v>5</v>
      </c>
      <c r="F2371" s="2073" t="s">
        <v>240</v>
      </c>
      <c r="G2371" s="1853">
        <v>690</v>
      </c>
      <c r="H2371" s="2074">
        <f t="shared" si="1061"/>
        <v>3450</v>
      </c>
      <c r="I2371" s="1855">
        <v>0</v>
      </c>
      <c r="J2371" s="2073">
        <f t="shared" si="1062"/>
        <v>0</v>
      </c>
      <c r="K2371" s="2075">
        <f t="shared" si="1063"/>
        <v>3450</v>
      </c>
      <c r="L2371" s="2076"/>
      <c r="M2371" s="2059"/>
      <c r="O2371" s="1863"/>
      <c r="P2371" s="2077"/>
      <c r="Q2371" s="2077"/>
    </row>
    <row r="2372" spans="1:17" ht="22.15" customHeight="1">
      <c r="A2372" s="1901"/>
      <c r="B2372" s="2078" t="s">
        <v>425</v>
      </c>
      <c r="C2372" s="2070" t="s">
        <v>2825</v>
      </c>
      <c r="D2372" s="2071"/>
      <c r="E2372" s="2079">
        <v>5</v>
      </c>
      <c r="F2372" s="2073" t="s">
        <v>240</v>
      </c>
      <c r="G2372" s="1853">
        <v>165</v>
      </c>
      <c r="H2372" s="2074">
        <f t="shared" si="1061"/>
        <v>825</v>
      </c>
      <c r="I2372" s="1855">
        <v>0</v>
      </c>
      <c r="J2372" s="2073">
        <f t="shared" si="1062"/>
        <v>0</v>
      </c>
      <c r="K2372" s="2075">
        <f t="shared" si="1063"/>
        <v>825</v>
      </c>
      <c r="L2372" s="2076"/>
      <c r="M2372" s="2059"/>
      <c r="O2372" s="1863"/>
      <c r="P2372" s="2077"/>
      <c r="Q2372" s="2077"/>
    </row>
    <row r="2373" spans="1:17" ht="22.15" customHeight="1">
      <c r="A2373" s="1901"/>
      <c r="B2373" s="2078" t="s">
        <v>425</v>
      </c>
      <c r="C2373" s="2070" t="s">
        <v>2826</v>
      </c>
      <c r="D2373" s="2071"/>
      <c r="E2373" s="2079">
        <v>5</v>
      </c>
      <c r="F2373" s="2073" t="s">
        <v>240</v>
      </c>
      <c r="G2373" s="1853">
        <v>202.5</v>
      </c>
      <c r="H2373" s="2074">
        <f t="shared" si="1061"/>
        <v>1012.5</v>
      </c>
      <c r="I2373" s="1855">
        <v>35</v>
      </c>
      <c r="J2373" s="2073">
        <f t="shared" si="1062"/>
        <v>175</v>
      </c>
      <c r="K2373" s="2075">
        <f t="shared" si="1063"/>
        <v>1187.5</v>
      </c>
      <c r="L2373" s="2076"/>
      <c r="M2373" s="2059"/>
      <c r="O2373" s="1863"/>
      <c r="P2373" s="2077"/>
      <c r="Q2373" s="2077"/>
    </row>
    <row r="2374" spans="1:17" ht="22.15" customHeight="1">
      <c r="A2374" s="1901"/>
      <c r="B2374" s="2078"/>
      <c r="C2374" s="2070"/>
      <c r="D2374" s="2071"/>
      <c r="E2374" s="2079"/>
      <c r="F2374" s="2073"/>
      <c r="G2374" s="1853"/>
      <c r="H2374" s="2074"/>
      <c r="I2374" s="1855"/>
      <c r="J2374" s="2073"/>
      <c r="K2374" s="2075"/>
      <c r="L2374" s="2076"/>
      <c r="M2374" s="2059"/>
      <c r="O2374" s="1863"/>
      <c r="P2374" s="2077"/>
      <c r="Q2374" s="2077"/>
    </row>
    <row r="2375" spans="1:17" ht="22.15" customHeight="1">
      <c r="A2375" s="1901"/>
      <c r="B2375" s="2078" t="s">
        <v>425</v>
      </c>
      <c r="C2375" s="2070" t="s">
        <v>725</v>
      </c>
      <c r="D2375" s="2071"/>
      <c r="E2375" s="2079">
        <v>6</v>
      </c>
      <c r="F2375" s="2073" t="s">
        <v>240</v>
      </c>
      <c r="G2375" s="1853">
        <v>8723</v>
      </c>
      <c r="H2375" s="2074">
        <f t="shared" ref="H2375:H2380" si="1064">G2375*E2375</f>
        <v>52338</v>
      </c>
      <c r="I2375" s="1855">
        <v>450</v>
      </c>
      <c r="J2375" s="2073">
        <f t="shared" ref="J2375:J2380" si="1065">I2375*E2375</f>
        <v>2700</v>
      </c>
      <c r="K2375" s="2075">
        <f t="shared" ref="K2375:K2380" si="1066">H2375+J2375</f>
        <v>55038</v>
      </c>
      <c r="L2375" s="2076"/>
      <c r="M2375" s="2059"/>
      <c r="O2375" s="1863"/>
      <c r="P2375" s="2077"/>
      <c r="Q2375" s="2077"/>
    </row>
    <row r="2376" spans="1:17" ht="22.15" customHeight="1">
      <c r="A2376" s="1901"/>
      <c r="B2376" s="2078" t="s">
        <v>425</v>
      </c>
      <c r="C2376" s="2070" t="s">
        <v>726</v>
      </c>
      <c r="D2376" s="2071"/>
      <c r="E2376" s="2079">
        <v>6</v>
      </c>
      <c r="F2376" s="2073" t="s">
        <v>240</v>
      </c>
      <c r="G2376" s="1853">
        <v>2430</v>
      </c>
      <c r="H2376" s="2074">
        <f t="shared" si="1064"/>
        <v>14580</v>
      </c>
      <c r="I2376" s="1855">
        <v>0</v>
      </c>
      <c r="J2376" s="2073">
        <f t="shared" si="1065"/>
        <v>0</v>
      </c>
      <c r="K2376" s="2075">
        <f t="shared" si="1066"/>
        <v>14580</v>
      </c>
      <c r="L2376" s="2076"/>
      <c r="M2376" s="2059"/>
      <c r="O2376" s="1863"/>
      <c r="P2376" s="2077"/>
      <c r="Q2376" s="2077"/>
    </row>
    <row r="2377" spans="1:17" ht="22.15" customHeight="1">
      <c r="A2377" s="1901"/>
      <c r="B2377" s="2078" t="s">
        <v>425</v>
      </c>
      <c r="C2377" s="2070" t="s">
        <v>2826</v>
      </c>
      <c r="D2377" s="2071"/>
      <c r="E2377" s="2079">
        <v>6</v>
      </c>
      <c r="F2377" s="2073" t="s">
        <v>240</v>
      </c>
      <c r="G2377" s="2080">
        <v>202.5</v>
      </c>
      <c r="H2377" s="2074">
        <f t="shared" si="1064"/>
        <v>1215</v>
      </c>
      <c r="I2377" s="1855">
        <v>35</v>
      </c>
      <c r="J2377" s="2073">
        <f t="shared" si="1065"/>
        <v>210</v>
      </c>
      <c r="K2377" s="2075">
        <f t="shared" si="1066"/>
        <v>1425</v>
      </c>
      <c r="L2377" s="2076"/>
      <c r="M2377" s="2059"/>
      <c r="O2377" s="1863"/>
      <c r="P2377" s="2077"/>
      <c r="Q2377" s="2077"/>
    </row>
    <row r="2378" spans="1:17" ht="22.15" customHeight="1">
      <c r="A2378" s="1901"/>
      <c r="B2378" s="2078"/>
      <c r="C2378" s="2070"/>
      <c r="D2378" s="2071"/>
      <c r="E2378" s="2079"/>
      <c r="F2378" s="2073"/>
      <c r="G2378" s="1853"/>
      <c r="H2378" s="2074"/>
      <c r="I2378" s="1855"/>
      <c r="J2378" s="2073"/>
      <c r="K2378" s="2075"/>
      <c r="L2378" s="2076"/>
      <c r="M2378" s="2059"/>
      <c r="O2378" s="1863"/>
      <c r="P2378" s="2077"/>
      <c r="Q2378" s="2077"/>
    </row>
    <row r="2379" spans="1:17" ht="22.15" customHeight="1">
      <c r="A2379" s="1901"/>
      <c r="B2379" s="2078" t="s">
        <v>425</v>
      </c>
      <c r="C2379" s="2070" t="s">
        <v>2827</v>
      </c>
      <c r="D2379" s="2071"/>
      <c r="E2379" s="2079">
        <v>11</v>
      </c>
      <c r="F2379" s="2073" t="s">
        <v>240</v>
      </c>
      <c r="G2379" s="1853">
        <v>3640</v>
      </c>
      <c r="H2379" s="2074">
        <f t="shared" si="1064"/>
        <v>40040</v>
      </c>
      <c r="I2379" s="1855">
        <v>450</v>
      </c>
      <c r="J2379" s="2073">
        <f t="shared" si="1065"/>
        <v>4950</v>
      </c>
      <c r="K2379" s="2075">
        <f t="shared" si="1066"/>
        <v>44990</v>
      </c>
      <c r="L2379" s="2073"/>
      <c r="M2379" s="2081"/>
      <c r="O2379" s="1863"/>
      <c r="P2379" s="2077"/>
      <c r="Q2379" s="2077"/>
    </row>
    <row r="2380" spans="1:17" ht="22.15" customHeight="1">
      <c r="A2380" s="1901"/>
      <c r="B2380" s="2078" t="s">
        <v>425</v>
      </c>
      <c r="C2380" s="2070" t="s">
        <v>727</v>
      </c>
      <c r="D2380" s="2071"/>
      <c r="E2380" s="2079">
        <v>11</v>
      </c>
      <c r="F2380" s="2073" t="s">
        <v>240</v>
      </c>
      <c r="G2380" s="1853">
        <v>11955</v>
      </c>
      <c r="H2380" s="2074">
        <f t="shared" si="1064"/>
        <v>131505</v>
      </c>
      <c r="I2380" s="1855">
        <v>0</v>
      </c>
      <c r="J2380" s="2073">
        <f t="shared" si="1065"/>
        <v>0</v>
      </c>
      <c r="K2380" s="2075">
        <f t="shared" si="1066"/>
        <v>131505</v>
      </c>
      <c r="L2380" s="2073"/>
      <c r="M2380" s="2081"/>
      <c r="O2380" s="1863"/>
      <c r="P2380" s="2077"/>
      <c r="Q2380" s="2077"/>
    </row>
    <row r="2381" spans="1:17" ht="22.15" customHeight="1">
      <c r="A2381" s="1901"/>
      <c r="B2381" s="2078"/>
      <c r="C2381" s="2070"/>
      <c r="D2381" s="2071"/>
      <c r="E2381" s="2079"/>
      <c r="F2381" s="2073"/>
      <c r="G2381" s="1853"/>
      <c r="H2381" s="2074"/>
      <c r="I2381" s="1855"/>
      <c r="J2381" s="2073"/>
      <c r="K2381" s="2075"/>
      <c r="L2381" s="2073"/>
      <c r="M2381" s="2081"/>
      <c r="O2381" s="1863"/>
      <c r="P2381" s="2077"/>
      <c r="Q2381" s="2077"/>
    </row>
    <row r="2382" spans="1:17" ht="22.15" customHeight="1">
      <c r="A2382" s="1901"/>
      <c r="B2382" s="2078" t="s">
        <v>425</v>
      </c>
      <c r="C2382" s="1755" t="s">
        <v>728</v>
      </c>
      <c r="D2382" s="2071"/>
      <c r="E2382" s="2079">
        <v>7</v>
      </c>
      <c r="F2382" s="2073" t="s">
        <v>240</v>
      </c>
      <c r="G2382" s="1853">
        <v>525</v>
      </c>
      <c r="H2382" s="2074">
        <f t="shared" si="1061"/>
        <v>3675</v>
      </c>
      <c r="I2382" s="1855">
        <v>75</v>
      </c>
      <c r="J2382" s="2073">
        <f t="shared" si="1062"/>
        <v>525</v>
      </c>
      <c r="K2382" s="2075">
        <f t="shared" si="1063"/>
        <v>4200</v>
      </c>
      <c r="L2382" s="2076"/>
      <c r="M2382" s="2059"/>
      <c r="O2382" s="1863"/>
      <c r="P2382" s="2077"/>
      <c r="Q2382" s="2077"/>
    </row>
    <row r="2383" spans="1:17" ht="22.15" customHeight="1">
      <c r="A2383" s="1901"/>
      <c r="B2383" s="2078" t="s">
        <v>425</v>
      </c>
      <c r="C2383" s="1755" t="s">
        <v>743</v>
      </c>
      <c r="D2383" s="2071"/>
      <c r="E2383" s="2079">
        <v>1</v>
      </c>
      <c r="F2383" s="2073" t="s">
        <v>240</v>
      </c>
      <c r="G2383" s="1853">
        <v>517.5</v>
      </c>
      <c r="H2383" s="2074">
        <f t="shared" si="1061"/>
        <v>517.5</v>
      </c>
      <c r="I2383" s="1855">
        <v>25</v>
      </c>
      <c r="J2383" s="2073">
        <f t="shared" si="1062"/>
        <v>25</v>
      </c>
      <c r="K2383" s="2075">
        <f t="shared" si="1063"/>
        <v>542.5</v>
      </c>
      <c r="L2383" s="2076"/>
      <c r="M2383" s="2059"/>
      <c r="O2383" s="1863"/>
      <c r="P2383" s="2077"/>
      <c r="Q2383" s="2077"/>
    </row>
    <row r="2384" spans="1:17" ht="22.15" customHeight="1">
      <c r="A2384" s="1901"/>
      <c r="B2384" s="2078" t="s">
        <v>425</v>
      </c>
      <c r="C2384" s="1755" t="s">
        <v>729</v>
      </c>
      <c r="D2384" s="2071"/>
      <c r="E2384" s="2079">
        <f>E2375</f>
        <v>6</v>
      </c>
      <c r="F2384" s="2073" t="s">
        <v>240</v>
      </c>
      <c r="G2384" s="2082">
        <v>13500</v>
      </c>
      <c r="H2384" s="2074">
        <f t="shared" si="1061"/>
        <v>81000</v>
      </c>
      <c r="I2384" s="1855">
        <v>750</v>
      </c>
      <c r="J2384" s="2073">
        <f t="shared" si="1062"/>
        <v>4500</v>
      </c>
      <c r="K2384" s="2075">
        <f t="shared" si="1063"/>
        <v>85500</v>
      </c>
      <c r="L2384" s="2076"/>
      <c r="M2384" s="2059"/>
      <c r="O2384" s="1863"/>
      <c r="P2384" s="2077"/>
      <c r="Q2384" s="2077"/>
    </row>
    <row r="2385" spans="1:17" ht="22.15" customHeight="1">
      <c r="A2385" s="1901"/>
      <c r="B2385" s="2078" t="s">
        <v>425</v>
      </c>
      <c r="C2385" s="1755" t="s">
        <v>730</v>
      </c>
      <c r="D2385" s="2071"/>
      <c r="E2385" s="2079">
        <v>1</v>
      </c>
      <c r="F2385" s="2073" t="s">
        <v>240</v>
      </c>
      <c r="G2385" s="2080">
        <v>1320</v>
      </c>
      <c r="H2385" s="2074">
        <f t="shared" si="1061"/>
        <v>1320</v>
      </c>
      <c r="I2385" s="1855">
        <v>70</v>
      </c>
      <c r="J2385" s="2073">
        <f t="shared" si="1062"/>
        <v>70</v>
      </c>
      <c r="K2385" s="2075">
        <f t="shared" si="1063"/>
        <v>1390</v>
      </c>
      <c r="L2385" s="2076"/>
      <c r="M2385" s="2059"/>
      <c r="O2385" s="1863"/>
      <c r="P2385" s="2077"/>
      <c r="Q2385" s="2077"/>
    </row>
    <row r="2386" spans="1:17" ht="22.15" customHeight="1">
      <c r="A2386" s="1901"/>
      <c r="B2386" s="2078" t="s">
        <v>425</v>
      </c>
      <c r="C2386" s="1755" t="s">
        <v>731</v>
      </c>
      <c r="D2386" s="2071"/>
      <c r="E2386" s="2079">
        <v>1</v>
      </c>
      <c r="F2386" s="2073" t="s">
        <v>240</v>
      </c>
      <c r="G2386" s="2080">
        <v>3820</v>
      </c>
      <c r="H2386" s="1788">
        <f t="shared" si="1061"/>
        <v>3820</v>
      </c>
      <c r="I2386" s="2083">
        <v>200</v>
      </c>
      <c r="J2386" s="1808">
        <f t="shared" si="1062"/>
        <v>200</v>
      </c>
      <c r="K2386" s="1897">
        <f t="shared" si="1063"/>
        <v>4020</v>
      </c>
      <c r="L2386" s="2076"/>
      <c r="M2386" s="2059"/>
      <c r="O2386" s="1863"/>
      <c r="P2386" s="2077"/>
      <c r="Q2386" s="2077"/>
    </row>
    <row r="2387" spans="1:17" ht="22.15" customHeight="1">
      <c r="A2387" s="1901"/>
      <c r="B2387" s="2078" t="s">
        <v>425</v>
      </c>
      <c r="C2387" s="2070" t="s">
        <v>2828</v>
      </c>
      <c r="D2387" s="2071"/>
      <c r="E2387" s="2079">
        <v>1</v>
      </c>
      <c r="F2387" s="2073" t="s">
        <v>240</v>
      </c>
      <c r="G2387" s="2080">
        <v>2835</v>
      </c>
      <c r="H2387" s="2074">
        <f t="shared" si="1061"/>
        <v>2835</v>
      </c>
      <c r="I2387" s="1855">
        <v>105</v>
      </c>
      <c r="J2387" s="2073">
        <f t="shared" si="1062"/>
        <v>105</v>
      </c>
      <c r="K2387" s="2075">
        <f t="shared" si="1063"/>
        <v>2940</v>
      </c>
      <c r="L2387" s="2076"/>
      <c r="M2387" s="2059"/>
      <c r="O2387" s="1863"/>
      <c r="P2387" s="2077"/>
      <c r="Q2387" s="2077"/>
    </row>
    <row r="2388" spans="1:17" ht="22.15" customHeight="1">
      <c r="A2388" s="1901"/>
      <c r="B2388" s="2078" t="s">
        <v>425</v>
      </c>
      <c r="C2388" s="1755" t="s">
        <v>2829</v>
      </c>
      <c r="D2388" s="2071"/>
      <c r="E2388" s="2079">
        <f>1*$E$2367</f>
        <v>1</v>
      </c>
      <c r="F2388" s="2073" t="s">
        <v>240</v>
      </c>
      <c r="G2388" s="2080">
        <v>6180</v>
      </c>
      <c r="H2388" s="2074">
        <f t="shared" si="1061"/>
        <v>6180</v>
      </c>
      <c r="I2388" s="1855">
        <v>105</v>
      </c>
      <c r="J2388" s="2073">
        <f t="shared" si="1062"/>
        <v>105</v>
      </c>
      <c r="K2388" s="2075">
        <f t="shared" si="1063"/>
        <v>6285</v>
      </c>
      <c r="L2388" s="2076"/>
      <c r="M2388" s="2059"/>
      <c r="O2388" s="1863"/>
      <c r="P2388" s="2077"/>
      <c r="Q2388" s="2077"/>
    </row>
    <row r="2389" spans="1:17" ht="22.15" customHeight="1">
      <c r="A2389" s="1901"/>
      <c r="B2389" s="2078"/>
      <c r="C2389" s="2070"/>
      <c r="D2389" s="2071"/>
      <c r="E2389" s="2079"/>
      <c r="F2389" s="2073"/>
      <c r="G2389" s="2080"/>
      <c r="H2389" s="2074"/>
      <c r="I2389" s="1855"/>
      <c r="J2389" s="2073"/>
      <c r="K2389" s="2075"/>
      <c r="L2389" s="2076"/>
      <c r="M2389" s="2059"/>
      <c r="O2389" s="1863"/>
      <c r="P2389" s="2077"/>
      <c r="Q2389" s="2077"/>
    </row>
    <row r="2390" spans="1:17" ht="22.15" customHeight="1">
      <c r="A2390" s="1901"/>
      <c r="B2390" s="2078" t="s">
        <v>425</v>
      </c>
      <c r="C2390" s="2070" t="s">
        <v>732</v>
      </c>
      <c r="D2390" s="2071"/>
      <c r="E2390" s="1808">
        <v>4.8</v>
      </c>
      <c r="F2390" s="2073" t="s">
        <v>616</v>
      </c>
      <c r="G2390" s="2084">
        <v>3886</v>
      </c>
      <c r="H2390" s="2085">
        <f t="shared" ref="H2390" si="1067">G2390*E2390</f>
        <v>18652.8</v>
      </c>
      <c r="I2390" s="1904">
        <v>1238</v>
      </c>
      <c r="J2390" s="2086">
        <f t="shared" ref="J2390" si="1068">I2390*E2390</f>
        <v>5942.4</v>
      </c>
      <c r="K2390" s="2087">
        <f t="shared" ref="K2390" si="1069">H2390+J2390</f>
        <v>24595.199999999997</v>
      </c>
      <c r="L2390" s="2076"/>
      <c r="M2390" s="2059"/>
      <c r="O2390" s="1863"/>
      <c r="P2390" s="2077"/>
      <c r="Q2390" s="2077"/>
    </row>
    <row r="2391" spans="1:17" ht="22.15" customHeight="1">
      <c r="A2391" s="1901"/>
      <c r="B2391" s="2078" t="s">
        <v>425</v>
      </c>
      <c r="C2391" s="2070" t="s">
        <v>733</v>
      </c>
      <c r="D2391" s="2071"/>
      <c r="E2391" s="1808">
        <v>8.9499999999999993</v>
      </c>
      <c r="F2391" s="2073" t="s">
        <v>616</v>
      </c>
      <c r="G2391" s="2084">
        <v>1522</v>
      </c>
      <c r="H2391" s="2085">
        <f t="shared" si="1061"/>
        <v>13621.9</v>
      </c>
      <c r="I2391" s="2088">
        <v>315</v>
      </c>
      <c r="J2391" s="2086">
        <f t="shared" si="1062"/>
        <v>2819.25</v>
      </c>
      <c r="K2391" s="2087">
        <f t="shared" si="1063"/>
        <v>16441.150000000001</v>
      </c>
      <c r="L2391" s="2076"/>
      <c r="M2391" s="2059"/>
      <c r="O2391" s="1863"/>
      <c r="P2391" s="2077"/>
      <c r="Q2391" s="2077"/>
    </row>
    <row r="2392" spans="1:17" ht="22.15" customHeight="1">
      <c r="A2392" s="1901"/>
      <c r="B2392" s="2078" t="s">
        <v>425</v>
      </c>
      <c r="C2392" s="2070" t="s">
        <v>734</v>
      </c>
      <c r="D2392" s="2071"/>
      <c r="E2392" s="1808">
        <v>5.4</v>
      </c>
      <c r="F2392" s="2073" t="s">
        <v>616</v>
      </c>
      <c r="G2392" s="2084">
        <v>1522</v>
      </c>
      <c r="H2392" s="2085">
        <f t="shared" si="1061"/>
        <v>8218.8000000000011</v>
      </c>
      <c r="I2392" s="2088">
        <v>315</v>
      </c>
      <c r="J2392" s="2086">
        <f t="shared" si="1062"/>
        <v>1701</v>
      </c>
      <c r="K2392" s="2087">
        <f t="shared" si="1063"/>
        <v>9919.8000000000011</v>
      </c>
      <c r="L2392" s="2076"/>
      <c r="M2392" s="2059"/>
      <c r="O2392" s="1863"/>
      <c r="P2392" s="2077"/>
      <c r="Q2392" s="2077"/>
    </row>
    <row r="2393" spans="1:17" ht="22.15" customHeight="1">
      <c r="A2393" s="1901"/>
      <c r="B2393" s="2078" t="s">
        <v>425</v>
      </c>
      <c r="C2393" s="2070" t="s">
        <v>735</v>
      </c>
      <c r="D2393" s="2071"/>
      <c r="E2393" s="1808">
        <v>7.2</v>
      </c>
      <c r="F2393" s="2073" t="s">
        <v>616</v>
      </c>
      <c r="G2393" s="2080">
        <v>750</v>
      </c>
      <c r="H2393" s="1788">
        <f t="shared" si="1061"/>
        <v>5400</v>
      </c>
      <c r="I2393" s="2083">
        <v>45</v>
      </c>
      <c r="J2393" s="1808">
        <f t="shared" si="1062"/>
        <v>324</v>
      </c>
      <c r="K2393" s="1897">
        <f t="shared" si="1063"/>
        <v>5724</v>
      </c>
      <c r="L2393" s="2076"/>
      <c r="M2393" s="2059"/>
      <c r="O2393" s="1863"/>
      <c r="P2393" s="2077"/>
      <c r="Q2393" s="2077"/>
    </row>
    <row r="2394" spans="1:17" ht="22.15" customHeight="1">
      <c r="A2394" s="1901"/>
      <c r="B2394" s="2078" t="s">
        <v>425</v>
      </c>
      <c r="C2394" s="2070" t="s">
        <v>736</v>
      </c>
      <c r="D2394" s="2071"/>
      <c r="E2394" s="1808">
        <v>9.6</v>
      </c>
      <c r="F2394" s="2073" t="s">
        <v>616</v>
      </c>
      <c r="G2394" s="2080">
        <v>60</v>
      </c>
      <c r="H2394" s="1788">
        <f t="shared" si="1061"/>
        <v>576</v>
      </c>
      <c r="I2394" s="2083">
        <v>45</v>
      </c>
      <c r="J2394" s="1808">
        <f t="shared" si="1062"/>
        <v>432</v>
      </c>
      <c r="K2394" s="1897">
        <f t="shared" si="1063"/>
        <v>1008</v>
      </c>
      <c r="L2394" s="2076"/>
      <c r="M2394" s="2059"/>
      <c r="O2394" s="1863"/>
      <c r="P2394" s="2077"/>
      <c r="Q2394" s="2077"/>
    </row>
    <row r="2395" spans="1:17" ht="22.15" customHeight="1">
      <c r="A2395" s="1901"/>
      <c r="B2395" s="2078" t="s">
        <v>425</v>
      </c>
      <c r="C2395" s="2070" t="s">
        <v>2830</v>
      </c>
      <c r="D2395" s="2071"/>
      <c r="E2395" s="1808">
        <f>E2390</f>
        <v>4.8</v>
      </c>
      <c r="F2395" s="2073" t="s">
        <v>616</v>
      </c>
      <c r="G2395" s="2084">
        <v>2694</v>
      </c>
      <c r="H2395" s="2085">
        <f t="shared" si="1061"/>
        <v>12931.199999999999</v>
      </c>
      <c r="I2395" s="1904">
        <v>1288</v>
      </c>
      <c r="J2395" s="2086">
        <f t="shared" si="1062"/>
        <v>6182.4</v>
      </c>
      <c r="K2395" s="2087">
        <f t="shared" si="1063"/>
        <v>19113.599999999999</v>
      </c>
      <c r="L2395" s="2076"/>
      <c r="M2395" s="2059"/>
      <c r="O2395" s="1863"/>
      <c r="P2395" s="2077"/>
      <c r="Q2395" s="2077"/>
    </row>
    <row r="2396" spans="1:17" ht="22.15" customHeight="1">
      <c r="A2396" s="1901"/>
      <c r="B2396" s="2078"/>
      <c r="C2396" s="2070" t="s">
        <v>737</v>
      </c>
      <c r="D2396" s="2071"/>
      <c r="E2396" s="2079"/>
      <c r="F2396" s="2073"/>
      <c r="G2396" s="2080"/>
      <c r="H2396" s="2074"/>
      <c r="I2396" s="1855"/>
      <c r="J2396" s="2073"/>
      <c r="K2396" s="2075"/>
      <c r="L2396" s="2076"/>
      <c r="M2396" s="2059"/>
      <c r="O2396" s="1863"/>
      <c r="P2396" s="2077"/>
      <c r="Q2396" s="2077"/>
    </row>
    <row r="2397" spans="1:17" ht="22.15" customHeight="1">
      <c r="A2397" s="1901"/>
      <c r="B2397" s="2078"/>
      <c r="C2397" s="2070"/>
      <c r="D2397" s="2071"/>
      <c r="E2397" s="2079"/>
      <c r="F2397" s="2073"/>
      <c r="G2397" s="2080"/>
      <c r="H2397" s="2074"/>
      <c r="I2397" s="1855"/>
      <c r="J2397" s="2073"/>
      <c r="K2397" s="2075"/>
      <c r="L2397" s="2076"/>
      <c r="M2397" s="2059"/>
      <c r="O2397" s="1863"/>
      <c r="P2397" s="2077"/>
      <c r="Q2397" s="2077"/>
    </row>
    <row r="2398" spans="1:17" ht="22.15" customHeight="1">
      <c r="A2398" s="1901"/>
      <c r="B2398" s="2078" t="s">
        <v>425</v>
      </c>
      <c r="C2398" s="2070" t="s">
        <v>2831</v>
      </c>
      <c r="D2398" s="2071"/>
      <c r="E2398" s="2079">
        <v>1</v>
      </c>
      <c r="F2398" s="2073" t="s">
        <v>240</v>
      </c>
      <c r="G2398" s="1853">
        <v>8300</v>
      </c>
      <c r="H2398" s="2074">
        <f t="shared" ref="H2398" si="1070">G2398*E2398</f>
        <v>8300</v>
      </c>
      <c r="I2398" s="1855">
        <v>2490</v>
      </c>
      <c r="J2398" s="2073">
        <f>I2398*E2398</f>
        <v>2490</v>
      </c>
      <c r="K2398" s="2075">
        <f t="shared" ref="K2398" si="1071">H2398+J2398</f>
        <v>10790</v>
      </c>
      <c r="L2398" s="2076"/>
      <c r="M2398" s="2059"/>
      <c r="O2398" s="1863"/>
      <c r="P2398" s="2077"/>
      <c r="Q2398" s="2077"/>
    </row>
    <row r="2399" spans="1:17" ht="22.15" customHeight="1">
      <c r="A2399" s="1901"/>
      <c r="B2399" s="2078"/>
      <c r="C2399" s="2070" t="s">
        <v>738</v>
      </c>
      <c r="D2399" s="2071"/>
      <c r="E2399" s="2079"/>
      <c r="F2399" s="2073"/>
      <c r="G2399" s="2080"/>
      <c r="H2399" s="2074"/>
      <c r="I2399" s="1855"/>
      <c r="J2399" s="2073"/>
      <c r="K2399" s="2075"/>
      <c r="L2399" s="2076"/>
      <c r="M2399" s="2059"/>
      <c r="O2399" s="1863"/>
      <c r="P2399" s="2077"/>
      <c r="Q2399" s="2077"/>
    </row>
    <row r="2400" spans="1:17" ht="22.15" customHeight="1">
      <c r="A2400" s="1901"/>
      <c r="B2400" s="2069" t="s">
        <v>2832</v>
      </c>
      <c r="C2400" s="2070"/>
      <c r="D2400" s="2071"/>
      <c r="E2400" s="2072">
        <v>1</v>
      </c>
      <c r="F2400" s="2073" t="s">
        <v>723</v>
      </c>
      <c r="G2400" s="1853"/>
      <c r="H2400" s="2074"/>
      <c r="I2400" s="1855"/>
      <c r="J2400" s="2073"/>
      <c r="K2400" s="2075"/>
      <c r="L2400" s="2076"/>
      <c r="M2400" s="2059"/>
      <c r="O2400" s="1863"/>
      <c r="P2400" s="2077"/>
      <c r="Q2400" s="2077"/>
    </row>
    <row r="2401" spans="1:17" ht="22.15" customHeight="1">
      <c r="A2401" s="1901"/>
      <c r="B2401" s="2078" t="s">
        <v>425</v>
      </c>
      <c r="C2401" s="2070" t="s">
        <v>724</v>
      </c>
      <c r="D2401" s="2071"/>
      <c r="E2401" s="2079">
        <v>7</v>
      </c>
      <c r="F2401" s="2073" t="s">
        <v>240</v>
      </c>
      <c r="G2401" s="1853">
        <v>1430</v>
      </c>
      <c r="H2401" s="2074">
        <f t="shared" ref="H2401:H2406" si="1072">G2401*E2401</f>
        <v>10010</v>
      </c>
      <c r="I2401" s="1855">
        <v>450</v>
      </c>
      <c r="J2401" s="2073">
        <f t="shared" ref="J2401:J2406" si="1073">I2401*E2401</f>
        <v>3150</v>
      </c>
      <c r="K2401" s="2075">
        <f t="shared" ref="K2401:K2406" si="1074">H2401+J2401</f>
        <v>13160</v>
      </c>
      <c r="L2401" s="2076"/>
      <c r="M2401" s="2059"/>
      <c r="O2401" s="1863"/>
      <c r="P2401" s="2077"/>
      <c r="Q2401" s="2077"/>
    </row>
    <row r="2402" spans="1:17" ht="22.15" customHeight="1">
      <c r="A2402" s="1901"/>
      <c r="B2402" s="2078" t="s">
        <v>425</v>
      </c>
      <c r="C2402" s="2070" t="s">
        <v>2822</v>
      </c>
      <c r="D2402" s="2071"/>
      <c r="E2402" s="2079">
        <v>7</v>
      </c>
      <c r="F2402" s="2073" t="s">
        <v>240</v>
      </c>
      <c r="G2402" s="1853">
        <v>6225</v>
      </c>
      <c r="H2402" s="2074">
        <f t="shared" si="1072"/>
        <v>43575</v>
      </c>
      <c r="I2402" s="1855">
        <v>200</v>
      </c>
      <c r="J2402" s="2073">
        <f t="shared" si="1073"/>
        <v>1400</v>
      </c>
      <c r="K2402" s="2075">
        <f t="shared" si="1074"/>
        <v>44975</v>
      </c>
      <c r="L2402" s="2076"/>
      <c r="M2402" s="2059"/>
      <c r="O2402" s="1863"/>
      <c r="P2402" s="2077"/>
      <c r="Q2402" s="2077"/>
    </row>
    <row r="2403" spans="1:17" ht="22.15" customHeight="1">
      <c r="A2403" s="1901"/>
      <c r="B2403" s="2078" t="s">
        <v>425</v>
      </c>
      <c r="C2403" s="2070" t="s">
        <v>2823</v>
      </c>
      <c r="D2403" s="2071"/>
      <c r="E2403" s="2079">
        <v>7</v>
      </c>
      <c r="F2403" s="2073" t="s">
        <v>240</v>
      </c>
      <c r="G2403" s="1853">
        <v>315</v>
      </c>
      <c r="H2403" s="2074">
        <f t="shared" si="1072"/>
        <v>2205</v>
      </c>
      <c r="I2403" s="1855">
        <v>0</v>
      </c>
      <c r="J2403" s="2073">
        <f t="shared" si="1073"/>
        <v>0</v>
      </c>
      <c r="K2403" s="2075">
        <f t="shared" si="1074"/>
        <v>2205</v>
      </c>
      <c r="L2403" s="2076"/>
      <c r="M2403" s="2059"/>
      <c r="O2403" s="1863"/>
      <c r="P2403" s="2077"/>
      <c r="Q2403" s="2077"/>
    </row>
    <row r="2404" spans="1:17" ht="22.15" customHeight="1">
      <c r="A2404" s="1901"/>
      <c r="B2404" s="2078" t="s">
        <v>425</v>
      </c>
      <c r="C2404" s="2070" t="s">
        <v>2824</v>
      </c>
      <c r="D2404" s="2071"/>
      <c r="E2404" s="2079">
        <v>7</v>
      </c>
      <c r="F2404" s="2073" t="s">
        <v>240</v>
      </c>
      <c r="G2404" s="1853">
        <v>690</v>
      </c>
      <c r="H2404" s="2074">
        <f t="shared" si="1072"/>
        <v>4830</v>
      </c>
      <c r="I2404" s="1855">
        <v>0</v>
      </c>
      <c r="J2404" s="2073">
        <f t="shared" si="1073"/>
        <v>0</v>
      </c>
      <c r="K2404" s="2075">
        <f t="shared" si="1074"/>
        <v>4830</v>
      </c>
      <c r="L2404" s="2076"/>
      <c r="M2404" s="2059"/>
      <c r="O2404" s="1863"/>
      <c r="P2404" s="2077"/>
      <c r="Q2404" s="2077"/>
    </row>
    <row r="2405" spans="1:17" ht="22.15" customHeight="1">
      <c r="A2405" s="1901"/>
      <c r="B2405" s="2078" t="s">
        <v>425</v>
      </c>
      <c r="C2405" s="2070" t="s">
        <v>739</v>
      </c>
      <c r="D2405" s="2071"/>
      <c r="E2405" s="2079">
        <v>7</v>
      </c>
      <c r="F2405" s="2073" t="s">
        <v>240</v>
      </c>
      <c r="G2405" s="1853">
        <v>165</v>
      </c>
      <c r="H2405" s="2074">
        <f t="shared" si="1072"/>
        <v>1155</v>
      </c>
      <c r="I2405" s="1855">
        <v>0</v>
      </c>
      <c r="J2405" s="2073">
        <f t="shared" si="1073"/>
        <v>0</v>
      </c>
      <c r="K2405" s="2075">
        <f t="shared" si="1074"/>
        <v>1155</v>
      </c>
      <c r="L2405" s="2076"/>
      <c r="M2405" s="2059"/>
      <c r="O2405" s="1863"/>
      <c r="P2405" s="2077"/>
      <c r="Q2405" s="2077"/>
    </row>
    <row r="2406" spans="1:17" ht="22.15" customHeight="1">
      <c r="A2406" s="1901"/>
      <c r="B2406" s="2078" t="s">
        <v>425</v>
      </c>
      <c r="C2406" s="2070" t="s">
        <v>2826</v>
      </c>
      <c r="D2406" s="2071"/>
      <c r="E2406" s="2079">
        <v>7</v>
      </c>
      <c r="F2406" s="2073" t="s">
        <v>240</v>
      </c>
      <c r="G2406" s="1853">
        <v>202.5</v>
      </c>
      <c r="H2406" s="2074">
        <f t="shared" si="1072"/>
        <v>1417.5</v>
      </c>
      <c r="I2406" s="1855">
        <v>35</v>
      </c>
      <c r="J2406" s="2073">
        <f t="shared" si="1073"/>
        <v>245</v>
      </c>
      <c r="K2406" s="2075">
        <f t="shared" si="1074"/>
        <v>1662.5</v>
      </c>
      <c r="L2406" s="2076"/>
      <c r="M2406" s="2059"/>
      <c r="O2406" s="1863"/>
      <c r="P2406" s="2077"/>
      <c r="Q2406" s="2077"/>
    </row>
    <row r="2407" spans="1:17" ht="22.15" customHeight="1">
      <c r="A2407" s="1901"/>
      <c r="B2407" s="2078"/>
      <c r="C2407" s="2070"/>
      <c r="D2407" s="2071"/>
      <c r="E2407" s="2079"/>
      <c r="F2407" s="2073"/>
      <c r="G2407" s="1853"/>
      <c r="H2407" s="2074"/>
      <c r="I2407" s="1855"/>
      <c r="J2407" s="2073"/>
      <c r="K2407" s="2075"/>
      <c r="L2407" s="2076"/>
      <c r="M2407" s="2059"/>
      <c r="O2407" s="1863"/>
      <c r="P2407" s="2077"/>
      <c r="Q2407" s="2077"/>
    </row>
    <row r="2408" spans="1:17" ht="22.15" customHeight="1">
      <c r="A2408" s="1901"/>
      <c r="B2408" s="2078" t="s">
        <v>425</v>
      </c>
      <c r="C2408" s="2070" t="s">
        <v>725</v>
      </c>
      <c r="D2408" s="2071"/>
      <c r="E2408" s="2079">
        <v>14</v>
      </c>
      <c r="F2408" s="2073" t="s">
        <v>240</v>
      </c>
      <c r="G2408" s="1853">
        <v>8723</v>
      </c>
      <c r="H2408" s="2074">
        <f t="shared" ref="H2408:H2410" si="1075">G2408*E2408</f>
        <v>122122</v>
      </c>
      <c r="I2408" s="1855">
        <v>450</v>
      </c>
      <c r="J2408" s="2073">
        <f t="shared" ref="J2408:J2410" si="1076">I2408*E2408</f>
        <v>6300</v>
      </c>
      <c r="K2408" s="2075">
        <f t="shared" ref="K2408:K2410" si="1077">H2408+J2408</f>
        <v>128422</v>
      </c>
      <c r="L2408" s="2076"/>
      <c r="M2408" s="2059"/>
      <c r="O2408" s="1863"/>
      <c r="P2408" s="2077"/>
      <c r="Q2408" s="2077"/>
    </row>
    <row r="2409" spans="1:17" ht="22.15" customHeight="1">
      <c r="A2409" s="1901"/>
      <c r="B2409" s="2078" t="s">
        <v>425</v>
      </c>
      <c r="C2409" s="2070" t="s">
        <v>726</v>
      </c>
      <c r="D2409" s="2071"/>
      <c r="E2409" s="2079">
        <v>14</v>
      </c>
      <c r="F2409" s="2073" t="s">
        <v>240</v>
      </c>
      <c r="G2409" s="1853">
        <v>2430</v>
      </c>
      <c r="H2409" s="2074">
        <f t="shared" si="1075"/>
        <v>34020</v>
      </c>
      <c r="I2409" s="1855">
        <v>0</v>
      </c>
      <c r="J2409" s="2073">
        <f t="shared" si="1076"/>
        <v>0</v>
      </c>
      <c r="K2409" s="2075">
        <f t="shared" si="1077"/>
        <v>34020</v>
      </c>
      <c r="L2409" s="2076"/>
      <c r="M2409" s="2059"/>
      <c r="O2409" s="1863"/>
      <c r="P2409" s="2077"/>
      <c r="Q2409" s="2077"/>
    </row>
    <row r="2410" spans="1:17" ht="22.15" customHeight="1">
      <c r="A2410" s="1901"/>
      <c r="B2410" s="2078" t="s">
        <v>425</v>
      </c>
      <c r="C2410" s="2070" t="s">
        <v>2826</v>
      </c>
      <c r="D2410" s="2071"/>
      <c r="E2410" s="2079">
        <v>14</v>
      </c>
      <c r="F2410" s="2073" t="s">
        <v>240</v>
      </c>
      <c r="G2410" s="1853">
        <v>202.5</v>
      </c>
      <c r="H2410" s="2074">
        <f t="shared" si="1075"/>
        <v>2835</v>
      </c>
      <c r="I2410" s="1855">
        <v>35</v>
      </c>
      <c r="J2410" s="2073">
        <f t="shared" si="1076"/>
        <v>490</v>
      </c>
      <c r="K2410" s="2075">
        <f t="shared" si="1077"/>
        <v>3325</v>
      </c>
      <c r="L2410" s="2076"/>
      <c r="M2410" s="2059"/>
      <c r="O2410" s="1863"/>
      <c r="P2410" s="2077"/>
      <c r="Q2410" s="2077"/>
    </row>
    <row r="2411" spans="1:17" ht="22.15" customHeight="1">
      <c r="A2411" s="1901"/>
      <c r="B2411" s="2078"/>
      <c r="C2411" s="2070"/>
      <c r="D2411" s="2071"/>
      <c r="E2411" s="2079"/>
      <c r="F2411" s="2073"/>
      <c r="G2411" s="1853"/>
      <c r="H2411" s="2074"/>
      <c r="I2411" s="1855"/>
      <c r="J2411" s="2073"/>
      <c r="K2411" s="2075"/>
      <c r="L2411" s="2076"/>
      <c r="M2411" s="2059"/>
      <c r="O2411" s="1863"/>
      <c r="P2411" s="2077"/>
      <c r="Q2411" s="2077"/>
    </row>
    <row r="2412" spans="1:17" ht="22.15" customHeight="1">
      <c r="A2412" s="1901"/>
      <c r="B2412" s="2078" t="s">
        <v>425</v>
      </c>
      <c r="C2412" s="1755" t="s">
        <v>728</v>
      </c>
      <c r="D2412" s="2071"/>
      <c r="E2412" s="2079">
        <v>8</v>
      </c>
      <c r="F2412" s="2073" t="s">
        <v>240</v>
      </c>
      <c r="G2412" s="1853">
        <v>525</v>
      </c>
      <c r="H2412" s="2074">
        <f t="shared" ref="H2412:H2417" si="1078">G2412*E2412</f>
        <v>4200</v>
      </c>
      <c r="I2412" s="1855">
        <v>75</v>
      </c>
      <c r="J2412" s="2073">
        <f t="shared" ref="J2412:J2417" si="1079">I2412*E2412</f>
        <v>600</v>
      </c>
      <c r="K2412" s="2075">
        <f t="shared" ref="K2412:K2417" si="1080">H2412+J2412</f>
        <v>4800</v>
      </c>
      <c r="L2412" s="2076"/>
      <c r="M2412" s="2059"/>
      <c r="O2412" s="1863"/>
      <c r="P2412" s="2077"/>
      <c r="Q2412" s="2077"/>
    </row>
    <row r="2413" spans="1:17" ht="22.15" customHeight="1">
      <c r="A2413" s="1901"/>
      <c r="B2413" s="2078" t="s">
        <v>425</v>
      </c>
      <c r="C2413" s="1755" t="s">
        <v>743</v>
      </c>
      <c r="D2413" s="2071"/>
      <c r="E2413" s="2079">
        <f>1*$E$2400</f>
        <v>1</v>
      </c>
      <c r="F2413" s="2073" t="s">
        <v>240</v>
      </c>
      <c r="G2413" s="1853">
        <v>517.5</v>
      </c>
      <c r="H2413" s="2074">
        <f t="shared" si="1078"/>
        <v>517.5</v>
      </c>
      <c r="I2413" s="1855">
        <v>25</v>
      </c>
      <c r="J2413" s="2073">
        <f t="shared" si="1079"/>
        <v>25</v>
      </c>
      <c r="K2413" s="2075">
        <f t="shared" si="1080"/>
        <v>542.5</v>
      </c>
      <c r="L2413" s="2076"/>
      <c r="M2413" s="2059"/>
      <c r="O2413" s="1863"/>
      <c r="P2413" s="2077"/>
      <c r="Q2413" s="2077"/>
    </row>
    <row r="2414" spans="1:17" ht="22.15" customHeight="1">
      <c r="A2414" s="1901"/>
      <c r="B2414" s="2078" t="s">
        <v>425</v>
      </c>
      <c r="C2414" s="1755" t="s">
        <v>729</v>
      </c>
      <c r="D2414" s="2071"/>
      <c r="E2414" s="2079">
        <f>E2408</f>
        <v>14</v>
      </c>
      <c r="F2414" s="2073" t="s">
        <v>240</v>
      </c>
      <c r="G2414" s="2082">
        <v>13500</v>
      </c>
      <c r="H2414" s="2074">
        <f t="shared" si="1078"/>
        <v>189000</v>
      </c>
      <c r="I2414" s="1855">
        <v>750</v>
      </c>
      <c r="J2414" s="2073">
        <f t="shared" si="1079"/>
        <v>10500</v>
      </c>
      <c r="K2414" s="2075">
        <f t="shared" si="1080"/>
        <v>199500</v>
      </c>
      <c r="L2414" s="2076"/>
      <c r="M2414" s="2059"/>
      <c r="O2414" s="1863"/>
      <c r="P2414" s="2077"/>
      <c r="Q2414" s="2077"/>
    </row>
    <row r="2415" spans="1:17" ht="22.15" customHeight="1">
      <c r="A2415" s="1901"/>
      <c r="B2415" s="2078" t="s">
        <v>425</v>
      </c>
      <c r="C2415" s="1755" t="s">
        <v>730</v>
      </c>
      <c r="D2415" s="2071"/>
      <c r="E2415" s="2079">
        <f>1*$E$2400</f>
        <v>1</v>
      </c>
      <c r="F2415" s="2073" t="s">
        <v>240</v>
      </c>
      <c r="G2415" s="2080">
        <v>1320</v>
      </c>
      <c r="H2415" s="2074">
        <f t="shared" si="1078"/>
        <v>1320</v>
      </c>
      <c r="I2415" s="1855">
        <v>70</v>
      </c>
      <c r="J2415" s="2073">
        <f t="shared" si="1079"/>
        <v>70</v>
      </c>
      <c r="K2415" s="2075">
        <f t="shared" si="1080"/>
        <v>1390</v>
      </c>
      <c r="L2415" s="2076"/>
      <c r="M2415" s="2059"/>
      <c r="O2415" s="1863"/>
      <c r="P2415" s="2077"/>
      <c r="Q2415" s="2077"/>
    </row>
    <row r="2416" spans="1:17" ht="22.15" customHeight="1">
      <c r="A2416" s="1901"/>
      <c r="B2416" s="2078" t="s">
        <v>425</v>
      </c>
      <c r="C2416" s="2070" t="s">
        <v>731</v>
      </c>
      <c r="D2416" s="2071"/>
      <c r="E2416" s="2079">
        <f>1*$E$2400</f>
        <v>1</v>
      </c>
      <c r="F2416" s="2073" t="s">
        <v>240</v>
      </c>
      <c r="G2416" s="2080">
        <v>3820</v>
      </c>
      <c r="H2416" s="1788">
        <f t="shared" si="1078"/>
        <v>3820</v>
      </c>
      <c r="I2416" s="2083">
        <v>200</v>
      </c>
      <c r="J2416" s="1808">
        <f t="shared" si="1079"/>
        <v>200</v>
      </c>
      <c r="K2416" s="1897">
        <f t="shared" si="1080"/>
        <v>4020</v>
      </c>
      <c r="L2416" s="2076"/>
      <c r="M2416" s="2059"/>
      <c r="O2416" s="1863"/>
      <c r="P2416" s="2077"/>
      <c r="Q2416" s="2077"/>
    </row>
    <row r="2417" spans="1:17" ht="22.15" customHeight="1">
      <c r="A2417" s="1901"/>
      <c r="B2417" s="2078" t="s">
        <v>425</v>
      </c>
      <c r="C2417" s="1755" t="s">
        <v>2828</v>
      </c>
      <c r="D2417" s="2071"/>
      <c r="E2417" s="2079">
        <v>2</v>
      </c>
      <c r="F2417" s="2073" t="s">
        <v>240</v>
      </c>
      <c r="G2417" s="2080">
        <v>2835</v>
      </c>
      <c r="H2417" s="2074">
        <f t="shared" si="1078"/>
        <v>5670</v>
      </c>
      <c r="I2417" s="1855">
        <v>105</v>
      </c>
      <c r="J2417" s="2073">
        <f t="shared" si="1079"/>
        <v>210</v>
      </c>
      <c r="K2417" s="2075">
        <f t="shared" si="1080"/>
        <v>5880</v>
      </c>
      <c r="L2417" s="2076"/>
      <c r="M2417" s="2059"/>
      <c r="O2417" s="1863"/>
      <c r="P2417" s="2077"/>
      <c r="Q2417" s="2077"/>
    </row>
    <row r="2418" spans="1:17" ht="22.15" customHeight="1">
      <c r="A2418" s="1901"/>
      <c r="B2418" s="2078"/>
      <c r="C2418" s="1755"/>
      <c r="D2418" s="2071"/>
      <c r="E2418" s="2079"/>
      <c r="F2418" s="2073"/>
      <c r="G2418" s="2080"/>
      <c r="H2418" s="2074"/>
      <c r="I2418" s="1855"/>
      <c r="J2418" s="2073"/>
      <c r="K2418" s="2075"/>
      <c r="L2418" s="2076"/>
      <c r="M2418" s="2059"/>
      <c r="O2418" s="1863"/>
      <c r="P2418" s="2077"/>
      <c r="Q2418" s="2077"/>
    </row>
    <row r="2419" spans="1:17" ht="22.15" customHeight="1">
      <c r="A2419" s="1901"/>
      <c r="B2419" s="2078" t="s">
        <v>425</v>
      </c>
      <c r="C2419" s="2070" t="s">
        <v>732</v>
      </c>
      <c r="D2419" s="2071"/>
      <c r="E2419" s="1808">
        <v>6</v>
      </c>
      <c r="F2419" s="2073" t="s">
        <v>616</v>
      </c>
      <c r="G2419" s="2084">
        <v>3886</v>
      </c>
      <c r="H2419" s="2085">
        <f t="shared" ref="H2419:H2423" si="1081">G2419*E2419</f>
        <v>23316</v>
      </c>
      <c r="I2419" s="1904">
        <v>1238</v>
      </c>
      <c r="J2419" s="2086">
        <f t="shared" ref="J2419:J2423" si="1082">I2419*E2419</f>
        <v>7428</v>
      </c>
      <c r="K2419" s="2087">
        <f t="shared" ref="K2419:K2423" si="1083">H2419+J2419</f>
        <v>30744</v>
      </c>
      <c r="L2419" s="2076"/>
      <c r="M2419" s="2059"/>
      <c r="O2419" s="1863"/>
      <c r="P2419" s="2077"/>
      <c r="Q2419" s="2077"/>
    </row>
    <row r="2420" spans="1:17" ht="22.15" customHeight="1">
      <c r="A2420" s="1901"/>
      <c r="B2420" s="2078" t="s">
        <v>425</v>
      </c>
      <c r="C2420" s="2070" t="s">
        <v>734</v>
      </c>
      <c r="D2420" s="2071"/>
      <c r="E2420" s="1808">
        <v>12.6</v>
      </c>
      <c r="F2420" s="2073" t="s">
        <v>616</v>
      </c>
      <c r="G2420" s="2084">
        <v>1522</v>
      </c>
      <c r="H2420" s="2085">
        <f t="shared" si="1081"/>
        <v>19177.2</v>
      </c>
      <c r="I2420" s="2088">
        <v>315</v>
      </c>
      <c r="J2420" s="2086">
        <f t="shared" si="1082"/>
        <v>3969</v>
      </c>
      <c r="K2420" s="2087">
        <f t="shared" si="1083"/>
        <v>23146.2</v>
      </c>
      <c r="L2420" s="2076"/>
      <c r="M2420" s="2059"/>
      <c r="O2420" s="1863"/>
      <c r="P2420" s="2077"/>
      <c r="Q2420" s="2077"/>
    </row>
    <row r="2421" spans="1:17" ht="22.15" customHeight="1">
      <c r="A2421" s="1901"/>
      <c r="B2421" s="2078" t="s">
        <v>425</v>
      </c>
      <c r="C2421" s="2070" t="s">
        <v>735</v>
      </c>
      <c r="D2421" s="2071"/>
      <c r="E2421" s="1808">
        <v>9.6</v>
      </c>
      <c r="F2421" s="2073" t="s">
        <v>616</v>
      </c>
      <c r="G2421" s="2080">
        <v>750</v>
      </c>
      <c r="H2421" s="1788">
        <f t="shared" si="1081"/>
        <v>7200</v>
      </c>
      <c r="I2421" s="2083">
        <v>45</v>
      </c>
      <c r="J2421" s="1808">
        <f t="shared" si="1082"/>
        <v>432</v>
      </c>
      <c r="K2421" s="1897">
        <f t="shared" si="1083"/>
        <v>7632</v>
      </c>
      <c r="L2421" s="2076"/>
      <c r="M2421" s="2059"/>
      <c r="O2421" s="1863"/>
      <c r="P2421" s="2077"/>
      <c r="Q2421" s="2077"/>
    </row>
    <row r="2422" spans="1:17" ht="22.15" customHeight="1">
      <c r="A2422" s="1901"/>
      <c r="B2422" s="2078" t="s">
        <v>425</v>
      </c>
      <c r="C2422" s="2070" t="s">
        <v>736</v>
      </c>
      <c r="D2422" s="2071"/>
      <c r="E2422" s="1808">
        <v>2.4</v>
      </c>
      <c r="F2422" s="2073" t="s">
        <v>616</v>
      </c>
      <c r="G2422" s="2080">
        <v>60</v>
      </c>
      <c r="H2422" s="1788">
        <f t="shared" si="1081"/>
        <v>144</v>
      </c>
      <c r="I2422" s="2083">
        <v>45</v>
      </c>
      <c r="J2422" s="1808">
        <f t="shared" si="1082"/>
        <v>108</v>
      </c>
      <c r="K2422" s="1897">
        <f t="shared" si="1083"/>
        <v>252</v>
      </c>
      <c r="L2422" s="2076"/>
      <c r="M2422" s="2059"/>
      <c r="O2422" s="1863"/>
      <c r="P2422" s="2077"/>
      <c r="Q2422" s="2077"/>
    </row>
    <row r="2423" spans="1:17" ht="22.15" customHeight="1">
      <c r="A2423" s="1901"/>
      <c r="B2423" s="2078" t="s">
        <v>425</v>
      </c>
      <c r="C2423" s="2070" t="s">
        <v>2830</v>
      </c>
      <c r="D2423" s="2071"/>
      <c r="E2423" s="1808">
        <f>E2419</f>
        <v>6</v>
      </c>
      <c r="F2423" s="2073" t="s">
        <v>616</v>
      </c>
      <c r="G2423" s="2084">
        <v>2694</v>
      </c>
      <c r="H2423" s="2085">
        <f t="shared" si="1081"/>
        <v>16164</v>
      </c>
      <c r="I2423" s="1904">
        <v>1288</v>
      </c>
      <c r="J2423" s="2086">
        <f t="shared" si="1082"/>
        <v>7728</v>
      </c>
      <c r="K2423" s="2087">
        <f t="shared" si="1083"/>
        <v>23892</v>
      </c>
      <c r="L2423" s="2076"/>
      <c r="M2423" s="2059"/>
      <c r="O2423" s="1863"/>
      <c r="P2423" s="2077"/>
      <c r="Q2423" s="2077"/>
    </row>
    <row r="2424" spans="1:17" ht="22.15" customHeight="1">
      <c r="A2424" s="1901"/>
      <c r="B2424" s="2078"/>
      <c r="C2424" s="2070" t="s">
        <v>737</v>
      </c>
      <c r="D2424" s="2071"/>
      <c r="E2424" s="2079"/>
      <c r="F2424" s="2073"/>
      <c r="G2424" s="2080"/>
      <c r="H2424" s="2074"/>
      <c r="I2424" s="1855"/>
      <c r="J2424" s="2073"/>
      <c r="K2424" s="2075"/>
      <c r="L2424" s="2076"/>
      <c r="M2424" s="2059"/>
      <c r="O2424" s="1863"/>
      <c r="P2424" s="2077"/>
      <c r="Q2424" s="2077"/>
    </row>
    <row r="2425" spans="1:17" ht="22.15" customHeight="1">
      <c r="A2425" s="1901"/>
      <c r="B2425" s="2078"/>
      <c r="C2425" s="2070"/>
      <c r="D2425" s="2071"/>
      <c r="E2425" s="2079"/>
      <c r="F2425" s="2073"/>
      <c r="G2425" s="2080"/>
      <c r="H2425" s="2074"/>
      <c r="I2425" s="1855"/>
      <c r="J2425" s="2073"/>
      <c r="K2425" s="2075"/>
      <c r="L2425" s="2076"/>
      <c r="M2425" s="2059"/>
      <c r="O2425" s="1863"/>
      <c r="P2425" s="2077"/>
      <c r="Q2425" s="2077"/>
    </row>
    <row r="2426" spans="1:17" ht="22.15" customHeight="1">
      <c r="A2426" s="1901"/>
      <c r="B2426" s="2078" t="s">
        <v>425</v>
      </c>
      <c r="C2426" s="2070" t="s">
        <v>2831</v>
      </c>
      <c r="D2426" s="2071"/>
      <c r="E2426" s="2079">
        <v>1</v>
      </c>
      <c r="F2426" s="2073" t="s">
        <v>240</v>
      </c>
      <c r="G2426" s="1853">
        <v>8300</v>
      </c>
      <c r="H2426" s="2074">
        <f t="shared" ref="H2426" si="1084">G2426*E2426</f>
        <v>8300</v>
      </c>
      <c r="I2426" s="1855">
        <v>2490</v>
      </c>
      <c r="J2426" s="2073">
        <f>I2426*E2426</f>
        <v>2490</v>
      </c>
      <c r="K2426" s="2075">
        <f t="shared" ref="K2426" si="1085">H2426+J2426</f>
        <v>10790</v>
      </c>
      <c r="L2426" s="2076"/>
      <c r="M2426" s="2059"/>
      <c r="O2426" s="1863"/>
      <c r="P2426" s="2077"/>
      <c r="Q2426" s="2077"/>
    </row>
    <row r="2427" spans="1:17" ht="22.15" customHeight="1">
      <c r="A2427" s="1901"/>
      <c r="B2427" s="2078"/>
      <c r="C2427" s="2070" t="s">
        <v>738</v>
      </c>
      <c r="D2427" s="2071"/>
      <c r="E2427" s="2079"/>
      <c r="F2427" s="2073"/>
      <c r="G2427" s="2080"/>
      <c r="H2427" s="2074"/>
      <c r="I2427" s="1855"/>
      <c r="J2427" s="2073"/>
      <c r="K2427" s="2075"/>
      <c r="L2427" s="2076"/>
      <c r="M2427" s="2059"/>
      <c r="O2427" s="1863"/>
      <c r="P2427" s="2077"/>
      <c r="Q2427" s="2077"/>
    </row>
    <row r="2428" spans="1:17" ht="22.15" customHeight="1">
      <c r="A2428" s="1901"/>
      <c r="B2428" s="2069" t="s">
        <v>2833</v>
      </c>
      <c r="C2428" s="2070"/>
      <c r="D2428" s="2071"/>
      <c r="E2428" s="2072">
        <v>1</v>
      </c>
      <c r="F2428" s="2073" t="s">
        <v>723</v>
      </c>
      <c r="G2428" s="1853"/>
      <c r="H2428" s="2074"/>
      <c r="I2428" s="1855"/>
      <c r="J2428" s="2073"/>
      <c r="K2428" s="2075"/>
      <c r="L2428" s="2076"/>
      <c r="M2428" s="2059"/>
      <c r="O2428" s="1863"/>
      <c r="P2428" s="2077"/>
      <c r="Q2428" s="2077"/>
    </row>
    <row r="2429" spans="1:17" ht="22.15" customHeight="1">
      <c r="A2429" s="1901"/>
      <c r="B2429" s="2078" t="s">
        <v>425</v>
      </c>
      <c r="C2429" s="2070" t="s">
        <v>740</v>
      </c>
      <c r="D2429" s="2071"/>
      <c r="E2429" s="2079">
        <v>1</v>
      </c>
      <c r="F2429" s="2073" t="s">
        <v>240</v>
      </c>
      <c r="G2429" s="1853">
        <v>6344</v>
      </c>
      <c r="H2429" s="2074">
        <f t="shared" ref="H2429:H2434" si="1086">G2429*E2429</f>
        <v>6344</v>
      </c>
      <c r="I2429" s="1855">
        <v>450</v>
      </c>
      <c r="J2429" s="2073">
        <f t="shared" ref="J2429:J2434" si="1087">I2429*E2429</f>
        <v>450</v>
      </c>
      <c r="K2429" s="2075">
        <f t="shared" ref="K2429:K2434" si="1088">H2429+J2429</f>
        <v>6794</v>
      </c>
      <c r="L2429" s="2076"/>
      <c r="M2429" s="2059"/>
      <c r="O2429" s="1863"/>
      <c r="P2429" s="2077"/>
      <c r="Q2429" s="2077"/>
    </row>
    <row r="2430" spans="1:17" ht="22.15" customHeight="1">
      <c r="A2430" s="1901"/>
      <c r="B2430" s="2078" t="s">
        <v>425</v>
      </c>
      <c r="C2430" s="2070" t="s">
        <v>2822</v>
      </c>
      <c r="D2430" s="2071"/>
      <c r="E2430" s="2079">
        <v>1</v>
      </c>
      <c r="F2430" s="2073" t="s">
        <v>240</v>
      </c>
      <c r="G2430" s="1853">
        <v>6225</v>
      </c>
      <c r="H2430" s="2074">
        <f t="shared" si="1086"/>
        <v>6225</v>
      </c>
      <c r="I2430" s="1855">
        <v>200</v>
      </c>
      <c r="J2430" s="2073">
        <f t="shared" si="1087"/>
        <v>200</v>
      </c>
      <c r="K2430" s="2075">
        <f t="shared" si="1088"/>
        <v>6425</v>
      </c>
      <c r="L2430" s="2076"/>
      <c r="M2430" s="2059"/>
      <c r="O2430" s="1863"/>
      <c r="P2430" s="2077"/>
      <c r="Q2430" s="2077"/>
    </row>
    <row r="2431" spans="1:17" ht="22.15" customHeight="1">
      <c r="A2431" s="1901"/>
      <c r="B2431" s="2078" t="s">
        <v>425</v>
      </c>
      <c r="C2431" s="2070" t="s">
        <v>2823</v>
      </c>
      <c r="D2431" s="2071"/>
      <c r="E2431" s="2079">
        <v>1</v>
      </c>
      <c r="F2431" s="2073" t="s">
        <v>240</v>
      </c>
      <c r="G2431" s="1853">
        <v>315</v>
      </c>
      <c r="H2431" s="2074">
        <f t="shared" si="1086"/>
        <v>315</v>
      </c>
      <c r="I2431" s="1855">
        <v>0</v>
      </c>
      <c r="J2431" s="2073">
        <f t="shared" si="1087"/>
        <v>0</v>
      </c>
      <c r="K2431" s="2075">
        <f t="shared" si="1088"/>
        <v>315</v>
      </c>
      <c r="L2431" s="2076"/>
      <c r="M2431" s="2059"/>
      <c r="O2431" s="1863"/>
      <c r="P2431" s="2077"/>
      <c r="Q2431" s="2077"/>
    </row>
    <row r="2432" spans="1:17" ht="22.15" customHeight="1">
      <c r="A2432" s="1901"/>
      <c r="B2432" s="2078" t="s">
        <v>425</v>
      </c>
      <c r="C2432" s="2070" t="s">
        <v>2824</v>
      </c>
      <c r="D2432" s="2071"/>
      <c r="E2432" s="2079">
        <v>1</v>
      </c>
      <c r="F2432" s="2073" t="s">
        <v>240</v>
      </c>
      <c r="G2432" s="1853">
        <v>690</v>
      </c>
      <c r="H2432" s="2074">
        <f t="shared" si="1086"/>
        <v>690</v>
      </c>
      <c r="I2432" s="1855">
        <v>0</v>
      </c>
      <c r="J2432" s="2073">
        <f t="shared" si="1087"/>
        <v>0</v>
      </c>
      <c r="K2432" s="2075">
        <f t="shared" si="1088"/>
        <v>690</v>
      </c>
      <c r="L2432" s="2076"/>
      <c r="M2432" s="2059"/>
      <c r="O2432" s="1863"/>
      <c r="P2432" s="2077"/>
      <c r="Q2432" s="2077"/>
    </row>
    <row r="2433" spans="1:18" ht="22.15" customHeight="1">
      <c r="A2433" s="1901"/>
      <c r="B2433" s="2078" t="s">
        <v>425</v>
      </c>
      <c r="C2433" s="2070" t="s">
        <v>2825</v>
      </c>
      <c r="D2433" s="2071"/>
      <c r="E2433" s="2079">
        <v>1</v>
      </c>
      <c r="F2433" s="2073" t="s">
        <v>240</v>
      </c>
      <c r="G2433" s="1853">
        <v>165</v>
      </c>
      <c r="H2433" s="2074">
        <f t="shared" si="1086"/>
        <v>165</v>
      </c>
      <c r="I2433" s="1855">
        <v>0</v>
      </c>
      <c r="J2433" s="2073">
        <f t="shared" si="1087"/>
        <v>0</v>
      </c>
      <c r="K2433" s="2075">
        <f t="shared" si="1088"/>
        <v>165</v>
      </c>
      <c r="L2433" s="2076"/>
      <c r="M2433" s="2059"/>
      <c r="O2433" s="1863"/>
      <c r="P2433" s="2077"/>
      <c r="Q2433" s="2077"/>
    </row>
    <row r="2434" spans="1:18" ht="22.15" customHeight="1">
      <c r="A2434" s="1901"/>
      <c r="B2434" s="2078" t="s">
        <v>425</v>
      </c>
      <c r="C2434" s="2070" t="s">
        <v>2826</v>
      </c>
      <c r="D2434" s="2071"/>
      <c r="E2434" s="2079">
        <v>1</v>
      </c>
      <c r="F2434" s="2073" t="s">
        <v>240</v>
      </c>
      <c r="G2434" s="1853">
        <v>202.5</v>
      </c>
      <c r="H2434" s="2074">
        <f t="shared" si="1086"/>
        <v>202.5</v>
      </c>
      <c r="I2434" s="1855">
        <v>35</v>
      </c>
      <c r="J2434" s="2073">
        <f t="shared" si="1087"/>
        <v>35</v>
      </c>
      <c r="K2434" s="2075">
        <f t="shared" si="1088"/>
        <v>237.5</v>
      </c>
      <c r="L2434" s="2076"/>
      <c r="M2434" s="2059"/>
      <c r="O2434" s="1863"/>
      <c r="P2434" s="2077"/>
      <c r="Q2434" s="2077"/>
    </row>
    <row r="2435" spans="1:18" ht="22.15" customHeight="1">
      <c r="A2435" s="1901"/>
      <c r="B2435" s="2078"/>
      <c r="C2435" s="2070"/>
      <c r="D2435" s="2071"/>
      <c r="E2435" s="2079"/>
      <c r="F2435" s="2073"/>
      <c r="G2435" s="1853"/>
      <c r="H2435" s="2074"/>
      <c r="I2435" s="1855"/>
      <c r="J2435" s="2073"/>
      <c r="K2435" s="2075"/>
      <c r="L2435" s="2076"/>
      <c r="M2435" s="2059"/>
      <c r="O2435" s="1863"/>
      <c r="P2435" s="2077"/>
      <c r="Q2435" s="2077"/>
    </row>
    <row r="2436" spans="1:18" ht="22.15" customHeight="1">
      <c r="A2436" s="1901"/>
      <c r="B2436" s="2078" t="s">
        <v>425</v>
      </c>
      <c r="C2436" s="1755" t="s">
        <v>2834</v>
      </c>
      <c r="D2436" s="2071"/>
      <c r="E2436" s="2079">
        <v>1</v>
      </c>
      <c r="F2436" s="2073" t="s">
        <v>240</v>
      </c>
      <c r="G2436" s="1853">
        <v>6110</v>
      </c>
      <c r="H2436" s="2074">
        <f t="shared" ref="H2436:H2439" si="1089">G2436*E2436</f>
        <v>6110</v>
      </c>
      <c r="I2436" s="1855">
        <v>450</v>
      </c>
      <c r="J2436" s="2073">
        <f t="shared" ref="J2436:J2439" si="1090">I2436*E2436</f>
        <v>450</v>
      </c>
      <c r="K2436" s="2075">
        <f t="shared" ref="K2436:K2439" si="1091">H2436+J2436</f>
        <v>6560</v>
      </c>
      <c r="L2436" s="2076"/>
      <c r="M2436" s="2059"/>
      <c r="O2436" s="1863"/>
      <c r="P2436" s="2077"/>
      <c r="Q2436" s="2077"/>
    </row>
    <row r="2437" spans="1:18" ht="22.15" customHeight="1">
      <c r="A2437" s="1901"/>
      <c r="B2437" s="2078" t="s">
        <v>425</v>
      </c>
      <c r="C2437" s="1755" t="s">
        <v>2825</v>
      </c>
      <c r="D2437" s="2071"/>
      <c r="E2437" s="2079">
        <v>1</v>
      </c>
      <c r="F2437" s="2073" t="s">
        <v>240</v>
      </c>
      <c r="G2437" s="1853">
        <v>165</v>
      </c>
      <c r="H2437" s="2074">
        <f t="shared" si="1089"/>
        <v>165</v>
      </c>
      <c r="I2437" s="1855">
        <v>0</v>
      </c>
      <c r="J2437" s="2073">
        <f t="shared" si="1090"/>
        <v>0</v>
      </c>
      <c r="K2437" s="2075">
        <f t="shared" si="1091"/>
        <v>165</v>
      </c>
      <c r="L2437" s="2076"/>
      <c r="M2437" s="2059"/>
      <c r="O2437" s="1863"/>
      <c r="P2437" s="2077"/>
      <c r="Q2437" s="2077"/>
    </row>
    <row r="2438" spans="1:18" ht="22.15" customHeight="1">
      <c r="A2438" s="1901"/>
      <c r="B2438" s="2078" t="s">
        <v>425</v>
      </c>
      <c r="C2438" s="1755" t="s">
        <v>2835</v>
      </c>
      <c r="D2438" s="2071"/>
      <c r="E2438" s="2079">
        <v>1</v>
      </c>
      <c r="F2438" s="2073" t="s">
        <v>240</v>
      </c>
      <c r="G2438" s="1853">
        <v>525</v>
      </c>
      <c r="H2438" s="2074">
        <f t="shared" si="1089"/>
        <v>525</v>
      </c>
      <c r="I2438" s="1855">
        <v>35</v>
      </c>
      <c r="J2438" s="2073">
        <f t="shared" si="1090"/>
        <v>35</v>
      </c>
      <c r="K2438" s="2075">
        <f t="shared" si="1091"/>
        <v>560</v>
      </c>
      <c r="L2438" s="2076"/>
      <c r="M2438" s="2059"/>
      <c r="O2438" s="1863"/>
      <c r="P2438" s="2077"/>
      <c r="Q2438" s="2077"/>
    </row>
    <row r="2439" spans="1:18" ht="22.15" customHeight="1">
      <c r="A2439" s="1901"/>
      <c r="B2439" s="2078" t="s">
        <v>425</v>
      </c>
      <c r="C2439" s="1755" t="s">
        <v>2826</v>
      </c>
      <c r="D2439" s="2071"/>
      <c r="E2439" s="2079">
        <v>2</v>
      </c>
      <c r="F2439" s="2073" t="s">
        <v>240</v>
      </c>
      <c r="G2439" s="2080">
        <v>202.5</v>
      </c>
      <c r="H2439" s="2074">
        <f t="shared" si="1089"/>
        <v>405</v>
      </c>
      <c r="I2439" s="1855">
        <v>35</v>
      </c>
      <c r="J2439" s="2073">
        <f t="shared" si="1090"/>
        <v>70</v>
      </c>
      <c r="K2439" s="2075">
        <f t="shared" si="1091"/>
        <v>475</v>
      </c>
      <c r="L2439" s="2076"/>
      <c r="M2439" s="2059"/>
      <c r="O2439" s="1863"/>
      <c r="P2439" s="2077"/>
      <c r="Q2439" s="2077"/>
    </row>
    <row r="2440" spans="1:18" ht="22.15" customHeight="1">
      <c r="A2440" s="1901"/>
      <c r="B2440" s="2078"/>
      <c r="C2440" s="1755"/>
      <c r="D2440" s="2071"/>
      <c r="E2440" s="2079"/>
      <c r="F2440" s="2073"/>
      <c r="G2440" s="1853"/>
      <c r="H2440" s="2074"/>
      <c r="I2440" s="1855"/>
      <c r="J2440" s="2073"/>
      <c r="K2440" s="2075"/>
      <c r="L2440" s="2076"/>
      <c r="M2440" s="2059"/>
      <c r="O2440" s="1863"/>
      <c r="P2440" s="2077"/>
      <c r="Q2440" s="2077"/>
      <c r="R2440" s="2077"/>
    </row>
    <row r="2441" spans="1:18" ht="22.15" customHeight="1">
      <c r="A2441" s="1901"/>
      <c r="B2441" s="2078" t="s">
        <v>425</v>
      </c>
      <c r="C2441" s="1755" t="s">
        <v>743</v>
      </c>
      <c r="D2441" s="2071"/>
      <c r="E2441" s="2079">
        <v>1</v>
      </c>
      <c r="F2441" s="2073" t="s">
        <v>240</v>
      </c>
      <c r="G2441" s="1853">
        <v>517.5</v>
      </c>
      <c r="H2441" s="2074">
        <f t="shared" ref="H2441:H2443" si="1092">G2441*E2441</f>
        <v>517.5</v>
      </c>
      <c r="I2441" s="1855">
        <v>25</v>
      </c>
      <c r="J2441" s="2073">
        <f t="shared" ref="J2441:J2443" si="1093">I2441*E2441</f>
        <v>25</v>
      </c>
      <c r="K2441" s="2075">
        <f t="shared" ref="K2441:K2443" si="1094">H2441+J2441</f>
        <v>542.5</v>
      </c>
      <c r="L2441" s="2076"/>
      <c r="M2441" s="2059"/>
      <c r="O2441" s="1863"/>
      <c r="P2441" s="2077"/>
      <c r="Q2441" s="2077"/>
      <c r="R2441" s="2077"/>
    </row>
    <row r="2442" spans="1:18" ht="22.15" customHeight="1">
      <c r="A2442" s="1901"/>
      <c r="B2442" s="2078" t="s">
        <v>425</v>
      </c>
      <c r="C2442" s="1755" t="s">
        <v>2836</v>
      </c>
      <c r="D2442" s="2071"/>
      <c r="E2442" s="2079">
        <v>1</v>
      </c>
      <c r="F2442" s="2073" t="s">
        <v>240</v>
      </c>
      <c r="G2442" s="2080">
        <v>397.5</v>
      </c>
      <c r="H2442" s="2074">
        <f t="shared" si="1092"/>
        <v>397.5</v>
      </c>
      <c r="I2442" s="1855">
        <v>70</v>
      </c>
      <c r="J2442" s="2073">
        <f t="shared" si="1093"/>
        <v>70</v>
      </c>
      <c r="K2442" s="2075">
        <f t="shared" si="1094"/>
        <v>467.5</v>
      </c>
      <c r="L2442" s="2073"/>
      <c r="M2442" s="2081"/>
      <c r="O2442" s="1863"/>
      <c r="P2442" s="2077"/>
      <c r="Q2442" s="2077"/>
      <c r="R2442" s="2077"/>
    </row>
    <row r="2443" spans="1:18" ht="22.15" customHeight="1">
      <c r="A2443" s="1901"/>
      <c r="B2443" s="2078" t="s">
        <v>425</v>
      </c>
      <c r="C2443" s="1755" t="s">
        <v>728</v>
      </c>
      <c r="D2443" s="2071"/>
      <c r="E2443" s="2079">
        <v>1</v>
      </c>
      <c r="F2443" s="2073" t="s">
        <v>240</v>
      </c>
      <c r="G2443" s="1853">
        <v>525</v>
      </c>
      <c r="H2443" s="2074">
        <f t="shared" si="1092"/>
        <v>525</v>
      </c>
      <c r="I2443" s="1855">
        <v>75</v>
      </c>
      <c r="J2443" s="2073">
        <f t="shared" si="1093"/>
        <v>75</v>
      </c>
      <c r="K2443" s="2075">
        <f t="shared" si="1094"/>
        <v>600</v>
      </c>
      <c r="L2443" s="2076"/>
      <c r="M2443" s="2059"/>
      <c r="O2443" s="1863"/>
      <c r="P2443" s="2077"/>
      <c r="Q2443" s="2077"/>
      <c r="R2443" s="2077"/>
    </row>
    <row r="2444" spans="1:18" ht="22.15" customHeight="1">
      <c r="A2444" s="1901"/>
      <c r="B2444" s="2078"/>
      <c r="C2444" s="1755"/>
      <c r="D2444" s="2071"/>
      <c r="E2444" s="2079"/>
      <c r="F2444" s="2073"/>
      <c r="G2444" s="1853"/>
      <c r="H2444" s="2074"/>
      <c r="I2444" s="1855"/>
      <c r="J2444" s="2073"/>
      <c r="K2444" s="2075"/>
      <c r="L2444" s="2076"/>
      <c r="M2444" s="2059"/>
      <c r="O2444" s="1863"/>
      <c r="P2444" s="2077"/>
      <c r="Q2444" s="2077"/>
    </row>
    <row r="2445" spans="1:18" ht="22.15" customHeight="1">
      <c r="A2445" s="1901"/>
      <c r="B2445" s="2078" t="s">
        <v>425</v>
      </c>
      <c r="C2445" s="1755" t="s">
        <v>730</v>
      </c>
      <c r="D2445" s="2071"/>
      <c r="E2445" s="2079">
        <v>1</v>
      </c>
      <c r="F2445" s="2073" t="s">
        <v>240</v>
      </c>
      <c r="G2445" s="2080">
        <v>1320</v>
      </c>
      <c r="H2445" s="2074">
        <f t="shared" ref="H2445:H2449" si="1095">G2445*E2445</f>
        <v>1320</v>
      </c>
      <c r="I2445" s="1855">
        <v>70</v>
      </c>
      <c r="J2445" s="2073">
        <f t="shared" ref="J2445:J2449" si="1096">I2445*E2445</f>
        <v>70</v>
      </c>
      <c r="K2445" s="2075">
        <f t="shared" ref="K2445:K2449" si="1097">H2445+J2445</f>
        <v>1390</v>
      </c>
      <c r="L2445" s="2076"/>
      <c r="M2445" s="2059"/>
      <c r="O2445" s="1863"/>
      <c r="P2445" s="2077"/>
      <c r="Q2445" s="2077"/>
    </row>
    <row r="2446" spans="1:18" ht="22.15" customHeight="1">
      <c r="A2446" s="1901"/>
      <c r="B2446" s="2078" t="s">
        <v>425</v>
      </c>
      <c r="C2446" s="1755" t="s">
        <v>741</v>
      </c>
      <c r="D2446" s="2071"/>
      <c r="E2446" s="2079">
        <v>1</v>
      </c>
      <c r="F2446" s="2073" t="s">
        <v>240</v>
      </c>
      <c r="G2446" s="2080">
        <v>9750</v>
      </c>
      <c r="H2446" s="2074">
        <f t="shared" si="1095"/>
        <v>9750</v>
      </c>
      <c r="I2446" s="1855">
        <v>105</v>
      </c>
      <c r="J2446" s="2073">
        <f t="shared" si="1096"/>
        <v>105</v>
      </c>
      <c r="K2446" s="2075">
        <f t="shared" si="1097"/>
        <v>9855</v>
      </c>
      <c r="L2446" s="2076"/>
      <c r="M2446" s="2059"/>
      <c r="O2446" s="1863"/>
      <c r="P2446" s="2077"/>
      <c r="Q2446" s="2077"/>
    </row>
    <row r="2447" spans="1:18" ht="22.15" customHeight="1">
      <c r="A2447" s="1901"/>
      <c r="B2447" s="2078" t="s">
        <v>425</v>
      </c>
      <c r="C2447" s="1755" t="s">
        <v>742</v>
      </c>
      <c r="D2447" s="2071"/>
      <c r="E2447" s="2079">
        <v>1</v>
      </c>
      <c r="F2447" s="2073" t="s">
        <v>240</v>
      </c>
      <c r="G2447" s="2080">
        <v>5200</v>
      </c>
      <c r="H2447" s="2074">
        <f t="shared" si="1095"/>
        <v>5200</v>
      </c>
      <c r="I2447" s="1855">
        <v>70</v>
      </c>
      <c r="J2447" s="2073">
        <f t="shared" si="1096"/>
        <v>70</v>
      </c>
      <c r="K2447" s="2075">
        <f t="shared" si="1097"/>
        <v>5270</v>
      </c>
      <c r="L2447" s="2076"/>
      <c r="M2447" s="2059"/>
      <c r="O2447" s="1863"/>
      <c r="P2447" s="2077"/>
      <c r="Q2447" s="2077"/>
    </row>
    <row r="2448" spans="1:18" ht="22.15" customHeight="1">
      <c r="A2448" s="1901"/>
      <c r="B2448" s="2078" t="s">
        <v>425</v>
      </c>
      <c r="C2448" s="1755" t="s">
        <v>2837</v>
      </c>
      <c r="D2448" s="2071"/>
      <c r="E2448" s="2079">
        <v>2</v>
      </c>
      <c r="F2448" s="2073" t="s">
        <v>240</v>
      </c>
      <c r="G2448" s="2080">
        <v>4160</v>
      </c>
      <c r="H2448" s="2074">
        <f t="shared" si="1095"/>
        <v>8320</v>
      </c>
      <c r="I2448" s="1855">
        <v>105</v>
      </c>
      <c r="J2448" s="2073">
        <f t="shared" si="1096"/>
        <v>210</v>
      </c>
      <c r="K2448" s="2075">
        <f t="shared" si="1097"/>
        <v>8530</v>
      </c>
      <c r="L2448" s="2076"/>
      <c r="M2448" s="2059"/>
      <c r="O2448" s="1863"/>
      <c r="P2448" s="2077"/>
      <c r="Q2448" s="2077"/>
    </row>
    <row r="2449" spans="1:17" ht="22.15" customHeight="1">
      <c r="A2449" s="1901"/>
      <c r="B2449" s="2078" t="s">
        <v>425</v>
      </c>
      <c r="C2449" s="1755" t="s">
        <v>2838</v>
      </c>
      <c r="D2449" s="2071"/>
      <c r="E2449" s="2079">
        <v>1</v>
      </c>
      <c r="F2449" s="2073" t="s">
        <v>240</v>
      </c>
      <c r="G2449" s="2080">
        <v>2533.5</v>
      </c>
      <c r="H2449" s="2074">
        <f t="shared" si="1095"/>
        <v>2533.5</v>
      </c>
      <c r="I2449" s="1855">
        <v>105</v>
      </c>
      <c r="J2449" s="2073">
        <f t="shared" si="1096"/>
        <v>105</v>
      </c>
      <c r="K2449" s="2075">
        <f t="shared" si="1097"/>
        <v>2638.5</v>
      </c>
      <c r="L2449" s="2073"/>
      <c r="M2449" s="2081"/>
      <c r="O2449" s="1863"/>
      <c r="P2449" s="2077"/>
      <c r="Q2449" s="2077"/>
    </row>
    <row r="2450" spans="1:17" ht="22.15" customHeight="1">
      <c r="A2450" s="1901"/>
      <c r="B2450" s="2078"/>
      <c r="C2450" s="1755"/>
      <c r="D2450" s="2071"/>
      <c r="E2450" s="2079"/>
      <c r="F2450" s="2073"/>
      <c r="G2450" s="1853"/>
      <c r="H2450" s="2074"/>
      <c r="I2450" s="1855"/>
      <c r="J2450" s="2073"/>
      <c r="K2450" s="2075"/>
      <c r="L2450" s="2076"/>
      <c r="M2450" s="2059"/>
      <c r="O2450" s="1863"/>
      <c r="P2450" s="2077"/>
      <c r="Q2450" s="2077"/>
    </row>
    <row r="2451" spans="1:17" ht="22.15" customHeight="1">
      <c r="A2451" s="1901"/>
      <c r="B2451" s="2078" t="s">
        <v>425</v>
      </c>
      <c r="C2451" s="1755" t="s">
        <v>2839</v>
      </c>
      <c r="D2451" s="2071"/>
      <c r="E2451" s="2079">
        <v>1</v>
      </c>
      <c r="F2451" s="2073" t="s">
        <v>240</v>
      </c>
      <c r="G2451" s="2084">
        <v>2855</v>
      </c>
      <c r="H2451" s="2085">
        <f t="shared" ref="H2451" si="1098">G2451*E2451</f>
        <v>2855</v>
      </c>
      <c r="I2451" s="1904">
        <v>1432</v>
      </c>
      <c r="J2451" s="2086">
        <f t="shared" ref="J2451" si="1099">I2451*E2451</f>
        <v>1432</v>
      </c>
      <c r="K2451" s="2087">
        <f t="shared" ref="K2451" si="1100">H2451+J2451</f>
        <v>4287</v>
      </c>
      <c r="L2451" s="2076"/>
      <c r="M2451" s="2059"/>
      <c r="O2451" s="1863"/>
      <c r="P2451" s="2077"/>
      <c r="Q2451" s="2077"/>
    </row>
    <row r="2452" spans="1:17" ht="22.15" customHeight="1">
      <c r="A2452" s="1901"/>
      <c r="B2452" s="2078"/>
      <c r="C2452" s="1755" t="s">
        <v>2840</v>
      </c>
      <c r="D2452" s="2071"/>
      <c r="E2452" s="2079"/>
      <c r="F2452" s="2073"/>
      <c r="G2452" s="1853"/>
      <c r="H2452" s="2074"/>
      <c r="I2452" s="1855"/>
      <c r="J2452" s="2073"/>
      <c r="K2452" s="2075"/>
      <c r="L2452" s="2076"/>
      <c r="M2452" s="2059"/>
      <c r="O2452" s="1863"/>
      <c r="P2452" s="2077"/>
      <c r="Q2452" s="2077"/>
    </row>
    <row r="2453" spans="1:17" ht="22.15" customHeight="1">
      <c r="A2453" s="1901"/>
      <c r="B2453" s="2089" t="s">
        <v>2841</v>
      </c>
      <c r="C2453" s="2070"/>
      <c r="D2453" s="2071"/>
      <c r="E2453" s="2072">
        <v>1</v>
      </c>
      <c r="F2453" s="2073" t="s">
        <v>723</v>
      </c>
      <c r="G2453" s="1853"/>
      <c r="H2453" s="2074"/>
      <c r="I2453" s="1855"/>
      <c r="J2453" s="2073"/>
      <c r="K2453" s="2075"/>
      <c r="L2453" s="2076"/>
      <c r="M2453" s="2059"/>
      <c r="O2453" s="1863"/>
      <c r="P2453" s="2077"/>
      <c r="Q2453" s="2077"/>
    </row>
    <row r="2454" spans="1:17" ht="22.15" customHeight="1">
      <c r="A2454" s="1901"/>
      <c r="B2454" s="2078" t="s">
        <v>425</v>
      </c>
      <c r="C2454" s="1755" t="s">
        <v>743</v>
      </c>
      <c r="D2454" s="2071"/>
      <c r="E2454" s="2079">
        <v>1</v>
      </c>
      <c r="F2454" s="2073" t="s">
        <v>240</v>
      </c>
      <c r="G2454" s="1853">
        <v>517.5</v>
      </c>
      <c r="H2454" s="2074">
        <f t="shared" ref="H2454:H2456" si="1101">G2454*E2454</f>
        <v>517.5</v>
      </c>
      <c r="I2454" s="1855">
        <v>25</v>
      </c>
      <c r="J2454" s="2073">
        <f>I2454*E2454</f>
        <v>25</v>
      </c>
      <c r="K2454" s="2075">
        <f>H2454+J2454</f>
        <v>542.5</v>
      </c>
      <c r="L2454" s="2076"/>
      <c r="M2454" s="2059"/>
      <c r="O2454" s="1863"/>
      <c r="P2454" s="2077"/>
      <c r="Q2454" s="2077"/>
    </row>
    <row r="2455" spans="1:17" ht="22.15" customHeight="1">
      <c r="A2455" s="1901"/>
      <c r="B2455" s="2078" t="s">
        <v>425</v>
      </c>
      <c r="C2455" s="1755" t="s">
        <v>744</v>
      </c>
      <c r="D2455" s="2071"/>
      <c r="E2455" s="2079">
        <v>2</v>
      </c>
      <c r="F2455" s="2073" t="s">
        <v>240</v>
      </c>
      <c r="G2455" s="1853">
        <v>525</v>
      </c>
      <c r="H2455" s="2074">
        <f t="shared" si="1101"/>
        <v>1050</v>
      </c>
      <c r="I2455" s="1855">
        <v>75</v>
      </c>
      <c r="J2455" s="2073">
        <f>I2455*E2455</f>
        <v>150</v>
      </c>
      <c r="K2455" s="2075">
        <f>H2455+J2455</f>
        <v>1200</v>
      </c>
      <c r="L2455" s="2076"/>
      <c r="M2455" s="2059"/>
      <c r="O2455" s="1863"/>
      <c r="P2455" s="2077"/>
      <c r="Q2455" s="2077"/>
    </row>
    <row r="2456" spans="1:17" ht="22.15" customHeight="1">
      <c r="A2456" s="1901"/>
      <c r="B2456" s="2078" t="s">
        <v>425</v>
      </c>
      <c r="C2456" s="1755" t="s">
        <v>745</v>
      </c>
      <c r="D2456" s="2071"/>
      <c r="E2456" s="2079">
        <v>1</v>
      </c>
      <c r="F2456" s="2073" t="s">
        <v>240</v>
      </c>
      <c r="G2456" s="2080">
        <v>397.5</v>
      </c>
      <c r="H2456" s="2074">
        <f t="shared" si="1101"/>
        <v>397.5</v>
      </c>
      <c r="I2456" s="1855">
        <v>70</v>
      </c>
      <c r="J2456" s="2073">
        <f t="shared" ref="J2456" si="1102">I2456*E2456</f>
        <v>70</v>
      </c>
      <c r="K2456" s="2075">
        <f t="shared" ref="K2456" si="1103">H2456+J2456</f>
        <v>467.5</v>
      </c>
      <c r="L2456" s="2073"/>
      <c r="M2456" s="2081"/>
      <c r="O2456" s="1863"/>
      <c r="P2456" s="2077"/>
      <c r="Q2456" s="2077"/>
    </row>
    <row r="2457" spans="1:17" ht="22.15" customHeight="1">
      <c r="A2457" s="1901"/>
      <c r="B2457" s="2078"/>
      <c r="C2457" s="1755"/>
      <c r="D2457" s="2071"/>
      <c r="E2457" s="2079"/>
      <c r="F2457" s="2073"/>
      <c r="G2457" s="2080"/>
      <c r="H2457" s="2074"/>
      <c r="I2457" s="1855"/>
      <c r="J2457" s="2073"/>
      <c r="K2457" s="2075"/>
      <c r="L2457" s="2073"/>
      <c r="M2457" s="2081"/>
      <c r="O2457" s="1863"/>
      <c r="P2457" s="2077"/>
      <c r="Q2457" s="2077"/>
    </row>
    <row r="2458" spans="1:17" ht="22.15" customHeight="1">
      <c r="A2458" s="1901"/>
      <c r="B2458" s="2078"/>
      <c r="C2458" s="1755"/>
      <c r="D2458" s="2071"/>
      <c r="E2458" s="2079"/>
      <c r="F2458" s="2073"/>
      <c r="G2458" s="2080"/>
      <c r="H2458" s="2074"/>
      <c r="I2458" s="1855"/>
      <c r="J2458" s="2073"/>
      <c r="K2458" s="2075"/>
      <c r="L2458" s="2073"/>
      <c r="M2458" s="2081"/>
      <c r="O2458" s="1863"/>
      <c r="P2458" s="2077"/>
      <c r="Q2458" s="2077"/>
    </row>
    <row r="2459" spans="1:17" ht="22.15" customHeight="1">
      <c r="A2459" s="1901"/>
      <c r="B2459" s="2069" t="s">
        <v>2842</v>
      </c>
      <c r="C2459" s="2070"/>
      <c r="D2459" s="2071"/>
      <c r="E2459" s="2072">
        <v>1</v>
      </c>
      <c r="F2459" s="2073" t="s">
        <v>723</v>
      </c>
      <c r="G2459" s="1853"/>
      <c r="H2459" s="2074"/>
      <c r="I2459" s="1855"/>
      <c r="J2459" s="2073"/>
      <c r="K2459" s="2075"/>
      <c r="L2459" s="2076"/>
      <c r="M2459" s="2059"/>
      <c r="O2459" s="1863"/>
      <c r="P2459" s="2077"/>
      <c r="Q2459" s="2077"/>
    </row>
    <row r="2460" spans="1:17" ht="22.15" customHeight="1">
      <c r="A2460" s="1901"/>
      <c r="B2460" s="2078" t="s">
        <v>425</v>
      </c>
      <c r="C2460" s="2070" t="s">
        <v>724</v>
      </c>
      <c r="D2460" s="2071"/>
      <c r="E2460" s="2079">
        <v>9</v>
      </c>
      <c r="F2460" s="2073" t="s">
        <v>240</v>
      </c>
      <c r="G2460" s="1853">
        <v>1430</v>
      </c>
      <c r="H2460" s="2074">
        <f t="shared" ref="H2460:H2465" si="1104">G2460*E2460</f>
        <v>12870</v>
      </c>
      <c r="I2460" s="1855">
        <v>450</v>
      </c>
      <c r="J2460" s="2073">
        <f t="shared" ref="J2460:J2465" si="1105">I2460*E2460</f>
        <v>4050</v>
      </c>
      <c r="K2460" s="2075">
        <f t="shared" ref="K2460:K2465" si="1106">H2460+J2460</f>
        <v>16920</v>
      </c>
      <c r="L2460" s="2076"/>
      <c r="M2460" s="2059"/>
      <c r="O2460" s="1863"/>
      <c r="P2460" s="2077"/>
      <c r="Q2460" s="2077"/>
    </row>
    <row r="2461" spans="1:17" ht="22.15" customHeight="1">
      <c r="A2461" s="1901"/>
      <c r="B2461" s="2078" t="s">
        <v>425</v>
      </c>
      <c r="C2461" s="2070" t="s">
        <v>2822</v>
      </c>
      <c r="D2461" s="2071"/>
      <c r="E2461" s="2079">
        <v>9</v>
      </c>
      <c r="F2461" s="2073" t="s">
        <v>240</v>
      </c>
      <c r="G2461" s="1853">
        <v>6225</v>
      </c>
      <c r="H2461" s="2074">
        <f t="shared" si="1104"/>
        <v>56025</v>
      </c>
      <c r="I2461" s="1855">
        <v>200</v>
      </c>
      <c r="J2461" s="2073">
        <f t="shared" si="1105"/>
        <v>1800</v>
      </c>
      <c r="K2461" s="2075">
        <f t="shared" si="1106"/>
        <v>57825</v>
      </c>
      <c r="L2461" s="2076"/>
      <c r="M2461" s="2059"/>
      <c r="O2461" s="1863"/>
      <c r="P2461" s="2077"/>
      <c r="Q2461" s="2077"/>
    </row>
    <row r="2462" spans="1:17" ht="22.15" customHeight="1">
      <c r="A2462" s="1901"/>
      <c r="B2462" s="2078" t="s">
        <v>425</v>
      </c>
      <c r="C2462" s="2070" t="s">
        <v>2823</v>
      </c>
      <c r="D2462" s="2071"/>
      <c r="E2462" s="2079">
        <v>9</v>
      </c>
      <c r="F2462" s="2073" t="s">
        <v>240</v>
      </c>
      <c r="G2462" s="1853">
        <v>315</v>
      </c>
      <c r="H2462" s="2074">
        <f t="shared" si="1104"/>
        <v>2835</v>
      </c>
      <c r="I2462" s="1855">
        <v>0</v>
      </c>
      <c r="J2462" s="2073">
        <f t="shared" si="1105"/>
        <v>0</v>
      </c>
      <c r="K2462" s="2075">
        <f t="shared" si="1106"/>
        <v>2835</v>
      </c>
      <c r="L2462" s="2076"/>
      <c r="M2462" s="2059"/>
      <c r="O2462" s="1863"/>
      <c r="P2462" s="2077"/>
      <c r="Q2462" s="2077"/>
    </row>
    <row r="2463" spans="1:17" ht="22.15" customHeight="1">
      <c r="A2463" s="1901"/>
      <c r="B2463" s="2078" t="s">
        <v>425</v>
      </c>
      <c r="C2463" s="2070" t="s">
        <v>2824</v>
      </c>
      <c r="D2463" s="2071"/>
      <c r="E2463" s="2079">
        <v>9</v>
      </c>
      <c r="F2463" s="2073" t="s">
        <v>240</v>
      </c>
      <c r="G2463" s="1853">
        <v>690</v>
      </c>
      <c r="H2463" s="2074">
        <f t="shared" si="1104"/>
        <v>6210</v>
      </c>
      <c r="I2463" s="1855">
        <v>0</v>
      </c>
      <c r="J2463" s="2073">
        <f t="shared" si="1105"/>
        <v>0</v>
      </c>
      <c r="K2463" s="2075">
        <f t="shared" si="1106"/>
        <v>6210</v>
      </c>
      <c r="L2463" s="2076"/>
      <c r="M2463" s="2059"/>
      <c r="O2463" s="1863"/>
      <c r="P2463" s="2077"/>
      <c r="Q2463" s="2077"/>
    </row>
    <row r="2464" spans="1:17" ht="22.15" customHeight="1">
      <c r="A2464" s="1901"/>
      <c r="B2464" s="2078" t="s">
        <v>425</v>
      </c>
      <c r="C2464" s="2070" t="s">
        <v>2825</v>
      </c>
      <c r="D2464" s="2071"/>
      <c r="E2464" s="2079">
        <v>9</v>
      </c>
      <c r="F2464" s="2073" t="s">
        <v>240</v>
      </c>
      <c r="G2464" s="1853">
        <v>165</v>
      </c>
      <c r="H2464" s="2074">
        <f t="shared" si="1104"/>
        <v>1485</v>
      </c>
      <c r="I2464" s="1855">
        <v>0</v>
      </c>
      <c r="J2464" s="2073">
        <f t="shared" si="1105"/>
        <v>0</v>
      </c>
      <c r="K2464" s="2075">
        <f t="shared" si="1106"/>
        <v>1485</v>
      </c>
      <c r="L2464" s="2076"/>
      <c r="M2464" s="2059"/>
      <c r="O2464" s="1863"/>
      <c r="P2464" s="2077"/>
      <c r="Q2464" s="2077"/>
    </row>
    <row r="2465" spans="1:17" ht="22.15" customHeight="1">
      <c r="A2465" s="1901"/>
      <c r="B2465" s="2078" t="s">
        <v>425</v>
      </c>
      <c r="C2465" s="2070" t="s">
        <v>2826</v>
      </c>
      <c r="D2465" s="2071"/>
      <c r="E2465" s="2079">
        <v>9</v>
      </c>
      <c r="F2465" s="2073" t="s">
        <v>240</v>
      </c>
      <c r="G2465" s="1853">
        <v>202.5</v>
      </c>
      <c r="H2465" s="2074">
        <f t="shared" si="1104"/>
        <v>1822.5</v>
      </c>
      <c r="I2465" s="1855">
        <v>35</v>
      </c>
      <c r="J2465" s="2073">
        <f t="shared" si="1105"/>
        <v>315</v>
      </c>
      <c r="K2465" s="2075">
        <f t="shared" si="1106"/>
        <v>2137.5</v>
      </c>
      <c r="L2465" s="2076"/>
      <c r="M2465" s="2059"/>
      <c r="O2465" s="1863"/>
      <c r="P2465" s="2077"/>
      <c r="Q2465" s="2077"/>
    </row>
    <row r="2466" spans="1:17" ht="22.15" customHeight="1">
      <c r="A2466" s="1901"/>
      <c r="B2466" s="2078"/>
      <c r="C2466" s="2070"/>
      <c r="D2466" s="2071"/>
      <c r="E2466" s="2079"/>
      <c r="F2466" s="2073"/>
      <c r="G2466" s="1853"/>
      <c r="H2466" s="2074"/>
      <c r="I2466" s="1855"/>
      <c r="J2466" s="2073"/>
      <c r="K2466" s="2075"/>
      <c r="L2466" s="2076"/>
      <c r="M2466" s="2059"/>
      <c r="O2466" s="1863"/>
      <c r="P2466" s="2077"/>
      <c r="Q2466" s="2077"/>
    </row>
    <row r="2467" spans="1:17" ht="22.15" customHeight="1">
      <c r="A2467" s="1901"/>
      <c r="B2467" s="2078" t="s">
        <v>425</v>
      </c>
      <c r="C2467" s="2070" t="s">
        <v>725</v>
      </c>
      <c r="D2467" s="2071"/>
      <c r="E2467" s="2079">
        <v>8</v>
      </c>
      <c r="F2467" s="2073" t="s">
        <v>240</v>
      </c>
      <c r="G2467" s="1853">
        <v>8723</v>
      </c>
      <c r="H2467" s="2074">
        <f t="shared" ref="H2467:H2469" si="1107">G2467*E2467</f>
        <v>69784</v>
      </c>
      <c r="I2467" s="1855">
        <v>450</v>
      </c>
      <c r="J2467" s="2073">
        <f t="shared" ref="J2467:J2469" si="1108">I2467*E2467</f>
        <v>3600</v>
      </c>
      <c r="K2467" s="2075">
        <f t="shared" ref="K2467:K2469" si="1109">H2467+J2467</f>
        <v>73384</v>
      </c>
      <c r="L2467" s="2076"/>
      <c r="M2467" s="2059"/>
      <c r="O2467" s="1863"/>
      <c r="P2467" s="2077"/>
      <c r="Q2467" s="2077"/>
    </row>
    <row r="2468" spans="1:17" ht="22.15" customHeight="1">
      <c r="A2468" s="1901"/>
      <c r="B2468" s="2078" t="s">
        <v>425</v>
      </c>
      <c r="C2468" s="2070" t="s">
        <v>726</v>
      </c>
      <c r="D2468" s="2071"/>
      <c r="E2468" s="2079">
        <v>8</v>
      </c>
      <c r="F2468" s="2073" t="s">
        <v>240</v>
      </c>
      <c r="G2468" s="1853">
        <v>2430</v>
      </c>
      <c r="H2468" s="2074">
        <f t="shared" si="1107"/>
        <v>19440</v>
      </c>
      <c r="I2468" s="1855">
        <v>0</v>
      </c>
      <c r="J2468" s="2073">
        <f t="shared" si="1108"/>
        <v>0</v>
      </c>
      <c r="K2468" s="2075">
        <f t="shared" si="1109"/>
        <v>19440</v>
      </c>
      <c r="L2468" s="2076"/>
      <c r="M2468" s="2059"/>
      <c r="O2468" s="1863"/>
      <c r="P2468" s="2077"/>
      <c r="Q2468" s="2077"/>
    </row>
    <row r="2469" spans="1:17" ht="22.15" customHeight="1">
      <c r="A2469" s="1901"/>
      <c r="B2469" s="2078" t="s">
        <v>425</v>
      </c>
      <c r="C2469" s="2070" t="s">
        <v>2826</v>
      </c>
      <c r="D2469" s="2071"/>
      <c r="E2469" s="2079">
        <v>8</v>
      </c>
      <c r="F2469" s="2073" t="s">
        <v>240</v>
      </c>
      <c r="G2469" s="2080">
        <v>202.5</v>
      </c>
      <c r="H2469" s="2074">
        <f t="shared" si="1107"/>
        <v>1620</v>
      </c>
      <c r="I2469" s="1855">
        <v>35</v>
      </c>
      <c r="J2469" s="2073">
        <f t="shared" si="1108"/>
        <v>280</v>
      </c>
      <c r="K2469" s="2075">
        <f t="shared" si="1109"/>
        <v>1900</v>
      </c>
      <c r="L2469" s="2076"/>
      <c r="M2469" s="2059"/>
      <c r="O2469" s="1863"/>
      <c r="P2469" s="2077"/>
      <c r="Q2469" s="2077"/>
    </row>
    <row r="2470" spans="1:17" ht="22.15" customHeight="1">
      <c r="A2470" s="1901"/>
      <c r="B2470" s="2078"/>
      <c r="C2470" s="2070"/>
      <c r="D2470" s="2071"/>
      <c r="E2470" s="2079"/>
      <c r="F2470" s="2073"/>
      <c r="G2470" s="1853"/>
      <c r="H2470" s="2074"/>
      <c r="I2470" s="1855"/>
      <c r="J2470" s="2073"/>
      <c r="K2470" s="2075"/>
      <c r="L2470" s="2076"/>
      <c r="M2470" s="2059"/>
      <c r="O2470" s="1863"/>
      <c r="P2470" s="2077"/>
      <c r="Q2470" s="2077"/>
    </row>
    <row r="2471" spans="1:17" ht="22.15" customHeight="1">
      <c r="A2471" s="1901"/>
      <c r="B2471" s="2078" t="s">
        <v>425</v>
      </c>
      <c r="C2471" s="2070" t="s">
        <v>2827</v>
      </c>
      <c r="D2471" s="2071"/>
      <c r="E2471" s="2079">
        <v>12</v>
      </c>
      <c r="F2471" s="2073" t="s">
        <v>240</v>
      </c>
      <c r="G2471" s="1853">
        <v>3640</v>
      </c>
      <c r="H2471" s="2074">
        <f t="shared" ref="H2471:H2472" si="1110">G2471*E2471</f>
        <v>43680</v>
      </c>
      <c r="I2471" s="1855">
        <v>450</v>
      </c>
      <c r="J2471" s="2073">
        <f t="shared" ref="J2471:J2472" si="1111">I2471*E2471</f>
        <v>5400</v>
      </c>
      <c r="K2471" s="2075">
        <f t="shared" ref="K2471:K2472" si="1112">H2471+J2471</f>
        <v>49080</v>
      </c>
      <c r="L2471" s="2073"/>
      <c r="M2471" s="2081"/>
      <c r="O2471" s="1863"/>
      <c r="P2471" s="2077"/>
      <c r="Q2471" s="2077"/>
    </row>
    <row r="2472" spans="1:17" ht="22.15" customHeight="1">
      <c r="A2472" s="1901"/>
      <c r="B2472" s="2078" t="s">
        <v>425</v>
      </c>
      <c r="C2472" s="2070" t="s">
        <v>727</v>
      </c>
      <c r="D2472" s="2071"/>
      <c r="E2472" s="2079">
        <v>12</v>
      </c>
      <c r="F2472" s="2073" t="s">
        <v>240</v>
      </c>
      <c r="G2472" s="1853">
        <v>11955</v>
      </c>
      <c r="H2472" s="2074">
        <f t="shared" si="1110"/>
        <v>143460</v>
      </c>
      <c r="I2472" s="1855">
        <v>0</v>
      </c>
      <c r="J2472" s="2073">
        <f t="shared" si="1111"/>
        <v>0</v>
      </c>
      <c r="K2472" s="2075">
        <f t="shared" si="1112"/>
        <v>143460</v>
      </c>
      <c r="L2472" s="2073"/>
      <c r="M2472" s="2081"/>
      <c r="O2472" s="1863"/>
      <c r="P2472" s="2077"/>
      <c r="Q2472" s="2077"/>
    </row>
    <row r="2473" spans="1:17" ht="22.15" customHeight="1">
      <c r="A2473" s="1901"/>
      <c r="B2473" s="2078"/>
      <c r="C2473" s="2070"/>
      <c r="D2473" s="2071"/>
      <c r="E2473" s="2079"/>
      <c r="F2473" s="2073"/>
      <c r="G2473" s="1853"/>
      <c r="H2473" s="2074"/>
      <c r="I2473" s="1855"/>
      <c r="J2473" s="2073"/>
      <c r="K2473" s="2075"/>
      <c r="L2473" s="2073"/>
      <c r="M2473" s="2081"/>
      <c r="O2473" s="1863"/>
      <c r="P2473" s="2077"/>
      <c r="Q2473" s="2077"/>
    </row>
    <row r="2474" spans="1:17" ht="22.15" customHeight="1">
      <c r="A2474" s="1901"/>
      <c r="B2474" s="2078" t="s">
        <v>425</v>
      </c>
      <c r="C2474" s="1755" t="s">
        <v>728</v>
      </c>
      <c r="D2474" s="2071"/>
      <c r="E2474" s="2079">
        <v>7</v>
      </c>
      <c r="F2474" s="2073" t="s">
        <v>240</v>
      </c>
      <c r="G2474" s="1853">
        <v>525</v>
      </c>
      <c r="H2474" s="2074">
        <f t="shared" ref="H2474:H2480" si="1113">G2474*E2474</f>
        <v>3675</v>
      </c>
      <c r="I2474" s="1855">
        <v>75</v>
      </c>
      <c r="J2474" s="2073">
        <f t="shared" ref="J2474:J2480" si="1114">I2474*E2474</f>
        <v>525</v>
      </c>
      <c r="K2474" s="2075">
        <f t="shared" ref="K2474:K2480" si="1115">H2474+J2474</f>
        <v>4200</v>
      </c>
      <c r="L2474" s="2076"/>
      <c r="M2474" s="2059"/>
      <c r="O2474" s="1863"/>
      <c r="P2474" s="2077"/>
      <c r="Q2474" s="2077"/>
    </row>
    <row r="2475" spans="1:17" ht="22.15" customHeight="1">
      <c r="A2475" s="1901"/>
      <c r="B2475" s="2078" t="s">
        <v>425</v>
      </c>
      <c r="C2475" s="1755" t="s">
        <v>743</v>
      </c>
      <c r="D2475" s="2071"/>
      <c r="E2475" s="2079">
        <v>1</v>
      </c>
      <c r="F2475" s="2073" t="s">
        <v>240</v>
      </c>
      <c r="G2475" s="1853">
        <v>517.5</v>
      </c>
      <c r="H2475" s="2074">
        <f t="shared" si="1113"/>
        <v>517.5</v>
      </c>
      <c r="I2475" s="1855">
        <v>25</v>
      </c>
      <c r="J2475" s="2073">
        <f t="shared" si="1114"/>
        <v>25</v>
      </c>
      <c r="K2475" s="2075">
        <f t="shared" si="1115"/>
        <v>542.5</v>
      </c>
      <c r="L2475" s="2076"/>
      <c r="M2475" s="2059"/>
      <c r="O2475" s="1863"/>
      <c r="P2475" s="2077"/>
      <c r="Q2475" s="2077"/>
    </row>
    <row r="2476" spans="1:17" ht="22.15" customHeight="1">
      <c r="A2476" s="1901"/>
      <c r="B2476" s="2078" t="s">
        <v>425</v>
      </c>
      <c r="C2476" s="1755" t="s">
        <v>729</v>
      </c>
      <c r="D2476" s="2071"/>
      <c r="E2476" s="2079">
        <f>E2467</f>
        <v>8</v>
      </c>
      <c r="F2476" s="2073" t="s">
        <v>240</v>
      </c>
      <c r="G2476" s="2082">
        <v>13500</v>
      </c>
      <c r="H2476" s="2074">
        <f t="shared" si="1113"/>
        <v>108000</v>
      </c>
      <c r="I2476" s="1855">
        <v>750</v>
      </c>
      <c r="J2476" s="2073">
        <f t="shared" si="1114"/>
        <v>6000</v>
      </c>
      <c r="K2476" s="2075">
        <f t="shared" si="1115"/>
        <v>114000</v>
      </c>
      <c r="L2476" s="2076"/>
      <c r="M2476" s="2059"/>
      <c r="O2476" s="1863"/>
      <c r="P2476" s="2077"/>
      <c r="Q2476" s="2077"/>
    </row>
    <row r="2477" spans="1:17" ht="22.15" customHeight="1">
      <c r="A2477" s="1901"/>
      <c r="B2477" s="2078" t="s">
        <v>425</v>
      </c>
      <c r="C2477" s="1755" t="s">
        <v>730</v>
      </c>
      <c r="D2477" s="2071"/>
      <c r="E2477" s="2079">
        <v>1</v>
      </c>
      <c r="F2477" s="2073" t="s">
        <v>240</v>
      </c>
      <c r="G2477" s="2080">
        <v>1320</v>
      </c>
      <c r="H2477" s="2074">
        <f t="shared" si="1113"/>
        <v>1320</v>
      </c>
      <c r="I2477" s="1855">
        <v>70</v>
      </c>
      <c r="J2477" s="2073">
        <f t="shared" si="1114"/>
        <v>70</v>
      </c>
      <c r="K2477" s="2075">
        <f t="shared" si="1115"/>
        <v>1390</v>
      </c>
      <c r="L2477" s="2076"/>
      <c r="M2477" s="2059"/>
      <c r="O2477" s="1863"/>
      <c r="P2477" s="2077"/>
      <c r="Q2477" s="2077"/>
    </row>
    <row r="2478" spans="1:17" ht="21.75" customHeight="1">
      <c r="A2478" s="1901"/>
      <c r="B2478" s="2078" t="s">
        <v>425</v>
      </c>
      <c r="C2478" s="1755" t="s">
        <v>731</v>
      </c>
      <c r="D2478" s="2071"/>
      <c r="E2478" s="2079">
        <v>1</v>
      </c>
      <c r="F2478" s="2073" t="s">
        <v>240</v>
      </c>
      <c r="G2478" s="2080">
        <v>3820</v>
      </c>
      <c r="H2478" s="1788">
        <f t="shared" si="1113"/>
        <v>3820</v>
      </c>
      <c r="I2478" s="2083">
        <v>200</v>
      </c>
      <c r="J2478" s="1808">
        <f t="shared" si="1114"/>
        <v>200</v>
      </c>
      <c r="K2478" s="1897">
        <f t="shared" si="1115"/>
        <v>4020</v>
      </c>
      <c r="L2478" s="2076"/>
      <c r="M2478" s="2059"/>
      <c r="O2478" s="1863"/>
      <c r="P2478" s="2077"/>
      <c r="Q2478" s="2077"/>
    </row>
    <row r="2479" spans="1:17" ht="22.15" customHeight="1">
      <c r="A2479" s="1901"/>
      <c r="B2479" s="2078" t="s">
        <v>425</v>
      </c>
      <c r="C2479" s="2070" t="s">
        <v>2828</v>
      </c>
      <c r="D2479" s="2071"/>
      <c r="E2479" s="2079">
        <v>1</v>
      </c>
      <c r="F2479" s="2073" t="s">
        <v>240</v>
      </c>
      <c r="G2479" s="2080">
        <v>2835</v>
      </c>
      <c r="H2479" s="2074">
        <f t="shared" si="1113"/>
        <v>2835</v>
      </c>
      <c r="I2479" s="1855">
        <v>105</v>
      </c>
      <c r="J2479" s="2073">
        <f t="shared" si="1114"/>
        <v>105</v>
      </c>
      <c r="K2479" s="2075">
        <f t="shared" si="1115"/>
        <v>2940</v>
      </c>
      <c r="L2479" s="2076"/>
      <c r="M2479" s="2059"/>
      <c r="O2479" s="1863"/>
      <c r="P2479" s="2077"/>
      <c r="Q2479" s="2077"/>
    </row>
    <row r="2480" spans="1:17" ht="22.15" customHeight="1">
      <c r="A2480" s="1901"/>
      <c r="B2480" s="2078" t="s">
        <v>425</v>
      </c>
      <c r="C2480" s="1755" t="s">
        <v>2829</v>
      </c>
      <c r="D2480" s="2071"/>
      <c r="E2480" s="2079">
        <f>1*$E$2367</f>
        <v>1</v>
      </c>
      <c r="F2480" s="2073" t="s">
        <v>240</v>
      </c>
      <c r="G2480" s="2080">
        <v>6180</v>
      </c>
      <c r="H2480" s="2074">
        <f t="shared" si="1113"/>
        <v>6180</v>
      </c>
      <c r="I2480" s="1855">
        <v>105</v>
      </c>
      <c r="J2480" s="2073">
        <f t="shared" si="1114"/>
        <v>105</v>
      </c>
      <c r="K2480" s="2075">
        <f t="shared" si="1115"/>
        <v>6285</v>
      </c>
      <c r="L2480" s="2076"/>
      <c r="M2480" s="2059"/>
      <c r="O2480" s="1863"/>
      <c r="P2480" s="2077"/>
      <c r="Q2480" s="2077"/>
    </row>
    <row r="2481" spans="1:17" ht="22.15" customHeight="1">
      <c r="A2481" s="1901"/>
      <c r="B2481" s="2078"/>
      <c r="C2481" s="2070"/>
      <c r="D2481" s="2071"/>
      <c r="E2481" s="2079"/>
      <c r="F2481" s="2073"/>
      <c r="G2481" s="2080"/>
      <c r="H2481" s="2074"/>
      <c r="I2481" s="1855"/>
      <c r="J2481" s="2073"/>
      <c r="K2481" s="2075"/>
      <c r="L2481" s="2076"/>
      <c r="M2481" s="2059"/>
      <c r="O2481" s="1863"/>
      <c r="P2481" s="2077"/>
      <c r="Q2481" s="2077"/>
    </row>
    <row r="2482" spans="1:17" ht="22.15" customHeight="1">
      <c r="A2482" s="1901"/>
      <c r="B2482" s="2078" t="s">
        <v>425</v>
      </c>
      <c r="C2482" s="2070" t="s">
        <v>732</v>
      </c>
      <c r="D2482" s="2071"/>
      <c r="E2482" s="1808">
        <v>4.8</v>
      </c>
      <c r="F2482" s="2073" t="s">
        <v>616</v>
      </c>
      <c r="G2482" s="2084">
        <v>3886</v>
      </c>
      <c r="H2482" s="2085">
        <f t="shared" ref="H2482:H2487" si="1116">G2482*E2482</f>
        <v>18652.8</v>
      </c>
      <c r="I2482" s="1904">
        <v>1238</v>
      </c>
      <c r="J2482" s="2086">
        <f t="shared" ref="J2482:J2487" si="1117">I2482*E2482</f>
        <v>5942.4</v>
      </c>
      <c r="K2482" s="2087">
        <f t="shared" ref="K2482:K2487" si="1118">H2482+J2482</f>
        <v>24595.199999999997</v>
      </c>
      <c r="L2482" s="2076"/>
      <c r="M2482" s="2059"/>
      <c r="O2482" s="1863"/>
      <c r="P2482" s="2077"/>
      <c r="Q2482" s="2077"/>
    </row>
    <row r="2483" spans="1:17" ht="22.15" customHeight="1">
      <c r="A2483" s="1901"/>
      <c r="B2483" s="2078" t="s">
        <v>425</v>
      </c>
      <c r="C2483" s="2070" t="s">
        <v>733</v>
      </c>
      <c r="D2483" s="2071"/>
      <c r="E2483" s="1808">
        <v>10.6</v>
      </c>
      <c r="F2483" s="2073" t="s">
        <v>616</v>
      </c>
      <c r="G2483" s="2084">
        <v>1522</v>
      </c>
      <c r="H2483" s="2085">
        <f t="shared" si="1116"/>
        <v>16133.199999999999</v>
      </c>
      <c r="I2483" s="2088">
        <v>315</v>
      </c>
      <c r="J2483" s="2086">
        <f t="shared" si="1117"/>
        <v>3339</v>
      </c>
      <c r="K2483" s="2087">
        <f t="shared" si="1118"/>
        <v>19472.199999999997</v>
      </c>
      <c r="L2483" s="2076"/>
      <c r="M2483" s="2059"/>
      <c r="O2483" s="1863"/>
      <c r="P2483" s="2077"/>
      <c r="Q2483" s="2077"/>
    </row>
    <row r="2484" spans="1:17" ht="22.15" customHeight="1">
      <c r="A2484" s="1901"/>
      <c r="B2484" s="2078" t="s">
        <v>425</v>
      </c>
      <c r="C2484" s="2070" t="s">
        <v>734</v>
      </c>
      <c r="D2484" s="2071"/>
      <c r="E2484" s="1808">
        <v>7.2</v>
      </c>
      <c r="F2484" s="2073" t="s">
        <v>616</v>
      </c>
      <c r="G2484" s="2084">
        <v>1522</v>
      </c>
      <c r="H2484" s="2085">
        <f t="shared" si="1116"/>
        <v>10958.4</v>
      </c>
      <c r="I2484" s="2088">
        <v>315</v>
      </c>
      <c r="J2484" s="2086">
        <f t="shared" si="1117"/>
        <v>2268</v>
      </c>
      <c r="K2484" s="2087">
        <f t="shared" si="1118"/>
        <v>13226.4</v>
      </c>
      <c r="L2484" s="2076"/>
      <c r="M2484" s="2059"/>
      <c r="O2484" s="1863"/>
      <c r="P2484" s="2077"/>
      <c r="Q2484" s="2077"/>
    </row>
    <row r="2485" spans="1:17" ht="22.15" customHeight="1">
      <c r="A2485" s="1901"/>
      <c r="B2485" s="2078" t="s">
        <v>425</v>
      </c>
      <c r="C2485" s="2070" t="s">
        <v>735</v>
      </c>
      <c r="D2485" s="2071"/>
      <c r="E2485" s="1808">
        <v>7.2</v>
      </c>
      <c r="F2485" s="2073" t="s">
        <v>616</v>
      </c>
      <c r="G2485" s="2080">
        <v>750</v>
      </c>
      <c r="H2485" s="1788">
        <f t="shared" si="1116"/>
        <v>5400</v>
      </c>
      <c r="I2485" s="2083">
        <v>45</v>
      </c>
      <c r="J2485" s="1808">
        <f t="shared" si="1117"/>
        <v>324</v>
      </c>
      <c r="K2485" s="1897">
        <f t="shared" si="1118"/>
        <v>5724</v>
      </c>
      <c r="L2485" s="2076"/>
      <c r="M2485" s="2059"/>
      <c r="O2485" s="1863"/>
      <c r="P2485" s="2077"/>
      <c r="Q2485" s="2077"/>
    </row>
    <row r="2486" spans="1:17" ht="22.15" customHeight="1">
      <c r="A2486" s="1901"/>
      <c r="B2486" s="2078" t="s">
        <v>425</v>
      </c>
      <c r="C2486" s="2070" t="s">
        <v>736</v>
      </c>
      <c r="D2486" s="2071"/>
      <c r="E2486" s="1808">
        <v>16.8</v>
      </c>
      <c r="F2486" s="2073" t="s">
        <v>616</v>
      </c>
      <c r="G2486" s="2080">
        <v>60</v>
      </c>
      <c r="H2486" s="1788">
        <f t="shared" si="1116"/>
        <v>1008</v>
      </c>
      <c r="I2486" s="2083">
        <v>45</v>
      </c>
      <c r="J2486" s="1808">
        <f t="shared" si="1117"/>
        <v>756</v>
      </c>
      <c r="K2486" s="1897">
        <f t="shared" si="1118"/>
        <v>1764</v>
      </c>
      <c r="L2486" s="2076"/>
      <c r="M2486" s="2059"/>
      <c r="O2486" s="1863"/>
      <c r="P2486" s="2077"/>
      <c r="Q2486" s="2077"/>
    </row>
    <row r="2487" spans="1:17" ht="22.15" customHeight="1">
      <c r="A2487" s="1901"/>
      <c r="B2487" s="2078" t="s">
        <v>425</v>
      </c>
      <c r="C2487" s="2070" t="s">
        <v>2830</v>
      </c>
      <c r="D2487" s="2071"/>
      <c r="E2487" s="1808">
        <f>E2482</f>
        <v>4.8</v>
      </c>
      <c r="F2487" s="2073" t="s">
        <v>616</v>
      </c>
      <c r="G2487" s="2084">
        <v>2694</v>
      </c>
      <c r="H2487" s="2085">
        <f t="shared" si="1116"/>
        <v>12931.199999999999</v>
      </c>
      <c r="I2487" s="1904">
        <v>1288</v>
      </c>
      <c r="J2487" s="2086">
        <f t="shared" si="1117"/>
        <v>6182.4</v>
      </c>
      <c r="K2487" s="2087">
        <f t="shared" si="1118"/>
        <v>19113.599999999999</v>
      </c>
      <c r="L2487" s="2076"/>
      <c r="M2487" s="2059"/>
      <c r="O2487" s="1863"/>
      <c r="P2487" s="2077"/>
      <c r="Q2487" s="2077"/>
    </row>
    <row r="2488" spans="1:17" ht="22.15" customHeight="1">
      <c r="A2488" s="1901"/>
      <c r="B2488" s="2078"/>
      <c r="C2488" s="2070" t="s">
        <v>737</v>
      </c>
      <c r="D2488" s="2071"/>
      <c r="E2488" s="2079"/>
      <c r="F2488" s="2073"/>
      <c r="G2488" s="2080"/>
      <c r="H2488" s="2074"/>
      <c r="I2488" s="1855"/>
      <c r="J2488" s="2073"/>
      <c r="K2488" s="2075"/>
      <c r="L2488" s="2076"/>
      <c r="M2488" s="2059"/>
      <c r="O2488" s="1863"/>
      <c r="P2488" s="2077"/>
      <c r="Q2488" s="2077"/>
    </row>
    <row r="2489" spans="1:17" ht="22.15" customHeight="1">
      <c r="A2489" s="1901"/>
      <c r="B2489" s="2078"/>
      <c r="C2489" s="2070"/>
      <c r="D2489" s="2071"/>
      <c r="E2489" s="2079"/>
      <c r="F2489" s="2073"/>
      <c r="G2489" s="2080"/>
      <c r="H2489" s="2074"/>
      <c r="I2489" s="1855"/>
      <c r="J2489" s="2073"/>
      <c r="K2489" s="2075"/>
      <c r="L2489" s="2076"/>
      <c r="M2489" s="2059"/>
      <c r="O2489" s="1863"/>
      <c r="P2489" s="2077"/>
      <c r="Q2489" s="2077"/>
    </row>
    <row r="2490" spans="1:17" ht="22.15" customHeight="1">
      <c r="A2490" s="1901"/>
      <c r="B2490" s="2078" t="s">
        <v>425</v>
      </c>
      <c r="C2490" s="2070" t="s">
        <v>2831</v>
      </c>
      <c r="D2490" s="2071"/>
      <c r="E2490" s="2079">
        <v>1</v>
      </c>
      <c r="F2490" s="2073" t="s">
        <v>240</v>
      </c>
      <c r="G2490" s="1853">
        <v>8300</v>
      </c>
      <c r="H2490" s="2074">
        <f t="shared" ref="H2490" si="1119">G2490*E2490</f>
        <v>8300</v>
      </c>
      <c r="I2490" s="1855">
        <v>2490</v>
      </c>
      <c r="J2490" s="2073">
        <f>I2490*E2490</f>
        <v>2490</v>
      </c>
      <c r="K2490" s="2075">
        <f t="shared" ref="K2490" si="1120">H2490+J2490</f>
        <v>10790</v>
      </c>
      <c r="L2490" s="2076"/>
      <c r="M2490" s="2059"/>
      <c r="O2490" s="1863"/>
      <c r="P2490" s="2077"/>
      <c r="Q2490" s="2077"/>
    </row>
    <row r="2491" spans="1:17" ht="22.15" customHeight="1">
      <c r="A2491" s="1901"/>
      <c r="B2491" s="2078"/>
      <c r="C2491" s="2070" t="s">
        <v>738</v>
      </c>
      <c r="D2491" s="2071"/>
      <c r="E2491" s="2079"/>
      <c r="F2491" s="2073"/>
      <c r="G2491" s="2080"/>
      <c r="H2491" s="2074"/>
      <c r="I2491" s="1855"/>
      <c r="J2491" s="2073"/>
      <c r="K2491" s="2075"/>
      <c r="L2491" s="2076"/>
      <c r="M2491" s="2059"/>
      <c r="O2491" s="1863"/>
      <c r="P2491" s="2077"/>
      <c r="Q2491" s="2077"/>
    </row>
    <row r="2492" spans="1:17" ht="22.15" customHeight="1">
      <c r="A2492" s="1901"/>
      <c r="B2492" s="2069" t="s">
        <v>2843</v>
      </c>
      <c r="C2492" s="2070"/>
      <c r="D2492" s="2071"/>
      <c r="E2492" s="2072">
        <v>1</v>
      </c>
      <c r="F2492" s="2073" t="s">
        <v>723</v>
      </c>
      <c r="G2492" s="1853"/>
      <c r="H2492" s="2074"/>
      <c r="I2492" s="1855"/>
      <c r="J2492" s="2073"/>
      <c r="K2492" s="2075"/>
      <c r="L2492" s="2076"/>
      <c r="M2492" s="2059"/>
      <c r="O2492" s="1863"/>
      <c r="P2492" s="2077"/>
      <c r="Q2492" s="2077"/>
    </row>
    <row r="2493" spans="1:17" ht="22.15" customHeight="1">
      <c r="A2493" s="1901"/>
      <c r="B2493" s="2078" t="s">
        <v>425</v>
      </c>
      <c r="C2493" s="2070" t="s">
        <v>724</v>
      </c>
      <c r="D2493" s="2071"/>
      <c r="E2493" s="2079">
        <v>9</v>
      </c>
      <c r="F2493" s="2073" t="s">
        <v>240</v>
      </c>
      <c r="G2493" s="1853">
        <v>1430</v>
      </c>
      <c r="H2493" s="2074">
        <f t="shared" ref="H2493:H2498" si="1121">G2493*E2493</f>
        <v>12870</v>
      </c>
      <c r="I2493" s="1855">
        <v>450</v>
      </c>
      <c r="J2493" s="2073">
        <f t="shared" ref="J2493:J2498" si="1122">I2493*E2493</f>
        <v>4050</v>
      </c>
      <c r="K2493" s="2075">
        <f t="shared" ref="K2493:K2498" si="1123">H2493+J2493</f>
        <v>16920</v>
      </c>
      <c r="L2493" s="2076"/>
      <c r="M2493" s="2059"/>
      <c r="O2493" s="1863"/>
      <c r="P2493" s="2077"/>
      <c r="Q2493" s="2077"/>
    </row>
    <row r="2494" spans="1:17" ht="22.15" customHeight="1">
      <c r="A2494" s="1901"/>
      <c r="B2494" s="2078" t="s">
        <v>425</v>
      </c>
      <c r="C2494" s="2070" t="s">
        <v>2822</v>
      </c>
      <c r="D2494" s="2071"/>
      <c r="E2494" s="2079">
        <v>9</v>
      </c>
      <c r="F2494" s="2073" t="s">
        <v>240</v>
      </c>
      <c r="G2494" s="1853">
        <v>6225</v>
      </c>
      <c r="H2494" s="2074">
        <f t="shared" si="1121"/>
        <v>56025</v>
      </c>
      <c r="I2494" s="1855">
        <v>200</v>
      </c>
      <c r="J2494" s="2073">
        <f t="shared" si="1122"/>
        <v>1800</v>
      </c>
      <c r="K2494" s="2075">
        <f t="shared" si="1123"/>
        <v>57825</v>
      </c>
      <c r="L2494" s="2076"/>
      <c r="M2494" s="2059"/>
      <c r="O2494" s="1863"/>
      <c r="P2494" s="2077"/>
      <c r="Q2494" s="2077"/>
    </row>
    <row r="2495" spans="1:17" ht="22.15" customHeight="1">
      <c r="A2495" s="1901"/>
      <c r="B2495" s="2078" t="s">
        <v>425</v>
      </c>
      <c r="C2495" s="2070" t="s">
        <v>2823</v>
      </c>
      <c r="D2495" s="2071"/>
      <c r="E2495" s="2079">
        <v>9</v>
      </c>
      <c r="F2495" s="2073" t="s">
        <v>240</v>
      </c>
      <c r="G2495" s="1853">
        <v>315</v>
      </c>
      <c r="H2495" s="2074">
        <f t="shared" si="1121"/>
        <v>2835</v>
      </c>
      <c r="I2495" s="1855">
        <v>0</v>
      </c>
      <c r="J2495" s="2073">
        <f t="shared" si="1122"/>
        <v>0</v>
      </c>
      <c r="K2495" s="2075">
        <f t="shared" si="1123"/>
        <v>2835</v>
      </c>
      <c r="L2495" s="2076"/>
      <c r="M2495" s="2059"/>
      <c r="O2495" s="1863"/>
      <c r="P2495" s="2077"/>
      <c r="Q2495" s="2077"/>
    </row>
    <row r="2496" spans="1:17" ht="22.15" customHeight="1">
      <c r="A2496" s="1901"/>
      <c r="B2496" s="2078" t="s">
        <v>425</v>
      </c>
      <c r="C2496" s="2070" t="s">
        <v>2824</v>
      </c>
      <c r="D2496" s="2071"/>
      <c r="E2496" s="2079">
        <v>9</v>
      </c>
      <c r="F2496" s="2073" t="s">
        <v>240</v>
      </c>
      <c r="G2496" s="1853">
        <v>690</v>
      </c>
      <c r="H2496" s="2074">
        <f t="shared" si="1121"/>
        <v>6210</v>
      </c>
      <c r="I2496" s="1855">
        <v>0</v>
      </c>
      <c r="J2496" s="2073">
        <f t="shared" si="1122"/>
        <v>0</v>
      </c>
      <c r="K2496" s="2075">
        <f t="shared" si="1123"/>
        <v>6210</v>
      </c>
      <c r="L2496" s="2076"/>
      <c r="M2496" s="2059"/>
      <c r="O2496" s="1863"/>
      <c r="P2496" s="2077"/>
      <c r="Q2496" s="2077"/>
    </row>
    <row r="2497" spans="1:17" ht="22.15" customHeight="1">
      <c r="A2497" s="1901"/>
      <c r="B2497" s="2078" t="s">
        <v>425</v>
      </c>
      <c r="C2497" s="2070" t="s">
        <v>739</v>
      </c>
      <c r="D2497" s="2071"/>
      <c r="E2497" s="2079">
        <v>9</v>
      </c>
      <c r="F2497" s="2073" t="s">
        <v>240</v>
      </c>
      <c r="G2497" s="1853">
        <v>165</v>
      </c>
      <c r="H2497" s="2074">
        <f t="shared" si="1121"/>
        <v>1485</v>
      </c>
      <c r="I2497" s="1855">
        <v>0</v>
      </c>
      <c r="J2497" s="2073">
        <f t="shared" si="1122"/>
        <v>0</v>
      </c>
      <c r="K2497" s="2075">
        <f t="shared" si="1123"/>
        <v>1485</v>
      </c>
      <c r="L2497" s="2076"/>
      <c r="M2497" s="2059"/>
      <c r="O2497" s="1863"/>
      <c r="P2497" s="2077"/>
      <c r="Q2497" s="2077"/>
    </row>
    <row r="2498" spans="1:17" ht="22.15" customHeight="1">
      <c r="A2498" s="1901"/>
      <c r="B2498" s="2078" t="s">
        <v>425</v>
      </c>
      <c r="C2498" s="2070" t="s">
        <v>2826</v>
      </c>
      <c r="D2498" s="2071"/>
      <c r="E2498" s="2079">
        <v>9</v>
      </c>
      <c r="F2498" s="2073" t="s">
        <v>240</v>
      </c>
      <c r="G2498" s="1853">
        <v>202.5</v>
      </c>
      <c r="H2498" s="2074">
        <f t="shared" si="1121"/>
        <v>1822.5</v>
      </c>
      <c r="I2498" s="1855">
        <v>35</v>
      </c>
      <c r="J2498" s="2073">
        <f t="shared" si="1122"/>
        <v>315</v>
      </c>
      <c r="K2498" s="2075">
        <f t="shared" si="1123"/>
        <v>2137.5</v>
      </c>
      <c r="L2498" s="2076"/>
      <c r="M2498" s="2059"/>
      <c r="O2498" s="1863"/>
      <c r="P2498" s="2077"/>
      <c r="Q2498" s="2077"/>
    </row>
    <row r="2499" spans="1:17" ht="22.15" customHeight="1">
      <c r="A2499" s="1901"/>
      <c r="B2499" s="2078"/>
      <c r="C2499" s="2070"/>
      <c r="D2499" s="2071"/>
      <c r="E2499" s="2079"/>
      <c r="F2499" s="2073"/>
      <c r="G2499" s="1853"/>
      <c r="H2499" s="2074"/>
      <c r="I2499" s="1855"/>
      <c r="J2499" s="2073"/>
      <c r="K2499" s="2075"/>
      <c r="L2499" s="2076"/>
      <c r="M2499" s="2059"/>
      <c r="O2499" s="1863"/>
      <c r="P2499" s="2077"/>
      <c r="Q2499" s="2077"/>
    </row>
    <row r="2500" spans="1:17" ht="22.15" customHeight="1">
      <c r="A2500" s="1901"/>
      <c r="B2500" s="2078" t="s">
        <v>425</v>
      </c>
      <c r="C2500" s="2070" t="s">
        <v>725</v>
      </c>
      <c r="D2500" s="2071"/>
      <c r="E2500" s="2079">
        <v>17</v>
      </c>
      <c r="F2500" s="2073" t="s">
        <v>240</v>
      </c>
      <c r="G2500" s="1853">
        <v>8723</v>
      </c>
      <c r="H2500" s="2074">
        <f t="shared" ref="H2500:H2502" si="1124">G2500*E2500</f>
        <v>148291</v>
      </c>
      <c r="I2500" s="1855">
        <v>450</v>
      </c>
      <c r="J2500" s="2073">
        <f t="shared" ref="J2500:J2502" si="1125">I2500*E2500</f>
        <v>7650</v>
      </c>
      <c r="K2500" s="2075">
        <f t="shared" ref="K2500:K2502" si="1126">H2500+J2500</f>
        <v>155941</v>
      </c>
      <c r="L2500" s="2076"/>
      <c r="M2500" s="2059"/>
      <c r="O2500" s="1863"/>
      <c r="P2500" s="2077"/>
      <c r="Q2500" s="2077"/>
    </row>
    <row r="2501" spans="1:17" ht="22.15" customHeight="1">
      <c r="A2501" s="1901"/>
      <c r="B2501" s="2078" t="s">
        <v>425</v>
      </c>
      <c r="C2501" s="2070" t="s">
        <v>726</v>
      </c>
      <c r="D2501" s="2071"/>
      <c r="E2501" s="2079">
        <v>17</v>
      </c>
      <c r="F2501" s="2073" t="s">
        <v>240</v>
      </c>
      <c r="G2501" s="1853">
        <v>2430</v>
      </c>
      <c r="H2501" s="2074">
        <f t="shared" si="1124"/>
        <v>41310</v>
      </c>
      <c r="I2501" s="1855">
        <v>0</v>
      </c>
      <c r="J2501" s="2073">
        <f t="shared" si="1125"/>
        <v>0</v>
      </c>
      <c r="K2501" s="2075">
        <f t="shared" si="1126"/>
        <v>41310</v>
      </c>
      <c r="L2501" s="2076"/>
      <c r="M2501" s="2059"/>
      <c r="O2501" s="1863"/>
      <c r="P2501" s="2077"/>
      <c r="Q2501" s="2077"/>
    </row>
    <row r="2502" spans="1:17" ht="22.15" customHeight="1">
      <c r="A2502" s="1901"/>
      <c r="B2502" s="2078" t="s">
        <v>425</v>
      </c>
      <c r="C2502" s="2070" t="s">
        <v>2826</v>
      </c>
      <c r="D2502" s="2071"/>
      <c r="E2502" s="2079">
        <v>17</v>
      </c>
      <c r="F2502" s="2073" t="s">
        <v>240</v>
      </c>
      <c r="G2502" s="1853">
        <v>202.5</v>
      </c>
      <c r="H2502" s="2074">
        <f t="shared" si="1124"/>
        <v>3442.5</v>
      </c>
      <c r="I2502" s="1855">
        <v>35</v>
      </c>
      <c r="J2502" s="2073">
        <f t="shared" si="1125"/>
        <v>595</v>
      </c>
      <c r="K2502" s="2075">
        <f t="shared" si="1126"/>
        <v>4037.5</v>
      </c>
      <c r="L2502" s="2076"/>
      <c r="M2502" s="2059"/>
      <c r="O2502" s="1863"/>
      <c r="P2502" s="2077"/>
      <c r="Q2502" s="2077"/>
    </row>
    <row r="2503" spans="1:17" ht="22.15" customHeight="1">
      <c r="A2503" s="1901"/>
      <c r="B2503" s="2078"/>
      <c r="C2503" s="2070"/>
      <c r="D2503" s="2071"/>
      <c r="E2503" s="2079"/>
      <c r="F2503" s="2073"/>
      <c r="G2503" s="1853"/>
      <c r="H2503" s="2074"/>
      <c r="I2503" s="1855"/>
      <c r="J2503" s="2073"/>
      <c r="K2503" s="2075"/>
      <c r="L2503" s="2076"/>
      <c r="M2503" s="2059"/>
      <c r="O2503" s="1863"/>
      <c r="P2503" s="2077"/>
      <c r="Q2503" s="2077"/>
    </row>
    <row r="2504" spans="1:17" ht="22.15" customHeight="1">
      <c r="A2504" s="1901"/>
      <c r="B2504" s="2078" t="s">
        <v>425</v>
      </c>
      <c r="C2504" s="1755" t="s">
        <v>728</v>
      </c>
      <c r="D2504" s="2071"/>
      <c r="E2504" s="2079">
        <v>8</v>
      </c>
      <c r="F2504" s="2073" t="s">
        <v>240</v>
      </c>
      <c r="G2504" s="1853">
        <v>525</v>
      </c>
      <c r="H2504" s="2074">
        <f t="shared" ref="H2504:H2509" si="1127">G2504*E2504</f>
        <v>4200</v>
      </c>
      <c r="I2504" s="1855">
        <v>75</v>
      </c>
      <c r="J2504" s="2073">
        <f t="shared" ref="J2504:J2509" si="1128">I2504*E2504</f>
        <v>600</v>
      </c>
      <c r="K2504" s="2075">
        <f t="shared" ref="K2504:K2509" si="1129">H2504+J2504</f>
        <v>4800</v>
      </c>
      <c r="L2504" s="2076"/>
      <c r="M2504" s="2059"/>
      <c r="O2504" s="1863"/>
      <c r="P2504" s="2077"/>
      <c r="Q2504" s="2077"/>
    </row>
    <row r="2505" spans="1:17" ht="22.15" customHeight="1">
      <c r="A2505" s="1901"/>
      <c r="B2505" s="2078" t="s">
        <v>425</v>
      </c>
      <c r="C2505" s="1755" t="s">
        <v>743</v>
      </c>
      <c r="D2505" s="2071"/>
      <c r="E2505" s="2079">
        <f>1*$E$2400</f>
        <v>1</v>
      </c>
      <c r="F2505" s="2073" t="s">
        <v>240</v>
      </c>
      <c r="G2505" s="1853">
        <v>517.5</v>
      </c>
      <c r="H2505" s="2074">
        <f t="shared" si="1127"/>
        <v>517.5</v>
      </c>
      <c r="I2505" s="1855">
        <v>25</v>
      </c>
      <c r="J2505" s="2073">
        <f t="shared" si="1128"/>
        <v>25</v>
      </c>
      <c r="K2505" s="2075">
        <f t="shared" si="1129"/>
        <v>542.5</v>
      </c>
      <c r="L2505" s="2076"/>
      <c r="M2505" s="2059"/>
      <c r="O2505" s="1863"/>
      <c r="P2505" s="2077"/>
      <c r="Q2505" s="2077"/>
    </row>
    <row r="2506" spans="1:17" ht="22.15" customHeight="1">
      <c r="A2506" s="1901"/>
      <c r="B2506" s="2078" t="s">
        <v>425</v>
      </c>
      <c r="C2506" s="1755" t="s">
        <v>729</v>
      </c>
      <c r="D2506" s="2071"/>
      <c r="E2506" s="2079">
        <f>E2500</f>
        <v>17</v>
      </c>
      <c r="F2506" s="2073" t="s">
        <v>240</v>
      </c>
      <c r="G2506" s="2082">
        <v>13500</v>
      </c>
      <c r="H2506" s="2074">
        <f t="shared" si="1127"/>
        <v>229500</v>
      </c>
      <c r="I2506" s="1855">
        <v>750</v>
      </c>
      <c r="J2506" s="2073">
        <f t="shared" si="1128"/>
        <v>12750</v>
      </c>
      <c r="K2506" s="2075">
        <f t="shared" si="1129"/>
        <v>242250</v>
      </c>
      <c r="L2506" s="2076"/>
      <c r="M2506" s="2059"/>
      <c r="O2506" s="1863"/>
      <c r="P2506" s="2077"/>
      <c r="Q2506" s="2077"/>
    </row>
    <row r="2507" spans="1:17" ht="22.15" customHeight="1">
      <c r="A2507" s="1901"/>
      <c r="B2507" s="2078" t="s">
        <v>425</v>
      </c>
      <c r="C2507" s="1755" t="s">
        <v>730</v>
      </c>
      <c r="D2507" s="2071"/>
      <c r="E2507" s="2079">
        <f>1*$E$2400</f>
        <v>1</v>
      </c>
      <c r="F2507" s="2073" t="s">
        <v>240</v>
      </c>
      <c r="G2507" s="2080">
        <v>1320</v>
      </c>
      <c r="H2507" s="2074">
        <f t="shared" si="1127"/>
        <v>1320</v>
      </c>
      <c r="I2507" s="1855">
        <v>70</v>
      </c>
      <c r="J2507" s="2073">
        <f t="shared" si="1128"/>
        <v>70</v>
      </c>
      <c r="K2507" s="2075">
        <f t="shared" si="1129"/>
        <v>1390</v>
      </c>
      <c r="L2507" s="2076"/>
      <c r="M2507" s="2059"/>
      <c r="O2507" s="1863"/>
      <c r="P2507" s="2077"/>
      <c r="Q2507" s="2077"/>
    </row>
    <row r="2508" spans="1:17" ht="22.15" customHeight="1">
      <c r="A2508" s="1901"/>
      <c r="B2508" s="2078" t="s">
        <v>425</v>
      </c>
      <c r="C2508" s="2070" t="s">
        <v>731</v>
      </c>
      <c r="D2508" s="2071"/>
      <c r="E2508" s="2079">
        <f>1*$E$2400</f>
        <v>1</v>
      </c>
      <c r="F2508" s="2073" t="s">
        <v>240</v>
      </c>
      <c r="G2508" s="2080">
        <v>3820</v>
      </c>
      <c r="H2508" s="1788">
        <f t="shared" si="1127"/>
        <v>3820</v>
      </c>
      <c r="I2508" s="2083">
        <v>200</v>
      </c>
      <c r="J2508" s="1808">
        <f t="shared" si="1128"/>
        <v>200</v>
      </c>
      <c r="K2508" s="1897">
        <f t="shared" si="1129"/>
        <v>4020</v>
      </c>
      <c r="L2508" s="2076"/>
      <c r="M2508" s="2059"/>
      <c r="O2508" s="1863"/>
      <c r="P2508" s="2077"/>
      <c r="Q2508" s="2077"/>
    </row>
    <row r="2509" spans="1:17" ht="22.15" customHeight="1">
      <c r="A2509" s="1901"/>
      <c r="B2509" s="2078" t="s">
        <v>425</v>
      </c>
      <c r="C2509" s="1755" t="s">
        <v>2828</v>
      </c>
      <c r="D2509" s="2071"/>
      <c r="E2509" s="2079">
        <v>2</v>
      </c>
      <c r="F2509" s="2073" t="s">
        <v>240</v>
      </c>
      <c r="G2509" s="2080">
        <v>2835</v>
      </c>
      <c r="H2509" s="2074">
        <f t="shared" si="1127"/>
        <v>5670</v>
      </c>
      <c r="I2509" s="1855">
        <v>105</v>
      </c>
      <c r="J2509" s="2073">
        <f t="shared" si="1128"/>
        <v>210</v>
      </c>
      <c r="K2509" s="2075">
        <f t="shared" si="1129"/>
        <v>5880</v>
      </c>
      <c r="L2509" s="2076"/>
      <c r="M2509" s="2059"/>
      <c r="O2509" s="1863"/>
      <c r="P2509" s="2077"/>
      <c r="Q2509" s="2077"/>
    </row>
    <row r="2510" spans="1:17" ht="22.15" customHeight="1">
      <c r="A2510" s="1901"/>
      <c r="B2510" s="2078"/>
      <c r="C2510" s="1755"/>
      <c r="D2510" s="2071"/>
      <c r="E2510" s="2079"/>
      <c r="F2510" s="2073"/>
      <c r="G2510" s="2080"/>
      <c r="H2510" s="2074"/>
      <c r="I2510" s="1855"/>
      <c r="J2510" s="2073"/>
      <c r="K2510" s="2075"/>
      <c r="L2510" s="2076"/>
      <c r="M2510" s="2059"/>
      <c r="O2510" s="1863"/>
      <c r="P2510" s="2077"/>
      <c r="Q2510" s="2077"/>
    </row>
    <row r="2511" spans="1:17" ht="22.15" customHeight="1">
      <c r="A2511" s="1901"/>
      <c r="B2511" s="2078" t="s">
        <v>425</v>
      </c>
      <c r="C2511" s="2070" t="s">
        <v>732</v>
      </c>
      <c r="D2511" s="2071"/>
      <c r="E2511" s="1808">
        <v>7.3</v>
      </c>
      <c r="F2511" s="2073" t="s">
        <v>616</v>
      </c>
      <c r="G2511" s="2084">
        <v>3886</v>
      </c>
      <c r="H2511" s="2085">
        <f t="shared" ref="H2511:H2515" si="1130">G2511*E2511</f>
        <v>28367.8</v>
      </c>
      <c r="I2511" s="1904">
        <v>1238</v>
      </c>
      <c r="J2511" s="2086">
        <f t="shared" ref="J2511:J2515" si="1131">I2511*E2511</f>
        <v>9037.4</v>
      </c>
      <c r="K2511" s="2087">
        <f t="shared" ref="K2511:K2515" si="1132">H2511+J2511</f>
        <v>37405.199999999997</v>
      </c>
      <c r="L2511" s="2076"/>
      <c r="M2511" s="2059"/>
      <c r="O2511" s="1863"/>
      <c r="P2511" s="2077"/>
      <c r="Q2511" s="2077"/>
    </row>
    <row r="2512" spans="1:17" ht="22.15" customHeight="1">
      <c r="A2512" s="1901"/>
      <c r="B2512" s="2078" t="s">
        <v>425</v>
      </c>
      <c r="C2512" s="2070" t="s">
        <v>734</v>
      </c>
      <c r="D2512" s="2071"/>
      <c r="E2512" s="1808">
        <v>15.3</v>
      </c>
      <c r="F2512" s="2073" t="s">
        <v>616</v>
      </c>
      <c r="G2512" s="2084">
        <v>1522</v>
      </c>
      <c r="H2512" s="2085">
        <f t="shared" si="1130"/>
        <v>23286.600000000002</v>
      </c>
      <c r="I2512" s="2088">
        <v>315</v>
      </c>
      <c r="J2512" s="2086">
        <f t="shared" si="1131"/>
        <v>4819.5</v>
      </c>
      <c r="K2512" s="2087">
        <f t="shared" si="1132"/>
        <v>28106.100000000002</v>
      </c>
      <c r="L2512" s="2076"/>
      <c r="M2512" s="2059"/>
      <c r="O2512" s="1863"/>
      <c r="P2512" s="2077"/>
      <c r="Q2512" s="2077"/>
    </row>
    <row r="2513" spans="1:17" ht="22.15" customHeight="1">
      <c r="A2513" s="1901"/>
      <c r="B2513" s="2078" t="s">
        <v>425</v>
      </c>
      <c r="C2513" s="2070" t="s">
        <v>746</v>
      </c>
      <c r="D2513" s="2071"/>
      <c r="E2513" s="1808">
        <v>2.4</v>
      </c>
      <c r="F2513" s="2073" t="s">
        <v>616</v>
      </c>
      <c r="G2513" s="2080">
        <v>750</v>
      </c>
      <c r="H2513" s="1788">
        <f t="shared" si="1130"/>
        <v>1800</v>
      </c>
      <c r="I2513" s="2083">
        <v>45</v>
      </c>
      <c r="J2513" s="1808">
        <f t="shared" si="1131"/>
        <v>108</v>
      </c>
      <c r="K2513" s="1897">
        <f t="shared" si="1132"/>
        <v>1908</v>
      </c>
      <c r="L2513" s="2076"/>
      <c r="M2513" s="2059"/>
      <c r="O2513" s="1863"/>
      <c r="P2513" s="2077"/>
      <c r="Q2513" s="2077"/>
    </row>
    <row r="2514" spans="1:17" ht="22.15" customHeight="1">
      <c r="A2514" s="1901"/>
      <c r="B2514" s="2078" t="s">
        <v>425</v>
      </c>
      <c r="C2514" s="2070" t="s">
        <v>747</v>
      </c>
      <c r="D2514" s="2071"/>
      <c r="E2514" s="1808">
        <v>5.6</v>
      </c>
      <c r="F2514" s="2073" t="s">
        <v>616</v>
      </c>
      <c r="G2514" s="2080">
        <v>60</v>
      </c>
      <c r="H2514" s="1788">
        <f t="shared" si="1130"/>
        <v>336</v>
      </c>
      <c r="I2514" s="2083">
        <v>45</v>
      </c>
      <c r="J2514" s="1808">
        <f t="shared" si="1131"/>
        <v>251.99999999999997</v>
      </c>
      <c r="K2514" s="1897">
        <f t="shared" si="1132"/>
        <v>588</v>
      </c>
      <c r="L2514" s="1791"/>
      <c r="M2514" s="1809"/>
      <c r="O2514" s="1863"/>
      <c r="P2514" s="2077"/>
      <c r="Q2514" s="2077"/>
    </row>
    <row r="2515" spans="1:17" ht="22.15" customHeight="1">
      <c r="A2515" s="1901"/>
      <c r="B2515" s="2078" t="s">
        <v>425</v>
      </c>
      <c r="C2515" s="2070" t="s">
        <v>2830</v>
      </c>
      <c r="D2515" s="2071"/>
      <c r="E2515" s="1808">
        <f>E2511</f>
        <v>7.3</v>
      </c>
      <c r="F2515" s="2073" t="s">
        <v>616</v>
      </c>
      <c r="G2515" s="2084">
        <v>2694</v>
      </c>
      <c r="H2515" s="2085">
        <f t="shared" si="1130"/>
        <v>19666.2</v>
      </c>
      <c r="I2515" s="1904">
        <v>1288</v>
      </c>
      <c r="J2515" s="2086">
        <f t="shared" si="1131"/>
        <v>9402.4</v>
      </c>
      <c r="K2515" s="2087">
        <f t="shared" si="1132"/>
        <v>29068.6</v>
      </c>
      <c r="L2515" s="2076"/>
      <c r="M2515" s="2059"/>
      <c r="O2515" s="1863"/>
      <c r="P2515" s="2077"/>
      <c r="Q2515" s="2077"/>
    </row>
    <row r="2516" spans="1:17" ht="22.15" customHeight="1">
      <c r="A2516" s="1901"/>
      <c r="B2516" s="2078"/>
      <c r="C2516" s="2070" t="s">
        <v>737</v>
      </c>
      <c r="D2516" s="2071"/>
      <c r="E2516" s="2079"/>
      <c r="F2516" s="2073"/>
      <c r="G2516" s="2080"/>
      <c r="H2516" s="2074"/>
      <c r="I2516" s="1855"/>
      <c r="J2516" s="2073"/>
      <c r="K2516" s="2075"/>
      <c r="L2516" s="2076"/>
      <c r="M2516" s="2059"/>
      <c r="O2516" s="1863"/>
      <c r="P2516" s="2077"/>
      <c r="Q2516" s="2077"/>
    </row>
    <row r="2517" spans="1:17" ht="22.15" customHeight="1">
      <c r="A2517" s="1901"/>
      <c r="B2517" s="2078"/>
      <c r="C2517" s="2070"/>
      <c r="D2517" s="2071"/>
      <c r="E2517" s="2079"/>
      <c r="F2517" s="2073"/>
      <c r="G2517" s="2080"/>
      <c r="H2517" s="2074"/>
      <c r="I2517" s="1855"/>
      <c r="J2517" s="2073"/>
      <c r="K2517" s="2075"/>
      <c r="L2517" s="2076"/>
      <c r="M2517" s="2059"/>
      <c r="O2517" s="1863"/>
      <c r="P2517" s="2077"/>
      <c r="Q2517" s="2077"/>
    </row>
    <row r="2518" spans="1:17" ht="22.15" customHeight="1">
      <c r="A2518" s="1901"/>
      <c r="B2518" s="2078" t="s">
        <v>425</v>
      </c>
      <c r="C2518" s="2070" t="s">
        <v>2831</v>
      </c>
      <c r="D2518" s="2071"/>
      <c r="E2518" s="2079">
        <v>1</v>
      </c>
      <c r="F2518" s="2073" t="s">
        <v>240</v>
      </c>
      <c r="G2518" s="1853">
        <v>8300</v>
      </c>
      <c r="H2518" s="2074">
        <f t="shared" ref="H2518" si="1133">G2518*E2518</f>
        <v>8300</v>
      </c>
      <c r="I2518" s="1855">
        <v>2490</v>
      </c>
      <c r="J2518" s="2073">
        <f>I2518*E2518</f>
        <v>2490</v>
      </c>
      <c r="K2518" s="2075">
        <f t="shared" ref="K2518" si="1134">H2518+J2518</f>
        <v>10790</v>
      </c>
      <c r="L2518" s="2076"/>
      <c r="M2518" s="2059"/>
      <c r="O2518" s="1863"/>
      <c r="P2518" s="2077"/>
      <c r="Q2518" s="2077"/>
    </row>
    <row r="2519" spans="1:17" ht="22.15" customHeight="1">
      <c r="A2519" s="1901"/>
      <c r="B2519" s="2078"/>
      <c r="C2519" s="2070" t="s">
        <v>738</v>
      </c>
      <c r="D2519" s="2071"/>
      <c r="E2519" s="2079"/>
      <c r="F2519" s="2073"/>
      <c r="G2519" s="2080"/>
      <c r="H2519" s="2074"/>
      <c r="I2519" s="1855"/>
      <c r="J2519" s="2073"/>
      <c r="K2519" s="2075"/>
      <c r="L2519" s="2076"/>
      <c r="M2519" s="2059"/>
      <c r="O2519" s="1863"/>
      <c r="P2519" s="2077"/>
      <c r="Q2519" s="2077"/>
    </row>
    <row r="2520" spans="1:17" ht="22.15" customHeight="1">
      <c r="A2520" s="1901"/>
      <c r="B2520" s="2069" t="s">
        <v>2844</v>
      </c>
      <c r="C2520" s="2070"/>
      <c r="D2520" s="2071"/>
      <c r="E2520" s="2072">
        <v>2</v>
      </c>
      <c r="F2520" s="2073" t="s">
        <v>723</v>
      </c>
      <c r="G2520" s="1853"/>
      <c r="H2520" s="2074"/>
      <c r="I2520" s="1855"/>
      <c r="J2520" s="2073"/>
      <c r="K2520" s="2075"/>
      <c r="L2520" s="2076"/>
      <c r="M2520" s="2059"/>
      <c r="O2520" s="1863"/>
      <c r="P2520" s="2077"/>
      <c r="Q2520" s="2077"/>
    </row>
    <row r="2521" spans="1:17" ht="22.15" customHeight="1">
      <c r="A2521" s="1901"/>
      <c r="B2521" s="2078" t="s">
        <v>425</v>
      </c>
      <c r="C2521" s="2070" t="s">
        <v>740</v>
      </c>
      <c r="D2521" s="2071"/>
      <c r="E2521" s="2079">
        <v>1</v>
      </c>
      <c r="F2521" s="2073" t="s">
        <v>240</v>
      </c>
      <c r="G2521" s="1853">
        <v>6344</v>
      </c>
      <c r="H2521" s="2074">
        <f t="shared" ref="H2521:H2526" si="1135">G2521*E2521</f>
        <v>6344</v>
      </c>
      <c r="I2521" s="1855">
        <v>450</v>
      </c>
      <c r="J2521" s="2073">
        <f t="shared" ref="J2521:J2526" si="1136">I2521*E2521</f>
        <v>450</v>
      </c>
      <c r="K2521" s="2075">
        <f t="shared" ref="K2521:K2526" si="1137">H2521+J2521</f>
        <v>6794</v>
      </c>
      <c r="L2521" s="2076"/>
      <c r="M2521" s="2059"/>
      <c r="O2521" s="1863"/>
      <c r="P2521" s="2077"/>
      <c r="Q2521" s="2077"/>
    </row>
    <row r="2522" spans="1:17" ht="22.15" customHeight="1">
      <c r="A2522" s="1901"/>
      <c r="B2522" s="2078" t="s">
        <v>425</v>
      </c>
      <c r="C2522" s="2070" t="s">
        <v>2822</v>
      </c>
      <c r="D2522" s="2071"/>
      <c r="E2522" s="2079">
        <v>1</v>
      </c>
      <c r="F2522" s="2073" t="s">
        <v>240</v>
      </c>
      <c r="G2522" s="1853">
        <v>6225</v>
      </c>
      <c r="H2522" s="2074">
        <f t="shared" si="1135"/>
        <v>6225</v>
      </c>
      <c r="I2522" s="1855">
        <v>200</v>
      </c>
      <c r="J2522" s="2073">
        <f t="shared" si="1136"/>
        <v>200</v>
      </c>
      <c r="K2522" s="2075">
        <f t="shared" si="1137"/>
        <v>6425</v>
      </c>
      <c r="L2522" s="2076"/>
      <c r="M2522" s="2059"/>
      <c r="O2522" s="1863"/>
      <c r="P2522" s="2077"/>
      <c r="Q2522" s="2077"/>
    </row>
    <row r="2523" spans="1:17" ht="22.15" customHeight="1">
      <c r="A2523" s="1901"/>
      <c r="B2523" s="2078" t="s">
        <v>425</v>
      </c>
      <c r="C2523" s="2070" t="s">
        <v>2823</v>
      </c>
      <c r="D2523" s="2071"/>
      <c r="E2523" s="2079">
        <v>1</v>
      </c>
      <c r="F2523" s="2073" t="s">
        <v>240</v>
      </c>
      <c r="G2523" s="1853">
        <v>315</v>
      </c>
      <c r="H2523" s="2074">
        <f t="shared" si="1135"/>
        <v>315</v>
      </c>
      <c r="I2523" s="1855">
        <v>0</v>
      </c>
      <c r="J2523" s="2073">
        <f t="shared" si="1136"/>
        <v>0</v>
      </c>
      <c r="K2523" s="2075">
        <f t="shared" si="1137"/>
        <v>315</v>
      </c>
      <c r="L2523" s="2076"/>
      <c r="M2523" s="2059"/>
      <c r="O2523" s="1863"/>
      <c r="P2523" s="2077"/>
      <c r="Q2523" s="2077"/>
    </row>
    <row r="2524" spans="1:17" ht="22.15" customHeight="1">
      <c r="A2524" s="1901"/>
      <c r="B2524" s="2078" t="s">
        <v>425</v>
      </c>
      <c r="C2524" s="2070" t="s">
        <v>2824</v>
      </c>
      <c r="D2524" s="2071"/>
      <c r="E2524" s="2079">
        <v>1</v>
      </c>
      <c r="F2524" s="2073" t="s">
        <v>240</v>
      </c>
      <c r="G2524" s="1853">
        <v>690</v>
      </c>
      <c r="H2524" s="2074">
        <f t="shared" si="1135"/>
        <v>690</v>
      </c>
      <c r="I2524" s="1855">
        <v>0</v>
      </c>
      <c r="J2524" s="2073">
        <f t="shared" si="1136"/>
        <v>0</v>
      </c>
      <c r="K2524" s="2075">
        <f t="shared" si="1137"/>
        <v>690</v>
      </c>
      <c r="L2524" s="2076"/>
      <c r="M2524" s="2059"/>
      <c r="O2524" s="1863"/>
      <c r="P2524" s="2077"/>
      <c r="Q2524" s="2077"/>
    </row>
    <row r="2525" spans="1:17" ht="22.15" customHeight="1">
      <c r="A2525" s="1901"/>
      <c r="B2525" s="2078" t="s">
        <v>425</v>
      </c>
      <c r="C2525" s="2070" t="s">
        <v>2825</v>
      </c>
      <c r="D2525" s="2071"/>
      <c r="E2525" s="2079">
        <v>1</v>
      </c>
      <c r="F2525" s="2073" t="s">
        <v>240</v>
      </c>
      <c r="G2525" s="1853">
        <v>165</v>
      </c>
      <c r="H2525" s="2074">
        <f t="shared" si="1135"/>
        <v>165</v>
      </c>
      <c r="I2525" s="1855">
        <v>0</v>
      </c>
      <c r="J2525" s="2073">
        <f t="shared" si="1136"/>
        <v>0</v>
      </c>
      <c r="K2525" s="2075">
        <f t="shared" si="1137"/>
        <v>165</v>
      </c>
      <c r="L2525" s="2076"/>
      <c r="M2525" s="2059"/>
      <c r="O2525" s="1863"/>
      <c r="P2525" s="2077"/>
      <c r="Q2525" s="2077"/>
    </row>
    <row r="2526" spans="1:17" ht="22.15" customHeight="1">
      <c r="A2526" s="1901"/>
      <c r="B2526" s="2078" t="s">
        <v>425</v>
      </c>
      <c r="C2526" s="2070" t="s">
        <v>2826</v>
      </c>
      <c r="D2526" s="2071"/>
      <c r="E2526" s="2079">
        <v>1</v>
      </c>
      <c r="F2526" s="2073" t="s">
        <v>240</v>
      </c>
      <c r="G2526" s="1853">
        <v>202.5</v>
      </c>
      <c r="H2526" s="2074">
        <f t="shared" si="1135"/>
        <v>202.5</v>
      </c>
      <c r="I2526" s="1855">
        <v>35</v>
      </c>
      <c r="J2526" s="2073">
        <f t="shared" si="1136"/>
        <v>35</v>
      </c>
      <c r="K2526" s="2075">
        <f t="shared" si="1137"/>
        <v>237.5</v>
      </c>
      <c r="L2526" s="2076"/>
      <c r="M2526" s="2059"/>
      <c r="O2526" s="1863"/>
      <c r="P2526" s="2077"/>
      <c r="Q2526" s="2077"/>
    </row>
    <row r="2527" spans="1:17" ht="22.15" customHeight="1">
      <c r="A2527" s="1901"/>
      <c r="B2527" s="2078"/>
      <c r="C2527" s="2070"/>
      <c r="D2527" s="2071"/>
      <c r="E2527" s="2079"/>
      <c r="F2527" s="2073"/>
      <c r="G2527" s="1853"/>
      <c r="H2527" s="2074"/>
      <c r="I2527" s="1855"/>
      <c r="J2527" s="2073"/>
      <c r="K2527" s="2075"/>
      <c r="L2527" s="2076"/>
      <c r="M2527" s="2059"/>
      <c r="O2527" s="1863"/>
      <c r="P2527" s="2077"/>
      <c r="Q2527" s="2077"/>
    </row>
    <row r="2528" spans="1:17" ht="22.15" customHeight="1">
      <c r="A2528" s="1901"/>
      <c r="B2528" s="2078" t="s">
        <v>425</v>
      </c>
      <c r="C2528" s="1755" t="s">
        <v>2834</v>
      </c>
      <c r="D2528" s="2071"/>
      <c r="E2528" s="2079">
        <v>1</v>
      </c>
      <c r="F2528" s="2073" t="s">
        <v>240</v>
      </c>
      <c r="G2528" s="1853">
        <v>6110</v>
      </c>
      <c r="H2528" s="2074">
        <f t="shared" ref="H2528:H2531" si="1138">G2528*E2528</f>
        <v>6110</v>
      </c>
      <c r="I2528" s="1855">
        <v>450</v>
      </c>
      <c r="J2528" s="2073">
        <f t="shared" ref="J2528:J2531" si="1139">I2528*E2528</f>
        <v>450</v>
      </c>
      <c r="K2528" s="2075">
        <f t="shared" ref="K2528:K2531" si="1140">H2528+J2528</f>
        <v>6560</v>
      </c>
      <c r="L2528" s="2076"/>
      <c r="M2528" s="2059"/>
      <c r="O2528" s="1863"/>
      <c r="P2528" s="2077"/>
      <c r="Q2528" s="2077"/>
    </row>
    <row r="2529" spans="1:17" ht="22.15" customHeight="1">
      <c r="A2529" s="1901"/>
      <c r="B2529" s="2078" t="s">
        <v>425</v>
      </c>
      <c r="C2529" s="1755" t="s">
        <v>2825</v>
      </c>
      <c r="D2529" s="2071"/>
      <c r="E2529" s="2079">
        <v>1</v>
      </c>
      <c r="F2529" s="2073" t="s">
        <v>240</v>
      </c>
      <c r="G2529" s="1853">
        <v>165</v>
      </c>
      <c r="H2529" s="2074">
        <f t="shared" si="1138"/>
        <v>165</v>
      </c>
      <c r="I2529" s="1855">
        <v>0</v>
      </c>
      <c r="J2529" s="2073">
        <f t="shared" si="1139"/>
        <v>0</v>
      </c>
      <c r="K2529" s="2075">
        <f t="shared" si="1140"/>
        <v>165</v>
      </c>
      <c r="L2529" s="2076"/>
      <c r="M2529" s="2059"/>
      <c r="O2529" s="1863"/>
      <c r="P2529" s="2077"/>
      <c r="Q2529" s="2077"/>
    </row>
    <row r="2530" spans="1:17" ht="22.15" customHeight="1">
      <c r="A2530" s="1901"/>
      <c r="B2530" s="2078" t="s">
        <v>425</v>
      </c>
      <c r="C2530" s="1755" t="s">
        <v>2835</v>
      </c>
      <c r="D2530" s="2071"/>
      <c r="E2530" s="2079">
        <v>1</v>
      </c>
      <c r="F2530" s="2073" t="s">
        <v>240</v>
      </c>
      <c r="G2530" s="1853">
        <v>525</v>
      </c>
      <c r="H2530" s="2074">
        <f t="shared" si="1138"/>
        <v>525</v>
      </c>
      <c r="I2530" s="1855">
        <v>35</v>
      </c>
      <c r="J2530" s="2073">
        <f t="shared" si="1139"/>
        <v>35</v>
      </c>
      <c r="K2530" s="2075">
        <f t="shared" si="1140"/>
        <v>560</v>
      </c>
      <c r="L2530" s="2076"/>
      <c r="M2530" s="2059"/>
      <c r="O2530" s="1863"/>
      <c r="P2530" s="2077"/>
      <c r="Q2530" s="2077"/>
    </row>
    <row r="2531" spans="1:17" ht="22.15" customHeight="1">
      <c r="A2531" s="1901"/>
      <c r="B2531" s="2078" t="s">
        <v>425</v>
      </c>
      <c r="C2531" s="1755" t="s">
        <v>2826</v>
      </c>
      <c r="D2531" s="2071"/>
      <c r="E2531" s="2079">
        <v>2</v>
      </c>
      <c r="F2531" s="2073" t="s">
        <v>240</v>
      </c>
      <c r="G2531" s="2080">
        <v>202.5</v>
      </c>
      <c r="H2531" s="2074">
        <f t="shared" si="1138"/>
        <v>405</v>
      </c>
      <c r="I2531" s="1855">
        <v>35</v>
      </c>
      <c r="J2531" s="2073">
        <f t="shared" si="1139"/>
        <v>70</v>
      </c>
      <c r="K2531" s="2075">
        <f t="shared" si="1140"/>
        <v>475</v>
      </c>
      <c r="L2531" s="2076"/>
      <c r="M2531" s="2059"/>
      <c r="O2531" s="1863"/>
      <c r="P2531" s="2077"/>
      <c r="Q2531" s="2077"/>
    </row>
    <row r="2532" spans="1:17" ht="22.15" customHeight="1">
      <c r="A2532" s="1901"/>
      <c r="B2532" s="2078"/>
      <c r="C2532" s="1755"/>
      <c r="D2532" s="2071"/>
      <c r="E2532" s="2079"/>
      <c r="F2532" s="2073"/>
      <c r="G2532" s="1853"/>
      <c r="H2532" s="2074"/>
      <c r="I2532" s="1855"/>
      <c r="J2532" s="2073"/>
      <c r="K2532" s="2075"/>
      <c r="L2532" s="2076"/>
      <c r="M2532" s="2059"/>
      <c r="O2532" s="1863"/>
      <c r="P2532" s="2077"/>
      <c r="Q2532" s="2077"/>
    </row>
    <row r="2533" spans="1:17" ht="22.15" customHeight="1">
      <c r="A2533" s="1901"/>
      <c r="B2533" s="2078" t="s">
        <v>425</v>
      </c>
      <c r="C2533" s="1755" t="s">
        <v>743</v>
      </c>
      <c r="D2533" s="2071"/>
      <c r="E2533" s="2079">
        <v>1</v>
      </c>
      <c r="F2533" s="2073" t="s">
        <v>240</v>
      </c>
      <c r="G2533" s="1853">
        <v>517.5</v>
      </c>
      <c r="H2533" s="2074">
        <f t="shared" ref="H2533:H2535" si="1141">G2533*E2533</f>
        <v>517.5</v>
      </c>
      <c r="I2533" s="1855">
        <v>25</v>
      </c>
      <c r="J2533" s="2073">
        <f t="shared" ref="J2533:J2535" si="1142">I2533*E2533</f>
        <v>25</v>
      </c>
      <c r="K2533" s="2075">
        <f t="shared" ref="K2533:K2535" si="1143">H2533+J2533</f>
        <v>542.5</v>
      </c>
      <c r="L2533" s="2076"/>
      <c r="M2533" s="2059"/>
      <c r="O2533" s="1863"/>
      <c r="P2533" s="2077"/>
      <c r="Q2533" s="2077"/>
    </row>
    <row r="2534" spans="1:17" ht="22.15" customHeight="1">
      <c r="A2534" s="1901"/>
      <c r="B2534" s="2078" t="s">
        <v>425</v>
      </c>
      <c r="C2534" s="1755" t="s">
        <v>2836</v>
      </c>
      <c r="D2534" s="2071"/>
      <c r="E2534" s="2079">
        <v>1</v>
      </c>
      <c r="F2534" s="2073" t="s">
        <v>240</v>
      </c>
      <c r="G2534" s="2080">
        <v>397.5</v>
      </c>
      <c r="H2534" s="2074">
        <f t="shared" si="1141"/>
        <v>397.5</v>
      </c>
      <c r="I2534" s="1855">
        <v>70</v>
      </c>
      <c r="J2534" s="2073">
        <f t="shared" si="1142"/>
        <v>70</v>
      </c>
      <c r="K2534" s="2075">
        <f t="shared" si="1143"/>
        <v>467.5</v>
      </c>
      <c r="L2534" s="2073"/>
      <c r="M2534" s="2081"/>
      <c r="O2534" s="1863"/>
      <c r="P2534" s="2077"/>
      <c r="Q2534" s="2077"/>
    </row>
    <row r="2535" spans="1:17" ht="22.15" customHeight="1">
      <c r="A2535" s="1901"/>
      <c r="B2535" s="2078" t="s">
        <v>425</v>
      </c>
      <c r="C2535" s="1755" t="s">
        <v>728</v>
      </c>
      <c r="D2535" s="2071"/>
      <c r="E2535" s="2079">
        <v>1</v>
      </c>
      <c r="F2535" s="2073" t="s">
        <v>240</v>
      </c>
      <c r="G2535" s="1853">
        <v>525</v>
      </c>
      <c r="H2535" s="2074">
        <f t="shared" si="1141"/>
        <v>525</v>
      </c>
      <c r="I2535" s="1855">
        <v>75</v>
      </c>
      <c r="J2535" s="2073">
        <f t="shared" si="1142"/>
        <v>75</v>
      </c>
      <c r="K2535" s="2075">
        <f t="shared" si="1143"/>
        <v>600</v>
      </c>
      <c r="L2535" s="2076"/>
      <c r="M2535" s="2059"/>
      <c r="O2535" s="1863"/>
      <c r="P2535" s="2077"/>
      <c r="Q2535" s="2077"/>
    </row>
    <row r="2536" spans="1:17" ht="22.15" customHeight="1">
      <c r="A2536" s="1901"/>
      <c r="B2536" s="2078"/>
      <c r="C2536" s="1755"/>
      <c r="D2536" s="2071"/>
      <c r="E2536" s="2079"/>
      <c r="F2536" s="2073"/>
      <c r="G2536" s="1853"/>
      <c r="H2536" s="2074"/>
      <c r="I2536" s="1855"/>
      <c r="J2536" s="2073"/>
      <c r="K2536" s="2075"/>
      <c r="L2536" s="2076"/>
      <c r="M2536" s="2059"/>
      <c r="O2536" s="1863"/>
      <c r="P2536" s="2077"/>
      <c r="Q2536" s="2077"/>
    </row>
    <row r="2537" spans="1:17" ht="22.15" customHeight="1">
      <c r="A2537" s="1901"/>
      <c r="B2537" s="2078" t="s">
        <v>425</v>
      </c>
      <c r="C2537" s="1755" t="s">
        <v>730</v>
      </c>
      <c r="D2537" s="2071"/>
      <c r="E2537" s="2079">
        <v>1</v>
      </c>
      <c r="F2537" s="2073" t="s">
        <v>240</v>
      </c>
      <c r="G2537" s="2080">
        <v>1320</v>
      </c>
      <c r="H2537" s="2074">
        <f t="shared" ref="H2537:H2542" si="1144">G2537*E2537</f>
        <v>1320</v>
      </c>
      <c r="I2537" s="1855">
        <v>70</v>
      </c>
      <c r="J2537" s="2073">
        <f t="shared" ref="J2537:J2542" si="1145">I2537*E2537</f>
        <v>70</v>
      </c>
      <c r="K2537" s="2075">
        <f t="shared" ref="K2537:K2542" si="1146">H2537+J2537</f>
        <v>1390</v>
      </c>
      <c r="L2537" s="2076"/>
      <c r="M2537" s="2059"/>
      <c r="O2537" s="1863"/>
      <c r="P2537" s="2077"/>
      <c r="Q2537" s="2077"/>
    </row>
    <row r="2538" spans="1:17" ht="22.15" customHeight="1">
      <c r="A2538" s="1901"/>
      <c r="B2538" s="2078" t="s">
        <v>425</v>
      </c>
      <c r="C2538" s="1755" t="s">
        <v>741</v>
      </c>
      <c r="D2538" s="2071"/>
      <c r="E2538" s="2079">
        <v>1</v>
      </c>
      <c r="F2538" s="2073" t="s">
        <v>240</v>
      </c>
      <c r="G2538" s="2080">
        <v>9750</v>
      </c>
      <c r="H2538" s="2074">
        <f t="shared" si="1144"/>
        <v>9750</v>
      </c>
      <c r="I2538" s="1855">
        <v>105</v>
      </c>
      <c r="J2538" s="2073">
        <f t="shared" si="1145"/>
        <v>105</v>
      </c>
      <c r="K2538" s="2075">
        <f t="shared" si="1146"/>
        <v>9855</v>
      </c>
      <c r="L2538" s="2076"/>
      <c r="M2538" s="2059"/>
      <c r="O2538" s="1863"/>
      <c r="P2538" s="2077"/>
      <c r="Q2538" s="2077"/>
    </row>
    <row r="2539" spans="1:17" ht="22.15" customHeight="1">
      <c r="A2539" s="1901"/>
      <c r="B2539" s="2078" t="s">
        <v>425</v>
      </c>
      <c r="C2539" s="1755" t="s">
        <v>742</v>
      </c>
      <c r="D2539" s="2071"/>
      <c r="E2539" s="2079">
        <v>1</v>
      </c>
      <c r="F2539" s="2073" t="s">
        <v>240</v>
      </c>
      <c r="G2539" s="2080">
        <v>5200</v>
      </c>
      <c r="H2539" s="2074">
        <f t="shared" si="1144"/>
        <v>5200</v>
      </c>
      <c r="I2539" s="1855">
        <v>70</v>
      </c>
      <c r="J2539" s="2073">
        <f t="shared" si="1145"/>
        <v>70</v>
      </c>
      <c r="K2539" s="2075">
        <f t="shared" si="1146"/>
        <v>5270</v>
      </c>
      <c r="L2539" s="2076"/>
      <c r="M2539" s="2059"/>
      <c r="O2539" s="1863"/>
      <c r="P2539" s="2077"/>
      <c r="Q2539" s="2077"/>
    </row>
    <row r="2540" spans="1:17" ht="22.15" customHeight="1">
      <c r="A2540" s="1901"/>
      <c r="B2540" s="2078" t="s">
        <v>425</v>
      </c>
      <c r="C2540" s="1755" t="s">
        <v>2837</v>
      </c>
      <c r="D2540" s="2071"/>
      <c r="E2540" s="2079">
        <v>2</v>
      </c>
      <c r="F2540" s="2073" t="s">
        <v>240</v>
      </c>
      <c r="G2540" s="2080">
        <v>4160</v>
      </c>
      <c r="H2540" s="2074">
        <f t="shared" si="1144"/>
        <v>8320</v>
      </c>
      <c r="I2540" s="1855">
        <v>105</v>
      </c>
      <c r="J2540" s="2073">
        <f t="shared" si="1145"/>
        <v>210</v>
      </c>
      <c r="K2540" s="2075">
        <f t="shared" si="1146"/>
        <v>8530</v>
      </c>
      <c r="L2540" s="2076"/>
      <c r="M2540" s="2059"/>
      <c r="O2540" s="1863"/>
      <c r="P2540" s="2077"/>
      <c r="Q2540" s="2077"/>
    </row>
    <row r="2541" spans="1:17" ht="22.15" customHeight="1">
      <c r="A2541" s="1901"/>
      <c r="B2541" s="2078" t="s">
        <v>425</v>
      </c>
      <c r="C2541" s="1755" t="s">
        <v>2838</v>
      </c>
      <c r="D2541" s="2071"/>
      <c r="E2541" s="2079">
        <v>1</v>
      </c>
      <c r="F2541" s="2073" t="s">
        <v>240</v>
      </c>
      <c r="G2541" s="2080">
        <v>2533.5</v>
      </c>
      <c r="H2541" s="2074">
        <f t="shared" si="1144"/>
        <v>2533.5</v>
      </c>
      <c r="I2541" s="1855">
        <v>105</v>
      </c>
      <c r="J2541" s="2073">
        <f t="shared" si="1145"/>
        <v>105</v>
      </c>
      <c r="K2541" s="2075">
        <f t="shared" si="1146"/>
        <v>2638.5</v>
      </c>
      <c r="L2541" s="2073"/>
      <c r="M2541" s="2081"/>
      <c r="O2541" s="1863"/>
      <c r="P2541" s="2077"/>
      <c r="Q2541" s="2077"/>
    </row>
    <row r="2542" spans="1:17" ht="22.15" customHeight="1">
      <c r="A2542" s="1901"/>
      <c r="B2542" s="2090" t="s">
        <v>609</v>
      </c>
      <c r="C2542" s="63" t="s">
        <v>2927</v>
      </c>
      <c r="D2542" s="2091"/>
      <c r="E2542" s="2092">
        <v>2</v>
      </c>
      <c r="F2542" s="2086" t="s">
        <v>240</v>
      </c>
      <c r="G2542" s="2084">
        <v>2855</v>
      </c>
      <c r="H2542" s="2085">
        <f t="shared" si="1144"/>
        <v>5710</v>
      </c>
      <c r="I2542" s="1904">
        <v>1432</v>
      </c>
      <c r="J2542" s="2086">
        <f t="shared" si="1145"/>
        <v>2864</v>
      </c>
      <c r="K2542" s="2087">
        <f t="shared" si="1146"/>
        <v>8574</v>
      </c>
      <c r="L2542" s="2076"/>
      <c r="M2542" s="2059"/>
      <c r="O2542" s="1863"/>
      <c r="P2542" s="2077"/>
      <c r="Q2542" s="2077"/>
    </row>
    <row r="2543" spans="1:17" ht="22.15" customHeight="1">
      <c r="A2543" s="1901"/>
      <c r="B2543" s="2090"/>
      <c r="C2543" s="63" t="s">
        <v>2928</v>
      </c>
      <c r="D2543" s="2091"/>
      <c r="E2543" s="2092"/>
      <c r="F2543" s="2086"/>
      <c r="G2543" s="2084"/>
      <c r="H2543" s="2085"/>
      <c r="I2543" s="1904"/>
      <c r="J2543" s="2086"/>
      <c r="K2543" s="2087"/>
      <c r="L2543" s="2076"/>
      <c r="M2543" s="2059"/>
      <c r="O2543" s="1863"/>
      <c r="P2543" s="2077"/>
      <c r="Q2543" s="2077"/>
    </row>
    <row r="2544" spans="1:17" ht="22.15" customHeight="1">
      <c r="A2544" s="1901"/>
      <c r="B2544" s="2089" t="s">
        <v>2845</v>
      </c>
      <c r="C2544" s="2070"/>
      <c r="D2544" s="2071"/>
      <c r="E2544" s="2072">
        <v>1</v>
      </c>
      <c r="F2544" s="2073" t="s">
        <v>723</v>
      </c>
      <c r="G2544" s="1853"/>
      <c r="H2544" s="2074"/>
      <c r="I2544" s="1855"/>
      <c r="J2544" s="2073"/>
      <c r="K2544" s="2075"/>
      <c r="L2544" s="2076"/>
      <c r="M2544" s="2059"/>
      <c r="O2544" s="1863"/>
      <c r="P2544" s="2077"/>
      <c r="Q2544" s="2077"/>
    </row>
    <row r="2545" spans="1:24" ht="22.15" customHeight="1">
      <c r="A2545" s="1901"/>
      <c r="B2545" s="2078" t="s">
        <v>425</v>
      </c>
      <c r="C2545" s="1755" t="s">
        <v>743</v>
      </c>
      <c r="D2545" s="2071"/>
      <c r="E2545" s="2079">
        <v>1</v>
      </c>
      <c r="F2545" s="2073" t="s">
        <v>240</v>
      </c>
      <c r="G2545" s="1853">
        <v>517.5</v>
      </c>
      <c r="H2545" s="2074">
        <f t="shared" ref="H2545:H2547" si="1147">G2545*E2545</f>
        <v>517.5</v>
      </c>
      <c r="I2545" s="1855">
        <v>25</v>
      </c>
      <c r="J2545" s="2073">
        <f>I2545*E2545</f>
        <v>25</v>
      </c>
      <c r="K2545" s="2075">
        <f>H2545+J2545</f>
        <v>542.5</v>
      </c>
      <c r="L2545" s="2076"/>
      <c r="M2545" s="2059"/>
      <c r="O2545" s="1863"/>
      <c r="P2545" s="2077"/>
      <c r="Q2545" s="2077"/>
    </row>
    <row r="2546" spans="1:24" ht="22.15" customHeight="1">
      <c r="A2546" s="1901"/>
      <c r="B2546" s="2078" t="s">
        <v>425</v>
      </c>
      <c r="C2546" s="1755" t="s">
        <v>744</v>
      </c>
      <c r="D2546" s="2071"/>
      <c r="E2546" s="2079">
        <v>2</v>
      </c>
      <c r="F2546" s="2073" t="s">
        <v>240</v>
      </c>
      <c r="G2546" s="1853">
        <v>525</v>
      </c>
      <c r="H2546" s="2074">
        <f t="shared" si="1147"/>
        <v>1050</v>
      </c>
      <c r="I2546" s="1855">
        <v>75</v>
      </c>
      <c r="J2546" s="2073">
        <f>I2546*E2546</f>
        <v>150</v>
      </c>
      <c r="K2546" s="2075">
        <f>H2546+J2546</f>
        <v>1200</v>
      </c>
      <c r="L2546" s="2076"/>
      <c r="M2546" s="2059"/>
      <c r="O2546" s="1863"/>
      <c r="P2546" s="2077"/>
      <c r="Q2546" s="2077"/>
    </row>
    <row r="2547" spans="1:24" ht="22.15" customHeight="1">
      <c r="A2547" s="1901"/>
      <c r="B2547" s="2078" t="s">
        <v>425</v>
      </c>
      <c r="C2547" s="1755" t="s">
        <v>745</v>
      </c>
      <c r="D2547" s="2071"/>
      <c r="E2547" s="2079">
        <v>1</v>
      </c>
      <c r="F2547" s="2073" t="s">
        <v>240</v>
      </c>
      <c r="G2547" s="2080">
        <v>397.5</v>
      </c>
      <c r="H2547" s="2074">
        <f t="shared" si="1147"/>
        <v>397.5</v>
      </c>
      <c r="I2547" s="1855">
        <v>70</v>
      </c>
      <c r="J2547" s="2073">
        <f t="shared" ref="J2547" si="1148">I2547*E2547</f>
        <v>70</v>
      </c>
      <c r="K2547" s="2075">
        <f t="shared" ref="K2547" si="1149">H2547+J2547</f>
        <v>467.5</v>
      </c>
      <c r="L2547" s="2073"/>
      <c r="M2547" s="2081"/>
      <c r="N2547" s="2047">
        <f>SUM(K2368:K2547)</f>
        <v>2413742.75</v>
      </c>
      <c r="O2547" s="1863"/>
      <c r="P2547" s="2077"/>
      <c r="Q2547" s="2077"/>
    </row>
    <row r="2548" spans="1:24" ht="24" customHeight="1">
      <c r="A2548" s="1782" t="s">
        <v>748</v>
      </c>
      <c r="B2548" s="2041" t="s">
        <v>749</v>
      </c>
      <c r="C2548" s="1905"/>
      <c r="D2548" s="1909"/>
      <c r="E2548" s="1910"/>
      <c r="F2548" s="2275"/>
      <c r="G2548" s="1921"/>
      <c r="H2548" s="1911"/>
      <c r="I2548" s="1912"/>
      <c r="J2548" s="1913"/>
      <c r="K2548" s="1914"/>
      <c r="L2548" s="1847"/>
      <c r="M2548" s="1809"/>
      <c r="N2548" s="1837"/>
      <c r="O2548" s="1837"/>
      <c r="P2548" s="1837"/>
      <c r="Q2548" s="1837"/>
      <c r="R2548" s="1837"/>
      <c r="S2548" s="1837"/>
      <c r="T2548" s="1837"/>
      <c r="U2548" s="1837"/>
      <c r="V2548" s="1837"/>
      <c r="W2548" s="1837"/>
      <c r="X2548" s="1837"/>
    </row>
    <row r="2549" spans="1:24" ht="22.15" customHeight="1">
      <c r="A2549" s="1901"/>
      <c r="B2549" s="2069" t="s">
        <v>2846</v>
      </c>
      <c r="C2549" s="2070"/>
      <c r="D2549" s="2071"/>
      <c r="E2549" s="2072">
        <v>2</v>
      </c>
      <c r="F2549" s="2073" t="s">
        <v>723</v>
      </c>
      <c r="G2549" s="1853"/>
      <c r="H2549" s="2074"/>
      <c r="I2549" s="1855"/>
      <c r="J2549" s="2073"/>
      <c r="K2549" s="2075"/>
      <c r="L2549" s="2076"/>
      <c r="M2549" s="2059"/>
      <c r="O2549" s="1863"/>
      <c r="P2549" s="2077"/>
      <c r="Q2549" s="2077"/>
    </row>
    <row r="2550" spans="1:24" ht="22.15" customHeight="1">
      <c r="A2550" s="1901"/>
      <c r="B2550" s="2078" t="s">
        <v>425</v>
      </c>
      <c r="C2550" s="2070" t="s">
        <v>724</v>
      </c>
      <c r="D2550" s="2071"/>
      <c r="E2550" s="2079">
        <v>18</v>
      </c>
      <c r="F2550" s="2073" t="s">
        <v>240</v>
      </c>
      <c r="G2550" s="1853">
        <v>1430</v>
      </c>
      <c r="H2550" s="2074">
        <f t="shared" ref="H2550:H2555" si="1150">G2550*E2550</f>
        <v>25740</v>
      </c>
      <c r="I2550" s="1855">
        <v>450</v>
      </c>
      <c r="J2550" s="2073">
        <f t="shared" ref="J2550:J2555" si="1151">I2550*E2550</f>
        <v>8100</v>
      </c>
      <c r="K2550" s="2075">
        <f t="shared" ref="K2550:K2555" si="1152">H2550+J2550</f>
        <v>33840</v>
      </c>
      <c r="L2550" s="2076"/>
      <c r="M2550" s="2059"/>
      <c r="O2550" s="1863"/>
      <c r="P2550" s="2077"/>
      <c r="Q2550" s="2077"/>
    </row>
    <row r="2551" spans="1:24" ht="22.15" customHeight="1">
      <c r="A2551" s="1901"/>
      <c r="B2551" s="2078" t="s">
        <v>425</v>
      </c>
      <c r="C2551" s="2070" t="s">
        <v>2822</v>
      </c>
      <c r="D2551" s="2071"/>
      <c r="E2551" s="2079">
        <v>18</v>
      </c>
      <c r="F2551" s="2073" t="s">
        <v>240</v>
      </c>
      <c r="G2551" s="1853">
        <v>6225</v>
      </c>
      <c r="H2551" s="2074">
        <f t="shared" si="1150"/>
        <v>112050</v>
      </c>
      <c r="I2551" s="1855">
        <v>200</v>
      </c>
      <c r="J2551" s="2073">
        <f t="shared" si="1151"/>
        <v>3600</v>
      </c>
      <c r="K2551" s="2075">
        <f t="shared" si="1152"/>
        <v>115650</v>
      </c>
      <c r="L2551" s="2076"/>
      <c r="M2551" s="2059"/>
      <c r="O2551" s="1863"/>
      <c r="P2551" s="2077"/>
      <c r="Q2551" s="2077"/>
    </row>
    <row r="2552" spans="1:24" ht="22.15" customHeight="1">
      <c r="A2552" s="1901"/>
      <c r="B2552" s="2078" t="s">
        <v>425</v>
      </c>
      <c r="C2552" s="2070" t="s">
        <v>2823</v>
      </c>
      <c r="D2552" s="2071"/>
      <c r="E2552" s="2079">
        <v>18</v>
      </c>
      <c r="F2552" s="2073" t="s">
        <v>240</v>
      </c>
      <c r="G2552" s="1853">
        <v>315</v>
      </c>
      <c r="H2552" s="2074">
        <f t="shared" si="1150"/>
        <v>5670</v>
      </c>
      <c r="I2552" s="1855">
        <v>0</v>
      </c>
      <c r="J2552" s="2073">
        <f t="shared" si="1151"/>
        <v>0</v>
      </c>
      <c r="K2552" s="2075">
        <f t="shared" si="1152"/>
        <v>5670</v>
      </c>
      <c r="L2552" s="2076"/>
      <c r="M2552" s="2059"/>
      <c r="O2552" s="1863"/>
      <c r="P2552" s="2077"/>
      <c r="Q2552" s="2077"/>
    </row>
    <row r="2553" spans="1:24" ht="22.15" customHeight="1">
      <c r="A2553" s="1901"/>
      <c r="B2553" s="2078" t="s">
        <v>425</v>
      </c>
      <c r="C2553" s="2070" t="s">
        <v>2824</v>
      </c>
      <c r="D2553" s="2071"/>
      <c r="E2553" s="2079">
        <v>18</v>
      </c>
      <c r="F2553" s="2073" t="s">
        <v>240</v>
      </c>
      <c r="G2553" s="1853">
        <v>690</v>
      </c>
      <c r="H2553" s="2074">
        <f t="shared" si="1150"/>
        <v>12420</v>
      </c>
      <c r="I2553" s="1855">
        <v>0</v>
      </c>
      <c r="J2553" s="2073">
        <f t="shared" si="1151"/>
        <v>0</v>
      </c>
      <c r="K2553" s="2075">
        <f t="shared" si="1152"/>
        <v>12420</v>
      </c>
      <c r="L2553" s="2076"/>
      <c r="M2553" s="2059"/>
      <c r="O2553" s="1863"/>
      <c r="P2553" s="2077"/>
      <c r="Q2553" s="2077"/>
    </row>
    <row r="2554" spans="1:24" ht="22.15" customHeight="1">
      <c r="A2554" s="1901"/>
      <c r="B2554" s="2078" t="s">
        <v>425</v>
      </c>
      <c r="C2554" s="2070" t="s">
        <v>2825</v>
      </c>
      <c r="D2554" s="2071"/>
      <c r="E2554" s="2079">
        <v>18</v>
      </c>
      <c r="F2554" s="2073" t="s">
        <v>240</v>
      </c>
      <c r="G2554" s="1853">
        <v>165</v>
      </c>
      <c r="H2554" s="2074">
        <f t="shared" si="1150"/>
        <v>2970</v>
      </c>
      <c r="I2554" s="1855">
        <v>0</v>
      </c>
      <c r="J2554" s="2073">
        <f t="shared" si="1151"/>
        <v>0</v>
      </c>
      <c r="K2554" s="2075">
        <f t="shared" si="1152"/>
        <v>2970</v>
      </c>
      <c r="L2554" s="2076"/>
      <c r="M2554" s="2059"/>
      <c r="O2554" s="1863"/>
      <c r="P2554" s="2077"/>
      <c r="Q2554" s="2077"/>
    </row>
    <row r="2555" spans="1:24" ht="22.15" customHeight="1">
      <c r="A2555" s="1901"/>
      <c r="B2555" s="2078" t="s">
        <v>425</v>
      </c>
      <c r="C2555" s="2070" t="s">
        <v>2826</v>
      </c>
      <c r="D2555" s="2071"/>
      <c r="E2555" s="2079">
        <v>18</v>
      </c>
      <c r="F2555" s="2073" t="s">
        <v>240</v>
      </c>
      <c r="G2555" s="1853">
        <v>202.5</v>
      </c>
      <c r="H2555" s="2074">
        <f t="shared" si="1150"/>
        <v>3645</v>
      </c>
      <c r="I2555" s="1855">
        <v>35</v>
      </c>
      <c r="J2555" s="2073">
        <f t="shared" si="1151"/>
        <v>630</v>
      </c>
      <c r="K2555" s="2075">
        <f t="shared" si="1152"/>
        <v>4275</v>
      </c>
      <c r="L2555" s="2076"/>
      <c r="M2555" s="2059"/>
      <c r="O2555" s="1863"/>
      <c r="P2555" s="2077"/>
      <c r="Q2555" s="2077"/>
    </row>
    <row r="2556" spans="1:24" ht="22.15" customHeight="1">
      <c r="A2556" s="1901"/>
      <c r="B2556" s="2078"/>
      <c r="C2556" s="2070"/>
      <c r="D2556" s="2071"/>
      <c r="E2556" s="2079"/>
      <c r="F2556" s="2073"/>
      <c r="G2556" s="1853"/>
      <c r="H2556" s="2074"/>
      <c r="I2556" s="1855"/>
      <c r="J2556" s="2073"/>
      <c r="K2556" s="2075"/>
      <c r="L2556" s="2076"/>
      <c r="M2556" s="2059"/>
      <c r="O2556" s="1863"/>
      <c r="P2556" s="2077"/>
      <c r="Q2556" s="2077"/>
    </row>
    <row r="2557" spans="1:24" ht="22.15" customHeight="1">
      <c r="A2557" s="1901"/>
      <c r="B2557" s="2078" t="s">
        <v>425</v>
      </c>
      <c r="C2557" s="2070" t="s">
        <v>725</v>
      </c>
      <c r="D2557" s="2071"/>
      <c r="E2557" s="2079">
        <v>16</v>
      </c>
      <c r="F2557" s="2073" t="s">
        <v>240</v>
      </c>
      <c r="G2557" s="1853">
        <v>8723</v>
      </c>
      <c r="H2557" s="2074">
        <f t="shared" ref="H2557:H2559" si="1153">G2557*E2557</f>
        <v>139568</v>
      </c>
      <c r="I2557" s="1855">
        <v>450</v>
      </c>
      <c r="J2557" s="2073">
        <f t="shared" ref="J2557:J2559" si="1154">I2557*E2557</f>
        <v>7200</v>
      </c>
      <c r="K2557" s="2075">
        <f t="shared" ref="K2557:K2559" si="1155">H2557+J2557</f>
        <v>146768</v>
      </c>
      <c r="L2557" s="2076"/>
      <c r="M2557" s="2059"/>
      <c r="O2557" s="1863"/>
      <c r="P2557" s="2077"/>
      <c r="Q2557" s="2077"/>
    </row>
    <row r="2558" spans="1:24" ht="22.15" customHeight="1">
      <c r="A2558" s="1901"/>
      <c r="B2558" s="2078" t="s">
        <v>425</v>
      </c>
      <c r="C2558" s="2070" t="s">
        <v>726</v>
      </c>
      <c r="D2558" s="2071"/>
      <c r="E2558" s="2079">
        <v>16</v>
      </c>
      <c r="F2558" s="2073" t="s">
        <v>240</v>
      </c>
      <c r="G2558" s="1853">
        <v>2430</v>
      </c>
      <c r="H2558" s="2074">
        <f t="shared" si="1153"/>
        <v>38880</v>
      </c>
      <c r="I2558" s="1855">
        <v>0</v>
      </c>
      <c r="J2558" s="2073">
        <f t="shared" si="1154"/>
        <v>0</v>
      </c>
      <c r="K2558" s="2075">
        <f t="shared" si="1155"/>
        <v>38880</v>
      </c>
      <c r="L2558" s="2076"/>
      <c r="M2558" s="2059"/>
      <c r="O2558" s="1863"/>
      <c r="P2558" s="2077"/>
      <c r="Q2558" s="2077"/>
    </row>
    <row r="2559" spans="1:24" ht="22.15" customHeight="1">
      <c r="A2559" s="1901"/>
      <c r="B2559" s="2078" t="s">
        <v>425</v>
      </c>
      <c r="C2559" s="2070" t="s">
        <v>2826</v>
      </c>
      <c r="D2559" s="2071"/>
      <c r="E2559" s="2079">
        <v>16</v>
      </c>
      <c r="F2559" s="2073" t="s">
        <v>240</v>
      </c>
      <c r="G2559" s="2080">
        <v>202.5</v>
      </c>
      <c r="H2559" s="2074">
        <f t="shared" si="1153"/>
        <v>3240</v>
      </c>
      <c r="I2559" s="1855">
        <v>35</v>
      </c>
      <c r="J2559" s="2073">
        <f t="shared" si="1154"/>
        <v>560</v>
      </c>
      <c r="K2559" s="2075">
        <f t="shared" si="1155"/>
        <v>3800</v>
      </c>
      <c r="L2559" s="2076"/>
      <c r="M2559" s="2059"/>
      <c r="O2559" s="1863"/>
      <c r="P2559" s="2077"/>
      <c r="Q2559" s="2077"/>
    </row>
    <row r="2560" spans="1:24" ht="22.15" customHeight="1">
      <c r="A2560" s="1901"/>
      <c r="B2560" s="2078"/>
      <c r="C2560" s="2070"/>
      <c r="D2560" s="2071"/>
      <c r="E2560" s="2079"/>
      <c r="F2560" s="2073"/>
      <c r="G2560" s="1853"/>
      <c r="H2560" s="2074"/>
      <c r="I2560" s="1855"/>
      <c r="J2560" s="2073"/>
      <c r="K2560" s="2075"/>
      <c r="L2560" s="2076"/>
      <c r="M2560" s="2059"/>
      <c r="O2560" s="1863"/>
      <c r="P2560" s="2077"/>
      <c r="Q2560" s="2077"/>
    </row>
    <row r="2561" spans="1:17" ht="22.15" customHeight="1">
      <c r="A2561" s="1901"/>
      <c r="B2561" s="2078" t="s">
        <v>425</v>
      </c>
      <c r="C2561" s="2070" t="s">
        <v>2827</v>
      </c>
      <c r="D2561" s="2071"/>
      <c r="E2561" s="2079">
        <v>24</v>
      </c>
      <c r="F2561" s="2073" t="s">
        <v>240</v>
      </c>
      <c r="G2561" s="1853">
        <v>3640</v>
      </c>
      <c r="H2561" s="2074">
        <f t="shared" ref="H2561:H2562" si="1156">G2561*E2561</f>
        <v>87360</v>
      </c>
      <c r="I2561" s="1855">
        <v>450</v>
      </c>
      <c r="J2561" s="2073">
        <f t="shared" ref="J2561:J2562" si="1157">I2561*E2561</f>
        <v>10800</v>
      </c>
      <c r="K2561" s="2075">
        <f t="shared" ref="K2561:K2562" si="1158">H2561+J2561</f>
        <v>98160</v>
      </c>
      <c r="L2561" s="2073"/>
      <c r="M2561" s="2081"/>
      <c r="O2561" s="1863"/>
      <c r="P2561" s="2077"/>
      <c r="Q2561" s="2077"/>
    </row>
    <row r="2562" spans="1:17" ht="22.15" customHeight="1">
      <c r="A2562" s="1901"/>
      <c r="B2562" s="2078" t="s">
        <v>425</v>
      </c>
      <c r="C2562" s="2070" t="s">
        <v>727</v>
      </c>
      <c r="D2562" s="2071"/>
      <c r="E2562" s="2079">
        <v>24</v>
      </c>
      <c r="F2562" s="2073" t="s">
        <v>240</v>
      </c>
      <c r="G2562" s="1853">
        <v>11955</v>
      </c>
      <c r="H2562" s="2074">
        <f t="shared" si="1156"/>
        <v>286920</v>
      </c>
      <c r="I2562" s="1855">
        <v>0</v>
      </c>
      <c r="J2562" s="2073">
        <f t="shared" si="1157"/>
        <v>0</v>
      </c>
      <c r="K2562" s="2075">
        <f t="shared" si="1158"/>
        <v>286920</v>
      </c>
      <c r="L2562" s="2073"/>
      <c r="M2562" s="2081"/>
      <c r="O2562" s="1863"/>
      <c r="P2562" s="2077"/>
      <c r="Q2562" s="2077"/>
    </row>
    <row r="2563" spans="1:17" ht="22.15" customHeight="1">
      <c r="A2563" s="1901"/>
      <c r="B2563" s="2078"/>
      <c r="C2563" s="2070"/>
      <c r="D2563" s="2071"/>
      <c r="E2563" s="2079"/>
      <c r="F2563" s="2073"/>
      <c r="G2563" s="1853"/>
      <c r="H2563" s="2074"/>
      <c r="I2563" s="1855"/>
      <c r="J2563" s="2073"/>
      <c r="K2563" s="2075"/>
      <c r="L2563" s="2073"/>
      <c r="M2563" s="2081"/>
      <c r="O2563" s="1863"/>
      <c r="P2563" s="2077"/>
      <c r="Q2563" s="2077"/>
    </row>
    <row r="2564" spans="1:17" ht="22.15" customHeight="1">
      <c r="A2564" s="1901"/>
      <c r="B2564" s="2078" t="s">
        <v>425</v>
      </c>
      <c r="C2564" s="1755" t="s">
        <v>728</v>
      </c>
      <c r="D2564" s="2071"/>
      <c r="E2564" s="2079">
        <v>14</v>
      </c>
      <c r="F2564" s="2073" t="s">
        <v>240</v>
      </c>
      <c r="G2564" s="1853">
        <v>525</v>
      </c>
      <c r="H2564" s="2074">
        <f t="shared" ref="H2564:H2570" si="1159">G2564*E2564</f>
        <v>7350</v>
      </c>
      <c r="I2564" s="1855">
        <v>75</v>
      </c>
      <c r="J2564" s="2073">
        <f t="shared" ref="J2564:J2570" si="1160">I2564*E2564</f>
        <v>1050</v>
      </c>
      <c r="K2564" s="2075">
        <f t="shared" ref="K2564:K2570" si="1161">H2564+J2564</f>
        <v>8400</v>
      </c>
      <c r="L2564" s="2076"/>
      <c r="M2564" s="2059"/>
      <c r="O2564" s="1863"/>
      <c r="P2564" s="2077"/>
      <c r="Q2564" s="2077"/>
    </row>
    <row r="2565" spans="1:17" ht="22.15" customHeight="1">
      <c r="A2565" s="1901"/>
      <c r="B2565" s="2078" t="s">
        <v>425</v>
      </c>
      <c r="C2565" s="1755" t="s">
        <v>743</v>
      </c>
      <c r="D2565" s="2071"/>
      <c r="E2565" s="2079">
        <v>2</v>
      </c>
      <c r="F2565" s="2073" t="s">
        <v>240</v>
      </c>
      <c r="G2565" s="1853">
        <v>517.5</v>
      </c>
      <c r="H2565" s="2074">
        <f t="shared" si="1159"/>
        <v>1035</v>
      </c>
      <c r="I2565" s="1855">
        <v>25</v>
      </c>
      <c r="J2565" s="2073">
        <f t="shared" si="1160"/>
        <v>50</v>
      </c>
      <c r="K2565" s="2075">
        <f t="shared" si="1161"/>
        <v>1085</v>
      </c>
      <c r="L2565" s="2076"/>
      <c r="M2565" s="2059"/>
      <c r="O2565" s="1863"/>
      <c r="P2565" s="2077"/>
      <c r="Q2565" s="2077"/>
    </row>
    <row r="2566" spans="1:17" ht="22.15" customHeight="1">
      <c r="A2566" s="1901"/>
      <c r="B2566" s="2078" t="s">
        <v>425</v>
      </c>
      <c r="C2566" s="1755" t="s">
        <v>729</v>
      </c>
      <c r="D2566" s="2071"/>
      <c r="E2566" s="2079">
        <f>E2557</f>
        <v>16</v>
      </c>
      <c r="F2566" s="2073" t="s">
        <v>240</v>
      </c>
      <c r="G2566" s="2082">
        <v>13500</v>
      </c>
      <c r="H2566" s="2074">
        <f t="shared" si="1159"/>
        <v>216000</v>
      </c>
      <c r="I2566" s="1855">
        <v>750</v>
      </c>
      <c r="J2566" s="2073">
        <f t="shared" si="1160"/>
        <v>12000</v>
      </c>
      <c r="K2566" s="2075">
        <f t="shared" si="1161"/>
        <v>228000</v>
      </c>
      <c r="L2566" s="2076"/>
      <c r="M2566" s="2059"/>
      <c r="O2566" s="1863"/>
      <c r="P2566" s="2077"/>
      <c r="Q2566" s="2077"/>
    </row>
    <row r="2567" spans="1:17" ht="22.15" customHeight="1">
      <c r="A2567" s="1901"/>
      <c r="B2567" s="2078" t="s">
        <v>425</v>
      </c>
      <c r="C2567" s="1755" t="s">
        <v>730</v>
      </c>
      <c r="D2567" s="2071"/>
      <c r="E2567" s="2079">
        <v>2</v>
      </c>
      <c r="F2567" s="2073" t="s">
        <v>240</v>
      </c>
      <c r="G2567" s="2080">
        <v>1320</v>
      </c>
      <c r="H2567" s="2074">
        <f t="shared" si="1159"/>
        <v>2640</v>
      </c>
      <c r="I2567" s="1855">
        <v>70</v>
      </c>
      <c r="J2567" s="2073">
        <f t="shared" si="1160"/>
        <v>140</v>
      </c>
      <c r="K2567" s="2075">
        <f t="shared" si="1161"/>
        <v>2780</v>
      </c>
      <c r="L2567" s="2076"/>
      <c r="M2567" s="2059"/>
      <c r="O2567" s="1863"/>
      <c r="P2567" s="2077"/>
      <c r="Q2567" s="2077"/>
    </row>
    <row r="2568" spans="1:17" ht="21.75" customHeight="1">
      <c r="A2568" s="1901"/>
      <c r="B2568" s="2078" t="s">
        <v>425</v>
      </c>
      <c r="C2568" s="1755" t="s">
        <v>731</v>
      </c>
      <c r="D2568" s="2071"/>
      <c r="E2568" s="2079">
        <v>2</v>
      </c>
      <c r="F2568" s="2073" t="s">
        <v>240</v>
      </c>
      <c r="G2568" s="2080">
        <v>3820</v>
      </c>
      <c r="H2568" s="1788">
        <f t="shared" si="1159"/>
        <v>7640</v>
      </c>
      <c r="I2568" s="2083">
        <v>200</v>
      </c>
      <c r="J2568" s="1808">
        <f t="shared" si="1160"/>
        <v>400</v>
      </c>
      <c r="K2568" s="1897">
        <f t="shared" si="1161"/>
        <v>8040</v>
      </c>
      <c r="L2568" s="2076"/>
      <c r="M2568" s="2059"/>
      <c r="O2568" s="1863"/>
      <c r="P2568" s="2077"/>
      <c r="Q2568" s="2077"/>
    </row>
    <row r="2569" spans="1:17" ht="22.15" customHeight="1">
      <c r="A2569" s="1901"/>
      <c r="B2569" s="2078" t="s">
        <v>425</v>
      </c>
      <c r="C2569" s="2070" t="s">
        <v>2828</v>
      </c>
      <c r="D2569" s="2071"/>
      <c r="E2569" s="2079">
        <v>2</v>
      </c>
      <c r="F2569" s="2073" t="s">
        <v>240</v>
      </c>
      <c r="G2569" s="2080">
        <v>2835</v>
      </c>
      <c r="H2569" s="2074">
        <f t="shared" si="1159"/>
        <v>5670</v>
      </c>
      <c r="I2569" s="1855">
        <v>105</v>
      </c>
      <c r="J2569" s="2073">
        <f t="shared" si="1160"/>
        <v>210</v>
      </c>
      <c r="K2569" s="2075">
        <f t="shared" si="1161"/>
        <v>5880</v>
      </c>
      <c r="L2569" s="2076"/>
      <c r="M2569" s="2059"/>
      <c r="O2569" s="1863"/>
      <c r="P2569" s="2077"/>
      <c r="Q2569" s="2077"/>
    </row>
    <row r="2570" spans="1:17" ht="22.15" customHeight="1">
      <c r="A2570" s="1901"/>
      <c r="B2570" s="2078" t="s">
        <v>425</v>
      </c>
      <c r="C2570" s="1755" t="s">
        <v>2829</v>
      </c>
      <c r="D2570" s="2071"/>
      <c r="E2570" s="2079">
        <v>2</v>
      </c>
      <c r="F2570" s="2073" t="s">
        <v>240</v>
      </c>
      <c r="G2570" s="2080">
        <v>6180</v>
      </c>
      <c r="H2570" s="2074">
        <f t="shared" si="1159"/>
        <v>12360</v>
      </c>
      <c r="I2570" s="1855">
        <v>105</v>
      </c>
      <c r="J2570" s="2073">
        <f t="shared" si="1160"/>
        <v>210</v>
      </c>
      <c r="K2570" s="2075">
        <f t="shared" si="1161"/>
        <v>12570</v>
      </c>
      <c r="L2570" s="2076"/>
      <c r="M2570" s="2059"/>
      <c r="O2570" s="1863"/>
      <c r="P2570" s="2077"/>
      <c r="Q2570" s="2077"/>
    </row>
    <row r="2571" spans="1:17" ht="22.15" customHeight="1">
      <c r="A2571" s="1901"/>
      <c r="B2571" s="2078"/>
      <c r="C2571" s="2070"/>
      <c r="D2571" s="2071"/>
      <c r="E2571" s="2079"/>
      <c r="F2571" s="2073"/>
      <c r="G2571" s="2080"/>
      <c r="H2571" s="2074"/>
      <c r="I2571" s="1855"/>
      <c r="J2571" s="2073"/>
      <c r="K2571" s="2075"/>
      <c r="L2571" s="2076"/>
      <c r="M2571" s="2059"/>
      <c r="O2571" s="1863"/>
      <c r="P2571" s="2077"/>
      <c r="Q2571" s="2077"/>
    </row>
    <row r="2572" spans="1:17" ht="22.15" customHeight="1">
      <c r="A2572" s="1901"/>
      <c r="B2572" s="2078" t="s">
        <v>425</v>
      </c>
      <c r="C2572" s="2070" t="s">
        <v>732</v>
      </c>
      <c r="D2572" s="2071"/>
      <c r="E2572" s="1808">
        <f>4.8*2</f>
        <v>9.6</v>
      </c>
      <c r="F2572" s="2073" t="s">
        <v>616</v>
      </c>
      <c r="G2572" s="2084">
        <v>3886</v>
      </c>
      <c r="H2572" s="2085">
        <f t="shared" ref="H2572:H2577" si="1162">G2572*E2572</f>
        <v>37305.599999999999</v>
      </c>
      <c r="I2572" s="1904">
        <v>1238</v>
      </c>
      <c r="J2572" s="2086">
        <f t="shared" ref="J2572:J2577" si="1163">I2572*E2572</f>
        <v>11884.8</v>
      </c>
      <c r="K2572" s="2087">
        <f t="shared" ref="K2572:K2577" si="1164">H2572+J2572</f>
        <v>49190.399999999994</v>
      </c>
      <c r="L2572" s="2076"/>
      <c r="M2572" s="2059"/>
      <c r="O2572" s="1863"/>
      <c r="P2572" s="2077"/>
      <c r="Q2572" s="2077"/>
    </row>
    <row r="2573" spans="1:17" ht="22.15" customHeight="1">
      <c r="A2573" s="1901"/>
      <c r="B2573" s="2078" t="s">
        <v>425</v>
      </c>
      <c r="C2573" s="2070" t="s">
        <v>733</v>
      </c>
      <c r="D2573" s="2071"/>
      <c r="E2573" s="1808">
        <f>10.6*2</f>
        <v>21.2</v>
      </c>
      <c r="F2573" s="2073" t="s">
        <v>616</v>
      </c>
      <c r="G2573" s="2084">
        <v>1522</v>
      </c>
      <c r="H2573" s="2085">
        <f t="shared" si="1162"/>
        <v>32266.399999999998</v>
      </c>
      <c r="I2573" s="2088">
        <v>315</v>
      </c>
      <c r="J2573" s="2086">
        <f t="shared" si="1163"/>
        <v>6678</v>
      </c>
      <c r="K2573" s="2087">
        <f t="shared" si="1164"/>
        <v>38944.399999999994</v>
      </c>
      <c r="L2573" s="2076"/>
      <c r="M2573" s="2059"/>
      <c r="O2573" s="1863"/>
      <c r="P2573" s="2077"/>
      <c r="Q2573" s="2077"/>
    </row>
    <row r="2574" spans="1:17" ht="22.15" customHeight="1">
      <c r="A2574" s="1901"/>
      <c r="B2574" s="2078" t="s">
        <v>425</v>
      </c>
      <c r="C2574" s="2070" t="s">
        <v>734</v>
      </c>
      <c r="D2574" s="2071"/>
      <c r="E2574" s="1808">
        <f>7.2*2</f>
        <v>14.4</v>
      </c>
      <c r="F2574" s="2073" t="s">
        <v>616</v>
      </c>
      <c r="G2574" s="2084">
        <v>1522</v>
      </c>
      <c r="H2574" s="2085">
        <f t="shared" si="1162"/>
        <v>21916.799999999999</v>
      </c>
      <c r="I2574" s="2088">
        <v>315</v>
      </c>
      <c r="J2574" s="2086">
        <f t="shared" si="1163"/>
        <v>4536</v>
      </c>
      <c r="K2574" s="2087">
        <f t="shared" si="1164"/>
        <v>26452.799999999999</v>
      </c>
      <c r="L2574" s="2076"/>
      <c r="M2574" s="2059"/>
      <c r="O2574" s="1863"/>
      <c r="P2574" s="2077"/>
      <c r="Q2574" s="2077"/>
    </row>
    <row r="2575" spans="1:17" ht="22.15" customHeight="1">
      <c r="A2575" s="1901"/>
      <c r="B2575" s="2078" t="s">
        <v>425</v>
      </c>
      <c r="C2575" s="2070" t="s">
        <v>735</v>
      </c>
      <c r="D2575" s="2071"/>
      <c r="E2575" s="1808">
        <f>7.2*2</f>
        <v>14.4</v>
      </c>
      <c r="F2575" s="2073" t="s">
        <v>616</v>
      </c>
      <c r="G2575" s="2080">
        <v>750</v>
      </c>
      <c r="H2575" s="1788">
        <f t="shared" si="1162"/>
        <v>10800</v>
      </c>
      <c r="I2575" s="2083">
        <v>45</v>
      </c>
      <c r="J2575" s="1808">
        <f t="shared" si="1163"/>
        <v>648</v>
      </c>
      <c r="K2575" s="1897">
        <f t="shared" si="1164"/>
        <v>11448</v>
      </c>
      <c r="L2575" s="2076"/>
      <c r="M2575" s="2059"/>
      <c r="O2575" s="1863"/>
      <c r="P2575" s="2077"/>
      <c r="Q2575" s="2077"/>
    </row>
    <row r="2576" spans="1:17" ht="22.15" customHeight="1">
      <c r="A2576" s="1901"/>
      <c r="B2576" s="2078" t="s">
        <v>425</v>
      </c>
      <c r="C2576" s="2070" t="s">
        <v>736</v>
      </c>
      <c r="D2576" s="2071"/>
      <c r="E2576" s="1808">
        <f>16.8*2</f>
        <v>33.6</v>
      </c>
      <c r="F2576" s="2073" t="s">
        <v>616</v>
      </c>
      <c r="G2576" s="2080">
        <v>60</v>
      </c>
      <c r="H2576" s="1788">
        <f t="shared" si="1162"/>
        <v>2016</v>
      </c>
      <c r="I2576" s="2083">
        <v>45</v>
      </c>
      <c r="J2576" s="1808">
        <f t="shared" si="1163"/>
        <v>1512</v>
      </c>
      <c r="K2576" s="1897">
        <f t="shared" si="1164"/>
        <v>3528</v>
      </c>
      <c r="L2576" s="2076"/>
      <c r="M2576" s="2059"/>
      <c r="O2576" s="1863"/>
      <c r="P2576" s="2077"/>
      <c r="Q2576" s="2077"/>
    </row>
    <row r="2577" spans="1:17" ht="22.15" customHeight="1">
      <c r="A2577" s="1901"/>
      <c r="B2577" s="2078" t="s">
        <v>425</v>
      </c>
      <c r="C2577" s="2070" t="s">
        <v>2830</v>
      </c>
      <c r="D2577" s="2071"/>
      <c r="E2577" s="1808">
        <f>E2572</f>
        <v>9.6</v>
      </c>
      <c r="F2577" s="2073" t="s">
        <v>616</v>
      </c>
      <c r="G2577" s="2084">
        <v>2694</v>
      </c>
      <c r="H2577" s="2085">
        <f t="shared" si="1162"/>
        <v>25862.399999999998</v>
      </c>
      <c r="I2577" s="1904">
        <v>1288</v>
      </c>
      <c r="J2577" s="2086">
        <f t="shared" si="1163"/>
        <v>12364.8</v>
      </c>
      <c r="K2577" s="2087">
        <f t="shared" si="1164"/>
        <v>38227.199999999997</v>
      </c>
      <c r="L2577" s="2076"/>
      <c r="M2577" s="2059"/>
      <c r="O2577" s="1863"/>
      <c r="P2577" s="2077"/>
      <c r="Q2577" s="2077"/>
    </row>
    <row r="2578" spans="1:17" ht="22.15" customHeight="1">
      <c r="A2578" s="1901"/>
      <c r="B2578" s="2078"/>
      <c r="C2578" s="2070" t="s">
        <v>737</v>
      </c>
      <c r="D2578" s="2071"/>
      <c r="E2578" s="2079"/>
      <c r="F2578" s="2073"/>
      <c r="G2578" s="2080"/>
      <c r="H2578" s="2074"/>
      <c r="I2578" s="1855"/>
      <c r="J2578" s="2073"/>
      <c r="K2578" s="2075"/>
      <c r="L2578" s="2076"/>
      <c r="M2578" s="2059"/>
      <c r="O2578" s="1863"/>
      <c r="P2578" s="2077"/>
      <c r="Q2578" s="2077"/>
    </row>
    <row r="2579" spans="1:17" ht="22.15" customHeight="1">
      <c r="A2579" s="1901"/>
      <c r="B2579" s="2078"/>
      <c r="C2579" s="2070"/>
      <c r="D2579" s="2071"/>
      <c r="E2579" s="2079"/>
      <c r="F2579" s="2073"/>
      <c r="G2579" s="2080"/>
      <c r="H2579" s="2074"/>
      <c r="I2579" s="1855"/>
      <c r="J2579" s="2073"/>
      <c r="K2579" s="2075"/>
      <c r="L2579" s="2076"/>
      <c r="M2579" s="2059"/>
      <c r="O2579" s="1863"/>
      <c r="P2579" s="2077"/>
      <c r="Q2579" s="2077"/>
    </row>
    <row r="2580" spans="1:17" ht="22.15" customHeight="1">
      <c r="A2580" s="1901"/>
      <c r="B2580" s="2078" t="s">
        <v>425</v>
      </c>
      <c r="C2580" s="2070" t="s">
        <v>2831</v>
      </c>
      <c r="D2580" s="2071"/>
      <c r="E2580" s="2079">
        <v>2</v>
      </c>
      <c r="F2580" s="2073" t="s">
        <v>240</v>
      </c>
      <c r="G2580" s="1853">
        <v>8300</v>
      </c>
      <c r="H2580" s="2074">
        <f t="shared" ref="H2580" si="1165">G2580*E2580</f>
        <v>16600</v>
      </c>
      <c r="I2580" s="1855">
        <v>2490</v>
      </c>
      <c r="J2580" s="2073">
        <f>I2580*E2580</f>
        <v>4980</v>
      </c>
      <c r="K2580" s="2075">
        <f t="shared" ref="K2580" si="1166">H2580+J2580</f>
        <v>21580</v>
      </c>
      <c r="L2580" s="2076"/>
      <c r="M2580" s="2059"/>
      <c r="O2580" s="1863"/>
      <c r="P2580" s="2077"/>
      <c r="Q2580" s="2077"/>
    </row>
    <row r="2581" spans="1:17" ht="22.15" customHeight="1">
      <c r="A2581" s="1901"/>
      <c r="B2581" s="2078"/>
      <c r="C2581" s="2070" t="s">
        <v>738</v>
      </c>
      <c r="D2581" s="2071"/>
      <c r="E2581" s="2079"/>
      <c r="F2581" s="2073"/>
      <c r="G2581" s="2080"/>
      <c r="H2581" s="2074"/>
      <c r="I2581" s="1855"/>
      <c r="J2581" s="2073"/>
      <c r="K2581" s="2075"/>
      <c r="L2581" s="2076"/>
      <c r="M2581" s="2059"/>
      <c r="O2581" s="1863"/>
      <c r="P2581" s="2077"/>
      <c r="Q2581" s="2077"/>
    </row>
    <row r="2582" spans="1:17" ht="22.15" customHeight="1">
      <c r="A2582" s="1901"/>
      <c r="B2582" s="2069" t="s">
        <v>2847</v>
      </c>
      <c r="C2582" s="2070"/>
      <c r="D2582" s="2071"/>
      <c r="E2582" s="2072">
        <v>2</v>
      </c>
      <c r="F2582" s="2073" t="s">
        <v>723</v>
      </c>
      <c r="G2582" s="1853"/>
      <c r="H2582" s="2074"/>
      <c r="I2582" s="1855"/>
      <c r="J2582" s="2073"/>
      <c r="K2582" s="2075"/>
      <c r="L2582" s="2076"/>
      <c r="M2582" s="2059"/>
      <c r="O2582" s="1863"/>
      <c r="P2582" s="2077"/>
      <c r="Q2582" s="2077"/>
    </row>
    <row r="2583" spans="1:17" ht="22.15" customHeight="1">
      <c r="A2583" s="1901"/>
      <c r="B2583" s="2078" t="s">
        <v>425</v>
      </c>
      <c r="C2583" s="2070" t="s">
        <v>724</v>
      </c>
      <c r="D2583" s="2071"/>
      <c r="E2583" s="2079">
        <v>18</v>
      </c>
      <c r="F2583" s="2073" t="s">
        <v>240</v>
      </c>
      <c r="G2583" s="1853">
        <v>1430</v>
      </c>
      <c r="H2583" s="2074">
        <f t="shared" ref="H2583:H2588" si="1167">G2583*E2583</f>
        <v>25740</v>
      </c>
      <c r="I2583" s="1855">
        <v>450</v>
      </c>
      <c r="J2583" s="2073">
        <f t="shared" ref="J2583:J2588" si="1168">I2583*E2583</f>
        <v>8100</v>
      </c>
      <c r="K2583" s="2075">
        <f t="shared" ref="K2583:K2588" si="1169">H2583+J2583</f>
        <v>33840</v>
      </c>
      <c r="L2583" s="2076"/>
      <c r="M2583" s="2059"/>
      <c r="O2583" s="1863"/>
      <c r="P2583" s="2077"/>
      <c r="Q2583" s="2077"/>
    </row>
    <row r="2584" spans="1:17" ht="22.15" customHeight="1">
      <c r="A2584" s="1901"/>
      <c r="B2584" s="2078" t="s">
        <v>425</v>
      </c>
      <c r="C2584" s="2070" t="s">
        <v>2822</v>
      </c>
      <c r="D2584" s="2071"/>
      <c r="E2584" s="2079">
        <v>18</v>
      </c>
      <c r="F2584" s="2073" t="s">
        <v>240</v>
      </c>
      <c r="G2584" s="1853">
        <v>6225</v>
      </c>
      <c r="H2584" s="2074">
        <f t="shared" si="1167"/>
        <v>112050</v>
      </c>
      <c r="I2584" s="1855">
        <v>200</v>
      </c>
      <c r="J2584" s="2073">
        <f t="shared" si="1168"/>
        <v>3600</v>
      </c>
      <c r="K2584" s="2075">
        <f t="shared" si="1169"/>
        <v>115650</v>
      </c>
      <c r="L2584" s="2076"/>
      <c r="M2584" s="2059"/>
      <c r="O2584" s="1863"/>
      <c r="P2584" s="2077"/>
      <c r="Q2584" s="2077"/>
    </row>
    <row r="2585" spans="1:17" ht="22.15" customHeight="1">
      <c r="A2585" s="1901"/>
      <c r="B2585" s="2078" t="s">
        <v>425</v>
      </c>
      <c r="C2585" s="2070" t="s">
        <v>2823</v>
      </c>
      <c r="D2585" s="2071"/>
      <c r="E2585" s="2079">
        <v>18</v>
      </c>
      <c r="F2585" s="2073" t="s">
        <v>240</v>
      </c>
      <c r="G2585" s="1853">
        <v>315</v>
      </c>
      <c r="H2585" s="2074">
        <f t="shared" si="1167"/>
        <v>5670</v>
      </c>
      <c r="I2585" s="1855">
        <v>0</v>
      </c>
      <c r="J2585" s="2073">
        <f t="shared" si="1168"/>
        <v>0</v>
      </c>
      <c r="K2585" s="2075">
        <f t="shared" si="1169"/>
        <v>5670</v>
      </c>
      <c r="L2585" s="2076"/>
      <c r="M2585" s="2059"/>
      <c r="O2585" s="1863"/>
      <c r="P2585" s="2077"/>
      <c r="Q2585" s="2077"/>
    </row>
    <row r="2586" spans="1:17" ht="22.15" customHeight="1">
      <c r="A2586" s="1901"/>
      <c r="B2586" s="2078" t="s">
        <v>425</v>
      </c>
      <c r="C2586" s="2070" t="s">
        <v>2824</v>
      </c>
      <c r="D2586" s="2071"/>
      <c r="E2586" s="2079">
        <v>18</v>
      </c>
      <c r="F2586" s="2073" t="s">
        <v>240</v>
      </c>
      <c r="G2586" s="1853">
        <v>690</v>
      </c>
      <c r="H2586" s="2074">
        <f t="shared" si="1167"/>
        <v>12420</v>
      </c>
      <c r="I2586" s="1855">
        <v>0</v>
      </c>
      <c r="J2586" s="2073">
        <f t="shared" si="1168"/>
        <v>0</v>
      </c>
      <c r="K2586" s="2075">
        <f t="shared" si="1169"/>
        <v>12420</v>
      </c>
      <c r="L2586" s="2076"/>
      <c r="M2586" s="2059"/>
      <c r="O2586" s="1863"/>
      <c r="P2586" s="2077"/>
      <c r="Q2586" s="2077"/>
    </row>
    <row r="2587" spans="1:17" ht="22.15" customHeight="1">
      <c r="A2587" s="1901"/>
      <c r="B2587" s="2078" t="s">
        <v>425</v>
      </c>
      <c r="C2587" s="2070" t="s">
        <v>739</v>
      </c>
      <c r="D2587" s="2071"/>
      <c r="E2587" s="2079">
        <v>18</v>
      </c>
      <c r="F2587" s="2073" t="s">
        <v>240</v>
      </c>
      <c r="G2587" s="1853">
        <v>165</v>
      </c>
      <c r="H2587" s="2074">
        <f t="shared" si="1167"/>
        <v>2970</v>
      </c>
      <c r="I2587" s="1855">
        <v>0</v>
      </c>
      <c r="J2587" s="2073">
        <f t="shared" si="1168"/>
        <v>0</v>
      </c>
      <c r="K2587" s="2075">
        <f t="shared" si="1169"/>
        <v>2970</v>
      </c>
      <c r="L2587" s="2076"/>
      <c r="M2587" s="2059"/>
      <c r="O2587" s="1863"/>
      <c r="P2587" s="2077"/>
      <c r="Q2587" s="2077"/>
    </row>
    <row r="2588" spans="1:17" ht="22.15" customHeight="1">
      <c r="A2588" s="1901"/>
      <c r="B2588" s="2078" t="s">
        <v>425</v>
      </c>
      <c r="C2588" s="2070" t="s">
        <v>2826</v>
      </c>
      <c r="D2588" s="2071"/>
      <c r="E2588" s="2079">
        <v>18</v>
      </c>
      <c r="F2588" s="2073" t="s">
        <v>240</v>
      </c>
      <c r="G2588" s="1853">
        <v>202.5</v>
      </c>
      <c r="H2588" s="2074">
        <f t="shared" si="1167"/>
        <v>3645</v>
      </c>
      <c r="I2588" s="1855">
        <v>35</v>
      </c>
      <c r="J2588" s="2073">
        <f t="shared" si="1168"/>
        <v>630</v>
      </c>
      <c r="K2588" s="2075">
        <f t="shared" si="1169"/>
        <v>4275</v>
      </c>
      <c r="L2588" s="2076"/>
      <c r="M2588" s="2059"/>
      <c r="O2588" s="1863"/>
      <c r="P2588" s="2077"/>
      <c r="Q2588" s="2077"/>
    </row>
    <row r="2589" spans="1:17" ht="22.15" customHeight="1">
      <c r="A2589" s="1901"/>
      <c r="B2589" s="2078"/>
      <c r="C2589" s="2070"/>
      <c r="D2589" s="2071"/>
      <c r="E2589" s="2079"/>
      <c r="F2589" s="2073"/>
      <c r="G2589" s="1853"/>
      <c r="H2589" s="2074"/>
      <c r="I2589" s="1855"/>
      <c r="J2589" s="2073"/>
      <c r="K2589" s="2075"/>
      <c r="L2589" s="2076"/>
      <c r="M2589" s="2059"/>
      <c r="O2589" s="1863"/>
      <c r="P2589" s="2077"/>
      <c r="Q2589" s="2077"/>
    </row>
    <row r="2590" spans="1:17" ht="22.15" customHeight="1">
      <c r="A2590" s="1901"/>
      <c r="B2590" s="2078" t="s">
        <v>425</v>
      </c>
      <c r="C2590" s="2070" t="s">
        <v>725</v>
      </c>
      <c r="D2590" s="2071"/>
      <c r="E2590" s="2079">
        <v>34</v>
      </c>
      <c r="F2590" s="2073" t="s">
        <v>240</v>
      </c>
      <c r="G2590" s="1853">
        <v>8723</v>
      </c>
      <c r="H2590" s="2074">
        <f t="shared" ref="H2590:H2592" si="1170">G2590*E2590</f>
        <v>296582</v>
      </c>
      <c r="I2590" s="1855">
        <v>450</v>
      </c>
      <c r="J2590" s="2073">
        <f t="shared" ref="J2590:J2592" si="1171">I2590*E2590</f>
        <v>15300</v>
      </c>
      <c r="K2590" s="2075">
        <f t="shared" ref="K2590:K2592" si="1172">H2590+J2590</f>
        <v>311882</v>
      </c>
      <c r="L2590" s="2076"/>
      <c r="M2590" s="2059"/>
      <c r="O2590" s="1863"/>
      <c r="P2590" s="2077"/>
      <c r="Q2590" s="2077"/>
    </row>
    <row r="2591" spans="1:17" ht="22.15" customHeight="1">
      <c r="A2591" s="1901"/>
      <c r="B2591" s="2078" t="s">
        <v>425</v>
      </c>
      <c r="C2591" s="2070" t="s">
        <v>726</v>
      </c>
      <c r="D2591" s="2071"/>
      <c r="E2591" s="2079">
        <v>34</v>
      </c>
      <c r="F2591" s="2073" t="s">
        <v>240</v>
      </c>
      <c r="G2591" s="1853">
        <v>2430</v>
      </c>
      <c r="H2591" s="2074">
        <f t="shared" si="1170"/>
        <v>82620</v>
      </c>
      <c r="I2591" s="1855">
        <v>0</v>
      </c>
      <c r="J2591" s="2073">
        <f t="shared" si="1171"/>
        <v>0</v>
      </c>
      <c r="K2591" s="2075">
        <f t="shared" si="1172"/>
        <v>82620</v>
      </c>
      <c r="L2591" s="2076"/>
      <c r="M2591" s="2059"/>
      <c r="O2591" s="1863"/>
      <c r="P2591" s="2077"/>
      <c r="Q2591" s="2077"/>
    </row>
    <row r="2592" spans="1:17" ht="22.15" customHeight="1">
      <c r="A2592" s="1901"/>
      <c r="B2592" s="2078" t="s">
        <v>425</v>
      </c>
      <c r="C2592" s="2070" t="s">
        <v>2826</v>
      </c>
      <c r="D2592" s="2071"/>
      <c r="E2592" s="2079">
        <v>34</v>
      </c>
      <c r="F2592" s="2073" t="s">
        <v>240</v>
      </c>
      <c r="G2592" s="1853">
        <v>202.5</v>
      </c>
      <c r="H2592" s="2074">
        <f t="shared" si="1170"/>
        <v>6885</v>
      </c>
      <c r="I2592" s="1855">
        <v>35</v>
      </c>
      <c r="J2592" s="2073">
        <f t="shared" si="1171"/>
        <v>1190</v>
      </c>
      <c r="K2592" s="2075">
        <f t="shared" si="1172"/>
        <v>8075</v>
      </c>
      <c r="L2592" s="2076"/>
      <c r="M2592" s="2059"/>
      <c r="O2592" s="1863"/>
      <c r="P2592" s="2077"/>
      <c r="Q2592" s="2077"/>
    </row>
    <row r="2593" spans="1:17" ht="22.15" customHeight="1">
      <c r="A2593" s="1901"/>
      <c r="B2593" s="2078"/>
      <c r="C2593" s="2070"/>
      <c r="D2593" s="2071"/>
      <c r="E2593" s="2079"/>
      <c r="F2593" s="2073"/>
      <c r="G2593" s="1853"/>
      <c r="H2593" s="2074"/>
      <c r="I2593" s="1855"/>
      <c r="J2593" s="2073"/>
      <c r="K2593" s="2075"/>
      <c r="L2593" s="2076"/>
      <c r="M2593" s="2059"/>
      <c r="O2593" s="1863"/>
      <c r="P2593" s="2077"/>
      <c r="Q2593" s="2077"/>
    </row>
    <row r="2594" spans="1:17" ht="22.15" customHeight="1">
      <c r="A2594" s="1901"/>
      <c r="B2594" s="2078" t="s">
        <v>425</v>
      </c>
      <c r="C2594" s="1755" t="s">
        <v>728</v>
      </c>
      <c r="D2594" s="2071"/>
      <c r="E2594" s="2079">
        <v>16</v>
      </c>
      <c r="F2594" s="2073" t="s">
        <v>240</v>
      </c>
      <c r="G2594" s="1853">
        <v>525</v>
      </c>
      <c r="H2594" s="2074">
        <f t="shared" ref="H2594:H2599" si="1173">G2594*E2594</f>
        <v>8400</v>
      </c>
      <c r="I2594" s="1855">
        <v>75</v>
      </c>
      <c r="J2594" s="2073">
        <f t="shared" ref="J2594:J2599" si="1174">I2594*E2594</f>
        <v>1200</v>
      </c>
      <c r="K2594" s="2075">
        <f t="shared" ref="K2594:K2599" si="1175">H2594+J2594</f>
        <v>9600</v>
      </c>
      <c r="L2594" s="2076"/>
      <c r="M2594" s="2059"/>
      <c r="O2594" s="1863"/>
      <c r="P2594" s="2077"/>
      <c r="Q2594" s="2077"/>
    </row>
    <row r="2595" spans="1:17" ht="22.15" customHeight="1">
      <c r="A2595" s="1901"/>
      <c r="B2595" s="2078" t="s">
        <v>425</v>
      </c>
      <c r="C2595" s="1755" t="s">
        <v>743</v>
      </c>
      <c r="D2595" s="2071"/>
      <c r="E2595" s="2079">
        <f>1*$E$2400</f>
        <v>1</v>
      </c>
      <c r="F2595" s="2073" t="s">
        <v>240</v>
      </c>
      <c r="G2595" s="1853">
        <v>517.5</v>
      </c>
      <c r="H2595" s="2074">
        <f t="shared" si="1173"/>
        <v>517.5</v>
      </c>
      <c r="I2595" s="1855">
        <v>25</v>
      </c>
      <c r="J2595" s="2073">
        <f t="shared" si="1174"/>
        <v>25</v>
      </c>
      <c r="K2595" s="2075">
        <f t="shared" si="1175"/>
        <v>542.5</v>
      </c>
      <c r="L2595" s="2076"/>
      <c r="M2595" s="2059"/>
      <c r="O2595" s="1863"/>
      <c r="P2595" s="2077"/>
      <c r="Q2595" s="2077"/>
    </row>
    <row r="2596" spans="1:17" ht="22.15" customHeight="1">
      <c r="A2596" s="1901"/>
      <c r="B2596" s="2078" t="s">
        <v>425</v>
      </c>
      <c r="C2596" s="1755" t="s">
        <v>729</v>
      </c>
      <c r="D2596" s="2071"/>
      <c r="E2596" s="2079">
        <f>E2590</f>
        <v>34</v>
      </c>
      <c r="F2596" s="2073" t="s">
        <v>240</v>
      </c>
      <c r="G2596" s="2082">
        <v>13500</v>
      </c>
      <c r="H2596" s="2074">
        <f t="shared" si="1173"/>
        <v>459000</v>
      </c>
      <c r="I2596" s="1855">
        <v>750</v>
      </c>
      <c r="J2596" s="2073">
        <f t="shared" si="1174"/>
        <v>25500</v>
      </c>
      <c r="K2596" s="2075">
        <f t="shared" si="1175"/>
        <v>484500</v>
      </c>
      <c r="L2596" s="2076"/>
      <c r="M2596" s="2059"/>
      <c r="O2596" s="1863"/>
      <c r="P2596" s="2077"/>
      <c r="Q2596" s="2077"/>
    </row>
    <row r="2597" spans="1:17" ht="22.15" customHeight="1">
      <c r="A2597" s="1901"/>
      <c r="B2597" s="2078" t="s">
        <v>425</v>
      </c>
      <c r="C2597" s="1755" t="s">
        <v>730</v>
      </c>
      <c r="D2597" s="2071"/>
      <c r="E2597" s="2079">
        <v>2</v>
      </c>
      <c r="F2597" s="2073" t="s">
        <v>240</v>
      </c>
      <c r="G2597" s="2080">
        <v>1320</v>
      </c>
      <c r="H2597" s="2074">
        <f t="shared" si="1173"/>
        <v>2640</v>
      </c>
      <c r="I2597" s="1855">
        <v>70</v>
      </c>
      <c r="J2597" s="2073">
        <f t="shared" si="1174"/>
        <v>140</v>
      </c>
      <c r="K2597" s="2075">
        <f t="shared" si="1175"/>
        <v>2780</v>
      </c>
      <c r="L2597" s="2076"/>
      <c r="M2597" s="2059"/>
      <c r="O2597" s="1863"/>
      <c r="P2597" s="2077"/>
      <c r="Q2597" s="2077"/>
    </row>
    <row r="2598" spans="1:17" ht="22.15" customHeight="1">
      <c r="A2598" s="1901"/>
      <c r="B2598" s="2078" t="s">
        <v>425</v>
      </c>
      <c r="C2598" s="2070" t="s">
        <v>731</v>
      </c>
      <c r="D2598" s="2071"/>
      <c r="E2598" s="2079">
        <v>2</v>
      </c>
      <c r="F2598" s="2073" t="s">
        <v>240</v>
      </c>
      <c r="G2598" s="2080">
        <v>3820</v>
      </c>
      <c r="H2598" s="1788">
        <f t="shared" si="1173"/>
        <v>7640</v>
      </c>
      <c r="I2598" s="2083">
        <v>200</v>
      </c>
      <c r="J2598" s="1808">
        <f t="shared" si="1174"/>
        <v>400</v>
      </c>
      <c r="K2598" s="1897">
        <f t="shared" si="1175"/>
        <v>8040</v>
      </c>
      <c r="L2598" s="2076"/>
      <c r="M2598" s="2059"/>
      <c r="O2598" s="1863"/>
      <c r="P2598" s="2077"/>
      <c r="Q2598" s="2077"/>
    </row>
    <row r="2599" spans="1:17" ht="22.15" customHeight="1">
      <c r="A2599" s="1901"/>
      <c r="B2599" s="2078" t="s">
        <v>425</v>
      </c>
      <c r="C2599" s="1755" t="s">
        <v>2828</v>
      </c>
      <c r="D2599" s="2071"/>
      <c r="E2599" s="2079">
        <v>4</v>
      </c>
      <c r="F2599" s="2073" t="s">
        <v>240</v>
      </c>
      <c r="G2599" s="2080">
        <v>2835</v>
      </c>
      <c r="H2599" s="2074">
        <f t="shared" si="1173"/>
        <v>11340</v>
      </c>
      <c r="I2599" s="1855">
        <v>105</v>
      </c>
      <c r="J2599" s="2073">
        <f t="shared" si="1174"/>
        <v>420</v>
      </c>
      <c r="K2599" s="2075">
        <f t="shared" si="1175"/>
        <v>11760</v>
      </c>
      <c r="L2599" s="2076"/>
      <c r="M2599" s="2059"/>
      <c r="O2599" s="1863"/>
      <c r="P2599" s="2077"/>
      <c r="Q2599" s="2077"/>
    </row>
    <row r="2600" spans="1:17" ht="22.15" customHeight="1">
      <c r="A2600" s="1901"/>
      <c r="B2600" s="2078"/>
      <c r="C2600" s="1755"/>
      <c r="D2600" s="2071"/>
      <c r="E2600" s="2079"/>
      <c r="F2600" s="2073"/>
      <c r="G2600" s="2080"/>
      <c r="H2600" s="2074"/>
      <c r="I2600" s="1855"/>
      <c r="J2600" s="2073"/>
      <c r="K2600" s="2075"/>
      <c r="L2600" s="2076"/>
      <c r="M2600" s="2059"/>
      <c r="O2600" s="1863"/>
      <c r="P2600" s="2077"/>
      <c r="Q2600" s="2077"/>
    </row>
    <row r="2601" spans="1:17" ht="22.15" customHeight="1">
      <c r="A2601" s="1901"/>
      <c r="B2601" s="2078" t="s">
        <v>425</v>
      </c>
      <c r="C2601" s="2070" t="s">
        <v>732</v>
      </c>
      <c r="D2601" s="2071"/>
      <c r="E2601" s="1808">
        <f>7.3*2</f>
        <v>14.6</v>
      </c>
      <c r="F2601" s="2073" t="s">
        <v>616</v>
      </c>
      <c r="G2601" s="2084">
        <v>3886</v>
      </c>
      <c r="H2601" s="2085">
        <f t="shared" ref="H2601:H2605" si="1176">G2601*E2601</f>
        <v>56735.6</v>
      </c>
      <c r="I2601" s="1904">
        <v>1238</v>
      </c>
      <c r="J2601" s="2086">
        <f t="shared" ref="J2601:J2605" si="1177">I2601*E2601</f>
        <v>18074.8</v>
      </c>
      <c r="K2601" s="2087">
        <f t="shared" ref="K2601:K2605" si="1178">H2601+J2601</f>
        <v>74810.399999999994</v>
      </c>
      <c r="L2601" s="2076"/>
      <c r="M2601" s="2059"/>
      <c r="O2601" s="1863"/>
      <c r="P2601" s="2077"/>
      <c r="Q2601" s="2077"/>
    </row>
    <row r="2602" spans="1:17" ht="22.15" customHeight="1">
      <c r="A2602" s="1901"/>
      <c r="B2602" s="2078" t="s">
        <v>425</v>
      </c>
      <c r="C2602" s="2070" t="s">
        <v>734</v>
      </c>
      <c r="D2602" s="2071"/>
      <c r="E2602" s="1808">
        <f>15.3*2</f>
        <v>30.6</v>
      </c>
      <c r="F2602" s="2073" t="s">
        <v>616</v>
      </c>
      <c r="G2602" s="2084">
        <v>1522</v>
      </c>
      <c r="H2602" s="2085">
        <f t="shared" si="1176"/>
        <v>46573.200000000004</v>
      </c>
      <c r="I2602" s="2088">
        <v>315</v>
      </c>
      <c r="J2602" s="2086">
        <f t="shared" si="1177"/>
        <v>9639</v>
      </c>
      <c r="K2602" s="2087">
        <f t="shared" si="1178"/>
        <v>56212.200000000004</v>
      </c>
      <c r="L2602" s="2076"/>
      <c r="M2602" s="2059"/>
      <c r="O2602" s="1863"/>
      <c r="P2602" s="2077"/>
      <c r="Q2602" s="2077"/>
    </row>
    <row r="2603" spans="1:17" ht="22.15" customHeight="1">
      <c r="A2603" s="1901"/>
      <c r="B2603" s="2078" t="s">
        <v>425</v>
      </c>
      <c r="C2603" s="2070" t="s">
        <v>746</v>
      </c>
      <c r="D2603" s="2071"/>
      <c r="E2603" s="1808">
        <f>2.4*2</f>
        <v>4.8</v>
      </c>
      <c r="F2603" s="2073" t="s">
        <v>616</v>
      </c>
      <c r="G2603" s="2080">
        <v>750</v>
      </c>
      <c r="H2603" s="1788">
        <f t="shared" si="1176"/>
        <v>3600</v>
      </c>
      <c r="I2603" s="2083">
        <v>45</v>
      </c>
      <c r="J2603" s="1808">
        <f t="shared" si="1177"/>
        <v>216</v>
      </c>
      <c r="K2603" s="1897">
        <f t="shared" si="1178"/>
        <v>3816</v>
      </c>
      <c r="L2603" s="2076"/>
      <c r="M2603" s="2059"/>
      <c r="O2603" s="1863"/>
      <c r="P2603" s="2077"/>
      <c r="Q2603" s="2077"/>
    </row>
    <row r="2604" spans="1:17" ht="22.15" customHeight="1">
      <c r="A2604" s="1901"/>
      <c r="B2604" s="2078" t="s">
        <v>425</v>
      </c>
      <c r="C2604" s="2070" t="s">
        <v>747</v>
      </c>
      <c r="D2604" s="2071"/>
      <c r="E2604" s="1808">
        <f>5.6*2</f>
        <v>11.2</v>
      </c>
      <c r="F2604" s="2073" t="s">
        <v>616</v>
      </c>
      <c r="G2604" s="2080">
        <v>60</v>
      </c>
      <c r="H2604" s="1788">
        <f t="shared" si="1176"/>
        <v>672</v>
      </c>
      <c r="I2604" s="2083">
        <v>45</v>
      </c>
      <c r="J2604" s="1808">
        <f t="shared" si="1177"/>
        <v>503.99999999999994</v>
      </c>
      <c r="K2604" s="1897">
        <f t="shared" si="1178"/>
        <v>1176</v>
      </c>
      <c r="L2604" s="1791"/>
      <c r="M2604" s="1809"/>
      <c r="O2604" s="1863"/>
      <c r="P2604" s="2077"/>
      <c r="Q2604" s="2077"/>
    </row>
    <row r="2605" spans="1:17" ht="22.15" customHeight="1">
      <c r="A2605" s="1901"/>
      <c r="B2605" s="2078" t="s">
        <v>425</v>
      </c>
      <c r="C2605" s="2070" t="s">
        <v>2830</v>
      </c>
      <c r="D2605" s="2071"/>
      <c r="E2605" s="1808">
        <f>E2601</f>
        <v>14.6</v>
      </c>
      <c r="F2605" s="2073" t="s">
        <v>616</v>
      </c>
      <c r="G2605" s="2084">
        <v>2694</v>
      </c>
      <c r="H2605" s="2085">
        <f t="shared" si="1176"/>
        <v>39332.400000000001</v>
      </c>
      <c r="I2605" s="1904">
        <v>1288</v>
      </c>
      <c r="J2605" s="2086">
        <f t="shared" si="1177"/>
        <v>18804.8</v>
      </c>
      <c r="K2605" s="2087">
        <f t="shared" si="1178"/>
        <v>58137.2</v>
      </c>
      <c r="L2605" s="2076"/>
      <c r="M2605" s="2059"/>
      <c r="O2605" s="1863"/>
      <c r="P2605" s="2077"/>
      <c r="Q2605" s="2077"/>
    </row>
    <row r="2606" spans="1:17" ht="22.15" customHeight="1">
      <c r="A2606" s="1901"/>
      <c r="B2606" s="2078"/>
      <c r="C2606" s="2070" t="s">
        <v>737</v>
      </c>
      <c r="D2606" s="2071"/>
      <c r="E2606" s="2079"/>
      <c r="F2606" s="2073"/>
      <c r="G2606" s="2080"/>
      <c r="H2606" s="2074"/>
      <c r="I2606" s="1855"/>
      <c r="J2606" s="2073"/>
      <c r="K2606" s="2075"/>
      <c r="L2606" s="2076"/>
      <c r="M2606" s="2059"/>
      <c r="O2606" s="1863"/>
      <c r="P2606" s="2077"/>
      <c r="Q2606" s="2077"/>
    </row>
    <row r="2607" spans="1:17" ht="22.15" customHeight="1">
      <c r="A2607" s="1901"/>
      <c r="B2607" s="2078" t="s">
        <v>425</v>
      </c>
      <c r="C2607" s="2070" t="s">
        <v>2831</v>
      </c>
      <c r="D2607" s="2071"/>
      <c r="E2607" s="2079">
        <v>2</v>
      </c>
      <c r="F2607" s="2073" t="s">
        <v>240</v>
      </c>
      <c r="G2607" s="2080"/>
      <c r="H2607" s="2074"/>
      <c r="I2607" s="1855"/>
      <c r="J2607" s="2073"/>
      <c r="K2607" s="2075"/>
      <c r="L2607" s="2076"/>
      <c r="M2607" s="2059"/>
      <c r="O2607" s="1863"/>
      <c r="P2607" s="2077"/>
      <c r="Q2607" s="2077"/>
    </row>
    <row r="2608" spans="1:17" ht="22.15" customHeight="1">
      <c r="A2608" s="1901"/>
      <c r="B2608" s="2078"/>
      <c r="C2608" s="2070" t="s">
        <v>738</v>
      </c>
      <c r="D2608" s="2071"/>
      <c r="E2608" s="2079"/>
      <c r="F2608" s="2073"/>
      <c r="G2608" s="1853">
        <v>8300</v>
      </c>
      <c r="H2608" s="2074">
        <f t="shared" ref="H2608" si="1179">G2608*E2608</f>
        <v>0</v>
      </c>
      <c r="I2608" s="1855">
        <v>2490</v>
      </c>
      <c r="J2608" s="2073">
        <f>I2608*E2608</f>
        <v>0</v>
      </c>
      <c r="K2608" s="2075">
        <f t="shared" ref="K2608" si="1180">H2608+J2608</f>
        <v>0</v>
      </c>
      <c r="L2608" s="2076"/>
      <c r="M2608" s="2059"/>
      <c r="O2608" s="1863"/>
      <c r="P2608" s="2077"/>
      <c r="Q2608" s="2077"/>
    </row>
    <row r="2609" spans="1:17" ht="22.15" customHeight="1">
      <c r="A2609" s="1901"/>
      <c r="B2609" s="2069" t="s">
        <v>2848</v>
      </c>
      <c r="C2609" s="2070"/>
      <c r="D2609" s="2071"/>
      <c r="E2609" s="2072">
        <v>2</v>
      </c>
      <c r="F2609" s="2073" t="s">
        <v>723</v>
      </c>
      <c r="G2609" s="1853"/>
      <c r="H2609" s="2074"/>
      <c r="I2609" s="1855"/>
      <c r="J2609" s="2073"/>
      <c r="K2609" s="2075"/>
      <c r="L2609" s="2076"/>
      <c r="M2609" s="2059"/>
      <c r="O2609" s="1863"/>
      <c r="P2609" s="2077"/>
      <c r="Q2609" s="2077"/>
    </row>
    <row r="2610" spans="1:17" ht="22.15" customHeight="1">
      <c r="A2610" s="1901"/>
      <c r="B2610" s="2078" t="s">
        <v>425</v>
      </c>
      <c r="C2610" s="2070" t="s">
        <v>740</v>
      </c>
      <c r="D2610" s="2071"/>
      <c r="E2610" s="2079">
        <v>2</v>
      </c>
      <c r="F2610" s="2073" t="s">
        <v>240</v>
      </c>
      <c r="G2610" s="1853">
        <v>6344</v>
      </c>
      <c r="H2610" s="2074">
        <f t="shared" ref="H2610:H2615" si="1181">G2610*E2610</f>
        <v>12688</v>
      </c>
      <c r="I2610" s="1855">
        <v>450</v>
      </c>
      <c r="J2610" s="2073">
        <f t="shared" ref="J2610:J2615" si="1182">I2610*E2610</f>
        <v>900</v>
      </c>
      <c r="K2610" s="2075">
        <f t="shared" ref="K2610:K2615" si="1183">H2610+J2610</f>
        <v>13588</v>
      </c>
      <c r="L2610" s="2076"/>
      <c r="M2610" s="2059"/>
      <c r="O2610" s="1863"/>
      <c r="P2610" s="2077"/>
      <c r="Q2610" s="2077"/>
    </row>
    <row r="2611" spans="1:17" ht="22.15" customHeight="1">
      <c r="A2611" s="1901"/>
      <c r="B2611" s="2078" t="s">
        <v>425</v>
      </c>
      <c r="C2611" s="2070" t="s">
        <v>2822</v>
      </c>
      <c r="D2611" s="2071"/>
      <c r="E2611" s="2079">
        <v>2</v>
      </c>
      <c r="F2611" s="2073" t="s">
        <v>240</v>
      </c>
      <c r="G2611" s="1853">
        <v>6225</v>
      </c>
      <c r="H2611" s="2074">
        <f t="shared" si="1181"/>
        <v>12450</v>
      </c>
      <c r="I2611" s="1855">
        <v>200</v>
      </c>
      <c r="J2611" s="2073">
        <f t="shared" si="1182"/>
        <v>400</v>
      </c>
      <c r="K2611" s="2075">
        <f t="shared" si="1183"/>
        <v>12850</v>
      </c>
      <c r="L2611" s="2076"/>
      <c r="M2611" s="2059"/>
      <c r="O2611" s="1863"/>
      <c r="P2611" s="2077"/>
      <c r="Q2611" s="2077"/>
    </row>
    <row r="2612" spans="1:17" ht="22.15" customHeight="1">
      <c r="A2612" s="1901"/>
      <c r="B2612" s="2078" t="s">
        <v>425</v>
      </c>
      <c r="C2612" s="2070" t="s">
        <v>2823</v>
      </c>
      <c r="D2612" s="2071"/>
      <c r="E2612" s="2079">
        <v>2</v>
      </c>
      <c r="F2612" s="2073" t="s">
        <v>240</v>
      </c>
      <c r="G2612" s="1853">
        <v>315</v>
      </c>
      <c r="H2612" s="2074">
        <f t="shared" si="1181"/>
        <v>630</v>
      </c>
      <c r="I2612" s="1855">
        <v>0</v>
      </c>
      <c r="J2612" s="2073">
        <f t="shared" si="1182"/>
        <v>0</v>
      </c>
      <c r="K2612" s="2075">
        <f t="shared" si="1183"/>
        <v>630</v>
      </c>
      <c r="L2612" s="2076"/>
      <c r="M2612" s="2059"/>
      <c r="O2612" s="1863"/>
      <c r="P2612" s="2077"/>
      <c r="Q2612" s="2077"/>
    </row>
    <row r="2613" spans="1:17" ht="22.15" customHeight="1">
      <c r="A2613" s="1901"/>
      <c r="B2613" s="2078" t="s">
        <v>425</v>
      </c>
      <c r="C2613" s="2070" t="s">
        <v>2824</v>
      </c>
      <c r="D2613" s="2071"/>
      <c r="E2613" s="2079">
        <v>2</v>
      </c>
      <c r="F2613" s="2073" t="s">
        <v>240</v>
      </c>
      <c r="G2613" s="1853">
        <v>690</v>
      </c>
      <c r="H2613" s="2074">
        <f t="shared" si="1181"/>
        <v>1380</v>
      </c>
      <c r="I2613" s="1855">
        <v>0</v>
      </c>
      <c r="J2613" s="2073">
        <f t="shared" si="1182"/>
        <v>0</v>
      </c>
      <c r="K2613" s="2075">
        <f t="shared" si="1183"/>
        <v>1380</v>
      </c>
      <c r="L2613" s="2076"/>
      <c r="M2613" s="2059"/>
      <c r="O2613" s="1863"/>
      <c r="P2613" s="2077"/>
      <c r="Q2613" s="2077"/>
    </row>
    <row r="2614" spans="1:17" ht="22.15" customHeight="1">
      <c r="A2614" s="1901"/>
      <c r="B2614" s="2078" t="s">
        <v>425</v>
      </c>
      <c r="C2614" s="2070" t="s">
        <v>2825</v>
      </c>
      <c r="D2614" s="2071"/>
      <c r="E2614" s="2079">
        <v>2</v>
      </c>
      <c r="F2614" s="2073" t="s">
        <v>240</v>
      </c>
      <c r="G2614" s="1853">
        <v>165</v>
      </c>
      <c r="H2614" s="2074">
        <f t="shared" si="1181"/>
        <v>330</v>
      </c>
      <c r="I2614" s="1855">
        <v>0</v>
      </c>
      <c r="J2614" s="2073">
        <f t="shared" si="1182"/>
        <v>0</v>
      </c>
      <c r="K2614" s="2075">
        <f t="shared" si="1183"/>
        <v>330</v>
      </c>
      <c r="L2614" s="2076"/>
      <c r="M2614" s="2059"/>
      <c r="O2614" s="1863"/>
      <c r="P2614" s="2077"/>
      <c r="Q2614" s="2077"/>
    </row>
    <row r="2615" spans="1:17" ht="22.15" customHeight="1">
      <c r="A2615" s="1901"/>
      <c r="B2615" s="2078" t="s">
        <v>425</v>
      </c>
      <c r="C2615" s="2070" t="s">
        <v>2826</v>
      </c>
      <c r="D2615" s="2071"/>
      <c r="E2615" s="2079">
        <v>2</v>
      </c>
      <c r="F2615" s="2073" t="s">
        <v>240</v>
      </c>
      <c r="G2615" s="1853">
        <v>202.5</v>
      </c>
      <c r="H2615" s="2074">
        <f t="shared" si="1181"/>
        <v>405</v>
      </c>
      <c r="I2615" s="1855">
        <v>35</v>
      </c>
      <c r="J2615" s="2073">
        <f t="shared" si="1182"/>
        <v>70</v>
      </c>
      <c r="K2615" s="2075">
        <f t="shared" si="1183"/>
        <v>475</v>
      </c>
      <c r="L2615" s="2076"/>
      <c r="M2615" s="2059"/>
      <c r="O2615" s="1863"/>
      <c r="P2615" s="2077"/>
      <c r="Q2615" s="2077"/>
    </row>
    <row r="2616" spans="1:17" ht="22.15" customHeight="1">
      <c r="A2616" s="1901"/>
      <c r="B2616" s="2078"/>
      <c r="C2616" s="2070"/>
      <c r="D2616" s="2071"/>
      <c r="E2616" s="2079"/>
      <c r="F2616" s="2073"/>
      <c r="G2616" s="1853"/>
      <c r="H2616" s="2074"/>
      <c r="I2616" s="1855"/>
      <c r="J2616" s="2073"/>
      <c r="K2616" s="2075"/>
      <c r="L2616" s="2076"/>
      <c r="M2616" s="2059"/>
      <c r="O2616" s="1863"/>
      <c r="P2616" s="2077"/>
      <c r="Q2616" s="2077"/>
    </row>
    <row r="2617" spans="1:17" ht="22.15" customHeight="1">
      <c r="A2617" s="1901"/>
      <c r="B2617" s="2078" t="s">
        <v>425</v>
      </c>
      <c r="C2617" s="1755" t="s">
        <v>2834</v>
      </c>
      <c r="D2617" s="2071"/>
      <c r="E2617" s="2079">
        <v>2</v>
      </c>
      <c r="F2617" s="2073" t="s">
        <v>240</v>
      </c>
      <c r="G2617" s="1853">
        <v>6110</v>
      </c>
      <c r="H2617" s="2074">
        <f t="shared" ref="H2617:H2620" si="1184">G2617*E2617</f>
        <v>12220</v>
      </c>
      <c r="I2617" s="1855">
        <v>450</v>
      </c>
      <c r="J2617" s="2073">
        <f t="shared" ref="J2617:J2620" si="1185">I2617*E2617</f>
        <v>900</v>
      </c>
      <c r="K2617" s="2075">
        <f t="shared" ref="K2617:K2620" si="1186">H2617+J2617</f>
        <v>13120</v>
      </c>
      <c r="L2617" s="2076"/>
      <c r="M2617" s="2059"/>
      <c r="O2617" s="1863"/>
      <c r="P2617" s="2077"/>
      <c r="Q2617" s="2077"/>
    </row>
    <row r="2618" spans="1:17" ht="22.15" customHeight="1">
      <c r="A2618" s="1901"/>
      <c r="B2618" s="2078" t="s">
        <v>425</v>
      </c>
      <c r="C2618" s="1755" t="s">
        <v>2825</v>
      </c>
      <c r="D2618" s="2071"/>
      <c r="E2618" s="2079">
        <v>2</v>
      </c>
      <c r="F2618" s="2073" t="s">
        <v>240</v>
      </c>
      <c r="G2618" s="1853">
        <v>165</v>
      </c>
      <c r="H2618" s="2074">
        <f t="shared" si="1184"/>
        <v>330</v>
      </c>
      <c r="I2618" s="1855">
        <v>0</v>
      </c>
      <c r="J2618" s="2073">
        <f t="shared" si="1185"/>
        <v>0</v>
      </c>
      <c r="K2618" s="2075">
        <f t="shared" si="1186"/>
        <v>330</v>
      </c>
      <c r="L2618" s="2076"/>
      <c r="M2618" s="2059"/>
      <c r="O2618" s="1863"/>
      <c r="P2618" s="2077"/>
      <c r="Q2618" s="2077"/>
    </row>
    <row r="2619" spans="1:17" ht="22.15" customHeight="1">
      <c r="A2619" s="1901"/>
      <c r="B2619" s="2078" t="s">
        <v>425</v>
      </c>
      <c r="C2619" s="1755" t="s">
        <v>2835</v>
      </c>
      <c r="D2619" s="2071"/>
      <c r="E2619" s="2079">
        <v>2</v>
      </c>
      <c r="F2619" s="2073" t="s">
        <v>240</v>
      </c>
      <c r="G2619" s="1853">
        <v>525</v>
      </c>
      <c r="H2619" s="2074">
        <f t="shared" si="1184"/>
        <v>1050</v>
      </c>
      <c r="I2619" s="1855">
        <v>35</v>
      </c>
      <c r="J2619" s="2073">
        <f t="shared" si="1185"/>
        <v>70</v>
      </c>
      <c r="K2619" s="2075">
        <f t="shared" si="1186"/>
        <v>1120</v>
      </c>
      <c r="L2619" s="2076"/>
      <c r="M2619" s="2059"/>
      <c r="O2619" s="1863"/>
      <c r="P2619" s="2077"/>
      <c r="Q2619" s="2077"/>
    </row>
    <row r="2620" spans="1:17" ht="22.15" customHeight="1">
      <c r="A2620" s="1901"/>
      <c r="B2620" s="2078" t="s">
        <v>425</v>
      </c>
      <c r="C2620" s="1755" t="s">
        <v>2826</v>
      </c>
      <c r="D2620" s="2071"/>
      <c r="E2620" s="2079">
        <v>4</v>
      </c>
      <c r="F2620" s="2073" t="s">
        <v>240</v>
      </c>
      <c r="G2620" s="2080">
        <v>202.5</v>
      </c>
      <c r="H2620" s="2074">
        <f t="shared" si="1184"/>
        <v>810</v>
      </c>
      <c r="I2620" s="1855">
        <v>35</v>
      </c>
      <c r="J2620" s="2073">
        <f t="shared" si="1185"/>
        <v>140</v>
      </c>
      <c r="K2620" s="2075">
        <f t="shared" si="1186"/>
        <v>950</v>
      </c>
      <c r="L2620" s="2076"/>
      <c r="M2620" s="2059"/>
      <c r="O2620" s="1863"/>
      <c r="P2620" s="2077"/>
      <c r="Q2620" s="2077"/>
    </row>
    <row r="2621" spans="1:17" ht="22.15" customHeight="1">
      <c r="A2621" s="1901"/>
      <c r="B2621" s="2078"/>
      <c r="C2621" s="1755"/>
      <c r="D2621" s="2071"/>
      <c r="E2621" s="2079"/>
      <c r="F2621" s="2073"/>
      <c r="G2621" s="1853"/>
      <c r="H2621" s="2074"/>
      <c r="I2621" s="1855"/>
      <c r="J2621" s="2073"/>
      <c r="K2621" s="2075"/>
      <c r="L2621" s="2076"/>
      <c r="M2621" s="2059"/>
      <c r="O2621" s="1863"/>
      <c r="P2621" s="2077"/>
      <c r="Q2621" s="2077"/>
    </row>
    <row r="2622" spans="1:17" ht="22.15" customHeight="1">
      <c r="A2622" s="1901"/>
      <c r="B2622" s="2078" t="s">
        <v>425</v>
      </c>
      <c r="C2622" s="1755" t="s">
        <v>743</v>
      </c>
      <c r="D2622" s="2071"/>
      <c r="E2622" s="2079">
        <v>2</v>
      </c>
      <c r="F2622" s="2073" t="s">
        <v>240</v>
      </c>
      <c r="G2622" s="1853">
        <v>517.5</v>
      </c>
      <c r="H2622" s="2074">
        <f t="shared" ref="H2622:H2624" si="1187">G2622*E2622</f>
        <v>1035</v>
      </c>
      <c r="I2622" s="1855">
        <v>25</v>
      </c>
      <c r="J2622" s="2073">
        <f t="shared" ref="J2622:J2624" si="1188">I2622*E2622</f>
        <v>50</v>
      </c>
      <c r="K2622" s="2075">
        <f t="shared" ref="K2622:K2624" si="1189">H2622+J2622</f>
        <v>1085</v>
      </c>
      <c r="L2622" s="2076"/>
      <c r="M2622" s="2059"/>
      <c r="O2622" s="1863"/>
      <c r="P2622" s="2077"/>
      <c r="Q2622" s="2077"/>
    </row>
    <row r="2623" spans="1:17" ht="22.15" customHeight="1">
      <c r="A2623" s="1901"/>
      <c r="B2623" s="2078" t="s">
        <v>425</v>
      </c>
      <c r="C2623" s="1755" t="s">
        <v>2836</v>
      </c>
      <c r="D2623" s="2071"/>
      <c r="E2623" s="2079">
        <v>2</v>
      </c>
      <c r="F2623" s="2073" t="s">
        <v>240</v>
      </c>
      <c r="G2623" s="2080">
        <v>397.5</v>
      </c>
      <c r="H2623" s="2074">
        <f t="shared" si="1187"/>
        <v>795</v>
      </c>
      <c r="I2623" s="1855">
        <v>70</v>
      </c>
      <c r="J2623" s="2073">
        <f t="shared" si="1188"/>
        <v>140</v>
      </c>
      <c r="K2623" s="2075">
        <f t="shared" si="1189"/>
        <v>935</v>
      </c>
      <c r="L2623" s="2073"/>
      <c r="M2623" s="2081"/>
      <c r="O2623" s="1863"/>
      <c r="P2623" s="2077"/>
      <c r="Q2623" s="2077"/>
    </row>
    <row r="2624" spans="1:17" ht="22.15" customHeight="1">
      <c r="A2624" s="1901"/>
      <c r="B2624" s="2078" t="s">
        <v>425</v>
      </c>
      <c r="C2624" s="1755" t="s">
        <v>728</v>
      </c>
      <c r="D2624" s="2071"/>
      <c r="E2624" s="2079">
        <v>2</v>
      </c>
      <c r="F2624" s="2073" t="s">
        <v>240</v>
      </c>
      <c r="G2624" s="1853">
        <v>525</v>
      </c>
      <c r="H2624" s="2074">
        <f t="shared" si="1187"/>
        <v>1050</v>
      </c>
      <c r="I2624" s="1855">
        <v>75</v>
      </c>
      <c r="J2624" s="2073">
        <f t="shared" si="1188"/>
        <v>150</v>
      </c>
      <c r="K2624" s="2075">
        <f t="shared" si="1189"/>
        <v>1200</v>
      </c>
      <c r="L2624" s="2076"/>
      <c r="M2624" s="2059"/>
      <c r="O2624" s="1863"/>
      <c r="P2624" s="2077"/>
      <c r="Q2624" s="2077"/>
    </row>
    <row r="2625" spans="1:24" ht="22.15" customHeight="1">
      <c r="A2625" s="1901"/>
      <c r="B2625" s="2078"/>
      <c r="C2625" s="1755"/>
      <c r="D2625" s="2071"/>
      <c r="E2625" s="2079"/>
      <c r="F2625" s="2073"/>
      <c r="G2625" s="1853"/>
      <c r="H2625" s="2074"/>
      <c r="I2625" s="1855"/>
      <c r="J2625" s="2073"/>
      <c r="K2625" s="2075"/>
      <c r="L2625" s="2076"/>
      <c r="M2625" s="2059"/>
      <c r="O2625" s="1863"/>
      <c r="P2625" s="2077"/>
      <c r="Q2625" s="2077"/>
    </row>
    <row r="2626" spans="1:24" ht="22.15" customHeight="1">
      <c r="A2626" s="1901"/>
      <c r="B2626" s="2078" t="s">
        <v>425</v>
      </c>
      <c r="C2626" s="1755" t="s">
        <v>730</v>
      </c>
      <c r="D2626" s="2071"/>
      <c r="E2626" s="2079">
        <v>2</v>
      </c>
      <c r="F2626" s="2073" t="s">
        <v>240</v>
      </c>
      <c r="G2626" s="2080">
        <v>1320</v>
      </c>
      <c r="H2626" s="2074">
        <f t="shared" ref="H2626:H2630" si="1190">G2626*E2626</f>
        <v>2640</v>
      </c>
      <c r="I2626" s="1855">
        <v>70</v>
      </c>
      <c r="J2626" s="2073">
        <f t="shared" ref="J2626:J2630" si="1191">I2626*E2626</f>
        <v>140</v>
      </c>
      <c r="K2626" s="2075">
        <f t="shared" ref="K2626:K2630" si="1192">H2626+J2626</f>
        <v>2780</v>
      </c>
      <c r="L2626" s="2076"/>
      <c r="M2626" s="2059"/>
      <c r="O2626" s="1863"/>
      <c r="P2626" s="2077"/>
      <c r="Q2626" s="2077"/>
    </row>
    <row r="2627" spans="1:24" ht="22.15" customHeight="1">
      <c r="A2627" s="1901"/>
      <c r="B2627" s="2078" t="s">
        <v>425</v>
      </c>
      <c r="C2627" s="1755" t="s">
        <v>741</v>
      </c>
      <c r="D2627" s="2071"/>
      <c r="E2627" s="2079">
        <v>2</v>
      </c>
      <c r="F2627" s="2073" t="s">
        <v>240</v>
      </c>
      <c r="G2627" s="2080">
        <v>9750</v>
      </c>
      <c r="H2627" s="2074">
        <f t="shared" si="1190"/>
        <v>19500</v>
      </c>
      <c r="I2627" s="1855">
        <v>105</v>
      </c>
      <c r="J2627" s="2073">
        <f t="shared" si="1191"/>
        <v>210</v>
      </c>
      <c r="K2627" s="2075">
        <f t="shared" si="1192"/>
        <v>19710</v>
      </c>
      <c r="L2627" s="2076"/>
      <c r="M2627" s="2059"/>
      <c r="O2627" s="1863"/>
      <c r="P2627" s="2077"/>
      <c r="Q2627" s="2077"/>
    </row>
    <row r="2628" spans="1:24" ht="22.15" customHeight="1">
      <c r="A2628" s="1901"/>
      <c r="B2628" s="2078" t="s">
        <v>425</v>
      </c>
      <c r="C2628" s="1755" t="s">
        <v>742</v>
      </c>
      <c r="D2628" s="2071"/>
      <c r="E2628" s="2079">
        <v>2</v>
      </c>
      <c r="F2628" s="2073" t="s">
        <v>240</v>
      </c>
      <c r="G2628" s="2080">
        <v>5200</v>
      </c>
      <c r="H2628" s="2074">
        <f t="shared" si="1190"/>
        <v>10400</v>
      </c>
      <c r="I2628" s="1855">
        <v>70</v>
      </c>
      <c r="J2628" s="2073">
        <f t="shared" si="1191"/>
        <v>140</v>
      </c>
      <c r="K2628" s="2075">
        <f t="shared" si="1192"/>
        <v>10540</v>
      </c>
      <c r="L2628" s="2076"/>
      <c r="M2628" s="2059"/>
      <c r="O2628" s="1863"/>
      <c r="P2628" s="2077"/>
      <c r="Q2628" s="2077"/>
    </row>
    <row r="2629" spans="1:24" ht="22.15" customHeight="1">
      <c r="A2629" s="1901"/>
      <c r="B2629" s="2078" t="s">
        <v>425</v>
      </c>
      <c r="C2629" s="1755" t="s">
        <v>2837</v>
      </c>
      <c r="D2629" s="2071"/>
      <c r="E2629" s="2079">
        <v>4</v>
      </c>
      <c r="F2629" s="2073" t="s">
        <v>240</v>
      </c>
      <c r="G2629" s="2080">
        <v>4160</v>
      </c>
      <c r="H2629" s="2074">
        <f t="shared" si="1190"/>
        <v>16640</v>
      </c>
      <c r="I2629" s="1855">
        <v>105</v>
      </c>
      <c r="J2629" s="2073">
        <f t="shared" si="1191"/>
        <v>420</v>
      </c>
      <c r="K2629" s="2075">
        <f t="shared" si="1192"/>
        <v>17060</v>
      </c>
      <c r="L2629" s="2076"/>
      <c r="M2629" s="2059"/>
      <c r="O2629" s="1863"/>
      <c r="P2629" s="2077"/>
      <c r="Q2629" s="2077"/>
    </row>
    <row r="2630" spans="1:24" ht="22.15" customHeight="1">
      <c r="A2630" s="1901"/>
      <c r="B2630" s="2078" t="s">
        <v>425</v>
      </c>
      <c r="C2630" s="1755" t="s">
        <v>2838</v>
      </c>
      <c r="D2630" s="2071"/>
      <c r="E2630" s="2079">
        <v>2</v>
      </c>
      <c r="F2630" s="2073" t="s">
        <v>240</v>
      </c>
      <c r="G2630" s="2080">
        <v>2533.5</v>
      </c>
      <c r="H2630" s="2074">
        <f t="shared" si="1190"/>
        <v>5067</v>
      </c>
      <c r="I2630" s="1855">
        <v>105</v>
      </c>
      <c r="J2630" s="2073">
        <f t="shared" si="1191"/>
        <v>210</v>
      </c>
      <c r="K2630" s="2075">
        <f t="shared" si="1192"/>
        <v>5277</v>
      </c>
      <c r="L2630" s="2073"/>
      <c r="M2630" s="2081"/>
      <c r="O2630" s="1863"/>
      <c r="P2630" s="2077"/>
      <c r="Q2630" s="2077"/>
    </row>
    <row r="2631" spans="1:24" ht="22.15" customHeight="1">
      <c r="A2631" s="1901"/>
      <c r="B2631" s="2078"/>
      <c r="C2631" s="1755"/>
      <c r="D2631" s="2071"/>
      <c r="E2631" s="2079"/>
      <c r="F2631" s="2073"/>
      <c r="G2631" s="1853"/>
      <c r="H2631" s="2074"/>
      <c r="I2631" s="1855"/>
      <c r="J2631" s="2073"/>
      <c r="K2631" s="2075"/>
      <c r="L2631" s="2076"/>
      <c r="M2631" s="2059"/>
      <c r="O2631" s="1863"/>
      <c r="P2631" s="2077"/>
      <c r="Q2631" s="2077"/>
    </row>
    <row r="2632" spans="1:24" ht="22.15" customHeight="1">
      <c r="A2632" s="1901"/>
      <c r="B2632" s="2090" t="s">
        <v>609</v>
      </c>
      <c r="C2632" s="63" t="s">
        <v>2927</v>
      </c>
      <c r="D2632" s="2091"/>
      <c r="E2632" s="2092">
        <v>2</v>
      </c>
      <c r="F2632" s="2086" t="s">
        <v>240</v>
      </c>
      <c r="G2632" s="2084">
        <v>2855</v>
      </c>
      <c r="H2632" s="2085">
        <f t="shared" ref="H2632" si="1193">G2632*E2632</f>
        <v>5710</v>
      </c>
      <c r="I2632" s="1904">
        <v>1432</v>
      </c>
      <c r="J2632" s="2086">
        <f t="shared" ref="J2632" si="1194">I2632*E2632</f>
        <v>2864</v>
      </c>
      <c r="K2632" s="2087">
        <f t="shared" ref="K2632" si="1195">H2632+J2632</f>
        <v>8574</v>
      </c>
      <c r="L2632" s="2076"/>
      <c r="M2632" s="2059"/>
      <c r="O2632" s="1863"/>
      <c r="P2632" s="2077"/>
      <c r="Q2632" s="2077"/>
    </row>
    <row r="2633" spans="1:24" ht="22.15" customHeight="1">
      <c r="A2633" s="1901"/>
      <c r="B2633" s="2090"/>
      <c r="C2633" s="63" t="s">
        <v>2928</v>
      </c>
      <c r="D2633" s="2091"/>
      <c r="E2633" s="2092"/>
      <c r="F2633" s="2086"/>
      <c r="G2633" s="2084"/>
      <c r="H2633" s="2085"/>
      <c r="I2633" s="1904"/>
      <c r="J2633" s="2086"/>
      <c r="K2633" s="2087"/>
      <c r="L2633" s="2076"/>
      <c r="M2633" s="2059"/>
      <c r="O2633" s="1863"/>
      <c r="P2633" s="2077"/>
      <c r="Q2633" s="2077"/>
    </row>
    <row r="2634" spans="1:24" ht="22.15" customHeight="1">
      <c r="A2634" s="1901"/>
      <c r="B2634" s="2078"/>
      <c r="C2634" s="1755"/>
      <c r="D2634" s="2071"/>
      <c r="E2634" s="2079"/>
      <c r="F2634" s="2073"/>
      <c r="G2634" s="1853"/>
      <c r="H2634" s="2074"/>
      <c r="I2634" s="1855"/>
      <c r="J2634" s="2073"/>
      <c r="K2634" s="2075"/>
      <c r="L2634" s="2076"/>
      <c r="M2634" s="2059"/>
      <c r="O2634" s="1863"/>
      <c r="P2634" s="2077"/>
      <c r="Q2634" s="2077"/>
    </row>
    <row r="2635" spans="1:24" ht="22.15" customHeight="1">
      <c r="A2635" s="1901"/>
      <c r="B2635" s="2078"/>
      <c r="C2635" s="1755"/>
      <c r="D2635" s="2071"/>
      <c r="E2635" s="2079"/>
      <c r="F2635" s="2073"/>
      <c r="G2635" s="1853"/>
      <c r="H2635" s="2074"/>
      <c r="I2635" s="1855"/>
      <c r="J2635" s="2073"/>
      <c r="K2635" s="2075"/>
      <c r="L2635" s="2076"/>
      <c r="M2635" s="2059"/>
      <c r="O2635" s="1863"/>
      <c r="P2635" s="2077"/>
      <c r="Q2635" s="2077"/>
    </row>
    <row r="2636" spans="1:24" ht="22.15" customHeight="1">
      <c r="A2636" s="1901"/>
      <c r="B2636" s="2089" t="s">
        <v>2849</v>
      </c>
      <c r="C2636" s="2070"/>
      <c r="D2636" s="2071"/>
      <c r="E2636" s="2072">
        <v>2</v>
      </c>
      <c r="F2636" s="2073" t="s">
        <v>723</v>
      </c>
      <c r="G2636" s="1853"/>
      <c r="H2636" s="2074"/>
      <c r="I2636" s="1855"/>
      <c r="J2636" s="2073"/>
      <c r="K2636" s="2075"/>
      <c r="L2636" s="2076"/>
      <c r="M2636" s="2059"/>
      <c r="O2636" s="1863"/>
      <c r="P2636" s="2077"/>
      <c r="Q2636" s="2077"/>
    </row>
    <row r="2637" spans="1:24" ht="22.15" customHeight="1">
      <c r="A2637" s="1901"/>
      <c r="B2637" s="2078" t="s">
        <v>425</v>
      </c>
      <c r="C2637" s="1755" t="s">
        <v>743</v>
      </c>
      <c r="D2637" s="2071"/>
      <c r="E2637" s="2079">
        <v>2</v>
      </c>
      <c r="F2637" s="2073" t="s">
        <v>240</v>
      </c>
      <c r="G2637" s="1853">
        <v>517.5</v>
      </c>
      <c r="H2637" s="2074">
        <f t="shared" ref="H2637:H2639" si="1196">G2637*E2637</f>
        <v>1035</v>
      </c>
      <c r="I2637" s="1855">
        <v>25</v>
      </c>
      <c r="J2637" s="2073">
        <f>I2637*E2637</f>
        <v>50</v>
      </c>
      <c r="K2637" s="2075">
        <f>H2637+J2637</f>
        <v>1085</v>
      </c>
      <c r="L2637" s="2076"/>
      <c r="M2637" s="2059"/>
      <c r="O2637" s="1863"/>
      <c r="P2637" s="2077"/>
      <c r="Q2637" s="2077"/>
    </row>
    <row r="2638" spans="1:24" ht="22.15" customHeight="1">
      <c r="A2638" s="1901"/>
      <c r="B2638" s="2078" t="s">
        <v>425</v>
      </c>
      <c r="C2638" s="1755" t="s">
        <v>744</v>
      </c>
      <c r="D2638" s="2071"/>
      <c r="E2638" s="2079">
        <v>4</v>
      </c>
      <c r="F2638" s="2073" t="s">
        <v>240</v>
      </c>
      <c r="G2638" s="1853">
        <v>525</v>
      </c>
      <c r="H2638" s="2074">
        <f t="shared" si="1196"/>
        <v>2100</v>
      </c>
      <c r="I2638" s="1855">
        <v>75</v>
      </c>
      <c r="J2638" s="2073">
        <f>I2638*E2638</f>
        <v>300</v>
      </c>
      <c r="K2638" s="2075">
        <f>H2638+J2638</f>
        <v>2400</v>
      </c>
      <c r="L2638" s="2076"/>
      <c r="M2638" s="2059"/>
      <c r="O2638" s="1863"/>
      <c r="P2638" s="2077"/>
      <c r="Q2638" s="2077"/>
    </row>
    <row r="2639" spans="1:24" ht="22.15" customHeight="1">
      <c r="A2639" s="1901"/>
      <c r="B2639" s="2078" t="s">
        <v>425</v>
      </c>
      <c r="C2639" s="1755" t="s">
        <v>745</v>
      </c>
      <c r="D2639" s="2071"/>
      <c r="E2639" s="2079">
        <v>2</v>
      </c>
      <c r="F2639" s="2073" t="s">
        <v>240</v>
      </c>
      <c r="G2639" s="2080">
        <v>397.5</v>
      </c>
      <c r="H2639" s="2074">
        <f t="shared" si="1196"/>
        <v>795</v>
      </c>
      <c r="I2639" s="1855">
        <v>70</v>
      </c>
      <c r="J2639" s="2073">
        <f t="shared" ref="J2639" si="1197">I2639*E2639</f>
        <v>140</v>
      </c>
      <c r="K2639" s="2075">
        <f t="shared" ref="K2639" si="1198">H2639+J2639</f>
        <v>935</v>
      </c>
      <c r="L2639" s="2073"/>
      <c r="M2639" s="2081"/>
      <c r="N2639" s="2047">
        <f>SUM(K2550:K2639)</f>
        <v>2610609.1</v>
      </c>
      <c r="O2639" s="1863"/>
      <c r="P2639" s="2077"/>
      <c r="Q2639" s="2077"/>
    </row>
    <row r="2640" spans="1:24" ht="24" customHeight="1">
      <c r="A2640" s="1782" t="s">
        <v>750</v>
      </c>
      <c r="B2640" s="2041" t="s">
        <v>751</v>
      </c>
      <c r="C2640" s="1905"/>
      <c r="D2640" s="1909"/>
      <c r="E2640" s="1910"/>
      <c r="F2640" s="2275"/>
      <c r="G2640" s="1983"/>
      <c r="H2640" s="1911"/>
      <c r="I2640" s="1920"/>
      <c r="J2640" s="1913"/>
      <c r="K2640" s="1914"/>
      <c r="L2640" s="1847"/>
      <c r="M2640" s="1809"/>
      <c r="N2640" s="1837"/>
      <c r="O2640" s="1837"/>
      <c r="P2640" s="1837"/>
      <c r="Q2640" s="1837"/>
      <c r="R2640" s="1837"/>
      <c r="S2640" s="1837"/>
      <c r="T2640" s="1837"/>
      <c r="U2640" s="1837"/>
      <c r="V2640" s="1837"/>
      <c r="W2640" s="1837"/>
      <c r="X2640" s="1837"/>
    </row>
    <row r="2641" spans="1:17" ht="22.15" customHeight="1">
      <c r="A2641" s="1901"/>
      <c r="B2641" s="2069" t="s">
        <v>2846</v>
      </c>
      <c r="C2641" s="2070"/>
      <c r="D2641" s="2071"/>
      <c r="E2641" s="2072">
        <v>2</v>
      </c>
      <c r="F2641" s="2073" t="s">
        <v>723</v>
      </c>
      <c r="G2641" s="1853"/>
      <c r="H2641" s="2074"/>
      <c r="I2641" s="1855"/>
      <c r="J2641" s="2073"/>
      <c r="K2641" s="2075"/>
      <c r="L2641" s="2076"/>
      <c r="M2641" s="2059"/>
      <c r="O2641" s="1863"/>
      <c r="P2641" s="2077"/>
      <c r="Q2641" s="2077"/>
    </row>
    <row r="2642" spans="1:17" ht="22.15" customHeight="1">
      <c r="A2642" s="1901"/>
      <c r="B2642" s="2078" t="s">
        <v>425</v>
      </c>
      <c r="C2642" s="2070" t="s">
        <v>724</v>
      </c>
      <c r="D2642" s="2071"/>
      <c r="E2642" s="2079">
        <v>18</v>
      </c>
      <c r="F2642" s="2073" t="s">
        <v>240</v>
      </c>
      <c r="G2642" s="1853">
        <v>1430</v>
      </c>
      <c r="H2642" s="2074">
        <f t="shared" ref="H2642:H2647" si="1199">G2642*E2642</f>
        <v>25740</v>
      </c>
      <c r="I2642" s="1855">
        <v>450</v>
      </c>
      <c r="J2642" s="2073">
        <f t="shared" ref="J2642:J2647" si="1200">I2642*E2642</f>
        <v>8100</v>
      </c>
      <c r="K2642" s="2075">
        <f t="shared" ref="K2642:K2647" si="1201">H2642+J2642</f>
        <v>33840</v>
      </c>
      <c r="L2642" s="2076"/>
      <c r="M2642" s="2059"/>
      <c r="O2642" s="1863"/>
      <c r="P2642" s="2077"/>
      <c r="Q2642" s="2077"/>
    </row>
    <row r="2643" spans="1:17" ht="22.15" customHeight="1">
      <c r="A2643" s="1901"/>
      <c r="B2643" s="2078" t="s">
        <v>425</v>
      </c>
      <c r="C2643" s="2070" t="s">
        <v>2822</v>
      </c>
      <c r="D2643" s="2071"/>
      <c r="E2643" s="2079">
        <v>18</v>
      </c>
      <c r="F2643" s="2073" t="s">
        <v>240</v>
      </c>
      <c r="G2643" s="1853">
        <v>6225</v>
      </c>
      <c r="H2643" s="2074">
        <f t="shared" si="1199"/>
        <v>112050</v>
      </c>
      <c r="I2643" s="1855">
        <v>200</v>
      </c>
      <c r="J2643" s="2073">
        <f t="shared" si="1200"/>
        <v>3600</v>
      </c>
      <c r="K2643" s="2075">
        <f t="shared" si="1201"/>
        <v>115650</v>
      </c>
      <c r="L2643" s="2076"/>
      <c r="M2643" s="2059"/>
      <c r="O2643" s="1863"/>
      <c r="P2643" s="2077"/>
      <c r="Q2643" s="2077"/>
    </row>
    <row r="2644" spans="1:17" ht="22.15" customHeight="1">
      <c r="A2644" s="1901"/>
      <c r="B2644" s="2078" t="s">
        <v>425</v>
      </c>
      <c r="C2644" s="2070" t="s">
        <v>2823</v>
      </c>
      <c r="D2644" s="2071"/>
      <c r="E2644" s="2079">
        <v>18</v>
      </c>
      <c r="F2644" s="2073" t="s">
        <v>240</v>
      </c>
      <c r="G2644" s="1853">
        <v>315</v>
      </c>
      <c r="H2644" s="2074">
        <f t="shared" si="1199"/>
        <v>5670</v>
      </c>
      <c r="I2644" s="1855">
        <v>0</v>
      </c>
      <c r="J2644" s="2073">
        <f t="shared" si="1200"/>
        <v>0</v>
      </c>
      <c r="K2644" s="2075">
        <f t="shared" si="1201"/>
        <v>5670</v>
      </c>
      <c r="L2644" s="2076"/>
      <c r="M2644" s="2059"/>
      <c r="O2644" s="1863"/>
      <c r="P2644" s="2077"/>
      <c r="Q2644" s="2077"/>
    </row>
    <row r="2645" spans="1:17" ht="22.15" customHeight="1">
      <c r="A2645" s="1901"/>
      <c r="B2645" s="2078" t="s">
        <v>425</v>
      </c>
      <c r="C2645" s="2070" t="s">
        <v>2824</v>
      </c>
      <c r="D2645" s="2071"/>
      <c r="E2645" s="2079">
        <v>18</v>
      </c>
      <c r="F2645" s="2073" t="s">
        <v>240</v>
      </c>
      <c r="G2645" s="1853">
        <v>690</v>
      </c>
      <c r="H2645" s="2074">
        <f t="shared" si="1199"/>
        <v>12420</v>
      </c>
      <c r="I2645" s="1855">
        <v>0</v>
      </c>
      <c r="J2645" s="2073">
        <f t="shared" si="1200"/>
        <v>0</v>
      </c>
      <c r="K2645" s="2075">
        <f t="shared" si="1201"/>
        <v>12420</v>
      </c>
      <c r="L2645" s="2076"/>
      <c r="M2645" s="2059"/>
      <c r="O2645" s="1863"/>
      <c r="P2645" s="2077"/>
      <c r="Q2645" s="2077"/>
    </row>
    <row r="2646" spans="1:17" ht="22.15" customHeight="1">
      <c r="A2646" s="1901"/>
      <c r="B2646" s="2078" t="s">
        <v>425</v>
      </c>
      <c r="C2646" s="2070" t="s">
        <v>2825</v>
      </c>
      <c r="D2646" s="2071"/>
      <c r="E2646" s="2079">
        <v>18</v>
      </c>
      <c r="F2646" s="2073" t="s">
        <v>240</v>
      </c>
      <c r="G2646" s="1853">
        <v>165</v>
      </c>
      <c r="H2646" s="2074">
        <f t="shared" si="1199"/>
        <v>2970</v>
      </c>
      <c r="I2646" s="1855">
        <v>0</v>
      </c>
      <c r="J2646" s="2073">
        <f t="shared" si="1200"/>
        <v>0</v>
      </c>
      <c r="K2646" s="2075">
        <f t="shared" si="1201"/>
        <v>2970</v>
      </c>
      <c r="L2646" s="2076"/>
      <c r="M2646" s="2059"/>
      <c r="O2646" s="1863"/>
      <c r="P2646" s="2077"/>
      <c r="Q2646" s="2077"/>
    </row>
    <row r="2647" spans="1:17" ht="22.15" customHeight="1">
      <c r="A2647" s="1901"/>
      <c r="B2647" s="2078" t="s">
        <v>425</v>
      </c>
      <c r="C2647" s="2070" t="s">
        <v>2826</v>
      </c>
      <c r="D2647" s="2071"/>
      <c r="E2647" s="2079">
        <v>18</v>
      </c>
      <c r="F2647" s="2073" t="s">
        <v>240</v>
      </c>
      <c r="G2647" s="1853">
        <v>202.5</v>
      </c>
      <c r="H2647" s="2074">
        <f t="shared" si="1199"/>
        <v>3645</v>
      </c>
      <c r="I2647" s="1855">
        <v>35</v>
      </c>
      <c r="J2647" s="2073">
        <f t="shared" si="1200"/>
        <v>630</v>
      </c>
      <c r="K2647" s="2075">
        <f t="shared" si="1201"/>
        <v>4275</v>
      </c>
      <c r="L2647" s="2076"/>
      <c r="M2647" s="2059"/>
      <c r="O2647" s="1863"/>
      <c r="P2647" s="2077"/>
      <c r="Q2647" s="2077"/>
    </row>
    <row r="2648" spans="1:17" ht="22.15" customHeight="1">
      <c r="A2648" s="1901"/>
      <c r="B2648" s="2078"/>
      <c r="C2648" s="2070"/>
      <c r="D2648" s="2071"/>
      <c r="E2648" s="2079"/>
      <c r="F2648" s="2073"/>
      <c r="G2648" s="1853"/>
      <c r="H2648" s="2074"/>
      <c r="I2648" s="1855"/>
      <c r="J2648" s="2073"/>
      <c r="K2648" s="2075"/>
      <c r="L2648" s="2076"/>
      <c r="M2648" s="2059"/>
      <c r="O2648" s="1863"/>
      <c r="P2648" s="2077"/>
      <c r="Q2648" s="2077"/>
    </row>
    <row r="2649" spans="1:17" ht="22.15" customHeight="1">
      <c r="A2649" s="1901"/>
      <c r="B2649" s="2078" t="s">
        <v>425</v>
      </c>
      <c r="C2649" s="2070" t="s">
        <v>725</v>
      </c>
      <c r="D2649" s="2071"/>
      <c r="E2649" s="2079">
        <v>16</v>
      </c>
      <c r="F2649" s="2073" t="s">
        <v>240</v>
      </c>
      <c r="G2649" s="1853">
        <v>8723</v>
      </c>
      <c r="H2649" s="2074">
        <f t="shared" ref="H2649:H2651" si="1202">G2649*E2649</f>
        <v>139568</v>
      </c>
      <c r="I2649" s="1855">
        <v>450</v>
      </c>
      <c r="J2649" s="2073">
        <f t="shared" ref="J2649:J2651" si="1203">I2649*E2649</f>
        <v>7200</v>
      </c>
      <c r="K2649" s="2075">
        <f t="shared" ref="K2649:K2651" si="1204">H2649+J2649</f>
        <v>146768</v>
      </c>
      <c r="L2649" s="2076"/>
      <c r="M2649" s="2059"/>
      <c r="O2649" s="1863"/>
      <c r="P2649" s="2077"/>
      <c r="Q2649" s="2077"/>
    </row>
    <row r="2650" spans="1:17" ht="22.15" customHeight="1">
      <c r="A2650" s="1901"/>
      <c r="B2650" s="2078" t="s">
        <v>425</v>
      </c>
      <c r="C2650" s="2070" t="s">
        <v>726</v>
      </c>
      <c r="D2650" s="2071"/>
      <c r="E2650" s="2079">
        <v>16</v>
      </c>
      <c r="F2650" s="2073" t="s">
        <v>240</v>
      </c>
      <c r="G2650" s="1853">
        <v>2430</v>
      </c>
      <c r="H2650" s="2074">
        <f t="shared" si="1202"/>
        <v>38880</v>
      </c>
      <c r="I2650" s="1855">
        <v>0</v>
      </c>
      <c r="J2650" s="2073">
        <f t="shared" si="1203"/>
        <v>0</v>
      </c>
      <c r="K2650" s="2075">
        <f t="shared" si="1204"/>
        <v>38880</v>
      </c>
      <c r="L2650" s="2076"/>
      <c r="M2650" s="2059"/>
      <c r="O2650" s="1863"/>
      <c r="P2650" s="2077"/>
      <c r="Q2650" s="2077"/>
    </row>
    <row r="2651" spans="1:17" ht="22.15" customHeight="1">
      <c r="A2651" s="1901"/>
      <c r="B2651" s="2078" t="s">
        <v>425</v>
      </c>
      <c r="C2651" s="2070" t="s">
        <v>2826</v>
      </c>
      <c r="D2651" s="2071"/>
      <c r="E2651" s="2079">
        <v>16</v>
      </c>
      <c r="F2651" s="2073" t="s">
        <v>240</v>
      </c>
      <c r="G2651" s="2080">
        <v>202.5</v>
      </c>
      <c r="H2651" s="2074">
        <f t="shared" si="1202"/>
        <v>3240</v>
      </c>
      <c r="I2651" s="1855">
        <v>35</v>
      </c>
      <c r="J2651" s="2073">
        <f t="shared" si="1203"/>
        <v>560</v>
      </c>
      <c r="K2651" s="2075">
        <f t="shared" si="1204"/>
        <v>3800</v>
      </c>
      <c r="L2651" s="2076"/>
      <c r="M2651" s="2059"/>
      <c r="O2651" s="1863"/>
      <c r="P2651" s="2077"/>
      <c r="Q2651" s="2077"/>
    </row>
    <row r="2652" spans="1:17" ht="22.15" customHeight="1">
      <c r="A2652" s="1901"/>
      <c r="B2652" s="2078"/>
      <c r="C2652" s="2070"/>
      <c r="D2652" s="2071"/>
      <c r="E2652" s="2079"/>
      <c r="F2652" s="2073"/>
      <c r="G2652" s="1853"/>
      <c r="H2652" s="2074"/>
      <c r="I2652" s="1855"/>
      <c r="J2652" s="2073"/>
      <c r="K2652" s="2075"/>
      <c r="L2652" s="2076"/>
      <c r="M2652" s="2059"/>
      <c r="O2652" s="1863"/>
      <c r="P2652" s="2077"/>
      <c r="Q2652" s="2077"/>
    </row>
    <row r="2653" spans="1:17" ht="22.15" customHeight="1">
      <c r="A2653" s="1901"/>
      <c r="B2653" s="2078" t="s">
        <v>425</v>
      </c>
      <c r="C2653" s="2070" t="s">
        <v>2827</v>
      </c>
      <c r="D2653" s="2071"/>
      <c r="E2653" s="2079">
        <v>24</v>
      </c>
      <c r="F2653" s="2073" t="s">
        <v>240</v>
      </c>
      <c r="G2653" s="1853">
        <v>3640</v>
      </c>
      <c r="H2653" s="2074">
        <f t="shared" ref="H2653:H2654" si="1205">G2653*E2653</f>
        <v>87360</v>
      </c>
      <c r="I2653" s="1855">
        <v>450</v>
      </c>
      <c r="J2653" s="2073">
        <f t="shared" ref="J2653:J2654" si="1206">I2653*E2653</f>
        <v>10800</v>
      </c>
      <c r="K2653" s="2075">
        <f t="shared" ref="K2653:K2654" si="1207">H2653+J2653</f>
        <v>98160</v>
      </c>
      <c r="L2653" s="2073"/>
      <c r="M2653" s="2081"/>
      <c r="O2653" s="1863"/>
      <c r="P2653" s="2077"/>
      <c r="Q2653" s="2077"/>
    </row>
    <row r="2654" spans="1:17" ht="22.15" customHeight="1">
      <c r="A2654" s="1901"/>
      <c r="B2654" s="2078" t="s">
        <v>425</v>
      </c>
      <c r="C2654" s="2070" t="s">
        <v>727</v>
      </c>
      <c r="D2654" s="2071"/>
      <c r="E2654" s="2079">
        <v>24</v>
      </c>
      <c r="F2654" s="2073" t="s">
        <v>240</v>
      </c>
      <c r="G2654" s="1853">
        <v>11955</v>
      </c>
      <c r="H2654" s="2074">
        <f t="shared" si="1205"/>
        <v>286920</v>
      </c>
      <c r="I2654" s="1855">
        <v>0</v>
      </c>
      <c r="J2654" s="2073">
        <f t="shared" si="1206"/>
        <v>0</v>
      </c>
      <c r="K2654" s="2075">
        <f t="shared" si="1207"/>
        <v>286920</v>
      </c>
      <c r="L2654" s="2073"/>
      <c r="M2654" s="2081"/>
      <c r="O2654" s="1863"/>
      <c r="P2654" s="2077"/>
      <c r="Q2654" s="2077"/>
    </row>
    <row r="2655" spans="1:17" ht="22.15" customHeight="1">
      <c r="A2655" s="1901"/>
      <c r="B2655" s="2078"/>
      <c r="C2655" s="2070"/>
      <c r="D2655" s="2071"/>
      <c r="E2655" s="2079"/>
      <c r="F2655" s="2073"/>
      <c r="G2655" s="1853"/>
      <c r="H2655" s="2074"/>
      <c r="I2655" s="1855"/>
      <c r="J2655" s="2073"/>
      <c r="K2655" s="2075"/>
      <c r="L2655" s="2073"/>
      <c r="M2655" s="2081"/>
      <c r="O2655" s="1863"/>
      <c r="P2655" s="2077"/>
      <c r="Q2655" s="2077"/>
    </row>
    <row r="2656" spans="1:17" ht="22.15" customHeight="1">
      <c r="A2656" s="1901"/>
      <c r="B2656" s="2078" t="s">
        <v>425</v>
      </c>
      <c r="C2656" s="1755" t="s">
        <v>728</v>
      </c>
      <c r="D2656" s="2071"/>
      <c r="E2656" s="2079">
        <v>14</v>
      </c>
      <c r="F2656" s="2073" t="s">
        <v>240</v>
      </c>
      <c r="G2656" s="1853">
        <v>525</v>
      </c>
      <c r="H2656" s="2074">
        <f t="shared" ref="H2656:H2662" si="1208">G2656*E2656</f>
        <v>7350</v>
      </c>
      <c r="I2656" s="1855">
        <v>75</v>
      </c>
      <c r="J2656" s="2073">
        <f t="shared" ref="J2656:J2662" si="1209">I2656*E2656</f>
        <v>1050</v>
      </c>
      <c r="K2656" s="2075">
        <f t="shared" ref="K2656:K2662" si="1210">H2656+J2656</f>
        <v>8400</v>
      </c>
      <c r="L2656" s="2076"/>
      <c r="M2656" s="2059"/>
      <c r="O2656" s="1863"/>
      <c r="P2656" s="2077"/>
      <c r="Q2656" s="2077"/>
    </row>
    <row r="2657" spans="1:17" ht="22.15" customHeight="1">
      <c r="A2657" s="1901"/>
      <c r="B2657" s="2078" t="s">
        <v>425</v>
      </c>
      <c r="C2657" s="1755" t="s">
        <v>743</v>
      </c>
      <c r="D2657" s="2071"/>
      <c r="E2657" s="2079">
        <v>2</v>
      </c>
      <c r="F2657" s="2073" t="s">
        <v>240</v>
      </c>
      <c r="G2657" s="1853">
        <v>517.5</v>
      </c>
      <c r="H2657" s="2074">
        <f t="shared" si="1208"/>
        <v>1035</v>
      </c>
      <c r="I2657" s="1855">
        <v>25</v>
      </c>
      <c r="J2657" s="2073">
        <f t="shared" si="1209"/>
        <v>50</v>
      </c>
      <c r="K2657" s="2075">
        <f t="shared" si="1210"/>
        <v>1085</v>
      </c>
      <c r="L2657" s="2076"/>
      <c r="M2657" s="2059"/>
      <c r="O2657" s="1863"/>
      <c r="P2657" s="2077"/>
      <c r="Q2657" s="2077"/>
    </row>
    <row r="2658" spans="1:17" ht="22.15" customHeight="1">
      <c r="A2658" s="1901"/>
      <c r="B2658" s="2078" t="s">
        <v>425</v>
      </c>
      <c r="C2658" s="1755" t="s">
        <v>729</v>
      </c>
      <c r="D2658" s="2071"/>
      <c r="E2658" s="2079">
        <f>E2649</f>
        <v>16</v>
      </c>
      <c r="F2658" s="2073" t="s">
        <v>240</v>
      </c>
      <c r="G2658" s="2082">
        <v>13500</v>
      </c>
      <c r="H2658" s="2074">
        <f t="shared" si="1208"/>
        <v>216000</v>
      </c>
      <c r="I2658" s="1855">
        <v>750</v>
      </c>
      <c r="J2658" s="2073">
        <f t="shared" si="1209"/>
        <v>12000</v>
      </c>
      <c r="K2658" s="2075">
        <f t="shared" si="1210"/>
        <v>228000</v>
      </c>
      <c r="L2658" s="2076"/>
      <c r="M2658" s="2059"/>
      <c r="O2658" s="1863"/>
      <c r="P2658" s="2077"/>
      <c r="Q2658" s="2077"/>
    </row>
    <row r="2659" spans="1:17" ht="22.15" customHeight="1">
      <c r="A2659" s="1901"/>
      <c r="B2659" s="2078" t="s">
        <v>425</v>
      </c>
      <c r="C2659" s="1755" t="s">
        <v>730</v>
      </c>
      <c r="D2659" s="2071"/>
      <c r="E2659" s="2079">
        <v>2</v>
      </c>
      <c r="F2659" s="2073" t="s">
        <v>240</v>
      </c>
      <c r="G2659" s="2080">
        <v>1320</v>
      </c>
      <c r="H2659" s="2074">
        <f t="shared" si="1208"/>
        <v>2640</v>
      </c>
      <c r="I2659" s="1855">
        <v>70</v>
      </c>
      <c r="J2659" s="2073">
        <f t="shared" si="1209"/>
        <v>140</v>
      </c>
      <c r="K2659" s="2075">
        <f t="shared" si="1210"/>
        <v>2780</v>
      </c>
      <c r="L2659" s="2076"/>
      <c r="M2659" s="2059"/>
      <c r="O2659" s="1863"/>
      <c r="P2659" s="2077"/>
      <c r="Q2659" s="2077"/>
    </row>
    <row r="2660" spans="1:17" ht="21.75" customHeight="1">
      <c r="A2660" s="1901"/>
      <c r="B2660" s="2078" t="s">
        <v>425</v>
      </c>
      <c r="C2660" s="1755" t="s">
        <v>752</v>
      </c>
      <c r="D2660" s="2071"/>
      <c r="E2660" s="2079">
        <v>2</v>
      </c>
      <c r="F2660" s="2073" t="s">
        <v>240</v>
      </c>
      <c r="G2660" s="2080">
        <v>4100</v>
      </c>
      <c r="H2660" s="1788">
        <f t="shared" si="1208"/>
        <v>8200</v>
      </c>
      <c r="I2660" s="2083">
        <v>200</v>
      </c>
      <c r="J2660" s="1808">
        <f t="shared" si="1209"/>
        <v>400</v>
      </c>
      <c r="K2660" s="1897">
        <f t="shared" si="1210"/>
        <v>8600</v>
      </c>
      <c r="L2660" s="2076"/>
      <c r="M2660" s="2059"/>
      <c r="O2660" s="1863"/>
      <c r="P2660" s="2077"/>
      <c r="Q2660" s="2077"/>
    </row>
    <row r="2661" spans="1:17" ht="22.15" customHeight="1">
      <c r="A2661" s="1901"/>
      <c r="B2661" s="2078" t="s">
        <v>425</v>
      </c>
      <c r="C2661" s="2070" t="s">
        <v>2828</v>
      </c>
      <c r="D2661" s="2071"/>
      <c r="E2661" s="2079">
        <v>2</v>
      </c>
      <c r="F2661" s="2073" t="s">
        <v>240</v>
      </c>
      <c r="G2661" s="2080">
        <v>2835</v>
      </c>
      <c r="H2661" s="2074">
        <f t="shared" si="1208"/>
        <v>5670</v>
      </c>
      <c r="I2661" s="1855">
        <v>105</v>
      </c>
      <c r="J2661" s="2073">
        <f t="shared" si="1209"/>
        <v>210</v>
      </c>
      <c r="K2661" s="2075">
        <f t="shared" si="1210"/>
        <v>5880</v>
      </c>
      <c r="L2661" s="2076"/>
      <c r="M2661" s="2059"/>
      <c r="O2661" s="1863"/>
      <c r="P2661" s="2077"/>
      <c r="Q2661" s="2077"/>
    </row>
    <row r="2662" spans="1:17" ht="22.15" customHeight="1">
      <c r="A2662" s="1901"/>
      <c r="B2662" s="2078" t="s">
        <v>425</v>
      </c>
      <c r="C2662" s="1755" t="s">
        <v>2829</v>
      </c>
      <c r="D2662" s="2071"/>
      <c r="E2662" s="2079">
        <v>2</v>
      </c>
      <c r="F2662" s="2073" t="s">
        <v>240</v>
      </c>
      <c r="G2662" s="2080">
        <v>6180</v>
      </c>
      <c r="H2662" s="2074">
        <f t="shared" si="1208"/>
        <v>12360</v>
      </c>
      <c r="I2662" s="1855">
        <v>105</v>
      </c>
      <c r="J2662" s="2073">
        <f t="shared" si="1209"/>
        <v>210</v>
      </c>
      <c r="K2662" s="2075">
        <f t="shared" si="1210"/>
        <v>12570</v>
      </c>
      <c r="L2662" s="2076"/>
      <c r="M2662" s="2059"/>
      <c r="O2662" s="1863"/>
      <c r="P2662" s="2077"/>
      <c r="Q2662" s="2077"/>
    </row>
    <row r="2663" spans="1:17" ht="22.15" customHeight="1">
      <c r="A2663" s="1901"/>
      <c r="B2663" s="2078"/>
      <c r="C2663" s="2070"/>
      <c r="D2663" s="2071"/>
      <c r="E2663" s="2079"/>
      <c r="F2663" s="2073"/>
      <c r="G2663" s="2080"/>
      <c r="H2663" s="2074"/>
      <c r="I2663" s="1855"/>
      <c r="J2663" s="2073"/>
      <c r="K2663" s="2075"/>
      <c r="L2663" s="2076"/>
      <c r="M2663" s="2059"/>
      <c r="O2663" s="1863"/>
      <c r="P2663" s="2077"/>
      <c r="Q2663" s="2077"/>
    </row>
    <row r="2664" spans="1:17" ht="22.15" customHeight="1">
      <c r="A2664" s="1901"/>
      <c r="B2664" s="2078" t="s">
        <v>425</v>
      </c>
      <c r="C2664" s="2070" t="s">
        <v>732</v>
      </c>
      <c r="D2664" s="2071"/>
      <c r="E2664" s="1808">
        <f>4.8*2</f>
        <v>9.6</v>
      </c>
      <c r="F2664" s="2073" t="s">
        <v>616</v>
      </c>
      <c r="G2664" s="2084">
        <v>3886</v>
      </c>
      <c r="H2664" s="2085">
        <f t="shared" ref="H2664:H2669" si="1211">G2664*E2664</f>
        <v>37305.599999999999</v>
      </c>
      <c r="I2664" s="1904">
        <v>1238</v>
      </c>
      <c r="J2664" s="2086">
        <f t="shared" ref="J2664:J2669" si="1212">I2664*E2664</f>
        <v>11884.8</v>
      </c>
      <c r="K2664" s="2087">
        <f t="shared" ref="K2664:K2669" si="1213">H2664+J2664</f>
        <v>49190.399999999994</v>
      </c>
      <c r="L2664" s="2076"/>
      <c r="M2664" s="2059"/>
      <c r="O2664" s="1863"/>
      <c r="P2664" s="2077"/>
      <c r="Q2664" s="2077"/>
    </row>
    <row r="2665" spans="1:17" ht="22.15" customHeight="1">
      <c r="A2665" s="1901"/>
      <c r="B2665" s="2078" t="s">
        <v>425</v>
      </c>
      <c r="C2665" s="2070" t="s">
        <v>733</v>
      </c>
      <c r="D2665" s="2071"/>
      <c r="E2665" s="1808">
        <f>10.6*2</f>
        <v>21.2</v>
      </c>
      <c r="F2665" s="2073" t="s">
        <v>616</v>
      </c>
      <c r="G2665" s="2084">
        <v>1522</v>
      </c>
      <c r="H2665" s="2085">
        <f t="shared" si="1211"/>
        <v>32266.399999999998</v>
      </c>
      <c r="I2665" s="2088">
        <v>315</v>
      </c>
      <c r="J2665" s="2086">
        <f t="shared" si="1212"/>
        <v>6678</v>
      </c>
      <c r="K2665" s="2087">
        <f t="shared" si="1213"/>
        <v>38944.399999999994</v>
      </c>
      <c r="L2665" s="2076"/>
      <c r="M2665" s="2059"/>
      <c r="O2665" s="1863"/>
      <c r="P2665" s="2077"/>
      <c r="Q2665" s="2077"/>
    </row>
    <row r="2666" spans="1:17" ht="22.15" customHeight="1">
      <c r="A2666" s="1901"/>
      <c r="B2666" s="2078" t="s">
        <v>425</v>
      </c>
      <c r="C2666" s="2070" t="s">
        <v>734</v>
      </c>
      <c r="D2666" s="2071"/>
      <c r="E2666" s="1808">
        <f>7.2*2</f>
        <v>14.4</v>
      </c>
      <c r="F2666" s="2073" t="s">
        <v>616</v>
      </c>
      <c r="G2666" s="2084">
        <v>1522</v>
      </c>
      <c r="H2666" s="2085">
        <f t="shared" si="1211"/>
        <v>21916.799999999999</v>
      </c>
      <c r="I2666" s="2088">
        <v>315</v>
      </c>
      <c r="J2666" s="2086">
        <f t="shared" si="1212"/>
        <v>4536</v>
      </c>
      <c r="K2666" s="2087">
        <f t="shared" si="1213"/>
        <v>26452.799999999999</v>
      </c>
      <c r="L2666" s="2076"/>
      <c r="M2666" s="2059"/>
      <c r="O2666" s="1863"/>
      <c r="P2666" s="2077"/>
      <c r="Q2666" s="2077"/>
    </row>
    <row r="2667" spans="1:17" ht="22.15" customHeight="1">
      <c r="A2667" s="1901"/>
      <c r="B2667" s="2078" t="s">
        <v>425</v>
      </c>
      <c r="C2667" s="2070" t="s">
        <v>735</v>
      </c>
      <c r="D2667" s="2071"/>
      <c r="E2667" s="1808">
        <f>7.2*2</f>
        <v>14.4</v>
      </c>
      <c r="F2667" s="2073" t="s">
        <v>616</v>
      </c>
      <c r="G2667" s="2080">
        <v>750</v>
      </c>
      <c r="H2667" s="1788">
        <f t="shared" si="1211"/>
        <v>10800</v>
      </c>
      <c r="I2667" s="2083">
        <v>45</v>
      </c>
      <c r="J2667" s="1808">
        <f t="shared" si="1212"/>
        <v>648</v>
      </c>
      <c r="K2667" s="1897">
        <f t="shared" si="1213"/>
        <v>11448</v>
      </c>
      <c r="L2667" s="2076"/>
      <c r="M2667" s="2059"/>
      <c r="O2667" s="1863"/>
      <c r="P2667" s="2077"/>
      <c r="Q2667" s="2077"/>
    </row>
    <row r="2668" spans="1:17" ht="22.15" customHeight="1">
      <c r="A2668" s="1901"/>
      <c r="B2668" s="2078" t="s">
        <v>425</v>
      </c>
      <c r="C2668" s="2070" t="s">
        <v>736</v>
      </c>
      <c r="D2668" s="2071"/>
      <c r="E2668" s="1808">
        <f>16.8*2</f>
        <v>33.6</v>
      </c>
      <c r="F2668" s="2073" t="s">
        <v>616</v>
      </c>
      <c r="G2668" s="2080">
        <v>60</v>
      </c>
      <c r="H2668" s="1788">
        <f t="shared" si="1211"/>
        <v>2016</v>
      </c>
      <c r="I2668" s="2083">
        <v>45</v>
      </c>
      <c r="J2668" s="1808">
        <f t="shared" si="1212"/>
        <v>1512</v>
      </c>
      <c r="K2668" s="1897">
        <f t="shared" si="1213"/>
        <v>3528</v>
      </c>
      <c r="L2668" s="2076"/>
      <c r="M2668" s="2059"/>
      <c r="O2668" s="1863"/>
      <c r="P2668" s="2077"/>
      <c r="Q2668" s="2077"/>
    </row>
    <row r="2669" spans="1:17" ht="22.15" customHeight="1">
      <c r="A2669" s="1901"/>
      <c r="B2669" s="2078" t="s">
        <v>425</v>
      </c>
      <c r="C2669" s="2070" t="s">
        <v>2830</v>
      </c>
      <c r="D2669" s="2071"/>
      <c r="E2669" s="1808">
        <f>E2664</f>
        <v>9.6</v>
      </c>
      <c r="F2669" s="2073" t="s">
        <v>616</v>
      </c>
      <c r="G2669" s="2084">
        <v>2694</v>
      </c>
      <c r="H2669" s="2085">
        <f t="shared" si="1211"/>
        <v>25862.399999999998</v>
      </c>
      <c r="I2669" s="1904">
        <v>1288</v>
      </c>
      <c r="J2669" s="2086">
        <f t="shared" si="1212"/>
        <v>12364.8</v>
      </c>
      <c r="K2669" s="2087">
        <f t="shared" si="1213"/>
        <v>38227.199999999997</v>
      </c>
      <c r="L2669" s="2076"/>
      <c r="M2669" s="2059"/>
      <c r="O2669" s="1863"/>
      <c r="P2669" s="2077"/>
      <c r="Q2669" s="2077"/>
    </row>
    <row r="2670" spans="1:17" ht="22.15" customHeight="1">
      <c r="A2670" s="1901"/>
      <c r="B2670" s="2078"/>
      <c r="C2670" s="2070" t="s">
        <v>737</v>
      </c>
      <c r="D2670" s="2071"/>
      <c r="E2670" s="2079"/>
      <c r="F2670" s="2073"/>
      <c r="G2670" s="2080"/>
      <c r="H2670" s="2074"/>
      <c r="I2670" s="1855"/>
      <c r="J2670" s="2073"/>
      <c r="K2670" s="2075"/>
      <c r="L2670" s="2076"/>
      <c r="M2670" s="2059"/>
      <c r="O2670" s="1863"/>
      <c r="P2670" s="2077"/>
      <c r="Q2670" s="2077"/>
    </row>
    <row r="2671" spans="1:17" ht="22.15" customHeight="1">
      <c r="A2671" s="1901"/>
      <c r="B2671" s="2078"/>
      <c r="C2671" s="2070"/>
      <c r="D2671" s="2071"/>
      <c r="E2671" s="2079"/>
      <c r="F2671" s="2073"/>
      <c r="G2671" s="2080"/>
      <c r="H2671" s="2074"/>
      <c r="I2671" s="1855"/>
      <c r="J2671" s="2073"/>
      <c r="K2671" s="2075"/>
      <c r="L2671" s="2076"/>
      <c r="M2671" s="2059"/>
      <c r="O2671" s="1863"/>
      <c r="P2671" s="2077"/>
      <c r="Q2671" s="2077"/>
    </row>
    <row r="2672" spans="1:17" ht="22.15" customHeight="1">
      <c r="A2672" s="1901"/>
      <c r="B2672" s="2078" t="s">
        <v>425</v>
      </c>
      <c r="C2672" s="2070" t="s">
        <v>2831</v>
      </c>
      <c r="D2672" s="2071"/>
      <c r="E2672" s="2079">
        <v>2</v>
      </c>
      <c r="F2672" s="2073" t="s">
        <v>240</v>
      </c>
      <c r="G2672" s="1853">
        <v>8300</v>
      </c>
      <c r="H2672" s="2074">
        <f t="shared" ref="H2672" si="1214">G2672*E2672</f>
        <v>16600</v>
      </c>
      <c r="I2672" s="1855">
        <v>2490</v>
      </c>
      <c r="J2672" s="2073">
        <f>I2672*E2672</f>
        <v>4980</v>
      </c>
      <c r="K2672" s="2075">
        <f t="shared" ref="K2672" si="1215">H2672+J2672</f>
        <v>21580</v>
      </c>
      <c r="L2672" s="2076"/>
      <c r="M2672" s="2059"/>
      <c r="O2672" s="1863"/>
      <c r="P2672" s="2077"/>
      <c r="Q2672" s="2077"/>
    </row>
    <row r="2673" spans="1:17" ht="22.15" customHeight="1">
      <c r="A2673" s="1901"/>
      <c r="B2673" s="2078"/>
      <c r="C2673" s="2070" t="s">
        <v>738</v>
      </c>
      <c r="D2673" s="2071"/>
      <c r="E2673" s="2079"/>
      <c r="F2673" s="2073"/>
      <c r="G2673" s="2080"/>
      <c r="H2673" s="2074"/>
      <c r="I2673" s="1855"/>
      <c r="J2673" s="2073"/>
      <c r="K2673" s="2075"/>
      <c r="L2673" s="2076"/>
      <c r="M2673" s="2059"/>
      <c r="O2673" s="1863"/>
      <c r="P2673" s="2077"/>
      <c r="Q2673" s="2077"/>
    </row>
    <row r="2674" spans="1:17" ht="22.15" customHeight="1">
      <c r="A2674" s="1901"/>
      <c r="B2674" s="2069" t="s">
        <v>2847</v>
      </c>
      <c r="C2674" s="2070"/>
      <c r="D2674" s="2071"/>
      <c r="E2674" s="2072">
        <v>2</v>
      </c>
      <c r="F2674" s="2073" t="s">
        <v>723</v>
      </c>
      <c r="G2674" s="1853"/>
      <c r="H2674" s="2074"/>
      <c r="I2674" s="1855"/>
      <c r="J2674" s="2073"/>
      <c r="K2674" s="2075"/>
      <c r="L2674" s="2076"/>
      <c r="M2674" s="2059"/>
      <c r="O2674" s="1863"/>
      <c r="P2674" s="2077"/>
      <c r="Q2674" s="2077"/>
    </row>
    <row r="2675" spans="1:17" ht="22.15" customHeight="1">
      <c r="A2675" s="1901"/>
      <c r="B2675" s="2078" t="s">
        <v>425</v>
      </c>
      <c r="C2675" s="2070" t="s">
        <v>724</v>
      </c>
      <c r="D2675" s="2071"/>
      <c r="E2675" s="2079">
        <v>18</v>
      </c>
      <c r="F2675" s="2073" t="s">
        <v>240</v>
      </c>
      <c r="G2675" s="1853">
        <v>1430</v>
      </c>
      <c r="H2675" s="2074">
        <f t="shared" ref="H2675:H2680" si="1216">G2675*E2675</f>
        <v>25740</v>
      </c>
      <c r="I2675" s="1855">
        <v>450</v>
      </c>
      <c r="J2675" s="2073">
        <f t="shared" ref="J2675:J2680" si="1217">I2675*E2675</f>
        <v>8100</v>
      </c>
      <c r="K2675" s="2075">
        <f t="shared" ref="K2675:K2680" si="1218">H2675+J2675</f>
        <v>33840</v>
      </c>
      <c r="L2675" s="2076"/>
      <c r="M2675" s="2059"/>
      <c r="O2675" s="1863"/>
      <c r="P2675" s="2077"/>
      <c r="Q2675" s="2077"/>
    </row>
    <row r="2676" spans="1:17" ht="22.15" customHeight="1">
      <c r="A2676" s="1901"/>
      <c r="B2676" s="2078" t="s">
        <v>425</v>
      </c>
      <c r="C2676" s="2070" t="s">
        <v>2822</v>
      </c>
      <c r="D2676" s="2071"/>
      <c r="E2676" s="2079">
        <v>18</v>
      </c>
      <c r="F2676" s="2073" t="s">
        <v>240</v>
      </c>
      <c r="G2676" s="1853">
        <v>6225</v>
      </c>
      <c r="H2676" s="2074">
        <f t="shared" si="1216"/>
        <v>112050</v>
      </c>
      <c r="I2676" s="1855">
        <v>200</v>
      </c>
      <c r="J2676" s="2073">
        <f t="shared" si="1217"/>
        <v>3600</v>
      </c>
      <c r="K2676" s="2075">
        <f t="shared" si="1218"/>
        <v>115650</v>
      </c>
      <c r="L2676" s="2076"/>
      <c r="M2676" s="2059"/>
      <c r="O2676" s="1863"/>
      <c r="P2676" s="2077"/>
      <c r="Q2676" s="2077"/>
    </row>
    <row r="2677" spans="1:17" ht="22.15" customHeight="1">
      <c r="A2677" s="1901"/>
      <c r="B2677" s="2078" t="s">
        <v>425</v>
      </c>
      <c r="C2677" s="2070" t="s">
        <v>2823</v>
      </c>
      <c r="D2677" s="2071"/>
      <c r="E2677" s="2079">
        <v>18</v>
      </c>
      <c r="F2677" s="2073" t="s">
        <v>240</v>
      </c>
      <c r="G2677" s="1853">
        <v>315</v>
      </c>
      <c r="H2677" s="2074">
        <f t="shared" si="1216"/>
        <v>5670</v>
      </c>
      <c r="I2677" s="1855">
        <v>0</v>
      </c>
      <c r="J2677" s="2073">
        <f t="shared" si="1217"/>
        <v>0</v>
      </c>
      <c r="K2677" s="2075">
        <f t="shared" si="1218"/>
        <v>5670</v>
      </c>
      <c r="L2677" s="2076"/>
      <c r="M2677" s="2059"/>
      <c r="O2677" s="1863"/>
      <c r="P2677" s="2077"/>
      <c r="Q2677" s="2077"/>
    </row>
    <row r="2678" spans="1:17" ht="22.15" customHeight="1">
      <c r="A2678" s="1901"/>
      <c r="B2678" s="2078" t="s">
        <v>425</v>
      </c>
      <c r="C2678" s="2070" t="s">
        <v>2824</v>
      </c>
      <c r="D2678" s="2071"/>
      <c r="E2678" s="2079">
        <v>18</v>
      </c>
      <c r="F2678" s="2073" t="s">
        <v>240</v>
      </c>
      <c r="G2678" s="1853">
        <v>690</v>
      </c>
      <c r="H2678" s="2074">
        <f t="shared" si="1216"/>
        <v>12420</v>
      </c>
      <c r="I2678" s="1855">
        <v>0</v>
      </c>
      <c r="J2678" s="2073">
        <f t="shared" si="1217"/>
        <v>0</v>
      </c>
      <c r="K2678" s="2075">
        <f t="shared" si="1218"/>
        <v>12420</v>
      </c>
      <c r="L2678" s="2076"/>
      <c r="M2678" s="2059"/>
      <c r="O2678" s="1863"/>
      <c r="P2678" s="2077"/>
      <c r="Q2678" s="2077"/>
    </row>
    <row r="2679" spans="1:17" ht="22.15" customHeight="1">
      <c r="A2679" s="1901"/>
      <c r="B2679" s="2078" t="s">
        <v>425</v>
      </c>
      <c r="C2679" s="2070" t="s">
        <v>739</v>
      </c>
      <c r="D2679" s="2071"/>
      <c r="E2679" s="2079">
        <v>18</v>
      </c>
      <c r="F2679" s="2073" t="s">
        <v>240</v>
      </c>
      <c r="G2679" s="1853">
        <v>165</v>
      </c>
      <c r="H2679" s="2074">
        <f t="shared" si="1216"/>
        <v>2970</v>
      </c>
      <c r="I2679" s="1855">
        <v>0</v>
      </c>
      <c r="J2679" s="2073">
        <f t="shared" si="1217"/>
        <v>0</v>
      </c>
      <c r="K2679" s="2075">
        <f t="shared" si="1218"/>
        <v>2970</v>
      </c>
      <c r="L2679" s="2076"/>
      <c r="M2679" s="2059"/>
      <c r="O2679" s="1863"/>
      <c r="P2679" s="2077"/>
      <c r="Q2679" s="2077"/>
    </row>
    <row r="2680" spans="1:17" ht="22.15" customHeight="1">
      <c r="A2680" s="1901"/>
      <c r="B2680" s="2078" t="s">
        <v>425</v>
      </c>
      <c r="C2680" s="2070" t="s">
        <v>2826</v>
      </c>
      <c r="D2680" s="2071"/>
      <c r="E2680" s="2079">
        <v>18</v>
      </c>
      <c r="F2680" s="2073" t="s">
        <v>240</v>
      </c>
      <c r="G2680" s="1853">
        <v>202.5</v>
      </c>
      <c r="H2680" s="2074">
        <f t="shared" si="1216"/>
        <v>3645</v>
      </c>
      <c r="I2680" s="1855">
        <v>35</v>
      </c>
      <c r="J2680" s="2073">
        <f t="shared" si="1217"/>
        <v>630</v>
      </c>
      <c r="K2680" s="2075">
        <f t="shared" si="1218"/>
        <v>4275</v>
      </c>
      <c r="L2680" s="2076"/>
      <c r="M2680" s="2059"/>
      <c r="O2680" s="1863"/>
      <c r="P2680" s="2077"/>
      <c r="Q2680" s="2077"/>
    </row>
    <row r="2681" spans="1:17" ht="22.15" customHeight="1">
      <c r="A2681" s="1901"/>
      <c r="B2681" s="2078"/>
      <c r="C2681" s="2070"/>
      <c r="D2681" s="2071"/>
      <c r="E2681" s="2079"/>
      <c r="F2681" s="2073"/>
      <c r="G2681" s="1853"/>
      <c r="H2681" s="2074"/>
      <c r="I2681" s="1855"/>
      <c r="J2681" s="2073"/>
      <c r="K2681" s="2075"/>
      <c r="L2681" s="2076"/>
      <c r="M2681" s="2059"/>
      <c r="O2681" s="1863"/>
      <c r="P2681" s="2077"/>
      <c r="Q2681" s="2077"/>
    </row>
    <row r="2682" spans="1:17" ht="22.15" customHeight="1">
      <c r="A2682" s="1901"/>
      <c r="B2682" s="2078" t="s">
        <v>425</v>
      </c>
      <c r="C2682" s="2070" t="s">
        <v>725</v>
      </c>
      <c r="D2682" s="2071"/>
      <c r="E2682" s="2079">
        <v>34</v>
      </c>
      <c r="F2682" s="2073" t="s">
        <v>240</v>
      </c>
      <c r="G2682" s="1853">
        <v>8723</v>
      </c>
      <c r="H2682" s="2074">
        <f t="shared" ref="H2682:H2684" si="1219">G2682*E2682</f>
        <v>296582</v>
      </c>
      <c r="I2682" s="1855">
        <v>450</v>
      </c>
      <c r="J2682" s="2073">
        <f t="shared" ref="J2682:J2684" si="1220">I2682*E2682</f>
        <v>15300</v>
      </c>
      <c r="K2682" s="2075">
        <f t="shared" ref="K2682:K2684" si="1221">H2682+J2682</f>
        <v>311882</v>
      </c>
      <c r="L2682" s="2076"/>
      <c r="M2682" s="2059"/>
      <c r="O2682" s="1863"/>
      <c r="P2682" s="2077"/>
      <c r="Q2682" s="2077"/>
    </row>
    <row r="2683" spans="1:17" ht="22.15" customHeight="1">
      <c r="A2683" s="1901"/>
      <c r="B2683" s="2078" t="s">
        <v>425</v>
      </c>
      <c r="C2683" s="2070" t="s">
        <v>726</v>
      </c>
      <c r="D2683" s="2071"/>
      <c r="E2683" s="2079">
        <v>34</v>
      </c>
      <c r="F2683" s="2073" t="s">
        <v>240</v>
      </c>
      <c r="G2683" s="1853">
        <v>2430</v>
      </c>
      <c r="H2683" s="2074">
        <f t="shared" si="1219"/>
        <v>82620</v>
      </c>
      <c r="I2683" s="1855">
        <v>0</v>
      </c>
      <c r="J2683" s="2073">
        <f t="shared" si="1220"/>
        <v>0</v>
      </c>
      <c r="K2683" s="2075">
        <f t="shared" si="1221"/>
        <v>82620</v>
      </c>
      <c r="L2683" s="2076"/>
      <c r="M2683" s="2059"/>
      <c r="O2683" s="1863"/>
      <c r="P2683" s="2077"/>
      <c r="Q2683" s="2077"/>
    </row>
    <row r="2684" spans="1:17" ht="22.15" customHeight="1">
      <c r="A2684" s="1901"/>
      <c r="B2684" s="2078" t="s">
        <v>425</v>
      </c>
      <c r="C2684" s="2070" t="s">
        <v>2826</v>
      </c>
      <c r="D2684" s="2071"/>
      <c r="E2684" s="2079">
        <v>34</v>
      </c>
      <c r="F2684" s="2073" t="s">
        <v>240</v>
      </c>
      <c r="G2684" s="1853">
        <v>202.5</v>
      </c>
      <c r="H2684" s="2074">
        <f t="shared" si="1219"/>
        <v>6885</v>
      </c>
      <c r="I2684" s="1855">
        <v>35</v>
      </c>
      <c r="J2684" s="2073">
        <f t="shared" si="1220"/>
        <v>1190</v>
      </c>
      <c r="K2684" s="2075">
        <f t="shared" si="1221"/>
        <v>8075</v>
      </c>
      <c r="L2684" s="2076"/>
      <c r="M2684" s="2059"/>
      <c r="O2684" s="1863"/>
      <c r="P2684" s="2077"/>
      <c r="Q2684" s="2077"/>
    </row>
    <row r="2685" spans="1:17" ht="22.15" customHeight="1">
      <c r="A2685" s="1901"/>
      <c r="B2685" s="2078"/>
      <c r="C2685" s="2070"/>
      <c r="D2685" s="2071"/>
      <c r="E2685" s="2079"/>
      <c r="F2685" s="2073"/>
      <c r="G2685" s="1853"/>
      <c r="H2685" s="2074"/>
      <c r="I2685" s="1855"/>
      <c r="J2685" s="2073"/>
      <c r="K2685" s="2075"/>
      <c r="L2685" s="2076"/>
      <c r="M2685" s="2059"/>
      <c r="O2685" s="1863"/>
      <c r="P2685" s="2077"/>
      <c r="Q2685" s="2077"/>
    </row>
    <row r="2686" spans="1:17" ht="22.15" customHeight="1">
      <c r="A2686" s="1901"/>
      <c r="B2686" s="2078" t="s">
        <v>425</v>
      </c>
      <c r="C2686" s="1755" t="s">
        <v>728</v>
      </c>
      <c r="D2686" s="2071"/>
      <c r="E2686" s="2079">
        <v>16</v>
      </c>
      <c r="F2686" s="2073" t="s">
        <v>240</v>
      </c>
      <c r="G2686" s="1853">
        <v>525</v>
      </c>
      <c r="H2686" s="2074">
        <f t="shared" ref="H2686:H2691" si="1222">G2686*E2686</f>
        <v>8400</v>
      </c>
      <c r="I2686" s="1855">
        <v>75</v>
      </c>
      <c r="J2686" s="2073">
        <f t="shared" ref="J2686:J2691" si="1223">I2686*E2686</f>
        <v>1200</v>
      </c>
      <c r="K2686" s="2075">
        <f t="shared" ref="K2686:K2691" si="1224">H2686+J2686</f>
        <v>9600</v>
      </c>
      <c r="L2686" s="2076"/>
      <c r="M2686" s="2059"/>
      <c r="O2686" s="1863"/>
      <c r="P2686" s="2077"/>
      <c r="Q2686" s="2077"/>
    </row>
    <row r="2687" spans="1:17" ht="22.15" customHeight="1">
      <c r="A2687" s="1901"/>
      <c r="B2687" s="2078" t="s">
        <v>425</v>
      </c>
      <c r="C2687" s="1755" t="s">
        <v>743</v>
      </c>
      <c r="D2687" s="2071"/>
      <c r="E2687" s="2079">
        <f>1*$E$2400</f>
        <v>1</v>
      </c>
      <c r="F2687" s="2073" t="s">
        <v>240</v>
      </c>
      <c r="G2687" s="1853">
        <v>517.5</v>
      </c>
      <c r="H2687" s="2074">
        <f t="shared" si="1222"/>
        <v>517.5</v>
      </c>
      <c r="I2687" s="1855">
        <v>25</v>
      </c>
      <c r="J2687" s="2073">
        <f t="shared" si="1223"/>
        <v>25</v>
      </c>
      <c r="K2687" s="2075">
        <f t="shared" si="1224"/>
        <v>542.5</v>
      </c>
      <c r="L2687" s="2076"/>
      <c r="M2687" s="2059"/>
      <c r="O2687" s="1863"/>
      <c r="P2687" s="2077"/>
      <c r="Q2687" s="2077"/>
    </row>
    <row r="2688" spans="1:17" ht="22.15" customHeight="1">
      <c r="A2688" s="1901"/>
      <c r="B2688" s="2078" t="s">
        <v>425</v>
      </c>
      <c r="C2688" s="1755" t="s">
        <v>729</v>
      </c>
      <c r="D2688" s="2071"/>
      <c r="E2688" s="2079">
        <f>E2682</f>
        <v>34</v>
      </c>
      <c r="F2688" s="2073" t="s">
        <v>240</v>
      </c>
      <c r="G2688" s="2082">
        <v>13500</v>
      </c>
      <c r="H2688" s="2074">
        <f t="shared" si="1222"/>
        <v>459000</v>
      </c>
      <c r="I2688" s="1855">
        <v>750</v>
      </c>
      <c r="J2688" s="2073">
        <f t="shared" si="1223"/>
        <v>25500</v>
      </c>
      <c r="K2688" s="2075">
        <f t="shared" si="1224"/>
        <v>484500</v>
      </c>
      <c r="L2688" s="2076"/>
      <c r="M2688" s="2059"/>
      <c r="O2688" s="1863"/>
      <c r="P2688" s="2077"/>
      <c r="Q2688" s="2077"/>
    </row>
    <row r="2689" spans="1:17" ht="22.15" customHeight="1">
      <c r="A2689" s="1901"/>
      <c r="B2689" s="2078" t="s">
        <v>425</v>
      </c>
      <c r="C2689" s="1755" t="s">
        <v>730</v>
      </c>
      <c r="D2689" s="2071"/>
      <c r="E2689" s="2079">
        <v>2</v>
      </c>
      <c r="F2689" s="2073" t="s">
        <v>240</v>
      </c>
      <c r="G2689" s="2080">
        <v>1320</v>
      </c>
      <c r="H2689" s="2074">
        <f t="shared" si="1222"/>
        <v>2640</v>
      </c>
      <c r="I2689" s="1855">
        <v>70</v>
      </c>
      <c r="J2689" s="2073">
        <f t="shared" si="1223"/>
        <v>140</v>
      </c>
      <c r="K2689" s="2075">
        <f t="shared" si="1224"/>
        <v>2780</v>
      </c>
      <c r="L2689" s="2076"/>
      <c r="M2689" s="2059"/>
      <c r="O2689" s="1863"/>
      <c r="P2689" s="2077"/>
      <c r="Q2689" s="2077"/>
    </row>
    <row r="2690" spans="1:17" ht="22.15" customHeight="1">
      <c r="A2690" s="1901"/>
      <c r="B2690" s="2078" t="s">
        <v>425</v>
      </c>
      <c r="C2690" s="1755" t="s">
        <v>752</v>
      </c>
      <c r="D2690" s="2071"/>
      <c r="E2690" s="2079">
        <v>2</v>
      </c>
      <c r="F2690" s="2073" t="s">
        <v>240</v>
      </c>
      <c r="G2690" s="2080">
        <v>4100</v>
      </c>
      <c r="H2690" s="1788">
        <f t="shared" si="1222"/>
        <v>8200</v>
      </c>
      <c r="I2690" s="2083">
        <v>200</v>
      </c>
      <c r="J2690" s="1808">
        <f t="shared" si="1223"/>
        <v>400</v>
      </c>
      <c r="K2690" s="1897">
        <f t="shared" si="1224"/>
        <v>8600</v>
      </c>
      <c r="L2690" s="2076"/>
      <c r="M2690" s="2059"/>
      <c r="O2690" s="1863"/>
      <c r="P2690" s="2077"/>
      <c r="Q2690" s="2077"/>
    </row>
    <row r="2691" spans="1:17" ht="22.15" customHeight="1">
      <c r="A2691" s="1901"/>
      <c r="B2691" s="2078" t="s">
        <v>425</v>
      </c>
      <c r="C2691" s="1755" t="s">
        <v>2828</v>
      </c>
      <c r="D2691" s="2071"/>
      <c r="E2691" s="2079">
        <v>4</v>
      </c>
      <c r="F2691" s="2073" t="s">
        <v>240</v>
      </c>
      <c r="G2691" s="2080">
        <v>2835</v>
      </c>
      <c r="H2691" s="2074">
        <f t="shared" si="1222"/>
        <v>11340</v>
      </c>
      <c r="I2691" s="1855">
        <v>105</v>
      </c>
      <c r="J2691" s="2073">
        <f t="shared" si="1223"/>
        <v>420</v>
      </c>
      <c r="K2691" s="2075">
        <f t="shared" si="1224"/>
        <v>11760</v>
      </c>
      <c r="L2691" s="2076"/>
      <c r="M2691" s="2059"/>
      <c r="O2691" s="1863"/>
      <c r="P2691" s="2077"/>
      <c r="Q2691" s="2077"/>
    </row>
    <row r="2692" spans="1:17" ht="22.15" customHeight="1">
      <c r="A2692" s="1901"/>
      <c r="B2692" s="2078"/>
      <c r="C2692" s="1755"/>
      <c r="D2692" s="2071"/>
      <c r="E2692" s="2079"/>
      <c r="F2692" s="2073"/>
      <c r="G2692" s="2080"/>
      <c r="H2692" s="2074"/>
      <c r="I2692" s="1855"/>
      <c r="J2692" s="2073"/>
      <c r="K2692" s="2075"/>
      <c r="L2692" s="2076"/>
      <c r="M2692" s="2059"/>
      <c r="O2692" s="1863"/>
      <c r="P2692" s="2077"/>
      <c r="Q2692" s="2077"/>
    </row>
    <row r="2693" spans="1:17" ht="22.15" customHeight="1">
      <c r="A2693" s="1901"/>
      <c r="B2693" s="2078" t="s">
        <v>425</v>
      </c>
      <c r="C2693" s="2070" t="s">
        <v>732</v>
      </c>
      <c r="D2693" s="2071"/>
      <c r="E2693" s="1808">
        <f>7.3*2</f>
        <v>14.6</v>
      </c>
      <c r="F2693" s="2073" t="s">
        <v>616</v>
      </c>
      <c r="G2693" s="2084">
        <v>3886</v>
      </c>
      <c r="H2693" s="2085">
        <f t="shared" ref="H2693:H2697" si="1225">G2693*E2693</f>
        <v>56735.6</v>
      </c>
      <c r="I2693" s="1904">
        <v>1238</v>
      </c>
      <c r="J2693" s="2086">
        <f t="shared" ref="J2693:J2697" si="1226">I2693*E2693</f>
        <v>18074.8</v>
      </c>
      <c r="K2693" s="2087">
        <f t="shared" ref="K2693:K2697" si="1227">H2693+J2693</f>
        <v>74810.399999999994</v>
      </c>
      <c r="L2693" s="2076"/>
      <c r="M2693" s="2059"/>
      <c r="O2693" s="1863"/>
      <c r="P2693" s="2077"/>
      <c r="Q2693" s="2077"/>
    </row>
    <row r="2694" spans="1:17" ht="22.15" customHeight="1">
      <c r="A2694" s="1901"/>
      <c r="B2694" s="2078" t="s">
        <v>425</v>
      </c>
      <c r="C2694" s="2070" t="s">
        <v>734</v>
      </c>
      <c r="D2694" s="2071"/>
      <c r="E2694" s="1808">
        <f>15.3*2</f>
        <v>30.6</v>
      </c>
      <c r="F2694" s="2073" t="s">
        <v>616</v>
      </c>
      <c r="G2694" s="2084">
        <v>1522</v>
      </c>
      <c r="H2694" s="2085">
        <f t="shared" si="1225"/>
        <v>46573.200000000004</v>
      </c>
      <c r="I2694" s="2088">
        <v>315</v>
      </c>
      <c r="J2694" s="2086">
        <f t="shared" si="1226"/>
        <v>9639</v>
      </c>
      <c r="K2694" s="2087">
        <f t="shared" si="1227"/>
        <v>56212.200000000004</v>
      </c>
      <c r="L2694" s="2076"/>
      <c r="M2694" s="2059"/>
      <c r="O2694" s="1863"/>
      <c r="P2694" s="2077"/>
      <c r="Q2694" s="2077"/>
    </row>
    <row r="2695" spans="1:17" ht="22.15" customHeight="1">
      <c r="A2695" s="1901"/>
      <c r="B2695" s="2078" t="s">
        <v>425</v>
      </c>
      <c r="C2695" s="2070" t="s">
        <v>746</v>
      </c>
      <c r="D2695" s="2071"/>
      <c r="E2695" s="1808">
        <f>2.4*2</f>
        <v>4.8</v>
      </c>
      <c r="F2695" s="2073" t="s">
        <v>616</v>
      </c>
      <c r="G2695" s="2080">
        <v>750</v>
      </c>
      <c r="H2695" s="1788">
        <f t="shared" si="1225"/>
        <v>3600</v>
      </c>
      <c r="I2695" s="2083">
        <v>45</v>
      </c>
      <c r="J2695" s="1808">
        <f t="shared" si="1226"/>
        <v>216</v>
      </c>
      <c r="K2695" s="1897">
        <f t="shared" si="1227"/>
        <v>3816</v>
      </c>
      <c r="L2695" s="2076"/>
      <c r="M2695" s="2059"/>
      <c r="O2695" s="1863"/>
      <c r="P2695" s="2077"/>
      <c r="Q2695" s="2077"/>
    </row>
    <row r="2696" spans="1:17" ht="22.15" customHeight="1">
      <c r="A2696" s="1901"/>
      <c r="B2696" s="2078" t="s">
        <v>425</v>
      </c>
      <c r="C2696" s="2070" t="s">
        <v>747</v>
      </c>
      <c r="D2696" s="2071"/>
      <c r="E2696" s="1808">
        <f>5.6*2</f>
        <v>11.2</v>
      </c>
      <c r="F2696" s="2073" t="s">
        <v>616</v>
      </c>
      <c r="G2696" s="2080">
        <v>60</v>
      </c>
      <c r="H2696" s="1788">
        <f t="shared" si="1225"/>
        <v>672</v>
      </c>
      <c r="I2696" s="2083">
        <v>45</v>
      </c>
      <c r="J2696" s="1808">
        <f t="shared" si="1226"/>
        <v>503.99999999999994</v>
      </c>
      <c r="K2696" s="1897">
        <f t="shared" si="1227"/>
        <v>1176</v>
      </c>
      <c r="L2696" s="1791"/>
      <c r="M2696" s="1809"/>
      <c r="O2696" s="1863"/>
      <c r="P2696" s="2077"/>
      <c r="Q2696" s="2077"/>
    </row>
    <row r="2697" spans="1:17" ht="22.15" customHeight="1">
      <c r="A2697" s="1901"/>
      <c r="B2697" s="2078" t="s">
        <v>425</v>
      </c>
      <c r="C2697" s="2070" t="s">
        <v>2830</v>
      </c>
      <c r="D2697" s="2071"/>
      <c r="E2697" s="1808">
        <f>E2693</f>
        <v>14.6</v>
      </c>
      <c r="F2697" s="2073" t="s">
        <v>616</v>
      </c>
      <c r="G2697" s="2084">
        <v>2694</v>
      </c>
      <c r="H2697" s="2085">
        <f t="shared" si="1225"/>
        <v>39332.400000000001</v>
      </c>
      <c r="I2697" s="1904">
        <v>1288</v>
      </c>
      <c r="J2697" s="2086">
        <f t="shared" si="1226"/>
        <v>18804.8</v>
      </c>
      <c r="K2697" s="2087">
        <f t="shared" si="1227"/>
        <v>58137.2</v>
      </c>
      <c r="L2697" s="2076"/>
      <c r="M2697" s="2059"/>
      <c r="O2697" s="1863"/>
      <c r="P2697" s="2077"/>
      <c r="Q2697" s="2077"/>
    </row>
    <row r="2698" spans="1:17" ht="22.15" customHeight="1">
      <c r="A2698" s="1901"/>
      <c r="B2698" s="2078"/>
      <c r="C2698" s="2070" t="s">
        <v>737</v>
      </c>
      <c r="D2698" s="2071"/>
      <c r="E2698" s="2079"/>
      <c r="F2698" s="2073"/>
      <c r="G2698" s="2080"/>
      <c r="H2698" s="2074"/>
      <c r="I2698" s="1855"/>
      <c r="J2698" s="2073"/>
      <c r="K2698" s="2075"/>
      <c r="L2698" s="2076"/>
      <c r="M2698" s="2059"/>
      <c r="O2698" s="1863"/>
      <c r="P2698" s="2077"/>
      <c r="Q2698" s="2077"/>
    </row>
    <row r="2699" spans="1:17" ht="22.15" customHeight="1">
      <c r="A2699" s="1901"/>
      <c r="B2699" s="2078" t="s">
        <v>425</v>
      </c>
      <c r="C2699" s="2070" t="s">
        <v>2831</v>
      </c>
      <c r="D2699" s="2071"/>
      <c r="E2699" s="2079">
        <v>2</v>
      </c>
      <c r="F2699" s="2073" t="s">
        <v>240</v>
      </c>
      <c r="G2699" s="1853">
        <v>8300</v>
      </c>
      <c r="H2699" s="2074">
        <f t="shared" ref="H2699" si="1228">G2699*E2699</f>
        <v>16600</v>
      </c>
      <c r="I2699" s="1855">
        <v>2490</v>
      </c>
      <c r="J2699" s="2073">
        <f>I2699*E2699</f>
        <v>4980</v>
      </c>
      <c r="K2699" s="2075">
        <f t="shared" ref="K2699" si="1229">H2699+J2699</f>
        <v>21580</v>
      </c>
      <c r="L2699" s="2076"/>
      <c r="M2699" s="2059"/>
      <c r="O2699" s="1863"/>
      <c r="P2699" s="2077"/>
      <c r="Q2699" s="2077"/>
    </row>
    <row r="2700" spans="1:17" ht="22.15" customHeight="1">
      <c r="A2700" s="1901"/>
      <c r="B2700" s="2078"/>
      <c r="C2700" s="2070" t="s">
        <v>738</v>
      </c>
      <c r="D2700" s="2071"/>
      <c r="E2700" s="2079"/>
      <c r="F2700" s="2073"/>
      <c r="G2700" s="2080"/>
      <c r="H2700" s="2074"/>
      <c r="I2700" s="1855"/>
      <c r="J2700" s="2073"/>
      <c r="K2700" s="2075"/>
      <c r="L2700" s="2076"/>
      <c r="M2700" s="2059"/>
      <c r="O2700" s="1863"/>
      <c r="P2700" s="2077"/>
      <c r="Q2700" s="2077"/>
    </row>
    <row r="2701" spans="1:17" ht="22.15" customHeight="1">
      <c r="A2701" s="1901"/>
      <c r="B2701" s="2078"/>
      <c r="C2701" s="2070"/>
      <c r="D2701" s="2071"/>
      <c r="E2701" s="2079"/>
      <c r="F2701" s="2073"/>
      <c r="G2701" s="2080"/>
      <c r="H2701" s="2074"/>
      <c r="I2701" s="1855"/>
      <c r="J2701" s="2073"/>
      <c r="K2701" s="2075"/>
      <c r="L2701" s="2076"/>
      <c r="M2701" s="2059"/>
      <c r="O2701" s="1863"/>
      <c r="P2701" s="2077"/>
      <c r="Q2701" s="2077"/>
    </row>
    <row r="2702" spans="1:17" ht="22.15" customHeight="1">
      <c r="A2702" s="1901"/>
      <c r="B2702" s="2078"/>
      <c r="C2702" s="2070"/>
      <c r="D2702" s="2071"/>
      <c r="E2702" s="2079"/>
      <c r="F2702" s="2073"/>
      <c r="G2702" s="2080"/>
      <c r="H2702" s="2074"/>
      <c r="I2702" s="1855"/>
      <c r="J2702" s="2073"/>
      <c r="K2702" s="2075"/>
      <c r="L2702" s="2076"/>
      <c r="M2702" s="2059"/>
      <c r="O2702" s="1863"/>
      <c r="P2702" s="2077"/>
      <c r="Q2702" s="2077"/>
    </row>
    <row r="2703" spans="1:17" ht="22.15" customHeight="1">
      <c r="A2703" s="1901"/>
      <c r="B2703" s="2069" t="s">
        <v>2848</v>
      </c>
      <c r="C2703" s="2070"/>
      <c r="D2703" s="2071"/>
      <c r="E2703" s="2072">
        <v>2</v>
      </c>
      <c r="F2703" s="2073" t="s">
        <v>723</v>
      </c>
      <c r="G2703" s="1853"/>
      <c r="H2703" s="2074"/>
      <c r="I2703" s="1855"/>
      <c r="J2703" s="2073"/>
      <c r="K2703" s="2075"/>
      <c r="L2703" s="2076"/>
      <c r="M2703" s="2059"/>
      <c r="O2703" s="1863"/>
      <c r="P2703" s="2077"/>
      <c r="Q2703" s="2077"/>
    </row>
    <row r="2704" spans="1:17" ht="22.15" customHeight="1">
      <c r="A2704" s="1901"/>
      <c r="B2704" s="2078" t="s">
        <v>425</v>
      </c>
      <c r="C2704" s="2070" t="s">
        <v>740</v>
      </c>
      <c r="D2704" s="2071"/>
      <c r="E2704" s="2079">
        <v>2</v>
      </c>
      <c r="F2704" s="2073" t="s">
        <v>240</v>
      </c>
      <c r="G2704" s="1853">
        <v>6344</v>
      </c>
      <c r="H2704" s="2074">
        <f t="shared" ref="H2704:H2709" si="1230">G2704*E2704</f>
        <v>12688</v>
      </c>
      <c r="I2704" s="1855">
        <v>450</v>
      </c>
      <c r="J2704" s="2073">
        <f t="shared" ref="J2704:J2709" si="1231">I2704*E2704</f>
        <v>900</v>
      </c>
      <c r="K2704" s="2075">
        <f t="shared" ref="K2704:K2709" si="1232">H2704+J2704</f>
        <v>13588</v>
      </c>
      <c r="L2704" s="2076"/>
      <c r="M2704" s="2059"/>
      <c r="O2704" s="1863"/>
      <c r="P2704" s="2077"/>
      <c r="Q2704" s="2077"/>
    </row>
    <row r="2705" spans="1:17" ht="22.15" customHeight="1">
      <c r="A2705" s="1901"/>
      <c r="B2705" s="2078" t="s">
        <v>425</v>
      </c>
      <c r="C2705" s="2070" t="s">
        <v>2822</v>
      </c>
      <c r="D2705" s="2071"/>
      <c r="E2705" s="2079">
        <v>2</v>
      </c>
      <c r="F2705" s="2073" t="s">
        <v>240</v>
      </c>
      <c r="G2705" s="1853">
        <v>6225</v>
      </c>
      <c r="H2705" s="2074">
        <f t="shared" si="1230"/>
        <v>12450</v>
      </c>
      <c r="I2705" s="1855">
        <v>200</v>
      </c>
      <c r="J2705" s="2073">
        <f t="shared" si="1231"/>
        <v>400</v>
      </c>
      <c r="K2705" s="2075">
        <f t="shared" si="1232"/>
        <v>12850</v>
      </c>
      <c r="L2705" s="2076"/>
      <c r="M2705" s="2059"/>
      <c r="O2705" s="1863"/>
      <c r="P2705" s="2077"/>
      <c r="Q2705" s="2077"/>
    </row>
    <row r="2706" spans="1:17" ht="22.15" customHeight="1">
      <c r="A2706" s="1901"/>
      <c r="B2706" s="2078" t="s">
        <v>425</v>
      </c>
      <c r="C2706" s="2070" t="s">
        <v>2823</v>
      </c>
      <c r="D2706" s="2071"/>
      <c r="E2706" s="2079">
        <v>2</v>
      </c>
      <c r="F2706" s="2073" t="s">
        <v>240</v>
      </c>
      <c r="G2706" s="1853">
        <v>315</v>
      </c>
      <c r="H2706" s="2074">
        <f t="shared" si="1230"/>
        <v>630</v>
      </c>
      <c r="I2706" s="1855">
        <v>0</v>
      </c>
      <c r="J2706" s="2073">
        <f t="shared" si="1231"/>
        <v>0</v>
      </c>
      <c r="K2706" s="2075">
        <f t="shared" si="1232"/>
        <v>630</v>
      </c>
      <c r="L2706" s="2076"/>
      <c r="M2706" s="2059"/>
      <c r="O2706" s="1863"/>
      <c r="P2706" s="2077"/>
      <c r="Q2706" s="2077"/>
    </row>
    <row r="2707" spans="1:17" ht="22.15" customHeight="1">
      <c r="A2707" s="1901"/>
      <c r="B2707" s="2078" t="s">
        <v>425</v>
      </c>
      <c r="C2707" s="2070" t="s">
        <v>2824</v>
      </c>
      <c r="D2707" s="2071"/>
      <c r="E2707" s="2079">
        <v>2</v>
      </c>
      <c r="F2707" s="2073" t="s">
        <v>240</v>
      </c>
      <c r="G2707" s="1853">
        <v>690</v>
      </c>
      <c r="H2707" s="2074">
        <f t="shared" si="1230"/>
        <v>1380</v>
      </c>
      <c r="I2707" s="1855">
        <v>0</v>
      </c>
      <c r="J2707" s="2073">
        <f t="shared" si="1231"/>
        <v>0</v>
      </c>
      <c r="K2707" s="2075">
        <f t="shared" si="1232"/>
        <v>1380</v>
      </c>
      <c r="L2707" s="2076"/>
      <c r="M2707" s="2059"/>
      <c r="O2707" s="1863"/>
      <c r="P2707" s="2077"/>
      <c r="Q2707" s="2077"/>
    </row>
    <row r="2708" spans="1:17" ht="22.15" customHeight="1">
      <c r="A2708" s="1901"/>
      <c r="B2708" s="2078" t="s">
        <v>425</v>
      </c>
      <c r="C2708" s="2070" t="s">
        <v>2825</v>
      </c>
      <c r="D2708" s="2071"/>
      <c r="E2708" s="2079">
        <v>2</v>
      </c>
      <c r="F2708" s="2073" t="s">
        <v>240</v>
      </c>
      <c r="G2708" s="1853">
        <v>165</v>
      </c>
      <c r="H2708" s="2074">
        <f t="shared" si="1230"/>
        <v>330</v>
      </c>
      <c r="I2708" s="1855">
        <v>0</v>
      </c>
      <c r="J2708" s="2073">
        <f t="shared" si="1231"/>
        <v>0</v>
      </c>
      <c r="K2708" s="2075">
        <f t="shared" si="1232"/>
        <v>330</v>
      </c>
      <c r="L2708" s="2076"/>
      <c r="M2708" s="2059"/>
      <c r="O2708" s="1863"/>
      <c r="P2708" s="2077"/>
      <c r="Q2708" s="2077"/>
    </row>
    <row r="2709" spans="1:17" ht="22.15" customHeight="1">
      <c r="A2709" s="1901"/>
      <c r="B2709" s="2078" t="s">
        <v>425</v>
      </c>
      <c r="C2709" s="2070" t="s">
        <v>2826</v>
      </c>
      <c r="D2709" s="2071"/>
      <c r="E2709" s="2079">
        <v>2</v>
      </c>
      <c r="F2709" s="2073" t="s">
        <v>240</v>
      </c>
      <c r="G2709" s="1853">
        <v>202.5</v>
      </c>
      <c r="H2709" s="2074">
        <f t="shared" si="1230"/>
        <v>405</v>
      </c>
      <c r="I2709" s="1855">
        <v>35</v>
      </c>
      <c r="J2709" s="2073">
        <f t="shared" si="1231"/>
        <v>70</v>
      </c>
      <c r="K2709" s="2075">
        <f t="shared" si="1232"/>
        <v>475</v>
      </c>
      <c r="L2709" s="2076"/>
      <c r="M2709" s="2059"/>
      <c r="O2709" s="1863"/>
      <c r="P2709" s="2077"/>
      <c r="Q2709" s="2077"/>
    </row>
    <row r="2710" spans="1:17" ht="22.15" customHeight="1">
      <c r="A2710" s="1901"/>
      <c r="B2710" s="2078"/>
      <c r="C2710" s="2070"/>
      <c r="D2710" s="2071"/>
      <c r="E2710" s="2079"/>
      <c r="F2710" s="2073"/>
      <c r="G2710" s="1853"/>
      <c r="H2710" s="2074"/>
      <c r="I2710" s="1855"/>
      <c r="J2710" s="2073"/>
      <c r="K2710" s="2075"/>
      <c r="L2710" s="2076"/>
      <c r="M2710" s="2059"/>
      <c r="O2710" s="1863"/>
      <c r="P2710" s="2077"/>
      <c r="Q2710" s="2077"/>
    </row>
    <row r="2711" spans="1:17" ht="22.15" customHeight="1">
      <c r="A2711" s="1901"/>
      <c r="B2711" s="2078" t="s">
        <v>425</v>
      </c>
      <c r="C2711" s="1755" t="s">
        <v>2834</v>
      </c>
      <c r="D2711" s="2071"/>
      <c r="E2711" s="2079">
        <v>2</v>
      </c>
      <c r="F2711" s="2073" t="s">
        <v>240</v>
      </c>
      <c r="G2711" s="1853">
        <v>6110</v>
      </c>
      <c r="H2711" s="2074">
        <f t="shared" ref="H2711:H2714" si="1233">G2711*E2711</f>
        <v>12220</v>
      </c>
      <c r="I2711" s="1855">
        <v>450</v>
      </c>
      <c r="J2711" s="2073">
        <f t="shared" ref="J2711:J2714" si="1234">I2711*E2711</f>
        <v>900</v>
      </c>
      <c r="K2711" s="2075">
        <f t="shared" ref="K2711:K2714" si="1235">H2711+J2711</f>
        <v>13120</v>
      </c>
      <c r="L2711" s="2076"/>
      <c r="M2711" s="2059"/>
      <c r="O2711" s="1863"/>
      <c r="P2711" s="2077"/>
      <c r="Q2711" s="2077"/>
    </row>
    <row r="2712" spans="1:17" ht="22.15" customHeight="1">
      <c r="A2712" s="1901"/>
      <c r="B2712" s="2078" t="s">
        <v>425</v>
      </c>
      <c r="C2712" s="1755" t="s">
        <v>2825</v>
      </c>
      <c r="D2712" s="2071"/>
      <c r="E2712" s="2079">
        <v>2</v>
      </c>
      <c r="F2712" s="2073" t="s">
        <v>240</v>
      </c>
      <c r="G2712" s="1853">
        <v>165</v>
      </c>
      <c r="H2712" s="2074">
        <f t="shared" si="1233"/>
        <v>330</v>
      </c>
      <c r="I2712" s="1855">
        <v>0</v>
      </c>
      <c r="J2712" s="2073">
        <f t="shared" si="1234"/>
        <v>0</v>
      </c>
      <c r="K2712" s="2075">
        <f t="shared" si="1235"/>
        <v>330</v>
      </c>
      <c r="L2712" s="2076"/>
      <c r="M2712" s="2059"/>
      <c r="O2712" s="1863"/>
      <c r="P2712" s="2077"/>
      <c r="Q2712" s="2077"/>
    </row>
    <row r="2713" spans="1:17" ht="22.15" customHeight="1">
      <c r="A2713" s="1901"/>
      <c r="B2713" s="2078" t="s">
        <v>425</v>
      </c>
      <c r="C2713" s="1755" t="s">
        <v>2835</v>
      </c>
      <c r="D2713" s="2071"/>
      <c r="E2713" s="2079">
        <v>2</v>
      </c>
      <c r="F2713" s="2073" t="s">
        <v>240</v>
      </c>
      <c r="G2713" s="1853">
        <v>525</v>
      </c>
      <c r="H2713" s="2074">
        <f t="shared" si="1233"/>
        <v>1050</v>
      </c>
      <c r="I2713" s="1855">
        <v>35</v>
      </c>
      <c r="J2713" s="2073">
        <f t="shared" si="1234"/>
        <v>70</v>
      </c>
      <c r="K2713" s="2075">
        <f t="shared" si="1235"/>
        <v>1120</v>
      </c>
      <c r="L2713" s="2076"/>
      <c r="M2713" s="2059"/>
      <c r="O2713" s="1863"/>
      <c r="P2713" s="2077"/>
      <c r="Q2713" s="2077"/>
    </row>
    <row r="2714" spans="1:17" ht="22.15" customHeight="1">
      <c r="A2714" s="1901"/>
      <c r="B2714" s="2078" t="s">
        <v>425</v>
      </c>
      <c r="C2714" s="1755" t="s">
        <v>2826</v>
      </c>
      <c r="D2714" s="2071"/>
      <c r="E2714" s="2079">
        <v>4</v>
      </c>
      <c r="F2714" s="2073" t="s">
        <v>240</v>
      </c>
      <c r="G2714" s="2080">
        <v>202.5</v>
      </c>
      <c r="H2714" s="2074">
        <f t="shared" si="1233"/>
        <v>810</v>
      </c>
      <c r="I2714" s="1855">
        <v>35</v>
      </c>
      <c r="J2714" s="2073">
        <f t="shared" si="1234"/>
        <v>140</v>
      </c>
      <c r="K2714" s="2075">
        <f t="shared" si="1235"/>
        <v>950</v>
      </c>
      <c r="L2714" s="2076"/>
      <c r="M2714" s="2059"/>
      <c r="O2714" s="1863"/>
      <c r="P2714" s="2077"/>
      <c r="Q2714" s="2077"/>
    </row>
    <row r="2715" spans="1:17" ht="22.15" customHeight="1">
      <c r="A2715" s="1901"/>
      <c r="B2715" s="2078"/>
      <c r="C2715" s="1755"/>
      <c r="D2715" s="2071"/>
      <c r="E2715" s="2079"/>
      <c r="F2715" s="2073"/>
      <c r="G2715" s="1853"/>
      <c r="H2715" s="2074"/>
      <c r="I2715" s="1855"/>
      <c r="J2715" s="2073"/>
      <c r="K2715" s="2075"/>
      <c r="L2715" s="2076"/>
      <c r="M2715" s="2059"/>
      <c r="O2715" s="1863"/>
      <c r="P2715" s="2077"/>
      <c r="Q2715" s="2077"/>
    </row>
    <row r="2716" spans="1:17" ht="22.15" customHeight="1">
      <c r="A2716" s="1901"/>
      <c r="B2716" s="2078" t="s">
        <v>425</v>
      </c>
      <c r="C2716" s="1755" t="s">
        <v>743</v>
      </c>
      <c r="D2716" s="2071"/>
      <c r="E2716" s="2079">
        <v>2</v>
      </c>
      <c r="F2716" s="2073" t="s">
        <v>240</v>
      </c>
      <c r="G2716" s="1853">
        <v>517.5</v>
      </c>
      <c r="H2716" s="2074">
        <f t="shared" ref="H2716:H2718" si="1236">G2716*E2716</f>
        <v>1035</v>
      </c>
      <c r="I2716" s="1855">
        <v>25</v>
      </c>
      <c r="J2716" s="2073">
        <f t="shared" ref="J2716:J2718" si="1237">I2716*E2716</f>
        <v>50</v>
      </c>
      <c r="K2716" s="2075">
        <f t="shared" ref="K2716:K2718" si="1238">H2716+J2716</f>
        <v>1085</v>
      </c>
      <c r="L2716" s="2076"/>
      <c r="M2716" s="2059"/>
      <c r="O2716" s="1863"/>
      <c r="P2716" s="2077"/>
      <c r="Q2716" s="2077"/>
    </row>
    <row r="2717" spans="1:17" ht="22.15" customHeight="1">
      <c r="A2717" s="1901"/>
      <c r="B2717" s="2078" t="s">
        <v>425</v>
      </c>
      <c r="C2717" s="1755" t="s">
        <v>2836</v>
      </c>
      <c r="D2717" s="2071"/>
      <c r="E2717" s="2079">
        <v>2</v>
      </c>
      <c r="F2717" s="2073" t="s">
        <v>240</v>
      </c>
      <c r="G2717" s="2080">
        <v>397.5</v>
      </c>
      <c r="H2717" s="2074">
        <f t="shared" si="1236"/>
        <v>795</v>
      </c>
      <c r="I2717" s="1855">
        <v>70</v>
      </c>
      <c r="J2717" s="2073">
        <f t="shared" si="1237"/>
        <v>140</v>
      </c>
      <c r="K2717" s="2075">
        <f t="shared" si="1238"/>
        <v>935</v>
      </c>
      <c r="L2717" s="2073"/>
      <c r="M2717" s="2081"/>
      <c r="O2717" s="1863"/>
      <c r="P2717" s="2077"/>
      <c r="Q2717" s="2077"/>
    </row>
    <row r="2718" spans="1:17" ht="22.15" customHeight="1">
      <c r="A2718" s="1901"/>
      <c r="B2718" s="2078" t="s">
        <v>425</v>
      </c>
      <c r="C2718" s="1755" t="s">
        <v>728</v>
      </c>
      <c r="D2718" s="2071"/>
      <c r="E2718" s="2079">
        <v>2</v>
      </c>
      <c r="F2718" s="2073" t="s">
        <v>240</v>
      </c>
      <c r="G2718" s="1853">
        <v>525</v>
      </c>
      <c r="H2718" s="2074">
        <f t="shared" si="1236"/>
        <v>1050</v>
      </c>
      <c r="I2718" s="1855">
        <v>75</v>
      </c>
      <c r="J2718" s="2073">
        <f t="shared" si="1237"/>
        <v>150</v>
      </c>
      <c r="K2718" s="2075">
        <f t="shared" si="1238"/>
        <v>1200</v>
      </c>
      <c r="L2718" s="2076"/>
      <c r="M2718" s="2059"/>
      <c r="O2718" s="1863"/>
      <c r="P2718" s="2077"/>
      <c r="Q2718" s="2077"/>
    </row>
    <row r="2719" spans="1:17" ht="22.15" customHeight="1">
      <c r="A2719" s="1901"/>
      <c r="B2719" s="2078"/>
      <c r="C2719" s="1755"/>
      <c r="D2719" s="2071"/>
      <c r="E2719" s="2079"/>
      <c r="F2719" s="2073"/>
      <c r="G2719" s="1853"/>
      <c r="H2719" s="2074"/>
      <c r="I2719" s="1855"/>
      <c r="J2719" s="2073"/>
      <c r="K2719" s="2075"/>
      <c r="L2719" s="2076"/>
      <c r="M2719" s="2059"/>
      <c r="O2719" s="1863"/>
      <c r="P2719" s="2077"/>
      <c r="Q2719" s="2077"/>
    </row>
    <row r="2720" spans="1:17" ht="22.15" customHeight="1">
      <c r="A2720" s="1901"/>
      <c r="B2720" s="2078" t="s">
        <v>425</v>
      </c>
      <c r="C2720" s="1755" t="s">
        <v>730</v>
      </c>
      <c r="D2720" s="2071"/>
      <c r="E2720" s="2079">
        <v>2</v>
      </c>
      <c r="F2720" s="2073" t="s">
        <v>240</v>
      </c>
      <c r="G2720" s="2080">
        <v>1320</v>
      </c>
      <c r="H2720" s="2074">
        <f t="shared" ref="H2720:H2724" si="1239">G2720*E2720</f>
        <v>2640</v>
      </c>
      <c r="I2720" s="1855">
        <v>70</v>
      </c>
      <c r="J2720" s="2073">
        <f t="shared" ref="J2720:J2724" si="1240">I2720*E2720</f>
        <v>140</v>
      </c>
      <c r="K2720" s="2075">
        <f t="shared" ref="K2720:K2724" si="1241">H2720+J2720</f>
        <v>2780</v>
      </c>
      <c r="L2720" s="2076"/>
      <c r="M2720" s="2059"/>
      <c r="O2720" s="1863"/>
      <c r="P2720" s="2077"/>
      <c r="Q2720" s="2077"/>
    </row>
    <row r="2721" spans="1:24" ht="22.15" customHeight="1">
      <c r="A2721" s="1901"/>
      <c r="B2721" s="2078" t="s">
        <v>425</v>
      </c>
      <c r="C2721" s="1755" t="s">
        <v>741</v>
      </c>
      <c r="D2721" s="2071"/>
      <c r="E2721" s="2079">
        <v>2</v>
      </c>
      <c r="F2721" s="2073" t="s">
        <v>240</v>
      </c>
      <c r="G2721" s="2080">
        <v>9750</v>
      </c>
      <c r="H2721" s="2074">
        <f t="shared" si="1239"/>
        <v>19500</v>
      </c>
      <c r="I2721" s="1855">
        <v>105</v>
      </c>
      <c r="J2721" s="2073">
        <f t="shared" si="1240"/>
        <v>210</v>
      </c>
      <c r="K2721" s="2075">
        <f t="shared" si="1241"/>
        <v>19710</v>
      </c>
      <c r="L2721" s="2076"/>
      <c r="M2721" s="2059"/>
      <c r="O2721" s="1863"/>
      <c r="P2721" s="2077"/>
      <c r="Q2721" s="2077"/>
    </row>
    <row r="2722" spans="1:24" ht="22.15" customHeight="1">
      <c r="A2722" s="1901"/>
      <c r="B2722" s="2078" t="s">
        <v>425</v>
      </c>
      <c r="C2722" s="1755" t="s">
        <v>742</v>
      </c>
      <c r="D2722" s="2071"/>
      <c r="E2722" s="2079">
        <v>2</v>
      </c>
      <c r="F2722" s="2073" t="s">
        <v>240</v>
      </c>
      <c r="G2722" s="2080">
        <v>5200</v>
      </c>
      <c r="H2722" s="2074">
        <f t="shared" si="1239"/>
        <v>10400</v>
      </c>
      <c r="I2722" s="1855">
        <v>70</v>
      </c>
      <c r="J2722" s="2073">
        <f t="shared" si="1240"/>
        <v>140</v>
      </c>
      <c r="K2722" s="2075">
        <f t="shared" si="1241"/>
        <v>10540</v>
      </c>
      <c r="L2722" s="2076"/>
      <c r="M2722" s="2059"/>
      <c r="O2722" s="1863"/>
      <c r="P2722" s="2077"/>
      <c r="Q2722" s="2077"/>
    </row>
    <row r="2723" spans="1:24" ht="22.15" customHeight="1">
      <c r="A2723" s="1901"/>
      <c r="B2723" s="2078" t="s">
        <v>425</v>
      </c>
      <c r="C2723" s="1755" t="s">
        <v>2837</v>
      </c>
      <c r="D2723" s="2071"/>
      <c r="E2723" s="2079">
        <v>4</v>
      </c>
      <c r="F2723" s="2073" t="s">
        <v>240</v>
      </c>
      <c r="G2723" s="2080">
        <v>4160</v>
      </c>
      <c r="H2723" s="2074">
        <f t="shared" si="1239"/>
        <v>16640</v>
      </c>
      <c r="I2723" s="1855">
        <v>105</v>
      </c>
      <c r="J2723" s="2073">
        <f t="shared" si="1240"/>
        <v>420</v>
      </c>
      <c r="K2723" s="2075">
        <f t="shared" si="1241"/>
        <v>17060</v>
      </c>
      <c r="L2723" s="2076"/>
      <c r="M2723" s="2059"/>
      <c r="O2723" s="1863"/>
      <c r="P2723" s="2077"/>
      <c r="Q2723" s="2077"/>
    </row>
    <row r="2724" spans="1:24" ht="22.15" customHeight="1">
      <c r="A2724" s="1901"/>
      <c r="B2724" s="2078" t="s">
        <v>425</v>
      </c>
      <c r="C2724" s="1755" t="s">
        <v>2838</v>
      </c>
      <c r="D2724" s="2071"/>
      <c r="E2724" s="2079">
        <v>2</v>
      </c>
      <c r="F2724" s="2073" t="s">
        <v>240</v>
      </c>
      <c r="G2724" s="2080">
        <v>2533.5</v>
      </c>
      <c r="H2724" s="2074">
        <f t="shared" si="1239"/>
        <v>5067</v>
      </c>
      <c r="I2724" s="1855">
        <v>105</v>
      </c>
      <c r="J2724" s="2073">
        <f t="shared" si="1240"/>
        <v>210</v>
      </c>
      <c r="K2724" s="2075">
        <f t="shared" si="1241"/>
        <v>5277</v>
      </c>
      <c r="L2724" s="2073"/>
      <c r="M2724" s="2081"/>
      <c r="O2724" s="1863"/>
      <c r="P2724" s="2077"/>
      <c r="Q2724" s="2077"/>
    </row>
    <row r="2725" spans="1:24" ht="22.15" customHeight="1">
      <c r="A2725" s="1901"/>
      <c r="B2725" s="2078"/>
      <c r="C2725" s="1755"/>
      <c r="D2725" s="2071"/>
      <c r="E2725" s="2079"/>
      <c r="F2725" s="2073"/>
      <c r="G2725" s="1853"/>
      <c r="H2725" s="2074"/>
      <c r="I2725" s="1855"/>
      <c r="J2725" s="2073"/>
      <c r="K2725" s="2075"/>
      <c r="L2725" s="2076"/>
      <c r="M2725" s="2059"/>
      <c r="O2725" s="1863"/>
      <c r="P2725" s="2077"/>
      <c r="Q2725" s="2077"/>
    </row>
    <row r="2726" spans="1:24" ht="22.15" customHeight="1">
      <c r="A2726" s="1901"/>
      <c r="B2726" s="2090" t="s">
        <v>609</v>
      </c>
      <c r="C2726" s="63" t="s">
        <v>2927</v>
      </c>
      <c r="D2726" s="2091"/>
      <c r="E2726" s="2092">
        <v>2</v>
      </c>
      <c r="F2726" s="2086" t="s">
        <v>240</v>
      </c>
      <c r="G2726" s="2084">
        <v>2855</v>
      </c>
      <c r="H2726" s="2085">
        <f t="shared" ref="H2726" si="1242">G2726*E2726</f>
        <v>5710</v>
      </c>
      <c r="I2726" s="1904">
        <v>1432</v>
      </c>
      <c r="J2726" s="2086">
        <f t="shared" ref="J2726" si="1243">I2726*E2726</f>
        <v>2864</v>
      </c>
      <c r="K2726" s="2087">
        <f t="shared" ref="K2726" si="1244">H2726+J2726</f>
        <v>8574</v>
      </c>
      <c r="L2726" s="2076"/>
      <c r="M2726" s="2059"/>
      <c r="O2726" s="1863"/>
      <c r="P2726" s="2077"/>
      <c r="Q2726" s="2077"/>
    </row>
    <row r="2727" spans="1:24" ht="22.15" customHeight="1">
      <c r="A2727" s="1901"/>
      <c r="B2727" s="2090"/>
      <c r="C2727" s="63" t="s">
        <v>2928</v>
      </c>
      <c r="D2727" s="2091"/>
      <c r="E2727" s="2092"/>
      <c r="F2727" s="2086"/>
      <c r="G2727" s="2084"/>
      <c r="H2727" s="2085"/>
      <c r="I2727" s="1904"/>
      <c r="J2727" s="2086"/>
      <c r="K2727" s="2087"/>
      <c r="L2727" s="2076"/>
      <c r="M2727" s="2059"/>
      <c r="O2727" s="1863"/>
      <c r="P2727" s="2077"/>
      <c r="Q2727" s="2077"/>
    </row>
    <row r="2728" spans="1:24" ht="22.15" customHeight="1">
      <c r="A2728" s="1901"/>
      <c r="B2728" s="2090"/>
      <c r="C2728" s="63"/>
      <c r="D2728" s="2091"/>
      <c r="E2728" s="2092"/>
      <c r="F2728" s="2086"/>
      <c r="G2728" s="2084"/>
      <c r="H2728" s="2085"/>
      <c r="I2728" s="1904"/>
      <c r="J2728" s="2086"/>
      <c r="K2728" s="2087"/>
      <c r="L2728" s="2076"/>
      <c r="M2728" s="2059"/>
      <c r="O2728" s="1863"/>
      <c r="P2728" s="2077"/>
      <c r="Q2728" s="2077"/>
    </row>
    <row r="2729" spans="1:24" ht="22.15" customHeight="1">
      <c r="A2729" s="1901"/>
      <c r="B2729" s="2089" t="s">
        <v>2849</v>
      </c>
      <c r="C2729" s="2070"/>
      <c r="D2729" s="2071"/>
      <c r="E2729" s="2072">
        <v>2</v>
      </c>
      <c r="F2729" s="2073" t="s">
        <v>723</v>
      </c>
      <c r="G2729" s="1853"/>
      <c r="H2729" s="2074"/>
      <c r="I2729" s="1855"/>
      <c r="J2729" s="2073"/>
      <c r="K2729" s="2075"/>
      <c r="L2729" s="2076"/>
      <c r="M2729" s="2059"/>
      <c r="O2729" s="1863"/>
      <c r="P2729" s="2077"/>
      <c r="Q2729" s="2077"/>
    </row>
    <row r="2730" spans="1:24" ht="22.15" customHeight="1">
      <c r="A2730" s="1901"/>
      <c r="B2730" s="2078" t="s">
        <v>425</v>
      </c>
      <c r="C2730" s="1755" t="s">
        <v>743</v>
      </c>
      <c r="D2730" s="2071"/>
      <c r="E2730" s="2079">
        <v>2</v>
      </c>
      <c r="F2730" s="2073" t="s">
        <v>240</v>
      </c>
      <c r="G2730" s="1853">
        <v>517.5</v>
      </c>
      <c r="H2730" s="2074">
        <f t="shared" ref="H2730:H2732" si="1245">G2730*E2730</f>
        <v>1035</v>
      </c>
      <c r="I2730" s="1855">
        <v>25</v>
      </c>
      <c r="J2730" s="2073">
        <f>I2730*E2730</f>
        <v>50</v>
      </c>
      <c r="K2730" s="2075">
        <f>H2730+J2730</f>
        <v>1085</v>
      </c>
      <c r="L2730" s="2076"/>
      <c r="M2730" s="2059"/>
      <c r="O2730" s="1863"/>
      <c r="P2730" s="2077"/>
      <c r="Q2730" s="2077"/>
    </row>
    <row r="2731" spans="1:24" ht="22.15" customHeight="1">
      <c r="A2731" s="1901"/>
      <c r="B2731" s="2078" t="s">
        <v>425</v>
      </c>
      <c r="C2731" s="1755" t="s">
        <v>744</v>
      </c>
      <c r="D2731" s="2071"/>
      <c r="E2731" s="2079">
        <v>4</v>
      </c>
      <c r="F2731" s="2073" t="s">
        <v>240</v>
      </c>
      <c r="G2731" s="1853">
        <v>525</v>
      </c>
      <c r="H2731" s="2074">
        <f t="shared" si="1245"/>
        <v>2100</v>
      </c>
      <c r="I2731" s="1855">
        <v>75</v>
      </c>
      <c r="J2731" s="2073">
        <f>I2731*E2731</f>
        <v>300</v>
      </c>
      <c r="K2731" s="2075">
        <f>H2731+J2731</f>
        <v>2400</v>
      </c>
      <c r="L2731" s="2076"/>
      <c r="M2731" s="2059"/>
      <c r="O2731" s="1863"/>
      <c r="P2731" s="2077"/>
      <c r="Q2731" s="2077"/>
    </row>
    <row r="2732" spans="1:24" ht="22.15" customHeight="1">
      <c r="A2732" s="1901"/>
      <c r="B2732" s="2078" t="s">
        <v>425</v>
      </c>
      <c r="C2732" s="1755" t="s">
        <v>745</v>
      </c>
      <c r="D2732" s="2071"/>
      <c r="E2732" s="2079">
        <v>2</v>
      </c>
      <c r="F2732" s="2073" t="s">
        <v>240</v>
      </c>
      <c r="G2732" s="2080">
        <v>397.5</v>
      </c>
      <c r="H2732" s="2074">
        <f t="shared" si="1245"/>
        <v>795</v>
      </c>
      <c r="I2732" s="1855">
        <v>70</v>
      </c>
      <c r="J2732" s="2073">
        <f t="shared" ref="J2732" si="1246">I2732*E2732</f>
        <v>140</v>
      </c>
      <c r="K2732" s="2075">
        <f t="shared" ref="K2732" si="1247">H2732+J2732</f>
        <v>935</v>
      </c>
      <c r="L2732" s="2073"/>
      <c r="M2732" s="2081"/>
      <c r="N2732" s="2047">
        <f>SUM(K2641:K2732)</f>
        <v>2633309.1</v>
      </c>
      <c r="O2732" s="1863"/>
      <c r="P2732" s="2077"/>
      <c r="Q2732" s="2077"/>
    </row>
    <row r="2733" spans="1:24" ht="24" customHeight="1">
      <c r="A2733" s="1782" t="s">
        <v>753</v>
      </c>
      <c r="B2733" s="2041" t="s">
        <v>754</v>
      </c>
      <c r="C2733" s="1905"/>
      <c r="D2733" s="1909"/>
      <c r="E2733" s="1910"/>
      <c r="F2733" s="2275"/>
      <c r="G2733" s="1921"/>
      <c r="H2733" s="1911"/>
      <c r="I2733" s="1912"/>
      <c r="J2733" s="1913"/>
      <c r="K2733" s="1914" t="s">
        <v>755</v>
      </c>
      <c r="L2733" s="1847"/>
      <c r="M2733" s="1809"/>
      <c r="N2733" s="1837"/>
      <c r="O2733" s="1837"/>
      <c r="P2733" s="1837"/>
      <c r="Q2733" s="1837"/>
      <c r="R2733" s="1837"/>
      <c r="S2733" s="1837"/>
      <c r="T2733" s="1837"/>
      <c r="U2733" s="1837"/>
      <c r="V2733" s="1837"/>
      <c r="W2733" s="1837"/>
      <c r="X2733" s="1837"/>
    </row>
    <row r="2734" spans="1:24" ht="22.15" customHeight="1">
      <c r="A2734" s="1901"/>
      <c r="B2734" s="2069" t="s">
        <v>2846</v>
      </c>
      <c r="C2734" s="2070"/>
      <c r="D2734" s="2071"/>
      <c r="E2734" s="2072">
        <v>2</v>
      </c>
      <c r="F2734" s="2073" t="s">
        <v>723</v>
      </c>
      <c r="G2734" s="1853"/>
      <c r="H2734" s="2074"/>
      <c r="I2734" s="1855"/>
      <c r="J2734" s="2073"/>
      <c r="K2734" s="2075"/>
      <c r="L2734" s="2076"/>
      <c r="M2734" s="2059"/>
      <c r="O2734" s="1863"/>
      <c r="P2734" s="2077"/>
      <c r="Q2734" s="2077"/>
    </row>
    <row r="2735" spans="1:24" ht="22.15" customHeight="1">
      <c r="A2735" s="1901"/>
      <c r="B2735" s="2078" t="s">
        <v>425</v>
      </c>
      <c r="C2735" s="2070" t="s">
        <v>724</v>
      </c>
      <c r="D2735" s="2071"/>
      <c r="E2735" s="2079">
        <v>18</v>
      </c>
      <c r="F2735" s="2073" t="s">
        <v>240</v>
      </c>
      <c r="G2735" s="1853">
        <v>1430</v>
      </c>
      <c r="H2735" s="2074">
        <f t="shared" ref="H2735:H2740" si="1248">G2735*E2735</f>
        <v>25740</v>
      </c>
      <c r="I2735" s="1855">
        <v>450</v>
      </c>
      <c r="J2735" s="2073">
        <f t="shared" ref="J2735:J2740" si="1249">I2735*E2735</f>
        <v>8100</v>
      </c>
      <c r="K2735" s="2075">
        <f t="shared" ref="K2735:K2740" si="1250">H2735+J2735</f>
        <v>33840</v>
      </c>
      <c r="L2735" s="2076"/>
      <c r="M2735" s="2059"/>
      <c r="O2735" s="1863"/>
      <c r="P2735" s="2077"/>
      <c r="Q2735" s="2077"/>
    </row>
    <row r="2736" spans="1:24" ht="22.15" customHeight="1">
      <c r="A2736" s="1901"/>
      <c r="B2736" s="2078" t="s">
        <v>425</v>
      </c>
      <c r="C2736" s="2070" t="s">
        <v>2822</v>
      </c>
      <c r="D2736" s="2071"/>
      <c r="E2736" s="2079">
        <v>18</v>
      </c>
      <c r="F2736" s="2073" t="s">
        <v>240</v>
      </c>
      <c r="G2736" s="1853">
        <v>6225</v>
      </c>
      <c r="H2736" s="2074">
        <f t="shared" si="1248"/>
        <v>112050</v>
      </c>
      <c r="I2736" s="1855">
        <v>200</v>
      </c>
      <c r="J2736" s="2073">
        <f t="shared" si="1249"/>
        <v>3600</v>
      </c>
      <c r="K2736" s="2075">
        <f t="shared" si="1250"/>
        <v>115650</v>
      </c>
      <c r="L2736" s="2076"/>
      <c r="M2736" s="2059"/>
      <c r="O2736" s="1863"/>
      <c r="P2736" s="2077"/>
      <c r="Q2736" s="2077"/>
    </row>
    <row r="2737" spans="1:17" ht="22.15" customHeight="1">
      <c r="A2737" s="1901"/>
      <c r="B2737" s="2078" t="s">
        <v>425</v>
      </c>
      <c r="C2737" s="2070" t="s">
        <v>2823</v>
      </c>
      <c r="D2737" s="2071"/>
      <c r="E2737" s="2079">
        <v>18</v>
      </c>
      <c r="F2737" s="2073" t="s">
        <v>240</v>
      </c>
      <c r="G2737" s="1853">
        <v>315</v>
      </c>
      <c r="H2737" s="2074">
        <f t="shared" si="1248"/>
        <v>5670</v>
      </c>
      <c r="I2737" s="1855">
        <v>0</v>
      </c>
      <c r="J2737" s="2073">
        <f t="shared" si="1249"/>
        <v>0</v>
      </c>
      <c r="K2737" s="2075">
        <f t="shared" si="1250"/>
        <v>5670</v>
      </c>
      <c r="L2737" s="2076"/>
      <c r="M2737" s="2059"/>
      <c r="O2737" s="1863"/>
      <c r="P2737" s="2077"/>
      <c r="Q2737" s="2077"/>
    </row>
    <row r="2738" spans="1:17" ht="22.15" customHeight="1">
      <c r="A2738" s="1901"/>
      <c r="B2738" s="2078" t="s">
        <v>425</v>
      </c>
      <c r="C2738" s="2070" t="s">
        <v>2824</v>
      </c>
      <c r="D2738" s="2071"/>
      <c r="E2738" s="2079">
        <v>18</v>
      </c>
      <c r="F2738" s="2073" t="s">
        <v>240</v>
      </c>
      <c r="G2738" s="1853">
        <v>690</v>
      </c>
      <c r="H2738" s="2074">
        <f t="shared" si="1248"/>
        <v>12420</v>
      </c>
      <c r="I2738" s="1855">
        <v>0</v>
      </c>
      <c r="J2738" s="2073">
        <f t="shared" si="1249"/>
        <v>0</v>
      </c>
      <c r="K2738" s="2075">
        <f t="shared" si="1250"/>
        <v>12420</v>
      </c>
      <c r="L2738" s="2076"/>
      <c r="M2738" s="2059"/>
      <c r="O2738" s="1863"/>
      <c r="P2738" s="2077"/>
      <c r="Q2738" s="2077"/>
    </row>
    <row r="2739" spans="1:17" ht="22.15" customHeight="1">
      <c r="A2739" s="1901"/>
      <c r="B2739" s="2078" t="s">
        <v>425</v>
      </c>
      <c r="C2739" s="2070" t="s">
        <v>2825</v>
      </c>
      <c r="D2739" s="2071"/>
      <c r="E2739" s="2079">
        <v>18</v>
      </c>
      <c r="F2739" s="2073" t="s">
        <v>240</v>
      </c>
      <c r="G2739" s="1853">
        <v>165</v>
      </c>
      <c r="H2739" s="2074">
        <f t="shared" si="1248"/>
        <v>2970</v>
      </c>
      <c r="I2739" s="1855">
        <v>0</v>
      </c>
      <c r="J2739" s="2073">
        <f t="shared" si="1249"/>
        <v>0</v>
      </c>
      <c r="K2739" s="2075">
        <f t="shared" si="1250"/>
        <v>2970</v>
      </c>
      <c r="L2739" s="2076"/>
      <c r="M2739" s="2059"/>
      <c r="O2739" s="1863"/>
      <c r="P2739" s="2077"/>
      <c r="Q2739" s="2077"/>
    </row>
    <row r="2740" spans="1:17" ht="22.15" customHeight="1">
      <c r="A2740" s="1901"/>
      <c r="B2740" s="2078" t="s">
        <v>425</v>
      </c>
      <c r="C2740" s="2070" t="s">
        <v>2826</v>
      </c>
      <c r="D2740" s="2071"/>
      <c r="E2740" s="2079">
        <v>18</v>
      </c>
      <c r="F2740" s="2073" t="s">
        <v>240</v>
      </c>
      <c r="G2740" s="1853">
        <v>202.5</v>
      </c>
      <c r="H2740" s="2074">
        <f t="shared" si="1248"/>
        <v>3645</v>
      </c>
      <c r="I2740" s="1855">
        <v>35</v>
      </c>
      <c r="J2740" s="2073">
        <f t="shared" si="1249"/>
        <v>630</v>
      </c>
      <c r="K2740" s="2075">
        <f t="shared" si="1250"/>
        <v>4275</v>
      </c>
      <c r="L2740" s="2076"/>
      <c r="M2740" s="2059"/>
      <c r="O2740" s="1863"/>
      <c r="P2740" s="2077"/>
      <c r="Q2740" s="2077"/>
    </row>
    <row r="2741" spans="1:17" ht="22.15" customHeight="1">
      <c r="A2741" s="1901"/>
      <c r="B2741" s="2078"/>
      <c r="C2741" s="2070"/>
      <c r="D2741" s="2071"/>
      <c r="E2741" s="2079"/>
      <c r="F2741" s="2073"/>
      <c r="G2741" s="1853"/>
      <c r="H2741" s="2074"/>
      <c r="I2741" s="1855"/>
      <c r="J2741" s="2073"/>
      <c r="K2741" s="2075"/>
      <c r="L2741" s="2076"/>
      <c r="M2741" s="2059"/>
      <c r="O2741" s="1863"/>
      <c r="P2741" s="2077"/>
      <c r="Q2741" s="2077"/>
    </row>
    <row r="2742" spans="1:17" ht="22.15" customHeight="1">
      <c r="A2742" s="1901"/>
      <c r="B2742" s="2078" t="s">
        <v>425</v>
      </c>
      <c r="C2742" s="2070" t="s">
        <v>725</v>
      </c>
      <c r="D2742" s="2071"/>
      <c r="E2742" s="2079">
        <v>16</v>
      </c>
      <c r="F2742" s="2073" t="s">
        <v>240</v>
      </c>
      <c r="G2742" s="1853">
        <v>8723</v>
      </c>
      <c r="H2742" s="2074">
        <f t="shared" ref="H2742:H2744" si="1251">G2742*E2742</f>
        <v>139568</v>
      </c>
      <c r="I2742" s="1855">
        <v>450</v>
      </c>
      <c r="J2742" s="2073">
        <f t="shared" ref="J2742:J2744" si="1252">I2742*E2742</f>
        <v>7200</v>
      </c>
      <c r="K2742" s="2075">
        <f t="shared" ref="K2742:K2744" si="1253">H2742+J2742</f>
        <v>146768</v>
      </c>
      <c r="L2742" s="2076"/>
      <c r="M2742" s="2059"/>
      <c r="O2742" s="1863"/>
      <c r="P2742" s="2077"/>
      <c r="Q2742" s="2077"/>
    </row>
    <row r="2743" spans="1:17" ht="22.15" customHeight="1">
      <c r="A2743" s="1901"/>
      <c r="B2743" s="2078" t="s">
        <v>425</v>
      </c>
      <c r="C2743" s="2070" t="s">
        <v>726</v>
      </c>
      <c r="D2743" s="2071"/>
      <c r="E2743" s="2079">
        <v>16</v>
      </c>
      <c r="F2743" s="2073" t="s">
        <v>240</v>
      </c>
      <c r="G2743" s="1853">
        <v>2430</v>
      </c>
      <c r="H2743" s="2074">
        <f t="shared" si="1251"/>
        <v>38880</v>
      </c>
      <c r="I2743" s="1855">
        <v>0</v>
      </c>
      <c r="J2743" s="2073">
        <f t="shared" si="1252"/>
        <v>0</v>
      </c>
      <c r="K2743" s="2075">
        <f t="shared" si="1253"/>
        <v>38880</v>
      </c>
      <c r="L2743" s="2076"/>
      <c r="M2743" s="2059"/>
      <c r="O2743" s="1863"/>
      <c r="P2743" s="2077"/>
      <c r="Q2743" s="2077"/>
    </row>
    <row r="2744" spans="1:17" ht="22.15" customHeight="1">
      <c r="A2744" s="1901"/>
      <c r="B2744" s="2078" t="s">
        <v>425</v>
      </c>
      <c r="C2744" s="2070" t="s">
        <v>2826</v>
      </c>
      <c r="D2744" s="2071"/>
      <c r="E2744" s="2079">
        <v>16</v>
      </c>
      <c r="F2744" s="2073" t="s">
        <v>240</v>
      </c>
      <c r="G2744" s="2080">
        <v>202.5</v>
      </c>
      <c r="H2744" s="2074">
        <f t="shared" si="1251"/>
        <v>3240</v>
      </c>
      <c r="I2744" s="1855">
        <v>35</v>
      </c>
      <c r="J2744" s="2073">
        <f t="shared" si="1252"/>
        <v>560</v>
      </c>
      <c r="K2744" s="2075">
        <f t="shared" si="1253"/>
        <v>3800</v>
      </c>
      <c r="L2744" s="2076"/>
      <c r="M2744" s="2059"/>
      <c r="O2744" s="1863"/>
      <c r="P2744" s="2077"/>
      <c r="Q2744" s="2077"/>
    </row>
    <row r="2745" spans="1:17" ht="22.15" customHeight="1">
      <c r="A2745" s="1901"/>
      <c r="B2745" s="2078"/>
      <c r="C2745" s="2070"/>
      <c r="D2745" s="2071"/>
      <c r="E2745" s="2079"/>
      <c r="F2745" s="2073"/>
      <c r="G2745" s="1853"/>
      <c r="H2745" s="2074"/>
      <c r="I2745" s="1855"/>
      <c r="J2745" s="2073"/>
      <c r="K2745" s="2075"/>
      <c r="L2745" s="2076"/>
      <c r="M2745" s="2059"/>
      <c r="O2745" s="1863"/>
      <c r="P2745" s="2077"/>
      <c r="Q2745" s="2077"/>
    </row>
    <row r="2746" spans="1:17" ht="22.15" customHeight="1">
      <c r="A2746" s="1901"/>
      <c r="B2746" s="2078" t="s">
        <v>425</v>
      </c>
      <c r="C2746" s="2070" t="s">
        <v>2827</v>
      </c>
      <c r="D2746" s="2071"/>
      <c r="E2746" s="2079">
        <v>24</v>
      </c>
      <c r="F2746" s="2073" t="s">
        <v>240</v>
      </c>
      <c r="G2746" s="1853">
        <v>3640</v>
      </c>
      <c r="H2746" s="2074">
        <f t="shared" ref="H2746:H2747" si="1254">G2746*E2746</f>
        <v>87360</v>
      </c>
      <c r="I2746" s="1855">
        <v>450</v>
      </c>
      <c r="J2746" s="2073">
        <f t="shared" ref="J2746:J2747" si="1255">I2746*E2746</f>
        <v>10800</v>
      </c>
      <c r="K2746" s="2075">
        <f t="shared" ref="K2746:K2747" si="1256">H2746+J2746</f>
        <v>98160</v>
      </c>
      <c r="L2746" s="2073"/>
      <c r="M2746" s="2081"/>
      <c r="O2746" s="1863"/>
      <c r="P2746" s="2077"/>
      <c r="Q2746" s="2077"/>
    </row>
    <row r="2747" spans="1:17" ht="22.15" customHeight="1">
      <c r="A2747" s="1901"/>
      <c r="B2747" s="2078" t="s">
        <v>425</v>
      </c>
      <c r="C2747" s="2070" t="s">
        <v>727</v>
      </c>
      <c r="D2747" s="2071"/>
      <c r="E2747" s="2079">
        <v>24</v>
      </c>
      <c r="F2747" s="2073" t="s">
        <v>240</v>
      </c>
      <c r="G2747" s="1853">
        <v>11955</v>
      </c>
      <c r="H2747" s="2074">
        <f t="shared" si="1254"/>
        <v>286920</v>
      </c>
      <c r="I2747" s="1855">
        <v>0</v>
      </c>
      <c r="J2747" s="2073">
        <f t="shared" si="1255"/>
        <v>0</v>
      </c>
      <c r="K2747" s="2075">
        <f t="shared" si="1256"/>
        <v>286920</v>
      </c>
      <c r="L2747" s="2073"/>
      <c r="M2747" s="2081"/>
      <c r="O2747" s="1863"/>
      <c r="P2747" s="2077"/>
      <c r="Q2747" s="2077"/>
    </row>
    <row r="2748" spans="1:17" ht="22.15" customHeight="1">
      <c r="A2748" s="1901"/>
      <c r="B2748" s="2078"/>
      <c r="C2748" s="2070"/>
      <c r="D2748" s="2071"/>
      <c r="E2748" s="2079"/>
      <c r="F2748" s="2073"/>
      <c r="G2748" s="1853"/>
      <c r="H2748" s="2074"/>
      <c r="I2748" s="1855"/>
      <c r="J2748" s="2073"/>
      <c r="K2748" s="2075"/>
      <c r="L2748" s="2073"/>
      <c r="M2748" s="2081"/>
      <c r="O2748" s="1863"/>
      <c r="P2748" s="2077"/>
      <c r="Q2748" s="2077"/>
    </row>
    <row r="2749" spans="1:17" ht="22.15" customHeight="1">
      <c r="A2749" s="1901"/>
      <c r="B2749" s="2078" t="s">
        <v>425</v>
      </c>
      <c r="C2749" s="1755" t="s">
        <v>728</v>
      </c>
      <c r="D2749" s="2071"/>
      <c r="E2749" s="2079">
        <v>14</v>
      </c>
      <c r="F2749" s="2073" t="s">
        <v>240</v>
      </c>
      <c r="G2749" s="1853">
        <v>525</v>
      </c>
      <c r="H2749" s="2074">
        <f t="shared" ref="H2749:H2755" si="1257">G2749*E2749</f>
        <v>7350</v>
      </c>
      <c r="I2749" s="1855">
        <v>75</v>
      </c>
      <c r="J2749" s="2073">
        <f t="shared" ref="J2749:J2755" si="1258">I2749*E2749</f>
        <v>1050</v>
      </c>
      <c r="K2749" s="2075">
        <f t="shared" ref="K2749:K2755" si="1259">H2749+J2749</f>
        <v>8400</v>
      </c>
      <c r="L2749" s="2076"/>
      <c r="M2749" s="2059"/>
      <c r="O2749" s="1863"/>
      <c r="P2749" s="2077"/>
      <c r="Q2749" s="2077"/>
    </row>
    <row r="2750" spans="1:17" ht="22.15" customHeight="1">
      <c r="A2750" s="1901"/>
      <c r="B2750" s="2078" t="s">
        <v>425</v>
      </c>
      <c r="C2750" s="1755" t="s">
        <v>743</v>
      </c>
      <c r="D2750" s="2071"/>
      <c r="E2750" s="2079">
        <v>2</v>
      </c>
      <c r="F2750" s="2073" t="s">
        <v>240</v>
      </c>
      <c r="G2750" s="1853">
        <v>517.5</v>
      </c>
      <c r="H2750" s="2074">
        <f t="shared" si="1257"/>
        <v>1035</v>
      </c>
      <c r="I2750" s="1855">
        <v>25</v>
      </c>
      <c r="J2750" s="2073">
        <f t="shared" si="1258"/>
        <v>50</v>
      </c>
      <c r="K2750" s="2075">
        <f t="shared" si="1259"/>
        <v>1085</v>
      </c>
      <c r="L2750" s="2076"/>
      <c r="M2750" s="2059"/>
      <c r="O2750" s="1863"/>
      <c r="P2750" s="2077"/>
      <c r="Q2750" s="2077"/>
    </row>
    <row r="2751" spans="1:17" ht="22.15" customHeight="1">
      <c r="A2751" s="1901"/>
      <c r="B2751" s="2078" t="s">
        <v>425</v>
      </c>
      <c r="C2751" s="1755" t="s">
        <v>729</v>
      </c>
      <c r="D2751" s="2071"/>
      <c r="E2751" s="2079">
        <f>E2742</f>
        <v>16</v>
      </c>
      <c r="F2751" s="2073" t="s">
        <v>240</v>
      </c>
      <c r="G2751" s="2082">
        <v>13500</v>
      </c>
      <c r="H2751" s="2074">
        <f t="shared" si="1257"/>
        <v>216000</v>
      </c>
      <c r="I2751" s="1855">
        <v>750</v>
      </c>
      <c r="J2751" s="2073">
        <f t="shared" si="1258"/>
        <v>12000</v>
      </c>
      <c r="K2751" s="2075">
        <f t="shared" si="1259"/>
        <v>228000</v>
      </c>
      <c r="L2751" s="2076"/>
      <c r="M2751" s="2059"/>
      <c r="O2751" s="1863"/>
      <c r="P2751" s="2077"/>
      <c r="Q2751" s="2077"/>
    </row>
    <row r="2752" spans="1:17" ht="22.15" customHeight="1">
      <c r="A2752" s="1901"/>
      <c r="B2752" s="2078" t="s">
        <v>425</v>
      </c>
      <c r="C2752" s="1755" t="s">
        <v>730</v>
      </c>
      <c r="D2752" s="2071"/>
      <c r="E2752" s="2079">
        <v>2</v>
      </c>
      <c r="F2752" s="2073" t="s">
        <v>240</v>
      </c>
      <c r="G2752" s="2080">
        <v>1320</v>
      </c>
      <c r="H2752" s="2074">
        <f t="shared" si="1257"/>
        <v>2640</v>
      </c>
      <c r="I2752" s="1855">
        <v>70</v>
      </c>
      <c r="J2752" s="2073">
        <f t="shared" si="1258"/>
        <v>140</v>
      </c>
      <c r="K2752" s="2075">
        <f t="shared" si="1259"/>
        <v>2780</v>
      </c>
      <c r="L2752" s="2076"/>
      <c r="M2752" s="2059"/>
      <c r="O2752" s="1863"/>
      <c r="P2752" s="2077"/>
      <c r="Q2752" s="2077"/>
    </row>
    <row r="2753" spans="1:17" ht="21.75" customHeight="1">
      <c r="A2753" s="1901"/>
      <c r="B2753" s="2078" t="s">
        <v>425</v>
      </c>
      <c r="C2753" s="1755" t="s">
        <v>752</v>
      </c>
      <c r="D2753" s="2071"/>
      <c r="E2753" s="2079">
        <v>2</v>
      </c>
      <c r="F2753" s="2073" t="s">
        <v>240</v>
      </c>
      <c r="G2753" s="2080">
        <v>4100</v>
      </c>
      <c r="H2753" s="1788">
        <f t="shared" si="1257"/>
        <v>8200</v>
      </c>
      <c r="I2753" s="2083">
        <v>200</v>
      </c>
      <c r="J2753" s="1808">
        <f t="shared" si="1258"/>
        <v>400</v>
      </c>
      <c r="K2753" s="1897">
        <f t="shared" si="1259"/>
        <v>8600</v>
      </c>
      <c r="L2753" s="2076"/>
      <c r="M2753" s="2059"/>
      <c r="O2753" s="1863"/>
      <c r="P2753" s="2077"/>
      <c r="Q2753" s="2077"/>
    </row>
    <row r="2754" spans="1:17" ht="22.15" customHeight="1">
      <c r="A2754" s="1901"/>
      <c r="B2754" s="2078" t="s">
        <v>425</v>
      </c>
      <c r="C2754" s="2070" t="s">
        <v>2828</v>
      </c>
      <c r="D2754" s="2071"/>
      <c r="E2754" s="2079">
        <v>2</v>
      </c>
      <c r="F2754" s="2073" t="s">
        <v>240</v>
      </c>
      <c r="G2754" s="2080">
        <v>2835</v>
      </c>
      <c r="H2754" s="2074">
        <f t="shared" si="1257"/>
        <v>5670</v>
      </c>
      <c r="I2754" s="1855">
        <v>105</v>
      </c>
      <c r="J2754" s="2073">
        <f t="shared" si="1258"/>
        <v>210</v>
      </c>
      <c r="K2754" s="2075">
        <f t="shared" si="1259"/>
        <v>5880</v>
      </c>
      <c r="L2754" s="2076"/>
      <c r="M2754" s="2059"/>
      <c r="O2754" s="1863"/>
      <c r="P2754" s="2077"/>
      <c r="Q2754" s="2077"/>
    </row>
    <row r="2755" spans="1:17" ht="22.15" customHeight="1">
      <c r="A2755" s="1901"/>
      <c r="B2755" s="2078" t="s">
        <v>425</v>
      </c>
      <c r="C2755" s="1755" t="s">
        <v>2829</v>
      </c>
      <c r="D2755" s="2071"/>
      <c r="E2755" s="2079">
        <v>2</v>
      </c>
      <c r="F2755" s="2073" t="s">
        <v>240</v>
      </c>
      <c r="G2755" s="2080">
        <v>6180</v>
      </c>
      <c r="H2755" s="2074">
        <f t="shared" si="1257"/>
        <v>12360</v>
      </c>
      <c r="I2755" s="1855">
        <v>105</v>
      </c>
      <c r="J2755" s="2073">
        <f t="shared" si="1258"/>
        <v>210</v>
      </c>
      <c r="K2755" s="2075">
        <f t="shared" si="1259"/>
        <v>12570</v>
      </c>
      <c r="L2755" s="2076"/>
      <c r="M2755" s="2059"/>
      <c r="O2755" s="1863"/>
      <c r="P2755" s="2077"/>
      <c r="Q2755" s="2077"/>
    </row>
    <row r="2756" spans="1:17" ht="22.15" customHeight="1">
      <c r="A2756" s="1901"/>
      <c r="B2756" s="2078"/>
      <c r="C2756" s="2070"/>
      <c r="D2756" s="2071"/>
      <c r="E2756" s="2079"/>
      <c r="F2756" s="2073"/>
      <c r="G2756" s="2080"/>
      <c r="H2756" s="2074"/>
      <c r="I2756" s="1855"/>
      <c r="J2756" s="2073"/>
      <c r="K2756" s="2075"/>
      <c r="L2756" s="2076"/>
      <c r="M2756" s="2059"/>
      <c r="O2756" s="1863"/>
      <c r="P2756" s="2077"/>
      <c r="Q2756" s="2077"/>
    </row>
    <row r="2757" spans="1:17" ht="22.15" customHeight="1">
      <c r="A2757" s="1901"/>
      <c r="B2757" s="2078" t="s">
        <v>425</v>
      </c>
      <c r="C2757" s="2070" t="s">
        <v>732</v>
      </c>
      <c r="D2757" s="2071"/>
      <c r="E2757" s="1808">
        <f>4.8*2</f>
        <v>9.6</v>
      </c>
      <c r="F2757" s="2073" t="s">
        <v>616</v>
      </c>
      <c r="G2757" s="2084">
        <v>3886</v>
      </c>
      <c r="H2757" s="2085">
        <f t="shared" ref="H2757:H2762" si="1260">G2757*E2757</f>
        <v>37305.599999999999</v>
      </c>
      <c r="I2757" s="1904">
        <v>1238</v>
      </c>
      <c r="J2757" s="2086">
        <f t="shared" ref="J2757:J2762" si="1261">I2757*E2757</f>
        <v>11884.8</v>
      </c>
      <c r="K2757" s="2087">
        <f t="shared" ref="K2757:K2762" si="1262">H2757+J2757</f>
        <v>49190.399999999994</v>
      </c>
      <c r="L2757" s="2076"/>
      <c r="M2757" s="2059"/>
      <c r="O2757" s="1863"/>
      <c r="P2757" s="2077"/>
      <c r="Q2757" s="2077"/>
    </row>
    <row r="2758" spans="1:17" ht="22.15" customHeight="1">
      <c r="A2758" s="1901"/>
      <c r="B2758" s="2078" t="s">
        <v>425</v>
      </c>
      <c r="C2758" s="2070" t="s">
        <v>733</v>
      </c>
      <c r="D2758" s="2071"/>
      <c r="E2758" s="1808">
        <f>10.6*2</f>
        <v>21.2</v>
      </c>
      <c r="F2758" s="2073" t="s">
        <v>616</v>
      </c>
      <c r="G2758" s="2084">
        <v>1522</v>
      </c>
      <c r="H2758" s="2085">
        <f t="shared" si="1260"/>
        <v>32266.399999999998</v>
      </c>
      <c r="I2758" s="2088">
        <v>315</v>
      </c>
      <c r="J2758" s="2086">
        <f t="shared" si="1261"/>
        <v>6678</v>
      </c>
      <c r="K2758" s="2087">
        <f t="shared" si="1262"/>
        <v>38944.399999999994</v>
      </c>
      <c r="L2758" s="2076"/>
      <c r="M2758" s="2059"/>
      <c r="O2758" s="1863"/>
      <c r="P2758" s="2077"/>
      <c r="Q2758" s="2077"/>
    </row>
    <row r="2759" spans="1:17" ht="22.15" customHeight="1">
      <c r="A2759" s="1901"/>
      <c r="B2759" s="2078" t="s">
        <v>425</v>
      </c>
      <c r="C2759" s="2070" t="s">
        <v>734</v>
      </c>
      <c r="D2759" s="2071"/>
      <c r="E2759" s="1808">
        <f>7.2*2</f>
        <v>14.4</v>
      </c>
      <c r="F2759" s="2073" t="s">
        <v>616</v>
      </c>
      <c r="G2759" s="2084">
        <v>1522</v>
      </c>
      <c r="H2759" s="2085">
        <f t="shared" si="1260"/>
        <v>21916.799999999999</v>
      </c>
      <c r="I2759" s="2088">
        <v>315</v>
      </c>
      <c r="J2759" s="2086">
        <f t="shared" si="1261"/>
        <v>4536</v>
      </c>
      <c r="K2759" s="2087">
        <f t="shared" si="1262"/>
        <v>26452.799999999999</v>
      </c>
      <c r="L2759" s="2076"/>
      <c r="M2759" s="2059"/>
      <c r="O2759" s="1863"/>
      <c r="P2759" s="2077"/>
      <c r="Q2759" s="2077"/>
    </row>
    <row r="2760" spans="1:17" ht="22.15" customHeight="1">
      <c r="A2760" s="1901"/>
      <c r="B2760" s="2078" t="s">
        <v>425</v>
      </c>
      <c r="C2760" s="2070" t="s">
        <v>735</v>
      </c>
      <c r="D2760" s="2071"/>
      <c r="E2760" s="1808">
        <f>7.2*2</f>
        <v>14.4</v>
      </c>
      <c r="F2760" s="2073" t="s">
        <v>616</v>
      </c>
      <c r="G2760" s="2080">
        <v>750</v>
      </c>
      <c r="H2760" s="1788">
        <f t="shared" si="1260"/>
        <v>10800</v>
      </c>
      <c r="I2760" s="2083">
        <v>45</v>
      </c>
      <c r="J2760" s="1808">
        <f t="shared" si="1261"/>
        <v>648</v>
      </c>
      <c r="K2760" s="1897">
        <f t="shared" si="1262"/>
        <v>11448</v>
      </c>
      <c r="L2760" s="2076"/>
      <c r="M2760" s="2059"/>
      <c r="O2760" s="1863"/>
      <c r="P2760" s="2077"/>
      <c r="Q2760" s="2077"/>
    </row>
    <row r="2761" spans="1:17" ht="22.15" customHeight="1">
      <c r="A2761" s="1901"/>
      <c r="B2761" s="2078" t="s">
        <v>425</v>
      </c>
      <c r="C2761" s="2070" t="s">
        <v>736</v>
      </c>
      <c r="D2761" s="2071"/>
      <c r="E2761" s="1808">
        <f>16.8*2</f>
        <v>33.6</v>
      </c>
      <c r="F2761" s="2073" t="s">
        <v>616</v>
      </c>
      <c r="G2761" s="2080">
        <v>60</v>
      </c>
      <c r="H2761" s="1788">
        <f t="shared" si="1260"/>
        <v>2016</v>
      </c>
      <c r="I2761" s="2083">
        <v>45</v>
      </c>
      <c r="J2761" s="1808">
        <f t="shared" si="1261"/>
        <v>1512</v>
      </c>
      <c r="K2761" s="1897">
        <f t="shared" si="1262"/>
        <v>3528</v>
      </c>
      <c r="L2761" s="2076"/>
      <c r="M2761" s="2059"/>
      <c r="O2761" s="1863"/>
      <c r="P2761" s="2077"/>
      <c r="Q2761" s="2077"/>
    </row>
    <row r="2762" spans="1:17" ht="22.15" customHeight="1">
      <c r="A2762" s="1901"/>
      <c r="B2762" s="2078" t="s">
        <v>425</v>
      </c>
      <c r="C2762" s="2070" t="s">
        <v>2830</v>
      </c>
      <c r="D2762" s="2071"/>
      <c r="E2762" s="1808">
        <f>E2757</f>
        <v>9.6</v>
      </c>
      <c r="F2762" s="2073" t="s">
        <v>616</v>
      </c>
      <c r="G2762" s="2084">
        <v>2694</v>
      </c>
      <c r="H2762" s="2085">
        <f t="shared" si="1260"/>
        <v>25862.399999999998</v>
      </c>
      <c r="I2762" s="1904">
        <v>1288</v>
      </c>
      <c r="J2762" s="2086">
        <f t="shared" si="1261"/>
        <v>12364.8</v>
      </c>
      <c r="K2762" s="2087">
        <f t="shared" si="1262"/>
        <v>38227.199999999997</v>
      </c>
      <c r="L2762" s="2076"/>
      <c r="M2762" s="2059"/>
      <c r="O2762" s="1863"/>
      <c r="P2762" s="2077"/>
      <c r="Q2762" s="2077"/>
    </row>
    <row r="2763" spans="1:17" ht="22.15" customHeight="1">
      <c r="A2763" s="1901"/>
      <c r="B2763" s="2078"/>
      <c r="C2763" s="2070" t="s">
        <v>737</v>
      </c>
      <c r="D2763" s="2071"/>
      <c r="E2763" s="2079"/>
      <c r="F2763" s="2073"/>
      <c r="G2763" s="2080"/>
      <c r="H2763" s="2074"/>
      <c r="I2763" s="1855"/>
      <c r="J2763" s="2073"/>
      <c r="K2763" s="2075"/>
      <c r="L2763" s="2076"/>
      <c r="M2763" s="2059"/>
      <c r="O2763" s="1863"/>
      <c r="P2763" s="2077"/>
      <c r="Q2763" s="2077"/>
    </row>
    <row r="2764" spans="1:17" ht="22.15" customHeight="1">
      <c r="A2764" s="1901"/>
      <c r="B2764" s="2078"/>
      <c r="C2764" s="2070"/>
      <c r="D2764" s="2071"/>
      <c r="E2764" s="2079"/>
      <c r="F2764" s="2073"/>
      <c r="G2764" s="2080"/>
      <c r="H2764" s="2074"/>
      <c r="I2764" s="1855"/>
      <c r="J2764" s="2073"/>
      <c r="K2764" s="2075"/>
      <c r="L2764" s="2076"/>
      <c r="M2764" s="2059"/>
      <c r="O2764" s="1863"/>
      <c r="P2764" s="2077"/>
      <c r="Q2764" s="2077"/>
    </row>
    <row r="2765" spans="1:17" ht="22.15" customHeight="1">
      <c r="A2765" s="1901"/>
      <c r="B2765" s="2078" t="s">
        <v>425</v>
      </c>
      <c r="C2765" s="2070" t="s">
        <v>2831</v>
      </c>
      <c r="D2765" s="2071"/>
      <c r="E2765" s="2079">
        <v>2</v>
      </c>
      <c r="F2765" s="2073" t="s">
        <v>240</v>
      </c>
      <c r="G2765" s="1853">
        <v>8300</v>
      </c>
      <c r="H2765" s="2074">
        <f t="shared" ref="H2765" si="1263">G2765*E2765</f>
        <v>16600</v>
      </c>
      <c r="I2765" s="1855">
        <v>2490</v>
      </c>
      <c r="J2765" s="2073">
        <f>I2765*E2765</f>
        <v>4980</v>
      </c>
      <c r="K2765" s="2075">
        <f t="shared" ref="K2765" si="1264">H2765+J2765</f>
        <v>21580</v>
      </c>
      <c r="L2765" s="2076"/>
      <c r="M2765" s="2059"/>
      <c r="O2765" s="1863"/>
      <c r="P2765" s="2077"/>
      <c r="Q2765" s="2077"/>
    </row>
    <row r="2766" spans="1:17" ht="22.15" customHeight="1">
      <c r="A2766" s="1901"/>
      <c r="B2766" s="2078"/>
      <c r="C2766" s="2070" t="s">
        <v>738</v>
      </c>
      <c r="D2766" s="2071"/>
      <c r="E2766" s="2079"/>
      <c r="F2766" s="2073"/>
      <c r="G2766" s="2080"/>
      <c r="H2766" s="2074"/>
      <c r="I2766" s="1855"/>
      <c r="J2766" s="2073"/>
      <c r="K2766" s="2075"/>
      <c r="L2766" s="2076"/>
      <c r="M2766" s="2059"/>
      <c r="O2766" s="1863"/>
      <c r="P2766" s="2077"/>
      <c r="Q2766" s="2077"/>
    </row>
    <row r="2767" spans="1:17" ht="22.15" customHeight="1">
      <c r="A2767" s="1901"/>
      <c r="B2767" s="2078"/>
      <c r="C2767" s="2070"/>
      <c r="D2767" s="2071"/>
      <c r="E2767" s="2079"/>
      <c r="F2767" s="2073"/>
      <c r="G2767" s="2080"/>
      <c r="H2767" s="2074"/>
      <c r="I2767" s="1855"/>
      <c r="J2767" s="2073"/>
      <c r="K2767" s="2075"/>
      <c r="L2767" s="2076"/>
      <c r="M2767" s="2059"/>
      <c r="O2767" s="1863"/>
      <c r="P2767" s="2077"/>
      <c r="Q2767" s="2077"/>
    </row>
    <row r="2768" spans="1:17" ht="22.15" customHeight="1">
      <c r="A2768" s="1901"/>
      <c r="B2768" s="2069" t="s">
        <v>2847</v>
      </c>
      <c r="C2768" s="2070"/>
      <c r="D2768" s="2071"/>
      <c r="E2768" s="2072">
        <v>2</v>
      </c>
      <c r="F2768" s="2073" t="s">
        <v>723</v>
      </c>
      <c r="G2768" s="1853"/>
      <c r="H2768" s="2074"/>
      <c r="I2768" s="1855"/>
      <c r="J2768" s="2073"/>
      <c r="K2768" s="2075"/>
      <c r="L2768" s="2076"/>
      <c r="M2768" s="2059"/>
      <c r="O2768" s="1863"/>
      <c r="P2768" s="2077"/>
      <c r="Q2768" s="2077"/>
    </row>
    <row r="2769" spans="1:17" ht="22.15" customHeight="1">
      <c r="A2769" s="1901"/>
      <c r="B2769" s="2078" t="s">
        <v>425</v>
      </c>
      <c r="C2769" s="2070" t="s">
        <v>724</v>
      </c>
      <c r="D2769" s="2071"/>
      <c r="E2769" s="2079">
        <v>18</v>
      </c>
      <c r="F2769" s="2073" t="s">
        <v>240</v>
      </c>
      <c r="G2769" s="1853">
        <v>1430</v>
      </c>
      <c r="H2769" s="2074">
        <f t="shared" ref="H2769:H2774" si="1265">G2769*E2769</f>
        <v>25740</v>
      </c>
      <c r="I2769" s="1855">
        <v>450</v>
      </c>
      <c r="J2769" s="2073">
        <f t="shared" ref="J2769:J2774" si="1266">I2769*E2769</f>
        <v>8100</v>
      </c>
      <c r="K2769" s="2075">
        <f t="shared" ref="K2769:K2774" si="1267">H2769+J2769</f>
        <v>33840</v>
      </c>
      <c r="L2769" s="2076"/>
      <c r="M2769" s="2059"/>
      <c r="O2769" s="1863"/>
      <c r="P2769" s="2077"/>
      <c r="Q2769" s="2077"/>
    </row>
    <row r="2770" spans="1:17" ht="22.15" customHeight="1">
      <c r="A2770" s="1901"/>
      <c r="B2770" s="2078" t="s">
        <v>425</v>
      </c>
      <c r="C2770" s="2070" t="s">
        <v>2822</v>
      </c>
      <c r="D2770" s="2071"/>
      <c r="E2770" s="2079">
        <v>18</v>
      </c>
      <c r="F2770" s="2073" t="s">
        <v>240</v>
      </c>
      <c r="G2770" s="1853">
        <v>6225</v>
      </c>
      <c r="H2770" s="2074">
        <f t="shared" si="1265"/>
        <v>112050</v>
      </c>
      <c r="I2770" s="1855">
        <v>200</v>
      </c>
      <c r="J2770" s="2073">
        <f t="shared" si="1266"/>
        <v>3600</v>
      </c>
      <c r="K2770" s="2075">
        <f t="shared" si="1267"/>
        <v>115650</v>
      </c>
      <c r="L2770" s="2076"/>
      <c r="M2770" s="2059"/>
      <c r="O2770" s="1863"/>
      <c r="P2770" s="2077"/>
      <c r="Q2770" s="2077"/>
    </row>
    <row r="2771" spans="1:17" ht="22.15" customHeight="1">
      <c r="A2771" s="1901"/>
      <c r="B2771" s="2078" t="s">
        <v>425</v>
      </c>
      <c r="C2771" s="2070" t="s">
        <v>2823</v>
      </c>
      <c r="D2771" s="2071"/>
      <c r="E2771" s="2079">
        <v>18</v>
      </c>
      <c r="F2771" s="2073" t="s">
        <v>240</v>
      </c>
      <c r="G2771" s="1853">
        <v>315</v>
      </c>
      <c r="H2771" s="2074">
        <f t="shared" si="1265"/>
        <v>5670</v>
      </c>
      <c r="I2771" s="1855">
        <v>0</v>
      </c>
      <c r="J2771" s="2073">
        <f t="shared" si="1266"/>
        <v>0</v>
      </c>
      <c r="K2771" s="2075">
        <f t="shared" si="1267"/>
        <v>5670</v>
      </c>
      <c r="L2771" s="2076"/>
      <c r="M2771" s="2059"/>
      <c r="O2771" s="1863"/>
      <c r="P2771" s="2077"/>
      <c r="Q2771" s="2077"/>
    </row>
    <row r="2772" spans="1:17" ht="22.15" customHeight="1">
      <c r="A2772" s="1901"/>
      <c r="B2772" s="2078" t="s">
        <v>425</v>
      </c>
      <c r="C2772" s="2070" t="s">
        <v>2824</v>
      </c>
      <c r="D2772" s="2071"/>
      <c r="E2772" s="2079">
        <v>18</v>
      </c>
      <c r="F2772" s="2073" t="s">
        <v>240</v>
      </c>
      <c r="G2772" s="1853">
        <v>690</v>
      </c>
      <c r="H2772" s="2074">
        <f t="shared" si="1265"/>
        <v>12420</v>
      </c>
      <c r="I2772" s="1855">
        <v>0</v>
      </c>
      <c r="J2772" s="2073">
        <f t="shared" si="1266"/>
        <v>0</v>
      </c>
      <c r="K2772" s="2075">
        <f t="shared" si="1267"/>
        <v>12420</v>
      </c>
      <c r="L2772" s="2076"/>
      <c r="M2772" s="2059"/>
      <c r="O2772" s="1863"/>
      <c r="P2772" s="2077"/>
      <c r="Q2772" s="2077"/>
    </row>
    <row r="2773" spans="1:17" ht="22.15" customHeight="1">
      <c r="A2773" s="1901"/>
      <c r="B2773" s="2078" t="s">
        <v>425</v>
      </c>
      <c r="C2773" s="2070" t="s">
        <v>739</v>
      </c>
      <c r="D2773" s="2071"/>
      <c r="E2773" s="2079">
        <v>18</v>
      </c>
      <c r="F2773" s="2073" t="s">
        <v>240</v>
      </c>
      <c r="G2773" s="1853">
        <v>165</v>
      </c>
      <c r="H2773" s="2074">
        <f t="shared" si="1265"/>
        <v>2970</v>
      </c>
      <c r="I2773" s="1855">
        <v>0</v>
      </c>
      <c r="J2773" s="2073">
        <f t="shared" si="1266"/>
        <v>0</v>
      </c>
      <c r="K2773" s="2075">
        <f t="shared" si="1267"/>
        <v>2970</v>
      </c>
      <c r="L2773" s="2076"/>
      <c r="M2773" s="2059"/>
      <c r="O2773" s="1863"/>
      <c r="P2773" s="2077"/>
      <c r="Q2773" s="2077"/>
    </row>
    <row r="2774" spans="1:17" ht="22.15" customHeight="1">
      <c r="A2774" s="1901"/>
      <c r="B2774" s="2078" t="s">
        <v>425</v>
      </c>
      <c r="C2774" s="2070" t="s">
        <v>2826</v>
      </c>
      <c r="D2774" s="2071"/>
      <c r="E2774" s="2079">
        <v>18</v>
      </c>
      <c r="F2774" s="2073" t="s">
        <v>240</v>
      </c>
      <c r="G2774" s="1853">
        <v>202.5</v>
      </c>
      <c r="H2774" s="2074">
        <f t="shared" si="1265"/>
        <v>3645</v>
      </c>
      <c r="I2774" s="1855">
        <v>35</v>
      </c>
      <c r="J2774" s="2073">
        <f t="shared" si="1266"/>
        <v>630</v>
      </c>
      <c r="K2774" s="2075">
        <f t="shared" si="1267"/>
        <v>4275</v>
      </c>
      <c r="L2774" s="2076"/>
      <c r="M2774" s="2059"/>
      <c r="O2774" s="1863"/>
      <c r="P2774" s="2077"/>
      <c r="Q2774" s="2077"/>
    </row>
    <row r="2775" spans="1:17" ht="22.15" customHeight="1">
      <c r="A2775" s="1901"/>
      <c r="B2775" s="2078"/>
      <c r="C2775" s="2070"/>
      <c r="D2775" s="2071"/>
      <c r="E2775" s="2079"/>
      <c r="F2775" s="2073"/>
      <c r="G2775" s="1853"/>
      <c r="H2775" s="2074"/>
      <c r="I2775" s="1855"/>
      <c r="J2775" s="2073"/>
      <c r="K2775" s="2075"/>
      <c r="L2775" s="2076"/>
      <c r="M2775" s="2059"/>
      <c r="O2775" s="1863"/>
      <c r="P2775" s="2077"/>
      <c r="Q2775" s="2077"/>
    </row>
    <row r="2776" spans="1:17" ht="22.15" customHeight="1">
      <c r="A2776" s="1901"/>
      <c r="B2776" s="2078" t="s">
        <v>425</v>
      </c>
      <c r="C2776" s="2070" t="s">
        <v>725</v>
      </c>
      <c r="D2776" s="2071"/>
      <c r="E2776" s="2079">
        <v>34</v>
      </c>
      <c r="F2776" s="2073" t="s">
        <v>240</v>
      </c>
      <c r="G2776" s="1853">
        <v>8723</v>
      </c>
      <c r="H2776" s="2074">
        <f t="shared" ref="H2776:H2778" si="1268">G2776*E2776</f>
        <v>296582</v>
      </c>
      <c r="I2776" s="1855">
        <v>450</v>
      </c>
      <c r="J2776" s="2073">
        <f t="shared" ref="J2776:J2778" si="1269">I2776*E2776</f>
        <v>15300</v>
      </c>
      <c r="K2776" s="2075">
        <f t="shared" ref="K2776:K2778" si="1270">H2776+J2776</f>
        <v>311882</v>
      </c>
      <c r="L2776" s="2076"/>
      <c r="M2776" s="2059"/>
      <c r="O2776" s="1863"/>
      <c r="P2776" s="2077"/>
      <c r="Q2776" s="2077"/>
    </row>
    <row r="2777" spans="1:17" ht="22.15" customHeight="1">
      <c r="A2777" s="1901"/>
      <c r="B2777" s="2078" t="s">
        <v>425</v>
      </c>
      <c r="C2777" s="2070" t="s">
        <v>726</v>
      </c>
      <c r="D2777" s="2071"/>
      <c r="E2777" s="2079">
        <v>34</v>
      </c>
      <c r="F2777" s="2073" t="s">
        <v>240</v>
      </c>
      <c r="G2777" s="1853">
        <v>2430</v>
      </c>
      <c r="H2777" s="2074">
        <f t="shared" si="1268"/>
        <v>82620</v>
      </c>
      <c r="I2777" s="1855">
        <v>0</v>
      </c>
      <c r="J2777" s="2073">
        <f t="shared" si="1269"/>
        <v>0</v>
      </c>
      <c r="K2777" s="2075">
        <f t="shared" si="1270"/>
        <v>82620</v>
      </c>
      <c r="L2777" s="2076"/>
      <c r="M2777" s="2059"/>
      <c r="O2777" s="1863"/>
      <c r="P2777" s="2077"/>
      <c r="Q2777" s="2077"/>
    </row>
    <row r="2778" spans="1:17" ht="22.15" customHeight="1">
      <c r="A2778" s="1901"/>
      <c r="B2778" s="2078" t="s">
        <v>425</v>
      </c>
      <c r="C2778" s="2070" t="s">
        <v>2826</v>
      </c>
      <c r="D2778" s="2071"/>
      <c r="E2778" s="2079">
        <v>34</v>
      </c>
      <c r="F2778" s="2073" t="s">
        <v>240</v>
      </c>
      <c r="G2778" s="1853">
        <v>202.5</v>
      </c>
      <c r="H2778" s="2074">
        <f t="shared" si="1268"/>
        <v>6885</v>
      </c>
      <c r="I2778" s="1855">
        <v>35</v>
      </c>
      <c r="J2778" s="2073">
        <f t="shared" si="1269"/>
        <v>1190</v>
      </c>
      <c r="K2778" s="2075">
        <f t="shared" si="1270"/>
        <v>8075</v>
      </c>
      <c r="L2778" s="2076"/>
      <c r="M2778" s="2059"/>
      <c r="O2778" s="1863"/>
      <c r="P2778" s="2077"/>
      <c r="Q2778" s="2077"/>
    </row>
    <row r="2779" spans="1:17" ht="22.15" customHeight="1">
      <c r="A2779" s="1901"/>
      <c r="B2779" s="2078"/>
      <c r="C2779" s="2070"/>
      <c r="D2779" s="2071"/>
      <c r="E2779" s="2079"/>
      <c r="F2779" s="2073"/>
      <c r="G2779" s="1853"/>
      <c r="H2779" s="2074"/>
      <c r="I2779" s="1855"/>
      <c r="J2779" s="2073"/>
      <c r="K2779" s="2075"/>
      <c r="L2779" s="2076"/>
      <c r="M2779" s="2059"/>
      <c r="O2779" s="1863"/>
      <c r="P2779" s="2077"/>
      <c r="Q2779" s="2077"/>
    </row>
    <row r="2780" spans="1:17" ht="22.15" customHeight="1">
      <c r="A2780" s="1901"/>
      <c r="B2780" s="2078" t="s">
        <v>425</v>
      </c>
      <c r="C2780" s="1755" t="s">
        <v>728</v>
      </c>
      <c r="D2780" s="2071"/>
      <c r="E2780" s="2079">
        <v>16</v>
      </c>
      <c r="F2780" s="2073" t="s">
        <v>240</v>
      </c>
      <c r="G2780" s="1853">
        <v>525</v>
      </c>
      <c r="H2780" s="2074">
        <f t="shared" ref="H2780:H2785" si="1271">G2780*E2780</f>
        <v>8400</v>
      </c>
      <c r="I2780" s="1855">
        <v>75</v>
      </c>
      <c r="J2780" s="2073">
        <f t="shared" ref="J2780:J2785" si="1272">I2780*E2780</f>
        <v>1200</v>
      </c>
      <c r="K2780" s="2075">
        <f t="shared" ref="K2780:K2785" si="1273">H2780+J2780</f>
        <v>9600</v>
      </c>
      <c r="L2780" s="2076"/>
      <c r="M2780" s="2059"/>
      <c r="O2780" s="1863"/>
      <c r="P2780" s="2077"/>
      <c r="Q2780" s="2077"/>
    </row>
    <row r="2781" spans="1:17" ht="22.15" customHeight="1">
      <c r="A2781" s="1901"/>
      <c r="B2781" s="2078" t="s">
        <v>425</v>
      </c>
      <c r="C2781" s="1755" t="s">
        <v>743</v>
      </c>
      <c r="D2781" s="2071"/>
      <c r="E2781" s="2079">
        <f>1*$E$2400</f>
        <v>1</v>
      </c>
      <c r="F2781" s="2073" t="s">
        <v>240</v>
      </c>
      <c r="G2781" s="1853">
        <v>517.5</v>
      </c>
      <c r="H2781" s="2074">
        <f t="shared" si="1271"/>
        <v>517.5</v>
      </c>
      <c r="I2781" s="1855">
        <v>25</v>
      </c>
      <c r="J2781" s="2073">
        <f t="shared" si="1272"/>
        <v>25</v>
      </c>
      <c r="K2781" s="2075">
        <f t="shared" si="1273"/>
        <v>542.5</v>
      </c>
      <c r="L2781" s="2076"/>
      <c r="M2781" s="2059"/>
      <c r="O2781" s="1863"/>
      <c r="P2781" s="2077"/>
      <c r="Q2781" s="2077"/>
    </row>
    <row r="2782" spans="1:17" ht="22.15" customHeight="1">
      <c r="A2782" s="1901"/>
      <c r="B2782" s="2078" t="s">
        <v>425</v>
      </c>
      <c r="C2782" s="1755" t="s">
        <v>729</v>
      </c>
      <c r="D2782" s="2071"/>
      <c r="E2782" s="2079">
        <f>E2776</f>
        <v>34</v>
      </c>
      <c r="F2782" s="2073" t="s">
        <v>240</v>
      </c>
      <c r="G2782" s="2082">
        <v>13500</v>
      </c>
      <c r="H2782" s="2074">
        <f t="shared" si="1271"/>
        <v>459000</v>
      </c>
      <c r="I2782" s="1855">
        <v>750</v>
      </c>
      <c r="J2782" s="2073">
        <f t="shared" si="1272"/>
        <v>25500</v>
      </c>
      <c r="K2782" s="2075">
        <f t="shared" si="1273"/>
        <v>484500</v>
      </c>
      <c r="L2782" s="2076"/>
      <c r="M2782" s="2059"/>
      <c r="O2782" s="1863"/>
      <c r="P2782" s="2077"/>
      <c r="Q2782" s="2077"/>
    </row>
    <row r="2783" spans="1:17" ht="22.15" customHeight="1">
      <c r="A2783" s="1901"/>
      <c r="B2783" s="2078" t="s">
        <v>425</v>
      </c>
      <c r="C2783" s="1755" t="s">
        <v>730</v>
      </c>
      <c r="D2783" s="2071"/>
      <c r="E2783" s="2079">
        <v>2</v>
      </c>
      <c r="F2783" s="2073" t="s">
        <v>240</v>
      </c>
      <c r="G2783" s="2080">
        <v>1320</v>
      </c>
      <c r="H2783" s="2074">
        <f t="shared" si="1271"/>
        <v>2640</v>
      </c>
      <c r="I2783" s="1855">
        <v>70</v>
      </c>
      <c r="J2783" s="2073">
        <f t="shared" si="1272"/>
        <v>140</v>
      </c>
      <c r="K2783" s="2075">
        <f t="shared" si="1273"/>
        <v>2780</v>
      </c>
      <c r="L2783" s="2076"/>
      <c r="M2783" s="2059"/>
      <c r="O2783" s="1863"/>
      <c r="P2783" s="2077"/>
      <c r="Q2783" s="2077"/>
    </row>
    <row r="2784" spans="1:17" ht="22.15" customHeight="1">
      <c r="A2784" s="1901"/>
      <c r="B2784" s="2078" t="s">
        <v>425</v>
      </c>
      <c r="C2784" s="1755" t="s">
        <v>752</v>
      </c>
      <c r="D2784" s="2071"/>
      <c r="E2784" s="2079">
        <v>2</v>
      </c>
      <c r="F2784" s="2073" t="s">
        <v>240</v>
      </c>
      <c r="G2784" s="2080">
        <v>4100</v>
      </c>
      <c r="H2784" s="1788">
        <f t="shared" si="1271"/>
        <v>8200</v>
      </c>
      <c r="I2784" s="2083">
        <v>200</v>
      </c>
      <c r="J2784" s="1808">
        <f t="shared" si="1272"/>
        <v>400</v>
      </c>
      <c r="K2784" s="1897">
        <f t="shared" si="1273"/>
        <v>8600</v>
      </c>
      <c r="L2784" s="2076"/>
      <c r="M2784" s="2059"/>
      <c r="O2784" s="1863"/>
      <c r="P2784" s="2077"/>
      <c r="Q2784" s="2077"/>
    </row>
    <row r="2785" spans="1:17" ht="22.15" customHeight="1">
      <c r="A2785" s="1901"/>
      <c r="B2785" s="2078" t="s">
        <v>425</v>
      </c>
      <c r="C2785" s="1755" t="s">
        <v>2828</v>
      </c>
      <c r="D2785" s="2071"/>
      <c r="E2785" s="2079">
        <v>4</v>
      </c>
      <c r="F2785" s="2073" t="s">
        <v>240</v>
      </c>
      <c r="G2785" s="2080">
        <v>2835</v>
      </c>
      <c r="H2785" s="2074">
        <f t="shared" si="1271"/>
        <v>11340</v>
      </c>
      <c r="I2785" s="1855">
        <v>105</v>
      </c>
      <c r="J2785" s="2073">
        <f t="shared" si="1272"/>
        <v>420</v>
      </c>
      <c r="K2785" s="2075">
        <f t="shared" si="1273"/>
        <v>11760</v>
      </c>
      <c r="L2785" s="2076"/>
      <c r="M2785" s="2059"/>
      <c r="O2785" s="1863"/>
      <c r="P2785" s="2077"/>
      <c r="Q2785" s="2077"/>
    </row>
    <row r="2786" spans="1:17" ht="22.15" customHeight="1">
      <c r="A2786" s="1901"/>
      <c r="B2786" s="2078"/>
      <c r="C2786" s="1755"/>
      <c r="D2786" s="2071"/>
      <c r="E2786" s="2079"/>
      <c r="F2786" s="2073"/>
      <c r="G2786" s="2080"/>
      <c r="H2786" s="2074"/>
      <c r="I2786" s="1855"/>
      <c r="J2786" s="2073"/>
      <c r="K2786" s="2075"/>
      <c r="L2786" s="2076"/>
      <c r="M2786" s="2059"/>
      <c r="O2786" s="1863"/>
      <c r="P2786" s="2077"/>
      <c r="Q2786" s="2077"/>
    </row>
    <row r="2787" spans="1:17" ht="22.15" customHeight="1">
      <c r="A2787" s="1901"/>
      <c r="B2787" s="2078" t="s">
        <v>425</v>
      </c>
      <c r="C2787" s="2070" t="s">
        <v>732</v>
      </c>
      <c r="D2787" s="2071"/>
      <c r="E2787" s="1808">
        <f>7.3*2</f>
        <v>14.6</v>
      </c>
      <c r="F2787" s="2073" t="s">
        <v>616</v>
      </c>
      <c r="G2787" s="2084">
        <v>3886</v>
      </c>
      <c r="H2787" s="2085">
        <f t="shared" ref="H2787:H2791" si="1274">G2787*E2787</f>
        <v>56735.6</v>
      </c>
      <c r="I2787" s="1904">
        <v>1238</v>
      </c>
      <c r="J2787" s="2086">
        <f t="shared" ref="J2787:J2791" si="1275">I2787*E2787</f>
        <v>18074.8</v>
      </c>
      <c r="K2787" s="2087">
        <f t="shared" ref="K2787:K2791" si="1276">H2787+J2787</f>
        <v>74810.399999999994</v>
      </c>
      <c r="L2787" s="2076"/>
      <c r="M2787" s="2059"/>
      <c r="O2787" s="1863"/>
      <c r="P2787" s="2077"/>
      <c r="Q2787" s="2077"/>
    </row>
    <row r="2788" spans="1:17" ht="22.15" customHeight="1">
      <c r="A2788" s="1901"/>
      <c r="B2788" s="2078" t="s">
        <v>425</v>
      </c>
      <c r="C2788" s="2070" t="s">
        <v>734</v>
      </c>
      <c r="D2788" s="2071"/>
      <c r="E2788" s="1808">
        <f>15.3*2</f>
        <v>30.6</v>
      </c>
      <c r="F2788" s="2073" t="s">
        <v>616</v>
      </c>
      <c r="G2788" s="2084">
        <v>1522</v>
      </c>
      <c r="H2788" s="2085">
        <f t="shared" si="1274"/>
        <v>46573.200000000004</v>
      </c>
      <c r="I2788" s="2088">
        <v>315</v>
      </c>
      <c r="J2788" s="2086">
        <f t="shared" si="1275"/>
        <v>9639</v>
      </c>
      <c r="K2788" s="2087">
        <f t="shared" si="1276"/>
        <v>56212.200000000004</v>
      </c>
      <c r="L2788" s="2076"/>
      <c r="M2788" s="2059"/>
      <c r="O2788" s="1863"/>
      <c r="P2788" s="2077"/>
      <c r="Q2788" s="2077"/>
    </row>
    <row r="2789" spans="1:17" ht="22.15" customHeight="1">
      <c r="A2789" s="1901"/>
      <c r="B2789" s="2078" t="s">
        <v>425</v>
      </c>
      <c r="C2789" s="2070" t="s">
        <v>746</v>
      </c>
      <c r="D2789" s="2071"/>
      <c r="E2789" s="1808">
        <f>2.4*2</f>
        <v>4.8</v>
      </c>
      <c r="F2789" s="2073" t="s">
        <v>616</v>
      </c>
      <c r="G2789" s="2080">
        <v>750</v>
      </c>
      <c r="H2789" s="1788">
        <f t="shared" si="1274"/>
        <v>3600</v>
      </c>
      <c r="I2789" s="2083">
        <v>45</v>
      </c>
      <c r="J2789" s="1808">
        <f t="shared" si="1275"/>
        <v>216</v>
      </c>
      <c r="K2789" s="1897">
        <f t="shared" si="1276"/>
        <v>3816</v>
      </c>
      <c r="L2789" s="2076"/>
      <c r="M2789" s="2059"/>
      <c r="O2789" s="1863"/>
      <c r="P2789" s="2077"/>
      <c r="Q2789" s="2077"/>
    </row>
    <row r="2790" spans="1:17" ht="22.15" customHeight="1">
      <c r="A2790" s="1901"/>
      <c r="B2790" s="2078" t="s">
        <v>425</v>
      </c>
      <c r="C2790" s="2070" t="s">
        <v>747</v>
      </c>
      <c r="D2790" s="2071"/>
      <c r="E2790" s="1808">
        <f>5.6*2</f>
        <v>11.2</v>
      </c>
      <c r="F2790" s="2073" t="s">
        <v>616</v>
      </c>
      <c r="G2790" s="2080">
        <v>60</v>
      </c>
      <c r="H2790" s="1788">
        <f t="shared" si="1274"/>
        <v>672</v>
      </c>
      <c r="I2790" s="2083">
        <v>45</v>
      </c>
      <c r="J2790" s="1808">
        <f t="shared" si="1275"/>
        <v>503.99999999999994</v>
      </c>
      <c r="K2790" s="1897">
        <f t="shared" si="1276"/>
        <v>1176</v>
      </c>
      <c r="L2790" s="1791"/>
      <c r="M2790" s="1809"/>
      <c r="O2790" s="1863"/>
      <c r="P2790" s="2077"/>
      <c r="Q2790" s="2077"/>
    </row>
    <row r="2791" spans="1:17" ht="22.15" customHeight="1">
      <c r="A2791" s="1901"/>
      <c r="B2791" s="2078" t="s">
        <v>425</v>
      </c>
      <c r="C2791" s="2070" t="s">
        <v>2830</v>
      </c>
      <c r="D2791" s="2071"/>
      <c r="E2791" s="1808">
        <f>E2787</f>
        <v>14.6</v>
      </c>
      <c r="F2791" s="2073" t="s">
        <v>616</v>
      </c>
      <c r="G2791" s="2084">
        <v>2694</v>
      </c>
      <c r="H2791" s="2085">
        <f t="shared" si="1274"/>
        <v>39332.400000000001</v>
      </c>
      <c r="I2791" s="1904">
        <v>1288</v>
      </c>
      <c r="J2791" s="2086">
        <f t="shared" si="1275"/>
        <v>18804.8</v>
      </c>
      <c r="K2791" s="2087">
        <f t="shared" si="1276"/>
        <v>58137.2</v>
      </c>
      <c r="L2791" s="2076"/>
      <c r="M2791" s="2059"/>
      <c r="O2791" s="1863"/>
      <c r="P2791" s="2077"/>
      <c r="Q2791" s="2077"/>
    </row>
    <row r="2792" spans="1:17" ht="22.15" customHeight="1">
      <c r="A2792" s="1901"/>
      <c r="B2792" s="2078"/>
      <c r="C2792" s="2070" t="s">
        <v>737</v>
      </c>
      <c r="D2792" s="2071"/>
      <c r="E2792" s="2079"/>
      <c r="F2792" s="2073"/>
      <c r="G2792" s="2080"/>
      <c r="H2792" s="2074"/>
      <c r="I2792" s="1855"/>
      <c r="J2792" s="2073"/>
      <c r="K2792" s="2075"/>
      <c r="L2792" s="2076"/>
      <c r="M2792" s="2059"/>
      <c r="O2792" s="1863"/>
      <c r="P2792" s="2077"/>
      <c r="Q2792" s="2077"/>
    </row>
    <row r="2793" spans="1:17" ht="22.15" customHeight="1">
      <c r="A2793" s="1901"/>
      <c r="B2793" s="2078"/>
      <c r="C2793" s="2070"/>
      <c r="D2793" s="2071"/>
      <c r="E2793" s="2079"/>
      <c r="F2793" s="2073"/>
      <c r="G2793" s="2080"/>
      <c r="H2793" s="2074"/>
      <c r="I2793" s="1855"/>
      <c r="J2793" s="2073"/>
      <c r="K2793" s="2075"/>
      <c r="L2793" s="2076"/>
      <c r="M2793" s="2059"/>
      <c r="O2793" s="1863"/>
      <c r="P2793" s="2077"/>
      <c r="Q2793" s="2077"/>
    </row>
    <row r="2794" spans="1:17" ht="22.15" customHeight="1">
      <c r="A2794" s="1901"/>
      <c r="B2794" s="2078" t="s">
        <v>425</v>
      </c>
      <c r="C2794" s="2070" t="s">
        <v>2831</v>
      </c>
      <c r="D2794" s="2071"/>
      <c r="E2794" s="2079">
        <v>2</v>
      </c>
      <c r="F2794" s="2073" t="s">
        <v>240</v>
      </c>
      <c r="G2794" s="1853">
        <v>8300</v>
      </c>
      <c r="H2794" s="2074">
        <f t="shared" ref="H2794" si="1277">G2794*E2794</f>
        <v>16600</v>
      </c>
      <c r="I2794" s="1855">
        <v>2490</v>
      </c>
      <c r="J2794" s="2073">
        <f>I2794*E2794</f>
        <v>4980</v>
      </c>
      <c r="K2794" s="2075">
        <f t="shared" ref="K2794" si="1278">H2794+J2794</f>
        <v>21580</v>
      </c>
      <c r="L2794" s="2076"/>
      <c r="M2794" s="2059"/>
      <c r="O2794" s="1863"/>
      <c r="P2794" s="2077"/>
      <c r="Q2794" s="2077"/>
    </row>
    <row r="2795" spans="1:17" ht="22.15" customHeight="1">
      <c r="A2795" s="1901"/>
      <c r="B2795" s="2078"/>
      <c r="C2795" s="2070" t="s">
        <v>738</v>
      </c>
      <c r="D2795" s="2071"/>
      <c r="E2795" s="2079"/>
      <c r="F2795" s="2073"/>
      <c r="G2795" s="2080"/>
      <c r="H2795" s="2074"/>
      <c r="I2795" s="1855"/>
      <c r="J2795" s="2073"/>
      <c r="K2795" s="2075"/>
      <c r="L2795" s="2076"/>
      <c r="M2795" s="2059"/>
      <c r="O2795" s="1863"/>
      <c r="P2795" s="2077"/>
      <c r="Q2795" s="2077"/>
    </row>
    <row r="2796" spans="1:17" ht="22.15" customHeight="1">
      <c r="A2796" s="1901"/>
      <c r="B2796" s="2069" t="s">
        <v>2848</v>
      </c>
      <c r="C2796" s="2070"/>
      <c r="D2796" s="2071"/>
      <c r="E2796" s="2072">
        <v>2</v>
      </c>
      <c r="F2796" s="2073" t="s">
        <v>723</v>
      </c>
      <c r="G2796" s="1853"/>
      <c r="H2796" s="2074"/>
      <c r="I2796" s="1855"/>
      <c r="J2796" s="2073"/>
      <c r="K2796" s="2075"/>
      <c r="L2796" s="2076"/>
      <c r="M2796" s="2059"/>
      <c r="O2796" s="1863"/>
      <c r="P2796" s="2077"/>
      <c r="Q2796" s="2077"/>
    </row>
    <row r="2797" spans="1:17" ht="22.15" customHeight="1">
      <c r="A2797" s="1901"/>
      <c r="B2797" s="2078" t="s">
        <v>425</v>
      </c>
      <c r="C2797" s="2070" t="s">
        <v>740</v>
      </c>
      <c r="D2797" s="2071"/>
      <c r="E2797" s="2079">
        <v>2</v>
      </c>
      <c r="F2797" s="2073" t="s">
        <v>240</v>
      </c>
      <c r="G2797" s="1853">
        <v>6344</v>
      </c>
      <c r="H2797" s="2074">
        <f t="shared" ref="H2797:H2802" si="1279">G2797*E2797</f>
        <v>12688</v>
      </c>
      <c r="I2797" s="1855">
        <v>450</v>
      </c>
      <c r="J2797" s="2073">
        <f t="shared" ref="J2797:J2802" si="1280">I2797*E2797</f>
        <v>900</v>
      </c>
      <c r="K2797" s="2075">
        <f t="shared" ref="K2797:K2802" si="1281">H2797+J2797</f>
        <v>13588</v>
      </c>
      <c r="L2797" s="2076"/>
      <c r="M2797" s="2059"/>
      <c r="O2797" s="1863"/>
      <c r="P2797" s="2077"/>
      <c r="Q2797" s="2077"/>
    </row>
    <row r="2798" spans="1:17" ht="22.15" customHeight="1">
      <c r="A2798" s="1901"/>
      <c r="B2798" s="2078" t="s">
        <v>425</v>
      </c>
      <c r="C2798" s="2070" t="s">
        <v>2822</v>
      </c>
      <c r="D2798" s="2071"/>
      <c r="E2798" s="2079">
        <v>2</v>
      </c>
      <c r="F2798" s="2073" t="s">
        <v>240</v>
      </c>
      <c r="G2798" s="1853">
        <v>6225</v>
      </c>
      <c r="H2798" s="2074">
        <f t="shared" si="1279"/>
        <v>12450</v>
      </c>
      <c r="I2798" s="1855">
        <v>200</v>
      </c>
      <c r="J2798" s="2073">
        <f t="shared" si="1280"/>
        <v>400</v>
      </c>
      <c r="K2798" s="2075">
        <f t="shared" si="1281"/>
        <v>12850</v>
      </c>
      <c r="L2798" s="2076"/>
      <c r="M2798" s="2059"/>
      <c r="O2798" s="1863"/>
      <c r="P2798" s="2077"/>
      <c r="Q2798" s="2077"/>
    </row>
    <row r="2799" spans="1:17" ht="22.15" customHeight="1">
      <c r="A2799" s="1901"/>
      <c r="B2799" s="2078" t="s">
        <v>425</v>
      </c>
      <c r="C2799" s="2070" t="s">
        <v>2823</v>
      </c>
      <c r="D2799" s="2071"/>
      <c r="E2799" s="2079">
        <v>2</v>
      </c>
      <c r="F2799" s="2073" t="s">
        <v>240</v>
      </c>
      <c r="G2799" s="1853">
        <v>315</v>
      </c>
      <c r="H2799" s="2074">
        <f t="shared" si="1279"/>
        <v>630</v>
      </c>
      <c r="I2799" s="1855">
        <v>0</v>
      </c>
      <c r="J2799" s="2073">
        <f t="shared" si="1280"/>
        <v>0</v>
      </c>
      <c r="K2799" s="2075">
        <f t="shared" si="1281"/>
        <v>630</v>
      </c>
      <c r="L2799" s="2076"/>
      <c r="M2799" s="2059"/>
      <c r="O2799" s="1863"/>
      <c r="P2799" s="2077"/>
      <c r="Q2799" s="2077"/>
    </row>
    <row r="2800" spans="1:17" ht="22.15" customHeight="1">
      <c r="A2800" s="1901"/>
      <c r="B2800" s="2078" t="s">
        <v>425</v>
      </c>
      <c r="C2800" s="2070" t="s">
        <v>2824</v>
      </c>
      <c r="D2800" s="2071"/>
      <c r="E2800" s="2079">
        <v>2</v>
      </c>
      <c r="F2800" s="2073" t="s">
        <v>240</v>
      </c>
      <c r="G2800" s="1853">
        <v>690</v>
      </c>
      <c r="H2800" s="2074">
        <f t="shared" si="1279"/>
        <v>1380</v>
      </c>
      <c r="I2800" s="1855">
        <v>0</v>
      </c>
      <c r="J2800" s="2073">
        <f t="shared" si="1280"/>
        <v>0</v>
      </c>
      <c r="K2800" s="2075">
        <f t="shared" si="1281"/>
        <v>1380</v>
      </c>
      <c r="L2800" s="2076"/>
      <c r="M2800" s="2059"/>
      <c r="O2800" s="1863"/>
      <c r="P2800" s="2077"/>
      <c r="Q2800" s="2077"/>
    </row>
    <row r="2801" spans="1:17" ht="22.15" customHeight="1">
      <c r="A2801" s="1901"/>
      <c r="B2801" s="2078" t="s">
        <v>425</v>
      </c>
      <c r="C2801" s="2070" t="s">
        <v>2825</v>
      </c>
      <c r="D2801" s="2071"/>
      <c r="E2801" s="2079">
        <v>2</v>
      </c>
      <c r="F2801" s="2073" t="s">
        <v>240</v>
      </c>
      <c r="G2801" s="1853">
        <v>165</v>
      </c>
      <c r="H2801" s="2074">
        <f t="shared" si="1279"/>
        <v>330</v>
      </c>
      <c r="I2801" s="1855">
        <v>0</v>
      </c>
      <c r="J2801" s="2073">
        <f t="shared" si="1280"/>
        <v>0</v>
      </c>
      <c r="K2801" s="2075">
        <f t="shared" si="1281"/>
        <v>330</v>
      </c>
      <c r="L2801" s="2076"/>
      <c r="M2801" s="2059"/>
      <c r="O2801" s="1863"/>
      <c r="P2801" s="2077"/>
      <c r="Q2801" s="2077"/>
    </row>
    <row r="2802" spans="1:17" ht="22.15" customHeight="1">
      <c r="A2802" s="1901"/>
      <c r="B2802" s="2078" t="s">
        <v>425</v>
      </c>
      <c r="C2802" s="2070" t="s">
        <v>2826</v>
      </c>
      <c r="D2802" s="2071"/>
      <c r="E2802" s="2079">
        <v>2</v>
      </c>
      <c r="F2802" s="2073" t="s">
        <v>240</v>
      </c>
      <c r="G2802" s="1853">
        <v>202.5</v>
      </c>
      <c r="H2802" s="2074">
        <f t="shared" si="1279"/>
        <v>405</v>
      </c>
      <c r="I2802" s="1855">
        <v>35</v>
      </c>
      <c r="J2802" s="2073">
        <f t="shared" si="1280"/>
        <v>70</v>
      </c>
      <c r="K2802" s="2075">
        <f t="shared" si="1281"/>
        <v>475</v>
      </c>
      <c r="L2802" s="2076"/>
      <c r="M2802" s="2059"/>
      <c r="O2802" s="1863"/>
      <c r="P2802" s="2077"/>
      <c r="Q2802" s="2077"/>
    </row>
    <row r="2803" spans="1:17" ht="22.15" customHeight="1">
      <c r="A2803" s="1901"/>
      <c r="B2803" s="2078"/>
      <c r="C2803" s="2070"/>
      <c r="D2803" s="2071"/>
      <c r="E2803" s="2079"/>
      <c r="F2803" s="2073"/>
      <c r="G2803" s="1853"/>
      <c r="H2803" s="2074"/>
      <c r="I2803" s="1855"/>
      <c r="J2803" s="2073"/>
      <c r="K2803" s="2075"/>
      <c r="L2803" s="2076"/>
      <c r="M2803" s="2059"/>
      <c r="O2803" s="1863"/>
      <c r="P2803" s="2077"/>
      <c r="Q2803" s="2077"/>
    </row>
    <row r="2804" spans="1:17" ht="22.15" customHeight="1">
      <c r="A2804" s="1901"/>
      <c r="B2804" s="2078" t="s">
        <v>425</v>
      </c>
      <c r="C2804" s="1755" t="s">
        <v>2834</v>
      </c>
      <c r="D2804" s="2071"/>
      <c r="E2804" s="2079">
        <v>2</v>
      </c>
      <c r="F2804" s="2073" t="s">
        <v>240</v>
      </c>
      <c r="G2804" s="1853">
        <v>6110</v>
      </c>
      <c r="H2804" s="2074">
        <f t="shared" ref="H2804:H2807" si="1282">G2804*E2804</f>
        <v>12220</v>
      </c>
      <c r="I2804" s="1855">
        <v>450</v>
      </c>
      <c r="J2804" s="2073">
        <f t="shared" ref="J2804:J2807" si="1283">I2804*E2804</f>
        <v>900</v>
      </c>
      <c r="K2804" s="2075">
        <f t="shared" ref="K2804:K2807" si="1284">H2804+J2804</f>
        <v>13120</v>
      </c>
      <c r="L2804" s="2076"/>
      <c r="M2804" s="2059"/>
      <c r="O2804" s="1863"/>
      <c r="P2804" s="2077"/>
      <c r="Q2804" s="2077"/>
    </row>
    <row r="2805" spans="1:17" ht="22.15" customHeight="1">
      <c r="A2805" s="1901"/>
      <c r="B2805" s="2078" t="s">
        <v>425</v>
      </c>
      <c r="C2805" s="1755" t="s">
        <v>2825</v>
      </c>
      <c r="D2805" s="2071"/>
      <c r="E2805" s="2079">
        <v>2</v>
      </c>
      <c r="F2805" s="2073" t="s">
        <v>240</v>
      </c>
      <c r="G2805" s="1853">
        <v>165</v>
      </c>
      <c r="H2805" s="2074">
        <f t="shared" si="1282"/>
        <v>330</v>
      </c>
      <c r="I2805" s="1855">
        <v>0</v>
      </c>
      <c r="J2805" s="2073">
        <f t="shared" si="1283"/>
        <v>0</v>
      </c>
      <c r="K2805" s="2075">
        <f t="shared" si="1284"/>
        <v>330</v>
      </c>
      <c r="L2805" s="2076"/>
      <c r="M2805" s="2059"/>
      <c r="O2805" s="1863"/>
      <c r="P2805" s="2077"/>
      <c r="Q2805" s="2077"/>
    </row>
    <row r="2806" spans="1:17" ht="22.15" customHeight="1">
      <c r="A2806" s="1901"/>
      <c r="B2806" s="2078" t="s">
        <v>425</v>
      </c>
      <c r="C2806" s="1755" t="s">
        <v>2835</v>
      </c>
      <c r="D2806" s="2071"/>
      <c r="E2806" s="2079">
        <v>2</v>
      </c>
      <c r="F2806" s="2073" t="s">
        <v>240</v>
      </c>
      <c r="G2806" s="1853">
        <v>525</v>
      </c>
      <c r="H2806" s="2074">
        <f t="shared" si="1282"/>
        <v>1050</v>
      </c>
      <c r="I2806" s="1855">
        <v>35</v>
      </c>
      <c r="J2806" s="2073">
        <f t="shared" si="1283"/>
        <v>70</v>
      </c>
      <c r="K2806" s="2075">
        <f t="shared" si="1284"/>
        <v>1120</v>
      </c>
      <c r="L2806" s="2076"/>
      <c r="M2806" s="2059"/>
      <c r="O2806" s="1863"/>
      <c r="P2806" s="2077"/>
      <c r="Q2806" s="2077"/>
    </row>
    <row r="2807" spans="1:17" ht="22.15" customHeight="1">
      <c r="A2807" s="1901"/>
      <c r="B2807" s="2078" t="s">
        <v>425</v>
      </c>
      <c r="C2807" s="1755" t="s">
        <v>2826</v>
      </c>
      <c r="D2807" s="2071"/>
      <c r="E2807" s="2079">
        <v>4</v>
      </c>
      <c r="F2807" s="2073" t="s">
        <v>240</v>
      </c>
      <c r="G2807" s="2080">
        <v>202.5</v>
      </c>
      <c r="H2807" s="2074">
        <f t="shared" si="1282"/>
        <v>810</v>
      </c>
      <c r="I2807" s="1855">
        <v>35</v>
      </c>
      <c r="J2807" s="2073">
        <f t="shared" si="1283"/>
        <v>140</v>
      </c>
      <c r="K2807" s="2075">
        <f t="shared" si="1284"/>
        <v>950</v>
      </c>
      <c r="L2807" s="2076"/>
      <c r="M2807" s="2059"/>
      <c r="O2807" s="1863"/>
      <c r="P2807" s="2077"/>
      <c r="Q2807" s="2077"/>
    </row>
    <row r="2808" spans="1:17" ht="22.15" customHeight="1">
      <c r="A2808" s="1901"/>
      <c r="B2808" s="2078"/>
      <c r="C2808" s="1755"/>
      <c r="D2808" s="2071"/>
      <c r="E2808" s="2079"/>
      <c r="F2808" s="2073"/>
      <c r="G2808" s="1853"/>
      <c r="H2808" s="2074"/>
      <c r="I2808" s="1855"/>
      <c r="J2808" s="2073"/>
      <c r="K2808" s="2075"/>
      <c r="L2808" s="2076"/>
      <c r="M2808" s="2059"/>
      <c r="O2808" s="1863"/>
      <c r="P2808" s="2077"/>
      <c r="Q2808" s="2077"/>
    </row>
    <row r="2809" spans="1:17" ht="22.15" customHeight="1">
      <c r="A2809" s="1901"/>
      <c r="B2809" s="2078" t="s">
        <v>425</v>
      </c>
      <c r="C2809" s="1755" t="s">
        <v>743</v>
      </c>
      <c r="D2809" s="2071"/>
      <c r="E2809" s="2079">
        <v>2</v>
      </c>
      <c r="F2809" s="2073" t="s">
        <v>240</v>
      </c>
      <c r="G2809" s="1853">
        <v>517.5</v>
      </c>
      <c r="H2809" s="2074">
        <f t="shared" ref="H2809:H2811" si="1285">G2809*E2809</f>
        <v>1035</v>
      </c>
      <c r="I2809" s="1855">
        <v>25</v>
      </c>
      <c r="J2809" s="2073">
        <f t="shared" ref="J2809:J2811" si="1286">I2809*E2809</f>
        <v>50</v>
      </c>
      <c r="K2809" s="2075">
        <f t="shared" ref="K2809:K2811" si="1287">H2809+J2809</f>
        <v>1085</v>
      </c>
      <c r="L2809" s="2076"/>
      <c r="M2809" s="2059"/>
      <c r="O2809" s="1863"/>
      <c r="P2809" s="2077"/>
      <c r="Q2809" s="2077"/>
    </row>
    <row r="2810" spans="1:17" ht="22.15" customHeight="1">
      <c r="A2810" s="1901"/>
      <c r="B2810" s="2078" t="s">
        <v>425</v>
      </c>
      <c r="C2810" s="1755" t="s">
        <v>2836</v>
      </c>
      <c r="D2810" s="2071"/>
      <c r="E2810" s="2079">
        <v>2</v>
      </c>
      <c r="F2810" s="2073" t="s">
        <v>240</v>
      </c>
      <c r="G2810" s="2080">
        <v>397.5</v>
      </c>
      <c r="H2810" s="2074">
        <f t="shared" si="1285"/>
        <v>795</v>
      </c>
      <c r="I2810" s="1855">
        <v>70</v>
      </c>
      <c r="J2810" s="2073">
        <f t="shared" si="1286"/>
        <v>140</v>
      </c>
      <c r="K2810" s="2075">
        <f t="shared" si="1287"/>
        <v>935</v>
      </c>
      <c r="L2810" s="2073"/>
      <c r="M2810" s="2081"/>
      <c r="O2810" s="1863"/>
      <c r="P2810" s="2077"/>
      <c r="Q2810" s="2077"/>
    </row>
    <row r="2811" spans="1:17" ht="22.15" customHeight="1">
      <c r="A2811" s="1901"/>
      <c r="B2811" s="2078" t="s">
        <v>425</v>
      </c>
      <c r="C2811" s="1755" t="s">
        <v>728</v>
      </c>
      <c r="D2811" s="2071"/>
      <c r="E2811" s="2079">
        <v>2</v>
      </c>
      <c r="F2811" s="2073" t="s">
        <v>240</v>
      </c>
      <c r="G2811" s="1853">
        <v>525</v>
      </c>
      <c r="H2811" s="2074">
        <f t="shared" si="1285"/>
        <v>1050</v>
      </c>
      <c r="I2811" s="1855">
        <v>75</v>
      </c>
      <c r="J2811" s="2073">
        <f t="shared" si="1286"/>
        <v>150</v>
      </c>
      <c r="K2811" s="2075">
        <f t="shared" si="1287"/>
        <v>1200</v>
      </c>
      <c r="L2811" s="2076"/>
      <c r="M2811" s="2059"/>
      <c r="O2811" s="1863"/>
      <c r="P2811" s="2077"/>
      <c r="Q2811" s="2077"/>
    </row>
    <row r="2812" spans="1:17" ht="22.15" customHeight="1">
      <c r="A2812" s="1901"/>
      <c r="B2812" s="2078"/>
      <c r="C2812" s="1755"/>
      <c r="D2812" s="2071"/>
      <c r="E2812" s="2079"/>
      <c r="F2812" s="2073"/>
      <c r="G2812" s="1853"/>
      <c r="H2812" s="2074"/>
      <c r="I2812" s="1855"/>
      <c r="J2812" s="2073"/>
      <c r="K2812" s="2075"/>
      <c r="L2812" s="2076"/>
      <c r="M2812" s="2059"/>
      <c r="O2812" s="1863"/>
      <c r="P2812" s="2077"/>
      <c r="Q2812" s="2077"/>
    </row>
    <row r="2813" spans="1:17" ht="22.15" customHeight="1">
      <c r="A2813" s="1901"/>
      <c r="B2813" s="2078" t="s">
        <v>425</v>
      </c>
      <c r="C2813" s="1755" t="s">
        <v>730</v>
      </c>
      <c r="D2813" s="2071"/>
      <c r="E2813" s="2079">
        <v>2</v>
      </c>
      <c r="F2813" s="2073" t="s">
        <v>240</v>
      </c>
      <c r="G2813" s="2080">
        <v>1320</v>
      </c>
      <c r="H2813" s="2074">
        <f t="shared" ref="H2813:H2818" si="1288">G2813*E2813</f>
        <v>2640</v>
      </c>
      <c r="I2813" s="1855">
        <v>70</v>
      </c>
      <c r="J2813" s="2073">
        <f t="shared" ref="J2813:J2818" si="1289">I2813*E2813</f>
        <v>140</v>
      </c>
      <c r="K2813" s="2075">
        <f t="shared" ref="K2813:K2818" si="1290">H2813+J2813</f>
        <v>2780</v>
      </c>
      <c r="L2813" s="2076"/>
      <c r="M2813" s="2059"/>
      <c r="O2813" s="1863"/>
      <c r="P2813" s="2077"/>
      <c r="Q2813" s="2077"/>
    </row>
    <row r="2814" spans="1:17" ht="22.15" customHeight="1">
      <c r="A2814" s="1901"/>
      <c r="B2814" s="2078" t="s">
        <v>425</v>
      </c>
      <c r="C2814" s="1755" t="s">
        <v>741</v>
      </c>
      <c r="D2814" s="2071"/>
      <c r="E2814" s="2079">
        <v>2</v>
      </c>
      <c r="F2814" s="2073" t="s">
        <v>240</v>
      </c>
      <c r="G2814" s="2080">
        <v>9750</v>
      </c>
      <c r="H2814" s="2074">
        <f t="shared" si="1288"/>
        <v>19500</v>
      </c>
      <c r="I2814" s="1855">
        <v>105</v>
      </c>
      <c r="J2814" s="2073">
        <f t="shared" si="1289"/>
        <v>210</v>
      </c>
      <c r="K2814" s="2075">
        <f t="shared" si="1290"/>
        <v>19710</v>
      </c>
      <c r="L2814" s="2076"/>
      <c r="M2814" s="2059"/>
      <c r="O2814" s="1863"/>
      <c r="P2814" s="2077"/>
      <c r="Q2814" s="2077"/>
    </row>
    <row r="2815" spans="1:17" ht="22.15" customHeight="1">
      <c r="A2815" s="1901"/>
      <c r="B2815" s="2078" t="s">
        <v>425</v>
      </c>
      <c r="C2815" s="1755" t="s">
        <v>742</v>
      </c>
      <c r="D2815" s="2071"/>
      <c r="E2815" s="2079">
        <v>2</v>
      </c>
      <c r="F2815" s="2073" t="s">
        <v>240</v>
      </c>
      <c r="G2815" s="2080">
        <v>5200</v>
      </c>
      <c r="H2815" s="2074">
        <f t="shared" si="1288"/>
        <v>10400</v>
      </c>
      <c r="I2815" s="1855">
        <v>70</v>
      </c>
      <c r="J2815" s="2073">
        <f t="shared" si="1289"/>
        <v>140</v>
      </c>
      <c r="K2815" s="2075">
        <f t="shared" si="1290"/>
        <v>10540</v>
      </c>
      <c r="L2815" s="2076"/>
      <c r="M2815" s="2059"/>
      <c r="O2815" s="1863"/>
      <c r="P2815" s="2077"/>
      <c r="Q2815" s="2077"/>
    </row>
    <row r="2816" spans="1:17" ht="22.15" customHeight="1">
      <c r="A2816" s="1901"/>
      <c r="B2816" s="2078" t="s">
        <v>425</v>
      </c>
      <c r="C2816" s="1755" t="s">
        <v>2837</v>
      </c>
      <c r="D2816" s="2071"/>
      <c r="E2816" s="2079">
        <v>4</v>
      </c>
      <c r="F2816" s="2073" t="s">
        <v>240</v>
      </c>
      <c r="G2816" s="2080">
        <v>4160</v>
      </c>
      <c r="H2816" s="2074">
        <f t="shared" si="1288"/>
        <v>16640</v>
      </c>
      <c r="I2816" s="1855">
        <v>105</v>
      </c>
      <c r="J2816" s="2073">
        <f t="shared" si="1289"/>
        <v>420</v>
      </c>
      <c r="K2816" s="2075">
        <f t="shared" si="1290"/>
        <v>17060</v>
      </c>
      <c r="L2816" s="2076"/>
      <c r="M2816" s="2059"/>
      <c r="O2816" s="1863"/>
      <c r="P2816" s="2077"/>
      <c r="Q2816" s="2077"/>
    </row>
    <row r="2817" spans="1:24" ht="22.15" customHeight="1">
      <c r="A2817" s="1901"/>
      <c r="B2817" s="2078" t="s">
        <v>425</v>
      </c>
      <c r="C2817" s="1755" t="s">
        <v>2838</v>
      </c>
      <c r="D2817" s="2071"/>
      <c r="E2817" s="2079">
        <v>2</v>
      </c>
      <c r="F2817" s="2073" t="s">
        <v>240</v>
      </c>
      <c r="G2817" s="2080">
        <v>2533.5</v>
      </c>
      <c r="H2817" s="2074">
        <f t="shared" si="1288"/>
        <v>5067</v>
      </c>
      <c r="I2817" s="1855">
        <v>105</v>
      </c>
      <c r="J2817" s="2073">
        <f t="shared" si="1289"/>
        <v>210</v>
      </c>
      <c r="K2817" s="2075">
        <f t="shared" si="1290"/>
        <v>5277</v>
      </c>
      <c r="L2817" s="2073"/>
      <c r="M2817" s="2081"/>
      <c r="O2817" s="1863"/>
      <c r="P2817" s="2077"/>
      <c r="Q2817" s="2077"/>
    </row>
    <row r="2818" spans="1:24" ht="22.15" customHeight="1">
      <c r="A2818" s="1901"/>
      <c r="B2818" s="2090" t="s">
        <v>609</v>
      </c>
      <c r="C2818" s="63" t="s">
        <v>2927</v>
      </c>
      <c r="D2818" s="2091"/>
      <c r="E2818" s="2092">
        <v>2</v>
      </c>
      <c r="F2818" s="2086" t="s">
        <v>240</v>
      </c>
      <c r="G2818" s="2084">
        <v>2855</v>
      </c>
      <c r="H2818" s="2085">
        <f t="shared" si="1288"/>
        <v>5710</v>
      </c>
      <c r="I2818" s="1904">
        <v>1432</v>
      </c>
      <c r="J2818" s="2086">
        <f t="shared" si="1289"/>
        <v>2864</v>
      </c>
      <c r="K2818" s="2087">
        <f t="shared" si="1290"/>
        <v>8574</v>
      </c>
      <c r="L2818" s="2076"/>
      <c r="M2818" s="2059"/>
      <c r="O2818" s="1863"/>
      <c r="P2818" s="2077"/>
      <c r="Q2818" s="2077"/>
    </row>
    <row r="2819" spans="1:24" ht="22.15" customHeight="1">
      <c r="A2819" s="1901"/>
      <c r="B2819" s="2090"/>
      <c r="C2819" s="63" t="s">
        <v>2928</v>
      </c>
      <c r="D2819" s="2091"/>
      <c r="E2819" s="2092"/>
      <c r="F2819" s="2086"/>
      <c r="G2819" s="2084"/>
      <c r="H2819" s="2085"/>
      <c r="I2819" s="1904"/>
      <c r="J2819" s="2086"/>
      <c r="K2819" s="2087"/>
      <c r="L2819" s="2076"/>
      <c r="M2819" s="2059"/>
      <c r="O2819" s="1863"/>
      <c r="P2819" s="2077"/>
      <c r="Q2819" s="2077"/>
    </row>
    <row r="2820" spans="1:24" ht="22.15" customHeight="1">
      <c r="A2820" s="1901"/>
      <c r="B2820" s="2089" t="s">
        <v>2849</v>
      </c>
      <c r="C2820" s="2070"/>
      <c r="D2820" s="2071"/>
      <c r="E2820" s="2072">
        <v>2</v>
      </c>
      <c r="F2820" s="2073" t="s">
        <v>723</v>
      </c>
      <c r="G2820" s="1853"/>
      <c r="H2820" s="2074"/>
      <c r="I2820" s="1855"/>
      <c r="J2820" s="2073"/>
      <c r="K2820" s="2075"/>
      <c r="L2820" s="2076"/>
      <c r="M2820" s="2059"/>
      <c r="O2820" s="1863"/>
      <c r="P2820" s="2077"/>
      <c r="Q2820" s="2077"/>
    </row>
    <row r="2821" spans="1:24" ht="22.15" customHeight="1">
      <c r="A2821" s="1901"/>
      <c r="B2821" s="2078" t="s">
        <v>425</v>
      </c>
      <c r="C2821" s="1755" t="s">
        <v>743</v>
      </c>
      <c r="D2821" s="2071"/>
      <c r="E2821" s="2079">
        <v>2</v>
      </c>
      <c r="F2821" s="2073" t="s">
        <v>240</v>
      </c>
      <c r="G2821" s="1853">
        <v>517.5</v>
      </c>
      <c r="H2821" s="2074">
        <f t="shared" ref="H2821:H2823" si="1291">G2821*E2821</f>
        <v>1035</v>
      </c>
      <c r="I2821" s="1855">
        <v>25</v>
      </c>
      <c r="J2821" s="2073">
        <f>I2821*E2821</f>
        <v>50</v>
      </c>
      <c r="K2821" s="2075">
        <f>H2821+J2821</f>
        <v>1085</v>
      </c>
      <c r="L2821" s="2076"/>
      <c r="M2821" s="2059"/>
      <c r="O2821" s="1863"/>
      <c r="P2821" s="2077"/>
      <c r="Q2821" s="2077"/>
    </row>
    <row r="2822" spans="1:24" ht="22.15" customHeight="1">
      <c r="A2822" s="1901"/>
      <c r="B2822" s="2078" t="s">
        <v>425</v>
      </c>
      <c r="C2822" s="1755" t="s">
        <v>744</v>
      </c>
      <c r="D2822" s="2071"/>
      <c r="E2822" s="2079">
        <v>4</v>
      </c>
      <c r="F2822" s="2073" t="s">
        <v>240</v>
      </c>
      <c r="G2822" s="1853">
        <v>525</v>
      </c>
      <c r="H2822" s="2074">
        <f t="shared" si="1291"/>
        <v>2100</v>
      </c>
      <c r="I2822" s="1855">
        <v>75</v>
      </c>
      <c r="J2822" s="2073">
        <f>I2822*E2822</f>
        <v>300</v>
      </c>
      <c r="K2822" s="2075">
        <f>H2822+J2822</f>
        <v>2400</v>
      </c>
      <c r="L2822" s="2076"/>
      <c r="M2822" s="2059"/>
      <c r="O2822" s="1863"/>
      <c r="P2822" s="2077"/>
      <c r="Q2822" s="2077"/>
    </row>
    <row r="2823" spans="1:24" ht="22.15" customHeight="1">
      <c r="A2823" s="1901"/>
      <c r="B2823" s="2078" t="s">
        <v>425</v>
      </c>
      <c r="C2823" s="1755" t="s">
        <v>745</v>
      </c>
      <c r="D2823" s="2071"/>
      <c r="E2823" s="2079">
        <v>2</v>
      </c>
      <c r="F2823" s="2073" t="s">
        <v>240</v>
      </c>
      <c r="G2823" s="2080">
        <v>397.5</v>
      </c>
      <c r="H2823" s="2074">
        <f t="shared" si="1291"/>
        <v>795</v>
      </c>
      <c r="I2823" s="1855">
        <v>70</v>
      </c>
      <c r="J2823" s="2073">
        <f t="shared" ref="J2823" si="1292">I2823*E2823</f>
        <v>140</v>
      </c>
      <c r="K2823" s="2075">
        <f t="shared" ref="K2823" si="1293">H2823+J2823</f>
        <v>935</v>
      </c>
      <c r="L2823" s="2073"/>
      <c r="M2823" s="2081"/>
      <c r="N2823" s="2047">
        <f>SUM(K2734:K2823)</f>
        <v>2633309.1</v>
      </c>
      <c r="O2823" s="1863"/>
      <c r="P2823" s="2077"/>
      <c r="Q2823" s="2077"/>
    </row>
    <row r="2824" spans="1:24" ht="24" customHeight="1">
      <c r="A2824" s="1782" t="s">
        <v>756</v>
      </c>
      <c r="B2824" s="2041" t="s">
        <v>757</v>
      </c>
      <c r="C2824" s="1905"/>
      <c r="D2824" s="1909"/>
      <c r="E2824" s="1910"/>
      <c r="F2824" s="2275"/>
      <c r="G2824" s="1983"/>
      <c r="H2824" s="1911"/>
      <c r="I2824" s="1920"/>
      <c r="J2824" s="1913"/>
      <c r="K2824" s="1914"/>
      <c r="L2824" s="1847"/>
      <c r="M2824" s="1809"/>
      <c r="N2824" s="1837"/>
      <c r="O2824" s="1837"/>
      <c r="P2824" s="1837"/>
      <c r="Q2824" s="1837"/>
      <c r="R2824" s="1837"/>
      <c r="S2824" s="1837"/>
      <c r="T2824" s="1837"/>
      <c r="U2824" s="1837"/>
      <c r="V2824" s="1837"/>
      <c r="W2824" s="1837"/>
      <c r="X2824" s="1837"/>
    </row>
    <row r="2825" spans="1:24" ht="22.15" customHeight="1">
      <c r="A2825" s="1901"/>
      <c r="B2825" s="2069" t="s">
        <v>2846</v>
      </c>
      <c r="C2825" s="2070"/>
      <c r="D2825" s="2071"/>
      <c r="E2825" s="2072">
        <v>2</v>
      </c>
      <c r="F2825" s="2073" t="s">
        <v>723</v>
      </c>
      <c r="G2825" s="1853"/>
      <c r="H2825" s="2074"/>
      <c r="I2825" s="1855"/>
      <c r="J2825" s="2073"/>
      <c r="K2825" s="2075"/>
      <c r="L2825" s="2076"/>
      <c r="M2825" s="2059"/>
      <c r="O2825" s="1863"/>
      <c r="P2825" s="2077"/>
      <c r="Q2825" s="2077"/>
    </row>
    <row r="2826" spans="1:24" ht="22.15" customHeight="1">
      <c r="A2826" s="1901"/>
      <c r="B2826" s="2078" t="s">
        <v>425</v>
      </c>
      <c r="C2826" s="2070" t="s">
        <v>724</v>
      </c>
      <c r="D2826" s="2071"/>
      <c r="E2826" s="2079">
        <v>18</v>
      </c>
      <c r="F2826" s="2073" t="s">
        <v>240</v>
      </c>
      <c r="G2826" s="1853">
        <v>1430</v>
      </c>
      <c r="H2826" s="2074">
        <f t="shared" ref="H2826:H2831" si="1294">G2826*E2826</f>
        <v>25740</v>
      </c>
      <c r="I2826" s="1855">
        <v>450</v>
      </c>
      <c r="J2826" s="2073">
        <f t="shared" ref="J2826:J2831" si="1295">I2826*E2826</f>
        <v>8100</v>
      </c>
      <c r="K2826" s="2075">
        <f t="shared" ref="K2826:K2831" si="1296">H2826+J2826</f>
        <v>33840</v>
      </c>
      <c r="L2826" s="2076"/>
      <c r="M2826" s="2059"/>
      <c r="O2826" s="1863"/>
      <c r="P2826" s="2077"/>
      <c r="Q2826" s="2077"/>
    </row>
    <row r="2827" spans="1:24" ht="22.15" customHeight="1">
      <c r="A2827" s="1901"/>
      <c r="B2827" s="2078" t="s">
        <v>425</v>
      </c>
      <c r="C2827" s="2070" t="s">
        <v>2822</v>
      </c>
      <c r="D2827" s="2071"/>
      <c r="E2827" s="2079">
        <v>18</v>
      </c>
      <c r="F2827" s="2073" t="s">
        <v>240</v>
      </c>
      <c r="G2827" s="1853">
        <v>6225</v>
      </c>
      <c r="H2827" s="2074">
        <f t="shared" si="1294"/>
        <v>112050</v>
      </c>
      <c r="I2827" s="1855">
        <v>200</v>
      </c>
      <c r="J2827" s="2073">
        <f t="shared" si="1295"/>
        <v>3600</v>
      </c>
      <c r="K2827" s="2075">
        <f t="shared" si="1296"/>
        <v>115650</v>
      </c>
      <c r="L2827" s="2076"/>
      <c r="M2827" s="2059"/>
      <c r="O2827" s="1863"/>
      <c r="P2827" s="2077"/>
      <c r="Q2827" s="2077"/>
    </row>
    <row r="2828" spans="1:24" ht="22.15" customHeight="1">
      <c r="A2828" s="1901"/>
      <c r="B2828" s="2078" t="s">
        <v>425</v>
      </c>
      <c r="C2828" s="2070" t="s">
        <v>2823</v>
      </c>
      <c r="D2828" s="2071"/>
      <c r="E2828" s="2079">
        <v>18</v>
      </c>
      <c r="F2828" s="2073" t="s">
        <v>240</v>
      </c>
      <c r="G2828" s="1853">
        <v>315</v>
      </c>
      <c r="H2828" s="2074">
        <f t="shared" si="1294"/>
        <v>5670</v>
      </c>
      <c r="I2828" s="1855">
        <v>0</v>
      </c>
      <c r="J2828" s="2073">
        <f t="shared" si="1295"/>
        <v>0</v>
      </c>
      <c r="K2828" s="2075">
        <f t="shared" si="1296"/>
        <v>5670</v>
      </c>
      <c r="L2828" s="2076"/>
      <c r="M2828" s="2059"/>
      <c r="O2828" s="1863"/>
      <c r="P2828" s="2077"/>
      <c r="Q2828" s="2077"/>
    </row>
    <row r="2829" spans="1:24" ht="22.15" customHeight="1">
      <c r="A2829" s="1901"/>
      <c r="B2829" s="2078" t="s">
        <v>425</v>
      </c>
      <c r="C2829" s="2070" t="s">
        <v>2824</v>
      </c>
      <c r="D2829" s="2071"/>
      <c r="E2829" s="2079">
        <v>18</v>
      </c>
      <c r="F2829" s="2073" t="s">
        <v>240</v>
      </c>
      <c r="G2829" s="1853">
        <v>690</v>
      </c>
      <c r="H2829" s="2074">
        <f t="shared" si="1294"/>
        <v>12420</v>
      </c>
      <c r="I2829" s="1855">
        <v>0</v>
      </c>
      <c r="J2829" s="2073">
        <f t="shared" si="1295"/>
        <v>0</v>
      </c>
      <c r="K2829" s="2075">
        <f t="shared" si="1296"/>
        <v>12420</v>
      </c>
      <c r="L2829" s="2076"/>
      <c r="M2829" s="2059"/>
      <c r="O2829" s="1863"/>
      <c r="P2829" s="2077"/>
      <c r="Q2829" s="2077"/>
    </row>
    <row r="2830" spans="1:24" ht="22.15" customHeight="1">
      <c r="A2830" s="1901"/>
      <c r="B2830" s="2078" t="s">
        <v>425</v>
      </c>
      <c r="C2830" s="2070" t="s">
        <v>2825</v>
      </c>
      <c r="D2830" s="2071"/>
      <c r="E2830" s="2079">
        <v>18</v>
      </c>
      <c r="F2830" s="2073" t="s">
        <v>240</v>
      </c>
      <c r="G2830" s="1853">
        <v>165</v>
      </c>
      <c r="H2830" s="2074">
        <f t="shared" si="1294"/>
        <v>2970</v>
      </c>
      <c r="I2830" s="1855">
        <v>0</v>
      </c>
      <c r="J2830" s="2073">
        <f t="shared" si="1295"/>
        <v>0</v>
      </c>
      <c r="K2830" s="2075">
        <f t="shared" si="1296"/>
        <v>2970</v>
      </c>
      <c r="L2830" s="2076"/>
      <c r="M2830" s="2059"/>
      <c r="O2830" s="1863"/>
      <c r="P2830" s="2077"/>
      <c r="Q2830" s="2077"/>
    </row>
    <row r="2831" spans="1:24" ht="22.15" customHeight="1">
      <c r="A2831" s="1901"/>
      <c r="B2831" s="2078" t="s">
        <v>425</v>
      </c>
      <c r="C2831" s="2070" t="s">
        <v>2826</v>
      </c>
      <c r="D2831" s="2071"/>
      <c r="E2831" s="2079">
        <v>18</v>
      </c>
      <c r="F2831" s="2073" t="s">
        <v>240</v>
      </c>
      <c r="G2831" s="1853">
        <v>202.5</v>
      </c>
      <c r="H2831" s="2074">
        <f t="shared" si="1294"/>
        <v>3645</v>
      </c>
      <c r="I2831" s="1855">
        <v>35</v>
      </c>
      <c r="J2831" s="2073">
        <f t="shared" si="1295"/>
        <v>630</v>
      </c>
      <c r="K2831" s="2075">
        <f t="shared" si="1296"/>
        <v>4275</v>
      </c>
      <c r="L2831" s="2076"/>
      <c r="M2831" s="2059"/>
      <c r="O2831" s="1863"/>
      <c r="P2831" s="2077"/>
      <c r="Q2831" s="2077"/>
    </row>
    <row r="2832" spans="1:24" ht="22.15" customHeight="1">
      <c r="A2832" s="1901"/>
      <c r="B2832" s="2078"/>
      <c r="C2832" s="2070"/>
      <c r="D2832" s="2071"/>
      <c r="E2832" s="2079"/>
      <c r="F2832" s="2073"/>
      <c r="G2832" s="1853"/>
      <c r="H2832" s="2074"/>
      <c r="I2832" s="1855"/>
      <c r="J2832" s="2073"/>
      <c r="K2832" s="2075"/>
      <c r="L2832" s="2076"/>
      <c r="M2832" s="2059"/>
      <c r="O2832" s="1863"/>
      <c r="P2832" s="2077"/>
      <c r="Q2832" s="2077"/>
    </row>
    <row r="2833" spans="1:17" ht="22.15" customHeight="1">
      <c r="A2833" s="1901"/>
      <c r="B2833" s="2078" t="s">
        <v>425</v>
      </c>
      <c r="C2833" s="2070" t="s">
        <v>725</v>
      </c>
      <c r="D2833" s="2071"/>
      <c r="E2833" s="2079">
        <v>16</v>
      </c>
      <c r="F2833" s="2073" t="s">
        <v>240</v>
      </c>
      <c r="G2833" s="1853">
        <v>8723</v>
      </c>
      <c r="H2833" s="2074">
        <f t="shared" ref="H2833:H2835" si="1297">G2833*E2833</f>
        <v>139568</v>
      </c>
      <c r="I2833" s="1855">
        <v>450</v>
      </c>
      <c r="J2833" s="2073">
        <f t="shared" ref="J2833:J2835" si="1298">I2833*E2833</f>
        <v>7200</v>
      </c>
      <c r="K2833" s="2075">
        <f t="shared" ref="K2833:K2835" si="1299">H2833+J2833</f>
        <v>146768</v>
      </c>
      <c r="L2833" s="2076"/>
      <c r="M2833" s="2059"/>
      <c r="O2833" s="1863"/>
      <c r="P2833" s="2077"/>
      <c r="Q2833" s="2077"/>
    </row>
    <row r="2834" spans="1:17" ht="22.15" customHeight="1">
      <c r="A2834" s="1901"/>
      <c r="B2834" s="2078" t="s">
        <v>425</v>
      </c>
      <c r="C2834" s="2070" t="s">
        <v>726</v>
      </c>
      <c r="D2834" s="2071"/>
      <c r="E2834" s="2079">
        <v>16</v>
      </c>
      <c r="F2834" s="2073" t="s">
        <v>240</v>
      </c>
      <c r="G2834" s="1853">
        <v>2430</v>
      </c>
      <c r="H2834" s="2074">
        <f t="shared" si="1297"/>
        <v>38880</v>
      </c>
      <c r="I2834" s="1855">
        <v>0</v>
      </c>
      <c r="J2834" s="2073">
        <f t="shared" si="1298"/>
        <v>0</v>
      </c>
      <c r="K2834" s="2075">
        <f t="shared" si="1299"/>
        <v>38880</v>
      </c>
      <c r="L2834" s="2076"/>
      <c r="M2834" s="2059"/>
      <c r="O2834" s="1863"/>
      <c r="P2834" s="2077"/>
      <c r="Q2834" s="2077"/>
    </row>
    <row r="2835" spans="1:17" ht="22.15" customHeight="1">
      <c r="A2835" s="1901"/>
      <c r="B2835" s="2078" t="s">
        <v>425</v>
      </c>
      <c r="C2835" s="2070" t="s">
        <v>2826</v>
      </c>
      <c r="D2835" s="2071"/>
      <c r="E2835" s="2079">
        <v>16</v>
      </c>
      <c r="F2835" s="2073" t="s">
        <v>240</v>
      </c>
      <c r="G2835" s="2080">
        <v>202.5</v>
      </c>
      <c r="H2835" s="2074">
        <f t="shared" si="1297"/>
        <v>3240</v>
      </c>
      <c r="I2835" s="1855">
        <v>35</v>
      </c>
      <c r="J2835" s="2073">
        <f t="shared" si="1298"/>
        <v>560</v>
      </c>
      <c r="K2835" s="2075">
        <f t="shared" si="1299"/>
        <v>3800</v>
      </c>
      <c r="L2835" s="2076"/>
      <c r="M2835" s="2059"/>
      <c r="O2835" s="1863"/>
      <c r="P2835" s="2077"/>
      <c r="Q2835" s="2077"/>
    </row>
    <row r="2836" spans="1:17" ht="22.15" customHeight="1">
      <c r="A2836" s="1901"/>
      <c r="B2836" s="2078"/>
      <c r="C2836" s="2070"/>
      <c r="D2836" s="2071"/>
      <c r="E2836" s="2079"/>
      <c r="F2836" s="2073"/>
      <c r="G2836" s="1853"/>
      <c r="H2836" s="2074"/>
      <c r="I2836" s="1855"/>
      <c r="J2836" s="2073"/>
      <c r="K2836" s="2075"/>
      <c r="L2836" s="2076"/>
      <c r="M2836" s="2059"/>
      <c r="O2836" s="1863"/>
      <c r="P2836" s="2077"/>
      <c r="Q2836" s="2077"/>
    </row>
    <row r="2837" spans="1:17" ht="22.15" customHeight="1">
      <c r="A2837" s="1901"/>
      <c r="B2837" s="2078" t="s">
        <v>425</v>
      </c>
      <c r="C2837" s="2070" t="s">
        <v>2827</v>
      </c>
      <c r="D2837" s="2071"/>
      <c r="E2837" s="2079">
        <v>24</v>
      </c>
      <c r="F2837" s="2073" t="s">
        <v>240</v>
      </c>
      <c r="G2837" s="1853">
        <v>3640</v>
      </c>
      <c r="H2837" s="2074">
        <f t="shared" ref="H2837:H2838" si="1300">G2837*E2837</f>
        <v>87360</v>
      </c>
      <c r="I2837" s="1855">
        <v>450</v>
      </c>
      <c r="J2837" s="2073">
        <f t="shared" ref="J2837:J2838" si="1301">I2837*E2837</f>
        <v>10800</v>
      </c>
      <c r="K2837" s="2075">
        <f t="shared" ref="K2837:K2838" si="1302">H2837+J2837</f>
        <v>98160</v>
      </c>
      <c r="L2837" s="2073"/>
      <c r="M2837" s="2081"/>
      <c r="O2837" s="1863"/>
      <c r="P2837" s="2077"/>
      <c r="Q2837" s="2077"/>
    </row>
    <row r="2838" spans="1:17" ht="22.15" customHeight="1">
      <c r="A2838" s="1901"/>
      <c r="B2838" s="2078" t="s">
        <v>425</v>
      </c>
      <c r="C2838" s="2070" t="s">
        <v>727</v>
      </c>
      <c r="D2838" s="2071"/>
      <c r="E2838" s="2079">
        <v>24</v>
      </c>
      <c r="F2838" s="2073" t="s">
        <v>240</v>
      </c>
      <c r="G2838" s="1853">
        <v>11955</v>
      </c>
      <c r="H2838" s="2074">
        <f t="shared" si="1300"/>
        <v>286920</v>
      </c>
      <c r="I2838" s="1855">
        <v>0</v>
      </c>
      <c r="J2838" s="2073">
        <f t="shared" si="1301"/>
        <v>0</v>
      </c>
      <c r="K2838" s="2075">
        <f t="shared" si="1302"/>
        <v>286920</v>
      </c>
      <c r="L2838" s="2073"/>
      <c r="M2838" s="2081"/>
      <c r="O2838" s="1863"/>
      <c r="P2838" s="2077"/>
      <c r="Q2838" s="2077"/>
    </row>
    <row r="2839" spans="1:17" ht="22.15" customHeight="1">
      <c r="A2839" s="1901"/>
      <c r="B2839" s="2078"/>
      <c r="C2839" s="2070"/>
      <c r="D2839" s="2071"/>
      <c r="E2839" s="2079"/>
      <c r="F2839" s="2073"/>
      <c r="G2839" s="1853"/>
      <c r="H2839" s="2074"/>
      <c r="I2839" s="1855"/>
      <c r="J2839" s="2073"/>
      <c r="K2839" s="2075"/>
      <c r="L2839" s="2073"/>
      <c r="M2839" s="2081"/>
      <c r="O2839" s="1863"/>
      <c r="P2839" s="2077"/>
      <c r="Q2839" s="2077"/>
    </row>
    <row r="2840" spans="1:17" ht="22.15" customHeight="1">
      <c r="A2840" s="1901"/>
      <c r="B2840" s="2078" t="s">
        <v>425</v>
      </c>
      <c r="C2840" s="1755" t="s">
        <v>728</v>
      </c>
      <c r="D2840" s="2071"/>
      <c r="E2840" s="2079">
        <v>14</v>
      </c>
      <c r="F2840" s="2073" t="s">
        <v>240</v>
      </c>
      <c r="G2840" s="1853">
        <v>525</v>
      </c>
      <c r="H2840" s="2074">
        <f t="shared" ref="H2840:H2852" si="1303">G2840*E2840</f>
        <v>7350</v>
      </c>
      <c r="I2840" s="1855">
        <v>75</v>
      </c>
      <c r="J2840" s="2073">
        <f t="shared" ref="J2840:J2852" si="1304">I2840*E2840</f>
        <v>1050</v>
      </c>
      <c r="K2840" s="2075">
        <f t="shared" ref="K2840:K2852" si="1305">H2840+J2840</f>
        <v>8400</v>
      </c>
      <c r="L2840" s="2076"/>
      <c r="M2840" s="2059"/>
      <c r="O2840" s="1863"/>
      <c r="P2840" s="2077"/>
      <c r="Q2840" s="2077"/>
    </row>
    <row r="2841" spans="1:17" ht="22.15" customHeight="1">
      <c r="A2841" s="1901"/>
      <c r="B2841" s="2078" t="s">
        <v>425</v>
      </c>
      <c r="C2841" s="1755" t="s">
        <v>743</v>
      </c>
      <c r="D2841" s="2071"/>
      <c r="E2841" s="2079">
        <v>2</v>
      </c>
      <c r="F2841" s="2073" t="s">
        <v>240</v>
      </c>
      <c r="G2841" s="1853">
        <v>517.5</v>
      </c>
      <c r="H2841" s="2074">
        <f t="shared" si="1303"/>
        <v>1035</v>
      </c>
      <c r="I2841" s="1855">
        <v>25</v>
      </c>
      <c r="J2841" s="2073">
        <f t="shared" si="1304"/>
        <v>50</v>
      </c>
      <c r="K2841" s="2075">
        <f t="shared" si="1305"/>
        <v>1085</v>
      </c>
      <c r="L2841" s="2076"/>
      <c r="M2841" s="2059"/>
      <c r="O2841" s="1863"/>
      <c r="P2841" s="2077"/>
      <c r="Q2841" s="2077"/>
    </row>
    <row r="2842" spans="1:17" ht="22.15" customHeight="1">
      <c r="A2842" s="1901"/>
      <c r="B2842" s="2078" t="s">
        <v>425</v>
      </c>
      <c r="C2842" s="1755" t="s">
        <v>729</v>
      </c>
      <c r="D2842" s="2071"/>
      <c r="E2842" s="2079">
        <f>E2833</f>
        <v>16</v>
      </c>
      <c r="F2842" s="2073" t="s">
        <v>240</v>
      </c>
      <c r="G2842" s="2082">
        <v>13500</v>
      </c>
      <c r="H2842" s="2074">
        <f t="shared" si="1303"/>
        <v>216000</v>
      </c>
      <c r="I2842" s="1855">
        <v>750</v>
      </c>
      <c r="J2842" s="2073">
        <f t="shared" si="1304"/>
        <v>12000</v>
      </c>
      <c r="K2842" s="2075">
        <f t="shared" si="1305"/>
        <v>228000</v>
      </c>
      <c r="L2842" s="2076"/>
      <c r="M2842" s="2059"/>
      <c r="O2842" s="1863"/>
      <c r="P2842" s="2077"/>
      <c r="Q2842" s="2077"/>
    </row>
    <row r="2843" spans="1:17" ht="22.15" customHeight="1">
      <c r="A2843" s="1901"/>
      <c r="B2843" s="2078" t="s">
        <v>425</v>
      </c>
      <c r="C2843" s="1755" t="s">
        <v>730</v>
      </c>
      <c r="D2843" s="2071"/>
      <c r="E2843" s="2079">
        <v>2</v>
      </c>
      <c r="F2843" s="2073" t="s">
        <v>240</v>
      </c>
      <c r="G2843" s="2080">
        <v>1320</v>
      </c>
      <c r="H2843" s="2074">
        <f t="shared" si="1303"/>
        <v>2640</v>
      </c>
      <c r="I2843" s="1855">
        <v>70</v>
      </c>
      <c r="J2843" s="2073">
        <f t="shared" si="1304"/>
        <v>140</v>
      </c>
      <c r="K2843" s="2075">
        <f t="shared" si="1305"/>
        <v>2780</v>
      </c>
      <c r="L2843" s="2076"/>
      <c r="M2843" s="2059"/>
      <c r="O2843" s="1863"/>
      <c r="P2843" s="2077"/>
      <c r="Q2843" s="2077"/>
    </row>
    <row r="2844" spans="1:17" ht="21.75" customHeight="1">
      <c r="A2844" s="1901"/>
      <c r="B2844" s="2078" t="s">
        <v>425</v>
      </c>
      <c r="C2844" s="1755" t="s">
        <v>752</v>
      </c>
      <c r="D2844" s="2071"/>
      <c r="E2844" s="2079">
        <v>2</v>
      </c>
      <c r="F2844" s="2073" t="s">
        <v>240</v>
      </c>
      <c r="G2844" s="2080">
        <v>4100</v>
      </c>
      <c r="H2844" s="1788">
        <f t="shared" si="1303"/>
        <v>8200</v>
      </c>
      <c r="I2844" s="2083">
        <v>200</v>
      </c>
      <c r="J2844" s="1808">
        <f t="shared" si="1304"/>
        <v>400</v>
      </c>
      <c r="K2844" s="1897">
        <f t="shared" si="1305"/>
        <v>8600</v>
      </c>
      <c r="L2844" s="2076"/>
      <c r="M2844" s="2059"/>
      <c r="O2844" s="1863"/>
      <c r="P2844" s="2077"/>
      <c r="Q2844" s="2077"/>
    </row>
    <row r="2845" spans="1:17" ht="22.15" customHeight="1">
      <c r="A2845" s="1901"/>
      <c r="B2845" s="2078" t="s">
        <v>425</v>
      </c>
      <c r="C2845" s="2070" t="s">
        <v>2828</v>
      </c>
      <c r="D2845" s="2071"/>
      <c r="E2845" s="2079">
        <v>2</v>
      </c>
      <c r="F2845" s="2073" t="s">
        <v>240</v>
      </c>
      <c r="G2845" s="2080">
        <v>2835</v>
      </c>
      <c r="H2845" s="2074">
        <f t="shared" si="1303"/>
        <v>5670</v>
      </c>
      <c r="I2845" s="1855">
        <v>105</v>
      </c>
      <c r="J2845" s="2073">
        <f t="shared" si="1304"/>
        <v>210</v>
      </c>
      <c r="K2845" s="2075">
        <f t="shared" si="1305"/>
        <v>5880</v>
      </c>
      <c r="L2845" s="2076"/>
      <c r="M2845" s="2059"/>
      <c r="O2845" s="1863"/>
      <c r="P2845" s="2077"/>
      <c r="Q2845" s="2077"/>
    </row>
    <row r="2846" spans="1:17" ht="22.15" customHeight="1">
      <c r="A2846" s="1901"/>
      <c r="B2846" s="2078" t="s">
        <v>425</v>
      </c>
      <c r="C2846" s="1755" t="s">
        <v>2829</v>
      </c>
      <c r="D2846" s="2071"/>
      <c r="E2846" s="2079">
        <v>2</v>
      </c>
      <c r="F2846" s="2073" t="s">
        <v>240</v>
      </c>
      <c r="G2846" s="2080">
        <v>6180</v>
      </c>
      <c r="H2846" s="2074">
        <f t="shared" si="1303"/>
        <v>12360</v>
      </c>
      <c r="I2846" s="1855">
        <v>105</v>
      </c>
      <c r="J2846" s="2073">
        <f t="shared" si="1304"/>
        <v>210</v>
      </c>
      <c r="K2846" s="2075">
        <f t="shared" si="1305"/>
        <v>12570</v>
      </c>
      <c r="L2846" s="2076"/>
      <c r="M2846" s="2059"/>
      <c r="O2846" s="1863"/>
      <c r="P2846" s="2077"/>
      <c r="Q2846" s="2077"/>
    </row>
    <row r="2847" spans="1:17" ht="22.15" customHeight="1">
      <c r="A2847" s="1901"/>
      <c r="B2847" s="2078" t="s">
        <v>425</v>
      </c>
      <c r="C2847" s="2070" t="s">
        <v>732</v>
      </c>
      <c r="D2847" s="2071"/>
      <c r="E2847" s="1808">
        <f>4.8*2</f>
        <v>9.6</v>
      </c>
      <c r="F2847" s="2073" t="s">
        <v>616</v>
      </c>
      <c r="G2847" s="2084">
        <v>3886</v>
      </c>
      <c r="H2847" s="2085">
        <f t="shared" si="1303"/>
        <v>37305.599999999999</v>
      </c>
      <c r="I2847" s="1904">
        <v>1238</v>
      </c>
      <c r="J2847" s="2086">
        <f t="shared" si="1304"/>
        <v>11884.8</v>
      </c>
      <c r="K2847" s="2087">
        <f t="shared" si="1305"/>
        <v>49190.399999999994</v>
      </c>
      <c r="L2847" s="2076"/>
      <c r="M2847" s="2059"/>
      <c r="O2847" s="1863"/>
      <c r="P2847" s="2077"/>
      <c r="Q2847" s="2077"/>
    </row>
    <row r="2848" spans="1:17" ht="22.15" customHeight="1">
      <c r="A2848" s="1901"/>
      <c r="B2848" s="2078" t="s">
        <v>425</v>
      </c>
      <c r="C2848" s="2070" t="s">
        <v>733</v>
      </c>
      <c r="D2848" s="2071"/>
      <c r="E2848" s="1808">
        <f>10.6*2</f>
        <v>21.2</v>
      </c>
      <c r="F2848" s="2073" t="s">
        <v>616</v>
      </c>
      <c r="G2848" s="2084">
        <v>1522</v>
      </c>
      <c r="H2848" s="2085">
        <f t="shared" si="1303"/>
        <v>32266.399999999998</v>
      </c>
      <c r="I2848" s="2088">
        <v>315</v>
      </c>
      <c r="J2848" s="2086">
        <f t="shared" si="1304"/>
        <v>6678</v>
      </c>
      <c r="K2848" s="2087">
        <f t="shared" si="1305"/>
        <v>38944.399999999994</v>
      </c>
      <c r="L2848" s="2076"/>
      <c r="M2848" s="2059"/>
      <c r="O2848" s="1863"/>
      <c r="P2848" s="2077"/>
      <c r="Q2848" s="2077"/>
    </row>
    <row r="2849" spans="1:17" ht="22.15" customHeight="1">
      <c r="A2849" s="1901"/>
      <c r="B2849" s="2078" t="s">
        <v>425</v>
      </c>
      <c r="C2849" s="2070" t="s">
        <v>734</v>
      </c>
      <c r="D2849" s="2071"/>
      <c r="E2849" s="1808">
        <f>7.2*2</f>
        <v>14.4</v>
      </c>
      <c r="F2849" s="2073" t="s">
        <v>616</v>
      </c>
      <c r="G2849" s="2084">
        <v>1522</v>
      </c>
      <c r="H2849" s="2085">
        <f t="shared" si="1303"/>
        <v>21916.799999999999</v>
      </c>
      <c r="I2849" s="2088">
        <v>315</v>
      </c>
      <c r="J2849" s="2086">
        <f t="shared" si="1304"/>
        <v>4536</v>
      </c>
      <c r="K2849" s="2087">
        <f t="shared" si="1305"/>
        <v>26452.799999999999</v>
      </c>
      <c r="L2849" s="2076"/>
      <c r="M2849" s="2059"/>
      <c r="O2849" s="1863"/>
      <c r="P2849" s="2077"/>
      <c r="Q2849" s="2077"/>
    </row>
    <row r="2850" spans="1:17" ht="22.15" customHeight="1">
      <c r="A2850" s="1901"/>
      <c r="B2850" s="2078" t="s">
        <v>425</v>
      </c>
      <c r="C2850" s="2070" t="s">
        <v>735</v>
      </c>
      <c r="D2850" s="2071"/>
      <c r="E2850" s="1808">
        <f>7.2*2</f>
        <v>14.4</v>
      </c>
      <c r="F2850" s="2073" t="s">
        <v>616</v>
      </c>
      <c r="G2850" s="2080">
        <v>750</v>
      </c>
      <c r="H2850" s="1788">
        <f t="shared" si="1303"/>
        <v>10800</v>
      </c>
      <c r="I2850" s="2083">
        <v>45</v>
      </c>
      <c r="J2850" s="1808">
        <f t="shared" si="1304"/>
        <v>648</v>
      </c>
      <c r="K2850" s="1897">
        <f t="shared" si="1305"/>
        <v>11448</v>
      </c>
      <c r="L2850" s="2076"/>
      <c r="M2850" s="2059"/>
      <c r="O2850" s="1863"/>
      <c r="P2850" s="2077"/>
      <c r="Q2850" s="2077"/>
    </row>
    <row r="2851" spans="1:17" ht="22.15" customHeight="1">
      <c r="A2851" s="1901"/>
      <c r="B2851" s="2078" t="s">
        <v>425</v>
      </c>
      <c r="C2851" s="2070" t="s">
        <v>736</v>
      </c>
      <c r="D2851" s="2071"/>
      <c r="E2851" s="1808">
        <f>16.8*2</f>
        <v>33.6</v>
      </c>
      <c r="F2851" s="2073" t="s">
        <v>616</v>
      </c>
      <c r="G2851" s="2080">
        <v>60</v>
      </c>
      <c r="H2851" s="1788">
        <f t="shared" si="1303"/>
        <v>2016</v>
      </c>
      <c r="I2851" s="2083">
        <v>45</v>
      </c>
      <c r="J2851" s="1808">
        <f t="shared" si="1304"/>
        <v>1512</v>
      </c>
      <c r="K2851" s="1897">
        <f t="shared" si="1305"/>
        <v>3528</v>
      </c>
      <c r="L2851" s="2076"/>
      <c r="M2851" s="2059"/>
      <c r="O2851" s="1863"/>
      <c r="P2851" s="2077"/>
      <c r="Q2851" s="2077"/>
    </row>
    <row r="2852" spans="1:17" ht="22.15" customHeight="1">
      <c r="A2852" s="1901"/>
      <c r="B2852" s="2078" t="s">
        <v>425</v>
      </c>
      <c r="C2852" s="2070" t="s">
        <v>2830</v>
      </c>
      <c r="D2852" s="2071"/>
      <c r="E2852" s="1808">
        <f>E2847</f>
        <v>9.6</v>
      </c>
      <c r="F2852" s="2073" t="s">
        <v>616</v>
      </c>
      <c r="G2852" s="2084">
        <v>2694</v>
      </c>
      <c r="H2852" s="2085">
        <f t="shared" si="1303"/>
        <v>25862.399999999998</v>
      </c>
      <c r="I2852" s="1904">
        <v>1288</v>
      </c>
      <c r="J2852" s="2086">
        <f t="shared" si="1304"/>
        <v>12364.8</v>
      </c>
      <c r="K2852" s="2087">
        <f t="shared" si="1305"/>
        <v>38227.199999999997</v>
      </c>
      <c r="L2852" s="2076"/>
      <c r="M2852" s="2059"/>
      <c r="O2852" s="1863"/>
      <c r="P2852" s="2077"/>
      <c r="Q2852" s="2077"/>
    </row>
    <row r="2853" spans="1:17" ht="22.15" customHeight="1">
      <c r="A2853" s="1901"/>
      <c r="B2853" s="2078"/>
      <c r="C2853" s="2070" t="s">
        <v>737</v>
      </c>
      <c r="D2853" s="2071"/>
      <c r="E2853" s="2079"/>
      <c r="F2853" s="2073"/>
      <c r="G2853" s="2080"/>
      <c r="H2853" s="2074"/>
      <c r="I2853" s="1855"/>
      <c r="J2853" s="2073"/>
      <c r="K2853" s="2075"/>
      <c r="L2853" s="2076"/>
      <c r="M2853" s="2059"/>
      <c r="O2853" s="1863"/>
      <c r="P2853" s="2077"/>
      <c r="Q2853" s="2077"/>
    </row>
    <row r="2854" spans="1:17" ht="22.15" customHeight="1">
      <c r="A2854" s="1901"/>
      <c r="B2854" s="2078"/>
      <c r="C2854" s="2070"/>
      <c r="D2854" s="2071"/>
      <c r="E2854" s="2079"/>
      <c r="F2854" s="2073"/>
      <c r="G2854" s="2080"/>
      <c r="H2854" s="2074"/>
      <c r="I2854" s="1855"/>
      <c r="J2854" s="2073"/>
      <c r="K2854" s="2075"/>
      <c r="L2854" s="2076"/>
      <c r="M2854" s="2059"/>
      <c r="O2854" s="1863"/>
      <c r="P2854" s="2077"/>
      <c r="Q2854" s="2077"/>
    </row>
    <row r="2855" spans="1:17" ht="22.15" customHeight="1">
      <c r="A2855" s="1901"/>
      <c r="B2855" s="2078" t="s">
        <v>425</v>
      </c>
      <c r="C2855" s="2070" t="s">
        <v>2831</v>
      </c>
      <c r="D2855" s="2071"/>
      <c r="E2855" s="2079">
        <v>2</v>
      </c>
      <c r="F2855" s="2073" t="s">
        <v>240</v>
      </c>
      <c r="G2855" s="1853">
        <v>8300</v>
      </c>
      <c r="H2855" s="2074">
        <f t="shared" ref="H2855" si="1306">G2855*E2855</f>
        <v>16600</v>
      </c>
      <c r="I2855" s="1855">
        <v>2490</v>
      </c>
      <c r="J2855" s="2073">
        <f>I2855*E2855</f>
        <v>4980</v>
      </c>
      <c r="K2855" s="2075">
        <f t="shared" ref="K2855" si="1307">H2855+J2855</f>
        <v>21580</v>
      </c>
      <c r="L2855" s="2076"/>
      <c r="M2855" s="2059"/>
      <c r="O2855" s="1863"/>
      <c r="P2855" s="2077"/>
      <c r="Q2855" s="2077"/>
    </row>
    <row r="2856" spans="1:17" ht="22.15" customHeight="1">
      <c r="A2856" s="1901"/>
      <c r="B2856" s="2078"/>
      <c r="C2856" s="2070" t="s">
        <v>738</v>
      </c>
      <c r="D2856" s="2071"/>
      <c r="E2856" s="2079"/>
      <c r="F2856" s="2073"/>
      <c r="G2856" s="2080"/>
      <c r="H2856" s="2074"/>
      <c r="I2856" s="1855"/>
      <c r="J2856" s="2073"/>
      <c r="K2856" s="2075"/>
      <c r="L2856" s="2076"/>
      <c r="M2856" s="2059"/>
      <c r="O2856" s="1863"/>
      <c r="P2856" s="2077"/>
      <c r="Q2856" s="2077"/>
    </row>
    <row r="2857" spans="1:17" ht="22.15" customHeight="1">
      <c r="A2857" s="1901"/>
      <c r="B2857" s="2078"/>
      <c r="C2857" s="2070"/>
      <c r="D2857" s="2071"/>
      <c r="E2857" s="2079"/>
      <c r="F2857" s="2073"/>
      <c r="G2857" s="2080"/>
      <c r="H2857" s="2074"/>
      <c r="I2857" s="1855"/>
      <c r="J2857" s="2073"/>
      <c r="K2857" s="2075"/>
      <c r="L2857" s="2076"/>
      <c r="M2857" s="2059"/>
      <c r="O2857" s="1863"/>
      <c r="P2857" s="2077"/>
      <c r="Q2857" s="2077"/>
    </row>
    <row r="2858" spans="1:17" ht="22.15" customHeight="1">
      <c r="A2858" s="1901"/>
      <c r="B2858" s="2078"/>
      <c r="C2858" s="2070"/>
      <c r="D2858" s="2071"/>
      <c r="E2858" s="2079"/>
      <c r="F2858" s="2073"/>
      <c r="G2858" s="2080"/>
      <c r="H2858" s="2074"/>
      <c r="I2858" s="1855"/>
      <c r="J2858" s="2073"/>
      <c r="K2858" s="2075"/>
      <c r="L2858" s="2076"/>
      <c r="M2858" s="2059"/>
      <c r="O2858" s="1863"/>
      <c r="P2858" s="2077"/>
      <c r="Q2858" s="2077"/>
    </row>
    <row r="2859" spans="1:17" ht="22.15" customHeight="1">
      <c r="A2859" s="1901"/>
      <c r="B2859" s="2069" t="s">
        <v>2847</v>
      </c>
      <c r="C2859" s="2070"/>
      <c r="D2859" s="2071"/>
      <c r="E2859" s="2072">
        <v>2</v>
      </c>
      <c r="F2859" s="2073" t="s">
        <v>723</v>
      </c>
      <c r="G2859" s="1853"/>
      <c r="H2859" s="2074"/>
      <c r="I2859" s="1855"/>
      <c r="J2859" s="2073"/>
      <c r="K2859" s="2075"/>
      <c r="L2859" s="2076"/>
      <c r="M2859" s="2059"/>
      <c r="O2859" s="1863"/>
      <c r="P2859" s="2077"/>
      <c r="Q2859" s="2077"/>
    </row>
    <row r="2860" spans="1:17" ht="22.15" customHeight="1">
      <c r="A2860" s="1901"/>
      <c r="B2860" s="2078" t="s">
        <v>425</v>
      </c>
      <c r="C2860" s="2070" t="s">
        <v>724</v>
      </c>
      <c r="D2860" s="2071"/>
      <c r="E2860" s="2079">
        <v>18</v>
      </c>
      <c r="F2860" s="2073" t="s">
        <v>240</v>
      </c>
      <c r="G2860" s="1853">
        <v>1430</v>
      </c>
      <c r="H2860" s="2074">
        <f t="shared" ref="H2860:H2865" si="1308">G2860*E2860</f>
        <v>25740</v>
      </c>
      <c r="I2860" s="1855">
        <v>450</v>
      </c>
      <c r="J2860" s="2073">
        <f t="shared" ref="J2860:J2865" si="1309">I2860*E2860</f>
        <v>8100</v>
      </c>
      <c r="K2860" s="2075">
        <f t="shared" ref="K2860:K2865" si="1310">H2860+J2860</f>
        <v>33840</v>
      </c>
      <c r="L2860" s="2076"/>
      <c r="M2860" s="2059"/>
      <c r="O2860" s="1863"/>
      <c r="P2860" s="2077"/>
      <c r="Q2860" s="2077"/>
    </row>
    <row r="2861" spans="1:17" ht="22.15" customHeight="1">
      <c r="A2861" s="1901"/>
      <c r="B2861" s="2078" t="s">
        <v>425</v>
      </c>
      <c r="C2861" s="2070" t="s">
        <v>2822</v>
      </c>
      <c r="D2861" s="2071"/>
      <c r="E2861" s="2079">
        <v>18</v>
      </c>
      <c r="F2861" s="2073" t="s">
        <v>240</v>
      </c>
      <c r="G2861" s="1853">
        <v>6225</v>
      </c>
      <c r="H2861" s="2074">
        <f t="shared" si="1308"/>
        <v>112050</v>
      </c>
      <c r="I2861" s="1855">
        <v>200</v>
      </c>
      <c r="J2861" s="2073">
        <f t="shared" si="1309"/>
        <v>3600</v>
      </c>
      <c r="K2861" s="2075">
        <f t="shared" si="1310"/>
        <v>115650</v>
      </c>
      <c r="L2861" s="2076"/>
      <c r="M2861" s="2059"/>
      <c r="O2861" s="1863"/>
      <c r="P2861" s="2077"/>
      <c r="Q2861" s="2077"/>
    </row>
    <row r="2862" spans="1:17" ht="22.15" customHeight="1">
      <c r="A2862" s="1901"/>
      <c r="B2862" s="2078" t="s">
        <v>425</v>
      </c>
      <c r="C2862" s="2070" t="s">
        <v>2823</v>
      </c>
      <c r="D2862" s="2071"/>
      <c r="E2862" s="2079">
        <v>18</v>
      </c>
      <c r="F2862" s="2073" t="s">
        <v>240</v>
      </c>
      <c r="G2862" s="1853">
        <v>315</v>
      </c>
      <c r="H2862" s="2074">
        <f t="shared" si="1308"/>
        <v>5670</v>
      </c>
      <c r="I2862" s="1855">
        <v>0</v>
      </c>
      <c r="J2862" s="2073">
        <f t="shared" si="1309"/>
        <v>0</v>
      </c>
      <c r="K2862" s="2075">
        <f t="shared" si="1310"/>
        <v>5670</v>
      </c>
      <c r="L2862" s="2076"/>
      <c r="M2862" s="2059"/>
      <c r="O2862" s="1863"/>
      <c r="P2862" s="2077"/>
      <c r="Q2862" s="2077"/>
    </row>
    <row r="2863" spans="1:17" ht="22.15" customHeight="1">
      <c r="A2863" s="1901"/>
      <c r="B2863" s="2078" t="s">
        <v>425</v>
      </c>
      <c r="C2863" s="2070" t="s">
        <v>2824</v>
      </c>
      <c r="D2863" s="2071"/>
      <c r="E2863" s="2079">
        <v>18</v>
      </c>
      <c r="F2863" s="2073" t="s">
        <v>240</v>
      </c>
      <c r="G2863" s="1853">
        <v>690</v>
      </c>
      <c r="H2863" s="2074">
        <f t="shared" si="1308"/>
        <v>12420</v>
      </c>
      <c r="I2863" s="1855">
        <v>0</v>
      </c>
      <c r="J2863" s="2073">
        <f t="shared" si="1309"/>
        <v>0</v>
      </c>
      <c r="K2863" s="2075">
        <f t="shared" si="1310"/>
        <v>12420</v>
      </c>
      <c r="L2863" s="2076"/>
      <c r="M2863" s="2059"/>
      <c r="O2863" s="1863"/>
      <c r="P2863" s="2077"/>
      <c r="Q2863" s="2077"/>
    </row>
    <row r="2864" spans="1:17" ht="22.15" customHeight="1">
      <c r="A2864" s="1901"/>
      <c r="B2864" s="2078" t="s">
        <v>425</v>
      </c>
      <c r="C2864" s="2070" t="s">
        <v>739</v>
      </c>
      <c r="D2864" s="2071"/>
      <c r="E2864" s="2079">
        <v>18</v>
      </c>
      <c r="F2864" s="2073" t="s">
        <v>240</v>
      </c>
      <c r="G2864" s="1853">
        <v>165</v>
      </c>
      <c r="H2864" s="2074">
        <f t="shared" si="1308"/>
        <v>2970</v>
      </c>
      <c r="I2864" s="1855">
        <v>0</v>
      </c>
      <c r="J2864" s="2073">
        <f t="shared" si="1309"/>
        <v>0</v>
      </c>
      <c r="K2864" s="2075">
        <f t="shared" si="1310"/>
        <v>2970</v>
      </c>
      <c r="L2864" s="2076"/>
      <c r="M2864" s="2059"/>
      <c r="O2864" s="1863"/>
      <c r="P2864" s="2077"/>
      <c r="Q2864" s="2077"/>
    </row>
    <row r="2865" spans="1:17" ht="22.15" customHeight="1">
      <c r="A2865" s="1901"/>
      <c r="B2865" s="2078" t="s">
        <v>425</v>
      </c>
      <c r="C2865" s="2070" t="s">
        <v>2826</v>
      </c>
      <c r="D2865" s="2071"/>
      <c r="E2865" s="2079">
        <v>18</v>
      </c>
      <c r="F2865" s="2073" t="s">
        <v>240</v>
      </c>
      <c r="G2865" s="1853">
        <v>202.5</v>
      </c>
      <c r="H2865" s="2074">
        <f t="shared" si="1308"/>
        <v>3645</v>
      </c>
      <c r="I2865" s="1855">
        <v>35</v>
      </c>
      <c r="J2865" s="2073">
        <f t="shared" si="1309"/>
        <v>630</v>
      </c>
      <c r="K2865" s="2075">
        <f t="shared" si="1310"/>
        <v>4275</v>
      </c>
      <c r="L2865" s="2076"/>
      <c r="M2865" s="2059"/>
      <c r="O2865" s="1863"/>
      <c r="P2865" s="2077"/>
      <c r="Q2865" s="2077"/>
    </row>
    <row r="2866" spans="1:17" ht="22.15" customHeight="1">
      <c r="A2866" s="1901"/>
      <c r="B2866" s="2078"/>
      <c r="C2866" s="2070"/>
      <c r="D2866" s="2071"/>
      <c r="E2866" s="2079"/>
      <c r="F2866" s="2073"/>
      <c r="G2866" s="1853"/>
      <c r="H2866" s="2074"/>
      <c r="I2866" s="1855"/>
      <c r="J2866" s="2073"/>
      <c r="K2866" s="2075"/>
      <c r="L2866" s="2076"/>
      <c r="M2866" s="2059"/>
      <c r="O2866" s="1863"/>
      <c r="P2866" s="2077"/>
      <c r="Q2866" s="2077"/>
    </row>
    <row r="2867" spans="1:17" ht="22.15" customHeight="1">
      <c r="A2867" s="1901"/>
      <c r="B2867" s="2078" t="s">
        <v>425</v>
      </c>
      <c r="C2867" s="2070" t="s">
        <v>725</v>
      </c>
      <c r="D2867" s="2071"/>
      <c r="E2867" s="2079">
        <v>34</v>
      </c>
      <c r="F2867" s="2073" t="s">
        <v>240</v>
      </c>
      <c r="G2867" s="1853">
        <v>8723</v>
      </c>
      <c r="H2867" s="2074">
        <f t="shared" ref="H2867:H2869" si="1311">G2867*E2867</f>
        <v>296582</v>
      </c>
      <c r="I2867" s="1855">
        <v>450</v>
      </c>
      <c r="J2867" s="2073">
        <f t="shared" ref="J2867:J2869" si="1312">I2867*E2867</f>
        <v>15300</v>
      </c>
      <c r="K2867" s="2075">
        <f t="shared" ref="K2867:K2869" si="1313">H2867+J2867</f>
        <v>311882</v>
      </c>
      <c r="L2867" s="2076"/>
      <c r="M2867" s="2059"/>
      <c r="O2867" s="1863"/>
      <c r="P2867" s="2077"/>
      <c r="Q2867" s="2077"/>
    </row>
    <row r="2868" spans="1:17" ht="22.15" customHeight="1">
      <c r="A2868" s="1901"/>
      <c r="B2868" s="2078" t="s">
        <v>425</v>
      </c>
      <c r="C2868" s="2070" t="s">
        <v>726</v>
      </c>
      <c r="D2868" s="2071"/>
      <c r="E2868" s="2079">
        <v>34</v>
      </c>
      <c r="F2868" s="2073" t="s">
        <v>240</v>
      </c>
      <c r="G2868" s="1853">
        <v>2430</v>
      </c>
      <c r="H2868" s="2074">
        <f t="shared" si="1311"/>
        <v>82620</v>
      </c>
      <c r="I2868" s="1855">
        <v>0</v>
      </c>
      <c r="J2868" s="2073">
        <f t="shared" si="1312"/>
        <v>0</v>
      </c>
      <c r="K2868" s="2075">
        <f t="shared" si="1313"/>
        <v>82620</v>
      </c>
      <c r="L2868" s="2076"/>
      <c r="M2868" s="2059"/>
      <c r="O2868" s="1863"/>
      <c r="P2868" s="2077"/>
      <c r="Q2868" s="2077"/>
    </row>
    <row r="2869" spans="1:17" ht="22.15" customHeight="1">
      <c r="A2869" s="1901"/>
      <c r="B2869" s="2078" t="s">
        <v>425</v>
      </c>
      <c r="C2869" s="2070" t="s">
        <v>2826</v>
      </c>
      <c r="D2869" s="2071"/>
      <c r="E2869" s="2079">
        <v>34</v>
      </c>
      <c r="F2869" s="2073" t="s">
        <v>240</v>
      </c>
      <c r="G2869" s="1853">
        <v>202.5</v>
      </c>
      <c r="H2869" s="2074">
        <f t="shared" si="1311"/>
        <v>6885</v>
      </c>
      <c r="I2869" s="1855">
        <v>35</v>
      </c>
      <c r="J2869" s="2073">
        <f t="shared" si="1312"/>
        <v>1190</v>
      </c>
      <c r="K2869" s="2075">
        <f t="shared" si="1313"/>
        <v>8075</v>
      </c>
      <c r="L2869" s="2076"/>
      <c r="M2869" s="2059"/>
      <c r="O2869" s="1863"/>
      <c r="P2869" s="2077"/>
      <c r="Q2869" s="2077"/>
    </row>
    <row r="2870" spans="1:17" ht="22.15" customHeight="1">
      <c r="A2870" s="1901"/>
      <c r="B2870" s="2078"/>
      <c r="C2870" s="2070"/>
      <c r="D2870" s="2071"/>
      <c r="E2870" s="2079"/>
      <c r="F2870" s="2073"/>
      <c r="G2870" s="1853"/>
      <c r="H2870" s="2074"/>
      <c r="I2870" s="1855"/>
      <c r="J2870" s="2073"/>
      <c r="K2870" s="2075"/>
      <c r="L2870" s="2076"/>
      <c r="M2870" s="2059"/>
      <c r="O2870" s="1863"/>
      <c r="P2870" s="2077"/>
      <c r="Q2870" s="2077"/>
    </row>
    <row r="2871" spans="1:17" ht="22.15" customHeight="1">
      <c r="A2871" s="1901"/>
      <c r="B2871" s="2078" t="s">
        <v>425</v>
      </c>
      <c r="C2871" s="1755" t="s">
        <v>728</v>
      </c>
      <c r="D2871" s="2071"/>
      <c r="E2871" s="2079">
        <v>16</v>
      </c>
      <c r="F2871" s="2073" t="s">
        <v>240</v>
      </c>
      <c r="G2871" s="1853">
        <v>525</v>
      </c>
      <c r="H2871" s="2074">
        <f t="shared" ref="H2871:H2881" si="1314">G2871*E2871</f>
        <v>8400</v>
      </c>
      <c r="I2871" s="1855">
        <v>75</v>
      </c>
      <c r="J2871" s="2073">
        <f t="shared" ref="J2871:J2881" si="1315">I2871*E2871</f>
        <v>1200</v>
      </c>
      <c r="K2871" s="2075">
        <f t="shared" ref="K2871:K2881" si="1316">H2871+J2871</f>
        <v>9600</v>
      </c>
      <c r="L2871" s="2076"/>
      <c r="M2871" s="2059"/>
      <c r="O2871" s="1863"/>
      <c r="P2871" s="2077"/>
      <c r="Q2871" s="2077"/>
    </row>
    <row r="2872" spans="1:17" ht="22.15" customHeight="1">
      <c r="A2872" s="1901"/>
      <c r="B2872" s="2078" t="s">
        <v>425</v>
      </c>
      <c r="C2872" s="1755" t="s">
        <v>743</v>
      </c>
      <c r="D2872" s="2071"/>
      <c r="E2872" s="2079">
        <f>1*$E$2400</f>
        <v>1</v>
      </c>
      <c r="F2872" s="2073" t="s">
        <v>240</v>
      </c>
      <c r="G2872" s="1853">
        <v>517.5</v>
      </c>
      <c r="H2872" s="2074">
        <f t="shared" si="1314"/>
        <v>517.5</v>
      </c>
      <c r="I2872" s="1855">
        <v>25</v>
      </c>
      <c r="J2872" s="2073">
        <f t="shared" si="1315"/>
        <v>25</v>
      </c>
      <c r="K2872" s="2075">
        <f t="shared" si="1316"/>
        <v>542.5</v>
      </c>
      <c r="L2872" s="2076"/>
      <c r="M2872" s="2059"/>
      <c r="O2872" s="1863"/>
      <c r="P2872" s="2077"/>
      <c r="Q2872" s="2077"/>
    </row>
    <row r="2873" spans="1:17" ht="22.15" customHeight="1">
      <c r="A2873" s="1901"/>
      <c r="B2873" s="2078" t="s">
        <v>425</v>
      </c>
      <c r="C2873" s="1755" t="s">
        <v>729</v>
      </c>
      <c r="D2873" s="2071"/>
      <c r="E2873" s="2079">
        <f>E2867</f>
        <v>34</v>
      </c>
      <c r="F2873" s="2073" t="s">
        <v>240</v>
      </c>
      <c r="G2873" s="2082">
        <v>13500</v>
      </c>
      <c r="H2873" s="2074">
        <f t="shared" si="1314"/>
        <v>459000</v>
      </c>
      <c r="I2873" s="1855">
        <v>750</v>
      </c>
      <c r="J2873" s="2073">
        <f t="shared" si="1315"/>
        <v>25500</v>
      </c>
      <c r="K2873" s="2075">
        <f t="shared" si="1316"/>
        <v>484500</v>
      </c>
      <c r="L2873" s="2076"/>
      <c r="M2873" s="2059"/>
      <c r="O2873" s="1863"/>
      <c r="P2873" s="2077"/>
      <c r="Q2873" s="2077"/>
    </row>
    <row r="2874" spans="1:17" ht="22.15" customHeight="1">
      <c r="A2874" s="1901"/>
      <c r="B2874" s="2078" t="s">
        <v>425</v>
      </c>
      <c r="C2874" s="1755" t="s">
        <v>730</v>
      </c>
      <c r="D2874" s="2071"/>
      <c r="E2874" s="2079">
        <v>2</v>
      </c>
      <c r="F2874" s="2073" t="s">
        <v>240</v>
      </c>
      <c r="G2874" s="2080">
        <v>1320</v>
      </c>
      <c r="H2874" s="2074">
        <f t="shared" si="1314"/>
        <v>2640</v>
      </c>
      <c r="I2874" s="1855">
        <v>70</v>
      </c>
      <c r="J2874" s="2073">
        <f t="shared" si="1315"/>
        <v>140</v>
      </c>
      <c r="K2874" s="2075">
        <f t="shared" si="1316"/>
        <v>2780</v>
      </c>
      <c r="L2874" s="2076"/>
      <c r="M2874" s="2059"/>
      <c r="O2874" s="1863"/>
      <c r="P2874" s="2077"/>
      <c r="Q2874" s="2077"/>
    </row>
    <row r="2875" spans="1:17" ht="22.15" customHeight="1">
      <c r="A2875" s="1901"/>
      <c r="B2875" s="2078" t="s">
        <v>425</v>
      </c>
      <c r="C2875" s="1755" t="s">
        <v>752</v>
      </c>
      <c r="D2875" s="2071"/>
      <c r="E2875" s="2079">
        <v>2</v>
      </c>
      <c r="F2875" s="2073" t="s">
        <v>240</v>
      </c>
      <c r="G2875" s="2080">
        <v>4100</v>
      </c>
      <c r="H2875" s="1788">
        <f t="shared" si="1314"/>
        <v>8200</v>
      </c>
      <c r="I2875" s="2083">
        <v>200</v>
      </c>
      <c r="J2875" s="1808">
        <f t="shared" si="1315"/>
        <v>400</v>
      </c>
      <c r="K2875" s="1897">
        <f t="shared" si="1316"/>
        <v>8600</v>
      </c>
      <c r="L2875" s="2076"/>
      <c r="M2875" s="2059"/>
      <c r="O2875" s="1863"/>
      <c r="P2875" s="2077"/>
      <c r="Q2875" s="2077"/>
    </row>
    <row r="2876" spans="1:17" ht="22.15" customHeight="1">
      <c r="A2876" s="1901"/>
      <c r="B2876" s="2078" t="s">
        <v>425</v>
      </c>
      <c r="C2876" s="1755" t="s">
        <v>2828</v>
      </c>
      <c r="D2876" s="2071"/>
      <c r="E2876" s="2079">
        <v>4</v>
      </c>
      <c r="F2876" s="2073" t="s">
        <v>240</v>
      </c>
      <c r="G2876" s="2080">
        <v>2835</v>
      </c>
      <c r="H2876" s="2074">
        <f t="shared" si="1314"/>
        <v>11340</v>
      </c>
      <c r="I2876" s="1855">
        <v>105</v>
      </c>
      <c r="J2876" s="2073">
        <f t="shared" si="1315"/>
        <v>420</v>
      </c>
      <c r="K2876" s="2075">
        <f t="shared" si="1316"/>
        <v>11760</v>
      </c>
      <c r="L2876" s="2076"/>
      <c r="M2876" s="2059"/>
      <c r="O2876" s="1863"/>
      <c r="P2876" s="2077"/>
      <c r="Q2876" s="2077"/>
    </row>
    <row r="2877" spans="1:17" ht="22.15" customHeight="1">
      <c r="A2877" s="1901"/>
      <c r="B2877" s="2078" t="s">
        <v>425</v>
      </c>
      <c r="C2877" s="2070" t="s">
        <v>732</v>
      </c>
      <c r="D2877" s="2071"/>
      <c r="E2877" s="1808">
        <f>7.3*2</f>
        <v>14.6</v>
      </c>
      <c r="F2877" s="2073" t="s">
        <v>616</v>
      </c>
      <c r="G2877" s="2084">
        <v>3886</v>
      </c>
      <c r="H2877" s="2085">
        <f t="shared" si="1314"/>
        <v>56735.6</v>
      </c>
      <c r="I2877" s="1904">
        <v>1238</v>
      </c>
      <c r="J2877" s="2086">
        <f t="shared" si="1315"/>
        <v>18074.8</v>
      </c>
      <c r="K2877" s="2087">
        <f t="shared" si="1316"/>
        <v>74810.399999999994</v>
      </c>
      <c r="L2877" s="2076"/>
      <c r="M2877" s="2059"/>
      <c r="O2877" s="1863"/>
      <c r="P2877" s="2077"/>
      <c r="Q2877" s="2077"/>
    </row>
    <row r="2878" spans="1:17" ht="22.15" customHeight="1">
      <c r="A2878" s="1901"/>
      <c r="B2878" s="2078" t="s">
        <v>425</v>
      </c>
      <c r="C2878" s="2070" t="s">
        <v>734</v>
      </c>
      <c r="D2878" s="2071"/>
      <c r="E2878" s="1808">
        <f>15.3*2</f>
        <v>30.6</v>
      </c>
      <c r="F2878" s="2073" t="s">
        <v>616</v>
      </c>
      <c r="G2878" s="2084">
        <v>1522</v>
      </c>
      <c r="H2878" s="2085">
        <f t="shared" si="1314"/>
        <v>46573.200000000004</v>
      </c>
      <c r="I2878" s="2088">
        <v>315</v>
      </c>
      <c r="J2878" s="2086">
        <f t="shared" si="1315"/>
        <v>9639</v>
      </c>
      <c r="K2878" s="2087">
        <f t="shared" si="1316"/>
        <v>56212.200000000004</v>
      </c>
      <c r="L2878" s="2076"/>
      <c r="M2878" s="2059"/>
      <c r="O2878" s="1863"/>
      <c r="P2878" s="2077"/>
      <c r="Q2878" s="2077"/>
    </row>
    <row r="2879" spans="1:17" ht="22.15" customHeight="1">
      <c r="A2879" s="1901"/>
      <c r="B2879" s="2078" t="s">
        <v>425</v>
      </c>
      <c r="C2879" s="2070" t="s">
        <v>746</v>
      </c>
      <c r="D2879" s="2071"/>
      <c r="E2879" s="1808">
        <f>2.4*2</f>
        <v>4.8</v>
      </c>
      <c r="F2879" s="2073" t="s">
        <v>616</v>
      </c>
      <c r="G2879" s="2080">
        <v>750</v>
      </c>
      <c r="H2879" s="1788">
        <f t="shared" si="1314"/>
        <v>3600</v>
      </c>
      <c r="I2879" s="2083">
        <v>45</v>
      </c>
      <c r="J2879" s="1808">
        <f t="shared" si="1315"/>
        <v>216</v>
      </c>
      <c r="K2879" s="1897">
        <f t="shared" si="1316"/>
        <v>3816</v>
      </c>
      <c r="L2879" s="2076"/>
      <c r="M2879" s="2059"/>
      <c r="O2879" s="1863"/>
      <c r="P2879" s="2077"/>
      <c r="Q2879" s="2077"/>
    </row>
    <row r="2880" spans="1:17" ht="22.15" customHeight="1">
      <c r="A2880" s="1901"/>
      <c r="B2880" s="2078" t="s">
        <v>425</v>
      </c>
      <c r="C2880" s="2070" t="s">
        <v>747</v>
      </c>
      <c r="D2880" s="2071"/>
      <c r="E2880" s="1808">
        <f>5.6*2</f>
        <v>11.2</v>
      </c>
      <c r="F2880" s="2073" t="s">
        <v>616</v>
      </c>
      <c r="G2880" s="2080">
        <v>60</v>
      </c>
      <c r="H2880" s="1788">
        <f t="shared" si="1314"/>
        <v>672</v>
      </c>
      <c r="I2880" s="2083">
        <v>45</v>
      </c>
      <c r="J2880" s="1808">
        <f t="shared" si="1315"/>
        <v>503.99999999999994</v>
      </c>
      <c r="K2880" s="1897">
        <f t="shared" si="1316"/>
        <v>1176</v>
      </c>
      <c r="L2880" s="1791"/>
      <c r="M2880" s="1809"/>
      <c r="O2880" s="1863"/>
      <c r="P2880" s="2077"/>
      <c r="Q2880" s="2077"/>
    </row>
    <row r="2881" spans="1:17" ht="22.15" customHeight="1">
      <c r="A2881" s="1901"/>
      <c r="B2881" s="2078" t="s">
        <v>425</v>
      </c>
      <c r="C2881" s="2070" t="s">
        <v>2830</v>
      </c>
      <c r="D2881" s="2071"/>
      <c r="E2881" s="1808">
        <f>E2877</f>
        <v>14.6</v>
      </c>
      <c r="F2881" s="2073" t="s">
        <v>616</v>
      </c>
      <c r="G2881" s="2084">
        <v>2694</v>
      </c>
      <c r="H2881" s="2085">
        <f t="shared" si="1314"/>
        <v>39332.400000000001</v>
      </c>
      <c r="I2881" s="1904">
        <v>1288</v>
      </c>
      <c r="J2881" s="2086">
        <f t="shared" si="1315"/>
        <v>18804.8</v>
      </c>
      <c r="K2881" s="2087">
        <f t="shared" si="1316"/>
        <v>58137.2</v>
      </c>
      <c r="L2881" s="2076"/>
      <c r="M2881" s="2059"/>
      <c r="O2881" s="1863"/>
      <c r="P2881" s="2077"/>
      <c r="Q2881" s="2077"/>
    </row>
    <row r="2882" spans="1:17" ht="22.15" customHeight="1">
      <c r="A2882" s="1901"/>
      <c r="B2882" s="2078"/>
      <c r="C2882" s="2070" t="s">
        <v>737</v>
      </c>
      <c r="D2882" s="2071"/>
      <c r="E2882" s="2079"/>
      <c r="F2882" s="2073"/>
      <c r="G2882" s="2080"/>
      <c r="H2882" s="2074"/>
      <c r="I2882" s="1855"/>
      <c r="J2882" s="2073"/>
      <c r="K2882" s="2075"/>
      <c r="L2882" s="2076"/>
      <c r="M2882" s="2059"/>
      <c r="O2882" s="1863"/>
      <c r="P2882" s="2077"/>
      <c r="Q2882" s="2077"/>
    </row>
    <row r="2883" spans="1:17" ht="22.15" customHeight="1">
      <c r="A2883" s="1901"/>
      <c r="B2883" s="2078" t="s">
        <v>425</v>
      </c>
      <c r="C2883" s="2070" t="s">
        <v>2831</v>
      </c>
      <c r="D2883" s="2071"/>
      <c r="E2883" s="2079">
        <v>2</v>
      </c>
      <c r="F2883" s="2073" t="s">
        <v>240</v>
      </c>
      <c r="G2883" s="1853">
        <v>8300</v>
      </c>
      <c r="H2883" s="2074">
        <f t="shared" ref="H2883" si="1317">G2883*E2883</f>
        <v>16600</v>
      </c>
      <c r="I2883" s="1855">
        <v>2490</v>
      </c>
      <c r="J2883" s="2073">
        <f>I2883*E2883</f>
        <v>4980</v>
      </c>
      <c r="K2883" s="2075">
        <f t="shared" ref="K2883" si="1318">H2883+J2883</f>
        <v>21580</v>
      </c>
      <c r="L2883" s="2076"/>
      <c r="M2883" s="2059"/>
      <c r="O2883" s="1863"/>
      <c r="P2883" s="2077"/>
      <c r="Q2883" s="2077"/>
    </row>
    <row r="2884" spans="1:17" ht="22.15" customHeight="1">
      <c r="A2884" s="1901"/>
      <c r="B2884" s="2078"/>
      <c r="C2884" s="2070" t="s">
        <v>738</v>
      </c>
      <c r="D2884" s="2071"/>
      <c r="E2884" s="2079"/>
      <c r="F2884" s="2073"/>
      <c r="G2884" s="2080"/>
      <c r="H2884" s="2074"/>
      <c r="I2884" s="1855"/>
      <c r="J2884" s="2073"/>
      <c r="K2884" s="2075"/>
      <c r="L2884" s="2076"/>
      <c r="M2884" s="2059"/>
      <c r="O2884" s="1863"/>
      <c r="P2884" s="2077"/>
      <c r="Q2884" s="2077"/>
    </row>
    <row r="2885" spans="1:17" ht="22.15" customHeight="1">
      <c r="A2885" s="1901"/>
      <c r="B2885" s="2069" t="s">
        <v>2848</v>
      </c>
      <c r="C2885" s="2070"/>
      <c r="D2885" s="2071"/>
      <c r="E2885" s="2072">
        <v>2</v>
      </c>
      <c r="F2885" s="2073" t="s">
        <v>723</v>
      </c>
      <c r="G2885" s="1853"/>
      <c r="H2885" s="2074"/>
      <c r="I2885" s="1855"/>
      <c r="J2885" s="2073"/>
      <c r="K2885" s="2075"/>
      <c r="L2885" s="2076"/>
      <c r="M2885" s="2059"/>
      <c r="O2885" s="1863"/>
      <c r="P2885" s="2077"/>
      <c r="Q2885" s="2077"/>
    </row>
    <row r="2886" spans="1:17" ht="22.15" customHeight="1">
      <c r="A2886" s="1901"/>
      <c r="B2886" s="2078" t="s">
        <v>425</v>
      </c>
      <c r="C2886" s="2070" t="s">
        <v>740</v>
      </c>
      <c r="D2886" s="2071"/>
      <c r="E2886" s="2079">
        <v>2</v>
      </c>
      <c r="F2886" s="2073" t="s">
        <v>240</v>
      </c>
      <c r="G2886" s="1853">
        <v>6344</v>
      </c>
      <c r="H2886" s="2074">
        <f t="shared" ref="H2886:H2891" si="1319">G2886*E2886</f>
        <v>12688</v>
      </c>
      <c r="I2886" s="1855">
        <v>450</v>
      </c>
      <c r="J2886" s="2073">
        <f t="shared" ref="J2886:J2891" si="1320">I2886*E2886</f>
        <v>900</v>
      </c>
      <c r="K2886" s="2075">
        <f t="shared" ref="K2886:K2891" si="1321">H2886+J2886</f>
        <v>13588</v>
      </c>
      <c r="L2886" s="2076"/>
      <c r="M2886" s="2059"/>
      <c r="O2886" s="1863"/>
      <c r="P2886" s="2077"/>
      <c r="Q2886" s="2077"/>
    </row>
    <row r="2887" spans="1:17" ht="22.15" customHeight="1">
      <c r="A2887" s="1901"/>
      <c r="B2887" s="2078" t="s">
        <v>425</v>
      </c>
      <c r="C2887" s="2070" t="s">
        <v>2822</v>
      </c>
      <c r="D2887" s="2071"/>
      <c r="E2887" s="2079">
        <v>2</v>
      </c>
      <c r="F2887" s="2073" t="s">
        <v>240</v>
      </c>
      <c r="G2887" s="1853">
        <v>6225</v>
      </c>
      <c r="H2887" s="2074">
        <f t="shared" si="1319"/>
        <v>12450</v>
      </c>
      <c r="I2887" s="1855">
        <v>200</v>
      </c>
      <c r="J2887" s="2073">
        <f t="shared" si="1320"/>
        <v>400</v>
      </c>
      <c r="K2887" s="2075">
        <f t="shared" si="1321"/>
        <v>12850</v>
      </c>
      <c r="L2887" s="2076"/>
      <c r="M2887" s="2059"/>
      <c r="O2887" s="1863"/>
      <c r="P2887" s="2077"/>
      <c r="Q2887" s="2077"/>
    </row>
    <row r="2888" spans="1:17" ht="22.15" customHeight="1">
      <c r="A2888" s="1901"/>
      <c r="B2888" s="2078" t="s">
        <v>425</v>
      </c>
      <c r="C2888" s="2070" t="s">
        <v>2823</v>
      </c>
      <c r="D2888" s="2071"/>
      <c r="E2888" s="2079">
        <v>2</v>
      </c>
      <c r="F2888" s="2073" t="s">
        <v>240</v>
      </c>
      <c r="G2888" s="1853">
        <v>315</v>
      </c>
      <c r="H2888" s="2074">
        <f t="shared" si="1319"/>
        <v>630</v>
      </c>
      <c r="I2888" s="1855">
        <v>0</v>
      </c>
      <c r="J2888" s="2073">
        <f t="shared" si="1320"/>
        <v>0</v>
      </c>
      <c r="K2888" s="2075">
        <f t="shared" si="1321"/>
        <v>630</v>
      </c>
      <c r="L2888" s="2076"/>
      <c r="M2888" s="2059"/>
      <c r="O2888" s="1863"/>
      <c r="P2888" s="2077"/>
      <c r="Q2888" s="2077"/>
    </row>
    <row r="2889" spans="1:17" ht="22.15" customHeight="1">
      <c r="A2889" s="1901"/>
      <c r="B2889" s="2078" t="s">
        <v>425</v>
      </c>
      <c r="C2889" s="2070" t="s">
        <v>2824</v>
      </c>
      <c r="D2889" s="2071"/>
      <c r="E2889" s="2079">
        <v>2</v>
      </c>
      <c r="F2889" s="2073" t="s">
        <v>240</v>
      </c>
      <c r="G2889" s="1853">
        <v>690</v>
      </c>
      <c r="H2889" s="2074">
        <f t="shared" si="1319"/>
        <v>1380</v>
      </c>
      <c r="I2889" s="1855">
        <v>0</v>
      </c>
      <c r="J2889" s="2073">
        <f t="shared" si="1320"/>
        <v>0</v>
      </c>
      <c r="K2889" s="2075">
        <f t="shared" si="1321"/>
        <v>1380</v>
      </c>
      <c r="L2889" s="2076"/>
      <c r="M2889" s="2059"/>
      <c r="O2889" s="1863"/>
      <c r="P2889" s="2077"/>
      <c r="Q2889" s="2077"/>
    </row>
    <row r="2890" spans="1:17" ht="22.15" customHeight="1">
      <c r="A2890" s="1901"/>
      <c r="B2890" s="2078" t="s">
        <v>425</v>
      </c>
      <c r="C2890" s="2070" t="s">
        <v>2825</v>
      </c>
      <c r="D2890" s="2071"/>
      <c r="E2890" s="2079">
        <v>2</v>
      </c>
      <c r="F2890" s="2073" t="s">
        <v>240</v>
      </c>
      <c r="G2890" s="1853">
        <v>165</v>
      </c>
      <c r="H2890" s="2074">
        <f t="shared" si="1319"/>
        <v>330</v>
      </c>
      <c r="I2890" s="1855">
        <v>0</v>
      </c>
      <c r="J2890" s="2073">
        <f t="shared" si="1320"/>
        <v>0</v>
      </c>
      <c r="K2890" s="2075">
        <f t="shared" si="1321"/>
        <v>330</v>
      </c>
      <c r="L2890" s="2076"/>
      <c r="M2890" s="2059"/>
      <c r="O2890" s="1863"/>
      <c r="P2890" s="2077"/>
      <c r="Q2890" s="2077"/>
    </row>
    <row r="2891" spans="1:17" ht="22.15" customHeight="1">
      <c r="A2891" s="1901"/>
      <c r="B2891" s="2078" t="s">
        <v>425</v>
      </c>
      <c r="C2891" s="2070" t="s">
        <v>2826</v>
      </c>
      <c r="D2891" s="2071"/>
      <c r="E2891" s="2079">
        <v>2</v>
      </c>
      <c r="F2891" s="2073" t="s">
        <v>240</v>
      </c>
      <c r="G2891" s="1853">
        <v>202.5</v>
      </c>
      <c r="H2891" s="2074">
        <f t="shared" si="1319"/>
        <v>405</v>
      </c>
      <c r="I2891" s="1855">
        <v>35</v>
      </c>
      <c r="J2891" s="2073">
        <f t="shared" si="1320"/>
        <v>70</v>
      </c>
      <c r="K2891" s="2075">
        <f t="shared" si="1321"/>
        <v>475</v>
      </c>
      <c r="L2891" s="2076"/>
      <c r="M2891" s="2059"/>
      <c r="O2891" s="1863"/>
      <c r="P2891" s="2077"/>
      <c r="Q2891" s="2077"/>
    </row>
    <row r="2892" spans="1:17" ht="22.15" customHeight="1">
      <c r="A2892" s="1901"/>
      <c r="B2892" s="2078"/>
      <c r="C2892" s="2070"/>
      <c r="D2892" s="2071"/>
      <c r="E2892" s="2079"/>
      <c r="F2892" s="2073"/>
      <c r="G2892" s="1853"/>
      <c r="H2892" s="2074"/>
      <c r="I2892" s="1855"/>
      <c r="J2892" s="2073"/>
      <c r="K2892" s="2075"/>
      <c r="L2892" s="2076"/>
      <c r="M2892" s="2059"/>
      <c r="O2892" s="1863"/>
      <c r="P2892" s="2077"/>
      <c r="Q2892" s="2077"/>
    </row>
    <row r="2893" spans="1:17" ht="22.15" customHeight="1">
      <c r="A2893" s="1901"/>
      <c r="B2893" s="2078" t="s">
        <v>425</v>
      </c>
      <c r="C2893" s="1755" t="s">
        <v>2834</v>
      </c>
      <c r="D2893" s="2071"/>
      <c r="E2893" s="2079">
        <v>2</v>
      </c>
      <c r="F2893" s="2073" t="s">
        <v>240</v>
      </c>
      <c r="G2893" s="1853">
        <v>6110</v>
      </c>
      <c r="H2893" s="2074">
        <f t="shared" ref="H2893:H2896" si="1322">G2893*E2893</f>
        <v>12220</v>
      </c>
      <c r="I2893" s="1855">
        <v>450</v>
      </c>
      <c r="J2893" s="2073">
        <f t="shared" ref="J2893:J2896" si="1323">I2893*E2893</f>
        <v>900</v>
      </c>
      <c r="K2893" s="2075">
        <f t="shared" ref="K2893:K2896" si="1324">H2893+J2893</f>
        <v>13120</v>
      </c>
      <c r="L2893" s="2076"/>
      <c r="M2893" s="2059"/>
      <c r="O2893" s="1863"/>
      <c r="P2893" s="2077"/>
      <c r="Q2893" s="2077"/>
    </row>
    <row r="2894" spans="1:17" ht="22.15" customHeight="1">
      <c r="A2894" s="1901"/>
      <c r="B2894" s="2078" t="s">
        <v>425</v>
      </c>
      <c r="C2894" s="1755" t="s">
        <v>2825</v>
      </c>
      <c r="D2894" s="2071"/>
      <c r="E2894" s="2079">
        <v>2</v>
      </c>
      <c r="F2894" s="2073" t="s">
        <v>240</v>
      </c>
      <c r="G2894" s="1853">
        <v>165</v>
      </c>
      <c r="H2894" s="2074">
        <f t="shared" si="1322"/>
        <v>330</v>
      </c>
      <c r="I2894" s="1855">
        <v>0</v>
      </c>
      <c r="J2894" s="2073">
        <f t="shared" si="1323"/>
        <v>0</v>
      </c>
      <c r="K2894" s="2075">
        <f t="shared" si="1324"/>
        <v>330</v>
      </c>
      <c r="L2894" s="2076"/>
      <c r="M2894" s="2059"/>
      <c r="O2894" s="1863"/>
      <c r="P2894" s="2077"/>
      <c r="Q2894" s="2077"/>
    </row>
    <row r="2895" spans="1:17" ht="22.15" customHeight="1">
      <c r="A2895" s="1901"/>
      <c r="B2895" s="2078" t="s">
        <v>425</v>
      </c>
      <c r="C2895" s="1755" t="s">
        <v>2835</v>
      </c>
      <c r="D2895" s="2071"/>
      <c r="E2895" s="2079">
        <v>2</v>
      </c>
      <c r="F2895" s="2073" t="s">
        <v>240</v>
      </c>
      <c r="G2895" s="1853">
        <v>525</v>
      </c>
      <c r="H2895" s="2074">
        <f t="shared" si="1322"/>
        <v>1050</v>
      </c>
      <c r="I2895" s="1855">
        <v>35</v>
      </c>
      <c r="J2895" s="2073">
        <f t="shared" si="1323"/>
        <v>70</v>
      </c>
      <c r="K2895" s="2075">
        <f t="shared" si="1324"/>
        <v>1120</v>
      </c>
      <c r="L2895" s="2076"/>
      <c r="M2895" s="2059"/>
      <c r="O2895" s="1863"/>
      <c r="P2895" s="2077"/>
      <c r="Q2895" s="2077"/>
    </row>
    <row r="2896" spans="1:17" ht="22.15" customHeight="1">
      <c r="A2896" s="1901"/>
      <c r="B2896" s="2078" t="s">
        <v>425</v>
      </c>
      <c r="C2896" s="1755" t="s">
        <v>2826</v>
      </c>
      <c r="D2896" s="2071"/>
      <c r="E2896" s="2079">
        <v>4</v>
      </c>
      <c r="F2896" s="2073" t="s">
        <v>240</v>
      </c>
      <c r="G2896" s="2080">
        <v>202.5</v>
      </c>
      <c r="H2896" s="2074">
        <f t="shared" si="1322"/>
        <v>810</v>
      </c>
      <c r="I2896" s="1855">
        <v>35</v>
      </c>
      <c r="J2896" s="2073">
        <f t="shared" si="1323"/>
        <v>140</v>
      </c>
      <c r="K2896" s="2075">
        <f t="shared" si="1324"/>
        <v>950</v>
      </c>
      <c r="L2896" s="2076"/>
      <c r="M2896" s="2059"/>
      <c r="O2896" s="1863"/>
      <c r="P2896" s="2077"/>
      <c r="Q2896" s="2077"/>
    </row>
    <row r="2897" spans="1:17" ht="22.15" customHeight="1">
      <c r="A2897" s="1901"/>
      <c r="B2897" s="2078"/>
      <c r="C2897" s="1755"/>
      <c r="D2897" s="2071"/>
      <c r="E2897" s="2079"/>
      <c r="F2897" s="2073"/>
      <c r="G2897" s="1853"/>
      <c r="H2897" s="2074"/>
      <c r="I2897" s="1855"/>
      <c r="J2897" s="2073"/>
      <c r="K2897" s="2075"/>
      <c r="L2897" s="2076"/>
      <c r="M2897" s="2059"/>
      <c r="O2897" s="1863"/>
      <c r="P2897" s="2077"/>
      <c r="Q2897" s="2077"/>
    </row>
    <row r="2898" spans="1:17" ht="22.15" customHeight="1">
      <c r="A2898" s="1901"/>
      <c r="B2898" s="2078" t="s">
        <v>425</v>
      </c>
      <c r="C2898" s="1755" t="s">
        <v>743</v>
      </c>
      <c r="D2898" s="2071"/>
      <c r="E2898" s="2079">
        <v>2</v>
      </c>
      <c r="F2898" s="2073" t="s">
        <v>240</v>
      </c>
      <c r="G2898" s="1853">
        <v>517.5</v>
      </c>
      <c r="H2898" s="2074">
        <f t="shared" ref="H2898:H2900" si="1325">G2898*E2898</f>
        <v>1035</v>
      </c>
      <c r="I2898" s="1855">
        <v>25</v>
      </c>
      <c r="J2898" s="2073">
        <f t="shared" ref="J2898:J2900" si="1326">I2898*E2898</f>
        <v>50</v>
      </c>
      <c r="K2898" s="2075">
        <f t="shared" ref="K2898:K2900" si="1327">H2898+J2898</f>
        <v>1085</v>
      </c>
      <c r="L2898" s="2076"/>
      <c r="M2898" s="2059"/>
      <c r="O2898" s="1863"/>
      <c r="P2898" s="2077"/>
      <c r="Q2898" s="2077"/>
    </row>
    <row r="2899" spans="1:17" ht="22.15" customHeight="1">
      <c r="A2899" s="1901"/>
      <c r="B2899" s="2078" t="s">
        <v>425</v>
      </c>
      <c r="C2899" s="1755" t="s">
        <v>2836</v>
      </c>
      <c r="D2899" s="2071"/>
      <c r="E2899" s="2079">
        <v>2</v>
      </c>
      <c r="F2899" s="2073" t="s">
        <v>240</v>
      </c>
      <c r="G2899" s="2080">
        <v>397.5</v>
      </c>
      <c r="H2899" s="2074">
        <f t="shared" si="1325"/>
        <v>795</v>
      </c>
      <c r="I2899" s="1855">
        <v>70</v>
      </c>
      <c r="J2899" s="2073">
        <f t="shared" si="1326"/>
        <v>140</v>
      </c>
      <c r="K2899" s="2075">
        <f t="shared" si="1327"/>
        <v>935</v>
      </c>
      <c r="L2899" s="2073"/>
      <c r="M2899" s="2081"/>
      <c r="O2899" s="1863"/>
      <c r="P2899" s="2077"/>
      <c r="Q2899" s="2077"/>
    </row>
    <row r="2900" spans="1:17" ht="22.15" customHeight="1">
      <c r="A2900" s="1901"/>
      <c r="B2900" s="2078" t="s">
        <v>425</v>
      </c>
      <c r="C2900" s="1755" t="s">
        <v>728</v>
      </c>
      <c r="D2900" s="2071"/>
      <c r="E2900" s="2079">
        <v>2</v>
      </c>
      <c r="F2900" s="2073" t="s">
        <v>240</v>
      </c>
      <c r="G2900" s="1853">
        <v>525</v>
      </c>
      <c r="H2900" s="2074">
        <f t="shared" si="1325"/>
        <v>1050</v>
      </c>
      <c r="I2900" s="1855">
        <v>75</v>
      </c>
      <c r="J2900" s="2073">
        <f t="shared" si="1326"/>
        <v>150</v>
      </c>
      <c r="K2900" s="2075">
        <f t="shared" si="1327"/>
        <v>1200</v>
      </c>
      <c r="L2900" s="2076"/>
      <c r="M2900" s="2059"/>
      <c r="O2900" s="1863"/>
      <c r="P2900" s="2077"/>
      <c r="Q2900" s="2077"/>
    </row>
    <row r="2901" spans="1:17" ht="22.15" customHeight="1">
      <c r="A2901" s="1901"/>
      <c r="B2901" s="2078"/>
      <c r="C2901" s="1755"/>
      <c r="D2901" s="2071"/>
      <c r="E2901" s="2079"/>
      <c r="F2901" s="2073"/>
      <c r="G2901" s="1853"/>
      <c r="H2901" s="2074"/>
      <c r="I2901" s="1855"/>
      <c r="J2901" s="2073"/>
      <c r="K2901" s="2075"/>
      <c r="L2901" s="2076"/>
      <c r="M2901" s="2059"/>
      <c r="O2901" s="1863"/>
      <c r="P2901" s="2077"/>
      <c r="Q2901" s="2077"/>
    </row>
    <row r="2902" spans="1:17" ht="22.15" customHeight="1">
      <c r="A2902" s="1901"/>
      <c r="B2902" s="2078" t="s">
        <v>425</v>
      </c>
      <c r="C2902" s="1755" t="s">
        <v>730</v>
      </c>
      <c r="D2902" s="2071"/>
      <c r="E2902" s="2079">
        <v>2</v>
      </c>
      <c r="F2902" s="2073" t="s">
        <v>240</v>
      </c>
      <c r="G2902" s="2080">
        <v>1320</v>
      </c>
      <c r="H2902" s="2074">
        <f t="shared" ref="H2902:H2907" si="1328">G2902*E2902</f>
        <v>2640</v>
      </c>
      <c r="I2902" s="1855">
        <v>70</v>
      </c>
      <c r="J2902" s="2073">
        <f t="shared" ref="J2902:J2907" si="1329">I2902*E2902</f>
        <v>140</v>
      </c>
      <c r="K2902" s="2075">
        <f t="shared" ref="K2902:K2907" si="1330">H2902+J2902</f>
        <v>2780</v>
      </c>
      <c r="L2902" s="2076"/>
      <c r="M2902" s="2059"/>
      <c r="O2902" s="1863"/>
      <c r="P2902" s="2077"/>
      <c r="Q2902" s="2077"/>
    </row>
    <row r="2903" spans="1:17" ht="22.15" customHeight="1">
      <c r="A2903" s="1901"/>
      <c r="B2903" s="2078" t="s">
        <v>425</v>
      </c>
      <c r="C2903" s="1755" t="s">
        <v>741</v>
      </c>
      <c r="D2903" s="2071"/>
      <c r="E2903" s="2079">
        <v>2</v>
      </c>
      <c r="F2903" s="2073" t="s">
        <v>240</v>
      </c>
      <c r="G2903" s="2080">
        <v>9750</v>
      </c>
      <c r="H2903" s="2074">
        <f t="shared" si="1328"/>
        <v>19500</v>
      </c>
      <c r="I2903" s="1855">
        <v>105</v>
      </c>
      <c r="J2903" s="2073">
        <f t="shared" si="1329"/>
        <v>210</v>
      </c>
      <c r="K2903" s="2075">
        <f t="shared" si="1330"/>
        <v>19710</v>
      </c>
      <c r="L2903" s="2076"/>
      <c r="M2903" s="2059"/>
      <c r="O2903" s="1863"/>
      <c r="P2903" s="2077"/>
      <c r="Q2903" s="2077"/>
    </row>
    <row r="2904" spans="1:17" ht="22.15" customHeight="1">
      <c r="A2904" s="1901"/>
      <c r="B2904" s="2078" t="s">
        <v>425</v>
      </c>
      <c r="C2904" s="1755" t="s">
        <v>742</v>
      </c>
      <c r="D2904" s="2071"/>
      <c r="E2904" s="2079">
        <v>2</v>
      </c>
      <c r="F2904" s="2073" t="s">
        <v>240</v>
      </c>
      <c r="G2904" s="2080">
        <v>5200</v>
      </c>
      <c r="H2904" s="2074">
        <f t="shared" si="1328"/>
        <v>10400</v>
      </c>
      <c r="I2904" s="1855">
        <v>70</v>
      </c>
      <c r="J2904" s="2073">
        <f t="shared" si="1329"/>
        <v>140</v>
      </c>
      <c r="K2904" s="2075">
        <f t="shared" si="1330"/>
        <v>10540</v>
      </c>
      <c r="L2904" s="2076"/>
      <c r="M2904" s="2059"/>
      <c r="O2904" s="1863"/>
      <c r="P2904" s="2077"/>
      <c r="Q2904" s="2077"/>
    </row>
    <row r="2905" spans="1:17" ht="22.15" customHeight="1">
      <c r="A2905" s="1901"/>
      <c r="B2905" s="2078" t="s">
        <v>425</v>
      </c>
      <c r="C2905" s="1755" t="s">
        <v>2837</v>
      </c>
      <c r="D2905" s="2071"/>
      <c r="E2905" s="2079">
        <v>4</v>
      </c>
      <c r="F2905" s="2073" t="s">
        <v>240</v>
      </c>
      <c r="G2905" s="2080">
        <v>4160</v>
      </c>
      <c r="H2905" s="2074">
        <f t="shared" si="1328"/>
        <v>16640</v>
      </c>
      <c r="I2905" s="1855">
        <v>105</v>
      </c>
      <c r="J2905" s="2073">
        <f t="shared" si="1329"/>
        <v>420</v>
      </c>
      <c r="K2905" s="2075">
        <f t="shared" si="1330"/>
        <v>17060</v>
      </c>
      <c r="L2905" s="2076"/>
      <c r="M2905" s="2059"/>
      <c r="O2905" s="1863"/>
      <c r="P2905" s="2077"/>
      <c r="Q2905" s="2077"/>
    </row>
    <row r="2906" spans="1:17" ht="22.15" customHeight="1">
      <c r="A2906" s="1901"/>
      <c r="B2906" s="2078" t="s">
        <v>425</v>
      </c>
      <c r="C2906" s="1755" t="s">
        <v>2838</v>
      </c>
      <c r="D2906" s="2071"/>
      <c r="E2906" s="2079">
        <v>2</v>
      </c>
      <c r="F2906" s="2073" t="s">
        <v>240</v>
      </c>
      <c r="G2906" s="2080">
        <v>2533.5</v>
      </c>
      <c r="H2906" s="2074">
        <f t="shared" si="1328"/>
        <v>5067</v>
      </c>
      <c r="I2906" s="1855">
        <v>105</v>
      </c>
      <c r="J2906" s="2073">
        <f t="shared" si="1329"/>
        <v>210</v>
      </c>
      <c r="K2906" s="2075">
        <f t="shared" si="1330"/>
        <v>5277</v>
      </c>
      <c r="L2906" s="2073"/>
      <c r="M2906" s="2081"/>
      <c r="O2906" s="1863"/>
      <c r="P2906" s="2077"/>
      <c r="Q2906" s="2077"/>
    </row>
    <row r="2907" spans="1:17" ht="22.15" customHeight="1">
      <c r="A2907" s="1901"/>
      <c r="B2907" s="2090" t="s">
        <v>609</v>
      </c>
      <c r="C2907" s="63" t="s">
        <v>2927</v>
      </c>
      <c r="D2907" s="2091"/>
      <c r="E2907" s="2092">
        <v>2</v>
      </c>
      <c r="F2907" s="2086" t="s">
        <v>240</v>
      </c>
      <c r="G2907" s="2084">
        <v>2855</v>
      </c>
      <c r="H2907" s="2085">
        <f t="shared" si="1328"/>
        <v>5710</v>
      </c>
      <c r="I2907" s="1904">
        <v>1432</v>
      </c>
      <c r="J2907" s="2086">
        <f t="shared" si="1329"/>
        <v>2864</v>
      </c>
      <c r="K2907" s="2087">
        <f t="shared" si="1330"/>
        <v>8574</v>
      </c>
      <c r="L2907" s="2076"/>
      <c r="M2907" s="2059"/>
      <c r="O2907" s="1863"/>
      <c r="P2907" s="2077"/>
      <c r="Q2907" s="2077"/>
    </row>
    <row r="2908" spans="1:17" ht="22.15" customHeight="1">
      <c r="A2908" s="1901"/>
      <c r="B2908" s="2090"/>
      <c r="C2908" s="63" t="s">
        <v>2928</v>
      </c>
      <c r="D2908" s="2091"/>
      <c r="E2908" s="2092"/>
      <c r="F2908" s="2086"/>
      <c r="G2908" s="2084"/>
      <c r="H2908" s="2085"/>
      <c r="I2908" s="1904"/>
      <c r="J2908" s="2086"/>
      <c r="K2908" s="2087"/>
      <c r="L2908" s="2076"/>
      <c r="M2908" s="2059"/>
      <c r="O2908" s="1863"/>
      <c r="P2908" s="2077"/>
      <c r="Q2908" s="2077"/>
    </row>
    <row r="2909" spans="1:17" ht="22.15" customHeight="1">
      <c r="A2909" s="1901"/>
      <c r="B2909" s="2090"/>
      <c r="C2909" s="63"/>
      <c r="D2909" s="2091"/>
      <c r="E2909" s="2092"/>
      <c r="F2909" s="2086"/>
      <c r="G2909" s="2084"/>
      <c r="H2909" s="2085"/>
      <c r="I2909" s="1904"/>
      <c r="J2909" s="2086"/>
      <c r="K2909" s="2087"/>
      <c r="L2909" s="2076"/>
      <c r="M2909" s="2059"/>
      <c r="O2909" s="1863"/>
      <c r="P2909" s="2077"/>
      <c r="Q2909" s="2077"/>
    </row>
    <row r="2910" spans="1:17" ht="22.15" customHeight="1">
      <c r="A2910" s="1901"/>
      <c r="B2910" s="2090"/>
      <c r="C2910" s="63"/>
      <c r="D2910" s="2091"/>
      <c r="E2910" s="2092"/>
      <c r="F2910" s="2086"/>
      <c r="G2910" s="2084"/>
      <c r="H2910" s="2085"/>
      <c r="I2910" s="1904"/>
      <c r="J2910" s="2086"/>
      <c r="K2910" s="2087"/>
      <c r="L2910" s="2076"/>
      <c r="M2910" s="2059"/>
      <c r="O2910" s="1863"/>
      <c r="P2910" s="2077"/>
      <c r="Q2910" s="2077"/>
    </row>
    <row r="2911" spans="1:17" ht="22.15" customHeight="1">
      <c r="A2911" s="1901"/>
      <c r="B2911" s="2089" t="s">
        <v>2849</v>
      </c>
      <c r="C2911" s="2070"/>
      <c r="D2911" s="2071"/>
      <c r="E2911" s="2072">
        <v>2</v>
      </c>
      <c r="F2911" s="2073" t="s">
        <v>723</v>
      </c>
      <c r="G2911" s="1853"/>
      <c r="H2911" s="2074"/>
      <c r="I2911" s="1855"/>
      <c r="J2911" s="2073"/>
      <c r="K2911" s="2075"/>
      <c r="L2911" s="2076"/>
      <c r="M2911" s="2059"/>
      <c r="O2911" s="1863"/>
      <c r="P2911" s="2077"/>
      <c r="Q2911" s="2077"/>
    </row>
    <row r="2912" spans="1:17" ht="22.15" customHeight="1">
      <c r="A2912" s="1901"/>
      <c r="B2912" s="2078" t="s">
        <v>425</v>
      </c>
      <c r="C2912" s="1755" t="s">
        <v>743</v>
      </c>
      <c r="D2912" s="2071"/>
      <c r="E2912" s="2079">
        <v>2</v>
      </c>
      <c r="F2912" s="2073" t="s">
        <v>240</v>
      </c>
      <c r="G2912" s="1853">
        <v>517.5</v>
      </c>
      <c r="H2912" s="2074">
        <f t="shared" ref="H2912:H2914" si="1331">G2912*E2912</f>
        <v>1035</v>
      </c>
      <c r="I2912" s="1855">
        <v>25</v>
      </c>
      <c r="J2912" s="2073">
        <f>I2912*E2912</f>
        <v>50</v>
      </c>
      <c r="K2912" s="2075">
        <f>H2912+J2912</f>
        <v>1085</v>
      </c>
      <c r="L2912" s="2076"/>
      <c r="M2912" s="2059"/>
      <c r="O2912" s="1863"/>
      <c r="P2912" s="2077"/>
      <c r="Q2912" s="2077"/>
    </row>
    <row r="2913" spans="1:24" ht="22.15" customHeight="1">
      <c r="A2913" s="1901"/>
      <c r="B2913" s="2078" t="s">
        <v>425</v>
      </c>
      <c r="C2913" s="1755" t="s">
        <v>744</v>
      </c>
      <c r="D2913" s="2071"/>
      <c r="E2913" s="2079">
        <v>4</v>
      </c>
      <c r="F2913" s="2073" t="s">
        <v>240</v>
      </c>
      <c r="G2913" s="1853">
        <v>525</v>
      </c>
      <c r="H2913" s="2074">
        <f t="shared" si="1331"/>
        <v>2100</v>
      </c>
      <c r="I2913" s="1855">
        <v>75</v>
      </c>
      <c r="J2913" s="2073">
        <f>I2913*E2913</f>
        <v>300</v>
      </c>
      <c r="K2913" s="2075">
        <f>H2913+J2913</f>
        <v>2400</v>
      </c>
      <c r="L2913" s="2076"/>
      <c r="M2913" s="2059"/>
      <c r="O2913" s="1863"/>
      <c r="P2913" s="2077"/>
      <c r="Q2913" s="2077"/>
    </row>
    <row r="2914" spans="1:24" ht="22.15" customHeight="1">
      <c r="A2914" s="1901"/>
      <c r="B2914" s="2078" t="s">
        <v>425</v>
      </c>
      <c r="C2914" s="1755" t="s">
        <v>745</v>
      </c>
      <c r="D2914" s="2071"/>
      <c r="E2914" s="2079">
        <v>2</v>
      </c>
      <c r="F2914" s="2073" t="s">
        <v>240</v>
      </c>
      <c r="G2914" s="2080">
        <v>397.5</v>
      </c>
      <c r="H2914" s="2074">
        <f t="shared" si="1331"/>
        <v>795</v>
      </c>
      <c r="I2914" s="1855">
        <v>70</v>
      </c>
      <c r="J2914" s="2073">
        <f t="shared" ref="J2914" si="1332">I2914*E2914</f>
        <v>140</v>
      </c>
      <c r="K2914" s="2075">
        <f t="shared" ref="K2914" si="1333">H2914+J2914</f>
        <v>935</v>
      </c>
      <c r="L2914" s="2073"/>
      <c r="M2914" s="2081"/>
      <c r="N2914" s="2047">
        <f>SUM(K2826:K2914)</f>
        <v>2633309.1</v>
      </c>
      <c r="O2914" s="1863"/>
      <c r="P2914" s="2077"/>
      <c r="Q2914" s="2077"/>
    </row>
    <row r="2915" spans="1:24" ht="22.15" customHeight="1">
      <c r="A2915" s="1782"/>
      <c r="B2915" s="2191"/>
      <c r="C2915" s="1895"/>
      <c r="D2915" s="2192"/>
      <c r="E2915" s="2193"/>
      <c r="F2915" s="2194"/>
      <c r="G2915" s="1778"/>
      <c r="H2915" s="2195"/>
      <c r="I2915" s="1912"/>
      <c r="J2915" s="2194"/>
      <c r="K2915" s="2196"/>
      <c r="L2915" s="2194"/>
      <c r="M2915" s="2081"/>
      <c r="N2915" s="2047"/>
      <c r="O2915" s="1863"/>
      <c r="P2915" s="2077"/>
      <c r="Q2915" s="2077"/>
    </row>
    <row r="2916" spans="1:24" ht="22.15" customHeight="1">
      <c r="A2916" s="1782"/>
      <c r="B2916" s="2191"/>
      <c r="C2916" s="1895"/>
      <c r="D2916" s="2192"/>
      <c r="E2916" s="2193"/>
      <c r="F2916" s="2194"/>
      <c r="G2916" s="1778"/>
      <c r="H2916" s="2195"/>
      <c r="I2916" s="1912"/>
      <c r="J2916" s="2194"/>
      <c r="K2916" s="2196"/>
      <c r="L2916" s="2194"/>
      <c r="M2916" s="2081"/>
      <c r="N2916" s="2047"/>
      <c r="O2916" s="1863"/>
      <c r="P2916" s="2077"/>
      <c r="Q2916" s="2077"/>
    </row>
    <row r="2917" spans="1:24" ht="24" customHeight="1">
      <c r="A2917" s="1782" t="s">
        <v>758</v>
      </c>
      <c r="B2917" s="2041" t="s">
        <v>759</v>
      </c>
      <c r="C2917" s="1905"/>
      <c r="D2917" s="1909"/>
      <c r="E2917" s="1910"/>
      <c r="F2917" s="2275"/>
      <c r="G2917" s="1985"/>
      <c r="H2917" s="1911"/>
      <c r="I2917" s="1920"/>
      <c r="J2917" s="1913"/>
      <c r="K2917" s="1914"/>
      <c r="L2917" s="1847"/>
      <c r="M2917" s="1809"/>
      <c r="N2917" s="1837"/>
      <c r="O2917" s="1837"/>
      <c r="P2917" s="1837"/>
      <c r="Q2917" s="1837"/>
      <c r="R2917" s="1837"/>
      <c r="S2917" s="1837"/>
      <c r="T2917" s="1837"/>
      <c r="U2917" s="1837"/>
      <c r="V2917" s="1837"/>
      <c r="W2917" s="1837"/>
      <c r="X2917" s="1837"/>
    </row>
    <row r="2918" spans="1:24" ht="22.15" customHeight="1">
      <c r="A2918" s="1901"/>
      <c r="B2918" s="2069" t="s">
        <v>2846</v>
      </c>
      <c r="C2918" s="2070"/>
      <c r="D2918" s="2071"/>
      <c r="E2918" s="2072">
        <v>2</v>
      </c>
      <c r="F2918" s="2073" t="s">
        <v>723</v>
      </c>
      <c r="G2918" s="1853"/>
      <c r="H2918" s="2074"/>
      <c r="I2918" s="1855"/>
      <c r="J2918" s="2073"/>
      <c r="K2918" s="2075"/>
      <c r="L2918" s="2076"/>
      <c r="M2918" s="2059"/>
      <c r="O2918" s="1863"/>
      <c r="P2918" s="2077"/>
      <c r="Q2918" s="2077"/>
    </row>
    <row r="2919" spans="1:24" ht="22.15" customHeight="1">
      <c r="A2919" s="1901"/>
      <c r="B2919" s="2078" t="s">
        <v>425</v>
      </c>
      <c r="C2919" s="2070" t="s">
        <v>724</v>
      </c>
      <c r="D2919" s="2071"/>
      <c r="E2919" s="2079">
        <v>18</v>
      </c>
      <c r="F2919" s="2073" t="s">
        <v>240</v>
      </c>
      <c r="G2919" s="1853">
        <v>1430</v>
      </c>
      <c r="H2919" s="2074">
        <f t="shared" ref="H2919:H2924" si="1334">G2919*E2919</f>
        <v>25740</v>
      </c>
      <c r="I2919" s="1855">
        <v>450</v>
      </c>
      <c r="J2919" s="2073">
        <f t="shared" ref="J2919:J2924" si="1335">I2919*E2919</f>
        <v>8100</v>
      </c>
      <c r="K2919" s="2075">
        <f t="shared" ref="K2919:K2924" si="1336">H2919+J2919</f>
        <v>33840</v>
      </c>
      <c r="L2919" s="2076"/>
      <c r="M2919" s="2059"/>
      <c r="O2919" s="1863"/>
      <c r="P2919" s="2077"/>
      <c r="Q2919" s="2077"/>
    </row>
    <row r="2920" spans="1:24" ht="22.15" customHeight="1">
      <c r="A2920" s="1901"/>
      <c r="B2920" s="2078" t="s">
        <v>425</v>
      </c>
      <c r="C2920" s="2070" t="s">
        <v>2822</v>
      </c>
      <c r="D2920" s="2071"/>
      <c r="E2920" s="2079">
        <v>18</v>
      </c>
      <c r="F2920" s="2073" t="s">
        <v>240</v>
      </c>
      <c r="G2920" s="1853">
        <v>6225</v>
      </c>
      <c r="H2920" s="2074">
        <f t="shared" si="1334"/>
        <v>112050</v>
      </c>
      <c r="I2920" s="1855">
        <v>200</v>
      </c>
      <c r="J2920" s="2073">
        <f t="shared" si="1335"/>
        <v>3600</v>
      </c>
      <c r="K2920" s="2075">
        <f t="shared" si="1336"/>
        <v>115650</v>
      </c>
      <c r="L2920" s="2076"/>
      <c r="M2920" s="2059"/>
      <c r="O2920" s="1863"/>
      <c r="P2920" s="2077"/>
      <c r="Q2920" s="2077"/>
    </row>
    <row r="2921" spans="1:24" ht="22.15" customHeight="1">
      <c r="A2921" s="1901"/>
      <c r="B2921" s="2078" t="s">
        <v>425</v>
      </c>
      <c r="C2921" s="2070" t="s">
        <v>2823</v>
      </c>
      <c r="D2921" s="2071"/>
      <c r="E2921" s="2079">
        <v>18</v>
      </c>
      <c r="F2921" s="2073" t="s">
        <v>240</v>
      </c>
      <c r="G2921" s="1853">
        <v>315</v>
      </c>
      <c r="H2921" s="2074">
        <f t="shared" si="1334"/>
        <v>5670</v>
      </c>
      <c r="I2921" s="1855">
        <v>0</v>
      </c>
      <c r="J2921" s="2073">
        <f t="shared" si="1335"/>
        <v>0</v>
      </c>
      <c r="K2921" s="2075">
        <f t="shared" si="1336"/>
        <v>5670</v>
      </c>
      <c r="L2921" s="2076"/>
      <c r="M2921" s="2059"/>
      <c r="O2921" s="1863"/>
      <c r="P2921" s="2077"/>
      <c r="Q2921" s="2077"/>
    </row>
    <row r="2922" spans="1:24" ht="22.15" customHeight="1">
      <c r="A2922" s="1901"/>
      <c r="B2922" s="2078" t="s">
        <v>425</v>
      </c>
      <c r="C2922" s="2070" t="s">
        <v>2824</v>
      </c>
      <c r="D2922" s="2071"/>
      <c r="E2922" s="2079">
        <v>18</v>
      </c>
      <c r="F2922" s="2073" t="s">
        <v>240</v>
      </c>
      <c r="G2922" s="1853">
        <v>690</v>
      </c>
      <c r="H2922" s="2074">
        <f t="shared" si="1334"/>
        <v>12420</v>
      </c>
      <c r="I2922" s="1855">
        <v>0</v>
      </c>
      <c r="J2922" s="2073">
        <f t="shared" si="1335"/>
        <v>0</v>
      </c>
      <c r="K2922" s="2075">
        <f t="shared" si="1336"/>
        <v>12420</v>
      </c>
      <c r="L2922" s="2076"/>
      <c r="M2922" s="2059"/>
      <c r="O2922" s="1863"/>
      <c r="P2922" s="2077"/>
      <c r="Q2922" s="2077"/>
    </row>
    <row r="2923" spans="1:24" ht="22.15" customHeight="1">
      <c r="A2923" s="1901"/>
      <c r="B2923" s="2078" t="s">
        <v>425</v>
      </c>
      <c r="C2923" s="2070" t="s">
        <v>2825</v>
      </c>
      <c r="D2923" s="2071"/>
      <c r="E2923" s="2079">
        <v>18</v>
      </c>
      <c r="F2923" s="2073" t="s">
        <v>240</v>
      </c>
      <c r="G2923" s="1853">
        <v>165</v>
      </c>
      <c r="H2923" s="2074">
        <f t="shared" si="1334"/>
        <v>2970</v>
      </c>
      <c r="I2923" s="1855">
        <v>0</v>
      </c>
      <c r="J2923" s="2073">
        <f t="shared" si="1335"/>
        <v>0</v>
      </c>
      <c r="K2923" s="2075">
        <f t="shared" si="1336"/>
        <v>2970</v>
      </c>
      <c r="L2923" s="2076"/>
      <c r="M2923" s="2059"/>
      <c r="O2923" s="1863"/>
      <c r="P2923" s="2077"/>
      <c r="Q2923" s="2077"/>
    </row>
    <row r="2924" spans="1:24" ht="22.15" customHeight="1">
      <c r="A2924" s="1901"/>
      <c r="B2924" s="2078" t="s">
        <v>425</v>
      </c>
      <c r="C2924" s="2070" t="s">
        <v>2826</v>
      </c>
      <c r="D2924" s="2071"/>
      <c r="E2924" s="2079">
        <v>18</v>
      </c>
      <c r="F2924" s="2073" t="s">
        <v>240</v>
      </c>
      <c r="G2924" s="1853">
        <v>202.5</v>
      </c>
      <c r="H2924" s="2074">
        <f t="shared" si="1334"/>
        <v>3645</v>
      </c>
      <c r="I2924" s="1855">
        <v>35</v>
      </c>
      <c r="J2924" s="2073">
        <f t="shared" si="1335"/>
        <v>630</v>
      </c>
      <c r="K2924" s="2075">
        <f t="shared" si="1336"/>
        <v>4275</v>
      </c>
      <c r="L2924" s="2076"/>
      <c r="M2924" s="2059"/>
      <c r="O2924" s="1863"/>
      <c r="P2924" s="2077"/>
      <c r="Q2924" s="2077"/>
    </row>
    <row r="2925" spans="1:24" ht="22.15" customHeight="1">
      <c r="A2925" s="1901"/>
      <c r="B2925" s="2078"/>
      <c r="C2925" s="2070"/>
      <c r="D2925" s="2071"/>
      <c r="E2925" s="2079"/>
      <c r="F2925" s="2073"/>
      <c r="G2925" s="1853"/>
      <c r="H2925" s="2074"/>
      <c r="I2925" s="1855"/>
      <c r="J2925" s="2073"/>
      <c r="K2925" s="2075"/>
      <c r="L2925" s="2076"/>
      <c r="M2925" s="2059"/>
      <c r="O2925" s="1863"/>
      <c r="P2925" s="2077"/>
      <c r="Q2925" s="2077"/>
    </row>
    <row r="2926" spans="1:24" ht="22.15" customHeight="1">
      <c r="A2926" s="1901"/>
      <c r="B2926" s="2078" t="s">
        <v>425</v>
      </c>
      <c r="C2926" s="2070" t="s">
        <v>725</v>
      </c>
      <c r="D2926" s="2071"/>
      <c r="E2926" s="2079">
        <v>16</v>
      </c>
      <c r="F2926" s="2073" t="s">
        <v>240</v>
      </c>
      <c r="G2926" s="1853">
        <v>8723</v>
      </c>
      <c r="H2926" s="2074">
        <f t="shared" ref="H2926:H2928" si="1337">G2926*E2926</f>
        <v>139568</v>
      </c>
      <c r="I2926" s="1855">
        <v>450</v>
      </c>
      <c r="J2926" s="2073">
        <f t="shared" ref="J2926:J2928" si="1338">I2926*E2926</f>
        <v>7200</v>
      </c>
      <c r="K2926" s="2075">
        <f t="shared" ref="K2926:K2928" si="1339">H2926+J2926</f>
        <v>146768</v>
      </c>
      <c r="L2926" s="2076"/>
      <c r="M2926" s="2059"/>
      <c r="O2926" s="1863"/>
      <c r="P2926" s="2077"/>
      <c r="Q2926" s="2077"/>
    </row>
    <row r="2927" spans="1:24" ht="22.15" customHeight="1">
      <c r="A2927" s="1901"/>
      <c r="B2927" s="2078" t="s">
        <v>425</v>
      </c>
      <c r="C2927" s="2070" t="s">
        <v>726</v>
      </c>
      <c r="D2927" s="2071"/>
      <c r="E2927" s="2079">
        <v>16</v>
      </c>
      <c r="F2927" s="2073" t="s">
        <v>240</v>
      </c>
      <c r="G2927" s="1853">
        <v>2430</v>
      </c>
      <c r="H2927" s="2074">
        <f t="shared" si="1337"/>
        <v>38880</v>
      </c>
      <c r="I2927" s="1855">
        <v>0</v>
      </c>
      <c r="J2927" s="2073">
        <f t="shared" si="1338"/>
        <v>0</v>
      </c>
      <c r="K2927" s="2075">
        <f t="shared" si="1339"/>
        <v>38880</v>
      </c>
      <c r="L2927" s="2076"/>
      <c r="M2927" s="2059"/>
      <c r="O2927" s="1863"/>
      <c r="P2927" s="2077"/>
      <c r="Q2927" s="2077"/>
    </row>
    <row r="2928" spans="1:24" ht="22.15" customHeight="1">
      <c r="A2928" s="1901"/>
      <c r="B2928" s="2078" t="s">
        <v>425</v>
      </c>
      <c r="C2928" s="2070" t="s">
        <v>2826</v>
      </c>
      <c r="D2928" s="2071"/>
      <c r="E2928" s="2079">
        <v>16</v>
      </c>
      <c r="F2928" s="2073" t="s">
        <v>240</v>
      </c>
      <c r="G2928" s="2080">
        <v>202.5</v>
      </c>
      <c r="H2928" s="2074">
        <f t="shared" si="1337"/>
        <v>3240</v>
      </c>
      <c r="I2928" s="1855">
        <v>35</v>
      </c>
      <c r="J2928" s="2073">
        <f t="shared" si="1338"/>
        <v>560</v>
      </c>
      <c r="K2928" s="2075">
        <f t="shared" si="1339"/>
        <v>3800</v>
      </c>
      <c r="L2928" s="2076"/>
      <c r="M2928" s="2059"/>
      <c r="O2928" s="1863"/>
      <c r="P2928" s="2077"/>
      <c r="Q2928" s="2077"/>
    </row>
    <row r="2929" spans="1:17" ht="22.15" customHeight="1">
      <c r="A2929" s="1901"/>
      <c r="B2929" s="2078"/>
      <c r="C2929" s="2070"/>
      <c r="D2929" s="2071"/>
      <c r="E2929" s="2079"/>
      <c r="F2929" s="2073"/>
      <c r="G2929" s="1853"/>
      <c r="H2929" s="2074"/>
      <c r="I2929" s="1855"/>
      <c r="J2929" s="2073"/>
      <c r="K2929" s="2075"/>
      <c r="L2929" s="2076"/>
      <c r="M2929" s="2059"/>
      <c r="O2929" s="1863"/>
      <c r="P2929" s="2077"/>
      <c r="Q2929" s="2077"/>
    </row>
    <row r="2930" spans="1:17" ht="22.15" customHeight="1">
      <c r="A2930" s="1901"/>
      <c r="B2930" s="2078" t="s">
        <v>425</v>
      </c>
      <c r="C2930" s="2070" t="s">
        <v>2827</v>
      </c>
      <c r="D2930" s="2071"/>
      <c r="E2930" s="2079">
        <v>24</v>
      </c>
      <c r="F2930" s="2073" t="s">
        <v>240</v>
      </c>
      <c r="G2930" s="1853">
        <v>3640</v>
      </c>
      <c r="H2930" s="2074">
        <f t="shared" ref="H2930:H2931" si="1340">G2930*E2930</f>
        <v>87360</v>
      </c>
      <c r="I2930" s="1855">
        <v>450</v>
      </c>
      <c r="J2930" s="2073">
        <f t="shared" ref="J2930:J2931" si="1341">I2930*E2930</f>
        <v>10800</v>
      </c>
      <c r="K2930" s="2075">
        <f t="shared" ref="K2930:K2931" si="1342">H2930+J2930</f>
        <v>98160</v>
      </c>
      <c r="L2930" s="2073"/>
      <c r="M2930" s="2081"/>
      <c r="O2930" s="1863"/>
      <c r="P2930" s="2077"/>
      <c r="Q2930" s="2077"/>
    </row>
    <row r="2931" spans="1:17" ht="22.15" customHeight="1">
      <c r="A2931" s="1901"/>
      <c r="B2931" s="2078" t="s">
        <v>425</v>
      </c>
      <c r="C2931" s="2070" t="s">
        <v>727</v>
      </c>
      <c r="D2931" s="2071"/>
      <c r="E2931" s="2079">
        <v>24</v>
      </c>
      <c r="F2931" s="2073" t="s">
        <v>240</v>
      </c>
      <c r="G2931" s="1853">
        <v>11955</v>
      </c>
      <c r="H2931" s="2074">
        <f t="shared" si="1340"/>
        <v>286920</v>
      </c>
      <c r="I2931" s="1855">
        <v>0</v>
      </c>
      <c r="J2931" s="2073">
        <f t="shared" si="1341"/>
        <v>0</v>
      </c>
      <c r="K2931" s="2075">
        <f t="shared" si="1342"/>
        <v>286920</v>
      </c>
      <c r="L2931" s="2073"/>
      <c r="M2931" s="2081"/>
      <c r="O2931" s="1863"/>
      <c r="P2931" s="2077"/>
      <c r="Q2931" s="2077"/>
    </row>
    <row r="2932" spans="1:17" ht="22.15" customHeight="1">
      <c r="A2932" s="1901"/>
      <c r="B2932" s="2078"/>
      <c r="C2932" s="2070"/>
      <c r="D2932" s="2071"/>
      <c r="E2932" s="2079"/>
      <c r="F2932" s="2073"/>
      <c r="G2932" s="1853"/>
      <c r="H2932" s="2074"/>
      <c r="I2932" s="1855"/>
      <c r="J2932" s="2073"/>
      <c r="K2932" s="2075"/>
      <c r="L2932" s="2073"/>
      <c r="M2932" s="2081"/>
      <c r="O2932" s="1863"/>
      <c r="P2932" s="2077"/>
      <c r="Q2932" s="2077"/>
    </row>
    <row r="2933" spans="1:17" ht="22.15" customHeight="1">
      <c r="A2933" s="1901"/>
      <c r="B2933" s="2078" t="s">
        <v>425</v>
      </c>
      <c r="C2933" s="1755" t="s">
        <v>728</v>
      </c>
      <c r="D2933" s="2071"/>
      <c r="E2933" s="2079">
        <v>14</v>
      </c>
      <c r="F2933" s="2073" t="s">
        <v>240</v>
      </c>
      <c r="G2933" s="1853">
        <v>525</v>
      </c>
      <c r="H2933" s="2074">
        <f t="shared" ref="H2933:H2945" si="1343">G2933*E2933</f>
        <v>7350</v>
      </c>
      <c r="I2933" s="1855">
        <v>75</v>
      </c>
      <c r="J2933" s="2073">
        <f t="shared" ref="J2933:J2945" si="1344">I2933*E2933</f>
        <v>1050</v>
      </c>
      <c r="K2933" s="2075">
        <f t="shared" ref="K2933:K2945" si="1345">H2933+J2933</f>
        <v>8400</v>
      </c>
      <c r="L2933" s="2076"/>
      <c r="M2933" s="2059"/>
      <c r="O2933" s="1863"/>
      <c r="P2933" s="2077"/>
      <c r="Q2933" s="2077"/>
    </row>
    <row r="2934" spans="1:17" ht="22.15" customHeight="1">
      <c r="A2934" s="1901"/>
      <c r="B2934" s="2078" t="s">
        <v>425</v>
      </c>
      <c r="C2934" s="1755" t="s">
        <v>743</v>
      </c>
      <c r="D2934" s="2071"/>
      <c r="E2934" s="2079">
        <v>2</v>
      </c>
      <c r="F2934" s="2073" t="s">
        <v>240</v>
      </c>
      <c r="G2934" s="1853">
        <v>517.5</v>
      </c>
      <c r="H2934" s="2074">
        <f t="shared" si="1343"/>
        <v>1035</v>
      </c>
      <c r="I2934" s="1855">
        <v>25</v>
      </c>
      <c r="J2934" s="2073">
        <f t="shared" si="1344"/>
        <v>50</v>
      </c>
      <c r="K2934" s="2075">
        <f t="shared" si="1345"/>
        <v>1085</v>
      </c>
      <c r="L2934" s="2076"/>
      <c r="M2934" s="2059"/>
      <c r="O2934" s="1863"/>
      <c r="P2934" s="2077"/>
      <c r="Q2934" s="2077"/>
    </row>
    <row r="2935" spans="1:17" ht="22.15" customHeight="1">
      <c r="A2935" s="1901"/>
      <c r="B2935" s="2078" t="s">
        <v>425</v>
      </c>
      <c r="C2935" s="1755" t="s">
        <v>729</v>
      </c>
      <c r="D2935" s="2071"/>
      <c r="E2935" s="2079">
        <f>E2926</f>
        <v>16</v>
      </c>
      <c r="F2935" s="2073" t="s">
        <v>240</v>
      </c>
      <c r="G2935" s="2082">
        <v>13500</v>
      </c>
      <c r="H2935" s="2074">
        <f t="shared" si="1343"/>
        <v>216000</v>
      </c>
      <c r="I2935" s="1855">
        <v>750</v>
      </c>
      <c r="J2935" s="2073">
        <f t="shared" si="1344"/>
        <v>12000</v>
      </c>
      <c r="K2935" s="2075">
        <f t="shared" si="1345"/>
        <v>228000</v>
      </c>
      <c r="L2935" s="2076"/>
      <c r="M2935" s="2059"/>
      <c r="O2935" s="1863"/>
      <c r="P2935" s="2077"/>
      <c r="Q2935" s="2077"/>
    </row>
    <row r="2936" spans="1:17" ht="22.15" customHeight="1">
      <c r="A2936" s="1901"/>
      <c r="B2936" s="2078" t="s">
        <v>425</v>
      </c>
      <c r="C2936" s="1755" t="s">
        <v>730</v>
      </c>
      <c r="D2936" s="2071"/>
      <c r="E2936" s="2079">
        <v>2</v>
      </c>
      <c r="F2936" s="2073" t="s">
        <v>240</v>
      </c>
      <c r="G2936" s="2080">
        <v>1320</v>
      </c>
      <c r="H2936" s="2074">
        <f t="shared" si="1343"/>
        <v>2640</v>
      </c>
      <c r="I2936" s="1855">
        <v>70</v>
      </c>
      <c r="J2936" s="2073">
        <f t="shared" si="1344"/>
        <v>140</v>
      </c>
      <c r="K2936" s="2075">
        <f t="shared" si="1345"/>
        <v>2780</v>
      </c>
      <c r="L2936" s="2076"/>
      <c r="M2936" s="2059"/>
      <c r="O2936" s="1863"/>
      <c r="P2936" s="2077"/>
      <c r="Q2936" s="2077"/>
    </row>
    <row r="2937" spans="1:17" ht="21.75" customHeight="1">
      <c r="A2937" s="1901"/>
      <c r="B2937" s="2078" t="s">
        <v>425</v>
      </c>
      <c r="C2937" s="1755" t="s">
        <v>752</v>
      </c>
      <c r="D2937" s="2071"/>
      <c r="E2937" s="2079">
        <v>2</v>
      </c>
      <c r="F2937" s="2073" t="s">
        <v>240</v>
      </c>
      <c r="G2937" s="2080">
        <v>4100</v>
      </c>
      <c r="H2937" s="1788">
        <f t="shared" si="1343"/>
        <v>8200</v>
      </c>
      <c r="I2937" s="2083">
        <v>200</v>
      </c>
      <c r="J2937" s="1808">
        <f t="shared" si="1344"/>
        <v>400</v>
      </c>
      <c r="K2937" s="1897">
        <f t="shared" si="1345"/>
        <v>8600</v>
      </c>
      <c r="L2937" s="2076"/>
      <c r="M2937" s="2059"/>
      <c r="O2937" s="1863"/>
      <c r="P2937" s="2077"/>
      <c r="Q2937" s="2077"/>
    </row>
    <row r="2938" spans="1:17" ht="22.15" customHeight="1">
      <c r="A2938" s="1901"/>
      <c r="B2938" s="2078" t="s">
        <v>425</v>
      </c>
      <c r="C2938" s="2070" t="s">
        <v>2828</v>
      </c>
      <c r="D2938" s="2071"/>
      <c r="E2938" s="2079">
        <v>2</v>
      </c>
      <c r="F2938" s="2073" t="s">
        <v>240</v>
      </c>
      <c r="G2938" s="2080">
        <v>2835</v>
      </c>
      <c r="H2938" s="2074">
        <f t="shared" si="1343"/>
        <v>5670</v>
      </c>
      <c r="I2938" s="1855">
        <v>105</v>
      </c>
      <c r="J2938" s="2073">
        <f t="shared" si="1344"/>
        <v>210</v>
      </c>
      <c r="K2938" s="2075">
        <f t="shared" si="1345"/>
        <v>5880</v>
      </c>
      <c r="L2938" s="2076"/>
      <c r="M2938" s="2059"/>
      <c r="O2938" s="1863"/>
      <c r="P2938" s="2077"/>
      <c r="Q2938" s="2077"/>
    </row>
    <row r="2939" spans="1:17" ht="22.15" customHeight="1">
      <c r="A2939" s="1901"/>
      <c r="B2939" s="2078" t="s">
        <v>425</v>
      </c>
      <c r="C2939" s="1755" t="s">
        <v>2829</v>
      </c>
      <c r="D2939" s="2071"/>
      <c r="E2939" s="2079">
        <v>2</v>
      </c>
      <c r="F2939" s="2073" t="s">
        <v>240</v>
      </c>
      <c r="G2939" s="2080">
        <v>6180</v>
      </c>
      <c r="H2939" s="2074">
        <f t="shared" si="1343"/>
        <v>12360</v>
      </c>
      <c r="I2939" s="1855">
        <v>105</v>
      </c>
      <c r="J2939" s="2073">
        <f t="shared" si="1344"/>
        <v>210</v>
      </c>
      <c r="K2939" s="2075">
        <f t="shared" si="1345"/>
        <v>12570</v>
      </c>
      <c r="L2939" s="2076"/>
      <c r="M2939" s="2059"/>
      <c r="O2939" s="1863"/>
      <c r="P2939" s="2077"/>
      <c r="Q2939" s="2077"/>
    </row>
    <row r="2940" spans="1:17" ht="22.15" customHeight="1">
      <c r="A2940" s="1901"/>
      <c r="B2940" s="2078" t="s">
        <v>425</v>
      </c>
      <c r="C2940" s="2070" t="s">
        <v>732</v>
      </c>
      <c r="D2940" s="2071"/>
      <c r="E2940" s="1808">
        <f>4.8*2</f>
        <v>9.6</v>
      </c>
      <c r="F2940" s="2073" t="s">
        <v>616</v>
      </c>
      <c r="G2940" s="2084">
        <v>3886</v>
      </c>
      <c r="H2940" s="2085">
        <f t="shared" si="1343"/>
        <v>37305.599999999999</v>
      </c>
      <c r="I2940" s="1904">
        <v>1238</v>
      </c>
      <c r="J2940" s="2086">
        <f t="shared" si="1344"/>
        <v>11884.8</v>
      </c>
      <c r="K2940" s="2087">
        <f t="shared" si="1345"/>
        <v>49190.399999999994</v>
      </c>
      <c r="L2940" s="2076"/>
      <c r="M2940" s="2059"/>
      <c r="O2940" s="1863"/>
      <c r="P2940" s="2077"/>
      <c r="Q2940" s="2077"/>
    </row>
    <row r="2941" spans="1:17" ht="22.15" customHeight="1">
      <c r="A2941" s="1901"/>
      <c r="B2941" s="2078" t="s">
        <v>425</v>
      </c>
      <c r="C2941" s="2070" t="s">
        <v>733</v>
      </c>
      <c r="D2941" s="2071"/>
      <c r="E2941" s="1808">
        <f>10.6*2</f>
        <v>21.2</v>
      </c>
      <c r="F2941" s="2073" t="s">
        <v>616</v>
      </c>
      <c r="G2941" s="2084">
        <v>1522</v>
      </c>
      <c r="H2941" s="2085">
        <f t="shared" si="1343"/>
        <v>32266.399999999998</v>
      </c>
      <c r="I2941" s="2088">
        <v>315</v>
      </c>
      <c r="J2941" s="2086">
        <f t="shared" si="1344"/>
        <v>6678</v>
      </c>
      <c r="K2941" s="2087">
        <f t="shared" si="1345"/>
        <v>38944.399999999994</v>
      </c>
      <c r="L2941" s="2076"/>
      <c r="M2941" s="2059"/>
      <c r="O2941" s="1863"/>
      <c r="P2941" s="2077"/>
      <c r="Q2941" s="2077"/>
    </row>
    <row r="2942" spans="1:17" ht="22.15" customHeight="1">
      <c r="A2942" s="1901"/>
      <c r="B2942" s="2078" t="s">
        <v>425</v>
      </c>
      <c r="C2942" s="2070" t="s">
        <v>734</v>
      </c>
      <c r="D2942" s="2071"/>
      <c r="E2942" s="1808">
        <f>7.2*2</f>
        <v>14.4</v>
      </c>
      <c r="F2942" s="2073" t="s">
        <v>616</v>
      </c>
      <c r="G2942" s="2084">
        <v>1522</v>
      </c>
      <c r="H2942" s="2085">
        <f t="shared" si="1343"/>
        <v>21916.799999999999</v>
      </c>
      <c r="I2942" s="2088">
        <v>315</v>
      </c>
      <c r="J2942" s="2086">
        <f t="shared" si="1344"/>
        <v>4536</v>
      </c>
      <c r="K2942" s="2087">
        <f t="shared" si="1345"/>
        <v>26452.799999999999</v>
      </c>
      <c r="L2942" s="2076"/>
      <c r="M2942" s="2059"/>
      <c r="O2942" s="1863"/>
      <c r="P2942" s="2077"/>
      <c r="Q2942" s="2077"/>
    </row>
    <row r="2943" spans="1:17" ht="22.15" customHeight="1">
      <c r="A2943" s="1901"/>
      <c r="B2943" s="2078" t="s">
        <v>425</v>
      </c>
      <c r="C2943" s="2070" t="s">
        <v>735</v>
      </c>
      <c r="D2943" s="2071"/>
      <c r="E2943" s="1808">
        <f>7.2*2</f>
        <v>14.4</v>
      </c>
      <c r="F2943" s="2073" t="s">
        <v>616</v>
      </c>
      <c r="G2943" s="2080">
        <v>750</v>
      </c>
      <c r="H2943" s="1788">
        <f t="shared" si="1343"/>
        <v>10800</v>
      </c>
      <c r="I2943" s="2083">
        <v>45</v>
      </c>
      <c r="J2943" s="1808">
        <f t="shared" si="1344"/>
        <v>648</v>
      </c>
      <c r="K2943" s="1897">
        <f t="shared" si="1345"/>
        <v>11448</v>
      </c>
      <c r="L2943" s="2076"/>
      <c r="M2943" s="2059"/>
      <c r="O2943" s="1863"/>
      <c r="P2943" s="2077"/>
      <c r="Q2943" s="2077"/>
    </row>
    <row r="2944" spans="1:17" ht="22.15" customHeight="1">
      <c r="A2944" s="1901"/>
      <c r="B2944" s="2078" t="s">
        <v>425</v>
      </c>
      <c r="C2944" s="2070" t="s">
        <v>736</v>
      </c>
      <c r="D2944" s="2071"/>
      <c r="E2944" s="1808">
        <f>16.8*2</f>
        <v>33.6</v>
      </c>
      <c r="F2944" s="2073" t="s">
        <v>616</v>
      </c>
      <c r="G2944" s="2080">
        <v>60</v>
      </c>
      <c r="H2944" s="1788">
        <f t="shared" si="1343"/>
        <v>2016</v>
      </c>
      <c r="I2944" s="2083">
        <v>45</v>
      </c>
      <c r="J2944" s="1808">
        <f t="shared" si="1344"/>
        <v>1512</v>
      </c>
      <c r="K2944" s="1897">
        <f t="shared" si="1345"/>
        <v>3528</v>
      </c>
      <c r="L2944" s="2076"/>
      <c r="M2944" s="2059"/>
      <c r="O2944" s="1863"/>
      <c r="P2944" s="2077"/>
      <c r="Q2944" s="2077"/>
    </row>
    <row r="2945" spans="1:17" ht="22.15" customHeight="1">
      <c r="A2945" s="1901"/>
      <c r="B2945" s="2078" t="s">
        <v>425</v>
      </c>
      <c r="C2945" s="2070" t="s">
        <v>2830</v>
      </c>
      <c r="D2945" s="2071"/>
      <c r="E2945" s="1808">
        <f>E2940</f>
        <v>9.6</v>
      </c>
      <c r="F2945" s="2073" t="s">
        <v>616</v>
      </c>
      <c r="G2945" s="2084">
        <v>2694</v>
      </c>
      <c r="H2945" s="2085">
        <f t="shared" si="1343"/>
        <v>25862.399999999998</v>
      </c>
      <c r="I2945" s="1904">
        <v>1288</v>
      </c>
      <c r="J2945" s="2086">
        <f t="shared" si="1344"/>
        <v>12364.8</v>
      </c>
      <c r="K2945" s="2087">
        <f t="shared" si="1345"/>
        <v>38227.199999999997</v>
      </c>
      <c r="L2945" s="2076"/>
      <c r="M2945" s="2059"/>
      <c r="O2945" s="1863"/>
      <c r="P2945" s="2077"/>
      <c r="Q2945" s="2077"/>
    </row>
    <row r="2946" spans="1:17" ht="22.15" customHeight="1">
      <c r="A2946" s="1901"/>
      <c r="B2946" s="2078"/>
      <c r="C2946" s="2070" t="s">
        <v>737</v>
      </c>
      <c r="D2946" s="2071"/>
      <c r="E2946" s="2079"/>
      <c r="F2946" s="2073"/>
      <c r="G2946" s="2080"/>
      <c r="H2946" s="2074"/>
      <c r="I2946" s="1855"/>
      <c r="J2946" s="2073"/>
      <c r="K2946" s="2075"/>
      <c r="L2946" s="2076"/>
      <c r="M2946" s="2059"/>
      <c r="O2946" s="1863"/>
      <c r="P2946" s="2077"/>
      <c r="Q2946" s="2077"/>
    </row>
    <row r="2947" spans="1:17" ht="22.15" customHeight="1">
      <c r="A2947" s="1901"/>
      <c r="B2947" s="2078" t="s">
        <v>425</v>
      </c>
      <c r="C2947" s="2070" t="s">
        <v>2831</v>
      </c>
      <c r="D2947" s="2071"/>
      <c r="E2947" s="2079">
        <v>2</v>
      </c>
      <c r="F2947" s="2073" t="s">
        <v>240</v>
      </c>
      <c r="G2947" s="1853">
        <v>8300</v>
      </c>
      <c r="H2947" s="2074">
        <f t="shared" ref="H2947" si="1346">G2947*E2947</f>
        <v>16600</v>
      </c>
      <c r="I2947" s="1855">
        <v>2490</v>
      </c>
      <c r="J2947" s="2073">
        <f>I2947*E2947</f>
        <v>4980</v>
      </c>
      <c r="K2947" s="2075">
        <f t="shared" ref="K2947" si="1347">H2947+J2947</f>
        <v>21580</v>
      </c>
      <c r="L2947" s="2076"/>
      <c r="M2947" s="2059"/>
      <c r="O2947" s="1863"/>
      <c r="P2947" s="2077"/>
      <c r="Q2947" s="2077"/>
    </row>
    <row r="2948" spans="1:17" ht="22.15" customHeight="1">
      <c r="A2948" s="1901"/>
      <c r="B2948" s="2078"/>
      <c r="C2948" s="2070" t="s">
        <v>738</v>
      </c>
      <c r="D2948" s="2071"/>
      <c r="E2948" s="2079"/>
      <c r="F2948" s="2073"/>
      <c r="G2948" s="2080"/>
      <c r="H2948" s="2074"/>
      <c r="I2948" s="1855"/>
      <c r="J2948" s="2073"/>
      <c r="K2948" s="2075"/>
      <c r="L2948" s="2076"/>
      <c r="M2948" s="2059"/>
      <c r="O2948" s="1863"/>
      <c r="P2948" s="2077"/>
      <c r="Q2948" s="2077"/>
    </row>
    <row r="2949" spans="1:17" ht="22.15" customHeight="1">
      <c r="A2949" s="1901"/>
      <c r="B2949" s="2069" t="s">
        <v>2847</v>
      </c>
      <c r="C2949" s="2070"/>
      <c r="D2949" s="2071"/>
      <c r="E2949" s="2072">
        <v>2</v>
      </c>
      <c r="F2949" s="2073" t="s">
        <v>723</v>
      </c>
      <c r="G2949" s="1853"/>
      <c r="H2949" s="2074"/>
      <c r="I2949" s="1855"/>
      <c r="J2949" s="2073"/>
      <c r="K2949" s="2075"/>
      <c r="L2949" s="2076"/>
      <c r="M2949" s="2059"/>
      <c r="O2949" s="1863"/>
      <c r="P2949" s="2077"/>
      <c r="Q2949" s="2077"/>
    </row>
    <row r="2950" spans="1:17" ht="22.15" customHeight="1">
      <c r="A2950" s="1901"/>
      <c r="B2950" s="2078" t="s">
        <v>425</v>
      </c>
      <c r="C2950" s="2070" t="s">
        <v>724</v>
      </c>
      <c r="D2950" s="2071"/>
      <c r="E2950" s="2079">
        <v>18</v>
      </c>
      <c r="F2950" s="2073" t="s">
        <v>240</v>
      </c>
      <c r="G2950" s="1853">
        <v>1430</v>
      </c>
      <c r="H2950" s="2074">
        <f t="shared" ref="H2950:H2955" si="1348">G2950*E2950</f>
        <v>25740</v>
      </c>
      <c r="I2950" s="1855">
        <v>450</v>
      </c>
      <c r="J2950" s="2073">
        <f t="shared" ref="J2950:J2955" si="1349">I2950*E2950</f>
        <v>8100</v>
      </c>
      <c r="K2950" s="2075">
        <f t="shared" ref="K2950:K2955" si="1350">H2950+J2950</f>
        <v>33840</v>
      </c>
      <c r="L2950" s="2076"/>
      <c r="M2950" s="2059"/>
      <c r="O2950" s="1863"/>
      <c r="P2950" s="2077"/>
      <c r="Q2950" s="2077"/>
    </row>
    <row r="2951" spans="1:17" ht="22.15" customHeight="1">
      <c r="A2951" s="1901"/>
      <c r="B2951" s="2078" t="s">
        <v>425</v>
      </c>
      <c r="C2951" s="2070" t="s">
        <v>2822</v>
      </c>
      <c r="D2951" s="2071"/>
      <c r="E2951" s="2079">
        <v>18</v>
      </c>
      <c r="F2951" s="2073" t="s">
        <v>240</v>
      </c>
      <c r="G2951" s="1853">
        <v>6225</v>
      </c>
      <c r="H2951" s="2074">
        <f t="shared" si="1348"/>
        <v>112050</v>
      </c>
      <c r="I2951" s="1855">
        <v>200</v>
      </c>
      <c r="J2951" s="2073">
        <f t="shared" si="1349"/>
        <v>3600</v>
      </c>
      <c r="K2951" s="2075">
        <f t="shared" si="1350"/>
        <v>115650</v>
      </c>
      <c r="L2951" s="2076"/>
      <c r="M2951" s="2059"/>
      <c r="O2951" s="1863"/>
      <c r="P2951" s="2077"/>
      <c r="Q2951" s="2077"/>
    </row>
    <row r="2952" spans="1:17" ht="22.15" customHeight="1">
      <c r="A2952" s="1901"/>
      <c r="B2952" s="2078" t="s">
        <v>425</v>
      </c>
      <c r="C2952" s="2070" t="s">
        <v>2823</v>
      </c>
      <c r="D2952" s="2071"/>
      <c r="E2952" s="2079">
        <v>18</v>
      </c>
      <c r="F2952" s="2073" t="s">
        <v>240</v>
      </c>
      <c r="G2952" s="1853">
        <v>315</v>
      </c>
      <c r="H2952" s="2074">
        <f t="shared" si="1348"/>
        <v>5670</v>
      </c>
      <c r="I2952" s="1855">
        <v>0</v>
      </c>
      <c r="J2952" s="2073">
        <f t="shared" si="1349"/>
        <v>0</v>
      </c>
      <c r="K2952" s="2075">
        <f t="shared" si="1350"/>
        <v>5670</v>
      </c>
      <c r="L2952" s="2076"/>
      <c r="M2952" s="2059"/>
      <c r="O2952" s="1863"/>
      <c r="P2952" s="2077"/>
      <c r="Q2952" s="2077"/>
    </row>
    <row r="2953" spans="1:17" ht="22.15" customHeight="1">
      <c r="A2953" s="1901"/>
      <c r="B2953" s="2078" t="s">
        <v>425</v>
      </c>
      <c r="C2953" s="2070" t="s">
        <v>2824</v>
      </c>
      <c r="D2953" s="2071"/>
      <c r="E2953" s="2079">
        <v>18</v>
      </c>
      <c r="F2953" s="2073" t="s">
        <v>240</v>
      </c>
      <c r="G2953" s="1853">
        <v>690</v>
      </c>
      <c r="H2953" s="2074">
        <f t="shared" si="1348"/>
        <v>12420</v>
      </c>
      <c r="I2953" s="1855">
        <v>0</v>
      </c>
      <c r="J2953" s="2073">
        <f t="shared" si="1349"/>
        <v>0</v>
      </c>
      <c r="K2953" s="2075">
        <f t="shared" si="1350"/>
        <v>12420</v>
      </c>
      <c r="L2953" s="2076"/>
      <c r="M2953" s="2059"/>
      <c r="O2953" s="1863"/>
      <c r="P2953" s="2077"/>
      <c r="Q2953" s="2077"/>
    </row>
    <row r="2954" spans="1:17" ht="22.15" customHeight="1">
      <c r="A2954" s="1901"/>
      <c r="B2954" s="2078" t="s">
        <v>425</v>
      </c>
      <c r="C2954" s="2070" t="s">
        <v>739</v>
      </c>
      <c r="D2954" s="2071"/>
      <c r="E2954" s="2079">
        <v>18</v>
      </c>
      <c r="F2954" s="2073" t="s">
        <v>240</v>
      </c>
      <c r="G2954" s="1853">
        <v>165</v>
      </c>
      <c r="H2954" s="2074">
        <f t="shared" si="1348"/>
        <v>2970</v>
      </c>
      <c r="I2954" s="1855">
        <v>0</v>
      </c>
      <c r="J2954" s="2073">
        <f t="shared" si="1349"/>
        <v>0</v>
      </c>
      <c r="K2954" s="2075">
        <f t="shared" si="1350"/>
        <v>2970</v>
      </c>
      <c r="L2954" s="2076"/>
      <c r="M2954" s="2059"/>
      <c r="O2954" s="1863"/>
      <c r="P2954" s="2077"/>
      <c r="Q2954" s="2077"/>
    </row>
    <row r="2955" spans="1:17" ht="22.15" customHeight="1">
      <c r="A2955" s="1901"/>
      <c r="B2955" s="2078" t="s">
        <v>425</v>
      </c>
      <c r="C2955" s="2070" t="s">
        <v>2826</v>
      </c>
      <c r="D2955" s="2071"/>
      <c r="E2955" s="2079">
        <v>18</v>
      </c>
      <c r="F2955" s="2073" t="s">
        <v>240</v>
      </c>
      <c r="G2955" s="1853">
        <v>202.5</v>
      </c>
      <c r="H2955" s="2074">
        <f t="shared" si="1348"/>
        <v>3645</v>
      </c>
      <c r="I2955" s="1855">
        <v>35</v>
      </c>
      <c r="J2955" s="2073">
        <f t="shared" si="1349"/>
        <v>630</v>
      </c>
      <c r="K2955" s="2075">
        <f t="shared" si="1350"/>
        <v>4275</v>
      </c>
      <c r="L2955" s="2076"/>
      <c r="M2955" s="2059"/>
      <c r="O2955" s="1863"/>
      <c r="P2955" s="2077"/>
      <c r="Q2955" s="2077"/>
    </row>
    <row r="2956" spans="1:17" ht="22.15" customHeight="1">
      <c r="A2956" s="1901"/>
      <c r="B2956" s="2078"/>
      <c r="C2956" s="2070"/>
      <c r="D2956" s="2071"/>
      <c r="E2956" s="2079"/>
      <c r="F2956" s="2073"/>
      <c r="G2956" s="1853"/>
      <c r="H2956" s="2074"/>
      <c r="I2956" s="1855"/>
      <c r="J2956" s="2073"/>
      <c r="K2956" s="2075"/>
      <c r="L2956" s="2076"/>
      <c r="M2956" s="2059"/>
      <c r="O2956" s="1863"/>
      <c r="P2956" s="2077"/>
      <c r="Q2956" s="2077"/>
    </row>
    <row r="2957" spans="1:17" ht="22.15" customHeight="1">
      <c r="A2957" s="1901"/>
      <c r="B2957" s="2078" t="s">
        <v>425</v>
      </c>
      <c r="C2957" s="2070" t="s">
        <v>725</v>
      </c>
      <c r="D2957" s="2071"/>
      <c r="E2957" s="2079">
        <v>34</v>
      </c>
      <c r="F2957" s="2073" t="s">
        <v>240</v>
      </c>
      <c r="G2957" s="1853">
        <v>8723</v>
      </c>
      <c r="H2957" s="2074">
        <f t="shared" ref="H2957:H2959" si="1351">G2957*E2957</f>
        <v>296582</v>
      </c>
      <c r="I2957" s="1855">
        <v>450</v>
      </c>
      <c r="J2957" s="2073">
        <f t="shared" ref="J2957:J2959" si="1352">I2957*E2957</f>
        <v>15300</v>
      </c>
      <c r="K2957" s="2075">
        <f t="shared" ref="K2957:K2959" si="1353">H2957+J2957</f>
        <v>311882</v>
      </c>
      <c r="L2957" s="2076"/>
      <c r="M2957" s="2059"/>
      <c r="O2957" s="1863"/>
      <c r="P2957" s="2077"/>
      <c r="Q2957" s="2077"/>
    </row>
    <row r="2958" spans="1:17" ht="22.15" customHeight="1">
      <c r="A2958" s="1901"/>
      <c r="B2958" s="2078" t="s">
        <v>425</v>
      </c>
      <c r="C2958" s="2070" t="s">
        <v>726</v>
      </c>
      <c r="D2958" s="2071"/>
      <c r="E2958" s="2079">
        <v>34</v>
      </c>
      <c r="F2958" s="2073" t="s">
        <v>240</v>
      </c>
      <c r="G2958" s="1853">
        <v>2430</v>
      </c>
      <c r="H2958" s="2074">
        <f t="shared" si="1351"/>
        <v>82620</v>
      </c>
      <c r="I2958" s="1855">
        <v>0</v>
      </c>
      <c r="J2958" s="2073">
        <f t="shared" si="1352"/>
        <v>0</v>
      </c>
      <c r="K2958" s="2075">
        <f t="shared" si="1353"/>
        <v>82620</v>
      </c>
      <c r="L2958" s="2076"/>
      <c r="M2958" s="2059"/>
      <c r="O2958" s="1863"/>
      <c r="P2958" s="2077"/>
      <c r="Q2958" s="2077"/>
    </row>
    <row r="2959" spans="1:17" ht="22.15" customHeight="1">
      <c r="A2959" s="1901"/>
      <c r="B2959" s="2078" t="s">
        <v>425</v>
      </c>
      <c r="C2959" s="2070" t="s">
        <v>2826</v>
      </c>
      <c r="D2959" s="2071"/>
      <c r="E2959" s="2079">
        <v>34</v>
      </c>
      <c r="F2959" s="2073" t="s">
        <v>240</v>
      </c>
      <c r="G2959" s="1853">
        <v>202.5</v>
      </c>
      <c r="H2959" s="2074">
        <f t="shared" si="1351"/>
        <v>6885</v>
      </c>
      <c r="I2959" s="1855">
        <v>35</v>
      </c>
      <c r="J2959" s="2073">
        <f t="shared" si="1352"/>
        <v>1190</v>
      </c>
      <c r="K2959" s="2075">
        <f t="shared" si="1353"/>
        <v>8075</v>
      </c>
      <c r="L2959" s="2076"/>
      <c r="M2959" s="2059"/>
      <c r="O2959" s="1863"/>
      <c r="P2959" s="2077"/>
      <c r="Q2959" s="2077"/>
    </row>
    <row r="2960" spans="1:17" ht="22.15" customHeight="1">
      <c r="A2960" s="1901"/>
      <c r="B2960" s="2078"/>
      <c r="C2960" s="2070"/>
      <c r="D2960" s="2071"/>
      <c r="E2960" s="2079"/>
      <c r="F2960" s="2073"/>
      <c r="G2960" s="1853"/>
      <c r="H2960" s="2074"/>
      <c r="I2960" s="1855"/>
      <c r="J2960" s="2073"/>
      <c r="K2960" s="2075"/>
      <c r="L2960" s="2076"/>
      <c r="M2960" s="2059"/>
      <c r="O2960" s="1863"/>
      <c r="P2960" s="2077"/>
      <c r="Q2960" s="2077"/>
    </row>
    <row r="2961" spans="1:17" ht="22.15" customHeight="1">
      <c r="A2961" s="1901"/>
      <c r="B2961" s="2078" t="s">
        <v>425</v>
      </c>
      <c r="C2961" s="1755" t="s">
        <v>728</v>
      </c>
      <c r="D2961" s="2071"/>
      <c r="E2961" s="2079">
        <v>16</v>
      </c>
      <c r="F2961" s="2073" t="s">
        <v>240</v>
      </c>
      <c r="G2961" s="1853">
        <v>525</v>
      </c>
      <c r="H2961" s="2074">
        <f t="shared" ref="H2961:H2966" si="1354">G2961*E2961</f>
        <v>8400</v>
      </c>
      <c r="I2961" s="1855">
        <v>75</v>
      </c>
      <c r="J2961" s="2073">
        <f t="shared" ref="J2961:J2966" si="1355">I2961*E2961</f>
        <v>1200</v>
      </c>
      <c r="K2961" s="2075">
        <f t="shared" ref="K2961:K2966" si="1356">H2961+J2961</f>
        <v>9600</v>
      </c>
      <c r="L2961" s="2076"/>
      <c r="M2961" s="2059"/>
      <c r="O2961" s="1863"/>
      <c r="P2961" s="2077"/>
      <c r="Q2961" s="2077"/>
    </row>
    <row r="2962" spans="1:17" ht="22.15" customHeight="1">
      <c r="A2962" s="1901"/>
      <c r="B2962" s="2078" t="s">
        <v>425</v>
      </c>
      <c r="C2962" s="1755" t="s">
        <v>743</v>
      </c>
      <c r="D2962" s="2071"/>
      <c r="E2962" s="2079">
        <f>1*$E$2400</f>
        <v>1</v>
      </c>
      <c r="F2962" s="2073" t="s">
        <v>240</v>
      </c>
      <c r="G2962" s="1853">
        <v>517.5</v>
      </c>
      <c r="H2962" s="2074">
        <f t="shared" si="1354"/>
        <v>517.5</v>
      </c>
      <c r="I2962" s="1855">
        <v>25</v>
      </c>
      <c r="J2962" s="2073">
        <f t="shared" si="1355"/>
        <v>25</v>
      </c>
      <c r="K2962" s="2075">
        <f t="shared" si="1356"/>
        <v>542.5</v>
      </c>
      <c r="L2962" s="2076"/>
      <c r="M2962" s="2059"/>
      <c r="O2962" s="1863"/>
      <c r="P2962" s="2077"/>
      <c r="Q2962" s="2077"/>
    </row>
    <row r="2963" spans="1:17" ht="22.15" customHeight="1">
      <c r="A2963" s="1901"/>
      <c r="B2963" s="2078" t="s">
        <v>425</v>
      </c>
      <c r="C2963" s="1755" t="s">
        <v>729</v>
      </c>
      <c r="D2963" s="2071"/>
      <c r="E2963" s="2079">
        <f>E2957</f>
        <v>34</v>
      </c>
      <c r="F2963" s="2073" t="s">
        <v>240</v>
      </c>
      <c r="G2963" s="2082">
        <v>13500</v>
      </c>
      <c r="H2963" s="2074">
        <f t="shared" si="1354"/>
        <v>459000</v>
      </c>
      <c r="I2963" s="1855">
        <v>750</v>
      </c>
      <c r="J2963" s="2073">
        <f t="shared" si="1355"/>
        <v>25500</v>
      </c>
      <c r="K2963" s="2075">
        <f t="shared" si="1356"/>
        <v>484500</v>
      </c>
      <c r="L2963" s="2076"/>
      <c r="M2963" s="2059"/>
      <c r="O2963" s="1863"/>
      <c r="P2963" s="2077"/>
      <c r="Q2963" s="2077"/>
    </row>
    <row r="2964" spans="1:17" ht="22.15" customHeight="1">
      <c r="A2964" s="1901"/>
      <c r="B2964" s="2078" t="s">
        <v>425</v>
      </c>
      <c r="C2964" s="1755" t="s">
        <v>730</v>
      </c>
      <c r="D2964" s="2071"/>
      <c r="E2964" s="2079">
        <v>2</v>
      </c>
      <c r="F2964" s="2073" t="s">
        <v>240</v>
      </c>
      <c r="G2964" s="2080">
        <v>1320</v>
      </c>
      <c r="H2964" s="2074">
        <f t="shared" si="1354"/>
        <v>2640</v>
      </c>
      <c r="I2964" s="1855">
        <v>70</v>
      </c>
      <c r="J2964" s="2073">
        <f t="shared" si="1355"/>
        <v>140</v>
      </c>
      <c r="K2964" s="2075">
        <f t="shared" si="1356"/>
        <v>2780</v>
      </c>
      <c r="L2964" s="2076"/>
      <c r="M2964" s="2059"/>
      <c r="O2964" s="1863"/>
      <c r="P2964" s="2077"/>
      <c r="Q2964" s="2077"/>
    </row>
    <row r="2965" spans="1:17" ht="22.15" customHeight="1">
      <c r="A2965" s="1901"/>
      <c r="B2965" s="2078" t="s">
        <v>425</v>
      </c>
      <c r="C2965" s="1755" t="s">
        <v>752</v>
      </c>
      <c r="D2965" s="2071"/>
      <c r="E2965" s="2079">
        <v>2</v>
      </c>
      <c r="F2965" s="2073" t="s">
        <v>240</v>
      </c>
      <c r="G2965" s="2080">
        <v>4100</v>
      </c>
      <c r="H2965" s="1788">
        <f t="shared" si="1354"/>
        <v>8200</v>
      </c>
      <c r="I2965" s="2083">
        <v>200</v>
      </c>
      <c r="J2965" s="1808">
        <f t="shared" si="1355"/>
        <v>400</v>
      </c>
      <c r="K2965" s="1897">
        <f t="shared" si="1356"/>
        <v>8600</v>
      </c>
      <c r="L2965" s="2076"/>
      <c r="M2965" s="2059"/>
      <c r="O2965" s="1863"/>
      <c r="P2965" s="2077"/>
      <c r="Q2965" s="2077"/>
    </row>
    <row r="2966" spans="1:17" ht="22.15" customHeight="1">
      <c r="A2966" s="1901"/>
      <c r="B2966" s="2078" t="s">
        <v>425</v>
      </c>
      <c r="C2966" s="1755" t="s">
        <v>2828</v>
      </c>
      <c r="D2966" s="2071"/>
      <c r="E2966" s="2079">
        <v>4</v>
      </c>
      <c r="F2966" s="2073" t="s">
        <v>240</v>
      </c>
      <c r="G2966" s="2080">
        <v>2835</v>
      </c>
      <c r="H2966" s="2074">
        <f t="shared" si="1354"/>
        <v>11340</v>
      </c>
      <c r="I2966" s="1855">
        <v>105</v>
      </c>
      <c r="J2966" s="2073">
        <f t="shared" si="1355"/>
        <v>420</v>
      </c>
      <c r="K2966" s="2075">
        <f t="shared" si="1356"/>
        <v>11760</v>
      </c>
      <c r="L2966" s="2076"/>
      <c r="M2966" s="2059"/>
      <c r="O2966" s="1863"/>
      <c r="P2966" s="2077"/>
      <c r="Q2966" s="2077"/>
    </row>
    <row r="2967" spans="1:17" ht="22.15" customHeight="1">
      <c r="A2967" s="1901"/>
      <c r="B2967" s="2078"/>
      <c r="C2967" s="1755"/>
      <c r="D2967" s="2071"/>
      <c r="E2967" s="2079"/>
      <c r="F2967" s="2073"/>
      <c r="G2967" s="2080"/>
      <c r="H2967" s="2074"/>
      <c r="I2967" s="1855"/>
      <c r="J2967" s="2073"/>
      <c r="K2967" s="2075"/>
      <c r="L2967" s="2076"/>
      <c r="M2967" s="2059"/>
      <c r="O2967" s="1863"/>
      <c r="P2967" s="2077"/>
      <c r="Q2967" s="2077"/>
    </row>
    <row r="2968" spans="1:17" ht="22.15" customHeight="1">
      <c r="A2968" s="1901"/>
      <c r="B2968" s="2078" t="s">
        <v>425</v>
      </c>
      <c r="C2968" s="2070" t="s">
        <v>732</v>
      </c>
      <c r="D2968" s="2071"/>
      <c r="E2968" s="1808">
        <f>7.3*2</f>
        <v>14.6</v>
      </c>
      <c r="F2968" s="2073" t="s">
        <v>616</v>
      </c>
      <c r="G2968" s="2084">
        <v>3886</v>
      </c>
      <c r="H2968" s="2085">
        <f t="shared" ref="H2968:H2972" si="1357">G2968*E2968</f>
        <v>56735.6</v>
      </c>
      <c r="I2968" s="1904">
        <v>1238</v>
      </c>
      <c r="J2968" s="2086">
        <f t="shared" ref="J2968:J2972" si="1358">I2968*E2968</f>
        <v>18074.8</v>
      </c>
      <c r="K2968" s="2087">
        <f t="shared" ref="K2968:K2972" si="1359">H2968+J2968</f>
        <v>74810.399999999994</v>
      </c>
      <c r="L2968" s="2076"/>
      <c r="M2968" s="2059"/>
      <c r="O2968" s="1863"/>
      <c r="P2968" s="2077"/>
      <c r="Q2968" s="2077"/>
    </row>
    <row r="2969" spans="1:17" ht="22.15" customHeight="1">
      <c r="A2969" s="1901"/>
      <c r="B2969" s="2078" t="s">
        <v>425</v>
      </c>
      <c r="C2969" s="2070" t="s">
        <v>734</v>
      </c>
      <c r="D2969" s="2071"/>
      <c r="E2969" s="1808">
        <f>15.3*2</f>
        <v>30.6</v>
      </c>
      <c r="F2969" s="2073" t="s">
        <v>616</v>
      </c>
      <c r="G2969" s="2084">
        <v>1522</v>
      </c>
      <c r="H2969" s="2085">
        <f t="shared" si="1357"/>
        <v>46573.200000000004</v>
      </c>
      <c r="I2969" s="2088">
        <v>315</v>
      </c>
      <c r="J2969" s="2086">
        <f t="shared" si="1358"/>
        <v>9639</v>
      </c>
      <c r="K2969" s="2087">
        <f t="shared" si="1359"/>
        <v>56212.200000000004</v>
      </c>
      <c r="L2969" s="2076"/>
      <c r="M2969" s="2059"/>
      <c r="O2969" s="1863"/>
      <c r="P2969" s="2077"/>
      <c r="Q2969" s="2077"/>
    </row>
    <row r="2970" spans="1:17" ht="22.15" customHeight="1">
      <c r="A2970" s="1901"/>
      <c r="B2970" s="2078" t="s">
        <v>425</v>
      </c>
      <c r="C2970" s="2070" t="s">
        <v>746</v>
      </c>
      <c r="D2970" s="2071"/>
      <c r="E2970" s="1808">
        <f>2.4*2</f>
        <v>4.8</v>
      </c>
      <c r="F2970" s="2073" t="s">
        <v>616</v>
      </c>
      <c r="G2970" s="2080">
        <v>750</v>
      </c>
      <c r="H2970" s="1788">
        <f t="shared" si="1357"/>
        <v>3600</v>
      </c>
      <c r="I2970" s="2083">
        <v>45</v>
      </c>
      <c r="J2970" s="1808">
        <f t="shared" si="1358"/>
        <v>216</v>
      </c>
      <c r="K2970" s="1897">
        <f t="shared" si="1359"/>
        <v>3816</v>
      </c>
      <c r="L2970" s="2076"/>
      <c r="M2970" s="2059"/>
      <c r="O2970" s="1863"/>
      <c r="P2970" s="2077"/>
      <c r="Q2970" s="2077"/>
    </row>
    <row r="2971" spans="1:17" ht="22.15" customHeight="1">
      <c r="A2971" s="1901"/>
      <c r="B2971" s="2078" t="s">
        <v>425</v>
      </c>
      <c r="C2971" s="2070" t="s">
        <v>747</v>
      </c>
      <c r="D2971" s="2071"/>
      <c r="E2971" s="1808">
        <f>5.6*2</f>
        <v>11.2</v>
      </c>
      <c r="F2971" s="2073" t="s">
        <v>616</v>
      </c>
      <c r="G2971" s="2080">
        <v>60</v>
      </c>
      <c r="H2971" s="1788">
        <f t="shared" si="1357"/>
        <v>672</v>
      </c>
      <c r="I2971" s="2083">
        <v>45</v>
      </c>
      <c r="J2971" s="1808">
        <f t="shared" si="1358"/>
        <v>503.99999999999994</v>
      </c>
      <c r="K2971" s="1897">
        <f t="shared" si="1359"/>
        <v>1176</v>
      </c>
      <c r="L2971" s="1791"/>
      <c r="M2971" s="1809"/>
      <c r="O2971" s="1863"/>
      <c r="P2971" s="2077"/>
      <c r="Q2971" s="2077"/>
    </row>
    <row r="2972" spans="1:17" ht="22.15" customHeight="1">
      <c r="A2972" s="1901"/>
      <c r="B2972" s="2078" t="s">
        <v>425</v>
      </c>
      <c r="C2972" s="2070" t="s">
        <v>2830</v>
      </c>
      <c r="D2972" s="2071"/>
      <c r="E2972" s="1808">
        <f>E2968</f>
        <v>14.6</v>
      </c>
      <c r="F2972" s="2073" t="s">
        <v>616</v>
      </c>
      <c r="G2972" s="2084">
        <v>2694</v>
      </c>
      <c r="H2972" s="2085">
        <f t="shared" si="1357"/>
        <v>39332.400000000001</v>
      </c>
      <c r="I2972" s="1904">
        <v>1288</v>
      </c>
      <c r="J2972" s="2086">
        <f t="shared" si="1358"/>
        <v>18804.8</v>
      </c>
      <c r="K2972" s="2087">
        <f t="shared" si="1359"/>
        <v>58137.2</v>
      </c>
      <c r="L2972" s="2076"/>
      <c r="M2972" s="2059"/>
      <c r="O2972" s="1863"/>
      <c r="P2972" s="2077"/>
      <c r="Q2972" s="2077"/>
    </row>
    <row r="2973" spans="1:17" ht="22.15" customHeight="1">
      <c r="A2973" s="1901"/>
      <c r="B2973" s="2078"/>
      <c r="C2973" s="2070" t="s">
        <v>737</v>
      </c>
      <c r="D2973" s="2071"/>
      <c r="E2973" s="2079"/>
      <c r="F2973" s="2073"/>
      <c r="G2973" s="2080"/>
      <c r="H2973" s="2074"/>
      <c r="I2973" s="1855"/>
      <c r="J2973" s="2073"/>
      <c r="K2973" s="2075"/>
      <c r="L2973" s="2076"/>
      <c r="M2973" s="2059"/>
      <c r="O2973" s="1863"/>
      <c r="P2973" s="2077"/>
      <c r="Q2973" s="2077"/>
    </row>
    <row r="2974" spans="1:17" ht="22.15" customHeight="1">
      <c r="A2974" s="1901"/>
      <c r="B2974" s="2078" t="s">
        <v>425</v>
      </c>
      <c r="C2974" s="2070" t="s">
        <v>2831</v>
      </c>
      <c r="D2974" s="2071"/>
      <c r="E2974" s="2079">
        <v>2</v>
      </c>
      <c r="F2974" s="2073" t="s">
        <v>240</v>
      </c>
      <c r="G2974" s="1853">
        <v>8300</v>
      </c>
      <c r="H2974" s="2074">
        <f t="shared" ref="H2974" si="1360">G2974*E2974</f>
        <v>16600</v>
      </c>
      <c r="I2974" s="1855">
        <v>2490</v>
      </c>
      <c r="J2974" s="2073">
        <f>I2974*E2974</f>
        <v>4980</v>
      </c>
      <c r="K2974" s="2075">
        <f t="shared" ref="K2974" si="1361">H2974+J2974</f>
        <v>21580</v>
      </c>
      <c r="L2974" s="2076"/>
      <c r="M2974" s="2059"/>
      <c r="O2974" s="1863"/>
      <c r="P2974" s="2077"/>
      <c r="Q2974" s="2077"/>
    </row>
    <row r="2975" spans="1:17" ht="22.15" customHeight="1">
      <c r="A2975" s="1901"/>
      <c r="B2975" s="2078"/>
      <c r="C2975" s="2070" t="s">
        <v>738</v>
      </c>
      <c r="D2975" s="2071"/>
      <c r="E2975" s="2079"/>
      <c r="F2975" s="2073"/>
      <c r="G2975" s="2080"/>
      <c r="H2975" s="2074"/>
      <c r="I2975" s="1855"/>
      <c r="J2975" s="2073"/>
      <c r="K2975" s="2075"/>
      <c r="L2975" s="2076"/>
      <c r="M2975" s="2059"/>
      <c r="O2975" s="1863"/>
      <c r="P2975" s="2077"/>
      <c r="Q2975" s="2077"/>
    </row>
    <row r="2976" spans="1:17" ht="22.15" customHeight="1">
      <c r="A2976" s="1901"/>
      <c r="B2976" s="2069" t="s">
        <v>2848</v>
      </c>
      <c r="C2976" s="2070"/>
      <c r="D2976" s="2071"/>
      <c r="E2976" s="2072">
        <v>2</v>
      </c>
      <c r="F2976" s="2073" t="s">
        <v>723</v>
      </c>
      <c r="G2976" s="1853"/>
      <c r="H2976" s="2074"/>
      <c r="I2976" s="1855"/>
      <c r="J2976" s="2073"/>
      <c r="K2976" s="2075"/>
      <c r="L2976" s="2076"/>
      <c r="M2976" s="2059"/>
      <c r="O2976" s="1863"/>
      <c r="P2976" s="2077"/>
      <c r="Q2976" s="2077"/>
    </row>
    <row r="2977" spans="1:17" ht="22.15" customHeight="1">
      <c r="A2977" s="1901"/>
      <c r="B2977" s="2078" t="s">
        <v>425</v>
      </c>
      <c r="C2977" s="2070" t="s">
        <v>740</v>
      </c>
      <c r="D2977" s="2071"/>
      <c r="E2977" s="2079">
        <v>2</v>
      </c>
      <c r="F2977" s="2073" t="s">
        <v>240</v>
      </c>
      <c r="G2977" s="1853">
        <v>6344</v>
      </c>
      <c r="H2977" s="2074">
        <f t="shared" ref="H2977:H2982" si="1362">G2977*E2977</f>
        <v>12688</v>
      </c>
      <c r="I2977" s="1855">
        <v>450</v>
      </c>
      <c r="J2977" s="2073">
        <f t="shared" ref="J2977:J2982" si="1363">I2977*E2977</f>
        <v>900</v>
      </c>
      <c r="K2977" s="2075">
        <f t="shared" ref="K2977:K2982" si="1364">H2977+J2977</f>
        <v>13588</v>
      </c>
      <c r="L2977" s="2076"/>
      <c r="M2977" s="2059"/>
      <c r="O2977" s="1863"/>
      <c r="P2977" s="2077"/>
      <c r="Q2977" s="2077"/>
    </row>
    <row r="2978" spans="1:17" ht="22.15" customHeight="1">
      <c r="A2978" s="1901"/>
      <c r="B2978" s="2078" t="s">
        <v>425</v>
      </c>
      <c r="C2978" s="2070" t="s">
        <v>2822</v>
      </c>
      <c r="D2978" s="2071"/>
      <c r="E2978" s="2079">
        <v>2</v>
      </c>
      <c r="F2978" s="2073" t="s">
        <v>240</v>
      </c>
      <c r="G2978" s="1853">
        <v>6225</v>
      </c>
      <c r="H2978" s="2074">
        <f t="shared" si="1362"/>
        <v>12450</v>
      </c>
      <c r="I2978" s="1855">
        <v>200</v>
      </c>
      <c r="J2978" s="2073">
        <f t="shared" si="1363"/>
        <v>400</v>
      </c>
      <c r="K2978" s="2075">
        <f t="shared" si="1364"/>
        <v>12850</v>
      </c>
      <c r="L2978" s="2076"/>
      <c r="M2978" s="2059"/>
      <c r="O2978" s="1863"/>
      <c r="P2978" s="2077"/>
      <c r="Q2978" s="2077"/>
    </row>
    <row r="2979" spans="1:17" ht="22.15" customHeight="1">
      <c r="A2979" s="1901"/>
      <c r="B2979" s="2078" t="s">
        <v>425</v>
      </c>
      <c r="C2979" s="2070" t="s">
        <v>2823</v>
      </c>
      <c r="D2979" s="2071"/>
      <c r="E2979" s="2079">
        <v>2</v>
      </c>
      <c r="F2979" s="2073" t="s">
        <v>240</v>
      </c>
      <c r="G2979" s="1853">
        <v>315</v>
      </c>
      <c r="H2979" s="2074">
        <f t="shared" si="1362"/>
        <v>630</v>
      </c>
      <c r="I2979" s="1855">
        <v>0</v>
      </c>
      <c r="J2979" s="2073">
        <f t="shared" si="1363"/>
        <v>0</v>
      </c>
      <c r="K2979" s="2075">
        <f t="shared" si="1364"/>
        <v>630</v>
      </c>
      <c r="L2979" s="2076"/>
      <c r="M2979" s="2059"/>
      <c r="O2979" s="1863"/>
      <c r="P2979" s="2077"/>
      <c r="Q2979" s="2077"/>
    </row>
    <row r="2980" spans="1:17" ht="22.15" customHeight="1">
      <c r="A2980" s="1901"/>
      <c r="B2980" s="2078" t="s">
        <v>425</v>
      </c>
      <c r="C2980" s="2070" t="s">
        <v>2824</v>
      </c>
      <c r="D2980" s="2071"/>
      <c r="E2980" s="2079">
        <v>2</v>
      </c>
      <c r="F2980" s="2073" t="s">
        <v>240</v>
      </c>
      <c r="G2980" s="1853">
        <v>690</v>
      </c>
      <c r="H2980" s="2074">
        <f t="shared" si="1362"/>
        <v>1380</v>
      </c>
      <c r="I2980" s="1855">
        <v>0</v>
      </c>
      <c r="J2980" s="2073">
        <f t="shared" si="1363"/>
        <v>0</v>
      </c>
      <c r="K2980" s="2075">
        <f t="shared" si="1364"/>
        <v>1380</v>
      </c>
      <c r="L2980" s="2076"/>
      <c r="M2980" s="2059"/>
      <c r="O2980" s="1863"/>
      <c r="P2980" s="2077"/>
      <c r="Q2980" s="2077"/>
    </row>
    <row r="2981" spans="1:17" ht="22.15" customHeight="1">
      <c r="A2981" s="1901"/>
      <c r="B2981" s="2078" t="s">
        <v>425</v>
      </c>
      <c r="C2981" s="2070" t="s">
        <v>2825</v>
      </c>
      <c r="D2981" s="2071"/>
      <c r="E2981" s="2079">
        <v>2</v>
      </c>
      <c r="F2981" s="2073" t="s">
        <v>240</v>
      </c>
      <c r="G2981" s="1853">
        <v>165</v>
      </c>
      <c r="H2981" s="2074">
        <f t="shared" si="1362"/>
        <v>330</v>
      </c>
      <c r="I2981" s="1855">
        <v>0</v>
      </c>
      <c r="J2981" s="2073">
        <f t="shared" si="1363"/>
        <v>0</v>
      </c>
      <c r="K2981" s="2075">
        <f t="shared" si="1364"/>
        <v>330</v>
      </c>
      <c r="L2981" s="2076"/>
      <c r="M2981" s="2059"/>
      <c r="O2981" s="1863"/>
      <c r="P2981" s="2077"/>
      <c r="Q2981" s="2077"/>
    </row>
    <row r="2982" spans="1:17" ht="22.15" customHeight="1">
      <c r="A2982" s="1901"/>
      <c r="B2982" s="2078" t="s">
        <v>425</v>
      </c>
      <c r="C2982" s="2070" t="s">
        <v>2826</v>
      </c>
      <c r="D2982" s="2071"/>
      <c r="E2982" s="2079">
        <v>2</v>
      </c>
      <c r="F2982" s="2073" t="s">
        <v>240</v>
      </c>
      <c r="G2982" s="1853">
        <v>202.5</v>
      </c>
      <c r="H2982" s="2074">
        <f t="shared" si="1362"/>
        <v>405</v>
      </c>
      <c r="I2982" s="1855">
        <v>35</v>
      </c>
      <c r="J2982" s="2073">
        <f t="shared" si="1363"/>
        <v>70</v>
      </c>
      <c r="K2982" s="2075">
        <f t="shared" si="1364"/>
        <v>475</v>
      </c>
      <c r="L2982" s="2076"/>
      <c r="M2982" s="2059"/>
      <c r="O2982" s="1863"/>
      <c r="P2982" s="2077"/>
      <c r="Q2982" s="2077"/>
    </row>
    <row r="2983" spans="1:17" ht="22.15" customHeight="1">
      <c r="A2983" s="1901"/>
      <c r="B2983" s="2078"/>
      <c r="C2983" s="2070"/>
      <c r="D2983" s="2071"/>
      <c r="E2983" s="2079"/>
      <c r="F2983" s="2073"/>
      <c r="G2983" s="1853"/>
      <c r="H2983" s="2074"/>
      <c r="I2983" s="1855"/>
      <c r="J2983" s="2073"/>
      <c r="K2983" s="2075"/>
      <c r="L2983" s="2076"/>
      <c r="M2983" s="2059"/>
      <c r="O2983" s="1863"/>
      <c r="P2983" s="2077"/>
      <c r="Q2983" s="2077"/>
    </row>
    <row r="2984" spans="1:17" ht="22.15" customHeight="1">
      <c r="A2984" s="1901"/>
      <c r="B2984" s="2078" t="s">
        <v>425</v>
      </c>
      <c r="C2984" s="1755" t="s">
        <v>2834</v>
      </c>
      <c r="D2984" s="2071"/>
      <c r="E2984" s="2079">
        <v>2</v>
      </c>
      <c r="F2984" s="2073" t="s">
        <v>240</v>
      </c>
      <c r="G2984" s="1853">
        <v>6110</v>
      </c>
      <c r="H2984" s="2074">
        <f t="shared" ref="H2984:H2987" si="1365">G2984*E2984</f>
        <v>12220</v>
      </c>
      <c r="I2984" s="1855">
        <v>450</v>
      </c>
      <c r="J2984" s="2073">
        <f t="shared" ref="J2984:J2987" si="1366">I2984*E2984</f>
        <v>900</v>
      </c>
      <c r="K2984" s="2075">
        <f t="shared" ref="K2984:K2987" si="1367">H2984+J2984</f>
        <v>13120</v>
      </c>
      <c r="L2984" s="2076"/>
      <c r="M2984" s="2059"/>
      <c r="O2984" s="1863"/>
      <c r="P2984" s="2077"/>
      <c r="Q2984" s="2077"/>
    </row>
    <row r="2985" spans="1:17" ht="22.15" customHeight="1">
      <c r="A2985" s="1901"/>
      <c r="B2985" s="2078" t="s">
        <v>425</v>
      </c>
      <c r="C2985" s="1755" t="s">
        <v>2825</v>
      </c>
      <c r="D2985" s="2071"/>
      <c r="E2985" s="2079">
        <v>2</v>
      </c>
      <c r="F2985" s="2073" t="s">
        <v>240</v>
      </c>
      <c r="G2985" s="1853">
        <v>165</v>
      </c>
      <c r="H2985" s="2074">
        <f t="shared" si="1365"/>
        <v>330</v>
      </c>
      <c r="I2985" s="1855">
        <v>0</v>
      </c>
      <c r="J2985" s="2073">
        <f t="shared" si="1366"/>
        <v>0</v>
      </c>
      <c r="K2985" s="2075">
        <f t="shared" si="1367"/>
        <v>330</v>
      </c>
      <c r="L2985" s="2076"/>
      <c r="M2985" s="2059"/>
      <c r="O2985" s="1863"/>
      <c r="P2985" s="2077"/>
      <c r="Q2985" s="2077"/>
    </row>
    <row r="2986" spans="1:17" ht="22.15" customHeight="1">
      <c r="A2986" s="1901"/>
      <c r="B2986" s="2078" t="s">
        <v>425</v>
      </c>
      <c r="C2986" s="1755" t="s">
        <v>2835</v>
      </c>
      <c r="D2986" s="2071"/>
      <c r="E2986" s="2079">
        <v>2</v>
      </c>
      <c r="F2986" s="2073" t="s">
        <v>240</v>
      </c>
      <c r="G2986" s="1853">
        <v>525</v>
      </c>
      <c r="H2986" s="2074">
        <f t="shared" si="1365"/>
        <v>1050</v>
      </c>
      <c r="I2986" s="1855">
        <v>35</v>
      </c>
      <c r="J2986" s="2073">
        <f t="shared" si="1366"/>
        <v>70</v>
      </c>
      <c r="K2986" s="2075">
        <f t="shared" si="1367"/>
        <v>1120</v>
      </c>
      <c r="L2986" s="2076"/>
      <c r="M2986" s="2059"/>
      <c r="O2986" s="1863"/>
      <c r="P2986" s="2077"/>
      <c r="Q2986" s="2077"/>
    </row>
    <row r="2987" spans="1:17" ht="22.15" customHeight="1">
      <c r="A2987" s="1901"/>
      <c r="B2987" s="2078" t="s">
        <v>425</v>
      </c>
      <c r="C2987" s="1755" t="s">
        <v>2826</v>
      </c>
      <c r="D2987" s="2071"/>
      <c r="E2987" s="2079">
        <v>4</v>
      </c>
      <c r="F2987" s="2073" t="s">
        <v>240</v>
      </c>
      <c r="G2987" s="2080">
        <v>202.5</v>
      </c>
      <c r="H2987" s="2074">
        <f t="shared" si="1365"/>
        <v>810</v>
      </c>
      <c r="I2987" s="1855">
        <v>35</v>
      </c>
      <c r="J2987" s="2073">
        <f t="shared" si="1366"/>
        <v>140</v>
      </c>
      <c r="K2987" s="2075">
        <f t="shared" si="1367"/>
        <v>950</v>
      </c>
      <c r="L2987" s="2076"/>
      <c r="M2987" s="2059"/>
      <c r="O2987" s="1863"/>
      <c r="P2987" s="2077"/>
      <c r="Q2987" s="2077"/>
    </row>
    <row r="2988" spans="1:17" ht="22.15" customHeight="1">
      <c r="A2988" s="1901"/>
      <c r="B2988" s="2078"/>
      <c r="C2988" s="1755"/>
      <c r="D2988" s="2071"/>
      <c r="E2988" s="2079"/>
      <c r="F2988" s="2073"/>
      <c r="G2988" s="1853"/>
      <c r="H2988" s="2074"/>
      <c r="I2988" s="1855"/>
      <c r="J2988" s="2073"/>
      <c r="K2988" s="2075"/>
      <c r="L2988" s="2076"/>
      <c r="M2988" s="2059"/>
      <c r="O2988" s="1863"/>
      <c r="P2988" s="2077"/>
      <c r="Q2988" s="2077"/>
    </row>
    <row r="2989" spans="1:17" ht="22.15" customHeight="1">
      <c r="A2989" s="1901"/>
      <c r="B2989" s="2078" t="s">
        <v>425</v>
      </c>
      <c r="C2989" s="1755" t="s">
        <v>743</v>
      </c>
      <c r="D2989" s="2071"/>
      <c r="E2989" s="2079">
        <v>2</v>
      </c>
      <c r="F2989" s="2073" t="s">
        <v>240</v>
      </c>
      <c r="G2989" s="1853">
        <v>517.5</v>
      </c>
      <c r="H2989" s="2074">
        <f t="shared" ref="H2989:H2991" si="1368">G2989*E2989</f>
        <v>1035</v>
      </c>
      <c r="I2989" s="1855">
        <v>25</v>
      </c>
      <c r="J2989" s="2073">
        <f t="shared" ref="J2989:J2991" si="1369">I2989*E2989</f>
        <v>50</v>
      </c>
      <c r="K2989" s="2075">
        <f t="shared" ref="K2989:K2991" si="1370">H2989+J2989</f>
        <v>1085</v>
      </c>
      <c r="L2989" s="2076"/>
      <c r="M2989" s="2059"/>
      <c r="O2989" s="1863"/>
      <c r="P2989" s="2077"/>
      <c r="Q2989" s="2077"/>
    </row>
    <row r="2990" spans="1:17" ht="22.15" customHeight="1">
      <c r="A2990" s="1901"/>
      <c r="B2990" s="2078" t="s">
        <v>425</v>
      </c>
      <c r="C2990" s="1755" t="s">
        <v>2836</v>
      </c>
      <c r="D2990" s="2071"/>
      <c r="E2990" s="2079">
        <v>2</v>
      </c>
      <c r="F2990" s="2073" t="s">
        <v>240</v>
      </c>
      <c r="G2990" s="2080">
        <v>397.5</v>
      </c>
      <c r="H2990" s="2074">
        <f t="shared" si="1368"/>
        <v>795</v>
      </c>
      <c r="I2990" s="1855">
        <v>70</v>
      </c>
      <c r="J2990" s="2073">
        <f t="shared" si="1369"/>
        <v>140</v>
      </c>
      <c r="K2990" s="2075">
        <f t="shared" si="1370"/>
        <v>935</v>
      </c>
      <c r="L2990" s="2073"/>
      <c r="M2990" s="2081"/>
      <c r="O2990" s="1863"/>
      <c r="P2990" s="2077"/>
      <c r="Q2990" s="2077"/>
    </row>
    <row r="2991" spans="1:17" ht="22.15" customHeight="1">
      <c r="A2991" s="1901"/>
      <c r="B2991" s="2078" t="s">
        <v>425</v>
      </c>
      <c r="C2991" s="1755" t="s">
        <v>728</v>
      </c>
      <c r="D2991" s="2071"/>
      <c r="E2991" s="2079">
        <v>2</v>
      </c>
      <c r="F2991" s="2073" t="s">
        <v>240</v>
      </c>
      <c r="G2991" s="1853">
        <v>525</v>
      </c>
      <c r="H2991" s="2074">
        <f t="shared" si="1368"/>
        <v>1050</v>
      </c>
      <c r="I2991" s="1855">
        <v>75</v>
      </c>
      <c r="J2991" s="2073">
        <f t="shared" si="1369"/>
        <v>150</v>
      </c>
      <c r="K2991" s="2075">
        <f t="shared" si="1370"/>
        <v>1200</v>
      </c>
      <c r="L2991" s="2076"/>
      <c r="M2991" s="2059"/>
      <c r="O2991" s="1863"/>
      <c r="P2991" s="2077"/>
      <c r="Q2991" s="2077"/>
    </row>
    <row r="2992" spans="1:17" ht="22.15" customHeight="1">
      <c r="A2992" s="1901"/>
      <c r="B2992" s="2078"/>
      <c r="C2992" s="1755"/>
      <c r="D2992" s="2071"/>
      <c r="E2992" s="2079"/>
      <c r="F2992" s="2073"/>
      <c r="G2992" s="1853"/>
      <c r="H2992" s="2074"/>
      <c r="I2992" s="1855"/>
      <c r="J2992" s="2073"/>
      <c r="K2992" s="2075"/>
      <c r="L2992" s="2076"/>
      <c r="M2992" s="2059"/>
      <c r="O2992" s="1863"/>
      <c r="P2992" s="2077"/>
      <c r="Q2992" s="2077"/>
    </row>
    <row r="2993" spans="1:24" ht="22.15" customHeight="1">
      <c r="A2993" s="1901"/>
      <c r="B2993" s="2078" t="s">
        <v>425</v>
      </c>
      <c r="C2993" s="1755" t="s">
        <v>730</v>
      </c>
      <c r="D2993" s="2071"/>
      <c r="E2993" s="2079">
        <v>2</v>
      </c>
      <c r="F2993" s="2073" t="s">
        <v>240</v>
      </c>
      <c r="G2993" s="2080">
        <v>1320</v>
      </c>
      <c r="H2993" s="2074">
        <f t="shared" ref="H2993:H2998" si="1371">G2993*E2993</f>
        <v>2640</v>
      </c>
      <c r="I2993" s="1855">
        <v>70</v>
      </c>
      <c r="J2993" s="2073">
        <f t="shared" ref="J2993:J2998" si="1372">I2993*E2993</f>
        <v>140</v>
      </c>
      <c r="K2993" s="2075">
        <f t="shared" ref="K2993:K2998" si="1373">H2993+J2993</f>
        <v>2780</v>
      </c>
      <c r="L2993" s="2076"/>
      <c r="M2993" s="2059"/>
      <c r="O2993" s="1863"/>
      <c r="P2993" s="2077"/>
      <c r="Q2993" s="2077"/>
    </row>
    <row r="2994" spans="1:24" ht="22.15" customHeight="1">
      <c r="A2994" s="1901"/>
      <c r="B2994" s="2078" t="s">
        <v>425</v>
      </c>
      <c r="C2994" s="1755" t="s">
        <v>741</v>
      </c>
      <c r="D2994" s="2071"/>
      <c r="E2994" s="2079">
        <v>2</v>
      </c>
      <c r="F2994" s="2073" t="s">
        <v>240</v>
      </c>
      <c r="G2994" s="2080">
        <v>9750</v>
      </c>
      <c r="H2994" s="2074">
        <f t="shared" si="1371"/>
        <v>19500</v>
      </c>
      <c r="I2994" s="1855">
        <v>105</v>
      </c>
      <c r="J2994" s="2073">
        <f t="shared" si="1372"/>
        <v>210</v>
      </c>
      <c r="K2994" s="2075">
        <f t="shared" si="1373"/>
        <v>19710</v>
      </c>
      <c r="L2994" s="2076"/>
      <c r="M2994" s="2059"/>
      <c r="O2994" s="1863"/>
      <c r="P2994" s="2077"/>
      <c r="Q2994" s="2077"/>
    </row>
    <row r="2995" spans="1:24" ht="22.15" customHeight="1">
      <c r="A2995" s="1901"/>
      <c r="B2995" s="2078" t="s">
        <v>425</v>
      </c>
      <c r="C2995" s="1755" t="s">
        <v>742</v>
      </c>
      <c r="D2995" s="2071"/>
      <c r="E2995" s="2079">
        <v>2</v>
      </c>
      <c r="F2995" s="2073" t="s">
        <v>240</v>
      </c>
      <c r="G2995" s="2080">
        <v>5200</v>
      </c>
      <c r="H2995" s="2074">
        <f t="shared" si="1371"/>
        <v>10400</v>
      </c>
      <c r="I2995" s="1855">
        <v>70</v>
      </c>
      <c r="J2995" s="2073">
        <f t="shared" si="1372"/>
        <v>140</v>
      </c>
      <c r="K2995" s="2075">
        <f t="shared" si="1373"/>
        <v>10540</v>
      </c>
      <c r="L2995" s="2076"/>
      <c r="M2995" s="2059"/>
      <c r="O2995" s="1863"/>
      <c r="P2995" s="2077"/>
      <c r="Q2995" s="2077"/>
    </row>
    <row r="2996" spans="1:24" ht="22.15" customHeight="1">
      <c r="A2996" s="1901"/>
      <c r="B2996" s="2078" t="s">
        <v>425</v>
      </c>
      <c r="C2996" s="1755" t="s">
        <v>2837</v>
      </c>
      <c r="D2996" s="2071"/>
      <c r="E2996" s="2079">
        <v>4</v>
      </c>
      <c r="F2996" s="2073" t="s">
        <v>240</v>
      </c>
      <c r="G2996" s="2080">
        <v>4160</v>
      </c>
      <c r="H2996" s="2074">
        <f t="shared" si="1371"/>
        <v>16640</v>
      </c>
      <c r="I2996" s="1855">
        <v>105</v>
      </c>
      <c r="J2996" s="2073">
        <f t="shared" si="1372"/>
        <v>420</v>
      </c>
      <c r="K2996" s="2075">
        <f t="shared" si="1373"/>
        <v>17060</v>
      </c>
      <c r="L2996" s="2076"/>
      <c r="M2996" s="2059"/>
      <c r="O2996" s="1863"/>
      <c r="P2996" s="2077"/>
      <c r="Q2996" s="2077"/>
    </row>
    <row r="2997" spans="1:24" ht="22.15" customHeight="1">
      <c r="A2997" s="1901"/>
      <c r="B2997" s="2078" t="s">
        <v>425</v>
      </c>
      <c r="C2997" s="1755" t="s">
        <v>2838</v>
      </c>
      <c r="D2997" s="2071"/>
      <c r="E2997" s="2079">
        <v>2</v>
      </c>
      <c r="F2997" s="2073" t="s">
        <v>240</v>
      </c>
      <c r="G2997" s="2080">
        <v>2533.5</v>
      </c>
      <c r="H2997" s="2074">
        <f t="shared" si="1371"/>
        <v>5067</v>
      </c>
      <c r="I2997" s="1855">
        <v>105</v>
      </c>
      <c r="J2997" s="2073">
        <f t="shared" si="1372"/>
        <v>210</v>
      </c>
      <c r="K2997" s="2075">
        <f t="shared" si="1373"/>
        <v>5277</v>
      </c>
      <c r="L2997" s="2073"/>
      <c r="M2997" s="2081"/>
      <c r="O2997" s="1863"/>
      <c r="P2997" s="2077"/>
      <c r="Q2997" s="2077"/>
    </row>
    <row r="2998" spans="1:24" ht="22.15" customHeight="1">
      <c r="A2998" s="1901"/>
      <c r="B2998" s="2090" t="s">
        <v>609</v>
      </c>
      <c r="C2998" s="63" t="s">
        <v>2927</v>
      </c>
      <c r="D2998" s="2091"/>
      <c r="E2998" s="2092">
        <v>2</v>
      </c>
      <c r="F2998" s="2086" t="s">
        <v>240</v>
      </c>
      <c r="G2998" s="2084">
        <v>2855</v>
      </c>
      <c r="H2998" s="2085">
        <f t="shared" si="1371"/>
        <v>5710</v>
      </c>
      <c r="I2998" s="1904">
        <v>1432</v>
      </c>
      <c r="J2998" s="2086">
        <f t="shared" si="1372"/>
        <v>2864</v>
      </c>
      <c r="K2998" s="2087">
        <f t="shared" si="1373"/>
        <v>8574</v>
      </c>
      <c r="L2998" s="2076"/>
      <c r="M2998" s="2059"/>
      <c r="O2998" s="1863"/>
      <c r="P2998" s="2077"/>
      <c r="Q2998" s="2077"/>
    </row>
    <row r="2999" spans="1:24" ht="22.15" customHeight="1">
      <c r="A2999" s="1901"/>
      <c r="B2999" s="2090"/>
      <c r="C2999" s="63" t="s">
        <v>2928</v>
      </c>
      <c r="D2999" s="2091"/>
      <c r="E2999" s="2092"/>
      <c r="F2999" s="2086"/>
      <c r="G2999" s="2084"/>
      <c r="H2999" s="2085"/>
      <c r="I2999" s="1904"/>
      <c r="J2999" s="2086"/>
      <c r="K2999" s="2087"/>
      <c r="L2999" s="2076"/>
      <c r="M2999" s="2059"/>
      <c r="O2999" s="1863"/>
      <c r="P2999" s="2077"/>
      <c r="Q2999" s="2077"/>
    </row>
    <row r="3000" spans="1:24" ht="22.15" customHeight="1">
      <c r="A3000" s="1901"/>
      <c r="B3000" s="2089" t="s">
        <v>2849</v>
      </c>
      <c r="C3000" s="2070"/>
      <c r="D3000" s="2071"/>
      <c r="E3000" s="2072">
        <v>2</v>
      </c>
      <c r="F3000" s="2073" t="s">
        <v>723</v>
      </c>
      <c r="G3000" s="1853"/>
      <c r="H3000" s="2074"/>
      <c r="I3000" s="1855"/>
      <c r="J3000" s="2073"/>
      <c r="K3000" s="2075"/>
      <c r="L3000" s="2076"/>
      <c r="M3000" s="2059"/>
      <c r="O3000" s="1863"/>
      <c r="P3000" s="2077"/>
      <c r="Q3000" s="2077"/>
    </row>
    <row r="3001" spans="1:24" ht="22.15" customHeight="1">
      <c r="A3001" s="1901"/>
      <c r="B3001" s="2078" t="s">
        <v>425</v>
      </c>
      <c r="C3001" s="1755" t="s">
        <v>743</v>
      </c>
      <c r="D3001" s="2071"/>
      <c r="E3001" s="2079">
        <v>2</v>
      </c>
      <c r="F3001" s="2073" t="s">
        <v>240</v>
      </c>
      <c r="G3001" s="1853">
        <v>517.5</v>
      </c>
      <c r="H3001" s="2074">
        <f t="shared" ref="H3001:H3003" si="1374">G3001*E3001</f>
        <v>1035</v>
      </c>
      <c r="I3001" s="1855">
        <v>25</v>
      </c>
      <c r="J3001" s="2073">
        <f>I3001*E3001</f>
        <v>50</v>
      </c>
      <c r="K3001" s="2075">
        <f>H3001+J3001</f>
        <v>1085</v>
      </c>
      <c r="L3001" s="2076"/>
      <c r="M3001" s="2059"/>
      <c r="O3001" s="1863"/>
      <c r="P3001" s="2077"/>
      <c r="Q3001" s="2077"/>
    </row>
    <row r="3002" spans="1:24" ht="22.15" customHeight="1">
      <c r="A3002" s="1901"/>
      <c r="B3002" s="2078" t="s">
        <v>425</v>
      </c>
      <c r="C3002" s="1755" t="s">
        <v>744</v>
      </c>
      <c r="D3002" s="2071"/>
      <c r="E3002" s="2079">
        <v>4</v>
      </c>
      <c r="F3002" s="2073" t="s">
        <v>240</v>
      </c>
      <c r="G3002" s="1853">
        <v>525</v>
      </c>
      <c r="H3002" s="2074">
        <f t="shared" si="1374"/>
        <v>2100</v>
      </c>
      <c r="I3002" s="1855">
        <v>75</v>
      </c>
      <c r="J3002" s="2073">
        <f>I3002*E3002</f>
        <v>300</v>
      </c>
      <c r="K3002" s="2075">
        <f>H3002+J3002</f>
        <v>2400</v>
      </c>
      <c r="L3002" s="2076"/>
      <c r="M3002" s="2059"/>
      <c r="O3002" s="1863"/>
      <c r="P3002" s="2077"/>
      <c r="Q3002" s="2077"/>
    </row>
    <row r="3003" spans="1:24" ht="22.15" customHeight="1">
      <c r="A3003" s="1901"/>
      <c r="B3003" s="2078" t="s">
        <v>425</v>
      </c>
      <c r="C3003" s="1755" t="s">
        <v>745</v>
      </c>
      <c r="D3003" s="2071"/>
      <c r="E3003" s="2079">
        <v>2</v>
      </c>
      <c r="F3003" s="2073" t="s">
        <v>240</v>
      </c>
      <c r="G3003" s="2080">
        <v>397.5</v>
      </c>
      <c r="H3003" s="2074">
        <f t="shared" si="1374"/>
        <v>795</v>
      </c>
      <c r="I3003" s="1855">
        <v>70</v>
      </c>
      <c r="J3003" s="2073">
        <f t="shared" ref="J3003" si="1375">I3003*E3003</f>
        <v>140</v>
      </c>
      <c r="K3003" s="2075">
        <f t="shared" ref="K3003" si="1376">H3003+J3003</f>
        <v>935</v>
      </c>
      <c r="L3003" s="2073"/>
      <c r="M3003" s="2081"/>
      <c r="N3003" s="2047">
        <f>SUM(K2918:K3003)</f>
        <v>2633309.1</v>
      </c>
      <c r="O3003" s="1863"/>
      <c r="P3003" s="2077"/>
      <c r="Q3003" s="2077"/>
    </row>
    <row r="3004" spans="1:24" ht="24" customHeight="1">
      <c r="A3004" s="1782" t="s">
        <v>760</v>
      </c>
      <c r="B3004" s="2041" t="s">
        <v>761</v>
      </c>
      <c r="C3004" s="1905"/>
      <c r="D3004" s="1909"/>
      <c r="E3004" s="1910"/>
      <c r="F3004" s="2275"/>
      <c r="G3004" s="1985"/>
      <c r="H3004" s="1911"/>
      <c r="I3004" s="1920"/>
      <c r="J3004" s="1913"/>
      <c r="K3004" s="1914"/>
      <c r="L3004" s="1847"/>
      <c r="M3004" s="1809"/>
      <c r="N3004" s="1837"/>
      <c r="O3004" s="1837"/>
      <c r="P3004" s="1837"/>
      <c r="Q3004" s="1837"/>
      <c r="R3004" s="1837"/>
      <c r="S3004" s="1837"/>
      <c r="T3004" s="1837"/>
      <c r="U3004" s="1837"/>
      <c r="V3004" s="1837"/>
      <c r="W3004" s="1837"/>
      <c r="X3004" s="1837"/>
    </row>
    <row r="3005" spans="1:24" ht="22.15" customHeight="1">
      <c r="A3005" s="1901"/>
      <c r="B3005" s="2069" t="s">
        <v>2846</v>
      </c>
      <c r="C3005" s="2070"/>
      <c r="D3005" s="2071"/>
      <c r="E3005" s="2072">
        <v>2</v>
      </c>
      <c r="F3005" s="2073" t="s">
        <v>723</v>
      </c>
      <c r="G3005" s="1853"/>
      <c r="H3005" s="2074"/>
      <c r="I3005" s="1855"/>
      <c r="J3005" s="2073"/>
      <c r="K3005" s="2075"/>
      <c r="L3005" s="2076"/>
      <c r="M3005" s="2059"/>
      <c r="O3005" s="1863"/>
      <c r="P3005" s="2077"/>
      <c r="Q3005" s="2077"/>
    </row>
    <row r="3006" spans="1:24" ht="22.15" customHeight="1">
      <c r="A3006" s="1901"/>
      <c r="B3006" s="2078" t="s">
        <v>425</v>
      </c>
      <c r="C3006" s="2070" t="s">
        <v>724</v>
      </c>
      <c r="D3006" s="2071"/>
      <c r="E3006" s="2079">
        <v>18</v>
      </c>
      <c r="F3006" s="2073" t="s">
        <v>240</v>
      </c>
      <c r="G3006" s="1853">
        <v>1430</v>
      </c>
      <c r="H3006" s="2074">
        <f t="shared" ref="H3006:H3011" si="1377">G3006*E3006</f>
        <v>25740</v>
      </c>
      <c r="I3006" s="1855">
        <v>450</v>
      </c>
      <c r="J3006" s="2073">
        <f t="shared" ref="J3006:J3011" si="1378">I3006*E3006</f>
        <v>8100</v>
      </c>
      <c r="K3006" s="2075">
        <f t="shared" ref="K3006:K3011" si="1379">H3006+J3006</f>
        <v>33840</v>
      </c>
      <c r="L3006" s="2076"/>
      <c r="M3006" s="2059"/>
      <c r="O3006" s="1863"/>
      <c r="P3006" s="2077"/>
      <c r="Q3006" s="2077"/>
    </row>
    <row r="3007" spans="1:24" ht="22.15" customHeight="1">
      <c r="A3007" s="1901"/>
      <c r="B3007" s="2078" t="s">
        <v>425</v>
      </c>
      <c r="C3007" s="2070" t="s">
        <v>2822</v>
      </c>
      <c r="D3007" s="2071"/>
      <c r="E3007" s="2079">
        <v>18</v>
      </c>
      <c r="F3007" s="2073" t="s">
        <v>240</v>
      </c>
      <c r="G3007" s="1853">
        <v>6225</v>
      </c>
      <c r="H3007" s="2074">
        <f t="shared" si="1377"/>
        <v>112050</v>
      </c>
      <c r="I3007" s="1855">
        <v>200</v>
      </c>
      <c r="J3007" s="2073">
        <f t="shared" si="1378"/>
        <v>3600</v>
      </c>
      <c r="K3007" s="2075">
        <f t="shared" si="1379"/>
        <v>115650</v>
      </c>
      <c r="L3007" s="2076"/>
      <c r="M3007" s="2059"/>
      <c r="O3007" s="1863"/>
      <c r="P3007" s="2077"/>
      <c r="Q3007" s="2077"/>
    </row>
    <row r="3008" spans="1:24" ht="22.15" customHeight="1">
      <c r="A3008" s="1901"/>
      <c r="B3008" s="2078" t="s">
        <v>425</v>
      </c>
      <c r="C3008" s="2070" t="s">
        <v>2823</v>
      </c>
      <c r="D3008" s="2071"/>
      <c r="E3008" s="2079">
        <v>18</v>
      </c>
      <c r="F3008" s="2073" t="s">
        <v>240</v>
      </c>
      <c r="G3008" s="1853">
        <v>315</v>
      </c>
      <c r="H3008" s="2074">
        <f t="shared" si="1377"/>
        <v>5670</v>
      </c>
      <c r="I3008" s="1855">
        <v>0</v>
      </c>
      <c r="J3008" s="2073">
        <f t="shared" si="1378"/>
        <v>0</v>
      </c>
      <c r="K3008" s="2075">
        <f t="shared" si="1379"/>
        <v>5670</v>
      </c>
      <c r="L3008" s="2076"/>
      <c r="M3008" s="2059"/>
      <c r="O3008" s="1863"/>
      <c r="P3008" s="2077"/>
      <c r="Q3008" s="2077"/>
    </row>
    <row r="3009" spans="1:17" ht="22.15" customHeight="1">
      <c r="A3009" s="1901"/>
      <c r="B3009" s="2078" t="s">
        <v>425</v>
      </c>
      <c r="C3009" s="2070" t="s">
        <v>2824</v>
      </c>
      <c r="D3009" s="2071"/>
      <c r="E3009" s="2079">
        <v>18</v>
      </c>
      <c r="F3009" s="2073" t="s">
        <v>240</v>
      </c>
      <c r="G3009" s="1853">
        <v>690</v>
      </c>
      <c r="H3009" s="2074">
        <f t="shared" si="1377"/>
        <v>12420</v>
      </c>
      <c r="I3009" s="1855">
        <v>0</v>
      </c>
      <c r="J3009" s="2073">
        <f t="shared" si="1378"/>
        <v>0</v>
      </c>
      <c r="K3009" s="2075">
        <f t="shared" si="1379"/>
        <v>12420</v>
      </c>
      <c r="L3009" s="2076"/>
      <c r="M3009" s="2059"/>
      <c r="O3009" s="1863"/>
      <c r="P3009" s="2077"/>
      <c r="Q3009" s="2077"/>
    </row>
    <row r="3010" spans="1:17" ht="22.15" customHeight="1">
      <c r="A3010" s="1901"/>
      <c r="B3010" s="2078" t="s">
        <v>425</v>
      </c>
      <c r="C3010" s="2070" t="s">
        <v>2825</v>
      </c>
      <c r="D3010" s="2071"/>
      <c r="E3010" s="2079">
        <v>18</v>
      </c>
      <c r="F3010" s="2073" t="s">
        <v>240</v>
      </c>
      <c r="G3010" s="1853">
        <v>165</v>
      </c>
      <c r="H3010" s="2074">
        <f t="shared" si="1377"/>
        <v>2970</v>
      </c>
      <c r="I3010" s="1855">
        <v>0</v>
      </c>
      <c r="J3010" s="2073">
        <f t="shared" si="1378"/>
        <v>0</v>
      </c>
      <c r="K3010" s="2075">
        <f t="shared" si="1379"/>
        <v>2970</v>
      </c>
      <c r="L3010" s="2076"/>
      <c r="M3010" s="2059"/>
      <c r="O3010" s="1863"/>
      <c r="P3010" s="2077"/>
      <c r="Q3010" s="2077"/>
    </row>
    <row r="3011" spans="1:17" ht="22.15" customHeight="1">
      <c r="A3011" s="1901"/>
      <c r="B3011" s="2078" t="s">
        <v>425</v>
      </c>
      <c r="C3011" s="2070" t="s">
        <v>2826</v>
      </c>
      <c r="D3011" s="2071"/>
      <c r="E3011" s="2079">
        <v>18</v>
      </c>
      <c r="F3011" s="2073" t="s">
        <v>240</v>
      </c>
      <c r="G3011" s="1853">
        <v>202.5</v>
      </c>
      <c r="H3011" s="2074">
        <f t="shared" si="1377"/>
        <v>3645</v>
      </c>
      <c r="I3011" s="1855">
        <v>35</v>
      </c>
      <c r="J3011" s="2073">
        <f t="shared" si="1378"/>
        <v>630</v>
      </c>
      <c r="K3011" s="2075">
        <f t="shared" si="1379"/>
        <v>4275</v>
      </c>
      <c r="L3011" s="2076"/>
      <c r="M3011" s="2059"/>
      <c r="O3011" s="1863"/>
      <c r="P3011" s="2077"/>
      <c r="Q3011" s="2077"/>
    </row>
    <row r="3012" spans="1:17" ht="22.15" customHeight="1">
      <c r="A3012" s="1901"/>
      <c r="B3012" s="2078"/>
      <c r="C3012" s="2070"/>
      <c r="D3012" s="2071"/>
      <c r="E3012" s="2079"/>
      <c r="F3012" s="2073"/>
      <c r="G3012" s="1853"/>
      <c r="H3012" s="2074"/>
      <c r="I3012" s="1855"/>
      <c r="J3012" s="2073"/>
      <c r="K3012" s="2075"/>
      <c r="L3012" s="2076"/>
      <c r="M3012" s="2059"/>
      <c r="O3012" s="1863"/>
      <c r="P3012" s="2077"/>
      <c r="Q3012" s="2077"/>
    </row>
    <row r="3013" spans="1:17" ht="22.15" customHeight="1">
      <c r="A3013" s="1901"/>
      <c r="B3013" s="2078" t="s">
        <v>425</v>
      </c>
      <c r="C3013" s="2070" t="s">
        <v>725</v>
      </c>
      <c r="D3013" s="2071"/>
      <c r="E3013" s="2079">
        <v>16</v>
      </c>
      <c r="F3013" s="2073" t="s">
        <v>240</v>
      </c>
      <c r="G3013" s="1853">
        <v>8723</v>
      </c>
      <c r="H3013" s="2074">
        <f t="shared" ref="H3013:H3015" si="1380">G3013*E3013</f>
        <v>139568</v>
      </c>
      <c r="I3013" s="1855">
        <v>450</v>
      </c>
      <c r="J3013" s="2073">
        <f t="shared" ref="J3013:J3015" si="1381">I3013*E3013</f>
        <v>7200</v>
      </c>
      <c r="K3013" s="2075">
        <f t="shared" ref="K3013:K3015" si="1382">H3013+J3013</f>
        <v>146768</v>
      </c>
      <c r="L3013" s="2076"/>
      <c r="M3013" s="2059"/>
      <c r="O3013" s="1863"/>
      <c r="P3013" s="2077"/>
      <c r="Q3013" s="2077"/>
    </row>
    <row r="3014" spans="1:17" ht="22.15" customHeight="1">
      <c r="A3014" s="1901"/>
      <c r="B3014" s="2078" t="s">
        <v>425</v>
      </c>
      <c r="C3014" s="2070" t="s">
        <v>726</v>
      </c>
      <c r="D3014" s="2071"/>
      <c r="E3014" s="2079">
        <v>16</v>
      </c>
      <c r="F3014" s="2073" t="s">
        <v>240</v>
      </c>
      <c r="G3014" s="1853">
        <v>2430</v>
      </c>
      <c r="H3014" s="2074">
        <f t="shared" si="1380"/>
        <v>38880</v>
      </c>
      <c r="I3014" s="1855">
        <v>0</v>
      </c>
      <c r="J3014" s="2073">
        <f t="shared" si="1381"/>
        <v>0</v>
      </c>
      <c r="K3014" s="2075">
        <f t="shared" si="1382"/>
        <v>38880</v>
      </c>
      <c r="L3014" s="2076"/>
      <c r="M3014" s="2059"/>
      <c r="O3014" s="1863"/>
      <c r="P3014" s="2077"/>
      <c r="Q3014" s="2077"/>
    </row>
    <row r="3015" spans="1:17" ht="22.15" customHeight="1">
      <c r="A3015" s="1901"/>
      <c r="B3015" s="2078" t="s">
        <v>425</v>
      </c>
      <c r="C3015" s="2070" t="s">
        <v>2826</v>
      </c>
      <c r="D3015" s="2071"/>
      <c r="E3015" s="2079">
        <v>16</v>
      </c>
      <c r="F3015" s="2073" t="s">
        <v>240</v>
      </c>
      <c r="G3015" s="2080">
        <v>202.5</v>
      </c>
      <c r="H3015" s="2074">
        <f t="shared" si="1380"/>
        <v>3240</v>
      </c>
      <c r="I3015" s="1855">
        <v>35</v>
      </c>
      <c r="J3015" s="2073">
        <f t="shared" si="1381"/>
        <v>560</v>
      </c>
      <c r="K3015" s="2075">
        <f t="shared" si="1382"/>
        <v>3800</v>
      </c>
      <c r="L3015" s="2076"/>
      <c r="M3015" s="2059"/>
      <c r="O3015" s="1863"/>
      <c r="P3015" s="2077"/>
      <c r="Q3015" s="2077"/>
    </row>
    <row r="3016" spans="1:17" ht="22.15" customHeight="1">
      <c r="A3016" s="1901"/>
      <c r="B3016" s="2078"/>
      <c r="C3016" s="2070"/>
      <c r="D3016" s="2071"/>
      <c r="E3016" s="2079"/>
      <c r="F3016" s="2073"/>
      <c r="G3016" s="1853"/>
      <c r="H3016" s="2074"/>
      <c r="I3016" s="1855"/>
      <c r="J3016" s="2073"/>
      <c r="K3016" s="2075"/>
      <c r="L3016" s="2076"/>
      <c r="M3016" s="2059"/>
      <c r="O3016" s="1863"/>
      <c r="P3016" s="2077"/>
      <c r="Q3016" s="2077"/>
    </row>
    <row r="3017" spans="1:17" ht="22.15" customHeight="1">
      <c r="A3017" s="1901"/>
      <c r="B3017" s="2078" t="s">
        <v>425</v>
      </c>
      <c r="C3017" s="2070" t="s">
        <v>2827</v>
      </c>
      <c r="D3017" s="2071"/>
      <c r="E3017" s="2079">
        <v>24</v>
      </c>
      <c r="F3017" s="2073" t="s">
        <v>240</v>
      </c>
      <c r="G3017" s="1853">
        <v>3640</v>
      </c>
      <c r="H3017" s="2074">
        <f t="shared" ref="H3017:H3018" si="1383">G3017*E3017</f>
        <v>87360</v>
      </c>
      <c r="I3017" s="1855">
        <v>450</v>
      </c>
      <c r="J3017" s="2073">
        <f t="shared" ref="J3017:J3018" si="1384">I3017*E3017</f>
        <v>10800</v>
      </c>
      <c r="K3017" s="2075">
        <f t="shared" ref="K3017:K3018" si="1385">H3017+J3017</f>
        <v>98160</v>
      </c>
      <c r="L3017" s="2073"/>
      <c r="M3017" s="2081"/>
      <c r="O3017" s="1863"/>
      <c r="P3017" s="2077"/>
      <c r="Q3017" s="2077"/>
    </row>
    <row r="3018" spans="1:17" ht="22.15" customHeight="1">
      <c r="A3018" s="1901"/>
      <c r="B3018" s="2078" t="s">
        <v>425</v>
      </c>
      <c r="C3018" s="2070" t="s">
        <v>727</v>
      </c>
      <c r="D3018" s="2071"/>
      <c r="E3018" s="2079">
        <v>24</v>
      </c>
      <c r="F3018" s="2073" t="s">
        <v>240</v>
      </c>
      <c r="G3018" s="1853">
        <v>11955</v>
      </c>
      <c r="H3018" s="2074">
        <f t="shared" si="1383"/>
        <v>286920</v>
      </c>
      <c r="I3018" s="1855">
        <v>0</v>
      </c>
      <c r="J3018" s="2073">
        <f t="shared" si="1384"/>
        <v>0</v>
      </c>
      <c r="K3018" s="2075">
        <f t="shared" si="1385"/>
        <v>286920</v>
      </c>
      <c r="L3018" s="2073"/>
      <c r="M3018" s="2081"/>
      <c r="O3018" s="1863"/>
      <c r="P3018" s="2077"/>
      <c r="Q3018" s="2077"/>
    </row>
    <row r="3019" spans="1:17" ht="22.15" customHeight="1">
      <c r="A3019" s="1901"/>
      <c r="B3019" s="2078"/>
      <c r="C3019" s="2070"/>
      <c r="D3019" s="2071"/>
      <c r="E3019" s="2079"/>
      <c r="F3019" s="2073"/>
      <c r="G3019" s="1853"/>
      <c r="H3019" s="2074"/>
      <c r="I3019" s="1855"/>
      <c r="J3019" s="2073"/>
      <c r="K3019" s="2075"/>
      <c r="L3019" s="2073"/>
      <c r="M3019" s="2081"/>
      <c r="O3019" s="1863"/>
      <c r="P3019" s="2077"/>
      <c r="Q3019" s="2077"/>
    </row>
    <row r="3020" spans="1:17" ht="22.15" customHeight="1">
      <c r="A3020" s="1901"/>
      <c r="B3020" s="2078" t="s">
        <v>425</v>
      </c>
      <c r="C3020" s="1755" t="s">
        <v>728</v>
      </c>
      <c r="D3020" s="2071"/>
      <c r="E3020" s="2079">
        <v>14</v>
      </c>
      <c r="F3020" s="2073" t="s">
        <v>240</v>
      </c>
      <c r="G3020" s="1853">
        <v>525</v>
      </c>
      <c r="H3020" s="2074">
        <f t="shared" ref="H3020:H3026" si="1386">G3020*E3020</f>
        <v>7350</v>
      </c>
      <c r="I3020" s="1855">
        <v>75</v>
      </c>
      <c r="J3020" s="2073">
        <f t="shared" ref="J3020:J3026" si="1387">I3020*E3020</f>
        <v>1050</v>
      </c>
      <c r="K3020" s="2075">
        <f t="shared" ref="K3020:K3026" si="1388">H3020+J3020</f>
        <v>8400</v>
      </c>
      <c r="L3020" s="2076"/>
      <c r="M3020" s="2059"/>
      <c r="O3020" s="1863"/>
      <c r="P3020" s="2077"/>
      <c r="Q3020" s="2077"/>
    </row>
    <row r="3021" spans="1:17" ht="22.15" customHeight="1">
      <c r="A3021" s="1901"/>
      <c r="B3021" s="2078" t="s">
        <v>425</v>
      </c>
      <c r="C3021" s="1755" t="s">
        <v>743</v>
      </c>
      <c r="D3021" s="2071"/>
      <c r="E3021" s="2079">
        <v>2</v>
      </c>
      <c r="F3021" s="2073" t="s">
        <v>240</v>
      </c>
      <c r="G3021" s="1853">
        <v>517.5</v>
      </c>
      <c r="H3021" s="2074">
        <f t="shared" si="1386"/>
        <v>1035</v>
      </c>
      <c r="I3021" s="1855">
        <v>25</v>
      </c>
      <c r="J3021" s="2073">
        <f t="shared" si="1387"/>
        <v>50</v>
      </c>
      <c r="K3021" s="2075">
        <f t="shared" si="1388"/>
        <v>1085</v>
      </c>
      <c r="L3021" s="2076"/>
      <c r="M3021" s="2059"/>
      <c r="O3021" s="1863"/>
      <c r="P3021" s="2077"/>
      <c r="Q3021" s="2077"/>
    </row>
    <row r="3022" spans="1:17" ht="22.15" customHeight="1">
      <c r="A3022" s="1901"/>
      <c r="B3022" s="2078" t="s">
        <v>425</v>
      </c>
      <c r="C3022" s="1755" t="s">
        <v>729</v>
      </c>
      <c r="D3022" s="2071"/>
      <c r="E3022" s="2079">
        <f>E3013</f>
        <v>16</v>
      </c>
      <c r="F3022" s="2073" t="s">
        <v>240</v>
      </c>
      <c r="G3022" s="2082">
        <v>13500</v>
      </c>
      <c r="H3022" s="2074">
        <f t="shared" si="1386"/>
        <v>216000</v>
      </c>
      <c r="I3022" s="1855">
        <v>750</v>
      </c>
      <c r="J3022" s="2073">
        <f t="shared" si="1387"/>
        <v>12000</v>
      </c>
      <c r="K3022" s="2075">
        <f t="shared" si="1388"/>
        <v>228000</v>
      </c>
      <c r="L3022" s="2076"/>
      <c r="M3022" s="2059"/>
      <c r="O3022" s="1863"/>
      <c r="P3022" s="2077"/>
      <c r="Q3022" s="2077"/>
    </row>
    <row r="3023" spans="1:17" ht="22.15" customHeight="1">
      <c r="A3023" s="1901"/>
      <c r="B3023" s="2078" t="s">
        <v>425</v>
      </c>
      <c r="C3023" s="1755" t="s">
        <v>730</v>
      </c>
      <c r="D3023" s="2071"/>
      <c r="E3023" s="2079">
        <v>2</v>
      </c>
      <c r="F3023" s="2073" t="s">
        <v>240</v>
      </c>
      <c r="G3023" s="2080">
        <v>1320</v>
      </c>
      <c r="H3023" s="2074">
        <f t="shared" si="1386"/>
        <v>2640</v>
      </c>
      <c r="I3023" s="1855">
        <v>70</v>
      </c>
      <c r="J3023" s="2073">
        <f t="shared" si="1387"/>
        <v>140</v>
      </c>
      <c r="K3023" s="2075">
        <f t="shared" si="1388"/>
        <v>2780</v>
      </c>
      <c r="L3023" s="2076"/>
      <c r="M3023" s="2059"/>
      <c r="O3023" s="1863"/>
      <c r="P3023" s="2077"/>
      <c r="Q3023" s="2077"/>
    </row>
    <row r="3024" spans="1:17" ht="21.75" customHeight="1">
      <c r="A3024" s="1901"/>
      <c r="B3024" s="2078" t="s">
        <v>425</v>
      </c>
      <c r="C3024" s="1755" t="s">
        <v>752</v>
      </c>
      <c r="D3024" s="2071"/>
      <c r="E3024" s="2079">
        <v>2</v>
      </c>
      <c r="F3024" s="2073" t="s">
        <v>240</v>
      </c>
      <c r="G3024" s="2080">
        <v>4100</v>
      </c>
      <c r="H3024" s="1788">
        <f t="shared" si="1386"/>
        <v>8200</v>
      </c>
      <c r="I3024" s="2083">
        <v>200</v>
      </c>
      <c r="J3024" s="1808">
        <f t="shared" si="1387"/>
        <v>400</v>
      </c>
      <c r="K3024" s="1897">
        <f t="shared" si="1388"/>
        <v>8600</v>
      </c>
      <c r="L3024" s="2076"/>
      <c r="M3024" s="2059"/>
      <c r="O3024" s="1863"/>
      <c r="P3024" s="2077"/>
      <c r="Q3024" s="2077"/>
    </row>
    <row r="3025" spans="1:17" ht="22.15" customHeight="1">
      <c r="A3025" s="1901"/>
      <c r="B3025" s="2078" t="s">
        <v>425</v>
      </c>
      <c r="C3025" s="2070" t="s">
        <v>2828</v>
      </c>
      <c r="D3025" s="2071"/>
      <c r="E3025" s="2079">
        <v>2</v>
      </c>
      <c r="F3025" s="2073" t="s">
        <v>240</v>
      </c>
      <c r="G3025" s="2080">
        <v>2835</v>
      </c>
      <c r="H3025" s="2074">
        <f t="shared" si="1386"/>
        <v>5670</v>
      </c>
      <c r="I3025" s="1855">
        <v>105</v>
      </c>
      <c r="J3025" s="2073">
        <f t="shared" si="1387"/>
        <v>210</v>
      </c>
      <c r="K3025" s="2075">
        <f t="shared" si="1388"/>
        <v>5880</v>
      </c>
      <c r="L3025" s="2076"/>
      <c r="M3025" s="2059"/>
      <c r="O3025" s="1863"/>
      <c r="P3025" s="2077"/>
      <c r="Q3025" s="2077"/>
    </row>
    <row r="3026" spans="1:17" ht="22.15" customHeight="1">
      <c r="A3026" s="1901"/>
      <c r="B3026" s="2078" t="s">
        <v>425</v>
      </c>
      <c r="C3026" s="1755" t="s">
        <v>2829</v>
      </c>
      <c r="D3026" s="2071"/>
      <c r="E3026" s="2079">
        <v>2</v>
      </c>
      <c r="F3026" s="2073" t="s">
        <v>240</v>
      </c>
      <c r="G3026" s="2080">
        <v>6180</v>
      </c>
      <c r="H3026" s="2074">
        <f t="shared" si="1386"/>
        <v>12360</v>
      </c>
      <c r="I3026" s="1855">
        <v>105</v>
      </c>
      <c r="J3026" s="2073">
        <f t="shared" si="1387"/>
        <v>210</v>
      </c>
      <c r="K3026" s="2075">
        <f t="shared" si="1388"/>
        <v>12570</v>
      </c>
      <c r="L3026" s="2076"/>
      <c r="M3026" s="2059"/>
      <c r="O3026" s="1863"/>
      <c r="P3026" s="2077"/>
      <c r="Q3026" s="2077"/>
    </row>
    <row r="3027" spans="1:17" ht="22.15" customHeight="1">
      <c r="A3027" s="1901"/>
      <c r="B3027" s="2078"/>
      <c r="C3027" s="2070"/>
      <c r="D3027" s="2071"/>
      <c r="E3027" s="2079"/>
      <c r="F3027" s="2073"/>
      <c r="G3027" s="2080"/>
      <c r="H3027" s="2074"/>
      <c r="I3027" s="1855"/>
      <c r="J3027" s="2073"/>
      <c r="K3027" s="2075"/>
      <c r="L3027" s="2076"/>
      <c r="M3027" s="2059"/>
      <c r="O3027" s="1863"/>
      <c r="P3027" s="2077"/>
      <c r="Q3027" s="2077"/>
    </row>
    <row r="3028" spans="1:17" ht="22.15" customHeight="1">
      <c r="A3028" s="1901"/>
      <c r="B3028" s="2078" t="s">
        <v>425</v>
      </c>
      <c r="C3028" s="2070" t="s">
        <v>732</v>
      </c>
      <c r="D3028" s="2071"/>
      <c r="E3028" s="1808">
        <f>4.8*2</f>
        <v>9.6</v>
      </c>
      <c r="F3028" s="2073" t="s">
        <v>616</v>
      </c>
      <c r="G3028" s="2084">
        <v>3886</v>
      </c>
      <c r="H3028" s="2085">
        <f t="shared" ref="H3028:H3033" si="1389">G3028*E3028</f>
        <v>37305.599999999999</v>
      </c>
      <c r="I3028" s="1904">
        <v>1238</v>
      </c>
      <c r="J3028" s="2086">
        <f t="shared" ref="J3028:J3033" si="1390">I3028*E3028</f>
        <v>11884.8</v>
      </c>
      <c r="K3028" s="2087">
        <f t="shared" ref="K3028:K3033" si="1391">H3028+J3028</f>
        <v>49190.399999999994</v>
      </c>
      <c r="L3028" s="2076"/>
      <c r="M3028" s="2059"/>
      <c r="O3028" s="1863"/>
      <c r="P3028" s="2077"/>
      <c r="Q3028" s="2077"/>
    </row>
    <row r="3029" spans="1:17" ht="22.15" customHeight="1">
      <c r="A3029" s="1901"/>
      <c r="B3029" s="2078" t="s">
        <v>425</v>
      </c>
      <c r="C3029" s="2070" t="s">
        <v>733</v>
      </c>
      <c r="D3029" s="2071"/>
      <c r="E3029" s="1808">
        <f>10.6*2</f>
        <v>21.2</v>
      </c>
      <c r="F3029" s="2073" t="s">
        <v>616</v>
      </c>
      <c r="G3029" s="2084">
        <v>1522</v>
      </c>
      <c r="H3029" s="2085">
        <f t="shared" si="1389"/>
        <v>32266.399999999998</v>
      </c>
      <c r="I3029" s="2088">
        <v>315</v>
      </c>
      <c r="J3029" s="2086">
        <f t="shared" si="1390"/>
        <v>6678</v>
      </c>
      <c r="K3029" s="2087">
        <f t="shared" si="1391"/>
        <v>38944.399999999994</v>
      </c>
      <c r="L3029" s="2076"/>
      <c r="M3029" s="2059"/>
      <c r="O3029" s="1863"/>
      <c r="P3029" s="2077"/>
      <c r="Q3029" s="2077"/>
    </row>
    <row r="3030" spans="1:17" ht="22.15" customHeight="1">
      <c r="A3030" s="1901"/>
      <c r="B3030" s="2078" t="s">
        <v>425</v>
      </c>
      <c r="C3030" s="2070" t="s">
        <v>734</v>
      </c>
      <c r="D3030" s="2071"/>
      <c r="E3030" s="1808">
        <f>7.2*2</f>
        <v>14.4</v>
      </c>
      <c r="F3030" s="2073" t="s">
        <v>616</v>
      </c>
      <c r="G3030" s="2084">
        <v>1522</v>
      </c>
      <c r="H3030" s="2085">
        <f t="shared" si="1389"/>
        <v>21916.799999999999</v>
      </c>
      <c r="I3030" s="2088">
        <v>315</v>
      </c>
      <c r="J3030" s="2086">
        <f t="shared" si="1390"/>
        <v>4536</v>
      </c>
      <c r="K3030" s="2087">
        <f t="shared" si="1391"/>
        <v>26452.799999999999</v>
      </c>
      <c r="L3030" s="2076"/>
      <c r="M3030" s="2059"/>
      <c r="O3030" s="1863"/>
      <c r="P3030" s="2077"/>
      <c r="Q3030" s="2077"/>
    </row>
    <row r="3031" spans="1:17" ht="22.15" customHeight="1">
      <c r="A3031" s="1901"/>
      <c r="B3031" s="2078" t="s">
        <v>425</v>
      </c>
      <c r="C3031" s="2070" t="s">
        <v>735</v>
      </c>
      <c r="D3031" s="2071"/>
      <c r="E3031" s="1808">
        <f>7.2*2</f>
        <v>14.4</v>
      </c>
      <c r="F3031" s="2073" t="s">
        <v>616</v>
      </c>
      <c r="G3031" s="2080">
        <v>750</v>
      </c>
      <c r="H3031" s="1788">
        <f t="shared" si="1389"/>
        <v>10800</v>
      </c>
      <c r="I3031" s="2083">
        <v>45</v>
      </c>
      <c r="J3031" s="1808">
        <f t="shared" si="1390"/>
        <v>648</v>
      </c>
      <c r="K3031" s="1897">
        <f t="shared" si="1391"/>
        <v>11448</v>
      </c>
      <c r="L3031" s="2076"/>
      <c r="M3031" s="2059"/>
      <c r="O3031" s="1863"/>
      <c r="P3031" s="2077"/>
      <c r="Q3031" s="2077"/>
    </row>
    <row r="3032" spans="1:17" ht="22.15" customHeight="1">
      <c r="A3032" s="1901"/>
      <c r="B3032" s="2078" t="s">
        <v>425</v>
      </c>
      <c r="C3032" s="2070" t="s">
        <v>736</v>
      </c>
      <c r="D3032" s="2071"/>
      <c r="E3032" s="1808">
        <f>16.8*2</f>
        <v>33.6</v>
      </c>
      <c r="F3032" s="2073" t="s">
        <v>616</v>
      </c>
      <c r="G3032" s="2080">
        <v>60</v>
      </c>
      <c r="H3032" s="1788">
        <f t="shared" si="1389"/>
        <v>2016</v>
      </c>
      <c r="I3032" s="2083">
        <v>45</v>
      </c>
      <c r="J3032" s="1808">
        <f t="shared" si="1390"/>
        <v>1512</v>
      </c>
      <c r="K3032" s="1897">
        <f t="shared" si="1391"/>
        <v>3528</v>
      </c>
      <c r="L3032" s="2076"/>
      <c r="M3032" s="2059"/>
      <c r="O3032" s="1863"/>
      <c r="P3032" s="2077"/>
      <c r="Q3032" s="2077"/>
    </row>
    <row r="3033" spans="1:17" ht="22.15" customHeight="1">
      <c r="A3033" s="1901"/>
      <c r="B3033" s="2078" t="s">
        <v>425</v>
      </c>
      <c r="C3033" s="2070" t="s">
        <v>2830</v>
      </c>
      <c r="D3033" s="2071"/>
      <c r="E3033" s="1808">
        <f>E3028</f>
        <v>9.6</v>
      </c>
      <c r="F3033" s="2073" t="s">
        <v>616</v>
      </c>
      <c r="G3033" s="2084">
        <v>2694</v>
      </c>
      <c r="H3033" s="2085">
        <f t="shared" si="1389"/>
        <v>25862.399999999998</v>
      </c>
      <c r="I3033" s="1904">
        <v>1288</v>
      </c>
      <c r="J3033" s="2086">
        <f t="shared" si="1390"/>
        <v>12364.8</v>
      </c>
      <c r="K3033" s="2087">
        <f t="shared" si="1391"/>
        <v>38227.199999999997</v>
      </c>
      <c r="L3033" s="2076"/>
      <c r="M3033" s="2059"/>
      <c r="O3033" s="1863"/>
      <c r="P3033" s="2077"/>
      <c r="Q3033" s="2077"/>
    </row>
    <row r="3034" spans="1:17" ht="22.15" customHeight="1">
      <c r="A3034" s="1901"/>
      <c r="B3034" s="2078"/>
      <c r="C3034" s="2070" t="s">
        <v>737</v>
      </c>
      <c r="D3034" s="2071"/>
      <c r="E3034" s="2079"/>
      <c r="F3034" s="2073"/>
      <c r="G3034" s="2080"/>
      <c r="H3034" s="2074"/>
      <c r="I3034" s="1855"/>
      <c r="J3034" s="2073"/>
      <c r="K3034" s="2075"/>
      <c r="L3034" s="2076"/>
      <c r="M3034" s="2059"/>
      <c r="O3034" s="1863"/>
      <c r="P3034" s="2077"/>
      <c r="Q3034" s="2077"/>
    </row>
    <row r="3035" spans="1:17" ht="22.15" customHeight="1">
      <c r="A3035" s="1901"/>
      <c r="B3035" s="2078"/>
      <c r="C3035" s="2070"/>
      <c r="D3035" s="2071"/>
      <c r="E3035" s="2079"/>
      <c r="F3035" s="2073"/>
      <c r="G3035" s="2080"/>
      <c r="H3035" s="2074"/>
      <c r="I3035" s="1855"/>
      <c r="J3035" s="2073"/>
      <c r="K3035" s="2075"/>
      <c r="L3035" s="2076"/>
      <c r="M3035" s="2059"/>
      <c r="O3035" s="1863"/>
      <c r="P3035" s="2077"/>
      <c r="Q3035" s="2077"/>
    </row>
    <row r="3036" spans="1:17" ht="22.15" customHeight="1">
      <c r="A3036" s="1901"/>
      <c r="B3036" s="2078" t="s">
        <v>425</v>
      </c>
      <c r="C3036" s="2070" t="s">
        <v>2831</v>
      </c>
      <c r="D3036" s="2071"/>
      <c r="E3036" s="2079">
        <v>2</v>
      </c>
      <c r="F3036" s="2073" t="s">
        <v>240</v>
      </c>
      <c r="G3036" s="1853">
        <v>8300</v>
      </c>
      <c r="H3036" s="2074">
        <f t="shared" ref="H3036" si="1392">G3036*E3036</f>
        <v>16600</v>
      </c>
      <c r="I3036" s="1855">
        <v>2490</v>
      </c>
      <c r="J3036" s="2073">
        <f>I3036*E3036</f>
        <v>4980</v>
      </c>
      <c r="K3036" s="2075">
        <f t="shared" ref="K3036" si="1393">H3036+J3036</f>
        <v>21580</v>
      </c>
      <c r="L3036" s="2076"/>
      <c r="M3036" s="2059"/>
      <c r="O3036" s="1863"/>
      <c r="P3036" s="2077"/>
      <c r="Q3036" s="2077"/>
    </row>
    <row r="3037" spans="1:17" ht="22.15" customHeight="1">
      <c r="A3037" s="1901"/>
      <c r="B3037" s="2078"/>
      <c r="C3037" s="2070" t="s">
        <v>738</v>
      </c>
      <c r="D3037" s="2071"/>
      <c r="E3037" s="2079"/>
      <c r="F3037" s="2073"/>
      <c r="G3037" s="2080"/>
      <c r="H3037" s="2074"/>
      <c r="I3037" s="1855"/>
      <c r="J3037" s="2073"/>
      <c r="K3037" s="2075"/>
      <c r="L3037" s="2076"/>
      <c r="M3037" s="2059"/>
      <c r="O3037" s="1863"/>
      <c r="P3037" s="2077"/>
      <c r="Q3037" s="2077"/>
    </row>
    <row r="3038" spans="1:17" ht="22.15" customHeight="1">
      <c r="A3038" s="1901"/>
      <c r="B3038" s="2078"/>
      <c r="C3038" s="2070"/>
      <c r="D3038" s="2071"/>
      <c r="E3038" s="2079"/>
      <c r="F3038" s="2073"/>
      <c r="G3038" s="2080"/>
      <c r="H3038" s="2074"/>
      <c r="I3038" s="1855"/>
      <c r="J3038" s="2073"/>
      <c r="K3038" s="2075"/>
      <c r="L3038" s="2076"/>
      <c r="M3038" s="2059"/>
      <c r="O3038" s="1863"/>
      <c r="P3038" s="2077"/>
      <c r="Q3038" s="2077"/>
    </row>
    <row r="3039" spans="1:17" ht="22.15" customHeight="1">
      <c r="A3039" s="1901"/>
      <c r="B3039" s="2069" t="s">
        <v>2847</v>
      </c>
      <c r="C3039" s="2070"/>
      <c r="D3039" s="2071"/>
      <c r="E3039" s="2072">
        <v>2</v>
      </c>
      <c r="F3039" s="2073" t="s">
        <v>723</v>
      </c>
      <c r="G3039" s="1853"/>
      <c r="H3039" s="2074"/>
      <c r="I3039" s="1855"/>
      <c r="J3039" s="2073"/>
      <c r="K3039" s="2075"/>
      <c r="L3039" s="2076"/>
      <c r="M3039" s="2059"/>
      <c r="O3039" s="1863"/>
      <c r="P3039" s="2077"/>
      <c r="Q3039" s="2077"/>
    </row>
    <row r="3040" spans="1:17" ht="22.15" customHeight="1">
      <c r="A3040" s="1901"/>
      <c r="B3040" s="2078" t="s">
        <v>425</v>
      </c>
      <c r="C3040" s="2070" t="s">
        <v>724</v>
      </c>
      <c r="D3040" s="2071"/>
      <c r="E3040" s="2079">
        <v>18</v>
      </c>
      <c r="F3040" s="2073" t="s">
        <v>240</v>
      </c>
      <c r="G3040" s="1853">
        <v>1430</v>
      </c>
      <c r="H3040" s="2074">
        <f t="shared" ref="H3040:H3045" si="1394">G3040*E3040</f>
        <v>25740</v>
      </c>
      <c r="I3040" s="1855">
        <v>450</v>
      </c>
      <c r="J3040" s="2073">
        <f t="shared" ref="J3040:J3045" si="1395">I3040*E3040</f>
        <v>8100</v>
      </c>
      <c r="K3040" s="2075">
        <f t="shared" ref="K3040:K3045" si="1396">H3040+J3040</f>
        <v>33840</v>
      </c>
      <c r="L3040" s="2076"/>
      <c r="M3040" s="2059"/>
      <c r="O3040" s="1863"/>
      <c r="P3040" s="2077"/>
      <c r="Q3040" s="2077"/>
    </row>
    <row r="3041" spans="1:17" ht="22.15" customHeight="1">
      <c r="A3041" s="1901"/>
      <c r="B3041" s="2078" t="s">
        <v>425</v>
      </c>
      <c r="C3041" s="2070" t="s">
        <v>2822</v>
      </c>
      <c r="D3041" s="2071"/>
      <c r="E3041" s="2079">
        <v>18</v>
      </c>
      <c r="F3041" s="2073" t="s">
        <v>240</v>
      </c>
      <c r="G3041" s="1853">
        <v>6225</v>
      </c>
      <c r="H3041" s="2074">
        <f t="shared" si="1394"/>
        <v>112050</v>
      </c>
      <c r="I3041" s="1855">
        <v>200</v>
      </c>
      <c r="J3041" s="2073">
        <f t="shared" si="1395"/>
        <v>3600</v>
      </c>
      <c r="K3041" s="2075">
        <f t="shared" si="1396"/>
        <v>115650</v>
      </c>
      <c r="L3041" s="2076"/>
      <c r="M3041" s="2059"/>
      <c r="O3041" s="1863"/>
      <c r="P3041" s="2077"/>
      <c r="Q3041" s="2077"/>
    </row>
    <row r="3042" spans="1:17" ht="22.15" customHeight="1">
      <c r="A3042" s="1901"/>
      <c r="B3042" s="2078" t="s">
        <v>425</v>
      </c>
      <c r="C3042" s="2070" t="s">
        <v>2823</v>
      </c>
      <c r="D3042" s="2071"/>
      <c r="E3042" s="2079">
        <v>18</v>
      </c>
      <c r="F3042" s="2073" t="s">
        <v>240</v>
      </c>
      <c r="G3042" s="1853">
        <v>315</v>
      </c>
      <c r="H3042" s="2074">
        <f t="shared" si="1394"/>
        <v>5670</v>
      </c>
      <c r="I3042" s="1855">
        <v>0</v>
      </c>
      <c r="J3042" s="2073">
        <f t="shared" si="1395"/>
        <v>0</v>
      </c>
      <c r="K3042" s="2075">
        <f t="shared" si="1396"/>
        <v>5670</v>
      </c>
      <c r="L3042" s="2076"/>
      <c r="M3042" s="2059"/>
      <c r="O3042" s="1863"/>
      <c r="P3042" s="2077"/>
      <c r="Q3042" s="2077"/>
    </row>
    <row r="3043" spans="1:17" ht="22.15" customHeight="1">
      <c r="A3043" s="1901"/>
      <c r="B3043" s="2078" t="s">
        <v>425</v>
      </c>
      <c r="C3043" s="2070" t="s">
        <v>2824</v>
      </c>
      <c r="D3043" s="2071"/>
      <c r="E3043" s="2079">
        <v>18</v>
      </c>
      <c r="F3043" s="2073" t="s">
        <v>240</v>
      </c>
      <c r="G3043" s="1853">
        <v>690</v>
      </c>
      <c r="H3043" s="2074">
        <f t="shared" si="1394"/>
        <v>12420</v>
      </c>
      <c r="I3043" s="1855">
        <v>0</v>
      </c>
      <c r="J3043" s="2073">
        <f t="shared" si="1395"/>
        <v>0</v>
      </c>
      <c r="K3043" s="2075">
        <f t="shared" si="1396"/>
        <v>12420</v>
      </c>
      <c r="L3043" s="2076"/>
      <c r="M3043" s="2059"/>
      <c r="O3043" s="1863"/>
      <c r="P3043" s="2077"/>
      <c r="Q3043" s="2077"/>
    </row>
    <row r="3044" spans="1:17" ht="22.15" customHeight="1">
      <c r="A3044" s="1901"/>
      <c r="B3044" s="2078" t="s">
        <v>425</v>
      </c>
      <c r="C3044" s="2070" t="s">
        <v>739</v>
      </c>
      <c r="D3044" s="2071"/>
      <c r="E3044" s="2079">
        <v>18</v>
      </c>
      <c r="F3044" s="2073" t="s">
        <v>240</v>
      </c>
      <c r="G3044" s="1853">
        <v>165</v>
      </c>
      <c r="H3044" s="2074">
        <f t="shared" si="1394"/>
        <v>2970</v>
      </c>
      <c r="I3044" s="1855">
        <v>0</v>
      </c>
      <c r="J3044" s="2073">
        <f t="shared" si="1395"/>
        <v>0</v>
      </c>
      <c r="K3044" s="2075">
        <f t="shared" si="1396"/>
        <v>2970</v>
      </c>
      <c r="L3044" s="2076"/>
      <c r="M3044" s="2059"/>
      <c r="O3044" s="1863"/>
      <c r="P3044" s="2077"/>
      <c r="Q3044" s="2077"/>
    </row>
    <row r="3045" spans="1:17" ht="22.15" customHeight="1">
      <c r="A3045" s="1901"/>
      <c r="B3045" s="2078" t="s">
        <v>425</v>
      </c>
      <c r="C3045" s="2070" t="s">
        <v>2826</v>
      </c>
      <c r="D3045" s="2071"/>
      <c r="E3045" s="2079">
        <v>18</v>
      </c>
      <c r="F3045" s="2073" t="s">
        <v>240</v>
      </c>
      <c r="G3045" s="1853">
        <v>202.5</v>
      </c>
      <c r="H3045" s="2074">
        <f t="shared" si="1394"/>
        <v>3645</v>
      </c>
      <c r="I3045" s="1855">
        <v>35</v>
      </c>
      <c r="J3045" s="2073">
        <f t="shared" si="1395"/>
        <v>630</v>
      </c>
      <c r="K3045" s="2075">
        <f t="shared" si="1396"/>
        <v>4275</v>
      </c>
      <c r="L3045" s="2076"/>
      <c r="M3045" s="2059"/>
      <c r="O3045" s="1863"/>
      <c r="P3045" s="2077"/>
      <c r="Q3045" s="2077"/>
    </row>
    <row r="3046" spans="1:17" ht="22.15" customHeight="1">
      <c r="A3046" s="1901"/>
      <c r="B3046" s="2078"/>
      <c r="C3046" s="2070"/>
      <c r="D3046" s="2071"/>
      <c r="E3046" s="2079"/>
      <c r="F3046" s="2073"/>
      <c r="G3046" s="1853"/>
      <c r="H3046" s="2074"/>
      <c r="I3046" s="1855"/>
      <c r="J3046" s="2073"/>
      <c r="K3046" s="2075"/>
      <c r="L3046" s="2076"/>
      <c r="M3046" s="2059"/>
      <c r="O3046" s="1863"/>
      <c r="P3046" s="2077"/>
      <c r="Q3046" s="2077"/>
    </row>
    <row r="3047" spans="1:17" ht="22.15" customHeight="1">
      <c r="A3047" s="1901"/>
      <c r="B3047" s="2078" t="s">
        <v>425</v>
      </c>
      <c r="C3047" s="2070" t="s">
        <v>725</v>
      </c>
      <c r="D3047" s="2071"/>
      <c r="E3047" s="2079">
        <v>34</v>
      </c>
      <c r="F3047" s="2073" t="s">
        <v>240</v>
      </c>
      <c r="G3047" s="1853">
        <v>8723</v>
      </c>
      <c r="H3047" s="2074">
        <f t="shared" ref="H3047:H3049" si="1397">G3047*E3047</f>
        <v>296582</v>
      </c>
      <c r="I3047" s="1855">
        <v>450</v>
      </c>
      <c r="J3047" s="2073">
        <f t="shared" ref="J3047:J3049" si="1398">I3047*E3047</f>
        <v>15300</v>
      </c>
      <c r="K3047" s="2075">
        <f t="shared" ref="K3047:K3049" si="1399">H3047+J3047</f>
        <v>311882</v>
      </c>
      <c r="L3047" s="2076"/>
      <c r="M3047" s="2059"/>
      <c r="O3047" s="1863"/>
      <c r="P3047" s="2077"/>
      <c r="Q3047" s="2077"/>
    </row>
    <row r="3048" spans="1:17" ht="22.15" customHeight="1">
      <c r="A3048" s="1901"/>
      <c r="B3048" s="2078" t="s">
        <v>425</v>
      </c>
      <c r="C3048" s="2070" t="s">
        <v>726</v>
      </c>
      <c r="D3048" s="2071"/>
      <c r="E3048" s="2079">
        <v>34</v>
      </c>
      <c r="F3048" s="2073" t="s">
        <v>240</v>
      </c>
      <c r="G3048" s="1853">
        <v>2430</v>
      </c>
      <c r="H3048" s="2074">
        <f t="shared" si="1397"/>
        <v>82620</v>
      </c>
      <c r="I3048" s="1855">
        <v>0</v>
      </c>
      <c r="J3048" s="2073">
        <f t="shared" si="1398"/>
        <v>0</v>
      </c>
      <c r="K3048" s="2075">
        <f t="shared" si="1399"/>
        <v>82620</v>
      </c>
      <c r="L3048" s="2076"/>
      <c r="M3048" s="2059"/>
      <c r="O3048" s="1863"/>
      <c r="P3048" s="2077"/>
      <c r="Q3048" s="2077"/>
    </row>
    <row r="3049" spans="1:17" ht="22.15" customHeight="1">
      <c r="A3049" s="1901"/>
      <c r="B3049" s="2078" t="s">
        <v>425</v>
      </c>
      <c r="C3049" s="2070" t="s">
        <v>2826</v>
      </c>
      <c r="D3049" s="2071"/>
      <c r="E3049" s="2079">
        <v>34</v>
      </c>
      <c r="F3049" s="2073" t="s">
        <v>240</v>
      </c>
      <c r="G3049" s="1853">
        <v>202.5</v>
      </c>
      <c r="H3049" s="2074">
        <f t="shared" si="1397"/>
        <v>6885</v>
      </c>
      <c r="I3049" s="1855">
        <v>35</v>
      </c>
      <c r="J3049" s="2073">
        <f t="shared" si="1398"/>
        <v>1190</v>
      </c>
      <c r="K3049" s="2075">
        <f t="shared" si="1399"/>
        <v>8075</v>
      </c>
      <c r="L3049" s="2076"/>
      <c r="M3049" s="2059"/>
      <c r="O3049" s="1863"/>
      <c r="P3049" s="2077"/>
      <c r="Q3049" s="2077"/>
    </row>
    <row r="3050" spans="1:17" ht="22.15" customHeight="1">
      <c r="A3050" s="1901"/>
      <c r="B3050" s="2078"/>
      <c r="C3050" s="2070"/>
      <c r="D3050" s="2071"/>
      <c r="E3050" s="2079"/>
      <c r="F3050" s="2073"/>
      <c r="G3050" s="1853"/>
      <c r="H3050" s="2074"/>
      <c r="I3050" s="1855"/>
      <c r="J3050" s="2073"/>
      <c r="K3050" s="2075"/>
      <c r="L3050" s="2076"/>
      <c r="M3050" s="2059"/>
      <c r="O3050" s="1863"/>
      <c r="P3050" s="2077"/>
      <c r="Q3050" s="2077"/>
    </row>
    <row r="3051" spans="1:17" ht="22.15" customHeight="1">
      <c r="A3051" s="1901"/>
      <c r="B3051" s="2078" t="s">
        <v>425</v>
      </c>
      <c r="C3051" s="1755" t="s">
        <v>728</v>
      </c>
      <c r="D3051" s="2071"/>
      <c r="E3051" s="2079">
        <v>16</v>
      </c>
      <c r="F3051" s="2073" t="s">
        <v>240</v>
      </c>
      <c r="G3051" s="1853">
        <v>525</v>
      </c>
      <c r="H3051" s="2074">
        <f t="shared" ref="H3051:H3056" si="1400">G3051*E3051</f>
        <v>8400</v>
      </c>
      <c r="I3051" s="1855">
        <v>75</v>
      </c>
      <c r="J3051" s="2073">
        <f t="shared" ref="J3051:J3056" si="1401">I3051*E3051</f>
        <v>1200</v>
      </c>
      <c r="K3051" s="2075">
        <f t="shared" ref="K3051:K3056" si="1402">H3051+J3051</f>
        <v>9600</v>
      </c>
      <c r="L3051" s="2076"/>
      <c r="M3051" s="2059"/>
      <c r="O3051" s="1863"/>
      <c r="P3051" s="2077"/>
      <c r="Q3051" s="2077"/>
    </row>
    <row r="3052" spans="1:17" ht="22.15" customHeight="1">
      <c r="A3052" s="1901"/>
      <c r="B3052" s="2078" t="s">
        <v>425</v>
      </c>
      <c r="C3052" s="1755" t="s">
        <v>743</v>
      </c>
      <c r="D3052" s="2071"/>
      <c r="E3052" s="2079">
        <f>1*$E$2400</f>
        <v>1</v>
      </c>
      <c r="F3052" s="2073" t="s">
        <v>240</v>
      </c>
      <c r="G3052" s="1853">
        <v>517.5</v>
      </c>
      <c r="H3052" s="2074">
        <f t="shared" si="1400"/>
        <v>517.5</v>
      </c>
      <c r="I3052" s="1855">
        <v>25</v>
      </c>
      <c r="J3052" s="2073">
        <f t="shared" si="1401"/>
        <v>25</v>
      </c>
      <c r="K3052" s="2075">
        <f t="shared" si="1402"/>
        <v>542.5</v>
      </c>
      <c r="L3052" s="2076"/>
      <c r="M3052" s="2059"/>
      <c r="O3052" s="1863"/>
      <c r="P3052" s="2077"/>
      <c r="Q3052" s="2077"/>
    </row>
    <row r="3053" spans="1:17" ht="22.15" customHeight="1">
      <c r="A3053" s="1901"/>
      <c r="B3053" s="2078" t="s">
        <v>425</v>
      </c>
      <c r="C3053" s="1755" t="s">
        <v>729</v>
      </c>
      <c r="D3053" s="2071"/>
      <c r="E3053" s="2079">
        <f>E3047</f>
        <v>34</v>
      </c>
      <c r="F3053" s="2073" t="s">
        <v>240</v>
      </c>
      <c r="G3053" s="2082">
        <v>13500</v>
      </c>
      <c r="H3053" s="2074">
        <f t="shared" si="1400"/>
        <v>459000</v>
      </c>
      <c r="I3053" s="1855">
        <v>750</v>
      </c>
      <c r="J3053" s="2073">
        <f t="shared" si="1401"/>
        <v>25500</v>
      </c>
      <c r="K3053" s="2075">
        <f t="shared" si="1402"/>
        <v>484500</v>
      </c>
      <c r="L3053" s="2076"/>
      <c r="M3053" s="2059"/>
      <c r="O3053" s="1863"/>
      <c r="P3053" s="2077"/>
      <c r="Q3053" s="2077"/>
    </row>
    <row r="3054" spans="1:17" ht="22.15" customHeight="1">
      <c r="A3054" s="1901"/>
      <c r="B3054" s="2078" t="s">
        <v>425</v>
      </c>
      <c r="C3054" s="1755" t="s">
        <v>730</v>
      </c>
      <c r="D3054" s="2071"/>
      <c r="E3054" s="2079">
        <v>2</v>
      </c>
      <c r="F3054" s="2073" t="s">
        <v>240</v>
      </c>
      <c r="G3054" s="2080">
        <v>1320</v>
      </c>
      <c r="H3054" s="2074">
        <f t="shared" si="1400"/>
        <v>2640</v>
      </c>
      <c r="I3054" s="1855">
        <v>70</v>
      </c>
      <c r="J3054" s="2073">
        <f t="shared" si="1401"/>
        <v>140</v>
      </c>
      <c r="K3054" s="2075">
        <f t="shared" si="1402"/>
        <v>2780</v>
      </c>
      <c r="L3054" s="2076"/>
      <c r="M3054" s="2059"/>
      <c r="O3054" s="1863"/>
      <c r="P3054" s="2077"/>
      <c r="Q3054" s="2077"/>
    </row>
    <row r="3055" spans="1:17" ht="22.15" customHeight="1">
      <c r="A3055" s="1901"/>
      <c r="B3055" s="2078" t="s">
        <v>425</v>
      </c>
      <c r="C3055" s="1755" t="s">
        <v>752</v>
      </c>
      <c r="D3055" s="2071"/>
      <c r="E3055" s="2079">
        <v>2</v>
      </c>
      <c r="F3055" s="2073" t="s">
        <v>240</v>
      </c>
      <c r="G3055" s="2080">
        <v>4100</v>
      </c>
      <c r="H3055" s="1788">
        <f t="shared" si="1400"/>
        <v>8200</v>
      </c>
      <c r="I3055" s="2083">
        <v>200</v>
      </c>
      <c r="J3055" s="1808">
        <f t="shared" si="1401"/>
        <v>400</v>
      </c>
      <c r="K3055" s="1897">
        <f t="shared" si="1402"/>
        <v>8600</v>
      </c>
      <c r="L3055" s="2076"/>
      <c r="M3055" s="2059"/>
      <c r="O3055" s="1863"/>
      <c r="P3055" s="2077"/>
      <c r="Q3055" s="2077"/>
    </row>
    <row r="3056" spans="1:17" ht="22.15" customHeight="1">
      <c r="A3056" s="1901"/>
      <c r="B3056" s="2078" t="s">
        <v>425</v>
      </c>
      <c r="C3056" s="1755" t="s">
        <v>2828</v>
      </c>
      <c r="D3056" s="2071"/>
      <c r="E3056" s="2079">
        <v>4</v>
      </c>
      <c r="F3056" s="2073" t="s">
        <v>240</v>
      </c>
      <c r="G3056" s="2080">
        <v>2835</v>
      </c>
      <c r="H3056" s="2074">
        <f t="shared" si="1400"/>
        <v>11340</v>
      </c>
      <c r="I3056" s="1855">
        <v>105</v>
      </c>
      <c r="J3056" s="2073">
        <f t="shared" si="1401"/>
        <v>420</v>
      </c>
      <c r="K3056" s="2075">
        <f t="shared" si="1402"/>
        <v>11760</v>
      </c>
      <c r="L3056" s="2076"/>
      <c r="M3056" s="2059"/>
      <c r="O3056" s="1863"/>
      <c r="P3056" s="2077"/>
      <c r="Q3056" s="2077"/>
    </row>
    <row r="3057" spans="1:17" ht="22.15" customHeight="1">
      <c r="A3057" s="1901"/>
      <c r="B3057" s="2078"/>
      <c r="C3057" s="1755"/>
      <c r="D3057" s="2071"/>
      <c r="E3057" s="2079"/>
      <c r="F3057" s="2073"/>
      <c r="G3057" s="2080"/>
      <c r="H3057" s="2074"/>
      <c r="I3057" s="1855"/>
      <c r="J3057" s="2073"/>
      <c r="K3057" s="2075"/>
      <c r="L3057" s="2076"/>
      <c r="M3057" s="2059"/>
      <c r="O3057" s="1863"/>
      <c r="P3057" s="2077"/>
      <c r="Q3057" s="2077"/>
    </row>
    <row r="3058" spans="1:17" ht="22.15" customHeight="1">
      <c r="A3058" s="1901"/>
      <c r="B3058" s="2078" t="s">
        <v>425</v>
      </c>
      <c r="C3058" s="2070" t="s">
        <v>732</v>
      </c>
      <c r="D3058" s="2071"/>
      <c r="E3058" s="1808">
        <f>7.3*2</f>
        <v>14.6</v>
      </c>
      <c r="F3058" s="2073" t="s">
        <v>616</v>
      </c>
      <c r="G3058" s="2084">
        <v>3886</v>
      </c>
      <c r="H3058" s="2085">
        <f t="shared" ref="H3058:H3062" si="1403">G3058*E3058</f>
        <v>56735.6</v>
      </c>
      <c r="I3058" s="1904">
        <v>1238</v>
      </c>
      <c r="J3058" s="2086">
        <f t="shared" ref="J3058:J3062" si="1404">I3058*E3058</f>
        <v>18074.8</v>
      </c>
      <c r="K3058" s="2087">
        <f t="shared" ref="K3058:K3062" si="1405">H3058+J3058</f>
        <v>74810.399999999994</v>
      </c>
      <c r="L3058" s="2076"/>
      <c r="M3058" s="2059"/>
      <c r="O3058" s="1863"/>
      <c r="P3058" s="2077"/>
      <c r="Q3058" s="2077"/>
    </row>
    <row r="3059" spans="1:17" ht="22.15" customHeight="1">
      <c r="A3059" s="1901"/>
      <c r="B3059" s="2078" t="s">
        <v>425</v>
      </c>
      <c r="C3059" s="2070" t="s">
        <v>734</v>
      </c>
      <c r="D3059" s="2071"/>
      <c r="E3059" s="1808">
        <f>15.3*2</f>
        <v>30.6</v>
      </c>
      <c r="F3059" s="2073" t="s">
        <v>616</v>
      </c>
      <c r="G3059" s="2084">
        <v>1522</v>
      </c>
      <c r="H3059" s="2085">
        <f t="shared" si="1403"/>
        <v>46573.200000000004</v>
      </c>
      <c r="I3059" s="2088">
        <v>315</v>
      </c>
      <c r="J3059" s="2086">
        <f t="shared" si="1404"/>
        <v>9639</v>
      </c>
      <c r="K3059" s="2087">
        <f t="shared" si="1405"/>
        <v>56212.200000000004</v>
      </c>
      <c r="L3059" s="2076"/>
      <c r="M3059" s="2059"/>
      <c r="O3059" s="1863"/>
      <c r="P3059" s="2077"/>
      <c r="Q3059" s="2077"/>
    </row>
    <row r="3060" spans="1:17" ht="22.15" customHeight="1">
      <c r="A3060" s="1901"/>
      <c r="B3060" s="2078" t="s">
        <v>425</v>
      </c>
      <c r="C3060" s="2070" t="s">
        <v>746</v>
      </c>
      <c r="D3060" s="2071"/>
      <c r="E3060" s="1808">
        <f>2.4*2</f>
        <v>4.8</v>
      </c>
      <c r="F3060" s="2073" t="s">
        <v>616</v>
      </c>
      <c r="G3060" s="2080">
        <v>750</v>
      </c>
      <c r="H3060" s="1788">
        <f t="shared" si="1403"/>
        <v>3600</v>
      </c>
      <c r="I3060" s="2083">
        <v>45</v>
      </c>
      <c r="J3060" s="1808">
        <f t="shared" si="1404"/>
        <v>216</v>
      </c>
      <c r="K3060" s="1897">
        <f t="shared" si="1405"/>
        <v>3816</v>
      </c>
      <c r="L3060" s="2076"/>
      <c r="M3060" s="2059"/>
      <c r="O3060" s="1863"/>
      <c r="P3060" s="2077"/>
      <c r="Q3060" s="2077"/>
    </row>
    <row r="3061" spans="1:17" ht="22.15" customHeight="1">
      <c r="A3061" s="1901"/>
      <c r="B3061" s="2078" t="s">
        <v>425</v>
      </c>
      <c r="C3061" s="2070" t="s">
        <v>747</v>
      </c>
      <c r="D3061" s="2071"/>
      <c r="E3061" s="1808">
        <f>5.6*2</f>
        <v>11.2</v>
      </c>
      <c r="F3061" s="2073" t="s">
        <v>616</v>
      </c>
      <c r="G3061" s="2080">
        <v>60</v>
      </c>
      <c r="H3061" s="1788">
        <f t="shared" si="1403"/>
        <v>672</v>
      </c>
      <c r="I3061" s="2083">
        <v>45</v>
      </c>
      <c r="J3061" s="1808">
        <f t="shared" si="1404"/>
        <v>503.99999999999994</v>
      </c>
      <c r="K3061" s="1897">
        <f t="shared" si="1405"/>
        <v>1176</v>
      </c>
      <c r="L3061" s="1791"/>
      <c r="M3061" s="1809"/>
      <c r="O3061" s="1863"/>
      <c r="P3061" s="2077"/>
      <c r="Q3061" s="2077"/>
    </row>
    <row r="3062" spans="1:17" ht="22.15" customHeight="1">
      <c r="A3062" s="1901"/>
      <c r="B3062" s="2078" t="s">
        <v>425</v>
      </c>
      <c r="C3062" s="2070" t="s">
        <v>2830</v>
      </c>
      <c r="D3062" s="2071"/>
      <c r="E3062" s="1808">
        <f>E3058</f>
        <v>14.6</v>
      </c>
      <c r="F3062" s="2073" t="s">
        <v>616</v>
      </c>
      <c r="G3062" s="2084">
        <v>2694</v>
      </c>
      <c r="H3062" s="2085">
        <f t="shared" si="1403"/>
        <v>39332.400000000001</v>
      </c>
      <c r="I3062" s="1904">
        <v>1288</v>
      </c>
      <c r="J3062" s="2086">
        <f t="shared" si="1404"/>
        <v>18804.8</v>
      </c>
      <c r="K3062" s="2087">
        <f t="shared" si="1405"/>
        <v>58137.2</v>
      </c>
      <c r="L3062" s="2076"/>
      <c r="M3062" s="2059"/>
      <c r="O3062" s="1863"/>
      <c r="P3062" s="2077"/>
      <c r="Q3062" s="2077"/>
    </row>
    <row r="3063" spans="1:17" ht="22.15" customHeight="1">
      <c r="A3063" s="1901"/>
      <c r="B3063" s="2078"/>
      <c r="C3063" s="2070" t="s">
        <v>737</v>
      </c>
      <c r="D3063" s="2071"/>
      <c r="E3063" s="2079"/>
      <c r="F3063" s="2073"/>
      <c r="G3063" s="2080"/>
      <c r="H3063" s="2074"/>
      <c r="I3063" s="1855"/>
      <c r="J3063" s="2073"/>
      <c r="K3063" s="2075"/>
      <c r="L3063" s="2076"/>
      <c r="M3063" s="2059"/>
      <c r="O3063" s="1863"/>
      <c r="P3063" s="2077"/>
      <c r="Q3063" s="2077"/>
    </row>
    <row r="3064" spans="1:17" ht="22.15" customHeight="1">
      <c r="A3064" s="1901"/>
      <c r="B3064" s="2078"/>
      <c r="C3064" s="2070"/>
      <c r="D3064" s="2071"/>
      <c r="E3064" s="2079"/>
      <c r="F3064" s="2073"/>
      <c r="G3064" s="2080"/>
      <c r="H3064" s="2074"/>
      <c r="I3064" s="1855"/>
      <c r="J3064" s="2073"/>
      <c r="K3064" s="2075"/>
      <c r="L3064" s="2076"/>
      <c r="M3064" s="2059"/>
      <c r="O3064" s="1863"/>
      <c r="P3064" s="2077"/>
      <c r="Q3064" s="2077"/>
    </row>
    <row r="3065" spans="1:17" ht="22.15" customHeight="1">
      <c r="A3065" s="1901"/>
      <c r="B3065" s="2078" t="s">
        <v>425</v>
      </c>
      <c r="C3065" s="2070" t="s">
        <v>2831</v>
      </c>
      <c r="D3065" s="2071"/>
      <c r="E3065" s="2079">
        <v>2</v>
      </c>
      <c r="F3065" s="2073" t="s">
        <v>240</v>
      </c>
      <c r="G3065" s="1853">
        <v>8300</v>
      </c>
      <c r="H3065" s="2074">
        <f t="shared" ref="H3065" si="1406">G3065*E3065</f>
        <v>16600</v>
      </c>
      <c r="I3065" s="1855">
        <v>2490</v>
      </c>
      <c r="J3065" s="2073">
        <f>I3065*E3065</f>
        <v>4980</v>
      </c>
      <c r="K3065" s="2075">
        <f t="shared" ref="K3065" si="1407">H3065+J3065</f>
        <v>21580</v>
      </c>
      <c r="L3065" s="2076"/>
      <c r="M3065" s="2059"/>
      <c r="O3065" s="1863"/>
      <c r="P3065" s="2077"/>
      <c r="Q3065" s="2077"/>
    </row>
    <row r="3066" spans="1:17" ht="22.15" customHeight="1">
      <c r="A3066" s="1901"/>
      <c r="B3066" s="2078"/>
      <c r="C3066" s="2070" t="s">
        <v>738</v>
      </c>
      <c r="D3066" s="2071"/>
      <c r="E3066" s="2079"/>
      <c r="F3066" s="2073"/>
      <c r="G3066" s="2080"/>
      <c r="H3066" s="2074"/>
      <c r="I3066" s="1855"/>
      <c r="J3066" s="2073"/>
      <c r="K3066" s="2075"/>
      <c r="L3066" s="2076"/>
      <c r="M3066" s="2059"/>
      <c r="O3066" s="1863"/>
      <c r="P3066" s="2077"/>
      <c r="Q3066" s="2077"/>
    </row>
    <row r="3067" spans="1:17" ht="22.15" customHeight="1">
      <c r="A3067" s="1901"/>
      <c r="B3067" s="2069" t="s">
        <v>2848</v>
      </c>
      <c r="C3067" s="2070"/>
      <c r="D3067" s="2071"/>
      <c r="E3067" s="2072">
        <v>2</v>
      </c>
      <c r="F3067" s="2073" t="s">
        <v>723</v>
      </c>
      <c r="G3067" s="1853"/>
      <c r="H3067" s="2074"/>
      <c r="I3067" s="1855"/>
      <c r="J3067" s="2073"/>
      <c r="K3067" s="2075"/>
      <c r="L3067" s="2076"/>
      <c r="M3067" s="2059"/>
      <c r="O3067" s="1863"/>
      <c r="P3067" s="2077"/>
      <c r="Q3067" s="2077"/>
    </row>
    <row r="3068" spans="1:17" ht="22.15" customHeight="1">
      <c r="A3068" s="1901"/>
      <c r="B3068" s="2078" t="s">
        <v>425</v>
      </c>
      <c r="C3068" s="2070" t="s">
        <v>740</v>
      </c>
      <c r="D3068" s="2071"/>
      <c r="E3068" s="2079">
        <v>2</v>
      </c>
      <c r="F3068" s="2073" t="s">
        <v>240</v>
      </c>
      <c r="G3068" s="1853">
        <v>6344</v>
      </c>
      <c r="H3068" s="2074">
        <f t="shared" ref="H3068:H3073" si="1408">G3068*E3068</f>
        <v>12688</v>
      </c>
      <c r="I3068" s="1855">
        <v>450</v>
      </c>
      <c r="J3068" s="2073">
        <f t="shared" ref="J3068:J3073" si="1409">I3068*E3068</f>
        <v>900</v>
      </c>
      <c r="K3068" s="2075">
        <f t="shared" ref="K3068:K3073" si="1410">H3068+J3068</f>
        <v>13588</v>
      </c>
      <c r="L3068" s="2076"/>
      <c r="M3068" s="2059"/>
      <c r="O3068" s="1863"/>
      <c r="P3068" s="2077"/>
      <c r="Q3068" s="2077"/>
    </row>
    <row r="3069" spans="1:17" ht="22.15" customHeight="1">
      <c r="A3069" s="1901"/>
      <c r="B3069" s="2078" t="s">
        <v>425</v>
      </c>
      <c r="C3069" s="2070" t="s">
        <v>2822</v>
      </c>
      <c r="D3069" s="2071"/>
      <c r="E3069" s="2079">
        <v>2</v>
      </c>
      <c r="F3069" s="2073" t="s">
        <v>240</v>
      </c>
      <c r="G3069" s="1853">
        <v>6225</v>
      </c>
      <c r="H3069" s="2074">
        <f t="shared" si="1408"/>
        <v>12450</v>
      </c>
      <c r="I3069" s="1855">
        <v>200</v>
      </c>
      <c r="J3069" s="2073">
        <f t="shared" si="1409"/>
        <v>400</v>
      </c>
      <c r="K3069" s="2075">
        <f t="shared" si="1410"/>
        <v>12850</v>
      </c>
      <c r="L3069" s="2076"/>
      <c r="M3069" s="2059"/>
      <c r="O3069" s="1863"/>
      <c r="P3069" s="2077"/>
      <c r="Q3069" s="2077"/>
    </row>
    <row r="3070" spans="1:17" ht="22.15" customHeight="1">
      <c r="A3070" s="1901"/>
      <c r="B3070" s="2078" t="s">
        <v>425</v>
      </c>
      <c r="C3070" s="2070" t="s">
        <v>2823</v>
      </c>
      <c r="D3070" s="2071"/>
      <c r="E3070" s="2079">
        <v>2</v>
      </c>
      <c r="F3070" s="2073" t="s">
        <v>240</v>
      </c>
      <c r="G3070" s="1853">
        <v>315</v>
      </c>
      <c r="H3070" s="2074">
        <f t="shared" si="1408"/>
        <v>630</v>
      </c>
      <c r="I3070" s="1855">
        <v>0</v>
      </c>
      <c r="J3070" s="2073">
        <f t="shared" si="1409"/>
        <v>0</v>
      </c>
      <c r="K3070" s="2075">
        <f t="shared" si="1410"/>
        <v>630</v>
      </c>
      <c r="L3070" s="2076"/>
      <c r="M3070" s="2059"/>
      <c r="O3070" s="1863"/>
      <c r="P3070" s="2077"/>
      <c r="Q3070" s="2077"/>
    </row>
    <row r="3071" spans="1:17" ht="22.15" customHeight="1">
      <c r="A3071" s="1901"/>
      <c r="B3071" s="2078" t="s">
        <v>425</v>
      </c>
      <c r="C3071" s="2070" t="s">
        <v>2824</v>
      </c>
      <c r="D3071" s="2071"/>
      <c r="E3071" s="2079">
        <v>2</v>
      </c>
      <c r="F3071" s="2073" t="s">
        <v>240</v>
      </c>
      <c r="G3071" s="1853">
        <v>690</v>
      </c>
      <c r="H3071" s="2074">
        <f t="shared" si="1408"/>
        <v>1380</v>
      </c>
      <c r="I3071" s="1855">
        <v>0</v>
      </c>
      <c r="J3071" s="2073">
        <f t="shared" si="1409"/>
        <v>0</v>
      </c>
      <c r="K3071" s="2075">
        <f t="shared" si="1410"/>
        <v>1380</v>
      </c>
      <c r="L3071" s="2076"/>
      <c r="M3071" s="2059"/>
      <c r="O3071" s="1863"/>
      <c r="P3071" s="2077"/>
      <c r="Q3071" s="2077"/>
    </row>
    <row r="3072" spans="1:17" ht="22.15" customHeight="1">
      <c r="A3072" s="1901"/>
      <c r="B3072" s="2078" t="s">
        <v>425</v>
      </c>
      <c r="C3072" s="2070" t="s">
        <v>2825</v>
      </c>
      <c r="D3072" s="2071"/>
      <c r="E3072" s="2079">
        <v>2</v>
      </c>
      <c r="F3072" s="2073" t="s">
        <v>240</v>
      </c>
      <c r="G3072" s="1853">
        <v>165</v>
      </c>
      <c r="H3072" s="2074">
        <f t="shared" si="1408"/>
        <v>330</v>
      </c>
      <c r="I3072" s="1855">
        <v>0</v>
      </c>
      <c r="J3072" s="2073">
        <f t="shared" si="1409"/>
        <v>0</v>
      </c>
      <c r="K3072" s="2075">
        <f t="shared" si="1410"/>
        <v>330</v>
      </c>
      <c r="L3072" s="2076"/>
      <c r="M3072" s="2059"/>
      <c r="O3072" s="1863"/>
      <c r="P3072" s="2077"/>
      <c r="Q3072" s="2077"/>
    </row>
    <row r="3073" spans="1:17" ht="22.15" customHeight="1">
      <c r="A3073" s="1901"/>
      <c r="B3073" s="2078" t="s">
        <v>425</v>
      </c>
      <c r="C3073" s="2070" t="s">
        <v>2826</v>
      </c>
      <c r="D3073" s="2071"/>
      <c r="E3073" s="2079">
        <v>2</v>
      </c>
      <c r="F3073" s="2073" t="s">
        <v>240</v>
      </c>
      <c r="G3073" s="1853">
        <v>202.5</v>
      </c>
      <c r="H3073" s="2074">
        <f t="shared" si="1408"/>
        <v>405</v>
      </c>
      <c r="I3073" s="1855">
        <v>35</v>
      </c>
      <c r="J3073" s="2073">
        <f t="shared" si="1409"/>
        <v>70</v>
      </c>
      <c r="K3073" s="2075">
        <f t="shared" si="1410"/>
        <v>475</v>
      </c>
      <c r="L3073" s="2076"/>
      <c r="M3073" s="2059"/>
      <c r="O3073" s="1863"/>
      <c r="P3073" s="2077"/>
      <c r="Q3073" s="2077"/>
    </row>
    <row r="3074" spans="1:17" ht="22.15" customHeight="1">
      <c r="A3074" s="1901"/>
      <c r="B3074" s="2078"/>
      <c r="C3074" s="2070"/>
      <c r="D3074" s="2071"/>
      <c r="E3074" s="2079"/>
      <c r="F3074" s="2073"/>
      <c r="G3074" s="1853"/>
      <c r="H3074" s="2074"/>
      <c r="I3074" s="1855"/>
      <c r="J3074" s="2073"/>
      <c r="K3074" s="2075"/>
      <c r="L3074" s="2076"/>
      <c r="M3074" s="2059"/>
      <c r="O3074" s="1863"/>
      <c r="P3074" s="2077"/>
      <c r="Q3074" s="2077"/>
    </row>
    <row r="3075" spans="1:17" ht="22.15" customHeight="1">
      <c r="A3075" s="1901"/>
      <c r="B3075" s="2078" t="s">
        <v>425</v>
      </c>
      <c r="C3075" s="1755" t="s">
        <v>2834</v>
      </c>
      <c r="D3075" s="2071"/>
      <c r="E3075" s="2079">
        <v>2</v>
      </c>
      <c r="F3075" s="2073" t="s">
        <v>240</v>
      </c>
      <c r="G3075" s="1853">
        <v>6110</v>
      </c>
      <c r="H3075" s="2074">
        <f t="shared" ref="H3075:H3078" si="1411">G3075*E3075</f>
        <v>12220</v>
      </c>
      <c r="I3075" s="1855">
        <v>450</v>
      </c>
      <c r="J3075" s="2073">
        <f t="shared" ref="J3075:J3078" si="1412">I3075*E3075</f>
        <v>900</v>
      </c>
      <c r="K3075" s="2075">
        <f t="shared" ref="K3075:K3078" si="1413">H3075+J3075</f>
        <v>13120</v>
      </c>
      <c r="L3075" s="2076"/>
      <c r="M3075" s="2059"/>
      <c r="O3075" s="1863"/>
      <c r="P3075" s="2077"/>
      <c r="Q3075" s="2077"/>
    </row>
    <row r="3076" spans="1:17" ht="22.15" customHeight="1">
      <c r="A3076" s="1901"/>
      <c r="B3076" s="2078" t="s">
        <v>425</v>
      </c>
      <c r="C3076" s="1755" t="s">
        <v>2825</v>
      </c>
      <c r="D3076" s="2071"/>
      <c r="E3076" s="2079">
        <v>2</v>
      </c>
      <c r="F3076" s="2073" t="s">
        <v>240</v>
      </c>
      <c r="G3076" s="1853">
        <v>165</v>
      </c>
      <c r="H3076" s="2074">
        <f t="shared" si="1411"/>
        <v>330</v>
      </c>
      <c r="I3076" s="1855">
        <v>0</v>
      </c>
      <c r="J3076" s="2073">
        <f t="shared" si="1412"/>
        <v>0</v>
      </c>
      <c r="K3076" s="2075">
        <f t="shared" si="1413"/>
        <v>330</v>
      </c>
      <c r="L3076" s="2076"/>
      <c r="M3076" s="2059"/>
      <c r="O3076" s="1863"/>
      <c r="P3076" s="2077"/>
      <c r="Q3076" s="2077"/>
    </row>
    <row r="3077" spans="1:17" ht="22.15" customHeight="1">
      <c r="A3077" s="1901"/>
      <c r="B3077" s="2078" t="s">
        <v>425</v>
      </c>
      <c r="C3077" s="1755" t="s">
        <v>2835</v>
      </c>
      <c r="D3077" s="2071"/>
      <c r="E3077" s="2079">
        <v>2</v>
      </c>
      <c r="F3077" s="2073" t="s">
        <v>240</v>
      </c>
      <c r="G3077" s="1853">
        <v>525</v>
      </c>
      <c r="H3077" s="2074">
        <f t="shared" si="1411"/>
        <v>1050</v>
      </c>
      <c r="I3077" s="1855">
        <v>35</v>
      </c>
      <c r="J3077" s="2073">
        <f t="shared" si="1412"/>
        <v>70</v>
      </c>
      <c r="K3077" s="2075">
        <f t="shared" si="1413"/>
        <v>1120</v>
      </c>
      <c r="L3077" s="2076"/>
      <c r="M3077" s="2059"/>
      <c r="O3077" s="1863"/>
      <c r="P3077" s="2077"/>
      <c r="Q3077" s="2077"/>
    </row>
    <row r="3078" spans="1:17" ht="22.15" customHeight="1">
      <c r="A3078" s="1901"/>
      <c r="B3078" s="2078" t="s">
        <v>425</v>
      </c>
      <c r="C3078" s="1755" t="s">
        <v>2826</v>
      </c>
      <c r="D3078" s="2071"/>
      <c r="E3078" s="2079">
        <v>4</v>
      </c>
      <c r="F3078" s="2073" t="s">
        <v>240</v>
      </c>
      <c r="G3078" s="2080">
        <v>202.5</v>
      </c>
      <c r="H3078" s="2074">
        <f t="shared" si="1411"/>
        <v>810</v>
      </c>
      <c r="I3078" s="1855">
        <v>35</v>
      </c>
      <c r="J3078" s="2073">
        <f t="shared" si="1412"/>
        <v>140</v>
      </c>
      <c r="K3078" s="2075">
        <f t="shared" si="1413"/>
        <v>950</v>
      </c>
      <c r="L3078" s="2076"/>
      <c r="M3078" s="2059"/>
      <c r="O3078" s="1863"/>
      <c r="P3078" s="2077"/>
      <c r="Q3078" s="2077"/>
    </row>
    <row r="3079" spans="1:17" ht="22.15" customHeight="1">
      <c r="A3079" s="1901"/>
      <c r="B3079" s="2078"/>
      <c r="C3079" s="1755"/>
      <c r="D3079" s="2071"/>
      <c r="E3079" s="2079"/>
      <c r="F3079" s="2073"/>
      <c r="G3079" s="1853"/>
      <c r="H3079" s="2074"/>
      <c r="I3079" s="1855"/>
      <c r="J3079" s="2073"/>
      <c r="K3079" s="2075"/>
      <c r="L3079" s="2076"/>
      <c r="M3079" s="2059"/>
      <c r="O3079" s="1863"/>
      <c r="P3079" s="2077"/>
      <c r="Q3079" s="2077"/>
    </row>
    <row r="3080" spans="1:17" ht="22.15" customHeight="1">
      <c r="A3080" s="1901"/>
      <c r="B3080" s="2078" t="s">
        <v>425</v>
      </c>
      <c r="C3080" s="1755" t="s">
        <v>743</v>
      </c>
      <c r="D3080" s="2071"/>
      <c r="E3080" s="2079">
        <v>2</v>
      </c>
      <c r="F3080" s="2073" t="s">
        <v>240</v>
      </c>
      <c r="G3080" s="1853">
        <v>517.5</v>
      </c>
      <c r="H3080" s="2074">
        <f t="shared" ref="H3080:H3082" si="1414">G3080*E3080</f>
        <v>1035</v>
      </c>
      <c r="I3080" s="1855">
        <v>25</v>
      </c>
      <c r="J3080" s="2073">
        <f t="shared" ref="J3080:J3082" si="1415">I3080*E3080</f>
        <v>50</v>
      </c>
      <c r="K3080" s="2075">
        <f t="shared" ref="K3080:K3082" si="1416">H3080+J3080</f>
        <v>1085</v>
      </c>
      <c r="L3080" s="2076"/>
      <c r="M3080" s="2059"/>
      <c r="O3080" s="1863"/>
      <c r="P3080" s="2077"/>
      <c r="Q3080" s="2077"/>
    </row>
    <row r="3081" spans="1:17" ht="22.15" customHeight="1">
      <c r="A3081" s="1901"/>
      <c r="B3081" s="2078" t="s">
        <v>425</v>
      </c>
      <c r="C3081" s="1755" t="s">
        <v>2836</v>
      </c>
      <c r="D3081" s="2071"/>
      <c r="E3081" s="2079">
        <v>2</v>
      </c>
      <c r="F3081" s="2073" t="s">
        <v>240</v>
      </c>
      <c r="G3081" s="2080">
        <v>397.5</v>
      </c>
      <c r="H3081" s="2074">
        <f t="shared" si="1414"/>
        <v>795</v>
      </c>
      <c r="I3081" s="1855">
        <v>70</v>
      </c>
      <c r="J3081" s="2073">
        <f t="shared" si="1415"/>
        <v>140</v>
      </c>
      <c r="K3081" s="2075">
        <f t="shared" si="1416"/>
        <v>935</v>
      </c>
      <c r="L3081" s="2073"/>
      <c r="M3081" s="2081"/>
      <c r="O3081" s="1863"/>
      <c r="P3081" s="2077"/>
      <c r="Q3081" s="2077"/>
    </row>
    <row r="3082" spans="1:17" ht="22.15" customHeight="1">
      <c r="A3082" s="1901"/>
      <c r="B3082" s="2078" t="s">
        <v>425</v>
      </c>
      <c r="C3082" s="1755" t="s">
        <v>728</v>
      </c>
      <c r="D3082" s="2071"/>
      <c r="E3082" s="2079">
        <v>2</v>
      </c>
      <c r="F3082" s="2073" t="s">
        <v>240</v>
      </c>
      <c r="G3082" s="1853">
        <v>525</v>
      </c>
      <c r="H3082" s="2074">
        <f t="shared" si="1414"/>
        <v>1050</v>
      </c>
      <c r="I3082" s="1855">
        <v>75</v>
      </c>
      <c r="J3082" s="2073">
        <f t="shared" si="1415"/>
        <v>150</v>
      </c>
      <c r="K3082" s="2075">
        <f t="shared" si="1416"/>
        <v>1200</v>
      </c>
      <c r="L3082" s="2076"/>
      <c r="M3082" s="2059"/>
      <c r="O3082" s="1863"/>
      <c r="P3082" s="2077"/>
      <c r="Q3082" s="2077"/>
    </row>
    <row r="3083" spans="1:17" ht="22.15" customHeight="1">
      <c r="A3083" s="1901"/>
      <c r="B3083" s="2078"/>
      <c r="C3083" s="1755"/>
      <c r="D3083" s="2071"/>
      <c r="E3083" s="2079"/>
      <c r="F3083" s="2073"/>
      <c r="G3083" s="1853"/>
      <c r="H3083" s="2074"/>
      <c r="I3083" s="1855"/>
      <c r="J3083" s="2073"/>
      <c r="K3083" s="2075"/>
      <c r="L3083" s="2076"/>
      <c r="M3083" s="2059"/>
      <c r="O3083" s="1863"/>
      <c r="P3083" s="2077"/>
      <c r="Q3083" s="2077"/>
    </row>
    <row r="3084" spans="1:17" ht="22.15" customHeight="1">
      <c r="A3084" s="1901"/>
      <c r="B3084" s="2078" t="s">
        <v>425</v>
      </c>
      <c r="C3084" s="1755" t="s">
        <v>730</v>
      </c>
      <c r="D3084" s="2071"/>
      <c r="E3084" s="2079">
        <v>2</v>
      </c>
      <c r="F3084" s="2073" t="s">
        <v>240</v>
      </c>
      <c r="G3084" s="2080">
        <v>1320</v>
      </c>
      <c r="H3084" s="2074">
        <f t="shared" ref="H3084:H3089" si="1417">G3084*E3084</f>
        <v>2640</v>
      </c>
      <c r="I3084" s="1855">
        <v>70</v>
      </c>
      <c r="J3084" s="2073">
        <f t="shared" ref="J3084:J3089" si="1418">I3084*E3084</f>
        <v>140</v>
      </c>
      <c r="K3084" s="2075">
        <f t="shared" ref="K3084:K3089" si="1419">H3084+J3084</f>
        <v>2780</v>
      </c>
      <c r="L3084" s="2076"/>
      <c r="M3084" s="2059"/>
      <c r="O3084" s="1863"/>
      <c r="P3084" s="2077"/>
      <c r="Q3084" s="2077"/>
    </row>
    <row r="3085" spans="1:17" ht="22.15" customHeight="1">
      <c r="A3085" s="1901"/>
      <c r="B3085" s="2078" t="s">
        <v>425</v>
      </c>
      <c r="C3085" s="1755" t="s">
        <v>741</v>
      </c>
      <c r="D3085" s="2071"/>
      <c r="E3085" s="2079">
        <v>2</v>
      </c>
      <c r="F3085" s="2073" t="s">
        <v>240</v>
      </c>
      <c r="G3085" s="2080">
        <v>9750</v>
      </c>
      <c r="H3085" s="2074">
        <f t="shared" si="1417"/>
        <v>19500</v>
      </c>
      <c r="I3085" s="1855">
        <v>105</v>
      </c>
      <c r="J3085" s="2073">
        <f t="shared" si="1418"/>
        <v>210</v>
      </c>
      <c r="K3085" s="2075">
        <f t="shared" si="1419"/>
        <v>19710</v>
      </c>
      <c r="L3085" s="2076"/>
      <c r="M3085" s="2059"/>
      <c r="O3085" s="1863"/>
      <c r="P3085" s="2077"/>
      <c r="Q3085" s="2077"/>
    </row>
    <row r="3086" spans="1:17" ht="22.15" customHeight="1">
      <c r="A3086" s="1901"/>
      <c r="B3086" s="2078" t="s">
        <v>425</v>
      </c>
      <c r="C3086" s="1755" t="s">
        <v>742</v>
      </c>
      <c r="D3086" s="2071"/>
      <c r="E3086" s="2079">
        <v>2</v>
      </c>
      <c r="F3086" s="2073" t="s">
        <v>240</v>
      </c>
      <c r="G3086" s="2080">
        <v>5200</v>
      </c>
      <c r="H3086" s="2074">
        <f t="shared" si="1417"/>
        <v>10400</v>
      </c>
      <c r="I3086" s="1855">
        <v>70</v>
      </c>
      <c r="J3086" s="2073">
        <f t="shared" si="1418"/>
        <v>140</v>
      </c>
      <c r="K3086" s="2075">
        <f t="shared" si="1419"/>
        <v>10540</v>
      </c>
      <c r="L3086" s="2076"/>
      <c r="M3086" s="2059"/>
      <c r="O3086" s="1863"/>
      <c r="P3086" s="2077"/>
      <c r="Q3086" s="2077"/>
    </row>
    <row r="3087" spans="1:17" ht="22.15" customHeight="1">
      <c r="A3087" s="1901"/>
      <c r="B3087" s="2078" t="s">
        <v>425</v>
      </c>
      <c r="C3087" s="1755" t="s">
        <v>2837</v>
      </c>
      <c r="D3087" s="2071"/>
      <c r="E3087" s="2079">
        <v>4</v>
      </c>
      <c r="F3087" s="2073" t="s">
        <v>240</v>
      </c>
      <c r="G3087" s="2080">
        <v>4160</v>
      </c>
      <c r="H3087" s="2074">
        <f t="shared" si="1417"/>
        <v>16640</v>
      </c>
      <c r="I3087" s="1855">
        <v>105</v>
      </c>
      <c r="J3087" s="2073">
        <f t="shared" si="1418"/>
        <v>420</v>
      </c>
      <c r="K3087" s="2075">
        <f t="shared" si="1419"/>
        <v>17060</v>
      </c>
      <c r="L3087" s="2076"/>
      <c r="M3087" s="2059"/>
      <c r="O3087" s="1863"/>
      <c r="P3087" s="2077"/>
      <c r="Q3087" s="2077"/>
    </row>
    <row r="3088" spans="1:17" ht="22.15" customHeight="1">
      <c r="A3088" s="1901"/>
      <c r="B3088" s="2078" t="s">
        <v>425</v>
      </c>
      <c r="C3088" s="1755" t="s">
        <v>2838</v>
      </c>
      <c r="D3088" s="2071"/>
      <c r="E3088" s="2079">
        <v>2</v>
      </c>
      <c r="F3088" s="2073" t="s">
        <v>240</v>
      </c>
      <c r="G3088" s="2080">
        <v>2533.5</v>
      </c>
      <c r="H3088" s="2074">
        <f t="shared" si="1417"/>
        <v>5067</v>
      </c>
      <c r="I3088" s="1855">
        <v>105</v>
      </c>
      <c r="J3088" s="2073">
        <f t="shared" si="1418"/>
        <v>210</v>
      </c>
      <c r="K3088" s="2075">
        <f t="shared" si="1419"/>
        <v>5277</v>
      </c>
      <c r="L3088" s="2073"/>
      <c r="M3088" s="2081"/>
      <c r="O3088" s="1863"/>
      <c r="P3088" s="2077"/>
      <c r="Q3088" s="2077"/>
    </row>
    <row r="3089" spans="1:24" ht="22.15" customHeight="1">
      <c r="A3089" s="1901"/>
      <c r="B3089" s="2090" t="s">
        <v>609</v>
      </c>
      <c r="C3089" s="63" t="s">
        <v>2927</v>
      </c>
      <c r="D3089" s="2091"/>
      <c r="E3089" s="2092">
        <v>2</v>
      </c>
      <c r="F3089" s="2086" t="s">
        <v>240</v>
      </c>
      <c r="G3089" s="2084">
        <v>2855</v>
      </c>
      <c r="H3089" s="2085">
        <f t="shared" si="1417"/>
        <v>5710</v>
      </c>
      <c r="I3089" s="1904">
        <v>1432</v>
      </c>
      <c r="J3089" s="2086">
        <f t="shared" si="1418"/>
        <v>2864</v>
      </c>
      <c r="K3089" s="2087">
        <f t="shared" si="1419"/>
        <v>8574</v>
      </c>
      <c r="L3089" s="2076"/>
      <c r="M3089" s="2059"/>
      <c r="O3089" s="1863"/>
      <c r="P3089" s="2077"/>
      <c r="Q3089" s="2077"/>
    </row>
    <row r="3090" spans="1:24" ht="22.15" customHeight="1">
      <c r="A3090" s="1901"/>
      <c r="B3090" s="2090"/>
      <c r="C3090" s="63" t="s">
        <v>2928</v>
      </c>
      <c r="D3090" s="2091"/>
      <c r="E3090" s="2092"/>
      <c r="F3090" s="2086"/>
      <c r="G3090" s="2084"/>
      <c r="H3090" s="2085"/>
      <c r="I3090" s="1904"/>
      <c r="J3090" s="2086"/>
      <c r="K3090" s="2087"/>
      <c r="L3090" s="2076"/>
      <c r="M3090" s="2059"/>
      <c r="O3090" s="1863"/>
      <c r="P3090" s="2077"/>
      <c r="Q3090" s="2077"/>
    </row>
    <row r="3091" spans="1:24" ht="22.15" customHeight="1">
      <c r="A3091" s="1901"/>
      <c r="B3091" s="2089" t="s">
        <v>2849</v>
      </c>
      <c r="C3091" s="2070"/>
      <c r="D3091" s="2071"/>
      <c r="E3091" s="2072">
        <v>2</v>
      </c>
      <c r="F3091" s="2073" t="s">
        <v>723</v>
      </c>
      <c r="G3091" s="1853"/>
      <c r="H3091" s="2074"/>
      <c r="I3091" s="1855"/>
      <c r="J3091" s="2073"/>
      <c r="K3091" s="2075"/>
      <c r="L3091" s="2076"/>
      <c r="M3091" s="2059"/>
      <c r="O3091" s="1863"/>
      <c r="P3091" s="2077"/>
      <c r="Q3091" s="2077"/>
    </row>
    <row r="3092" spans="1:24" ht="22.15" customHeight="1">
      <c r="A3092" s="1901"/>
      <c r="B3092" s="2078" t="s">
        <v>425</v>
      </c>
      <c r="C3092" s="1755" t="s">
        <v>743</v>
      </c>
      <c r="D3092" s="2071"/>
      <c r="E3092" s="2079">
        <v>2</v>
      </c>
      <c r="F3092" s="2073" t="s">
        <v>240</v>
      </c>
      <c r="G3092" s="1853">
        <v>517.5</v>
      </c>
      <c r="H3092" s="2074">
        <f t="shared" ref="H3092:H3094" si="1420">G3092*E3092</f>
        <v>1035</v>
      </c>
      <c r="I3092" s="1855">
        <v>25</v>
      </c>
      <c r="J3092" s="2073">
        <f>I3092*E3092</f>
        <v>50</v>
      </c>
      <c r="K3092" s="2075">
        <f>H3092+J3092</f>
        <v>1085</v>
      </c>
      <c r="L3092" s="2076"/>
      <c r="M3092" s="2059"/>
      <c r="O3092" s="1863"/>
      <c r="P3092" s="2077"/>
      <c r="Q3092" s="2077"/>
    </row>
    <row r="3093" spans="1:24" ht="22.15" customHeight="1">
      <c r="A3093" s="1901"/>
      <c r="B3093" s="2078" t="s">
        <v>425</v>
      </c>
      <c r="C3093" s="1755" t="s">
        <v>744</v>
      </c>
      <c r="D3093" s="2071"/>
      <c r="E3093" s="2079">
        <v>4</v>
      </c>
      <c r="F3093" s="2073" t="s">
        <v>240</v>
      </c>
      <c r="G3093" s="1853">
        <v>525</v>
      </c>
      <c r="H3093" s="2074">
        <f t="shared" si="1420"/>
        <v>2100</v>
      </c>
      <c r="I3093" s="1855">
        <v>75</v>
      </c>
      <c r="J3093" s="2073">
        <f>I3093*E3093</f>
        <v>300</v>
      </c>
      <c r="K3093" s="2075">
        <f>H3093+J3093</f>
        <v>2400</v>
      </c>
      <c r="L3093" s="2076"/>
      <c r="M3093" s="2059"/>
      <c r="O3093" s="1863"/>
      <c r="P3093" s="2077"/>
      <c r="Q3093" s="2077"/>
    </row>
    <row r="3094" spans="1:24" ht="22.15" customHeight="1">
      <c r="A3094" s="1901"/>
      <c r="B3094" s="2078" t="s">
        <v>425</v>
      </c>
      <c r="C3094" s="1755" t="s">
        <v>745</v>
      </c>
      <c r="D3094" s="2071"/>
      <c r="E3094" s="2079">
        <v>2</v>
      </c>
      <c r="F3094" s="2073" t="s">
        <v>240</v>
      </c>
      <c r="G3094" s="2080">
        <v>397.5</v>
      </c>
      <c r="H3094" s="2074">
        <f t="shared" si="1420"/>
        <v>795</v>
      </c>
      <c r="I3094" s="1855">
        <v>70</v>
      </c>
      <c r="J3094" s="2073">
        <f t="shared" ref="J3094" si="1421">I3094*E3094</f>
        <v>140</v>
      </c>
      <c r="K3094" s="2075">
        <f t="shared" ref="K3094" si="1422">H3094+J3094</f>
        <v>935</v>
      </c>
      <c r="L3094" s="2073"/>
      <c r="M3094" s="2081"/>
      <c r="N3094" s="2047">
        <f>SUM(K3005:K3094)</f>
        <v>2633309.1</v>
      </c>
      <c r="O3094" s="1863"/>
      <c r="P3094" s="2077"/>
      <c r="Q3094" s="2077"/>
    </row>
    <row r="3095" spans="1:24" ht="24" customHeight="1">
      <c r="A3095" s="1973"/>
      <c r="B3095" s="2449" t="str">
        <f>"รวมราคารายการที่ "&amp;A2365</f>
        <v>รวมราคารายการที่ 2.6</v>
      </c>
      <c r="C3095" s="2449"/>
      <c r="D3095" s="2449"/>
      <c r="E3095" s="1974"/>
      <c r="F3095" s="1932"/>
      <c r="G3095" s="1975"/>
      <c r="H3095" s="1976">
        <f>SUM(H2365:H3094)</f>
        <v>16785522</v>
      </c>
      <c r="I3095" s="1930"/>
      <c r="J3095" s="1976">
        <f>SUM(J2365:J3094)</f>
        <v>1405375.3500000008</v>
      </c>
      <c r="K3095" s="1932">
        <f>SUM(K2365:K3094)</f>
        <v>18190897.350000001</v>
      </c>
      <c r="L3095" s="1932"/>
      <c r="M3095" s="1990"/>
      <c r="N3095" s="1837"/>
      <c r="O3095" s="1837"/>
      <c r="P3095" s="1837"/>
      <c r="Q3095" s="1837"/>
      <c r="R3095" s="1837"/>
      <c r="S3095" s="1837"/>
      <c r="T3095" s="1837"/>
      <c r="U3095" s="1837"/>
      <c r="V3095" s="1837"/>
      <c r="W3095" s="1837"/>
      <c r="X3095" s="1837"/>
    </row>
    <row r="3096" spans="1:24" ht="24" customHeight="1">
      <c r="A3096" s="1933">
        <v>2.7</v>
      </c>
      <c r="B3096" s="1908" t="s">
        <v>762</v>
      </c>
      <c r="C3096" s="1840"/>
      <c r="D3096" s="1915"/>
      <c r="E3096" s="1842"/>
      <c r="F3096" s="1842"/>
      <c r="G3096" s="1843"/>
      <c r="H3096" s="1844"/>
      <c r="I3096" s="1845"/>
      <c r="J3096" s="1846"/>
      <c r="K3096" s="1843"/>
      <c r="L3096" s="1847"/>
      <c r="M3096" s="1809"/>
      <c r="N3096" s="1837"/>
      <c r="O3096" s="1837"/>
      <c r="P3096" s="1837"/>
      <c r="Q3096" s="1837"/>
      <c r="R3096" s="1837"/>
      <c r="S3096" s="1837"/>
      <c r="T3096" s="1837"/>
      <c r="U3096" s="1837"/>
      <c r="V3096" s="1837"/>
      <c r="W3096" s="1837"/>
      <c r="X3096" s="1837"/>
    </row>
    <row r="3097" spans="1:24" ht="24" customHeight="1">
      <c r="A3097" s="2108"/>
      <c r="B3097" s="2109"/>
      <c r="C3097" s="1850" t="s">
        <v>763</v>
      </c>
      <c r="D3097" s="1906"/>
      <c r="E3097" s="1852">
        <v>0</v>
      </c>
      <c r="F3097" s="2110" t="s">
        <v>425</v>
      </c>
      <c r="G3097" s="1853">
        <v>0</v>
      </c>
      <c r="H3097" s="2074">
        <f t="shared" ref="H3097" si="1423">G3097*E3097</f>
        <v>0</v>
      </c>
      <c r="I3097" s="1855">
        <v>0</v>
      </c>
      <c r="J3097" s="2073">
        <f t="shared" ref="J3097" si="1424">I3097*E3097</f>
        <v>0</v>
      </c>
      <c r="K3097" s="2075">
        <f t="shared" ref="K3097" si="1425">H3097+J3097</f>
        <v>0</v>
      </c>
      <c r="L3097" s="1858"/>
      <c r="M3097" s="1809"/>
      <c r="N3097" s="1837"/>
      <c r="O3097" s="1837"/>
      <c r="P3097" s="1837"/>
      <c r="Q3097" s="1837"/>
      <c r="R3097" s="1837"/>
      <c r="S3097" s="1837"/>
      <c r="T3097" s="1837"/>
      <c r="U3097" s="1837"/>
      <c r="V3097" s="1837"/>
      <c r="W3097" s="1837"/>
      <c r="X3097" s="1837"/>
    </row>
    <row r="3098" spans="1:24" ht="24" customHeight="1">
      <c r="A3098" s="2108"/>
      <c r="B3098" s="2109"/>
      <c r="C3098" s="1850"/>
      <c r="D3098" s="1906"/>
      <c r="E3098" s="1852"/>
      <c r="F3098" s="2110"/>
      <c r="G3098" s="1853"/>
      <c r="H3098" s="2074"/>
      <c r="I3098" s="1855"/>
      <c r="J3098" s="2073"/>
      <c r="K3098" s="1853"/>
      <c r="L3098" s="1858"/>
      <c r="M3098" s="1809"/>
      <c r="N3098" s="1837"/>
      <c r="O3098" s="1837"/>
      <c r="P3098" s="1837"/>
      <c r="Q3098" s="1837"/>
      <c r="R3098" s="1837"/>
      <c r="S3098" s="1837"/>
      <c r="T3098" s="1837"/>
      <c r="U3098" s="1837"/>
      <c r="V3098" s="1837"/>
      <c r="W3098" s="1837"/>
      <c r="X3098" s="1837"/>
    </row>
    <row r="3099" spans="1:24" ht="24" customHeight="1">
      <c r="A3099" s="2108"/>
      <c r="B3099" s="2109"/>
      <c r="C3099" s="1850"/>
      <c r="D3099" s="1906"/>
      <c r="E3099" s="1852"/>
      <c r="F3099" s="2110"/>
      <c r="G3099" s="1853"/>
      <c r="H3099" s="2074"/>
      <c r="I3099" s="1855"/>
      <c r="J3099" s="2073"/>
      <c r="K3099" s="1853"/>
      <c r="L3099" s="1858"/>
      <c r="M3099" s="1809"/>
      <c r="N3099" s="1837"/>
      <c r="O3099" s="1837"/>
      <c r="P3099" s="1837"/>
      <c r="Q3099" s="1837"/>
      <c r="R3099" s="1837"/>
      <c r="S3099" s="1837"/>
      <c r="T3099" s="1837"/>
      <c r="U3099" s="1837"/>
      <c r="V3099" s="1837"/>
      <c r="W3099" s="1837"/>
      <c r="X3099" s="1837"/>
    </row>
    <row r="3100" spans="1:24" ht="24" customHeight="1">
      <c r="A3100" s="2108"/>
      <c r="B3100" s="2109"/>
      <c r="C3100" s="1850"/>
      <c r="D3100" s="1906"/>
      <c r="E3100" s="1852"/>
      <c r="F3100" s="2110"/>
      <c r="G3100" s="1853"/>
      <c r="H3100" s="2074"/>
      <c r="I3100" s="1855"/>
      <c r="J3100" s="2073"/>
      <c r="K3100" s="1853"/>
      <c r="L3100" s="1858"/>
      <c r="M3100" s="1809"/>
      <c r="N3100" s="1837"/>
      <c r="O3100" s="1837"/>
      <c r="P3100" s="1837"/>
      <c r="Q3100" s="1837"/>
      <c r="R3100" s="1837"/>
      <c r="S3100" s="1837"/>
      <c r="T3100" s="1837"/>
      <c r="U3100" s="1837"/>
      <c r="V3100" s="1837"/>
      <c r="W3100" s="1837"/>
      <c r="X3100" s="1837"/>
    </row>
    <row r="3101" spans="1:24" ht="24" customHeight="1">
      <c r="A3101" s="2108"/>
      <c r="B3101" s="2109"/>
      <c r="C3101" s="1850"/>
      <c r="D3101" s="1906"/>
      <c r="E3101" s="1852"/>
      <c r="F3101" s="2110"/>
      <c r="G3101" s="1853"/>
      <c r="H3101" s="2074"/>
      <c r="I3101" s="1855"/>
      <c r="J3101" s="2073"/>
      <c r="K3101" s="1853"/>
      <c r="L3101" s="1858"/>
      <c r="M3101" s="1809"/>
      <c r="N3101" s="1837"/>
      <c r="O3101" s="1837"/>
      <c r="P3101" s="1837"/>
      <c r="Q3101" s="1837"/>
      <c r="R3101" s="1837"/>
      <c r="S3101" s="1837"/>
      <c r="T3101" s="1837"/>
      <c r="U3101" s="1837"/>
      <c r="V3101" s="1837"/>
      <c r="W3101" s="1837"/>
      <c r="X3101" s="1837"/>
    </row>
    <row r="3102" spans="1:24" ht="24" customHeight="1">
      <c r="A3102" s="2108"/>
      <c r="B3102" s="2109"/>
      <c r="C3102" s="1850"/>
      <c r="D3102" s="1906"/>
      <c r="E3102" s="1852"/>
      <c r="F3102" s="2110"/>
      <c r="G3102" s="1853"/>
      <c r="H3102" s="2074"/>
      <c r="I3102" s="1855"/>
      <c r="J3102" s="2073"/>
      <c r="K3102" s="1853"/>
      <c r="L3102" s="1858"/>
      <c r="M3102" s="1809"/>
      <c r="N3102" s="1837"/>
      <c r="O3102" s="1837"/>
      <c r="P3102" s="1837"/>
      <c r="Q3102" s="1837"/>
      <c r="R3102" s="1837"/>
      <c r="S3102" s="1837"/>
      <c r="T3102" s="1837"/>
      <c r="U3102" s="1837"/>
      <c r="V3102" s="1837"/>
      <c r="W3102" s="1837"/>
      <c r="X3102" s="1837"/>
    </row>
    <row r="3103" spans="1:24" ht="24" customHeight="1">
      <c r="A3103" s="2108"/>
      <c r="B3103" s="2109"/>
      <c r="C3103" s="1850"/>
      <c r="D3103" s="1906"/>
      <c r="E3103" s="1852"/>
      <c r="F3103" s="2110"/>
      <c r="G3103" s="1853"/>
      <c r="H3103" s="2074"/>
      <c r="I3103" s="1855"/>
      <c r="J3103" s="2073"/>
      <c r="K3103" s="1853"/>
      <c r="L3103" s="1858"/>
      <c r="M3103" s="1809"/>
      <c r="N3103" s="1837"/>
      <c r="O3103" s="1837"/>
      <c r="P3103" s="1837"/>
      <c r="Q3103" s="1837"/>
      <c r="R3103" s="1837"/>
      <c r="S3103" s="1837"/>
      <c r="T3103" s="1837"/>
      <c r="U3103" s="1837"/>
      <c r="V3103" s="1837"/>
      <c r="W3103" s="1837"/>
      <c r="X3103" s="1837"/>
    </row>
    <row r="3104" spans="1:24" ht="24" customHeight="1">
      <c r="A3104" s="2108"/>
      <c r="B3104" s="2109"/>
      <c r="C3104" s="1850"/>
      <c r="D3104" s="1906"/>
      <c r="E3104" s="1852"/>
      <c r="F3104" s="2110"/>
      <c r="G3104" s="1853"/>
      <c r="H3104" s="2074"/>
      <c r="I3104" s="1855"/>
      <c r="J3104" s="2073"/>
      <c r="K3104" s="1853"/>
      <c r="L3104" s="1858"/>
      <c r="M3104" s="1809"/>
      <c r="N3104" s="1837"/>
      <c r="O3104" s="1837"/>
      <c r="P3104" s="1837"/>
      <c r="Q3104" s="1837"/>
      <c r="R3104" s="1837"/>
      <c r="S3104" s="1837"/>
      <c r="T3104" s="1837"/>
      <c r="U3104" s="1837"/>
      <c r="V3104" s="1837"/>
      <c r="W3104" s="1837"/>
      <c r="X3104" s="1837"/>
    </row>
    <row r="3105" spans="1:26" ht="24" customHeight="1">
      <c r="A3105" s="2108"/>
      <c r="B3105" s="2109"/>
      <c r="C3105" s="1850"/>
      <c r="D3105" s="1906"/>
      <c r="E3105" s="1852"/>
      <c r="F3105" s="2110"/>
      <c r="G3105" s="1853"/>
      <c r="H3105" s="2074"/>
      <c r="I3105" s="1855"/>
      <c r="J3105" s="2073"/>
      <c r="K3105" s="1853"/>
      <c r="L3105" s="1858"/>
      <c r="M3105" s="1809"/>
      <c r="N3105" s="1837"/>
      <c r="O3105" s="1837"/>
      <c r="P3105" s="1837"/>
      <c r="Q3105" s="1837"/>
      <c r="R3105" s="1837"/>
      <c r="S3105" s="1837"/>
      <c r="T3105" s="1837"/>
      <c r="U3105" s="1837"/>
      <c r="V3105" s="1837"/>
      <c r="W3105" s="1837"/>
      <c r="X3105" s="1837"/>
    </row>
    <row r="3106" spans="1:26" ht="24" customHeight="1">
      <c r="A3106" s="2108"/>
      <c r="B3106" s="2109"/>
      <c r="C3106" s="1850"/>
      <c r="D3106" s="1906"/>
      <c r="E3106" s="1852"/>
      <c r="F3106" s="2110"/>
      <c r="G3106" s="1853"/>
      <c r="H3106" s="2074"/>
      <c r="I3106" s="1855"/>
      <c r="J3106" s="2073"/>
      <c r="K3106" s="1853"/>
      <c r="L3106" s="1858"/>
      <c r="M3106" s="1809"/>
      <c r="N3106" s="1837"/>
      <c r="O3106" s="1837"/>
      <c r="P3106" s="1837"/>
      <c r="Q3106" s="1837"/>
      <c r="R3106" s="1837"/>
      <c r="S3106" s="1837"/>
      <c r="T3106" s="1837"/>
      <c r="U3106" s="1837"/>
      <c r="V3106" s="1837"/>
      <c r="W3106" s="1837"/>
      <c r="X3106" s="1837"/>
    </row>
    <row r="3107" spans="1:26" ht="24" customHeight="1">
      <c r="A3107" s="2108"/>
      <c r="B3107" s="2109"/>
      <c r="C3107" s="1850"/>
      <c r="D3107" s="1906"/>
      <c r="E3107" s="1852"/>
      <c r="F3107" s="1806"/>
      <c r="G3107" s="1853"/>
      <c r="H3107" s="1854"/>
      <c r="I3107" s="1855"/>
      <c r="J3107" s="1856"/>
      <c r="K3107" s="1857"/>
      <c r="L3107" s="1858"/>
      <c r="M3107" s="1809"/>
      <c r="N3107" s="1837"/>
      <c r="O3107" s="1837"/>
      <c r="P3107" s="1837"/>
      <c r="Q3107" s="1837"/>
      <c r="R3107" s="1837"/>
      <c r="S3107" s="1837"/>
      <c r="T3107" s="1837"/>
      <c r="U3107" s="1837"/>
      <c r="V3107" s="1837"/>
      <c r="W3107" s="1837"/>
      <c r="X3107" s="1837"/>
    </row>
    <row r="3108" spans="1:26" ht="24" customHeight="1">
      <c r="A3108" s="1973"/>
      <c r="B3108" s="2449" t="str">
        <f>"รวมราคารายการที่ "&amp;A3096</f>
        <v>รวมราคารายการที่ 2.7</v>
      </c>
      <c r="C3108" s="2449"/>
      <c r="D3108" s="2449"/>
      <c r="E3108" s="1974"/>
      <c r="F3108" s="1932"/>
      <c r="G3108" s="1975"/>
      <c r="H3108" s="1976">
        <f>SUBTOTAL(9,H3096:H3107)</f>
        <v>0</v>
      </c>
      <c r="I3108" s="1930"/>
      <c r="J3108" s="2039">
        <f>SUBTOTAL(9,J3096:J3107)</f>
        <v>0</v>
      </c>
      <c r="K3108" s="1932">
        <f>SUBTOTAL(9,K3096:K3107)</f>
        <v>0</v>
      </c>
      <c r="L3108" s="1932"/>
      <c r="M3108" s="1990"/>
      <c r="N3108" s="1837"/>
      <c r="O3108" s="1837"/>
      <c r="P3108" s="1837"/>
      <c r="Q3108" s="1837"/>
      <c r="R3108" s="1837"/>
      <c r="S3108" s="1837"/>
      <c r="T3108" s="1837"/>
      <c r="U3108" s="1837"/>
      <c r="V3108" s="1837"/>
      <c r="W3108" s="1837"/>
      <c r="X3108" s="1837"/>
    </row>
    <row r="3109" spans="1:26" ht="24" customHeight="1">
      <c r="A3109" s="1933">
        <v>2.8</v>
      </c>
      <c r="B3109" s="1908" t="s">
        <v>764</v>
      </c>
      <c r="C3109" s="1840"/>
      <c r="D3109" s="1915"/>
      <c r="E3109" s="1842"/>
      <c r="F3109" s="1842"/>
      <c r="G3109" s="1843"/>
      <c r="H3109" s="1844"/>
      <c r="I3109" s="1845"/>
      <c r="J3109" s="1846"/>
      <c r="K3109" s="1843"/>
      <c r="L3109" s="1847"/>
      <c r="M3109" s="1809"/>
      <c r="N3109" s="1837"/>
      <c r="O3109" s="1837"/>
      <c r="P3109" s="1837"/>
      <c r="Q3109" s="1837"/>
      <c r="R3109" s="1837"/>
      <c r="S3109" s="1837"/>
      <c r="T3109" s="1837"/>
      <c r="U3109" s="1837"/>
      <c r="V3109" s="1837"/>
      <c r="W3109" s="1837"/>
      <c r="X3109" s="1837"/>
    </row>
    <row r="3110" spans="1:26" ht="24" customHeight="1">
      <c r="A3110" s="1782" t="s">
        <v>765</v>
      </c>
      <c r="B3110" s="2041" t="s">
        <v>766</v>
      </c>
      <c r="C3110" s="1840"/>
      <c r="D3110" s="1906"/>
      <c r="E3110" s="2075"/>
      <c r="F3110" s="2073"/>
      <c r="G3110" s="1853"/>
      <c r="H3110" s="2074"/>
      <c r="I3110" s="1855"/>
      <c r="J3110" s="2073"/>
      <c r="K3110" s="2075"/>
      <c r="L3110" s="1858"/>
      <c r="M3110" s="1809"/>
      <c r="N3110" s="1837"/>
      <c r="O3110" s="2111"/>
      <c r="P3110" s="2112"/>
      <c r="Q3110" s="2112"/>
      <c r="R3110" s="2113"/>
      <c r="S3110" s="2114"/>
      <c r="T3110" s="2114"/>
      <c r="U3110" s="2117"/>
      <c r="V3110" s="2115"/>
      <c r="W3110" s="2116"/>
      <c r="X3110" s="2117"/>
      <c r="Y3110" s="2114"/>
      <c r="Z3110" s="2118"/>
    </row>
    <row r="3111" spans="1:26">
      <c r="A3111" s="2119"/>
      <c r="B3111" s="2078" t="s">
        <v>767</v>
      </c>
      <c r="C3111" s="1755" t="s">
        <v>768</v>
      </c>
      <c r="D3111" s="2120"/>
      <c r="E3111" s="2302">
        <v>860</v>
      </c>
      <c r="F3111" s="1806" t="s">
        <v>616</v>
      </c>
      <c r="G3111" s="2121">
        <v>420</v>
      </c>
      <c r="H3111" s="2122">
        <f t="shared" ref="H3111:H3113" si="1426">+E3111*G3111</f>
        <v>361200</v>
      </c>
      <c r="I3111" s="2123">
        <v>100</v>
      </c>
      <c r="J3111" s="2122">
        <f t="shared" ref="J3111:J3113" si="1427">+E3111*I3111</f>
        <v>86000</v>
      </c>
      <c r="K3111" s="2124">
        <f t="shared" ref="K3111:K3113" si="1428">+H3111+J3111</f>
        <v>447200</v>
      </c>
      <c r="L3111" s="1865"/>
      <c r="M3111" s="1866"/>
    </row>
    <row r="3112" spans="1:26">
      <c r="A3112" s="2119"/>
      <c r="B3112" s="2125" t="s">
        <v>769</v>
      </c>
      <c r="C3112" s="1755" t="s">
        <v>770</v>
      </c>
      <c r="D3112" s="2120"/>
      <c r="E3112" s="2302">
        <v>860</v>
      </c>
      <c r="F3112" s="1806" t="s">
        <v>616</v>
      </c>
      <c r="G3112" s="2126">
        <v>79</v>
      </c>
      <c r="H3112" s="2122">
        <f t="shared" si="1426"/>
        <v>67940</v>
      </c>
      <c r="I3112" s="1944">
        <v>40</v>
      </c>
      <c r="J3112" s="2122">
        <f t="shared" si="1427"/>
        <v>34400</v>
      </c>
      <c r="K3112" s="2124">
        <f t="shared" si="1428"/>
        <v>102340</v>
      </c>
      <c r="L3112" s="1984" t="s">
        <v>2877</v>
      </c>
      <c r="M3112" s="1866"/>
    </row>
    <row r="3113" spans="1:26">
      <c r="A3113" s="2119"/>
      <c r="B3113" s="2125" t="s">
        <v>771</v>
      </c>
      <c r="C3113" s="1755"/>
      <c r="D3113" s="2120"/>
      <c r="E3113" s="2302">
        <v>200</v>
      </c>
      <c r="F3113" s="1806" t="s">
        <v>616</v>
      </c>
      <c r="G3113" s="2318">
        <v>2090</v>
      </c>
      <c r="H3113" s="2319">
        <f t="shared" si="1426"/>
        <v>418000</v>
      </c>
      <c r="I3113" s="2320">
        <v>620</v>
      </c>
      <c r="J3113" s="2319">
        <f t="shared" si="1427"/>
        <v>124000</v>
      </c>
      <c r="K3113" s="2321">
        <f t="shared" si="1428"/>
        <v>542000</v>
      </c>
      <c r="L3113" s="1865"/>
      <c r="M3113" s="1866"/>
    </row>
    <row r="3114" spans="1:26">
      <c r="A3114" s="2119"/>
      <c r="B3114" s="2125" t="s">
        <v>425</v>
      </c>
      <c r="C3114" s="1755" t="s">
        <v>772</v>
      </c>
      <c r="D3114" s="2120"/>
      <c r="E3114" s="2302"/>
      <c r="F3114" s="1806"/>
      <c r="G3114" s="2318"/>
      <c r="H3114" s="2319"/>
      <c r="I3114" s="2320"/>
      <c r="J3114" s="2319"/>
      <c r="K3114" s="2321"/>
      <c r="L3114" s="1865"/>
      <c r="M3114" s="1866"/>
    </row>
    <row r="3115" spans="1:26">
      <c r="A3115" s="2119"/>
      <c r="B3115" s="2125" t="s">
        <v>425</v>
      </c>
      <c r="C3115" s="1755" t="s">
        <v>773</v>
      </c>
      <c r="D3115" s="2120"/>
      <c r="E3115" s="2302"/>
      <c r="F3115" s="1806"/>
      <c r="G3115" s="2318"/>
      <c r="H3115" s="2319"/>
      <c r="I3115" s="2320"/>
      <c r="J3115" s="2319"/>
      <c r="K3115" s="2321"/>
      <c r="L3115" s="1865"/>
      <c r="M3115" s="1866"/>
    </row>
    <row r="3116" spans="1:26">
      <c r="A3116" s="2119"/>
      <c r="B3116" s="1756"/>
      <c r="C3116" s="1755"/>
      <c r="D3116" s="1755"/>
      <c r="E3116" s="2302"/>
      <c r="F3116" s="1806"/>
      <c r="G3116" s="2318"/>
      <c r="H3116" s="2322"/>
      <c r="I3116" s="2320"/>
      <c r="J3116" s="2322"/>
      <c r="K3116" s="2321"/>
      <c r="L3116" s="1865"/>
      <c r="M3116" s="1866"/>
    </row>
    <row r="3117" spans="1:26">
      <c r="A3117" s="1901"/>
      <c r="B3117" s="1756" t="s">
        <v>480</v>
      </c>
      <c r="C3117" s="1867" t="s">
        <v>2850</v>
      </c>
      <c r="D3117" s="1859"/>
      <c r="E3117" s="1860">
        <v>520</v>
      </c>
      <c r="F3117" s="1806" t="s">
        <v>37</v>
      </c>
      <c r="G3117" s="1938">
        <v>281</v>
      </c>
      <c r="H3117" s="1947">
        <f>SUM(E3117*G3117)</f>
        <v>146120</v>
      </c>
      <c r="I3117" s="1938">
        <v>80</v>
      </c>
      <c r="J3117" s="1939">
        <f>E3117*I3117</f>
        <v>41600</v>
      </c>
      <c r="K3117" s="1864">
        <f>H3117+J3117</f>
        <v>187720</v>
      </c>
      <c r="L3117" s="1940"/>
      <c r="M3117" s="1941"/>
    </row>
    <row r="3118" spans="1:26">
      <c r="A3118" s="1901"/>
      <c r="B3118" s="1755"/>
      <c r="C3118" s="1867" t="s">
        <v>476</v>
      </c>
      <c r="D3118" s="1868"/>
      <c r="E3118" s="1942">
        <f>E3117*2</f>
        <v>1040</v>
      </c>
      <c r="F3118" s="1806" t="s">
        <v>37</v>
      </c>
      <c r="G3118" s="1938">
        <v>88</v>
      </c>
      <c r="H3118" s="1947">
        <f t="shared" ref="H3118:H3119" si="1429">SUM(E3118*G3118)</f>
        <v>91520</v>
      </c>
      <c r="I3118" s="1938">
        <v>82</v>
      </c>
      <c r="J3118" s="1939">
        <f t="shared" ref="J3118:J3119" si="1430">E3118*I3118</f>
        <v>85280</v>
      </c>
      <c r="K3118" s="1864">
        <f t="shared" ref="K3118:K3119" si="1431">H3118+J3118</f>
        <v>176800</v>
      </c>
      <c r="L3118" s="1940" t="s">
        <v>2880</v>
      </c>
      <c r="M3118" s="1941"/>
    </row>
    <row r="3119" spans="1:26">
      <c r="A3119" s="1901"/>
      <c r="B3119" s="1755"/>
      <c r="C3119" s="1867" t="s">
        <v>481</v>
      </c>
      <c r="D3119" s="1868"/>
      <c r="E3119" s="1942">
        <f>E3118</f>
        <v>1040</v>
      </c>
      <c r="F3119" s="1806" t="s">
        <v>37</v>
      </c>
      <c r="G3119" s="2298">
        <v>69</v>
      </c>
      <c r="H3119" s="1947">
        <f t="shared" si="1429"/>
        <v>71760</v>
      </c>
      <c r="I3119" s="2298">
        <v>28</v>
      </c>
      <c r="J3119" s="1939">
        <f t="shared" si="1430"/>
        <v>29120</v>
      </c>
      <c r="K3119" s="1864">
        <f t="shared" si="1431"/>
        <v>100880</v>
      </c>
      <c r="L3119" s="2299"/>
      <c r="M3119" s="2300"/>
    </row>
    <row r="3120" spans="1:26">
      <c r="A3120" s="1782"/>
      <c r="B3120" s="1895" t="s">
        <v>774</v>
      </c>
      <c r="C3120" s="1895"/>
      <c r="D3120" s="1895"/>
      <c r="E3120" s="1942"/>
      <c r="F3120" s="1801"/>
      <c r="G3120" s="2323"/>
      <c r="H3120" s="2127"/>
      <c r="I3120" s="2324"/>
      <c r="J3120" s="1939"/>
      <c r="K3120" s="1943"/>
      <c r="L3120" s="2325"/>
      <c r="M3120" s="2300"/>
    </row>
    <row r="3121" spans="1:26">
      <c r="A3121" s="1782"/>
      <c r="B3121" s="1895"/>
      <c r="C3121" s="1895"/>
      <c r="D3121" s="1895"/>
      <c r="E3121" s="1942"/>
      <c r="F3121" s="1801"/>
      <c r="G3121" s="2323"/>
      <c r="H3121" s="2127"/>
      <c r="I3121" s="2324"/>
      <c r="J3121" s="1939"/>
      <c r="K3121" s="1943"/>
      <c r="L3121" s="2325"/>
      <c r="M3121" s="2300"/>
    </row>
    <row r="3122" spans="1:26">
      <c r="A3122" s="1782"/>
      <c r="B3122" s="1895"/>
      <c r="C3122" s="1895"/>
      <c r="D3122" s="1895"/>
      <c r="E3122" s="1942"/>
      <c r="F3122" s="1801"/>
      <c r="G3122" s="2323"/>
      <c r="H3122" s="2127"/>
      <c r="I3122" s="2324"/>
      <c r="J3122" s="1939"/>
      <c r="K3122" s="1943"/>
      <c r="L3122" s="2325"/>
      <c r="M3122" s="2300"/>
    </row>
    <row r="3123" spans="1:26" ht="24" customHeight="1">
      <c r="A3123" s="1782" t="s">
        <v>775</v>
      </c>
      <c r="B3123" s="2041" t="s">
        <v>776</v>
      </c>
      <c r="C3123" s="1840"/>
      <c r="D3123" s="1909"/>
      <c r="E3123" s="2075"/>
      <c r="F3123" s="2073"/>
      <c r="G3123" s="2289"/>
      <c r="H3123" s="2290"/>
      <c r="I3123" s="2291"/>
      <c r="J3123" s="2073"/>
      <c r="K3123" s="1853"/>
      <c r="L3123" s="1847"/>
      <c r="M3123" s="1809"/>
      <c r="N3123" s="1837"/>
      <c r="O3123" s="1837"/>
      <c r="P3123" s="1837"/>
      <c r="Q3123" s="1837"/>
      <c r="R3123" s="1837"/>
      <c r="S3123" s="1837"/>
      <c r="T3123" s="1837"/>
      <c r="U3123" s="1837"/>
      <c r="V3123" s="1837"/>
      <c r="W3123" s="1797"/>
      <c r="X3123" s="1837"/>
      <c r="Y3123" s="1797"/>
      <c r="Z3123" s="1797"/>
    </row>
    <row r="3124" spans="1:26" ht="22.15" customHeight="1">
      <c r="A3124" s="1901"/>
      <c r="B3124" s="2128" t="s">
        <v>420</v>
      </c>
      <c r="C3124" s="2070" t="s">
        <v>777</v>
      </c>
      <c r="D3124" s="2071"/>
      <c r="E3124" s="1942">
        <v>922</v>
      </c>
      <c r="F3124" s="1806" t="s">
        <v>616</v>
      </c>
      <c r="G3124" s="2289">
        <v>583</v>
      </c>
      <c r="H3124" s="2290">
        <f t="shared" ref="H3124:H3125" si="1432">SUM(E3124*G3124)</f>
        <v>537526</v>
      </c>
      <c r="I3124" s="2291">
        <v>298</v>
      </c>
      <c r="J3124" s="2122">
        <f t="shared" ref="J3124:J3127" si="1433">+E3124*I3124</f>
        <v>274756</v>
      </c>
      <c r="K3124" s="2124">
        <f t="shared" ref="K3124:K3127" si="1434">+H3124+J3124</f>
        <v>812282</v>
      </c>
      <c r="L3124" s="1847"/>
      <c r="M3124" s="1809"/>
      <c r="O3124" s="1837"/>
      <c r="P3124" s="1837"/>
      <c r="Q3124" s="1837"/>
      <c r="R3124" s="1837"/>
      <c r="S3124" s="1837"/>
      <c r="T3124" s="1837"/>
      <c r="U3124" s="2129"/>
      <c r="V3124" s="1837"/>
      <c r="W3124" s="2129"/>
      <c r="X3124" s="2129"/>
      <c r="Y3124" s="2129"/>
    </row>
    <row r="3125" spans="1:26">
      <c r="A3125" s="2119"/>
      <c r="B3125" s="2128" t="s">
        <v>420</v>
      </c>
      <c r="C3125" s="1755" t="s">
        <v>778</v>
      </c>
      <c r="D3125" s="2120"/>
      <c r="E3125" s="1942">
        <v>340</v>
      </c>
      <c r="F3125" s="1806" t="s">
        <v>779</v>
      </c>
      <c r="G3125" s="2289">
        <v>583</v>
      </c>
      <c r="H3125" s="2290">
        <f t="shared" si="1432"/>
        <v>198220</v>
      </c>
      <c r="I3125" s="2291">
        <v>298</v>
      </c>
      <c r="J3125" s="1861">
        <f t="shared" si="1433"/>
        <v>101320</v>
      </c>
      <c r="K3125" s="1862">
        <f t="shared" si="1434"/>
        <v>299540</v>
      </c>
      <c r="L3125" s="1847"/>
      <c r="M3125" s="1809"/>
    </row>
    <row r="3126" spans="1:26" ht="22.15" customHeight="1">
      <c r="A3126" s="1901"/>
      <c r="B3126" s="1756" t="s">
        <v>769</v>
      </c>
      <c r="C3126" s="1755" t="s">
        <v>770</v>
      </c>
      <c r="D3126" s="2071"/>
      <c r="E3126" s="1942">
        <v>922</v>
      </c>
      <c r="F3126" s="1806" t="s">
        <v>616</v>
      </c>
      <c r="G3126" s="2126">
        <v>79</v>
      </c>
      <c r="H3126" s="2122">
        <f t="shared" ref="H3126:H3127" si="1435">+E3126*G3126</f>
        <v>72838</v>
      </c>
      <c r="I3126" s="1944">
        <v>40</v>
      </c>
      <c r="J3126" s="2122">
        <f t="shared" si="1433"/>
        <v>36880</v>
      </c>
      <c r="K3126" s="2124">
        <f t="shared" si="1434"/>
        <v>109718</v>
      </c>
      <c r="L3126" s="1984" t="s">
        <v>2877</v>
      </c>
      <c r="M3126" s="1809"/>
      <c r="O3126" s="1863"/>
      <c r="P3126" s="2077"/>
      <c r="Q3126" s="2077"/>
    </row>
    <row r="3127" spans="1:26">
      <c r="A3127" s="1901"/>
      <c r="B3127" s="1807" t="s">
        <v>780</v>
      </c>
      <c r="C3127" s="1755"/>
      <c r="D3127" s="2120"/>
      <c r="E3127" s="2302">
        <v>980</v>
      </c>
      <c r="F3127" s="1806" t="s">
        <v>616</v>
      </c>
      <c r="G3127" s="2318">
        <v>2090</v>
      </c>
      <c r="H3127" s="2319">
        <f t="shared" si="1435"/>
        <v>2048200</v>
      </c>
      <c r="I3127" s="2320">
        <v>620</v>
      </c>
      <c r="J3127" s="2319">
        <f t="shared" si="1433"/>
        <v>607600</v>
      </c>
      <c r="K3127" s="2321">
        <f t="shared" si="1434"/>
        <v>2655800</v>
      </c>
      <c r="L3127" s="1865"/>
      <c r="M3127" s="1866"/>
    </row>
    <row r="3128" spans="1:26">
      <c r="A3128" s="1901"/>
      <c r="B3128" s="1756" t="s">
        <v>425</v>
      </c>
      <c r="C3128" s="1755" t="s">
        <v>772</v>
      </c>
      <c r="D3128" s="2120"/>
      <c r="E3128" s="2302"/>
      <c r="F3128" s="1806"/>
      <c r="G3128" s="2318"/>
      <c r="H3128" s="2319"/>
      <c r="I3128" s="2320"/>
      <c r="J3128" s="2319"/>
      <c r="K3128" s="2321"/>
      <c r="L3128" s="1865"/>
      <c r="M3128" s="1866"/>
    </row>
    <row r="3129" spans="1:26">
      <c r="A3129" s="1901"/>
      <c r="B3129" s="1756" t="s">
        <v>425</v>
      </c>
      <c r="C3129" s="1755" t="s">
        <v>773</v>
      </c>
      <c r="D3129" s="2120"/>
      <c r="E3129" s="2302"/>
      <c r="F3129" s="1806"/>
      <c r="G3129" s="2318"/>
      <c r="H3129" s="2319"/>
      <c r="I3129" s="2320"/>
      <c r="J3129" s="2319"/>
      <c r="K3129" s="2321"/>
      <c r="L3129" s="1865"/>
      <c r="M3129" s="1866"/>
    </row>
    <row r="3130" spans="1:26">
      <c r="A3130" s="1901"/>
      <c r="B3130" s="2125" t="s">
        <v>781</v>
      </c>
      <c r="C3130" s="2070" t="s">
        <v>782</v>
      </c>
      <c r="D3130" s="1755"/>
      <c r="E3130" s="2302">
        <v>270</v>
      </c>
      <c r="F3130" s="1806" t="s">
        <v>616</v>
      </c>
      <c r="G3130" s="2318">
        <v>2500</v>
      </c>
      <c r="H3130" s="2319">
        <f t="shared" ref="H3130" si="1436">+E3130*G3130</f>
        <v>675000</v>
      </c>
      <c r="I3130" s="2320">
        <v>750</v>
      </c>
      <c r="J3130" s="2319">
        <f t="shared" ref="J3130" si="1437">+E3130*I3130</f>
        <v>202500</v>
      </c>
      <c r="K3130" s="2321">
        <f t="shared" ref="K3130" si="1438">+H3130+J3130</f>
        <v>877500</v>
      </c>
      <c r="L3130" s="2130"/>
      <c r="M3130" s="1866"/>
    </row>
    <row r="3131" spans="1:26" ht="22.15" customHeight="1">
      <c r="A3131" s="1901"/>
      <c r="B3131" s="2128" t="s">
        <v>425</v>
      </c>
      <c r="C3131" s="2070" t="s">
        <v>783</v>
      </c>
      <c r="D3131" s="2071"/>
      <c r="E3131" s="2075"/>
      <c r="F3131" s="1806"/>
      <c r="G3131" s="2126"/>
      <c r="H3131" s="2122"/>
      <c r="I3131" s="1944"/>
      <c r="J3131" s="2122"/>
      <c r="K3131" s="2124"/>
      <c r="L3131" s="1847"/>
      <c r="M3131" s="1809"/>
      <c r="O3131" s="1863"/>
      <c r="P3131" s="2077"/>
      <c r="Q3131" s="2077"/>
    </row>
    <row r="3132" spans="1:26">
      <c r="A3132" s="1901"/>
      <c r="B3132" s="1756" t="s">
        <v>480</v>
      </c>
      <c r="C3132" s="1867" t="s">
        <v>784</v>
      </c>
      <c r="D3132" s="1859"/>
      <c r="E3132" s="1860">
        <v>281</v>
      </c>
      <c r="F3132" s="1806" t="s">
        <v>37</v>
      </c>
      <c r="G3132" s="1938">
        <v>281</v>
      </c>
      <c r="H3132" s="1947">
        <f>SUM(E3132*G3132)</f>
        <v>78961</v>
      </c>
      <c r="I3132" s="1938">
        <v>80</v>
      </c>
      <c r="J3132" s="1939">
        <f>E3132*I3132</f>
        <v>22480</v>
      </c>
      <c r="K3132" s="1864">
        <f>H3132+J3132</f>
        <v>101441</v>
      </c>
      <c r="L3132" s="1940"/>
      <c r="M3132" s="1941"/>
    </row>
    <row r="3133" spans="1:26">
      <c r="A3133" s="1901"/>
      <c r="B3133" s="1755"/>
      <c r="C3133" s="1867" t="s">
        <v>476</v>
      </c>
      <c r="D3133" s="1868"/>
      <c r="E3133" s="1942">
        <f>E3132*2</f>
        <v>562</v>
      </c>
      <c r="F3133" s="1806" t="s">
        <v>37</v>
      </c>
      <c r="G3133" s="1938">
        <v>88</v>
      </c>
      <c r="H3133" s="1947">
        <f t="shared" ref="H3133:H3134" si="1439">SUM(E3133*G3133)</f>
        <v>49456</v>
      </c>
      <c r="I3133" s="1938">
        <v>82</v>
      </c>
      <c r="J3133" s="1939">
        <f t="shared" ref="J3133:J3134" si="1440">E3133*I3133</f>
        <v>46084</v>
      </c>
      <c r="K3133" s="1864">
        <f t="shared" ref="K3133:K3134" si="1441">H3133+J3133</f>
        <v>95540</v>
      </c>
      <c r="L3133" s="1940" t="s">
        <v>2880</v>
      </c>
      <c r="M3133" s="1941"/>
    </row>
    <row r="3134" spans="1:26">
      <c r="A3134" s="1901"/>
      <c r="B3134" s="1755"/>
      <c r="C3134" s="1867" t="s">
        <v>481</v>
      </c>
      <c r="D3134" s="1868"/>
      <c r="E3134" s="1942">
        <f>E3133</f>
        <v>562</v>
      </c>
      <c r="F3134" s="1806" t="s">
        <v>37</v>
      </c>
      <c r="G3134" s="2298">
        <v>69</v>
      </c>
      <c r="H3134" s="1947">
        <f t="shared" si="1439"/>
        <v>38778</v>
      </c>
      <c r="I3134" s="2298">
        <v>28</v>
      </c>
      <c r="J3134" s="1939">
        <f t="shared" si="1440"/>
        <v>15736</v>
      </c>
      <c r="K3134" s="1864">
        <f t="shared" si="1441"/>
        <v>54514</v>
      </c>
      <c r="L3134" s="2299"/>
      <c r="M3134" s="2300"/>
    </row>
    <row r="3135" spans="1:26">
      <c r="A3135" s="1782"/>
      <c r="B3135" s="1895"/>
      <c r="C3135" s="1895"/>
      <c r="D3135" s="1895"/>
      <c r="E3135" s="1942"/>
      <c r="F3135" s="1801"/>
      <c r="G3135" s="2326"/>
      <c r="H3135" s="1947"/>
      <c r="I3135" s="2298"/>
      <c r="J3135" s="1939"/>
      <c r="K3135" s="1864"/>
      <c r="L3135" s="2325"/>
      <c r="M3135" s="2300"/>
    </row>
    <row r="3136" spans="1:26" ht="24" customHeight="1">
      <c r="A3136" s="1782" t="s">
        <v>785</v>
      </c>
      <c r="B3136" s="2041" t="s">
        <v>786</v>
      </c>
      <c r="C3136" s="1840"/>
      <c r="D3136" s="1909"/>
      <c r="E3136" s="2075"/>
      <c r="F3136" s="2073"/>
      <c r="G3136" s="1853"/>
      <c r="H3136" s="2074"/>
      <c r="I3136" s="1855"/>
      <c r="J3136" s="2073"/>
      <c r="K3136" s="2075"/>
      <c r="L3136" s="1847"/>
      <c r="M3136" s="1809"/>
      <c r="N3136" s="1837"/>
    </row>
    <row r="3137" spans="1:24" ht="24" customHeight="1">
      <c r="A3137" s="1782"/>
      <c r="B3137" s="2128" t="s">
        <v>420</v>
      </c>
      <c r="C3137" s="2070" t="s">
        <v>777</v>
      </c>
      <c r="D3137" s="2071"/>
      <c r="E3137" s="1942">
        <v>550</v>
      </c>
      <c r="F3137" s="1806" t="s">
        <v>616</v>
      </c>
      <c r="G3137" s="2289">
        <v>583</v>
      </c>
      <c r="H3137" s="2290">
        <f t="shared" ref="H3137:H3138" si="1442">SUM(E3137*G3137)</f>
        <v>320650</v>
      </c>
      <c r="I3137" s="2291">
        <v>298</v>
      </c>
      <c r="J3137" s="2122">
        <f t="shared" ref="J3137:J3139" si="1443">+E3137*I3137</f>
        <v>163900</v>
      </c>
      <c r="K3137" s="2124">
        <f t="shared" ref="K3137:K3139" si="1444">+H3137+J3137</f>
        <v>484550</v>
      </c>
      <c r="L3137" s="1847"/>
      <c r="M3137" s="1809"/>
      <c r="N3137" s="1837"/>
    </row>
    <row r="3138" spans="1:24">
      <c r="A3138" s="2119"/>
      <c r="B3138" s="2128" t="s">
        <v>420</v>
      </c>
      <c r="C3138" s="1755" t="s">
        <v>778</v>
      </c>
      <c r="D3138" s="2120"/>
      <c r="E3138" s="1942">
        <v>223</v>
      </c>
      <c r="F3138" s="1806" t="s">
        <v>779</v>
      </c>
      <c r="G3138" s="2289">
        <v>583</v>
      </c>
      <c r="H3138" s="2290">
        <f t="shared" si="1442"/>
        <v>130009</v>
      </c>
      <c r="I3138" s="2291">
        <v>298</v>
      </c>
      <c r="J3138" s="1861">
        <f t="shared" si="1443"/>
        <v>66454</v>
      </c>
      <c r="K3138" s="1862">
        <f t="shared" si="1444"/>
        <v>196463</v>
      </c>
      <c r="L3138" s="1847"/>
      <c r="M3138" s="1809"/>
    </row>
    <row r="3139" spans="1:24" ht="24" customHeight="1">
      <c r="A3139" s="1782"/>
      <c r="B3139" s="1756" t="s">
        <v>769</v>
      </c>
      <c r="C3139" s="1755" t="s">
        <v>770</v>
      </c>
      <c r="D3139" s="2071"/>
      <c r="E3139" s="1942">
        <v>550</v>
      </c>
      <c r="F3139" s="1806" t="s">
        <v>616</v>
      </c>
      <c r="G3139" s="2126">
        <v>79</v>
      </c>
      <c r="H3139" s="2122">
        <f t="shared" ref="H3139" si="1445">+E3139*G3139</f>
        <v>43450</v>
      </c>
      <c r="I3139" s="1944">
        <v>40</v>
      </c>
      <c r="J3139" s="2122">
        <f t="shared" si="1443"/>
        <v>22000</v>
      </c>
      <c r="K3139" s="2124">
        <f t="shared" si="1444"/>
        <v>65450</v>
      </c>
      <c r="L3139" s="1984" t="s">
        <v>2877</v>
      </c>
      <c r="M3139" s="1809"/>
      <c r="N3139" s="1837"/>
    </row>
    <row r="3140" spans="1:24">
      <c r="A3140" s="1901"/>
      <c r="B3140" s="1807" t="s">
        <v>787</v>
      </c>
      <c r="C3140" s="1755"/>
      <c r="D3140" s="2120"/>
      <c r="E3140" s="2302"/>
      <c r="F3140" s="1806"/>
      <c r="G3140" s="2318"/>
      <c r="H3140" s="2319"/>
      <c r="I3140" s="2320"/>
      <c r="J3140" s="2319"/>
      <c r="K3140" s="2321"/>
      <c r="L3140" s="1865"/>
      <c r="M3140" s="1866"/>
    </row>
    <row r="3141" spans="1:24">
      <c r="A3141" s="1901"/>
      <c r="B3141" s="1756" t="s">
        <v>425</v>
      </c>
      <c r="C3141" s="1755" t="s">
        <v>772</v>
      </c>
      <c r="D3141" s="2120"/>
      <c r="E3141" s="2302">
        <v>87</v>
      </c>
      <c r="F3141" s="1806" t="s">
        <v>616</v>
      </c>
      <c r="G3141" s="2318">
        <v>2090</v>
      </c>
      <c r="H3141" s="2319">
        <f t="shared" ref="H3141" si="1446">+E3141*G3141</f>
        <v>181830</v>
      </c>
      <c r="I3141" s="2320">
        <v>620</v>
      </c>
      <c r="J3141" s="2319">
        <f t="shared" ref="J3141" si="1447">+E3141*I3141</f>
        <v>53940</v>
      </c>
      <c r="K3141" s="2321">
        <f t="shared" ref="K3141" si="1448">+H3141+J3141</f>
        <v>235770</v>
      </c>
      <c r="L3141" s="1865"/>
      <c r="M3141" s="1866"/>
    </row>
    <row r="3142" spans="1:24">
      <c r="A3142" s="1901"/>
      <c r="B3142" s="1756" t="s">
        <v>425</v>
      </c>
      <c r="C3142" s="1755" t="s">
        <v>773</v>
      </c>
      <c r="D3142" s="2120"/>
      <c r="E3142" s="2302"/>
      <c r="F3142" s="1806"/>
      <c r="G3142" s="2318"/>
      <c r="H3142" s="2319"/>
      <c r="I3142" s="2320"/>
      <c r="J3142" s="2319"/>
      <c r="K3142" s="2321"/>
      <c r="L3142" s="1865"/>
      <c r="M3142" s="1866"/>
    </row>
    <row r="3143" spans="1:24">
      <c r="A3143" s="1901"/>
      <c r="B3143" s="1756" t="s">
        <v>480</v>
      </c>
      <c r="C3143" s="1867" t="s">
        <v>784</v>
      </c>
      <c r="D3143" s="1859"/>
      <c r="E3143" s="1860">
        <v>44</v>
      </c>
      <c r="F3143" s="1806" t="s">
        <v>37</v>
      </c>
      <c r="G3143" s="1938">
        <v>281</v>
      </c>
      <c r="H3143" s="1947">
        <f>SUM(E3143*G3143)</f>
        <v>12364</v>
      </c>
      <c r="I3143" s="1938">
        <v>80</v>
      </c>
      <c r="J3143" s="1939">
        <f>E3143*I3143</f>
        <v>3520</v>
      </c>
      <c r="K3143" s="1864">
        <f>H3143+J3143</f>
        <v>15884</v>
      </c>
      <c r="L3143" s="1940"/>
      <c r="M3143" s="1941"/>
    </row>
    <row r="3144" spans="1:24">
      <c r="A3144" s="1901"/>
      <c r="B3144" s="1755"/>
      <c r="C3144" s="1867" t="s">
        <v>476</v>
      </c>
      <c r="D3144" s="1868"/>
      <c r="E3144" s="1942">
        <f>E3143*2</f>
        <v>88</v>
      </c>
      <c r="F3144" s="1806" t="s">
        <v>37</v>
      </c>
      <c r="G3144" s="1938">
        <v>88</v>
      </c>
      <c r="H3144" s="1947">
        <f t="shared" ref="H3144:H3145" si="1449">SUM(E3144*G3144)</f>
        <v>7744</v>
      </c>
      <c r="I3144" s="1938">
        <v>82</v>
      </c>
      <c r="J3144" s="1939">
        <f t="shared" ref="J3144:J3145" si="1450">E3144*I3144</f>
        <v>7216</v>
      </c>
      <c r="K3144" s="1864">
        <f t="shared" ref="K3144:K3145" si="1451">H3144+J3144</f>
        <v>14960</v>
      </c>
      <c r="L3144" s="1940" t="s">
        <v>2880</v>
      </c>
      <c r="M3144" s="1941"/>
    </row>
    <row r="3145" spans="1:24">
      <c r="A3145" s="1901"/>
      <c r="B3145" s="1755"/>
      <c r="C3145" s="1867" t="s">
        <v>481</v>
      </c>
      <c r="D3145" s="1868"/>
      <c r="E3145" s="1942">
        <f>E3144</f>
        <v>88</v>
      </c>
      <c r="F3145" s="1806" t="s">
        <v>37</v>
      </c>
      <c r="G3145" s="2298">
        <v>69</v>
      </c>
      <c r="H3145" s="1947">
        <f t="shared" si="1449"/>
        <v>6072</v>
      </c>
      <c r="I3145" s="2298">
        <v>28</v>
      </c>
      <c r="J3145" s="1939">
        <f t="shared" si="1450"/>
        <v>2464</v>
      </c>
      <c r="K3145" s="1864">
        <f t="shared" si="1451"/>
        <v>8536</v>
      </c>
      <c r="L3145" s="2299"/>
      <c r="M3145" s="2300"/>
    </row>
    <row r="3146" spans="1:24">
      <c r="A3146" s="1782"/>
      <c r="B3146" s="1895"/>
      <c r="C3146" s="1895"/>
      <c r="D3146" s="1895"/>
      <c r="E3146" s="1942"/>
      <c r="F3146" s="1801"/>
      <c r="G3146" s="2326"/>
      <c r="H3146" s="1947"/>
      <c r="I3146" s="2298"/>
      <c r="J3146" s="1939"/>
      <c r="K3146" s="1864"/>
      <c r="L3146" s="2325"/>
      <c r="M3146" s="2300"/>
    </row>
    <row r="3147" spans="1:24" ht="24" customHeight="1">
      <c r="A3147" s="1782" t="s">
        <v>788</v>
      </c>
      <c r="B3147" s="2041" t="s">
        <v>789</v>
      </c>
      <c r="C3147" s="1840"/>
      <c r="D3147" s="1909"/>
      <c r="E3147" s="2075"/>
      <c r="F3147" s="2073"/>
      <c r="G3147" s="1853"/>
      <c r="H3147" s="2074"/>
      <c r="I3147" s="1855"/>
      <c r="J3147" s="2073"/>
      <c r="K3147" s="2075"/>
      <c r="L3147" s="1847"/>
      <c r="M3147" s="1809"/>
      <c r="N3147" s="1837"/>
      <c r="O3147" s="1837"/>
      <c r="P3147" s="1837"/>
      <c r="Q3147" s="1837"/>
      <c r="R3147" s="1837"/>
      <c r="S3147" s="1837"/>
      <c r="T3147" s="1837"/>
      <c r="U3147" s="1837"/>
      <c r="V3147" s="1837"/>
      <c r="W3147" s="1837"/>
      <c r="X3147" s="1837"/>
    </row>
    <row r="3148" spans="1:24" ht="24" customHeight="1">
      <c r="A3148" s="1782" t="s">
        <v>790</v>
      </c>
      <c r="B3148" s="2128" t="s">
        <v>420</v>
      </c>
      <c r="C3148" s="2070" t="s">
        <v>777</v>
      </c>
      <c r="D3148" s="2071"/>
      <c r="E3148" s="1942">
        <v>652</v>
      </c>
      <c r="F3148" s="1806" t="s">
        <v>616</v>
      </c>
      <c r="G3148" s="2289">
        <v>583</v>
      </c>
      <c r="H3148" s="2290">
        <f t="shared" ref="H3148:H3149" si="1452">SUM(E3148*G3148)</f>
        <v>380116</v>
      </c>
      <c r="I3148" s="2291">
        <v>298</v>
      </c>
      <c r="J3148" s="2122">
        <f t="shared" ref="J3148:J3151" si="1453">+E3148*I3148</f>
        <v>194296</v>
      </c>
      <c r="K3148" s="2124">
        <f t="shared" ref="K3148:K3151" si="1454">+H3148+J3148</f>
        <v>574412</v>
      </c>
      <c r="L3148" s="1847"/>
      <c r="M3148" s="1809"/>
      <c r="N3148" s="1837"/>
    </row>
    <row r="3149" spans="1:24" ht="24" customHeight="1">
      <c r="A3149" s="1782"/>
      <c r="B3149" s="2128" t="s">
        <v>420</v>
      </c>
      <c r="C3149" s="1755" t="s">
        <v>778</v>
      </c>
      <c r="D3149" s="2120"/>
      <c r="E3149" s="1942">
        <v>148</v>
      </c>
      <c r="F3149" s="1806" t="s">
        <v>779</v>
      </c>
      <c r="G3149" s="2289">
        <v>583</v>
      </c>
      <c r="H3149" s="2290">
        <f t="shared" si="1452"/>
        <v>86284</v>
      </c>
      <c r="I3149" s="2291">
        <v>298</v>
      </c>
      <c r="J3149" s="1861">
        <f t="shared" si="1453"/>
        <v>44104</v>
      </c>
      <c r="K3149" s="1862">
        <f t="shared" si="1454"/>
        <v>130388</v>
      </c>
      <c r="L3149" s="1847"/>
      <c r="M3149" s="1809"/>
      <c r="N3149" s="1837"/>
    </row>
    <row r="3150" spans="1:24" ht="24" customHeight="1">
      <c r="A3150" s="1782"/>
      <c r="B3150" s="2078" t="s">
        <v>425</v>
      </c>
      <c r="C3150" s="1755" t="s">
        <v>770</v>
      </c>
      <c r="D3150" s="2071"/>
      <c r="E3150" s="1942">
        <v>652</v>
      </c>
      <c r="F3150" s="1806" t="s">
        <v>616</v>
      </c>
      <c r="G3150" s="2126">
        <v>79</v>
      </c>
      <c r="H3150" s="2122">
        <f t="shared" ref="H3150:H3171" si="1455">+E3150*G3150</f>
        <v>51508</v>
      </c>
      <c r="I3150" s="1944">
        <v>40</v>
      </c>
      <c r="J3150" s="2122">
        <f t="shared" si="1453"/>
        <v>26080</v>
      </c>
      <c r="K3150" s="2124">
        <f t="shared" si="1454"/>
        <v>77588</v>
      </c>
      <c r="L3150" s="1984" t="s">
        <v>2877</v>
      </c>
      <c r="M3150" s="1809"/>
      <c r="N3150" s="1837"/>
    </row>
    <row r="3151" spans="1:24">
      <c r="A3151" s="1901"/>
      <c r="B3151" s="1807" t="s">
        <v>787</v>
      </c>
      <c r="C3151" s="1755"/>
      <c r="D3151" s="2120"/>
      <c r="E3151" s="2302">
        <v>87</v>
      </c>
      <c r="F3151" s="1806" t="s">
        <v>616</v>
      </c>
      <c r="G3151" s="2318">
        <v>2090</v>
      </c>
      <c r="H3151" s="2319">
        <f t="shared" si="1455"/>
        <v>181830</v>
      </c>
      <c r="I3151" s="2320">
        <v>620</v>
      </c>
      <c r="J3151" s="2319">
        <f t="shared" si="1453"/>
        <v>53940</v>
      </c>
      <c r="K3151" s="2321">
        <f t="shared" si="1454"/>
        <v>235770</v>
      </c>
      <c r="L3151" s="1865"/>
      <c r="M3151" s="1866"/>
    </row>
    <row r="3152" spans="1:24">
      <c r="A3152" s="1901"/>
      <c r="B3152" s="1756" t="s">
        <v>425</v>
      </c>
      <c r="C3152" s="1755" t="s">
        <v>772</v>
      </c>
      <c r="D3152" s="2120"/>
      <c r="E3152" s="2302"/>
      <c r="F3152" s="1806"/>
      <c r="G3152" s="2318"/>
      <c r="H3152" s="2319"/>
      <c r="I3152" s="2320"/>
      <c r="J3152" s="2319"/>
      <c r="K3152" s="2321"/>
      <c r="L3152" s="1865"/>
      <c r="M3152" s="1866"/>
    </row>
    <row r="3153" spans="1:17">
      <c r="A3153" s="1901"/>
      <c r="B3153" s="1756" t="s">
        <v>425</v>
      </c>
      <c r="C3153" s="1755" t="s">
        <v>773</v>
      </c>
      <c r="D3153" s="2120"/>
      <c r="E3153" s="2302"/>
      <c r="F3153" s="1806"/>
      <c r="G3153" s="2318"/>
      <c r="H3153" s="2319"/>
      <c r="I3153" s="2320"/>
      <c r="J3153" s="2319"/>
      <c r="K3153" s="2321"/>
      <c r="L3153" s="1865"/>
      <c r="M3153" s="1866"/>
    </row>
    <row r="3154" spans="1:17">
      <c r="A3154" s="1901"/>
      <c r="B3154" s="1756" t="s">
        <v>480</v>
      </c>
      <c r="C3154" s="1867" t="s">
        <v>784</v>
      </c>
      <c r="D3154" s="1859"/>
      <c r="E3154" s="1860">
        <v>44</v>
      </c>
      <c r="F3154" s="1806" t="s">
        <v>37</v>
      </c>
      <c r="G3154" s="1938">
        <v>281</v>
      </c>
      <c r="H3154" s="1947">
        <f>SUM(E3154*G3154)</f>
        <v>12364</v>
      </c>
      <c r="I3154" s="1938">
        <v>80</v>
      </c>
      <c r="J3154" s="1939">
        <f>E3154*I3154</f>
        <v>3520</v>
      </c>
      <c r="K3154" s="1864">
        <f>H3154+J3154</f>
        <v>15884</v>
      </c>
      <c r="L3154" s="1940"/>
      <c r="M3154" s="1941"/>
    </row>
    <row r="3155" spans="1:17">
      <c r="A3155" s="1901"/>
      <c r="B3155" s="1755"/>
      <c r="C3155" s="1867" t="s">
        <v>476</v>
      </c>
      <c r="D3155" s="1868"/>
      <c r="E3155" s="1942">
        <f>E3154*2</f>
        <v>88</v>
      </c>
      <c r="F3155" s="1806" t="s">
        <v>37</v>
      </c>
      <c r="G3155" s="1938">
        <v>88</v>
      </c>
      <c r="H3155" s="1947">
        <f t="shared" ref="H3155:H3156" si="1456">SUM(E3155*G3155)</f>
        <v>7744</v>
      </c>
      <c r="I3155" s="1938">
        <v>82</v>
      </c>
      <c r="J3155" s="1939">
        <f t="shared" ref="J3155:J3156" si="1457">E3155*I3155</f>
        <v>7216</v>
      </c>
      <c r="K3155" s="1864">
        <f t="shared" ref="K3155:K3156" si="1458">H3155+J3155</f>
        <v>14960</v>
      </c>
      <c r="L3155" s="1940" t="s">
        <v>2880</v>
      </c>
      <c r="M3155" s="1941"/>
    </row>
    <row r="3156" spans="1:17">
      <c r="A3156" s="1901"/>
      <c r="B3156" s="1755"/>
      <c r="C3156" s="1867" t="s">
        <v>481</v>
      </c>
      <c r="D3156" s="1868"/>
      <c r="E3156" s="1942">
        <f>E3155</f>
        <v>88</v>
      </c>
      <c r="F3156" s="1806" t="s">
        <v>37</v>
      </c>
      <c r="G3156" s="2298">
        <v>69</v>
      </c>
      <c r="H3156" s="1947">
        <f t="shared" si="1456"/>
        <v>6072</v>
      </c>
      <c r="I3156" s="2298">
        <v>28</v>
      </c>
      <c r="J3156" s="1939">
        <f t="shared" si="1457"/>
        <v>2464</v>
      </c>
      <c r="K3156" s="1864">
        <f t="shared" si="1458"/>
        <v>8536</v>
      </c>
      <c r="L3156" s="2299"/>
      <c r="M3156" s="2300"/>
    </row>
    <row r="3157" spans="1:17" ht="24" customHeight="1">
      <c r="A3157" s="1782" t="s">
        <v>791</v>
      </c>
      <c r="B3157" s="2041" t="s">
        <v>792</v>
      </c>
      <c r="C3157" s="1840"/>
      <c r="D3157" s="1909"/>
      <c r="E3157" s="2075"/>
      <c r="F3157" s="2073"/>
      <c r="G3157" s="1853"/>
      <c r="H3157" s="2074"/>
      <c r="I3157" s="1855"/>
      <c r="J3157" s="2073"/>
      <c r="K3157" s="2075"/>
      <c r="L3157" s="1847"/>
      <c r="M3157" s="1809"/>
      <c r="N3157" s="1837"/>
    </row>
    <row r="3158" spans="1:17">
      <c r="A3158" s="1806"/>
      <c r="B3158" s="1756" t="s">
        <v>400</v>
      </c>
      <c r="C3158" s="1755" t="s">
        <v>793</v>
      </c>
      <c r="D3158" s="1755"/>
      <c r="E3158" s="1864">
        <v>40</v>
      </c>
      <c r="F3158" s="1806" t="s">
        <v>616</v>
      </c>
      <c r="G3158" s="2289">
        <f>ROUNDUP(2227.6*0.05+5*2.95,0)</f>
        <v>127</v>
      </c>
      <c r="H3158" s="2290">
        <f t="shared" ref="H3158:H3159" si="1459">SUM(E3158*G3158)</f>
        <v>5080</v>
      </c>
      <c r="I3158" s="2291">
        <v>82</v>
      </c>
      <c r="J3158" s="1861">
        <f t="shared" ref="J3158:J3159" si="1460">E3158*I3158</f>
        <v>3280</v>
      </c>
      <c r="K3158" s="1862">
        <f t="shared" ref="K3158:K3159" si="1461">H3158+J3158</f>
        <v>8360</v>
      </c>
      <c r="L3158" s="1865"/>
      <c r="M3158" s="1866"/>
    </row>
    <row r="3159" spans="1:17">
      <c r="A3159" s="2119"/>
      <c r="B3159" s="1756" t="s">
        <v>400</v>
      </c>
      <c r="C3159" s="1755" t="s">
        <v>794</v>
      </c>
      <c r="D3159" s="2120"/>
      <c r="E3159" s="1942">
        <v>2</v>
      </c>
      <c r="F3159" s="1806" t="s">
        <v>779</v>
      </c>
      <c r="G3159" s="2289">
        <f>ROUNDUP(2227.6*0.05+5*2.95,0)</f>
        <v>127</v>
      </c>
      <c r="H3159" s="2290">
        <f t="shared" si="1459"/>
        <v>254</v>
      </c>
      <c r="I3159" s="2291">
        <v>82</v>
      </c>
      <c r="J3159" s="1861">
        <f t="shared" si="1460"/>
        <v>164</v>
      </c>
      <c r="K3159" s="1862">
        <f t="shared" si="1461"/>
        <v>418</v>
      </c>
      <c r="L3159" s="1847"/>
      <c r="M3159" s="1809"/>
    </row>
    <row r="3160" spans="1:17" ht="22.15" customHeight="1">
      <c r="A3160" s="1901"/>
      <c r="B3160" s="2078" t="s">
        <v>795</v>
      </c>
      <c r="C3160" s="1755" t="s">
        <v>796</v>
      </c>
      <c r="D3160" s="2071"/>
      <c r="E3160" s="1942">
        <v>40</v>
      </c>
      <c r="F3160" s="1806" t="s">
        <v>616</v>
      </c>
      <c r="G3160" s="2126">
        <v>0</v>
      </c>
      <c r="H3160" s="2122">
        <f t="shared" ref="H3160:H3163" si="1462">+E3160*G3160</f>
        <v>0</v>
      </c>
      <c r="I3160" s="1944">
        <v>45</v>
      </c>
      <c r="J3160" s="2122">
        <f t="shared" ref="J3160:J3163" si="1463">+E3160*I3160</f>
        <v>1800</v>
      </c>
      <c r="K3160" s="2124">
        <f t="shared" ref="K3160:K3163" si="1464">+H3160+J3160</f>
        <v>1800</v>
      </c>
      <c r="L3160" s="1984"/>
      <c r="M3160" s="1809"/>
      <c r="O3160" s="1863"/>
      <c r="P3160" s="2077"/>
      <c r="Q3160" s="2077"/>
    </row>
    <row r="3161" spans="1:17" ht="22.15" customHeight="1">
      <c r="A3161" s="1901"/>
      <c r="B3161" s="2128"/>
      <c r="C3161" s="1755"/>
      <c r="D3161" s="2070"/>
      <c r="E3161" s="1942"/>
      <c r="F3161" s="1806"/>
      <c r="G3161" s="2126"/>
      <c r="H3161" s="2122"/>
      <c r="I3161" s="1944"/>
      <c r="J3161" s="2122"/>
      <c r="K3161" s="2124"/>
      <c r="L3161" s="1984"/>
      <c r="M3161" s="1809"/>
      <c r="O3161" s="1863"/>
      <c r="P3161" s="2077"/>
      <c r="Q3161" s="2077"/>
    </row>
    <row r="3162" spans="1:17" ht="22.15" customHeight="1">
      <c r="A3162" s="1901"/>
      <c r="B3162" s="2128"/>
      <c r="C3162" s="1755"/>
      <c r="D3162" s="2070"/>
      <c r="E3162" s="1942"/>
      <c r="F3162" s="1806"/>
      <c r="G3162" s="2126"/>
      <c r="H3162" s="2122"/>
      <c r="I3162" s="1944"/>
      <c r="J3162" s="2122"/>
      <c r="K3162" s="2124"/>
      <c r="L3162" s="1984"/>
      <c r="M3162" s="1809"/>
      <c r="O3162" s="1863"/>
      <c r="P3162" s="2077"/>
      <c r="Q3162" s="2077"/>
    </row>
    <row r="3163" spans="1:17">
      <c r="A3163" s="1901"/>
      <c r="B3163" s="1807" t="s">
        <v>797</v>
      </c>
      <c r="C3163" s="1755"/>
      <c r="D3163" s="2120"/>
      <c r="E3163" s="2302">
        <v>8</v>
      </c>
      <c r="F3163" s="1806" t="s">
        <v>616</v>
      </c>
      <c r="G3163" s="2318">
        <v>550</v>
      </c>
      <c r="H3163" s="2319">
        <f t="shared" si="1462"/>
        <v>4400</v>
      </c>
      <c r="I3163" s="2320">
        <v>150</v>
      </c>
      <c r="J3163" s="2319">
        <f t="shared" si="1463"/>
        <v>1200</v>
      </c>
      <c r="K3163" s="2321">
        <f t="shared" si="1464"/>
        <v>5600</v>
      </c>
      <c r="L3163" s="1865"/>
      <c r="M3163" s="1866"/>
    </row>
    <row r="3164" spans="1:17">
      <c r="A3164" s="1901"/>
      <c r="B3164" s="1756" t="s">
        <v>425</v>
      </c>
      <c r="C3164" s="1755" t="s">
        <v>798</v>
      </c>
      <c r="D3164" s="1755"/>
      <c r="E3164" s="2302"/>
      <c r="F3164" s="1806"/>
      <c r="G3164" s="2318"/>
      <c r="H3164" s="2322"/>
      <c r="I3164" s="2320"/>
      <c r="J3164" s="2322"/>
      <c r="K3164" s="2321"/>
      <c r="L3164" s="1865"/>
      <c r="M3164" s="1866"/>
    </row>
    <row r="3165" spans="1:17">
      <c r="A3165" s="1901"/>
      <c r="B3165" s="1756" t="s">
        <v>425</v>
      </c>
      <c r="C3165" s="1755" t="s">
        <v>799</v>
      </c>
      <c r="D3165" s="1755"/>
      <c r="E3165" s="2302"/>
      <c r="F3165" s="1806"/>
      <c r="G3165" s="2318"/>
      <c r="H3165" s="2322"/>
      <c r="I3165" s="2320"/>
      <c r="J3165" s="2322"/>
      <c r="K3165" s="2321"/>
      <c r="L3165" s="1865"/>
      <c r="M3165" s="1866"/>
    </row>
    <row r="3166" spans="1:17">
      <c r="A3166" s="1901"/>
      <c r="B3166" s="1756" t="s">
        <v>480</v>
      </c>
      <c r="C3166" s="1867" t="s">
        <v>784</v>
      </c>
      <c r="D3166" s="1859"/>
      <c r="E3166" s="1860">
        <v>4</v>
      </c>
      <c r="F3166" s="1806" t="s">
        <v>37</v>
      </c>
      <c r="G3166" s="1938">
        <v>281</v>
      </c>
      <c r="H3166" s="1947">
        <f>SUM(E3166*G3166)</f>
        <v>1124</v>
      </c>
      <c r="I3166" s="1938">
        <v>80</v>
      </c>
      <c r="J3166" s="1939">
        <f>E3166*I3166</f>
        <v>320</v>
      </c>
      <c r="K3166" s="1864">
        <f>H3166+J3166</f>
        <v>1444</v>
      </c>
      <c r="L3166" s="1940"/>
      <c r="M3166" s="1941"/>
    </row>
    <row r="3167" spans="1:17">
      <c r="A3167" s="1901"/>
      <c r="B3167" s="1755"/>
      <c r="C3167" s="1867" t="s">
        <v>476</v>
      </c>
      <c r="D3167" s="1868"/>
      <c r="E3167" s="1942">
        <f>E3166*2</f>
        <v>8</v>
      </c>
      <c r="F3167" s="1806" t="s">
        <v>37</v>
      </c>
      <c r="G3167" s="1938">
        <v>88</v>
      </c>
      <c r="H3167" s="1947">
        <f t="shared" ref="H3167:H3168" si="1465">SUM(E3167*G3167)</f>
        <v>704</v>
      </c>
      <c r="I3167" s="1938">
        <v>82</v>
      </c>
      <c r="J3167" s="1939">
        <f t="shared" ref="J3167:J3168" si="1466">E3167*I3167</f>
        <v>656</v>
      </c>
      <c r="K3167" s="1864">
        <f t="shared" ref="K3167:K3168" si="1467">H3167+J3167</f>
        <v>1360</v>
      </c>
      <c r="L3167" s="1940" t="s">
        <v>2880</v>
      </c>
      <c r="M3167" s="1941"/>
    </row>
    <row r="3168" spans="1:17">
      <c r="A3168" s="1901"/>
      <c r="B3168" s="1755"/>
      <c r="C3168" s="1867" t="s">
        <v>481</v>
      </c>
      <c r="D3168" s="1868"/>
      <c r="E3168" s="1942">
        <f>E3167</f>
        <v>8</v>
      </c>
      <c r="F3168" s="1806" t="s">
        <v>37</v>
      </c>
      <c r="G3168" s="2298">
        <v>69</v>
      </c>
      <c r="H3168" s="1947">
        <f t="shared" si="1465"/>
        <v>552</v>
      </c>
      <c r="I3168" s="2298">
        <v>28</v>
      </c>
      <c r="J3168" s="1939">
        <f t="shared" si="1466"/>
        <v>224</v>
      </c>
      <c r="K3168" s="1864">
        <f t="shared" si="1467"/>
        <v>776</v>
      </c>
      <c r="L3168" s="2299"/>
      <c r="M3168" s="2300"/>
    </row>
    <row r="3169" spans="1:24" ht="24" customHeight="1">
      <c r="A3169" s="1782" t="s">
        <v>800</v>
      </c>
      <c r="B3169" s="2041" t="s">
        <v>801</v>
      </c>
      <c r="C3169" s="2095"/>
      <c r="D3169" s="2095"/>
      <c r="E3169" s="2131"/>
      <c r="F3169" s="2132"/>
      <c r="G3169" s="2100"/>
      <c r="H3169" s="2098"/>
      <c r="I3169" s="2099"/>
      <c r="J3169" s="2096"/>
      <c r="K3169" s="2100"/>
      <c r="L3169" s="1847"/>
      <c r="M3169" s="1809"/>
      <c r="N3169" s="1837"/>
    </row>
    <row r="3170" spans="1:24" ht="24" customHeight="1">
      <c r="A3170" s="1782"/>
      <c r="B3170" s="2078" t="s">
        <v>767</v>
      </c>
      <c r="C3170" s="2070" t="s">
        <v>802</v>
      </c>
      <c r="D3170" s="2071"/>
      <c r="E3170" s="1942">
        <v>7</v>
      </c>
      <c r="F3170" s="1806" t="s">
        <v>779</v>
      </c>
      <c r="G3170" s="2121">
        <v>420</v>
      </c>
      <c r="H3170" s="2122">
        <f t="shared" si="1455"/>
        <v>2940</v>
      </c>
      <c r="I3170" s="2123">
        <v>100</v>
      </c>
      <c r="J3170" s="2122">
        <f t="shared" ref="J3170:J3171" si="1468">+E3170*I3170</f>
        <v>700</v>
      </c>
      <c r="K3170" s="2124">
        <f t="shared" ref="K3170:K3171" si="1469">+H3170+J3170</f>
        <v>3640</v>
      </c>
      <c r="L3170" s="1847"/>
      <c r="M3170" s="1809"/>
      <c r="N3170" s="1837"/>
    </row>
    <row r="3171" spans="1:24" ht="24" customHeight="1">
      <c r="A3171" s="1782" t="s">
        <v>803</v>
      </c>
      <c r="B3171" s="2041" t="s">
        <v>804</v>
      </c>
      <c r="C3171" s="1755"/>
      <c r="D3171" s="1755"/>
      <c r="E3171" s="1864">
        <v>16</v>
      </c>
      <c r="F3171" s="1806" t="s">
        <v>616</v>
      </c>
      <c r="G3171" s="2126">
        <v>2685</v>
      </c>
      <c r="H3171" s="2122">
        <f t="shared" si="1455"/>
        <v>42960</v>
      </c>
      <c r="I3171" s="1944">
        <f>G3171*0.3</f>
        <v>805.5</v>
      </c>
      <c r="J3171" s="2122">
        <f t="shared" si="1468"/>
        <v>12888</v>
      </c>
      <c r="K3171" s="2124">
        <f t="shared" si="1469"/>
        <v>55848</v>
      </c>
      <c r="L3171" s="1847"/>
      <c r="M3171" s="1809"/>
      <c r="N3171" s="1837"/>
    </row>
    <row r="3172" spans="1:24" ht="24" customHeight="1">
      <c r="A3172" s="1782"/>
      <c r="B3172" s="2078" t="s">
        <v>425</v>
      </c>
      <c r="C3172" s="2095" t="s">
        <v>805</v>
      </c>
      <c r="D3172" s="2095"/>
      <c r="E3172" s="2075"/>
      <c r="F3172" s="1806"/>
      <c r="G3172" s="2126"/>
      <c r="H3172" s="2122"/>
      <c r="I3172" s="1944"/>
      <c r="J3172" s="2122"/>
      <c r="K3172" s="2124"/>
      <c r="L3172" s="1847"/>
      <c r="M3172" s="1809"/>
      <c r="N3172" s="1837"/>
    </row>
    <row r="3173" spans="1:24" ht="24" customHeight="1">
      <c r="A3173" s="1782"/>
      <c r="B3173" s="2078" t="s">
        <v>425</v>
      </c>
      <c r="C3173" s="2070" t="s">
        <v>2851</v>
      </c>
      <c r="D3173" s="2071"/>
      <c r="E3173" s="2075"/>
      <c r="F3173" s="1806"/>
      <c r="G3173" s="2126"/>
      <c r="H3173" s="2122"/>
      <c r="I3173" s="1944"/>
      <c r="J3173" s="2122"/>
      <c r="K3173" s="2124"/>
      <c r="L3173" s="1847"/>
      <c r="M3173" s="1809"/>
      <c r="N3173" s="1837"/>
    </row>
    <row r="3174" spans="1:24" ht="24" customHeight="1">
      <c r="A3174" s="1782"/>
      <c r="B3174" s="2078"/>
      <c r="C3174" s="2133" t="s">
        <v>806</v>
      </c>
      <c r="D3174" s="2133"/>
      <c r="E3174" s="2134"/>
      <c r="F3174" s="2132"/>
      <c r="G3174" s="2135"/>
      <c r="H3174" s="2136"/>
      <c r="I3174" s="2137"/>
      <c r="J3174" s="2138"/>
      <c r="K3174" s="2139"/>
      <c r="L3174" s="1847"/>
      <c r="M3174" s="1809"/>
      <c r="N3174" s="1837"/>
    </row>
    <row r="3175" spans="1:24" ht="22.15" customHeight="1">
      <c r="A3175" s="1782" t="s">
        <v>807</v>
      </c>
      <c r="B3175" s="2089" t="s">
        <v>808</v>
      </c>
      <c r="C3175" s="2133"/>
      <c r="D3175" s="2133"/>
      <c r="E3175" s="2075">
        <v>17</v>
      </c>
      <c r="F3175" s="1806" t="s">
        <v>616</v>
      </c>
      <c r="G3175" s="1853">
        <v>1280</v>
      </c>
      <c r="H3175" s="2074">
        <f t="shared" ref="H3175" si="1470">G3175*E3175</f>
        <v>21760</v>
      </c>
      <c r="I3175" s="1855">
        <v>400</v>
      </c>
      <c r="J3175" s="2073">
        <f t="shared" ref="J3175" si="1471">I3175*E3175</f>
        <v>6800</v>
      </c>
      <c r="K3175" s="2124">
        <f t="shared" ref="K3175" si="1472">H3175+J3175</f>
        <v>28560</v>
      </c>
      <c r="L3175" s="1847"/>
      <c r="M3175" s="2059"/>
      <c r="O3175" s="1837"/>
      <c r="P3175" s="1837"/>
      <c r="Q3175" s="1837"/>
      <c r="R3175" s="1837"/>
      <c r="S3175" s="1837"/>
      <c r="T3175" s="1837"/>
      <c r="U3175" s="1837"/>
      <c r="V3175" s="1837"/>
      <c r="W3175" s="1837"/>
      <c r="X3175" s="1837"/>
    </row>
    <row r="3176" spans="1:24" ht="22.15" customHeight="1">
      <c r="A3176" s="2093"/>
      <c r="B3176" s="2078" t="s">
        <v>425</v>
      </c>
      <c r="C3176" s="2133" t="s">
        <v>809</v>
      </c>
      <c r="D3176" s="2133"/>
      <c r="E3176" s="2075"/>
      <c r="F3176" s="1806"/>
      <c r="G3176" s="1853"/>
      <c r="H3176" s="2074"/>
      <c r="I3176" s="1855"/>
      <c r="J3176" s="2073"/>
      <c r="K3176" s="2124"/>
      <c r="L3176" s="1847"/>
      <c r="M3176" s="2059"/>
      <c r="O3176" s="1837"/>
      <c r="P3176" s="1837"/>
      <c r="Q3176" s="1837"/>
      <c r="R3176" s="1837"/>
      <c r="S3176" s="1837"/>
      <c r="T3176" s="1837"/>
      <c r="U3176" s="1837"/>
      <c r="V3176" s="1837"/>
      <c r="W3176" s="1837"/>
      <c r="X3176" s="1837"/>
    </row>
    <row r="3177" spans="1:24" ht="22.15" customHeight="1">
      <c r="A3177" s="2093"/>
      <c r="B3177" s="2078" t="s">
        <v>425</v>
      </c>
      <c r="C3177" s="2133" t="s">
        <v>810</v>
      </c>
      <c r="D3177" s="2133"/>
      <c r="E3177" s="2134"/>
      <c r="F3177" s="2096"/>
      <c r="G3177" s="2100"/>
      <c r="H3177" s="2098"/>
      <c r="I3177" s="2099"/>
      <c r="J3177" s="2096"/>
      <c r="K3177" s="2140"/>
      <c r="L3177" s="2141"/>
      <c r="M3177" s="2059"/>
      <c r="O3177" s="1837"/>
      <c r="P3177" s="1837"/>
      <c r="Q3177" s="1837"/>
      <c r="R3177" s="1837"/>
      <c r="S3177" s="1837"/>
      <c r="T3177" s="1837"/>
      <c r="U3177" s="1837"/>
      <c r="V3177" s="1837"/>
      <c r="W3177" s="1837"/>
      <c r="X3177" s="1837"/>
    </row>
    <row r="3178" spans="1:24" ht="22.15" customHeight="1">
      <c r="A3178" s="1782" t="s">
        <v>811</v>
      </c>
      <c r="B3178" s="2143" t="s">
        <v>812</v>
      </c>
      <c r="C3178" s="2070"/>
      <c r="D3178" s="2071"/>
      <c r="E3178" s="1808"/>
      <c r="F3178" s="2073"/>
      <c r="G3178" s="2121"/>
      <c r="H3178" s="2144"/>
      <c r="I3178" s="2123"/>
      <c r="J3178" s="2073"/>
      <c r="K3178" s="2140"/>
      <c r="L3178" s="2076"/>
      <c r="M3178" s="2059"/>
    </row>
    <row r="3179" spans="1:24" ht="22.15" customHeight="1">
      <c r="A3179" s="1901"/>
      <c r="B3179" s="2078" t="s">
        <v>813</v>
      </c>
      <c r="C3179" s="2070" t="s">
        <v>814</v>
      </c>
      <c r="D3179" s="2071"/>
      <c r="E3179" s="2075">
        <v>455</v>
      </c>
      <c r="F3179" s="1806" t="s">
        <v>616</v>
      </c>
      <c r="G3179" s="1853">
        <v>12000</v>
      </c>
      <c r="H3179" s="2074">
        <f t="shared" ref="H3179" si="1473">G3179*E3179</f>
        <v>5460000</v>
      </c>
      <c r="I3179" s="1855">
        <v>0</v>
      </c>
      <c r="J3179" s="2073">
        <f t="shared" ref="J3179" si="1474">I3179*E3179</f>
        <v>0</v>
      </c>
      <c r="K3179" s="2142">
        <f t="shared" ref="K3179" si="1475">H3179+J3179</f>
        <v>5460000</v>
      </c>
      <c r="L3179" s="2073" t="s">
        <v>2888</v>
      </c>
      <c r="M3179" s="2059"/>
    </row>
    <row r="3180" spans="1:24" ht="22.15" customHeight="1">
      <c r="A3180" s="1901"/>
      <c r="B3180" s="2078" t="s">
        <v>425</v>
      </c>
      <c r="C3180" s="2070" t="s">
        <v>815</v>
      </c>
      <c r="D3180" s="2071"/>
      <c r="E3180" s="1808"/>
      <c r="F3180" s="2073"/>
      <c r="G3180" s="2121"/>
      <c r="H3180" s="2144"/>
      <c r="I3180" s="2123"/>
      <c r="J3180" s="2073"/>
      <c r="K3180" s="2142"/>
      <c r="L3180" s="2076"/>
      <c r="M3180" s="2059"/>
    </row>
    <row r="3181" spans="1:24" ht="22.15" customHeight="1">
      <c r="A3181" s="1901"/>
      <c r="B3181" s="2078" t="s">
        <v>425</v>
      </c>
      <c r="C3181" s="2070" t="s">
        <v>816</v>
      </c>
      <c r="D3181" s="2071"/>
      <c r="E3181" s="1808"/>
      <c r="F3181" s="2073"/>
      <c r="G3181" s="2121"/>
      <c r="H3181" s="2144"/>
      <c r="I3181" s="2123"/>
      <c r="J3181" s="2073"/>
      <c r="K3181" s="2142"/>
      <c r="L3181" s="2076"/>
      <c r="M3181" s="2059"/>
    </row>
    <row r="3182" spans="1:24" ht="22.15" customHeight="1">
      <c r="A3182" s="1901"/>
      <c r="B3182" s="2078"/>
      <c r="C3182" s="2070" t="s">
        <v>817</v>
      </c>
      <c r="D3182" s="2070"/>
      <c r="E3182" s="1897"/>
      <c r="F3182" s="2073"/>
      <c r="G3182" s="2121"/>
      <c r="H3182" s="2144"/>
      <c r="I3182" s="2123"/>
      <c r="J3182" s="2073"/>
      <c r="K3182" s="1853"/>
      <c r="L3182" s="2145"/>
      <c r="M3182" s="2059"/>
    </row>
    <row r="3183" spans="1:24" ht="22.15" customHeight="1">
      <c r="A3183" s="1901"/>
      <c r="B3183" s="1755"/>
      <c r="C3183" s="1755" t="s">
        <v>818</v>
      </c>
      <c r="D3183" s="2070"/>
      <c r="E3183" s="2075"/>
      <c r="F3183" s="2073"/>
      <c r="G3183" s="1938"/>
      <c r="H3183" s="1947"/>
      <c r="I3183" s="1938"/>
      <c r="J3183" s="1939"/>
      <c r="K3183" s="1864"/>
      <c r="L3183" s="2145"/>
      <c r="M3183" s="2059"/>
      <c r="O3183" s="1837"/>
      <c r="P3183" s="1837"/>
      <c r="Q3183" s="1837"/>
      <c r="R3183" s="1837"/>
      <c r="S3183" s="1837"/>
      <c r="T3183" s="1837"/>
      <c r="U3183" s="1837"/>
      <c r="V3183" s="1837"/>
      <c r="W3183" s="1837"/>
      <c r="X3183" s="1837"/>
    </row>
    <row r="3184" spans="1:24">
      <c r="A3184" s="1901"/>
      <c r="B3184" s="1755"/>
      <c r="C3184" s="1755" t="s">
        <v>2852</v>
      </c>
      <c r="D3184" s="1755"/>
      <c r="E3184" s="2075">
        <v>772</v>
      </c>
      <c r="F3184" s="1806" t="s">
        <v>616</v>
      </c>
      <c r="G3184" s="1938">
        <v>2900</v>
      </c>
      <c r="H3184" s="1947">
        <f>SUM(E3184*G3184)</f>
        <v>2238800</v>
      </c>
      <c r="I3184" s="1938">
        <v>3200</v>
      </c>
      <c r="J3184" s="1939">
        <f>E3184*I3184</f>
        <v>2470400</v>
      </c>
      <c r="K3184" s="1864">
        <f>H3184+J3184</f>
        <v>4709200</v>
      </c>
      <c r="L3184" s="2076"/>
      <c r="M3184" s="1941"/>
    </row>
    <row r="3185" spans="1:24">
      <c r="A3185" s="1901"/>
      <c r="B3185" s="1755"/>
      <c r="C3185" s="1755" t="s">
        <v>819</v>
      </c>
      <c r="D3185" s="1755"/>
      <c r="E3185" s="1860"/>
      <c r="F3185" s="1860"/>
      <c r="G3185" s="1938"/>
      <c r="H3185" s="1947"/>
      <c r="I3185" s="1938"/>
      <c r="J3185" s="1939"/>
      <c r="K3185" s="1864"/>
      <c r="L3185" s="1940"/>
      <c r="M3185" s="1941"/>
    </row>
    <row r="3186" spans="1:24">
      <c r="A3186" s="1901"/>
      <c r="B3186" s="1755"/>
      <c r="C3186" s="1755"/>
      <c r="D3186" s="1755"/>
      <c r="E3186" s="1860"/>
      <c r="F3186" s="1860"/>
      <c r="G3186" s="1936"/>
      <c r="H3186" s="1947"/>
      <c r="I3186" s="1938"/>
      <c r="J3186" s="1939"/>
      <c r="K3186" s="1864"/>
      <c r="L3186" s="2211"/>
      <c r="M3186" s="1941"/>
    </row>
    <row r="3187" spans="1:24">
      <c r="A3187" s="1901"/>
      <c r="B3187" s="1755"/>
      <c r="C3187" s="1755"/>
      <c r="D3187" s="1755"/>
      <c r="E3187" s="1860"/>
      <c r="F3187" s="1860"/>
      <c r="G3187" s="1936"/>
      <c r="H3187" s="1947"/>
      <c r="I3187" s="1938"/>
      <c r="J3187" s="1939"/>
      <c r="K3187" s="1864"/>
      <c r="L3187" s="2211"/>
      <c r="M3187" s="1941"/>
    </row>
    <row r="3188" spans="1:24">
      <c r="A3188" s="1901"/>
      <c r="B3188" s="1755"/>
      <c r="C3188" s="1755"/>
      <c r="D3188" s="1755"/>
      <c r="E3188" s="1860"/>
      <c r="F3188" s="1860"/>
      <c r="G3188" s="1936"/>
      <c r="H3188" s="1947"/>
      <c r="I3188" s="1938"/>
      <c r="J3188" s="1939"/>
      <c r="K3188" s="1864"/>
      <c r="L3188" s="2211"/>
      <c r="M3188" s="1941"/>
    </row>
    <row r="3189" spans="1:24">
      <c r="A3189" s="1901"/>
      <c r="B3189" s="1755"/>
      <c r="C3189" s="1755"/>
      <c r="D3189" s="1755"/>
      <c r="E3189" s="1860"/>
      <c r="F3189" s="1860"/>
      <c r="G3189" s="1936"/>
      <c r="H3189" s="1947"/>
      <c r="I3189" s="1938"/>
      <c r="J3189" s="1939"/>
      <c r="K3189" s="1864"/>
      <c r="L3189" s="2211"/>
      <c r="M3189" s="1941"/>
    </row>
    <row r="3190" spans="1:24" ht="22.15" customHeight="1">
      <c r="A3190" s="1901"/>
      <c r="B3190" s="2078" t="s">
        <v>813</v>
      </c>
      <c r="C3190" s="2070" t="s">
        <v>814</v>
      </c>
      <c r="D3190" s="2071"/>
      <c r="E3190" s="2075">
        <v>113</v>
      </c>
      <c r="F3190" s="1806" t="s">
        <v>616</v>
      </c>
      <c r="G3190" s="1853">
        <v>12000</v>
      </c>
      <c r="H3190" s="2074">
        <f t="shared" ref="H3190" si="1476">G3190*E3190</f>
        <v>1356000</v>
      </c>
      <c r="I3190" s="1855">
        <v>0</v>
      </c>
      <c r="J3190" s="2073">
        <f t="shared" ref="J3190" si="1477">I3190*E3190</f>
        <v>0</v>
      </c>
      <c r="K3190" s="2075">
        <f t="shared" ref="K3190" si="1478">H3190+J3190</f>
        <v>1356000</v>
      </c>
      <c r="L3190" s="2073" t="s">
        <v>2888</v>
      </c>
      <c r="M3190" s="2059"/>
    </row>
    <row r="3191" spans="1:24" ht="22.15" customHeight="1">
      <c r="A3191" s="1901"/>
      <c r="B3191" s="2078" t="s">
        <v>425</v>
      </c>
      <c r="C3191" s="2070" t="s">
        <v>815</v>
      </c>
      <c r="D3191" s="2071"/>
      <c r="E3191" s="1808"/>
      <c r="F3191" s="2073"/>
      <c r="G3191" s="2121"/>
      <c r="H3191" s="2144"/>
      <c r="I3191" s="2123"/>
      <c r="J3191" s="2073"/>
      <c r="K3191" s="2075"/>
      <c r="L3191" s="2076"/>
      <c r="M3191" s="2059"/>
    </row>
    <row r="3192" spans="1:24" ht="22.15" customHeight="1">
      <c r="A3192" s="1901"/>
      <c r="B3192" s="2078" t="s">
        <v>425</v>
      </c>
      <c r="C3192" s="2070" t="s">
        <v>816</v>
      </c>
      <c r="D3192" s="2071"/>
      <c r="E3192" s="1808"/>
      <c r="F3192" s="2073"/>
      <c r="G3192" s="2121"/>
      <c r="H3192" s="2144"/>
      <c r="I3192" s="2123"/>
      <c r="J3192" s="2073"/>
      <c r="K3192" s="1853"/>
      <c r="L3192" s="2145"/>
      <c r="M3192" s="2059"/>
    </row>
    <row r="3193" spans="1:24" ht="22.15" customHeight="1">
      <c r="A3193" s="1901"/>
      <c r="B3193" s="2078"/>
      <c r="C3193" s="2070" t="s">
        <v>817</v>
      </c>
      <c r="D3193" s="2070"/>
      <c r="E3193" s="1897"/>
      <c r="F3193" s="2073"/>
      <c r="G3193" s="2121"/>
      <c r="H3193" s="2144"/>
      <c r="I3193" s="2123"/>
      <c r="J3193" s="2073"/>
      <c r="K3193" s="1853"/>
      <c r="L3193" s="2145"/>
      <c r="M3193" s="2059"/>
    </row>
    <row r="3194" spans="1:24" ht="22.15" customHeight="1">
      <c r="A3194" s="2093"/>
      <c r="B3194" s="2094" t="s">
        <v>820</v>
      </c>
      <c r="C3194" s="2133" t="s">
        <v>821</v>
      </c>
      <c r="D3194" s="2133"/>
      <c r="E3194" s="2075">
        <v>6.3</v>
      </c>
      <c r="F3194" s="1806" t="s">
        <v>616</v>
      </c>
      <c r="G3194" s="1853">
        <v>3350</v>
      </c>
      <c r="H3194" s="2074">
        <f t="shared" ref="H3194" si="1479">G3194*E3194</f>
        <v>21105</v>
      </c>
      <c r="I3194" s="1855">
        <v>500</v>
      </c>
      <c r="J3194" s="2073">
        <f t="shared" ref="J3194" si="1480">I3194*E3194</f>
        <v>3150</v>
      </c>
      <c r="K3194" s="2075">
        <f t="shared" ref="K3194" si="1481">H3194+J3194</f>
        <v>24255</v>
      </c>
      <c r="L3194" s="2146"/>
      <c r="M3194" s="2059"/>
      <c r="O3194" s="1837"/>
      <c r="P3194" s="1837"/>
      <c r="Q3194" s="1837"/>
      <c r="R3194" s="1837"/>
      <c r="S3194" s="1837"/>
      <c r="T3194" s="1837"/>
      <c r="U3194" s="1837"/>
      <c r="V3194" s="1837"/>
      <c r="W3194" s="1837"/>
      <c r="X3194" s="1837"/>
    </row>
    <row r="3195" spans="1:24" ht="22.15" customHeight="1">
      <c r="A3195" s="2093"/>
      <c r="B3195" s="2078" t="s">
        <v>425</v>
      </c>
      <c r="C3195" s="2133" t="s">
        <v>822</v>
      </c>
      <c r="D3195" s="2133"/>
      <c r="E3195" s="2134"/>
      <c r="F3195" s="2096"/>
      <c r="G3195" s="2100"/>
      <c r="H3195" s="2098"/>
      <c r="I3195" s="2099"/>
      <c r="J3195" s="2096"/>
      <c r="K3195" s="2100"/>
      <c r="L3195" s="2146"/>
      <c r="M3195" s="2059"/>
      <c r="O3195" s="1837"/>
      <c r="P3195" s="1837"/>
      <c r="Q3195" s="1837"/>
      <c r="R3195" s="1837"/>
      <c r="S3195" s="1837"/>
      <c r="T3195" s="1837"/>
      <c r="U3195" s="1837"/>
      <c r="V3195" s="1837"/>
      <c r="W3195" s="1837"/>
      <c r="X3195" s="1837"/>
    </row>
    <row r="3196" spans="1:24" ht="22.15" customHeight="1">
      <c r="A3196" s="2093"/>
      <c r="B3196" s="2078" t="s">
        <v>425</v>
      </c>
      <c r="C3196" s="2133" t="s">
        <v>823</v>
      </c>
      <c r="D3196" s="2133"/>
      <c r="E3196" s="2134"/>
      <c r="F3196" s="2096"/>
      <c r="G3196" s="2100"/>
      <c r="H3196" s="2098"/>
      <c r="I3196" s="2099"/>
      <c r="J3196" s="2096"/>
      <c r="K3196" s="2100"/>
      <c r="L3196" s="2146"/>
      <c r="M3196" s="2059"/>
      <c r="O3196" s="1837"/>
      <c r="P3196" s="1837"/>
      <c r="Q3196" s="1837"/>
      <c r="R3196" s="1837"/>
      <c r="S3196" s="1837"/>
      <c r="T3196" s="1837"/>
      <c r="U3196" s="1837"/>
      <c r="V3196" s="1837"/>
      <c r="W3196" s="1837"/>
      <c r="X3196" s="1837"/>
    </row>
    <row r="3197" spans="1:24" ht="22.15" customHeight="1">
      <c r="A3197" s="2093"/>
      <c r="B3197" s="2078" t="s">
        <v>425</v>
      </c>
      <c r="C3197" s="2133" t="s">
        <v>824</v>
      </c>
      <c r="D3197" s="2133"/>
      <c r="E3197" s="2134"/>
      <c r="F3197" s="2096"/>
      <c r="G3197" s="2100"/>
      <c r="H3197" s="2098"/>
      <c r="I3197" s="2099"/>
      <c r="J3197" s="2096"/>
      <c r="K3197" s="2100"/>
      <c r="L3197" s="2146"/>
      <c r="M3197" s="2059"/>
      <c r="O3197" s="1837"/>
      <c r="P3197" s="1837"/>
      <c r="Q3197" s="1837"/>
      <c r="R3197" s="1837"/>
      <c r="S3197" s="1837"/>
      <c r="T3197" s="1837"/>
      <c r="U3197" s="1837"/>
      <c r="V3197" s="1837"/>
      <c r="W3197" s="1837"/>
      <c r="X3197" s="1837"/>
    </row>
    <row r="3198" spans="1:24" ht="22.15" customHeight="1">
      <c r="A3198" s="2093"/>
      <c r="B3198" s="2094" t="s">
        <v>825</v>
      </c>
      <c r="C3198" s="2133" t="s">
        <v>826</v>
      </c>
      <c r="D3198" s="2133"/>
      <c r="E3198" s="2075">
        <v>52</v>
      </c>
      <c r="F3198" s="1806" t="s">
        <v>616</v>
      </c>
      <c r="G3198" s="1853">
        <v>3350</v>
      </c>
      <c r="H3198" s="2074">
        <f t="shared" ref="H3198" si="1482">G3198*E3198</f>
        <v>174200</v>
      </c>
      <c r="I3198" s="1855">
        <v>500</v>
      </c>
      <c r="J3198" s="2073">
        <f t="shared" ref="J3198" si="1483">I3198*E3198</f>
        <v>26000</v>
      </c>
      <c r="K3198" s="2075">
        <f t="shared" ref="K3198" si="1484">H3198+J3198</f>
        <v>200200</v>
      </c>
      <c r="L3198" s="2146"/>
      <c r="M3198" s="2059"/>
      <c r="O3198" s="1837"/>
      <c r="P3198" s="1837"/>
      <c r="Q3198" s="1837"/>
      <c r="R3198" s="1837"/>
      <c r="S3198" s="1837"/>
      <c r="T3198" s="1837"/>
      <c r="U3198" s="1837"/>
      <c r="V3198" s="1837"/>
      <c r="W3198" s="1837"/>
      <c r="X3198" s="1837"/>
    </row>
    <row r="3199" spans="1:24" ht="22.15" customHeight="1">
      <c r="A3199" s="2093"/>
      <c r="B3199" s="2078" t="s">
        <v>425</v>
      </c>
      <c r="C3199" s="2133" t="s">
        <v>822</v>
      </c>
      <c r="D3199" s="2133"/>
      <c r="E3199" s="2134"/>
      <c r="F3199" s="2096"/>
      <c r="G3199" s="2100"/>
      <c r="H3199" s="2098"/>
      <c r="I3199" s="2099"/>
      <c r="J3199" s="2096"/>
      <c r="K3199" s="2100"/>
      <c r="L3199" s="2146"/>
      <c r="M3199" s="2059"/>
      <c r="O3199" s="1837"/>
      <c r="P3199" s="1837"/>
      <c r="Q3199" s="1837"/>
      <c r="R3199" s="1837"/>
      <c r="S3199" s="1837"/>
      <c r="T3199" s="1837"/>
      <c r="U3199" s="1837"/>
      <c r="V3199" s="1837"/>
      <c r="W3199" s="1837"/>
      <c r="X3199" s="1837"/>
    </row>
    <row r="3200" spans="1:24" ht="22.15" customHeight="1">
      <c r="A3200" s="2093"/>
      <c r="B3200" s="2078" t="s">
        <v>425</v>
      </c>
      <c r="C3200" s="2133" t="s">
        <v>823</v>
      </c>
      <c r="D3200" s="2133"/>
      <c r="E3200" s="2134"/>
      <c r="F3200" s="2096"/>
      <c r="G3200" s="2100"/>
      <c r="H3200" s="2098"/>
      <c r="I3200" s="2099"/>
      <c r="J3200" s="2096"/>
      <c r="K3200" s="2100"/>
      <c r="L3200" s="2146"/>
      <c r="M3200" s="2059"/>
      <c r="O3200" s="1837"/>
      <c r="P3200" s="1837"/>
      <c r="Q3200" s="1837"/>
      <c r="R3200" s="1837"/>
      <c r="S3200" s="1837"/>
      <c r="T3200" s="1837"/>
      <c r="U3200" s="1837"/>
      <c r="V3200" s="1837"/>
      <c r="W3200" s="1837"/>
      <c r="X3200" s="1837"/>
    </row>
    <row r="3201" spans="1:24" ht="22.15" customHeight="1">
      <c r="A3201" s="2093"/>
      <c r="B3201" s="2078" t="s">
        <v>425</v>
      </c>
      <c r="C3201" s="2133" t="s">
        <v>824</v>
      </c>
      <c r="D3201" s="2133"/>
      <c r="E3201" s="2134"/>
      <c r="F3201" s="2096"/>
      <c r="G3201" s="2100"/>
      <c r="H3201" s="2098"/>
      <c r="I3201" s="2099"/>
      <c r="J3201" s="2096"/>
      <c r="K3201" s="2100"/>
      <c r="L3201" s="2146"/>
      <c r="M3201" s="1809"/>
      <c r="N3201" s="1837"/>
      <c r="O3201" s="1837"/>
      <c r="P3201" s="1837"/>
      <c r="Q3201" s="1837"/>
      <c r="R3201" s="1837"/>
      <c r="S3201" s="1837"/>
      <c r="T3201" s="1837"/>
      <c r="U3201" s="1837"/>
      <c r="V3201" s="1837"/>
      <c r="W3201" s="1837"/>
      <c r="X3201" s="1837"/>
    </row>
    <row r="3202" spans="1:24" ht="22.15" customHeight="1">
      <c r="A3202" s="2093"/>
      <c r="B3202" s="2094"/>
      <c r="C3202" s="2133"/>
      <c r="D3202" s="2133"/>
      <c r="E3202" s="2134"/>
      <c r="F3202" s="2096"/>
      <c r="G3202" s="2100"/>
      <c r="H3202" s="2098"/>
      <c r="I3202" s="2099"/>
      <c r="J3202" s="2096"/>
      <c r="K3202" s="2100"/>
      <c r="L3202" s="2146"/>
      <c r="M3202" s="1809"/>
      <c r="N3202" s="1837"/>
      <c r="O3202" s="1837"/>
      <c r="P3202" s="1837"/>
      <c r="Q3202" s="1837"/>
      <c r="R3202" s="1837"/>
      <c r="S3202" s="1837"/>
      <c r="T3202" s="1837"/>
      <c r="U3202" s="1837"/>
      <c r="V3202" s="1837"/>
      <c r="W3202" s="1837"/>
      <c r="X3202" s="1837"/>
    </row>
    <row r="3203" spans="1:24" ht="22.15" customHeight="1">
      <c r="A3203" s="2093"/>
      <c r="B3203" s="2094"/>
      <c r="C3203" s="2133"/>
      <c r="D3203" s="2133"/>
      <c r="E3203" s="2134"/>
      <c r="F3203" s="2096"/>
      <c r="G3203" s="2100"/>
      <c r="H3203" s="2098"/>
      <c r="I3203" s="2099"/>
      <c r="J3203" s="2096"/>
      <c r="K3203" s="2100"/>
      <c r="L3203" s="2146"/>
      <c r="M3203" s="1809"/>
      <c r="N3203" s="1837"/>
      <c r="O3203" s="1837"/>
      <c r="P3203" s="1837"/>
      <c r="Q3203" s="1837"/>
      <c r="R3203" s="1837"/>
      <c r="S3203" s="1837"/>
      <c r="T3203" s="1837"/>
      <c r="U3203" s="1837"/>
      <c r="V3203" s="1837"/>
      <c r="W3203" s="1837"/>
      <c r="X3203" s="1837"/>
    </row>
    <row r="3204" spans="1:24" ht="22.15" customHeight="1">
      <c r="A3204" s="2093"/>
      <c r="B3204" s="2094"/>
      <c r="C3204" s="2133"/>
      <c r="D3204" s="2133"/>
      <c r="E3204" s="2134"/>
      <c r="F3204" s="2096"/>
      <c r="G3204" s="2100"/>
      <c r="H3204" s="2098"/>
      <c r="I3204" s="2099"/>
      <c r="J3204" s="2096"/>
      <c r="K3204" s="2100"/>
      <c r="L3204" s="2146"/>
      <c r="M3204" s="1809"/>
      <c r="N3204" s="1837"/>
      <c r="O3204" s="1837"/>
      <c r="P3204" s="1837"/>
      <c r="Q3204" s="1837"/>
      <c r="R3204" s="1837"/>
      <c r="S3204" s="1837"/>
      <c r="T3204" s="1837"/>
      <c r="U3204" s="1837"/>
      <c r="V3204" s="1837"/>
      <c r="W3204" s="1837"/>
      <c r="X3204" s="1837"/>
    </row>
    <row r="3205" spans="1:24" ht="22.15" customHeight="1">
      <c r="A3205" s="2093"/>
      <c r="B3205" s="2094"/>
      <c r="C3205" s="2133"/>
      <c r="D3205" s="2133"/>
      <c r="E3205" s="2134"/>
      <c r="F3205" s="2096"/>
      <c r="G3205" s="2100"/>
      <c r="H3205" s="2098"/>
      <c r="I3205" s="2099"/>
      <c r="J3205" s="2096"/>
      <c r="K3205" s="2100"/>
      <c r="L3205" s="2146"/>
      <c r="M3205" s="1809"/>
      <c r="N3205" s="1837"/>
      <c r="O3205" s="1837"/>
      <c r="P3205" s="1837"/>
      <c r="Q3205" s="1837"/>
      <c r="R3205" s="1837"/>
      <c r="S3205" s="1837"/>
      <c r="T3205" s="1837"/>
      <c r="U3205" s="1837"/>
      <c r="V3205" s="1837"/>
      <c r="W3205" s="1837"/>
      <c r="X3205" s="1837"/>
    </row>
    <row r="3206" spans="1:24" ht="24" customHeight="1">
      <c r="A3206" s="2276"/>
      <c r="B3206" s="2101"/>
      <c r="C3206" s="2101"/>
      <c r="D3206" s="2101"/>
      <c r="E3206" s="2102"/>
      <c r="F3206" s="2274"/>
      <c r="G3206" s="2103"/>
      <c r="H3206" s="2104"/>
      <c r="I3206" s="2105"/>
      <c r="J3206" s="2106"/>
      <c r="K3206" s="2097"/>
      <c r="L3206" s="2199"/>
      <c r="M3206" s="1809"/>
      <c r="N3206" s="1837"/>
      <c r="O3206" s="1837"/>
      <c r="P3206" s="1837"/>
      <c r="Q3206" s="1837"/>
      <c r="R3206" s="1837"/>
      <c r="S3206" s="1837"/>
      <c r="T3206" s="1837"/>
      <c r="U3206" s="1837"/>
      <c r="V3206" s="1837"/>
      <c r="W3206" s="1837"/>
      <c r="X3206" s="1837"/>
    </row>
    <row r="3207" spans="1:24" ht="24" customHeight="1">
      <c r="A3207" s="1973"/>
      <c r="B3207" s="2449" t="str">
        <f>"รวมราคารายการที่ "&amp;A3109</f>
        <v>รวมราคารายการที่ 2.8</v>
      </c>
      <c r="C3207" s="2449"/>
      <c r="D3207" s="2449"/>
      <c r="E3207" s="1974"/>
      <c r="F3207" s="1932"/>
      <c r="G3207" s="1975"/>
      <c r="H3207" s="1976">
        <f>SUM(H3109:H3206)</f>
        <v>15613435</v>
      </c>
      <c r="I3207" s="1930"/>
      <c r="J3207" s="2039">
        <f>SUM(J3109:J3206)</f>
        <v>4886452</v>
      </c>
      <c r="K3207" s="1932">
        <f>SUM(K3109:K3206)</f>
        <v>20499887</v>
      </c>
      <c r="L3207" s="1932"/>
      <c r="M3207" s="1809"/>
      <c r="N3207" s="1837"/>
      <c r="O3207" s="1837"/>
      <c r="P3207" s="1837"/>
      <c r="Q3207" s="1837"/>
      <c r="R3207" s="1837"/>
      <c r="S3207" s="1837"/>
      <c r="T3207" s="1837"/>
      <c r="U3207" s="1837"/>
      <c r="V3207" s="1837"/>
      <c r="W3207" s="1837"/>
      <c r="X3207" s="1837"/>
    </row>
    <row r="3208" spans="1:24" ht="24" customHeight="1">
      <c r="A3208" s="1933">
        <v>2.9</v>
      </c>
      <c r="B3208" s="2041" t="s">
        <v>827</v>
      </c>
      <c r="C3208" s="1840"/>
      <c r="D3208" s="1915"/>
      <c r="E3208" s="1842"/>
      <c r="F3208" s="1842"/>
      <c r="G3208" s="1843"/>
      <c r="H3208" s="1844"/>
      <c r="I3208" s="1845"/>
      <c r="J3208" s="1846"/>
      <c r="K3208" s="1843"/>
      <c r="L3208" s="1847"/>
      <c r="M3208" s="1809"/>
      <c r="N3208" s="1837"/>
      <c r="O3208" s="1837"/>
      <c r="P3208" s="1837"/>
      <c r="Q3208" s="1837"/>
      <c r="R3208" s="1837"/>
      <c r="S3208" s="1837"/>
      <c r="T3208" s="1837"/>
      <c r="U3208" s="1837"/>
      <c r="V3208" s="1837"/>
      <c r="W3208" s="1837"/>
      <c r="X3208" s="1837"/>
    </row>
    <row r="3209" spans="1:24" ht="24" customHeight="1">
      <c r="A3209" s="1901" t="s">
        <v>828</v>
      </c>
      <c r="B3209" s="1849" t="s">
        <v>829</v>
      </c>
      <c r="C3209" s="2014"/>
      <c r="D3209" s="1963"/>
      <c r="E3209" s="1852"/>
      <c r="F3209" s="1806"/>
      <c r="G3209" s="1986"/>
      <c r="H3209" s="1854"/>
      <c r="I3209" s="1893"/>
      <c r="J3209" s="1856"/>
      <c r="K3209" s="1857"/>
      <c r="L3209" s="1899"/>
      <c r="N3209" s="1837"/>
      <c r="O3209" s="1837"/>
      <c r="P3209" s="1837"/>
      <c r="Q3209" s="1837"/>
      <c r="R3209" s="1837"/>
      <c r="S3209" s="1837"/>
      <c r="T3209" s="1837"/>
      <c r="U3209" s="1837"/>
      <c r="V3209" s="1837"/>
      <c r="W3209" s="1837"/>
      <c r="X3209" s="1837"/>
    </row>
    <row r="3210" spans="1:24" ht="24" customHeight="1">
      <c r="A3210" s="1901" t="s">
        <v>830</v>
      </c>
      <c r="B3210" s="1945" t="s">
        <v>831</v>
      </c>
      <c r="C3210" s="1807"/>
      <c r="D3210" s="1965"/>
      <c r="E3210" s="1897"/>
      <c r="F3210" s="1806"/>
      <c r="G3210" s="1966"/>
      <c r="H3210" s="1967"/>
      <c r="I3210" s="1968"/>
      <c r="J3210" s="2147"/>
      <c r="K3210" s="2148"/>
      <c r="L3210" s="1806" t="s">
        <v>2889</v>
      </c>
      <c r="M3210" s="2047"/>
      <c r="N3210" s="1946" t="s">
        <v>2929</v>
      </c>
      <c r="O3210" s="1837"/>
      <c r="P3210" s="1837"/>
      <c r="Q3210" s="1837"/>
      <c r="R3210" s="1837"/>
      <c r="S3210" s="1837"/>
      <c r="T3210" s="1837"/>
      <c r="U3210" s="1837"/>
      <c r="V3210" s="1837"/>
      <c r="W3210" s="1837"/>
      <c r="X3210" s="1837"/>
    </row>
    <row r="3211" spans="1:24" ht="24" customHeight="1">
      <c r="A3211" s="1901"/>
      <c r="B3211" s="1756" t="s">
        <v>425</v>
      </c>
      <c r="C3211" s="1807" t="s">
        <v>2956</v>
      </c>
      <c r="D3211" s="1965"/>
      <c r="E3211" s="1897">
        <v>14200</v>
      </c>
      <c r="F3211" s="1806" t="s">
        <v>37</v>
      </c>
      <c r="G3211" s="1966">
        <v>3750</v>
      </c>
      <c r="H3211" s="1967">
        <f>E3211*G3211</f>
        <v>53250000</v>
      </c>
      <c r="I3211" s="1968">
        <v>450</v>
      </c>
      <c r="J3211" s="2147">
        <f t="shared" ref="J3211:J3212" si="1485">E3211*I3211</f>
        <v>6390000</v>
      </c>
      <c r="K3211" s="2148">
        <f t="shared" ref="K3211:K3212" si="1486">H3211+J3211</f>
        <v>59640000</v>
      </c>
      <c r="L3211" s="1806"/>
      <c r="M3211" s="2047"/>
      <c r="N3211" s="1946"/>
      <c r="O3211" s="1837"/>
      <c r="P3211" s="1837"/>
      <c r="Q3211" s="1837"/>
      <c r="R3211" s="1837"/>
      <c r="S3211" s="1837"/>
      <c r="T3211" s="1837"/>
      <c r="U3211" s="1837"/>
      <c r="V3211" s="1837"/>
      <c r="W3211" s="1837"/>
      <c r="X3211" s="1837"/>
    </row>
    <row r="3212" spans="1:24" ht="24" customHeight="1">
      <c r="A3212" s="1901"/>
      <c r="B3212" s="1756" t="s">
        <v>425</v>
      </c>
      <c r="C3212" s="1807" t="s">
        <v>2957</v>
      </c>
      <c r="D3212" s="1965"/>
      <c r="E3212" s="1897">
        <v>14200</v>
      </c>
      <c r="F3212" s="1806" t="s">
        <v>37</v>
      </c>
      <c r="G3212" s="1966">
        <v>2150</v>
      </c>
      <c r="H3212" s="1967">
        <f>E3212*G3212</f>
        <v>30530000</v>
      </c>
      <c r="I3212" s="1968">
        <v>750</v>
      </c>
      <c r="J3212" s="2147">
        <f t="shared" si="1485"/>
        <v>10650000</v>
      </c>
      <c r="K3212" s="2148">
        <f t="shared" si="1486"/>
        <v>41180000</v>
      </c>
      <c r="L3212" s="1806"/>
      <c r="M3212" s="2047"/>
      <c r="N3212" s="1946"/>
      <c r="O3212" s="1837"/>
      <c r="P3212" s="1837"/>
      <c r="Q3212" s="1837"/>
      <c r="R3212" s="1837"/>
      <c r="S3212" s="1837"/>
      <c r="T3212" s="1837"/>
      <c r="U3212" s="1837"/>
      <c r="V3212" s="1837"/>
      <c r="W3212" s="1837"/>
      <c r="X3212" s="1837"/>
    </row>
    <row r="3213" spans="1:24" ht="24" customHeight="1">
      <c r="A3213" s="1897"/>
      <c r="B3213" s="1756" t="s">
        <v>425</v>
      </c>
      <c r="C3213" s="1807" t="s">
        <v>2853</v>
      </c>
      <c r="D3213" s="1807"/>
      <c r="E3213" s="1897"/>
      <c r="F3213" s="1806"/>
      <c r="G3213" s="1892"/>
      <c r="H3213" s="1967"/>
      <c r="I3213" s="1968"/>
      <c r="J3213" s="2147"/>
      <c r="K3213" s="2148"/>
      <c r="L3213" s="2015"/>
      <c r="M3213" s="2149" t="s">
        <v>2930</v>
      </c>
      <c r="N3213" s="2150">
        <f>N3214+N3215+N3224+N3225+N3231+N3244+N3245+N3253+N3254+N3255+N3261+N3271+N3272+N3273</f>
        <v>3707796.3727871506</v>
      </c>
      <c r="O3213" s="1837"/>
      <c r="P3213" s="1837"/>
      <c r="Q3213" s="1837"/>
      <c r="R3213" s="1837"/>
      <c r="S3213" s="1837"/>
      <c r="T3213" s="1837"/>
      <c r="U3213" s="1837"/>
      <c r="V3213" s="1837"/>
      <c r="W3213" s="1837"/>
      <c r="X3213" s="1837"/>
    </row>
    <row r="3214" spans="1:24" ht="24" customHeight="1">
      <c r="A3214" s="1897"/>
      <c r="B3214" s="1756"/>
      <c r="C3214" s="1807" t="s">
        <v>2931</v>
      </c>
      <c r="D3214" s="1807"/>
      <c r="E3214" s="1897">
        <v>91475</v>
      </c>
      <c r="F3214" s="1806" t="s">
        <v>156</v>
      </c>
      <c r="G3214" s="1892">
        <v>32.999999999999993</v>
      </c>
      <c r="H3214" s="1967">
        <f t="shared" ref="H3214" si="1487">E3214*G3214</f>
        <v>3018674.9999999995</v>
      </c>
      <c r="I3214" s="1968">
        <v>14</v>
      </c>
      <c r="J3214" s="2147">
        <f t="shared" ref="J3214:J3215" si="1488">E3214*I3214</f>
        <v>1280650</v>
      </c>
      <c r="K3214" s="2148">
        <f t="shared" ref="K3214:K3215" si="1489">H3214+J3214</f>
        <v>4299325</v>
      </c>
      <c r="L3214" s="2015"/>
      <c r="M3214" s="2151">
        <v>3752566</v>
      </c>
      <c r="N3214" s="2152">
        <f>K3214-M3214</f>
        <v>546759</v>
      </c>
      <c r="O3214" s="2129">
        <v>4712.3999999999996</v>
      </c>
      <c r="P3214" s="2153">
        <f>23.8*6</f>
        <v>142.80000000000001</v>
      </c>
      <c r="Q3214" s="2153">
        <f>O3214/P3214</f>
        <v>32.999999999999993</v>
      </c>
      <c r="R3214" s="1837"/>
      <c r="S3214" s="1837"/>
      <c r="T3214" s="1837"/>
      <c r="U3214" s="1837"/>
      <c r="V3214" s="1837"/>
      <c r="W3214" s="1837"/>
      <c r="X3214" s="1837"/>
    </row>
    <row r="3215" spans="1:24" ht="24" customHeight="1">
      <c r="A3215" s="1897"/>
      <c r="B3215" s="1756"/>
      <c r="C3215" s="1807" t="s">
        <v>2932</v>
      </c>
      <c r="D3215" s="1807"/>
      <c r="E3215" s="1897">
        <v>6547</v>
      </c>
      <c r="F3215" s="1806" t="s">
        <v>156</v>
      </c>
      <c r="G3215" s="1892">
        <v>33</v>
      </c>
      <c r="H3215" s="1967">
        <f>E3215*G3215</f>
        <v>216051</v>
      </c>
      <c r="I3215" s="1968">
        <v>14</v>
      </c>
      <c r="J3215" s="2147">
        <f t="shared" si="1488"/>
        <v>91658</v>
      </c>
      <c r="K3215" s="2148">
        <f t="shared" si="1489"/>
        <v>307709</v>
      </c>
      <c r="L3215" s="2015"/>
      <c r="M3215" s="2151">
        <v>268427</v>
      </c>
      <c r="N3215" s="2152">
        <f>K3215-M3215</f>
        <v>39282</v>
      </c>
      <c r="O3215" s="2129">
        <v>3405.6</v>
      </c>
      <c r="P3215" s="2153">
        <f>17.2*6</f>
        <v>103.19999999999999</v>
      </c>
      <c r="Q3215" s="2153">
        <f>O3215/P3215</f>
        <v>33</v>
      </c>
      <c r="R3215" s="1837"/>
      <c r="S3215" s="1837"/>
      <c r="T3215" s="1837"/>
      <c r="U3215" s="1837"/>
      <c r="V3215" s="1837"/>
      <c r="W3215" s="1837"/>
      <c r="X3215" s="1837"/>
    </row>
    <row r="3216" spans="1:24" ht="24" customHeight="1">
      <c r="A3216" s="1901" t="s">
        <v>832</v>
      </c>
      <c r="B3216" s="1945" t="s">
        <v>2906</v>
      </c>
      <c r="C3216" s="1807"/>
      <c r="D3216" s="1965" t="s">
        <v>755</v>
      </c>
      <c r="E3216" s="1897"/>
      <c r="F3216" s="1806"/>
      <c r="G3216" s="1966"/>
      <c r="H3216" s="1967"/>
      <c r="I3216" s="1968"/>
      <c r="J3216" s="2147"/>
      <c r="K3216" s="2148"/>
      <c r="L3216" s="1806" t="s">
        <v>2890</v>
      </c>
      <c r="M3216" s="2154" t="s">
        <v>2854</v>
      </c>
      <c r="N3216" s="2154" t="s">
        <v>2855</v>
      </c>
      <c r="O3216" s="2155" t="s">
        <v>2856</v>
      </c>
      <c r="P3216" s="1837"/>
      <c r="Q3216" s="1837"/>
      <c r="R3216" s="1837"/>
      <c r="S3216" s="1837"/>
      <c r="T3216" s="1837"/>
      <c r="U3216" s="1837"/>
      <c r="V3216" s="1837"/>
      <c r="W3216" s="1837"/>
      <c r="X3216" s="1837"/>
    </row>
    <row r="3217" spans="1:24" ht="24" customHeight="1">
      <c r="A3217" s="1901"/>
      <c r="B3217" s="1756" t="s">
        <v>425</v>
      </c>
      <c r="C3217" s="1807" t="s">
        <v>2907</v>
      </c>
      <c r="D3217" s="1965"/>
      <c r="E3217" s="1897">
        <v>12640</v>
      </c>
      <c r="F3217" s="1806" t="s">
        <v>37</v>
      </c>
      <c r="G3217" s="2156">
        <v>1600</v>
      </c>
      <c r="H3217" s="1967">
        <f t="shared" ref="H3217:H3226" si="1490">E3217*G3217</f>
        <v>20224000</v>
      </c>
      <c r="I3217" s="1968">
        <v>500</v>
      </c>
      <c r="J3217" s="2147">
        <f t="shared" ref="J3217:J3226" si="1491">E3217*I3217</f>
        <v>6320000</v>
      </c>
      <c r="K3217" s="2148">
        <f t="shared" ref="K3217:K3226" si="1492">H3217+J3217</f>
        <v>26544000</v>
      </c>
      <c r="L3217" s="1806"/>
      <c r="M3217" s="2047">
        <v>28007000</v>
      </c>
      <c r="N3217" s="1946">
        <f>K3217</f>
        <v>26544000</v>
      </c>
      <c r="O3217" s="2157">
        <f>M3217-N3217</f>
        <v>1463000</v>
      </c>
      <c r="P3217" s="1837"/>
      <c r="Q3217" s="1837"/>
      <c r="R3217" s="1837"/>
      <c r="S3217" s="1837"/>
      <c r="T3217" s="1837"/>
      <c r="U3217" s="1837"/>
      <c r="V3217" s="1837"/>
      <c r="W3217" s="1837"/>
      <c r="X3217" s="1837"/>
    </row>
    <row r="3218" spans="1:24" ht="24" customHeight="1">
      <c r="A3218" s="1901"/>
      <c r="B3218" s="1756" t="s">
        <v>425</v>
      </c>
      <c r="C3218" s="1807" t="s">
        <v>2857</v>
      </c>
      <c r="D3218" s="1965"/>
      <c r="E3218" s="1897">
        <v>12628</v>
      </c>
      <c r="F3218" s="1806" t="s">
        <v>37</v>
      </c>
      <c r="G3218" s="1966">
        <v>500</v>
      </c>
      <c r="H3218" s="1967">
        <f t="shared" si="1490"/>
        <v>6314000</v>
      </c>
      <c r="I3218" s="1968">
        <v>100</v>
      </c>
      <c r="J3218" s="2147">
        <f t="shared" si="1491"/>
        <v>1262800</v>
      </c>
      <c r="K3218" s="2148">
        <f t="shared" si="1492"/>
        <v>7576800</v>
      </c>
      <c r="L3218" s="2015"/>
      <c r="M3218" s="1809">
        <v>7477680</v>
      </c>
      <c r="N3218" s="1946">
        <f t="shared" ref="N3218:N3222" si="1493">K3218</f>
        <v>7576800</v>
      </c>
      <c r="O3218" s="2157">
        <f t="shared" ref="O3218:O3222" si="1494">M3218-N3218</f>
        <v>-99120</v>
      </c>
      <c r="P3218" s="1837"/>
      <c r="Q3218" s="1837"/>
      <c r="R3218" s="1837"/>
      <c r="S3218" s="1837"/>
      <c r="T3218" s="1837"/>
      <c r="U3218" s="1837"/>
      <c r="V3218" s="1837"/>
      <c r="W3218" s="1837"/>
      <c r="X3218" s="1837"/>
    </row>
    <row r="3219" spans="1:24" ht="24" customHeight="1">
      <c r="A3219" s="1901"/>
      <c r="B3219" s="1756"/>
      <c r="C3219" s="1807" t="s">
        <v>614</v>
      </c>
      <c r="D3219" s="1965"/>
      <c r="E3219" s="1897"/>
      <c r="F3219" s="1806"/>
      <c r="G3219" s="1966"/>
      <c r="H3219" s="1967"/>
      <c r="I3219" s="1968"/>
      <c r="J3219" s="2147"/>
      <c r="K3219" s="2148"/>
      <c r="L3219" s="2015"/>
      <c r="M3219" s="1809"/>
      <c r="N3219" s="1946">
        <f t="shared" si="1493"/>
        <v>0</v>
      </c>
      <c r="O3219" s="2157">
        <f t="shared" si="1494"/>
        <v>0</v>
      </c>
      <c r="P3219" s="1837"/>
      <c r="Q3219" s="1837"/>
      <c r="R3219" s="1837"/>
      <c r="S3219" s="1837"/>
      <c r="T3219" s="1837"/>
      <c r="U3219" s="1837"/>
      <c r="V3219" s="1837"/>
      <c r="W3219" s="1837"/>
      <c r="X3219" s="1837"/>
    </row>
    <row r="3220" spans="1:24" ht="24" customHeight="1">
      <c r="A3220" s="1896"/>
      <c r="B3220" s="1756" t="s">
        <v>425</v>
      </c>
      <c r="C3220" s="1755" t="s">
        <v>2858</v>
      </c>
      <c r="D3220" s="2158"/>
      <c r="E3220" s="1897">
        <v>12628</v>
      </c>
      <c r="F3220" s="1806" t="s">
        <v>37</v>
      </c>
      <c r="G3220" s="2156">
        <v>90</v>
      </c>
      <c r="H3220" s="1967">
        <f t="shared" si="1490"/>
        <v>1136520</v>
      </c>
      <c r="I3220" s="1968">
        <v>45</v>
      </c>
      <c r="J3220" s="2147">
        <f t="shared" si="1491"/>
        <v>568260</v>
      </c>
      <c r="K3220" s="2148">
        <f t="shared" si="1492"/>
        <v>1704780</v>
      </c>
      <c r="L3220" s="2015"/>
      <c r="M3220" s="1809">
        <v>1682478</v>
      </c>
      <c r="N3220" s="1946">
        <f t="shared" si="1493"/>
        <v>1704780</v>
      </c>
      <c r="O3220" s="2157">
        <f t="shared" si="1494"/>
        <v>-22302</v>
      </c>
      <c r="P3220" s="1837"/>
      <c r="Q3220" s="1837"/>
      <c r="R3220" s="1837"/>
      <c r="S3220" s="1837"/>
      <c r="T3220" s="1837"/>
      <c r="U3220" s="1837"/>
      <c r="V3220" s="1837"/>
      <c r="W3220" s="1837"/>
      <c r="X3220" s="1837"/>
    </row>
    <row r="3221" spans="1:24" ht="24" customHeight="1">
      <c r="A3221" s="1897"/>
      <c r="B3221" s="1756" t="s">
        <v>425</v>
      </c>
      <c r="C3221" s="1807" t="s">
        <v>2908</v>
      </c>
      <c r="D3221" s="1807"/>
      <c r="E3221" s="1897">
        <v>272</v>
      </c>
      <c r="F3221" s="1806" t="s">
        <v>616</v>
      </c>
      <c r="G3221" s="1892">
        <v>450</v>
      </c>
      <c r="H3221" s="1967">
        <f t="shared" si="1490"/>
        <v>122400</v>
      </c>
      <c r="I3221" s="1968">
        <v>150</v>
      </c>
      <c r="J3221" s="2147">
        <f t="shared" si="1491"/>
        <v>40800</v>
      </c>
      <c r="K3221" s="2148">
        <f t="shared" si="1492"/>
        <v>163200</v>
      </c>
      <c r="L3221" s="2015"/>
      <c r="M3221" s="2016">
        <v>231200</v>
      </c>
      <c r="N3221" s="1946">
        <f t="shared" si="1493"/>
        <v>163200</v>
      </c>
      <c r="O3221" s="2157">
        <f t="shared" si="1494"/>
        <v>68000</v>
      </c>
      <c r="P3221" s="1837"/>
      <c r="Q3221" s="1837"/>
      <c r="R3221" s="1837"/>
      <c r="S3221" s="1837"/>
      <c r="T3221" s="1837"/>
      <c r="U3221" s="1837"/>
      <c r="V3221" s="1837"/>
      <c r="W3221" s="1837"/>
      <c r="X3221" s="1837"/>
    </row>
    <row r="3222" spans="1:24" ht="24" customHeight="1">
      <c r="A3222" s="2159"/>
      <c r="B3222" s="1756" t="s">
        <v>425</v>
      </c>
      <c r="C3222" s="1755" t="s">
        <v>2859</v>
      </c>
      <c r="D3222" s="1961"/>
      <c r="E3222" s="1897">
        <f>E3217*6</f>
        <v>75840</v>
      </c>
      <c r="F3222" s="1806" t="s">
        <v>240</v>
      </c>
      <c r="G3222" s="2160">
        <v>250</v>
      </c>
      <c r="H3222" s="1967">
        <f t="shared" si="1490"/>
        <v>18960000</v>
      </c>
      <c r="I3222" s="1968">
        <v>0</v>
      </c>
      <c r="J3222" s="2147">
        <f t="shared" si="1491"/>
        <v>0</v>
      </c>
      <c r="K3222" s="2148">
        <f t="shared" si="1492"/>
        <v>18960000</v>
      </c>
      <c r="L3222" s="2015"/>
      <c r="M3222" s="2016">
        <v>18964500</v>
      </c>
      <c r="N3222" s="1946">
        <f t="shared" si="1493"/>
        <v>18960000</v>
      </c>
      <c r="O3222" s="2157">
        <f t="shared" si="1494"/>
        <v>4500</v>
      </c>
      <c r="P3222" s="1837"/>
      <c r="Q3222" s="1837"/>
      <c r="R3222" s="1837"/>
      <c r="S3222" s="1837"/>
      <c r="T3222" s="1837"/>
      <c r="U3222" s="1837"/>
      <c r="V3222" s="1837"/>
      <c r="W3222" s="1837"/>
      <c r="X3222" s="1837"/>
    </row>
    <row r="3223" spans="1:24" ht="24" customHeight="1">
      <c r="A3223" s="1897"/>
      <c r="B3223" s="1756" t="s">
        <v>425</v>
      </c>
      <c r="C3223" s="1807" t="s">
        <v>2853</v>
      </c>
      <c r="D3223" s="1807"/>
      <c r="E3223" s="1897"/>
      <c r="F3223" s="1806"/>
      <c r="G3223" s="1892"/>
      <c r="H3223" s="1967"/>
      <c r="I3223" s="1968"/>
      <c r="J3223" s="2147"/>
      <c r="K3223" s="2148"/>
      <c r="L3223" s="2015"/>
      <c r="M3223" s="2149"/>
      <c r="N3223" s="1837"/>
      <c r="O3223" s="1837"/>
      <c r="P3223" s="1837"/>
      <c r="Q3223" s="1837"/>
      <c r="R3223" s="1837"/>
      <c r="S3223" s="1837"/>
      <c r="T3223" s="1837"/>
      <c r="U3223" s="1837"/>
      <c r="V3223" s="1837"/>
      <c r="W3223" s="1837"/>
      <c r="X3223" s="1837"/>
    </row>
    <row r="3224" spans="1:24" ht="24" customHeight="1">
      <c r="A3224" s="1897"/>
      <c r="B3224" s="1756"/>
      <c r="C3224" s="1807" t="s">
        <v>2933</v>
      </c>
      <c r="D3224" s="1807"/>
      <c r="E3224" s="1897">
        <v>174385</v>
      </c>
      <c r="F3224" s="1806" t="s">
        <v>156</v>
      </c>
      <c r="G3224" s="1892">
        <v>33.899245450510428</v>
      </c>
      <c r="H3224" s="1967">
        <f t="shared" si="1490"/>
        <v>5911519.9178872611</v>
      </c>
      <c r="I3224" s="1968">
        <v>14</v>
      </c>
      <c r="J3224" s="2147">
        <f t="shared" si="1491"/>
        <v>2441390</v>
      </c>
      <c r="K3224" s="2148">
        <f t="shared" si="1492"/>
        <v>8352909.9178872611</v>
      </c>
      <c r="L3224" s="2015"/>
      <c r="M3224" s="2151">
        <v>7150892</v>
      </c>
      <c r="N3224" s="2152">
        <f>K3224-M3224</f>
        <v>1202017.9178872611</v>
      </c>
      <c r="O3224" s="2161"/>
      <c r="P3224" s="2162"/>
      <c r="Q3224" s="2162"/>
      <c r="R3224" s="1837"/>
      <c r="S3224" s="1837"/>
      <c r="T3224" s="1837"/>
      <c r="U3224" s="1837"/>
      <c r="V3224" s="1837"/>
      <c r="W3224" s="1837"/>
      <c r="X3224" s="1837"/>
    </row>
    <row r="3225" spans="1:24" ht="24" customHeight="1">
      <c r="A3225" s="1897"/>
      <c r="B3225" s="1756"/>
      <c r="C3225" s="1807" t="s">
        <v>2934</v>
      </c>
      <c r="D3225" s="1807"/>
      <c r="E3225" s="1897">
        <v>106895</v>
      </c>
      <c r="F3225" s="1806" t="s">
        <v>156</v>
      </c>
      <c r="G3225" s="1892">
        <v>34.325620767494357</v>
      </c>
      <c r="H3225" s="1967">
        <f t="shared" si="1490"/>
        <v>3669237.2319413093</v>
      </c>
      <c r="I3225" s="1968">
        <v>14</v>
      </c>
      <c r="J3225" s="2147">
        <f t="shared" si="1491"/>
        <v>1496530</v>
      </c>
      <c r="K3225" s="2148">
        <f t="shared" si="1492"/>
        <v>5165767.2319413088</v>
      </c>
      <c r="L3225" s="2015"/>
      <c r="M3225" s="2151">
        <v>4384048</v>
      </c>
      <c r="N3225" s="2152">
        <f>K3225-M3225</f>
        <v>781719.23194130883</v>
      </c>
      <c r="O3225" s="2161"/>
      <c r="P3225" s="2162"/>
      <c r="Q3225" s="2162"/>
      <c r="R3225" s="1837"/>
      <c r="S3225" s="1837"/>
      <c r="T3225" s="1837"/>
      <c r="U3225" s="1837"/>
      <c r="V3225" s="1837"/>
      <c r="W3225" s="1837"/>
      <c r="X3225" s="1837"/>
    </row>
    <row r="3226" spans="1:24">
      <c r="A3226" s="1901" t="s">
        <v>833</v>
      </c>
      <c r="B3226" s="1807" t="s">
        <v>488</v>
      </c>
      <c r="C3226" s="1867" t="s">
        <v>2935</v>
      </c>
      <c r="D3226" s="1868"/>
      <c r="E3226" s="1942">
        <v>12300</v>
      </c>
      <c r="F3226" s="1806" t="s">
        <v>37</v>
      </c>
      <c r="G3226" s="1944">
        <v>350</v>
      </c>
      <c r="H3226" s="1939">
        <f t="shared" si="1490"/>
        <v>4305000</v>
      </c>
      <c r="I3226" s="1944">
        <v>100</v>
      </c>
      <c r="J3226" s="1939">
        <f t="shared" si="1491"/>
        <v>1230000</v>
      </c>
      <c r="K3226" s="1864">
        <f t="shared" si="1492"/>
        <v>5535000</v>
      </c>
      <c r="L3226" s="2299"/>
      <c r="M3226" s="2300"/>
    </row>
    <row r="3227" spans="1:24">
      <c r="A3227" s="1901"/>
      <c r="B3227" s="1755"/>
      <c r="C3227" s="1867" t="s">
        <v>2793</v>
      </c>
      <c r="D3227" s="1868"/>
      <c r="E3227" s="1860"/>
      <c r="F3227" s="1860"/>
      <c r="G3227" s="1944"/>
      <c r="H3227" s="1939"/>
      <c r="I3227" s="1944"/>
      <c r="J3227" s="1939"/>
      <c r="K3227" s="1864"/>
      <c r="L3227" s="1940"/>
      <c r="M3227" s="1941"/>
    </row>
    <row r="3228" spans="1:24">
      <c r="A3228" s="1901"/>
      <c r="B3228" s="1755"/>
      <c r="C3228" s="1867" t="s">
        <v>489</v>
      </c>
      <c r="D3228" s="1868"/>
      <c r="E3228" s="1942">
        <f>E3226</f>
        <v>12300</v>
      </c>
      <c r="F3228" s="1806" t="s">
        <v>37</v>
      </c>
      <c r="G3228" s="2301">
        <v>69</v>
      </c>
      <c r="H3228" s="1947">
        <f>SUM(E3228*G3228)</f>
        <v>848700</v>
      </c>
      <c r="I3228" s="2301">
        <v>28</v>
      </c>
      <c r="J3228" s="1939">
        <f>E3228*I3228</f>
        <v>344400</v>
      </c>
      <c r="K3228" s="1864">
        <f>H3228+J3228</f>
        <v>1193100</v>
      </c>
      <c r="L3228" s="2299"/>
      <c r="M3228" s="2300"/>
    </row>
    <row r="3229" spans="1:24" ht="24" customHeight="1">
      <c r="A3229" s="1901" t="s">
        <v>834</v>
      </c>
      <c r="B3229" s="1895" t="s">
        <v>835</v>
      </c>
      <c r="C3229" s="1895"/>
      <c r="D3229" s="1915"/>
      <c r="E3229" s="2021">
        <v>336</v>
      </c>
      <c r="F3229" s="1806" t="s">
        <v>616</v>
      </c>
      <c r="G3229" s="1778">
        <v>7000</v>
      </c>
      <c r="H3229" s="1967">
        <f>E3229*G3229</f>
        <v>2352000</v>
      </c>
      <c r="I3229" s="1968">
        <v>1800</v>
      </c>
      <c r="J3229" s="2147">
        <f>E3229*I3229</f>
        <v>604800</v>
      </c>
      <c r="K3229" s="1864">
        <f>H3229+J3229</f>
        <v>2956800</v>
      </c>
      <c r="L3229" s="1847"/>
      <c r="M3229" s="1809"/>
      <c r="N3229" s="1837"/>
      <c r="O3229" s="1837"/>
      <c r="P3229" s="1837"/>
      <c r="Q3229" s="1837"/>
      <c r="R3229" s="1837"/>
      <c r="S3229" s="1837"/>
      <c r="T3229" s="1837"/>
      <c r="U3229" s="1837"/>
      <c r="V3229" s="1837"/>
      <c r="W3229" s="1837"/>
      <c r="X3229" s="1837"/>
    </row>
    <row r="3230" spans="1:24" ht="24" customHeight="1">
      <c r="A3230" s="1897"/>
      <c r="B3230" s="1756" t="s">
        <v>425</v>
      </c>
      <c r="C3230" s="1807" t="s">
        <v>2853</v>
      </c>
      <c r="D3230" s="1807"/>
      <c r="E3230" s="1897"/>
      <c r="F3230" s="1806"/>
      <c r="G3230" s="1892"/>
      <c r="H3230" s="1967"/>
      <c r="I3230" s="1968"/>
      <c r="J3230" s="2147"/>
      <c r="K3230" s="2148"/>
      <c r="L3230" s="2015"/>
      <c r="M3230" s="2300"/>
      <c r="O3230" s="1837"/>
      <c r="P3230" s="1837"/>
      <c r="Q3230" s="1837"/>
      <c r="R3230" s="1837"/>
      <c r="S3230" s="1837"/>
      <c r="T3230" s="1837"/>
      <c r="U3230" s="1837"/>
      <c r="V3230" s="1837"/>
      <c r="W3230" s="1837"/>
      <c r="X3230" s="1837"/>
    </row>
    <row r="3231" spans="1:24" ht="24" customHeight="1">
      <c r="A3231" s="1897"/>
      <c r="B3231" s="1756"/>
      <c r="C3231" s="1807" t="s">
        <v>836</v>
      </c>
      <c r="D3231" s="1807"/>
      <c r="E3231" s="1897">
        <v>8364</v>
      </c>
      <c r="F3231" s="1806" t="s">
        <v>156</v>
      </c>
      <c r="G3231" s="1892">
        <v>32.581360946745562</v>
      </c>
      <c r="H3231" s="1967">
        <f t="shared" ref="H3231" si="1495">E3231*G3231</f>
        <v>272510.50295857986</v>
      </c>
      <c r="I3231" s="1968">
        <v>14</v>
      </c>
      <c r="J3231" s="2147">
        <f t="shared" ref="J3231" si="1496">E3231*I3231</f>
        <v>117096</v>
      </c>
      <c r="K3231" s="2148">
        <f t="shared" ref="K3231" si="1497">H3231+J3231</f>
        <v>389606.50295857986</v>
      </c>
      <c r="L3231" s="2015"/>
      <c r="M3231" s="2163">
        <v>323184.95999999996</v>
      </c>
      <c r="N3231" s="2152">
        <f>K3231-M3231</f>
        <v>66421.542958579899</v>
      </c>
      <c r="O3231" s="1836"/>
      <c r="P3231" s="1837"/>
      <c r="Q3231" s="1837"/>
      <c r="R3231" s="2129"/>
      <c r="S3231" s="1837"/>
      <c r="T3231" s="1837"/>
      <c r="U3231" s="1837"/>
      <c r="V3231" s="1837"/>
      <c r="W3231" s="1837"/>
      <c r="X3231" s="1837"/>
    </row>
    <row r="3232" spans="1:24" ht="24" customHeight="1">
      <c r="A3232" s="1901" t="s">
        <v>837</v>
      </c>
      <c r="B3232" s="1945" t="s">
        <v>838</v>
      </c>
      <c r="C3232" s="1807"/>
      <c r="D3232" s="1807"/>
      <c r="E3232" s="1897"/>
      <c r="F3232" s="1806"/>
      <c r="G3232" s="1892"/>
      <c r="H3232" s="1967"/>
      <c r="I3232" s="1968"/>
      <c r="J3232" s="2147"/>
      <c r="K3232" s="2148"/>
      <c r="L3232" s="2015" t="s">
        <v>2891</v>
      </c>
      <c r="M3232" s="2164"/>
      <c r="O3232" s="1837"/>
      <c r="P3232" s="1837"/>
      <c r="Q3232" s="1837"/>
      <c r="R3232" s="1837"/>
      <c r="S3232" s="1837"/>
      <c r="T3232" s="1837"/>
      <c r="U3232" s="1837"/>
      <c r="V3232" s="1837"/>
      <c r="W3232" s="1837"/>
      <c r="X3232" s="1837"/>
    </row>
    <row r="3233" spans="1:24">
      <c r="A3233" s="1901"/>
      <c r="B3233" s="1756" t="s">
        <v>530</v>
      </c>
      <c r="C3233" s="1867" t="s">
        <v>526</v>
      </c>
      <c r="D3233" s="1868"/>
      <c r="E3233" s="1942"/>
      <c r="F3233" s="1806"/>
      <c r="G3233" s="1938"/>
      <c r="H3233" s="2207"/>
      <c r="I3233" s="2208"/>
      <c r="J3233" s="2209"/>
      <c r="K3233" s="2210"/>
      <c r="L3233" s="1940"/>
      <c r="M3233" s="1941"/>
      <c r="N3233" s="2165"/>
    </row>
    <row r="3234" spans="1:24">
      <c r="A3234" s="1901"/>
      <c r="B3234" s="1755"/>
      <c r="C3234" s="1867" t="s">
        <v>2805</v>
      </c>
      <c r="D3234" s="1868"/>
      <c r="E3234" s="1942"/>
      <c r="F3234" s="1806"/>
      <c r="G3234" s="1938"/>
      <c r="H3234" s="2207"/>
      <c r="I3234" s="2208"/>
      <c r="J3234" s="2209"/>
      <c r="K3234" s="2210"/>
      <c r="L3234" s="1940"/>
      <c r="M3234" s="1941"/>
      <c r="N3234" s="2165"/>
    </row>
    <row r="3235" spans="1:24" ht="24" customHeight="1">
      <c r="A3235" s="1901"/>
      <c r="B3235" s="1756" t="s">
        <v>425</v>
      </c>
      <c r="C3235" s="1807" t="s">
        <v>2956</v>
      </c>
      <c r="D3235" s="1965"/>
      <c r="E3235" s="1897">
        <v>1570</v>
      </c>
      <c r="F3235" s="1806" t="s">
        <v>37</v>
      </c>
      <c r="G3235" s="1966">
        <v>3850</v>
      </c>
      <c r="H3235" s="1967">
        <f>E3235*G3235</f>
        <v>6044500</v>
      </c>
      <c r="I3235" s="1968">
        <v>800</v>
      </c>
      <c r="J3235" s="2147">
        <f t="shared" ref="J3235:J3236" si="1498">E3235*I3235</f>
        <v>1256000</v>
      </c>
      <c r="K3235" s="2148">
        <f t="shared" ref="K3235:K3236" si="1499">H3235+J3235</f>
        <v>7300500</v>
      </c>
      <c r="L3235" s="1806"/>
      <c r="M3235" s="2047"/>
      <c r="N3235" s="1946"/>
      <c r="O3235" s="1837"/>
      <c r="P3235" s="1837"/>
      <c r="Q3235" s="1837"/>
      <c r="R3235" s="1837"/>
      <c r="S3235" s="1837"/>
      <c r="T3235" s="1837"/>
      <c r="U3235" s="1837"/>
      <c r="V3235" s="1837"/>
      <c r="W3235" s="1837"/>
      <c r="X3235" s="1837"/>
    </row>
    <row r="3236" spans="1:24" ht="24" customHeight="1">
      <c r="A3236" s="1901"/>
      <c r="B3236" s="1756" t="s">
        <v>425</v>
      </c>
      <c r="C3236" s="1807" t="s">
        <v>2957</v>
      </c>
      <c r="D3236" s="1965"/>
      <c r="E3236" s="1897">
        <v>1570</v>
      </c>
      <c r="F3236" s="1806" t="s">
        <v>37</v>
      </c>
      <c r="G3236" s="1966">
        <v>2150</v>
      </c>
      <c r="H3236" s="1967">
        <f>E3236*G3236</f>
        <v>3375500</v>
      </c>
      <c r="I3236" s="1968">
        <v>750</v>
      </c>
      <c r="J3236" s="2147">
        <f t="shared" si="1498"/>
        <v>1177500</v>
      </c>
      <c r="K3236" s="2148">
        <f t="shared" si="1499"/>
        <v>4553000</v>
      </c>
      <c r="L3236" s="1806"/>
      <c r="M3236" s="2047"/>
      <c r="N3236" s="1946"/>
      <c r="O3236" s="1837"/>
      <c r="P3236" s="1837"/>
      <c r="Q3236" s="1837"/>
      <c r="R3236" s="1837"/>
      <c r="S3236" s="1837"/>
      <c r="T3236" s="1837"/>
      <c r="U3236" s="1837"/>
      <c r="V3236" s="1837"/>
      <c r="W3236" s="1837"/>
      <c r="X3236" s="1837"/>
    </row>
    <row r="3237" spans="1:24" ht="24" customHeight="1">
      <c r="A3237" s="1901" t="s">
        <v>839</v>
      </c>
      <c r="B3237" s="1945" t="s">
        <v>840</v>
      </c>
      <c r="C3237" s="1807"/>
      <c r="D3237" s="1807"/>
      <c r="E3237" s="1897"/>
      <c r="F3237" s="1806"/>
      <c r="G3237" s="1892"/>
      <c r="H3237" s="1967"/>
      <c r="I3237" s="1968"/>
      <c r="J3237" s="2147"/>
      <c r="K3237" s="2148"/>
      <c r="L3237" s="2015" t="s">
        <v>2892</v>
      </c>
      <c r="M3237" s="2154" t="s">
        <v>2854</v>
      </c>
      <c r="N3237" s="2154" t="s">
        <v>2855</v>
      </c>
      <c r="O3237" s="2155" t="s">
        <v>2856</v>
      </c>
      <c r="P3237" s="1837"/>
      <c r="Q3237" s="1837"/>
      <c r="R3237" s="1837"/>
      <c r="S3237" s="1837"/>
      <c r="T3237" s="1837"/>
      <c r="U3237" s="1837"/>
      <c r="V3237" s="1837"/>
      <c r="W3237" s="1837"/>
      <c r="X3237" s="1837"/>
    </row>
    <row r="3238" spans="1:24" ht="24" customHeight="1">
      <c r="A3238" s="1897"/>
      <c r="B3238" s="1945" t="s">
        <v>841</v>
      </c>
      <c r="C3238" s="1807" t="s">
        <v>842</v>
      </c>
      <c r="D3238" s="1807"/>
      <c r="E3238" s="1897">
        <v>1486</v>
      </c>
      <c r="F3238" s="1806" t="s">
        <v>37</v>
      </c>
      <c r="G3238" s="1892">
        <v>10000</v>
      </c>
      <c r="H3238" s="1967">
        <f t="shared" ref="H3238" si="1500">E3238*G3238</f>
        <v>14860000</v>
      </c>
      <c r="I3238" s="1968">
        <v>2600</v>
      </c>
      <c r="J3238" s="2147">
        <f t="shared" ref="J3238:J3241" si="1501">E3238*I3238</f>
        <v>3863600</v>
      </c>
      <c r="K3238" s="2148">
        <f t="shared" ref="K3238:K3241" si="1502">H3238+J3238</f>
        <v>18723600</v>
      </c>
      <c r="L3238" s="2015"/>
      <c r="M3238" s="2166">
        <v>21724800</v>
      </c>
      <c r="N3238" s="2167">
        <f>K3238</f>
        <v>18723600</v>
      </c>
      <c r="O3238" s="2157">
        <f>M3238-N3238</f>
        <v>3001200</v>
      </c>
      <c r="P3238" s="1837"/>
      <c r="Q3238" s="1837"/>
      <c r="R3238" s="1837"/>
      <c r="S3238" s="1837"/>
      <c r="T3238" s="1837"/>
      <c r="U3238" s="1837"/>
      <c r="V3238" s="1837"/>
      <c r="W3238" s="1837"/>
      <c r="X3238" s="1837"/>
    </row>
    <row r="3239" spans="1:24" ht="24" customHeight="1">
      <c r="A3239" s="1897"/>
      <c r="B3239" s="1945"/>
      <c r="C3239" s="1807" t="s">
        <v>843</v>
      </c>
      <c r="D3239" s="1807"/>
      <c r="E3239" s="1897"/>
      <c r="F3239" s="1806"/>
      <c r="G3239" s="1892"/>
      <c r="H3239" s="1967"/>
      <c r="I3239" s="1968"/>
      <c r="J3239" s="2147"/>
      <c r="K3239" s="2148"/>
      <c r="L3239" s="2015"/>
      <c r="M3239" s="2168"/>
      <c r="N3239" s="2154"/>
      <c r="O3239" s="2155"/>
      <c r="P3239" s="1837"/>
      <c r="Q3239" s="1837"/>
      <c r="R3239" s="1837"/>
      <c r="S3239" s="1837"/>
      <c r="T3239" s="1837"/>
      <c r="U3239" s="1837"/>
      <c r="V3239" s="1837"/>
      <c r="W3239" s="1837"/>
      <c r="X3239" s="1837"/>
    </row>
    <row r="3240" spans="1:24" ht="24" customHeight="1">
      <c r="A3240" s="1897"/>
      <c r="B3240" s="1945"/>
      <c r="C3240" s="1807"/>
      <c r="D3240" s="1807"/>
      <c r="E3240" s="1897"/>
      <c r="F3240" s="1806"/>
      <c r="G3240" s="1892"/>
      <c r="H3240" s="1967"/>
      <c r="I3240" s="1968"/>
      <c r="J3240" s="2147"/>
      <c r="K3240" s="2148"/>
      <c r="L3240" s="2015"/>
      <c r="M3240" s="2168"/>
      <c r="N3240" s="2154"/>
      <c r="O3240" s="2155"/>
      <c r="P3240" s="1837"/>
      <c r="Q3240" s="1837"/>
      <c r="R3240" s="1837"/>
      <c r="S3240" s="1837"/>
      <c r="T3240" s="1837"/>
      <c r="U3240" s="1837"/>
      <c r="V3240" s="1837"/>
      <c r="W3240" s="1837"/>
      <c r="X3240" s="1837"/>
    </row>
    <row r="3241" spans="1:24" ht="24" customHeight="1">
      <c r="A3241" s="1897"/>
      <c r="B3241" s="1945" t="s">
        <v>844</v>
      </c>
      <c r="C3241" s="1807" t="s">
        <v>842</v>
      </c>
      <c r="D3241" s="1807"/>
      <c r="E3241" s="1897">
        <v>1306</v>
      </c>
      <c r="F3241" s="1806" t="s">
        <v>37</v>
      </c>
      <c r="G3241" s="1892">
        <v>10000</v>
      </c>
      <c r="H3241" s="1967">
        <f t="shared" ref="H3241" si="1503">E3241*G3241</f>
        <v>13060000</v>
      </c>
      <c r="I3241" s="1968">
        <v>2600</v>
      </c>
      <c r="J3241" s="2147">
        <f t="shared" si="1501"/>
        <v>3395600</v>
      </c>
      <c r="K3241" s="2148">
        <f t="shared" si="1502"/>
        <v>16455600</v>
      </c>
      <c r="L3241" s="2015"/>
      <c r="M3241" s="2168">
        <v>19111400</v>
      </c>
      <c r="N3241" s="2167">
        <f>K3241</f>
        <v>16455600</v>
      </c>
      <c r="O3241" s="2157">
        <f>M3241-N3241</f>
        <v>2655800</v>
      </c>
      <c r="P3241" s="1837"/>
      <c r="Q3241" s="1837"/>
      <c r="R3241" s="1837"/>
      <c r="S3241" s="1837"/>
      <c r="T3241" s="1837"/>
      <c r="U3241" s="1837"/>
      <c r="V3241" s="1837"/>
      <c r="W3241" s="1837"/>
      <c r="X3241" s="1837"/>
    </row>
    <row r="3242" spans="1:24" ht="24" customHeight="1">
      <c r="A3242" s="1897"/>
      <c r="B3242" s="1945"/>
      <c r="C3242" s="1807" t="s">
        <v>843</v>
      </c>
      <c r="D3242" s="1807"/>
      <c r="E3242" s="1897"/>
      <c r="F3242" s="1806"/>
      <c r="G3242" s="1892"/>
      <c r="H3242" s="1967"/>
      <c r="I3242" s="1968"/>
      <c r="J3242" s="2147"/>
      <c r="K3242" s="2148"/>
      <c r="L3242" s="2015"/>
      <c r="M3242" s="2149"/>
      <c r="N3242" s="2169"/>
      <c r="O3242" s="1837"/>
      <c r="P3242" s="1837"/>
      <c r="Q3242" s="1837"/>
      <c r="R3242" s="1837"/>
      <c r="S3242" s="1837"/>
      <c r="T3242" s="1837"/>
      <c r="U3242" s="1837"/>
      <c r="V3242" s="1837"/>
      <c r="W3242" s="1837"/>
      <c r="X3242" s="1837"/>
    </row>
    <row r="3243" spans="1:24" ht="24" customHeight="1">
      <c r="A3243" s="1897"/>
      <c r="B3243" s="1756" t="s">
        <v>425</v>
      </c>
      <c r="C3243" s="1807" t="s">
        <v>2853</v>
      </c>
      <c r="D3243" s="1807"/>
      <c r="E3243" s="1897"/>
      <c r="F3243" s="1806"/>
      <c r="G3243" s="1892"/>
      <c r="H3243" s="1967"/>
      <c r="I3243" s="1968"/>
      <c r="J3243" s="2147"/>
      <c r="K3243" s="2148"/>
      <c r="L3243" s="2015"/>
      <c r="M3243" s="2149"/>
      <c r="N3243" s="2169"/>
      <c r="O3243" s="1837"/>
      <c r="P3243" s="1837"/>
      <c r="Q3243" s="1837"/>
      <c r="R3243" s="1837"/>
      <c r="S3243" s="1837"/>
      <c r="T3243" s="1837"/>
      <c r="U3243" s="1837"/>
      <c r="V3243" s="1837"/>
      <c r="W3243" s="1837"/>
      <c r="X3243" s="1837"/>
    </row>
    <row r="3244" spans="1:24" ht="24" customHeight="1">
      <c r="A3244" s="1897"/>
      <c r="B3244" s="1756"/>
      <c r="C3244" s="1807" t="s">
        <v>2936</v>
      </c>
      <c r="D3244" s="1807"/>
      <c r="E3244" s="1897">
        <v>62050</v>
      </c>
      <c r="F3244" s="1806" t="s">
        <v>156</v>
      </c>
      <c r="G3244" s="1892">
        <v>33</v>
      </c>
      <c r="H3244" s="1967">
        <f t="shared" ref="H3244:H3249" si="1504">E3244*G3244</f>
        <v>2047650</v>
      </c>
      <c r="I3244" s="1968">
        <v>14</v>
      </c>
      <c r="J3244" s="2147">
        <f t="shared" ref="J3244:J3249" si="1505">E3244*I3244</f>
        <v>868700</v>
      </c>
      <c r="K3244" s="2148">
        <f t="shared" ref="K3244:K3249" si="1506">H3244+J3244</f>
        <v>2916350</v>
      </c>
      <c r="L3244" s="2015"/>
      <c r="M3244" s="2151">
        <v>2544870</v>
      </c>
      <c r="N3244" s="2152">
        <f>K3244-M3244</f>
        <v>371480</v>
      </c>
      <c r="O3244" s="2129">
        <v>6058.8</v>
      </c>
      <c r="P3244" s="2153">
        <f>30.6*6</f>
        <v>183.60000000000002</v>
      </c>
      <c r="Q3244" s="2153">
        <f>O3244/P3244</f>
        <v>33</v>
      </c>
      <c r="R3244" s="1837"/>
      <c r="S3244" s="1837"/>
      <c r="T3244" s="1837"/>
      <c r="U3244" s="1837"/>
      <c r="V3244" s="1837"/>
      <c r="W3244" s="1837"/>
      <c r="X3244" s="1837"/>
    </row>
    <row r="3245" spans="1:24" ht="24" customHeight="1">
      <c r="A3245" s="1897"/>
      <c r="B3245" s="1756"/>
      <c r="C3245" s="1807" t="s">
        <v>2932</v>
      </c>
      <c r="D3245" s="1807"/>
      <c r="E3245" s="1897">
        <v>30042</v>
      </c>
      <c r="F3245" s="1806" t="s">
        <v>156</v>
      </c>
      <c r="G3245" s="1892">
        <v>33</v>
      </c>
      <c r="H3245" s="1967">
        <f>E3245*G3245</f>
        <v>991386</v>
      </c>
      <c r="I3245" s="1968">
        <v>14</v>
      </c>
      <c r="J3245" s="2147">
        <f t="shared" si="1505"/>
        <v>420588</v>
      </c>
      <c r="K3245" s="2148">
        <f t="shared" si="1506"/>
        <v>1411974</v>
      </c>
      <c r="L3245" s="2015"/>
      <c r="M3245" s="2151">
        <v>1231886</v>
      </c>
      <c r="N3245" s="2152">
        <f>K3245-M3245</f>
        <v>180088</v>
      </c>
      <c r="O3245" s="2129">
        <v>3405.6</v>
      </c>
      <c r="P3245" s="2153">
        <f>17.2*6</f>
        <v>103.19999999999999</v>
      </c>
      <c r="Q3245" s="2153">
        <f>O3245/P3245</f>
        <v>33</v>
      </c>
      <c r="R3245" s="1837"/>
      <c r="S3245" s="1837"/>
      <c r="T3245" s="1837"/>
      <c r="U3245" s="1837"/>
      <c r="V3245" s="1837"/>
      <c r="W3245" s="1837"/>
      <c r="X3245" s="1837"/>
    </row>
    <row r="3246" spans="1:24" ht="24" customHeight="1">
      <c r="A3246" s="1901" t="s">
        <v>846</v>
      </c>
      <c r="B3246" s="1945" t="s">
        <v>847</v>
      </c>
      <c r="C3246" s="1807"/>
      <c r="D3246" s="1807"/>
      <c r="E3246" s="1897">
        <v>4</v>
      </c>
      <c r="F3246" s="1806" t="s">
        <v>240</v>
      </c>
      <c r="G3246" s="1892">
        <f>47.7*10000</f>
        <v>477000</v>
      </c>
      <c r="H3246" s="1967">
        <f t="shared" si="1504"/>
        <v>1908000</v>
      </c>
      <c r="I3246" s="1892">
        <f>47.7*2600</f>
        <v>124020.00000000001</v>
      </c>
      <c r="J3246" s="1967">
        <f t="shared" si="1505"/>
        <v>496080.00000000006</v>
      </c>
      <c r="K3246" s="2148">
        <f t="shared" si="1506"/>
        <v>2404080</v>
      </c>
      <c r="L3246" s="2445" t="s">
        <v>2893</v>
      </c>
      <c r="M3246" s="2149"/>
      <c r="N3246" s="2170"/>
      <c r="O3246" s="2129"/>
      <c r="P3246" s="1837"/>
      <c r="Q3246" s="1837"/>
      <c r="R3246" s="1837"/>
      <c r="S3246" s="1837"/>
      <c r="T3246" s="1837"/>
      <c r="U3246" s="1837"/>
      <c r="V3246" s="1837"/>
      <c r="W3246" s="1837"/>
      <c r="X3246" s="1837"/>
    </row>
    <row r="3247" spans="1:24">
      <c r="A3247" s="1901"/>
      <c r="B3247" s="1887" t="s">
        <v>425</v>
      </c>
      <c r="C3247" s="1867" t="s">
        <v>848</v>
      </c>
      <c r="D3247" s="1868"/>
      <c r="E3247" s="1942">
        <v>46</v>
      </c>
      <c r="F3247" s="1806" t="s">
        <v>37</v>
      </c>
      <c r="G3247" s="1943">
        <v>1400</v>
      </c>
      <c r="H3247" s="1861">
        <f t="shared" si="1504"/>
        <v>64400</v>
      </c>
      <c r="I3247" s="1944">
        <v>75</v>
      </c>
      <c r="J3247" s="1939">
        <f t="shared" si="1505"/>
        <v>3450</v>
      </c>
      <c r="K3247" s="1864">
        <f t="shared" si="1506"/>
        <v>67850</v>
      </c>
      <c r="L3247" s="2446"/>
      <c r="M3247" s="2154" t="s">
        <v>2854</v>
      </c>
      <c r="N3247" s="2171" t="s">
        <v>2855</v>
      </c>
      <c r="O3247" s="2155" t="s">
        <v>2856</v>
      </c>
    </row>
    <row r="3248" spans="1:24">
      <c r="A3248" s="1901"/>
      <c r="B3248" s="1887"/>
      <c r="C3248" s="1867"/>
      <c r="D3248" s="1868"/>
      <c r="E3248" s="1942"/>
      <c r="F3248" s="1806"/>
      <c r="G3248" s="1943"/>
      <c r="H3248" s="1939"/>
      <c r="I3248" s="1944"/>
      <c r="J3248" s="1939"/>
      <c r="K3248" s="1864"/>
      <c r="L3248" s="2275"/>
      <c r="M3248" s="2154"/>
      <c r="N3248" s="2171"/>
      <c r="O3248" s="2155"/>
    </row>
    <row r="3249" spans="1:24" ht="24" customHeight="1">
      <c r="A3249" s="1901" t="s">
        <v>849</v>
      </c>
      <c r="B3249" s="1945" t="s">
        <v>2901</v>
      </c>
      <c r="C3249" s="1867" t="s">
        <v>2909</v>
      </c>
      <c r="D3249" s="1868"/>
      <c r="E3249" s="1942">
        <f>13024+496</f>
        <v>13520</v>
      </c>
      <c r="F3249" s="1806" t="s">
        <v>37</v>
      </c>
      <c r="G3249" s="1944">
        <v>195</v>
      </c>
      <c r="H3249" s="1939">
        <f t="shared" si="1504"/>
        <v>2636400</v>
      </c>
      <c r="I3249" s="1944">
        <v>150</v>
      </c>
      <c r="J3249" s="1939">
        <f t="shared" si="1505"/>
        <v>2028000</v>
      </c>
      <c r="K3249" s="1864">
        <f t="shared" si="1506"/>
        <v>4664400</v>
      </c>
      <c r="L3249" s="1806" t="s">
        <v>2894</v>
      </c>
      <c r="M3249" s="2166">
        <v>42846320</v>
      </c>
      <c r="N3249" s="2166">
        <f>SUM(K3249:K3253)</f>
        <v>11477700.25</v>
      </c>
      <c r="O3249" s="2157">
        <f>M3249-N3249</f>
        <v>31368619.75</v>
      </c>
      <c r="P3249" s="1837"/>
      <c r="Q3249" s="1837"/>
      <c r="R3249" s="1837"/>
      <c r="S3249" s="1837"/>
      <c r="T3249" s="1837"/>
      <c r="U3249" s="1837"/>
      <c r="V3249" s="1837"/>
      <c r="W3249" s="1837"/>
      <c r="X3249" s="1837"/>
    </row>
    <row r="3250" spans="1:24" ht="24" customHeight="1">
      <c r="A3250" s="1901"/>
      <c r="B3250" s="1755"/>
      <c r="C3250" s="1867" t="s">
        <v>2903</v>
      </c>
      <c r="D3250" s="1868"/>
      <c r="E3250" s="1860"/>
      <c r="F3250" s="1860"/>
      <c r="G3250" s="1944"/>
      <c r="H3250" s="1939"/>
      <c r="I3250" s="1944"/>
      <c r="J3250" s="1939"/>
      <c r="K3250" s="1864"/>
      <c r="L3250" s="2299"/>
      <c r="N3250" s="1836"/>
      <c r="O3250" s="1837"/>
      <c r="P3250" s="1837"/>
      <c r="Q3250" s="1837"/>
      <c r="R3250" s="1837"/>
      <c r="S3250" s="1837"/>
      <c r="T3250" s="1837"/>
      <c r="U3250" s="1837"/>
      <c r="V3250" s="1837"/>
      <c r="W3250" s="1837"/>
      <c r="X3250" s="1837"/>
    </row>
    <row r="3251" spans="1:24" ht="24" customHeight="1">
      <c r="A3251" s="1901"/>
      <c r="B3251" s="2172" t="s">
        <v>609</v>
      </c>
      <c r="C3251" s="1867" t="s">
        <v>2904</v>
      </c>
      <c r="D3251" s="1868"/>
      <c r="E3251" s="1942">
        <f>E3249</f>
        <v>13520</v>
      </c>
      <c r="F3251" s="1806" t="s">
        <v>37</v>
      </c>
      <c r="G3251" s="2301">
        <v>120</v>
      </c>
      <c r="H3251" s="1947">
        <f>SUM(E3251*G3251)</f>
        <v>1622400</v>
      </c>
      <c r="I3251" s="2301">
        <v>60</v>
      </c>
      <c r="J3251" s="1939">
        <f>E3251*I3251</f>
        <v>811200</v>
      </c>
      <c r="K3251" s="1864">
        <f>H3251+J3251</f>
        <v>2433600</v>
      </c>
      <c r="L3251" s="1940"/>
      <c r="M3251" s="1946"/>
      <c r="N3251" s="1836"/>
      <c r="O3251" s="1837"/>
      <c r="P3251" s="1837"/>
      <c r="Q3251" s="1837"/>
      <c r="R3251" s="1837"/>
      <c r="S3251" s="1837"/>
      <c r="T3251" s="1837"/>
      <c r="U3251" s="1837"/>
      <c r="V3251" s="1837"/>
      <c r="W3251" s="1837"/>
      <c r="X3251" s="1837"/>
    </row>
    <row r="3252" spans="1:24" ht="24" customHeight="1">
      <c r="A3252" s="1901"/>
      <c r="B3252" s="2172" t="s">
        <v>609</v>
      </c>
      <c r="C3252" s="1755" t="s">
        <v>2910</v>
      </c>
      <c r="D3252" s="1755"/>
      <c r="E3252" s="2173">
        <v>10545</v>
      </c>
      <c r="F3252" s="2240" t="s">
        <v>438</v>
      </c>
      <c r="G3252" s="2174">
        <v>65</v>
      </c>
      <c r="H3252" s="1788">
        <f t="shared" ref="H3252:H3255" si="1507">ROUND(E3252*G3252,2)</f>
        <v>685425</v>
      </c>
      <c r="I3252" s="2083">
        <v>45</v>
      </c>
      <c r="J3252" s="1808">
        <f t="shared" ref="J3252:J3253" si="1508">E3252*I3252</f>
        <v>474525</v>
      </c>
      <c r="K3252" s="1808">
        <f t="shared" ref="K3252:K3256" si="1509">H3252+J3252</f>
        <v>1159950</v>
      </c>
      <c r="L3252" s="1940"/>
      <c r="M3252" s="1946"/>
      <c r="N3252" s="1836"/>
      <c r="O3252" s="1837"/>
      <c r="P3252" s="2153">
        <f>27.04/6</f>
        <v>4.5066666666666668</v>
      </c>
      <c r="Q3252" s="1837"/>
      <c r="R3252" s="1837"/>
      <c r="S3252" s="1837"/>
      <c r="T3252" s="1837"/>
      <c r="U3252" s="1837"/>
      <c r="V3252" s="1837"/>
      <c r="W3252" s="1837"/>
      <c r="X3252" s="1837"/>
    </row>
    <row r="3253" spans="1:24" ht="24" customHeight="1">
      <c r="A3253" s="1901"/>
      <c r="B3253" s="2172" t="s">
        <v>609</v>
      </c>
      <c r="C3253" s="2241" t="s">
        <v>2911</v>
      </c>
      <c r="D3253" s="2241"/>
      <c r="E3253" s="2173">
        <v>69121</v>
      </c>
      <c r="F3253" s="2240" t="s">
        <v>156</v>
      </c>
      <c r="G3253" s="2174">
        <v>32.581360946745562</v>
      </c>
      <c r="H3253" s="1788">
        <f t="shared" si="1507"/>
        <v>2252056.25</v>
      </c>
      <c r="I3253" s="2083">
        <v>14</v>
      </c>
      <c r="J3253" s="1808">
        <f t="shared" si="1508"/>
        <v>967694</v>
      </c>
      <c r="K3253" s="1808">
        <f t="shared" si="1509"/>
        <v>3219750.25</v>
      </c>
      <c r="L3253" s="2299"/>
      <c r="M3253" s="2152">
        <v>3054207.58</v>
      </c>
      <c r="N3253" s="2152">
        <f>K3253-M3253</f>
        <v>165542.66999999993</v>
      </c>
      <c r="O3253" s="2175">
        <v>1076.19</v>
      </c>
      <c r="P3253" s="2153">
        <v>27.04</v>
      </c>
      <c r="Q3253" s="2153">
        <f>O3253/P3253</f>
        <v>39.799926035502963</v>
      </c>
      <c r="R3253" s="1837"/>
      <c r="S3253" s="1837"/>
      <c r="T3253" s="1837"/>
      <c r="U3253" s="1837"/>
      <c r="V3253" s="1837"/>
      <c r="W3253" s="1837"/>
      <c r="X3253" s="1837"/>
    </row>
    <row r="3254" spans="1:24" ht="24" customHeight="1">
      <c r="A3254" s="1901"/>
      <c r="B3254" s="2172" t="s">
        <v>609</v>
      </c>
      <c r="C3254" s="2241" t="s">
        <v>2912</v>
      </c>
      <c r="D3254" s="2241"/>
      <c r="E3254" s="2173">
        <v>17356</v>
      </c>
      <c r="F3254" s="2240" t="s">
        <v>156</v>
      </c>
      <c r="G3254" s="2174">
        <v>32.581360946745562</v>
      </c>
      <c r="H3254" s="1788">
        <f t="shared" si="1507"/>
        <v>565482.1</v>
      </c>
      <c r="I3254" s="2080">
        <v>14</v>
      </c>
      <c r="J3254" s="1788">
        <f t="shared" ref="J3254:J3255" si="1510">ROUND(E3254*I3254,2)</f>
        <v>242984</v>
      </c>
      <c r="K3254" s="1788">
        <f t="shared" si="1509"/>
        <v>808466.1</v>
      </c>
      <c r="L3254" s="2299"/>
      <c r="M3254" s="2152">
        <v>767362.41999999993</v>
      </c>
      <c r="N3254" s="2152">
        <f t="shared" ref="N3254:N3255" si="1511">K3254-M3254</f>
        <v>41103.680000000051</v>
      </c>
      <c r="O3254" s="1837"/>
      <c r="P3254" s="1837"/>
      <c r="Q3254" s="1837"/>
      <c r="R3254" s="1837"/>
      <c r="S3254" s="1837"/>
      <c r="T3254" s="1837"/>
      <c r="U3254" s="1837"/>
      <c r="V3254" s="1837"/>
      <c r="W3254" s="1837"/>
      <c r="X3254" s="1837"/>
    </row>
    <row r="3255" spans="1:24" ht="24" customHeight="1">
      <c r="A3255" s="1901"/>
      <c r="B3255" s="2176"/>
      <c r="C3255" s="2241" t="s">
        <v>2913</v>
      </c>
      <c r="D3255" s="2241"/>
      <c r="E3255" s="2173">
        <v>54365</v>
      </c>
      <c r="F3255" s="2240" t="s">
        <v>156</v>
      </c>
      <c r="G3255" s="2174">
        <v>32.834757834757838</v>
      </c>
      <c r="H3255" s="1788">
        <f t="shared" si="1507"/>
        <v>1785061.61</v>
      </c>
      <c r="I3255" s="2080">
        <v>14</v>
      </c>
      <c r="J3255" s="1788">
        <f t="shared" si="1510"/>
        <v>761110</v>
      </c>
      <c r="K3255" s="1788">
        <f t="shared" si="1509"/>
        <v>2546171.6100000003</v>
      </c>
      <c r="L3255" s="2299"/>
      <c r="M3255" s="2152">
        <v>2402331.6799999997</v>
      </c>
      <c r="N3255" s="2152">
        <f t="shared" si="1511"/>
        <v>143839.93000000063</v>
      </c>
      <c r="O3255" s="1837"/>
      <c r="P3255" s="1837"/>
      <c r="Q3255" s="1837"/>
      <c r="R3255" s="1837"/>
      <c r="S3255" s="1837"/>
      <c r="T3255" s="1837"/>
      <c r="U3255" s="1837"/>
      <c r="V3255" s="1837"/>
      <c r="W3255" s="1837"/>
      <c r="X3255" s="1837"/>
    </row>
    <row r="3256" spans="1:24" ht="22.15" customHeight="1">
      <c r="A3256" s="1901"/>
      <c r="B3256" s="2078"/>
      <c r="C3256" s="1807" t="s">
        <v>845</v>
      </c>
      <c r="D3256" s="2133"/>
      <c r="E3256" s="1897">
        <v>6250</v>
      </c>
      <c r="F3256" s="1808" t="s">
        <v>37</v>
      </c>
      <c r="G3256" s="1778">
        <v>140</v>
      </c>
      <c r="H3256" s="1788">
        <f t="shared" ref="H3256" si="1512">G3256*E3256</f>
        <v>875000</v>
      </c>
      <c r="I3256" s="1778">
        <v>35</v>
      </c>
      <c r="J3256" s="1788">
        <f>E3256*I3256</f>
        <v>218750</v>
      </c>
      <c r="K3256" s="1808">
        <f t="shared" si="1509"/>
        <v>1093750</v>
      </c>
      <c r="L3256" s="1897"/>
      <c r="M3256" s="2149"/>
      <c r="N3256" s="2170"/>
      <c r="O3256" s="2129"/>
    </row>
    <row r="3257" spans="1:24" ht="24" customHeight="1">
      <c r="A3257" s="1901" t="s">
        <v>850</v>
      </c>
      <c r="B3257" s="1978" t="s">
        <v>2860</v>
      </c>
      <c r="C3257" s="1807"/>
      <c r="D3257" s="1807"/>
      <c r="E3257" s="1897"/>
      <c r="F3257" s="1806"/>
      <c r="G3257" s="1811"/>
      <c r="H3257" s="1967"/>
      <c r="I3257" s="2177"/>
      <c r="J3257" s="1967"/>
      <c r="K3257" s="2148"/>
      <c r="L3257" s="2015"/>
      <c r="M3257" s="2149"/>
      <c r="N3257" s="1837"/>
      <c r="O3257" s="1837"/>
      <c r="P3257" s="1837"/>
      <c r="Q3257" s="1837"/>
      <c r="R3257" s="1837"/>
      <c r="S3257" s="1837"/>
      <c r="T3257" s="1837"/>
      <c r="U3257" s="1837"/>
      <c r="V3257" s="1837"/>
      <c r="W3257" s="1837"/>
      <c r="X3257" s="1837"/>
    </row>
    <row r="3258" spans="1:24" ht="24" customHeight="1">
      <c r="A3258" s="1901"/>
      <c r="B3258" s="1978" t="s">
        <v>851</v>
      </c>
      <c r="C3258" s="1807"/>
      <c r="D3258" s="1807"/>
      <c r="E3258" s="1897"/>
      <c r="F3258" s="1806"/>
      <c r="G3258" s="1811"/>
      <c r="H3258" s="1967"/>
      <c r="I3258" s="2177"/>
      <c r="J3258" s="1967"/>
      <c r="K3258" s="2148"/>
      <c r="L3258" s="2178"/>
      <c r="M3258" s="2149"/>
      <c r="N3258" s="1837"/>
      <c r="O3258" s="1837"/>
      <c r="P3258" s="1837"/>
      <c r="Q3258" s="1837"/>
      <c r="R3258" s="1837"/>
      <c r="S3258" s="1837"/>
      <c r="T3258" s="1837"/>
      <c r="U3258" s="1837"/>
      <c r="V3258" s="1837"/>
      <c r="W3258" s="1837"/>
      <c r="X3258" s="1837"/>
    </row>
    <row r="3259" spans="1:24" ht="24" customHeight="1">
      <c r="A3259" s="1897"/>
      <c r="B3259" s="1756" t="s">
        <v>425</v>
      </c>
      <c r="C3259" s="1807" t="s">
        <v>852</v>
      </c>
      <c r="D3259" s="1807"/>
      <c r="E3259" s="1897">
        <v>252</v>
      </c>
      <c r="F3259" s="1806" t="s">
        <v>37</v>
      </c>
      <c r="G3259" s="1892">
        <v>220</v>
      </c>
      <c r="H3259" s="1967">
        <f>E3259*G3259</f>
        <v>55440</v>
      </c>
      <c r="I3259" s="1968">
        <v>55</v>
      </c>
      <c r="J3259" s="2147">
        <f t="shared" ref="J3259" si="1513">E3259*I3259</f>
        <v>13860</v>
      </c>
      <c r="K3259" s="2148">
        <f t="shared" ref="K3259" si="1514">H3259+J3259</f>
        <v>69300</v>
      </c>
      <c r="L3259" s="2447" t="s">
        <v>2895</v>
      </c>
      <c r="M3259" s="2149"/>
      <c r="N3259" s="1837"/>
      <c r="O3259" s="1837"/>
      <c r="P3259" s="1837"/>
      <c r="Q3259" s="1837"/>
      <c r="R3259" s="1837"/>
      <c r="S3259" s="1837"/>
      <c r="T3259" s="1837"/>
      <c r="U3259" s="1837"/>
      <c r="V3259" s="1837"/>
      <c r="W3259" s="1837"/>
      <c r="X3259" s="1837"/>
    </row>
    <row r="3260" spans="1:24" ht="24" customHeight="1">
      <c r="A3260" s="1897"/>
      <c r="B3260" s="1756" t="s">
        <v>425</v>
      </c>
      <c r="C3260" s="1807" t="s">
        <v>2853</v>
      </c>
      <c r="D3260" s="1807"/>
      <c r="E3260" s="1897"/>
      <c r="F3260" s="1806"/>
      <c r="G3260" s="1892"/>
      <c r="H3260" s="1967"/>
      <c r="I3260" s="1968"/>
      <c r="J3260" s="2147"/>
      <c r="K3260" s="2148"/>
      <c r="L3260" s="2448"/>
      <c r="M3260" s="2149"/>
      <c r="N3260" s="1837"/>
      <c r="O3260" s="1837"/>
      <c r="P3260" s="1837"/>
      <c r="Q3260" s="1837"/>
      <c r="R3260" s="1837"/>
      <c r="S3260" s="1837"/>
      <c r="T3260" s="1837"/>
      <c r="U3260" s="1837"/>
      <c r="V3260" s="1837"/>
      <c r="W3260" s="1837"/>
      <c r="X3260" s="1837"/>
    </row>
    <row r="3261" spans="1:24" ht="24" customHeight="1">
      <c r="A3261" s="1897"/>
      <c r="B3261" s="1756"/>
      <c r="C3261" s="1807" t="s">
        <v>2937</v>
      </c>
      <c r="D3261" s="1807"/>
      <c r="E3261" s="1897">
        <v>20369</v>
      </c>
      <c r="F3261" s="1806" t="s">
        <v>156</v>
      </c>
      <c r="G3261" s="1892">
        <v>33</v>
      </c>
      <c r="H3261" s="1967">
        <f t="shared" ref="H3261" si="1515">E3261*G3261</f>
        <v>672177</v>
      </c>
      <c r="I3261" s="1968">
        <v>14</v>
      </c>
      <c r="J3261" s="2147">
        <f t="shared" ref="J3261" si="1516">E3261*I3261</f>
        <v>285166</v>
      </c>
      <c r="K3261" s="2148">
        <f t="shared" ref="K3261" si="1517">H3261+J3261</f>
        <v>957343</v>
      </c>
      <c r="L3261" s="2448"/>
      <c r="M3261" s="2151">
        <v>835129</v>
      </c>
      <c r="N3261" s="2152">
        <f>K3261-M3261</f>
        <v>122214</v>
      </c>
      <c r="O3261" s="2129">
        <v>4712.3999999999996</v>
      </c>
      <c r="P3261" s="2153">
        <f>23.8*6</f>
        <v>142.80000000000001</v>
      </c>
      <c r="Q3261" s="2153">
        <f>O3261/P3261</f>
        <v>32.999999999999993</v>
      </c>
      <c r="R3261" s="1837"/>
      <c r="S3261" s="1837"/>
      <c r="T3261" s="1837"/>
      <c r="U3261" s="1837"/>
      <c r="V3261" s="1837"/>
      <c r="W3261" s="1837"/>
      <c r="X3261" s="1837"/>
    </row>
    <row r="3262" spans="1:24" ht="24" customHeight="1">
      <c r="A3262" s="1897"/>
      <c r="B3262" s="1756"/>
      <c r="C3262" s="1807"/>
      <c r="D3262" s="1807"/>
      <c r="E3262" s="1897"/>
      <c r="F3262" s="1806"/>
      <c r="G3262" s="1892"/>
      <c r="H3262" s="1967"/>
      <c r="I3262" s="1968"/>
      <c r="J3262" s="2147"/>
      <c r="K3262" s="2148"/>
      <c r="L3262" s="2277"/>
      <c r="M3262" s="2151"/>
      <c r="N3262" s="2152"/>
      <c r="O3262" s="2129"/>
      <c r="P3262" s="2153"/>
      <c r="Q3262" s="2153"/>
      <c r="R3262" s="1837"/>
      <c r="S3262" s="1837"/>
      <c r="T3262" s="1837"/>
      <c r="U3262" s="1837"/>
      <c r="V3262" s="1837"/>
      <c r="W3262" s="1837"/>
      <c r="X3262" s="1837"/>
    </row>
    <row r="3263" spans="1:24" ht="24" customHeight="1">
      <c r="A3263" s="1901"/>
      <c r="B3263" s="1978" t="s">
        <v>853</v>
      </c>
      <c r="C3263" s="1807"/>
      <c r="D3263" s="1807"/>
      <c r="E3263" s="1897"/>
      <c r="F3263" s="1806"/>
      <c r="G3263" s="1811"/>
      <c r="H3263" s="1967"/>
      <c r="I3263" s="1968"/>
      <c r="J3263" s="2147"/>
      <c r="K3263" s="2148"/>
      <c r="L3263" s="2015" t="s">
        <v>2896</v>
      </c>
      <c r="M3263" s="2154" t="s">
        <v>2854</v>
      </c>
      <c r="N3263" s="2171" t="s">
        <v>2855</v>
      </c>
      <c r="O3263" s="2155" t="s">
        <v>2856</v>
      </c>
      <c r="P3263" s="1837"/>
      <c r="Q3263" s="1837"/>
      <c r="R3263" s="1837"/>
      <c r="S3263" s="1837"/>
      <c r="T3263" s="1837"/>
      <c r="U3263" s="1837"/>
      <c r="V3263" s="1837"/>
      <c r="W3263" s="1837"/>
      <c r="X3263" s="1837"/>
    </row>
    <row r="3264" spans="1:24" ht="24" customHeight="1">
      <c r="A3264" s="1897"/>
      <c r="B3264" s="1756" t="s">
        <v>425</v>
      </c>
      <c r="C3264" s="1807" t="s">
        <v>2861</v>
      </c>
      <c r="D3264" s="1807"/>
      <c r="E3264" s="1897">
        <v>0</v>
      </c>
      <c r="F3264" s="1806" t="s">
        <v>37</v>
      </c>
      <c r="G3264" s="1938">
        <v>1296</v>
      </c>
      <c r="H3264" s="1947">
        <f>SUM(E3264*G3264)</f>
        <v>0</v>
      </c>
      <c r="I3264" s="1938">
        <v>1600</v>
      </c>
      <c r="J3264" s="2147">
        <f t="shared" ref="J3264:J3269" si="1518">E3264*I3264</f>
        <v>0</v>
      </c>
      <c r="K3264" s="2148">
        <f t="shared" ref="K3264:K3269" si="1519">H3264+J3264</f>
        <v>0</v>
      </c>
      <c r="L3264" s="1806" t="s">
        <v>2897</v>
      </c>
      <c r="M3264" s="2166">
        <v>12719232</v>
      </c>
      <c r="N3264" s="2166">
        <f>K3264+K3266+K3268</f>
        <v>1990935</v>
      </c>
      <c r="O3264" s="2157">
        <f>M3264-N3264</f>
        <v>10728297</v>
      </c>
      <c r="P3264" s="1837"/>
      <c r="Q3264" s="1837"/>
      <c r="R3264" s="1837"/>
      <c r="S3264" s="1837"/>
      <c r="T3264" s="1837"/>
      <c r="U3264" s="1837"/>
      <c r="V3264" s="1837"/>
      <c r="W3264" s="1837"/>
      <c r="X3264" s="1837"/>
    </row>
    <row r="3265" spans="1:24">
      <c r="A3265" s="1901"/>
      <c r="B3265" s="1755"/>
      <c r="C3265" s="1755" t="s">
        <v>512</v>
      </c>
      <c r="D3265" s="1755"/>
      <c r="E3265" s="1860"/>
      <c r="F3265" s="1860"/>
      <c r="G3265" s="1938"/>
      <c r="H3265" s="1947"/>
      <c r="I3265" s="1938"/>
      <c r="J3265" s="1939"/>
      <c r="K3265" s="1864"/>
      <c r="L3265" s="1940"/>
      <c r="M3265" s="2149"/>
      <c r="N3265" s="1837"/>
      <c r="O3265" s="1837"/>
    </row>
    <row r="3266" spans="1:24" ht="21.3">
      <c r="A3266" s="1901"/>
      <c r="B3266" s="2242" t="s">
        <v>425</v>
      </c>
      <c r="C3266" s="2243" t="s">
        <v>2914</v>
      </c>
      <c r="D3266" s="2244"/>
      <c r="E3266" s="2179">
        <f>1570+2825</f>
        <v>4395</v>
      </c>
      <c r="F3266" s="2245" t="s">
        <v>37</v>
      </c>
      <c r="G3266" s="2180">
        <v>256</v>
      </c>
      <c r="H3266" s="2181">
        <f>E3266*G3266</f>
        <v>1125120</v>
      </c>
      <c r="I3266" s="2180">
        <v>100</v>
      </c>
      <c r="J3266" s="2181">
        <f t="shared" si="1518"/>
        <v>439500</v>
      </c>
      <c r="K3266" s="2182">
        <f t="shared" si="1519"/>
        <v>1564620</v>
      </c>
      <c r="L3266" s="1940"/>
      <c r="M3266" s="2149"/>
      <c r="N3266" s="1837"/>
      <c r="O3266" s="1837"/>
    </row>
    <row r="3267" spans="1:24" ht="21.3">
      <c r="A3267" s="1901"/>
      <c r="B3267" s="2246"/>
      <c r="C3267" s="2247" t="s">
        <v>2862</v>
      </c>
      <c r="D3267" s="2247"/>
      <c r="E3267" s="2179"/>
      <c r="F3267" s="2245"/>
      <c r="G3267" s="2180"/>
      <c r="H3267" s="2181"/>
      <c r="I3267" s="2180"/>
      <c r="J3267" s="2181"/>
      <c r="K3267" s="2182"/>
      <c r="L3267" s="1940"/>
      <c r="M3267" s="2149"/>
      <c r="N3267" s="1837"/>
      <c r="O3267" s="1837"/>
    </row>
    <row r="3268" spans="1:24" ht="21.3">
      <c r="A3268" s="1901"/>
      <c r="B3268" s="2246"/>
      <c r="C3268" s="1867" t="s">
        <v>489</v>
      </c>
      <c r="D3268" s="1868"/>
      <c r="E3268" s="1942">
        <f>E3266</f>
        <v>4395</v>
      </c>
      <c r="F3268" s="1806" t="s">
        <v>37</v>
      </c>
      <c r="G3268" s="2301">
        <v>69</v>
      </c>
      <c r="H3268" s="1947">
        <f>SUM(E3268*G3268)</f>
        <v>303255</v>
      </c>
      <c r="I3268" s="2301">
        <v>28</v>
      </c>
      <c r="J3268" s="1939">
        <f t="shared" si="1518"/>
        <v>123060</v>
      </c>
      <c r="K3268" s="1864">
        <f t="shared" si="1519"/>
        <v>426315</v>
      </c>
      <c r="L3268" s="1940"/>
      <c r="M3268" s="2149"/>
      <c r="N3268" s="1837"/>
      <c r="O3268" s="1837"/>
    </row>
    <row r="3269" spans="1:24" ht="24" customHeight="1">
      <c r="A3269" s="1897"/>
      <c r="B3269" s="1756" t="s">
        <v>425</v>
      </c>
      <c r="C3269" s="1807" t="s">
        <v>854</v>
      </c>
      <c r="D3269" s="1807"/>
      <c r="E3269" s="1897">
        <v>2268</v>
      </c>
      <c r="F3269" s="1806" t="s">
        <v>37</v>
      </c>
      <c r="G3269" s="1892">
        <v>398</v>
      </c>
      <c r="H3269" s="1967">
        <f>E3269*G3269</f>
        <v>902664</v>
      </c>
      <c r="I3269" s="1968">
        <v>154</v>
      </c>
      <c r="J3269" s="2147">
        <f t="shared" si="1518"/>
        <v>349272</v>
      </c>
      <c r="K3269" s="2148">
        <f t="shared" si="1519"/>
        <v>1251936</v>
      </c>
      <c r="L3269" s="2015"/>
      <c r="M3269" s="2149"/>
      <c r="N3269" s="1837"/>
      <c r="O3269" s="1837"/>
      <c r="P3269" s="1837"/>
      <c r="Q3269" s="1837"/>
      <c r="R3269" s="1837"/>
      <c r="S3269" s="1837"/>
      <c r="T3269" s="1837"/>
      <c r="U3269" s="1837"/>
      <c r="V3269" s="1837"/>
      <c r="W3269" s="1837"/>
      <c r="X3269" s="1837"/>
    </row>
    <row r="3270" spans="1:24" ht="24" customHeight="1">
      <c r="A3270" s="1897"/>
      <c r="B3270" s="1807" t="s">
        <v>855</v>
      </c>
      <c r="C3270" s="1807"/>
      <c r="D3270" s="1807"/>
      <c r="E3270" s="1897"/>
      <c r="F3270" s="1806"/>
      <c r="G3270" s="1892"/>
      <c r="H3270" s="1967"/>
      <c r="I3270" s="1968"/>
      <c r="J3270" s="2147"/>
      <c r="K3270" s="2148"/>
      <c r="L3270" s="2015"/>
      <c r="M3270" s="2149"/>
      <c r="N3270" s="1837"/>
      <c r="O3270" s="1837"/>
      <c r="P3270" s="1837"/>
      <c r="Q3270" s="1837"/>
      <c r="R3270" s="1837"/>
      <c r="S3270" s="1837"/>
      <c r="T3270" s="1837"/>
      <c r="U3270" s="1837"/>
      <c r="V3270" s="1837"/>
      <c r="W3270" s="1837"/>
      <c r="X3270" s="1837"/>
    </row>
    <row r="3271" spans="1:24" ht="24" customHeight="1">
      <c r="A3271" s="1897"/>
      <c r="B3271" s="2078" t="s">
        <v>425</v>
      </c>
      <c r="C3271" s="1807" t="s">
        <v>856</v>
      </c>
      <c r="D3271" s="1807"/>
      <c r="E3271" s="1897">
        <v>1634</v>
      </c>
      <c r="F3271" s="1806" t="s">
        <v>156</v>
      </c>
      <c r="G3271" s="1892">
        <v>33</v>
      </c>
      <c r="H3271" s="1967">
        <f t="shared" ref="H3271:H3273" si="1520">E3271*G3271</f>
        <v>53922</v>
      </c>
      <c r="I3271" s="1968">
        <v>14</v>
      </c>
      <c r="J3271" s="2147">
        <f t="shared" ref="J3271:J3273" si="1521">E3271*I3271</f>
        <v>22876</v>
      </c>
      <c r="K3271" s="2148">
        <f t="shared" ref="K3271:K3273" si="1522">H3271+J3271</f>
        <v>76798</v>
      </c>
      <c r="L3271" s="2015"/>
      <c r="M3271" s="2151">
        <v>66994</v>
      </c>
      <c r="N3271" s="2152">
        <f>K3271-M3271</f>
        <v>9804</v>
      </c>
      <c r="O3271" s="2153">
        <v>18612</v>
      </c>
      <c r="P3271" s="2153">
        <f>94*6</f>
        <v>564</v>
      </c>
      <c r="Q3271" s="2153">
        <f>O3271/P3271</f>
        <v>33</v>
      </c>
      <c r="R3271" s="1837"/>
      <c r="S3271" s="1837"/>
      <c r="T3271" s="1837"/>
      <c r="U3271" s="1837"/>
      <c r="V3271" s="1837"/>
      <c r="W3271" s="1837"/>
      <c r="X3271" s="1837"/>
    </row>
    <row r="3272" spans="1:24" ht="24" customHeight="1">
      <c r="A3272" s="1897"/>
      <c r="B3272" s="1756" t="s">
        <v>425</v>
      </c>
      <c r="C3272" s="1807" t="s">
        <v>857</v>
      </c>
      <c r="D3272" s="1807"/>
      <c r="E3272" s="1897">
        <v>2716</v>
      </c>
      <c r="F3272" s="1806" t="s">
        <v>156</v>
      </c>
      <c r="G3272" s="1892">
        <v>33</v>
      </c>
      <c r="H3272" s="1967">
        <f t="shared" si="1520"/>
        <v>89628</v>
      </c>
      <c r="I3272" s="1968">
        <v>14</v>
      </c>
      <c r="J3272" s="2147">
        <f t="shared" si="1521"/>
        <v>38024</v>
      </c>
      <c r="K3272" s="2148">
        <f t="shared" si="1522"/>
        <v>127652</v>
      </c>
      <c r="L3272" s="2015"/>
      <c r="M3272" s="2151">
        <v>111356</v>
      </c>
      <c r="N3272" s="2152">
        <f t="shared" ref="N3272:N3273" si="1523">K3272-M3272</f>
        <v>16296</v>
      </c>
      <c r="O3272" s="2153">
        <v>13068</v>
      </c>
      <c r="P3272" s="2153">
        <f>66*6</f>
        <v>396</v>
      </c>
      <c r="Q3272" s="2153">
        <f>O3272/P3272</f>
        <v>33</v>
      </c>
      <c r="R3272" s="1837"/>
      <c r="S3272" s="1837"/>
      <c r="T3272" s="1837"/>
      <c r="U3272" s="1837"/>
      <c r="V3272" s="1837"/>
      <c r="W3272" s="1837"/>
      <c r="X3272" s="1837"/>
    </row>
    <row r="3273" spans="1:24" ht="24" customHeight="1">
      <c r="A3273" s="1897"/>
      <c r="B3273" s="1756" t="s">
        <v>425</v>
      </c>
      <c r="C3273" s="1807" t="s">
        <v>858</v>
      </c>
      <c r="D3273" s="1807"/>
      <c r="E3273" s="1897">
        <v>2908</v>
      </c>
      <c r="F3273" s="1806" t="s">
        <v>156</v>
      </c>
      <c r="G3273" s="1892">
        <v>34.299999999999997</v>
      </c>
      <c r="H3273" s="1967">
        <f t="shared" si="1520"/>
        <v>99744.4</v>
      </c>
      <c r="I3273" s="1968">
        <v>14</v>
      </c>
      <c r="J3273" s="2147">
        <f t="shared" si="1521"/>
        <v>40712</v>
      </c>
      <c r="K3273" s="2148">
        <f t="shared" si="1522"/>
        <v>140456.4</v>
      </c>
      <c r="L3273" s="2015"/>
      <c r="M3273" s="2164">
        <v>119228</v>
      </c>
      <c r="N3273" s="2152">
        <f t="shared" si="1523"/>
        <v>21228.399999999994</v>
      </c>
      <c r="O3273" s="2153">
        <v>18439.68</v>
      </c>
      <c r="P3273" s="2153">
        <f>89.6*6</f>
        <v>537.59999999999991</v>
      </c>
      <c r="Q3273" s="2153">
        <f>O3273/P3273</f>
        <v>34.300000000000004</v>
      </c>
      <c r="R3273" s="1837"/>
      <c r="S3273" s="1837"/>
      <c r="T3273" s="1837"/>
      <c r="U3273" s="1837"/>
      <c r="V3273" s="1837"/>
      <c r="W3273" s="1837"/>
      <c r="X3273" s="1837"/>
    </row>
    <row r="3274" spans="1:24" ht="24" customHeight="1">
      <c r="A3274" s="1897"/>
      <c r="B3274" s="2327" t="s">
        <v>3037</v>
      </c>
      <c r="C3274" s="2328"/>
      <c r="D3274" s="2328"/>
      <c r="E3274" s="1897"/>
      <c r="F3274" s="2329"/>
      <c r="G3274" s="1892"/>
      <c r="H3274" s="1967"/>
      <c r="I3274" s="1968"/>
      <c r="J3274" s="2147"/>
      <c r="K3274" s="2148"/>
      <c r="L3274" s="2330"/>
      <c r="M3274" s="2164"/>
      <c r="N3274" s="2152"/>
      <c r="O3274" s="2153"/>
      <c r="P3274" s="2153"/>
      <c r="Q3274" s="2153"/>
      <c r="R3274" s="1837"/>
      <c r="S3274" s="1837"/>
      <c r="T3274" s="1837"/>
      <c r="U3274" s="1837"/>
      <c r="V3274" s="1837"/>
      <c r="W3274" s="1837"/>
      <c r="X3274" s="1837"/>
    </row>
    <row r="3275" spans="1:24" ht="24" customHeight="1">
      <c r="A3275" s="1897"/>
      <c r="B3275" s="2331" t="s">
        <v>425</v>
      </c>
      <c r="C3275" s="2332" t="s">
        <v>2914</v>
      </c>
      <c r="D3275" s="2333"/>
      <c r="E3275" s="2179">
        <v>413</v>
      </c>
      <c r="F3275" s="2334" t="s">
        <v>37</v>
      </c>
      <c r="G3275" s="2180">
        <v>256</v>
      </c>
      <c r="H3275" s="2181">
        <f>E3275*G3275</f>
        <v>105728</v>
      </c>
      <c r="I3275" s="2180">
        <v>100</v>
      </c>
      <c r="J3275" s="2181">
        <f t="shared" ref="J3275" si="1524">E3275*I3275</f>
        <v>41300</v>
      </c>
      <c r="K3275" s="2182">
        <f t="shared" ref="K3275" si="1525">H3275+J3275</f>
        <v>147028</v>
      </c>
      <c r="L3275" s="2330"/>
      <c r="M3275" s="2164"/>
      <c r="N3275" s="2152"/>
      <c r="O3275" s="2153"/>
      <c r="P3275" s="2153"/>
      <c r="Q3275" s="2153"/>
      <c r="R3275" s="1837"/>
      <c r="S3275" s="1837"/>
      <c r="T3275" s="1837"/>
      <c r="U3275" s="1837"/>
      <c r="V3275" s="1837"/>
      <c r="W3275" s="1837"/>
      <c r="X3275" s="1837"/>
    </row>
    <row r="3276" spans="1:24" ht="24" customHeight="1">
      <c r="A3276" s="1897"/>
      <c r="B3276" s="2335"/>
      <c r="C3276" s="2336" t="s">
        <v>2862</v>
      </c>
      <c r="D3276" s="2336"/>
      <c r="E3276" s="2179"/>
      <c r="F3276" s="2334"/>
      <c r="G3276" s="2180"/>
      <c r="H3276" s="2181"/>
      <c r="I3276" s="2180"/>
      <c r="J3276" s="2181"/>
      <c r="K3276" s="2182"/>
      <c r="L3276" s="2330"/>
      <c r="M3276" s="2164"/>
      <c r="N3276" s="2152"/>
      <c r="O3276" s="2153"/>
      <c r="P3276" s="2153"/>
      <c r="Q3276" s="2153"/>
      <c r="R3276" s="1837"/>
      <c r="S3276" s="1837"/>
      <c r="T3276" s="1837"/>
      <c r="U3276" s="1837"/>
      <c r="V3276" s="1837"/>
      <c r="W3276" s="1837"/>
      <c r="X3276" s="1837"/>
    </row>
    <row r="3277" spans="1:24" ht="24" customHeight="1">
      <c r="A3277" s="1897"/>
      <c r="B3277" s="2335"/>
      <c r="C3277" s="2337" t="s">
        <v>489</v>
      </c>
      <c r="D3277" s="2258"/>
      <c r="E3277" s="1942">
        <f>E3275</f>
        <v>413</v>
      </c>
      <c r="F3277" s="2329" t="s">
        <v>37</v>
      </c>
      <c r="G3277" s="2301">
        <v>69</v>
      </c>
      <c r="H3277" s="1947">
        <f>SUM(E3277*G3277)</f>
        <v>28497</v>
      </c>
      <c r="I3277" s="2301">
        <v>28</v>
      </c>
      <c r="J3277" s="1939">
        <f t="shared" ref="J3277:J3283" si="1526">E3277*I3277</f>
        <v>11564</v>
      </c>
      <c r="K3277" s="1864">
        <f t="shared" ref="K3277:K3283" si="1527">H3277+J3277</f>
        <v>40061</v>
      </c>
      <c r="L3277" s="2330"/>
      <c r="M3277" s="2164"/>
      <c r="N3277" s="2152"/>
      <c r="O3277" s="2153"/>
      <c r="P3277" s="2153"/>
      <c r="Q3277" s="2153"/>
      <c r="R3277" s="1837"/>
      <c r="S3277" s="1837"/>
      <c r="T3277" s="1837"/>
      <c r="U3277" s="1837"/>
      <c r="V3277" s="1837"/>
      <c r="W3277" s="1837"/>
      <c r="X3277" s="1837"/>
    </row>
    <row r="3278" spans="1:24" ht="24" customHeight="1">
      <c r="A3278" s="1897"/>
      <c r="B3278" s="2338" t="s">
        <v>425</v>
      </c>
      <c r="C3278" s="2328" t="s">
        <v>854</v>
      </c>
      <c r="D3278" s="2328"/>
      <c r="E3278" s="1897">
        <v>207</v>
      </c>
      <c r="F3278" s="2329" t="s">
        <v>37</v>
      </c>
      <c r="G3278" s="1892">
        <v>398</v>
      </c>
      <c r="H3278" s="1967">
        <f>E3278*G3278</f>
        <v>82386</v>
      </c>
      <c r="I3278" s="1968">
        <v>154</v>
      </c>
      <c r="J3278" s="2147">
        <f t="shared" si="1526"/>
        <v>31878</v>
      </c>
      <c r="K3278" s="2148">
        <f t="shared" si="1527"/>
        <v>114264</v>
      </c>
      <c r="L3278" s="2330"/>
      <c r="M3278" s="2164"/>
      <c r="N3278" s="2152"/>
      <c r="O3278" s="2153"/>
      <c r="P3278" s="2153"/>
      <c r="Q3278" s="2153"/>
      <c r="R3278" s="1837"/>
      <c r="S3278" s="1837"/>
      <c r="T3278" s="1837"/>
      <c r="U3278" s="1837"/>
      <c r="V3278" s="1837"/>
      <c r="W3278" s="1837"/>
      <c r="X3278" s="1837"/>
    </row>
    <row r="3279" spans="1:24" ht="24" customHeight="1">
      <c r="A3279" s="1897"/>
      <c r="B3279" s="2338" t="s">
        <v>425</v>
      </c>
      <c r="C3279" s="2328" t="s">
        <v>3038</v>
      </c>
      <c r="D3279" s="2328"/>
      <c r="E3279" s="1897">
        <v>1083</v>
      </c>
      <c r="F3279" s="2329" t="s">
        <v>156</v>
      </c>
      <c r="G3279" s="1892">
        <v>35.736110513405343</v>
      </c>
      <c r="H3279" s="1967">
        <f t="shared" ref="H3279:H3283" si="1528">E3279*G3279</f>
        <v>38702.207686017988</v>
      </c>
      <c r="I3279" s="1968">
        <v>14</v>
      </c>
      <c r="J3279" s="2147">
        <f t="shared" si="1526"/>
        <v>15162</v>
      </c>
      <c r="K3279" s="2148">
        <f t="shared" si="1527"/>
        <v>53864.207686017988</v>
      </c>
      <c r="L3279" s="2330"/>
      <c r="M3279" s="2164"/>
      <c r="N3279" s="2152"/>
      <c r="O3279" s="2153"/>
      <c r="P3279" s="2153"/>
      <c r="Q3279" s="2153"/>
      <c r="R3279" s="1837"/>
      <c r="S3279" s="1837"/>
      <c r="T3279" s="1837"/>
      <c r="U3279" s="1837"/>
      <c r="V3279" s="1837"/>
      <c r="W3279" s="1837"/>
      <c r="X3279" s="1837"/>
    </row>
    <row r="3280" spans="1:24" ht="24" customHeight="1">
      <c r="A3280" s="1897"/>
      <c r="B3280" s="2338" t="s">
        <v>425</v>
      </c>
      <c r="C3280" s="2328" t="s">
        <v>3039</v>
      </c>
      <c r="D3280" s="2328"/>
      <c r="E3280" s="1897">
        <v>2046</v>
      </c>
      <c r="F3280" s="2329" t="s">
        <v>156</v>
      </c>
      <c r="G3280" s="2339">
        <v>38</v>
      </c>
      <c r="H3280" s="1967">
        <f t="shared" si="1528"/>
        <v>77748</v>
      </c>
      <c r="I3280" s="1968">
        <v>14</v>
      </c>
      <c r="J3280" s="2147">
        <f t="shared" si="1526"/>
        <v>28644</v>
      </c>
      <c r="K3280" s="2148">
        <f t="shared" si="1527"/>
        <v>106392</v>
      </c>
      <c r="L3280" s="2330"/>
      <c r="M3280" s="2164"/>
      <c r="N3280" s="2152"/>
      <c r="O3280" s="2153"/>
      <c r="P3280" s="2153"/>
      <c r="Q3280" s="2153"/>
      <c r="R3280" s="1837"/>
      <c r="S3280" s="1837"/>
      <c r="T3280" s="1837"/>
      <c r="U3280" s="1837"/>
      <c r="V3280" s="1837"/>
      <c r="W3280" s="1837"/>
      <c r="X3280" s="1837"/>
    </row>
    <row r="3281" spans="1:24" ht="24" customHeight="1">
      <c r="A3281" s="1897"/>
      <c r="B3281" s="2338" t="s">
        <v>425</v>
      </c>
      <c r="C3281" s="2328" t="s">
        <v>3040</v>
      </c>
      <c r="D3281" s="2328"/>
      <c r="E3281" s="1897">
        <v>1574</v>
      </c>
      <c r="F3281" s="2329" t="s">
        <v>156</v>
      </c>
      <c r="G3281" s="2339">
        <v>32.590051457975989</v>
      </c>
      <c r="H3281" s="1967">
        <f t="shared" si="1528"/>
        <v>51296.740994854204</v>
      </c>
      <c r="I3281" s="1968">
        <v>14</v>
      </c>
      <c r="J3281" s="2147">
        <f t="shared" si="1526"/>
        <v>22036</v>
      </c>
      <c r="K3281" s="2148">
        <f t="shared" si="1527"/>
        <v>73332.740994854204</v>
      </c>
      <c r="L3281" s="2330"/>
      <c r="M3281" s="2164"/>
      <c r="N3281" s="2152"/>
      <c r="O3281" s="2153"/>
      <c r="P3281" s="2153"/>
      <c r="Q3281" s="2153"/>
      <c r="R3281" s="1837"/>
      <c r="S3281" s="1837"/>
      <c r="T3281" s="1837"/>
      <c r="U3281" s="1837"/>
      <c r="V3281" s="1837"/>
      <c r="W3281" s="1837"/>
      <c r="X3281" s="1837"/>
    </row>
    <row r="3282" spans="1:24" ht="24" customHeight="1">
      <c r="A3282" s="1897"/>
      <c r="B3282" s="2338" t="s">
        <v>425</v>
      </c>
      <c r="C3282" s="2328" t="s">
        <v>3041</v>
      </c>
      <c r="D3282" s="2328"/>
      <c r="E3282" s="1897">
        <v>2618</v>
      </c>
      <c r="F3282" s="2329" t="s">
        <v>156</v>
      </c>
      <c r="G3282" s="2339">
        <v>37</v>
      </c>
      <c r="H3282" s="1967">
        <f t="shared" si="1528"/>
        <v>96866</v>
      </c>
      <c r="I3282" s="1968">
        <v>14</v>
      </c>
      <c r="J3282" s="2147">
        <f t="shared" si="1526"/>
        <v>36652</v>
      </c>
      <c r="K3282" s="2148">
        <f t="shared" si="1527"/>
        <v>133518</v>
      </c>
      <c r="L3282" s="2330"/>
      <c r="M3282" s="2164"/>
      <c r="N3282" s="2152"/>
      <c r="O3282" s="2153"/>
      <c r="P3282" s="2153"/>
      <c r="Q3282" s="2153"/>
      <c r="R3282" s="1837"/>
      <c r="S3282" s="1837"/>
      <c r="T3282" s="1837"/>
      <c r="U3282" s="1837"/>
      <c r="V3282" s="1837"/>
      <c r="W3282" s="1837"/>
      <c r="X3282" s="1837"/>
    </row>
    <row r="3283" spans="1:24" ht="24" customHeight="1">
      <c r="A3283" s="1897"/>
      <c r="B3283" s="2338" t="s">
        <v>425</v>
      </c>
      <c r="C3283" s="2328" t="s">
        <v>3042</v>
      </c>
      <c r="D3283" s="2328"/>
      <c r="E3283" s="1897">
        <v>294</v>
      </c>
      <c r="F3283" s="2329" t="s">
        <v>438</v>
      </c>
      <c r="G3283" s="2339">
        <v>42</v>
      </c>
      <c r="H3283" s="1967">
        <f t="shared" si="1528"/>
        <v>12348</v>
      </c>
      <c r="I3283" s="1968">
        <v>13</v>
      </c>
      <c r="J3283" s="2147">
        <f t="shared" si="1526"/>
        <v>3822</v>
      </c>
      <c r="K3283" s="2148">
        <f t="shared" si="1527"/>
        <v>16170</v>
      </c>
      <c r="L3283" s="2330"/>
      <c r="M3283" s="2164"/>
      <c r="N3283" s="2152"/>
      <c r="O3283" s="2153"/>
      <c r="P3283" s="2153"/>
      <c r="Q3283" s="2153"/>
      <c r="R3283" s="1836"/>
      <c r="S3283" s="1836">
        <f>G3283*0.3</f>
        <v>12.6</v>
      </c>
      <c r="T3283" s="1837"/>
      <c r="U3283" s="1837"/>
      <c r="V3283" s="1837"/>
      <c r="W3283" s="1837"/>
      <c r="X3283" s="1837"/>
    </row>
    <row r="3284" spans="1:24" ht="24" customHeight="1">
      <c r="A3284" s="1901" t="s">
        <v>859</v>
      </c>
      <c r="B3284" s="2340" t="s">
        <v>860</v>
      </c>
      <c r="C3284" s="2328"/>
      <c r="D3284" s="2341"/>
      <c r="E3284" s="1897"/>
      <c r="F3284" s="2329"/>
      <c r="G3284" s="1966"/>
      <c r="H3284" s="1967"/>
      <c r="I3284" s="1968"/>
      <c r="J3284" s="2147"/>
      <c r="K3284" s="2148"/>
      <c r="L3284" s="2342"/>
      <c r="M3284" s="1737" t="s">
        <v>2898</v>
      </c>
      <c r="N3284" s="2183">
        <f>SUM(K3210:K3273)</f>
        <v>258342460.01278716</v>
      </c>
      <c r="O3284" s="1837"/>
      <c r="P3284" s="1837"/>
      <c r="Q3284" s="1837"/>
      <c r="R3284" s="1837"/>
      <c r="S3284" s="1837"/>
      <c r="T3284" s="1837"/>
      <c r="U3284" s="1837"/>
      <c r="V3284" s="1837"/>
      <c r="W3284" s="1837"/>
      <c r="X3284" s="1837"/>
    </row>
    <row r="3285" spans="1:24" ht="22.15" customHeight="1">
      <c r="A3285" s="1782" t="s">
        <v>861</v>
      </c>
      <c r="B3285" s="2338" t="s">
        <v>425</v>
      </c>
      <c r="C3285" s="2328" t="s">
        <v>862</v>
      </c>
      <c r="D3285" s="2343"/>
      <c r="E3285" s="1860">
        <f>106+102</f>
        <v>208</v>
      </c>
      <c r="F3285" s="1860" t="s">
        <v>240</v>
      </c>
      <c r="G3285" s="2344">
        <v>640</v>
      </c>
      <c r="H3285" s="2345">
        <f t="shared" ref="H3285:H3291" si="1529">E3285*G3285</f>
        <v>133120</v>
      </c>
      <c r="I3285" s="2346">
        <v>200</v>
      </c>
      <c r="J3285" s="1808">
        <f t="shared" ref="J3285:J3291" si="1530">E3285*I3285</f>
        <v>41600</v>
      </c>
      <c r="K3285" s="1808">
        <f t="shared" ref="K3285:K3291" si="1531">H3285+J3285</f>
        <v>174720</v>
      </c>
      <c r="L3285" s="1808"/>
      <c r="M3285" s="2248">
        <v>89440</v>
      </c>
      <c r="N3285" s="1837"/>
      <c r="O3285" s="1837"/>
    </row>
    <row r="3286" spans="1:24" ht="22.15" customHeight="1">
      <c r="A3286" s="1782"/>
      <c r="B3286" s="2078" t="s">
        <v>425</v>
      </c>
      <c r="C3286" s="2328" t="s">
        <v>863</v>
      </c>
      <c r="D3286" s="2343"/>
      <c r="E3286" s="1860">
        <f>40*2</f>
        <v>80</v>
      </c>
      <c r="F3286" s="1860" t="s">
        <v>240</v>
      </c>
      <c r="G3286" s="1789">
        <v>640</v>
      </c>
      <c r="H3286" s="1788">
        <f t="shared" si="1529"/>
        <v>51200</v>
      </c>
      <c r="I3286" s="2083">
        <v>180</v>
      </c>
      <c r="J3286" s="1808">
        <f t="shared" si="1530"/>
        <v>14400</v>
      </c>
      <c r="K3286" s="1808">
        <f t="shared" si="1531"/>
        <v>65600</v>
      </c>
      <c r="L3286" s="1808"/>
      <c r="M3286" s="2149"/>
      <c r="N3286" s="1837"/>
      <c r="O3286" s="1837"/>
    </row>
    <row r="3287" spans="1:24" ht="22.15" customHeight="1">
      <c r="A3287" s="1782"/>
      <c r="B3287" s="2338" t="s">
        <v>425</v>
      </c>
      <c r="C3287" s="2328" t="s">
        <v>864</v>
      </c>
      <c r="D3287" s="2343"/>
      <c r="E3287" s="1860">
        <f>745+600</f>
        <v>1345</v>
      </c>
      <c r="F3287" s="2329" t="s">
        <v>616</v>
      </c>
      <c r="G3287" s="1789">
        <v>75</v>
      </c>
      <c r="H3287" s="1788">
        <f t="shared" si="1529"/>
        <v>100875</v>
      </c>
      <c r="I3287" s="2083">
        <v>75</v>
      </c>
      <c r="J3287" s="1808">
        <f t="shared" si="1530"/>
        <v>100875</v>
      </c>
      <c r="K3287" s="1808">
        <f t="shared" si="1531"/>
        <v>201750</v>
      </c>
      <c r="L3287" s="1808"/>
      <c r="M3287" s="2081"/>
      <c r="N3287" s="2024"/>
    </row>
    <row r="3288" spans="1:24" ht="22.15" customHeight="1">
      <c r="A3288" s="1782"/>
      <c r="B3288" s="2078" t="s">
        <v>425</v>
      </c>
      <c r="C3288" s="2249" t="s">
        <v>865</v>
      </c>
      <c r="D3288" s="1961"/>
      <c r="E3288" s="1860">
        <v>0</v>
      </c>
      <c r="F3288" s="1860" t="s">
        <v>240</v>
      </c>
      <c r="G3288" s="1778">
        <v>180</v>
      </c>
      <c r="H3288" s="1788">
        <f t="shared" si="1529"/>
        <v>0</v>
      </c>
      <c r="I3288" s="2219">
        <v>70</v>
      </c>
      <c r="J3288" s="1808">
        <f t="shared" si="1530"/>
        <v>0</v>
      </c>
      <c r="K3288" s="1808">
        <f t="shared" si="1531"/>
        <v>0</v>
      </c>
      <c r="L3288" s="2073"/>
      <c r="M3288" s="2081"/>
      <c r="N3288" s="2024"/>
    </row>
    <row r="3289" spans="1:24" ht="22.15" customHeight="1">
      <c r="A3289" s="1782"/>
      <c r="B3289" s="1756" t="s">
        <v>425</v>
      </c>
      <c r="C3289" s="2070" t="s">
        <v>2863</v>
      </c>
      <c r="D3289" s="2071"/>
      <c r="E3289" s="1808">
        <f>240*2</f>
        <v>480</v>
      </c>
      <c r="F3289" s="1808" t="s">
        <v>37</v>
      </c>
      <c r="G3289" s="2080">
        <v>76</v>
      </c>
      <c r="H3289" s="1788">
        <f t="shared" si="1529"/>
        <v>36480</v>
      </c>
      <c r="I3289" s="2083">
        <v>105</v>
      </c>
      <c r="J3289" s="1808">
        <f t="shared" si="1530"/>
        <v>50400</v>
      </c>
      <c r="K3289" s="1808">
        <f t="shared" si="1531"/>
        <v>86880</v>
      </c>
      <c r="L3289" s="2096"/>
      <c r="M3289" s="2081"/>
      <c r="N3289" s="2024"/>
    </row>
    <row r="3290" spans="1:24" ht="22.15" customHeight="1">
      <c r="A3290" s="1901"/>
      <c r="B3290" s="2078" t="s">
        <v>425</v>
      </c>
      <c r="C3290" s="2070" t="s">
        <v>866</v>
      </c>
      <c r="D3290" s="2070"/>
      <c r="E3290" s="1897">
        <f>8*2</f>
        <v>16</v>
      </c>
      <c r="F3290" s="1806" t="s">
        <v>616</v>
      </c>
      <c r="G3290" s="1778">
        <v>1500</v>
      </c>
      <c r="H3290" s="1788">
        <f t="shared" si="1529"/>
        <v>24000</v>
      </c>
      <c r="I3290" s="2218">
        <v>500</v>
      </c>
      <c r="J3290" s="1808">
        <f t="shared" si="1530"/>
        <v>8000</v>
      </c>
      <c r="K3290" s="1808">
        <f t="shared" si="1531"/>
        <v>32000</v>
      </c>
      <c r="L3290" s="2076"/>
      <c r="M3290" s="2059">
        <f>SUM(K3285:K3290)</f>
        <v>560950</v>
      </c>
      <c r="N3290" s="1863"/>
      <c r="O3290" s="1863"/>
      <c r="P3290" s="2077"/>
      <c r="Q3290" s="2077"/>
      <c r="R3290" s="2184"/>
    </row>
    <row r="3291" spans="1:24" ht="22.15" customHeight="1">
      <c r="A3291" s="1901" t="s">
        <v>867</v>
      </c>
      <c r="B3291" s="2101" t="s">
        <v>2864</v>
      </c>
      <c r="C3291" s="2133"/>
      <c r="D3291" s="2133"/>
      <c r="E3291" s="1897">
        <v>268</v>
      </c>
      <c r="F3291" s="1806" t="s">
        <v>616</v>
      </c>
      <c r="G3291" s="1778">
        <v>5500</v>
      </c>
      <c r="H3291" s="1788">
        <f t="shared" si="1529"/>
        <v>1474000</v>
      </c>
      <c r="I3291" s="2218">
        <v>450</v>
      </c>
      <c r="J3291" s="1808">
        <f t="shared" si="1530"/>
        <v>120600</v>
      </c>
      <c r="K3291" s="1808">
        <f t="shared" si="1531"/>
        <v>1594600</v>
      </c>
      <c r="L3291" s="2076"/>
      <c r="M3291" s="2059"/>
      <c r="N3291" s="1863"/>
      <c r="O3291" s="1863"/>
      <c r="P3291" s="2077"/>
      <c r="Q3291" s="2077"/>
      <c r="R3291" s="2184"/>
    </row>
    <row r="3292" spans="1:24" ht="22.15" customHeight="1">
      <c r="A3292" s="1901"/>
      <c r="B3292" s="2101" t="s">
        <v>868</v>
      </c>
      <c r="C3292" s="2133"/>
      <c r="D3292" s="2133"/>
      <c r="E3292" s="1897"/>
      <c r="F3292" s="1808"/>
      <c r="G3292" s="1778"/>
      <c r="H3292" s="1788"/>
      <c r="I3292" s="2218"/>
      <c r="J3292" s="1808"/>
      <c r="K3292" s="1808"/>
      <c r="L3292" s="2076"/>
      <c r="M3292" s="2059"/>
      <c r="N3292" s="1863"/>
      <c r="O3292" s="1863"/>
      <c r="P3292" s="2077"/>
      <c r="Q3292" s="2077"/>
      <c r="R3292" s="2184"/>
    </row>
    <row r="3293" spans="1:24" ht="22.15" customHeight="1">
      <c r="A3293" s="1901" t="s">
        <v>869</v>
      </c>
      <c r="B3293" s="2185" t="s">
        <v>870</v>
      </c>
      <c r="C3293" s="1807"/>
      <c r="D3293" s="1965"/>
      <c r="E3293" s="2186"/>
      <c r="F3293" s="1860"/>
      <c r="G3293" s="1789"/>
      <c r="H3293" s="1788"/>
      <c r="I3293" s="2083"/>
      <c r="J3293" s="1808"/>
      <c r="K3293" s="1808"/>
      <c r="L3293" s="1899"/>
      <c r="N3293" s="1863"/>
      <c r="O3293" s="1863"/>
      <c r="P3293" s="2077"/>
      <c r="Q3293" s="2077"/>
      <c r="R3293" s="2184"/>
    </row>
    <row r="3294" spans="1:24" ht="22.15" customHeight="1">
      <c r="A3294" s="1901"/>
      <c r="B3294" s="2185" t="s">
        <v>871</v>
      </c>
      <c r="C3294" s="1807"/>
      <c r="D3294" s="1965"/>
      <c r="E3294" s="2186">
        <v>2</v>
      </c>
      <c r="F3294" s="1860" t="s">
        <v>240</v>
      </c>
      <c r="G3294" s="1789">
        <f>90*935</f>
        <v>84150</v>
      </c>
      <c r="H3294" s="1788">
        <f t="shared" ref="H3294:H3296" si="1532">E3294*G3294</f>
        <v>168300</v>
      </c>
      <c r="I3294" s="2083">
        <f>40*935</f>
        <v>37400</v>
      </c>
      <c r="J3294" s="1808">
        <f t="shared" ref="J3294:J3296" si="1533">E3294*I3294</f>
        <v>74800</v>
      </c>
      <c r="K3294" s="1808">
        <f t="shared" ref="K3294:K3296" si="1534">H3294+J3294</f>
        <v>243100</v>
      </c>
      <c r="L3294" s="1899"/>
      <c r="N3294" s="1863"/>
      <c r="O3294" s="1863"/>
      <c r="P3294" s="2077"/>
      <c r="Q3294" s="2077"/>
      <c r="R3294" s="2184"/>
    </row>
    <row r="3295" spans="1:24" ht="22.15" customHeight="1">
      <c r="A3295" s="1901"/>
      <c r="B3295" s="2185" t="s">
        <v>872</v>
      </c>
      <c r="C3295" s="1807"/>
      <c r="D3295" s="1965"/>
      <c r="E3295" s="2186">
        <v>1</v>
      </c>
      <c r="F3295" s="1860" t="s">
        <v>240</v>
      </c>
      <c r="G3295" s="1789">
        <f>90*1860</f>
        <v>167400</v>
      </c>
      <c r="H3295" s="1788">
        <f t="shared" si="1532"/>
        <v>167400</v>
      </c>
      <c r="I3295" s="2083">
        <f>40*1860</f>
        <v>74400</v>
      </c>
      <c r="J3295" s="1808">
        <f t="shared" si="1533"/>
        <v>74400</v>
      </c>
      <c r="K3295" s="1808">
        <f t="shared" si="1534"/>
        <v>241800</v>
      </c>
      <c r="L3295" s="1899"/>
      <c r="N3295" s="1863"/>
      <c r="O3295" s="1863"/>
      <c r="P3295" s="2077"/>
      <c r="Q3295" s="2077"/>
      <c r="R3295" s="2184"/>
    </row>
    <row r="3296" spans="1:24" ht="22.15" customHeight="1">
      <c r="A3296" s="1901"/>
      <c r="B3296" s="2185" t="s">
        <v>873</v>
      </c>
      <c r="C3296" s="1807"/>
      <c r="D3296" s="1965"/>
      <c r="E3296" s="2186">
        <v>4</v>
      </c>
      <c r="F3296" s="1860" t="s">
        <v>240</v>
      </c>
      <c r="G3296" s="1789">
        <f>90*300</f>
        <v>27000</v>
      </c>
      <c r="H3296" s="1788">
        <f t="shared" si="1532"/>
        <v>108000</v>
      </c>
      <c r="I3296" s="2083">
        <f>40*300</f>
        <v>12000</v>
      </c>
      <c r="J3296" s="1808">
        <f t="shared" si="1533"/>
        <v>48000</v>
      </c>
      <c r="K3296" s="1808">
        <f t="shared" si="1534"/>
        <v>156000</v>
      </c>
      <c r="L3296" s="1899"/>
      <c r="N3296" s="1863"/>
      <c r="O3296" s="1863"/>
      <c r="P3296" s="2077"/>
      <c r="Q3296" s="2077"/>
      <c r="R3296" s="2184"/>
    </row>
    <row r="3297" spans="1:18" ht="22.15" customHeight="1">
      <c r="A3297" s="1901"/>
      <c r="B3297" s="2185"/>
      <c r="C3297" s="1807"/>
      <c r="D3297" s="1965"/>
      <c r="E3297" s="2186"/>
      <c r="F3297" s="1860"/>
      <c r="G3297" s="1789"/>
      <c r="H3297" s="1788"/>
      <c r="I3297" s="2083"/>
      <c r="J3297" s="1808"/>
      <c r="K3297" s="1789"/>
      <c r="L3297" s="1899"/>
      <c r="N3297" s="1863"/>
      <c r="O3297" s="1863"/>
      <c r="P3297" s="2077"/>
      <c r="Q3297" s="2077"/>
      <c r="R3297" s="2184"/>
    </row>
    <row r="3298" spans="1:18" ht="22.15" customHeight="1">
      <c r="A3298" s="1901"/>
      <c r="B3298" s="2185"/>
      <c r="C3298" s="1807"/>
      <c r="D3298" s="1965"/>
      <c r="E3298" s="2186"/>
      <c r="F3298" s="1860"/>
      <c r="G3298" s="1789"/>
      <c r="H3298" s="1788"/>
      <c r="I3298" s="2083"/>
      <c r="J3298" s="1808"/>
      <c r="K3298" s="1789"/>
      <c r="L3298" s="1899"/>
      <c r="N3298" s="1863"/>
      <c r="O3298" s="1863"/>
      <c r="P3298" s="2077"/>
      <c r="Q3298" s="2077"/>
      <c r="R3298" s="2184"/>
    </row>
    <row r="3299" spans="1:18" ht="22.15" customHeight="1">
      <c r="A3299" s="1901" t="s">
        <v>874</v>
      </c>
      <c r="B3299" s="2185" t="s">
        <v>875</v>
      </c>
      <c r="C3299" s="1807"/>
      <c r="D3299" s="1965"/>
      <c r="E3299" s="2186"/>
      <c r="F3299" s="1860"/>
      <c r="G3299" s="1789"/>
      <c r="H3299" s="1788"/>
      <c r="I3299" s="2083"/>
      <c r="J3299" s="1808"/>
      <c r="K3299" s="1789"/>
      <c r="L3299" s="1899"/>
      <c r="N3299" s="1863"/>
      <c r="O3299" s="1863"/>
      <c r="P3299" s="2077"/>
      <c r="Q3299" s="2077"/>
      <c r="R3299" s="2184"/>
    </row>
    <row r="3300" spans="1:18" ht="22.15" customHeight="1">
      <c r="A3300" s="1901"/>
      <c r="B3300" s="2185" t="s">
        <v>2865</v>
      </c>
      <c r="C3300" s="1807"/>
      <c r="D3300" s="1965"/>
      <c r="E3300" s="2186">
        <v>72</v>
      </c>
      <c r="F3300" s="1860" t="s">
        <v>240</v>
      </c>
      <c r="G3300" s="1789">
        <v>975</v>
      </c>
      <c r="H3300" s="1788">
        <f t="shared" ref="H3300:H3302" si="1535">E3300*G3300</f>
        <v>70200</v>
      </c>
      <c r="I3300" s="2083">
        <v>252</v>
      </c>
      <c r="J3300" s="1808">
        <f t="shared" ref="J3300:J3302" si="1536">E3300*I3300</f>
        <v>18144</v>
      </c>
      <c r="K3300" s="1808">
        <f t="shared" ref="K3300:K3302" si="1537">H3300+J3300</f>
        <v>88344</v>
      </c>
      <c r="L3300" s="1899"/>
      <c r="M3300" s="2184"/>
      <c r="N3300" s="1863"/>
      <c r="O3300" s="1863"/>
      <c r="P3300" s="2077"/>
      <c r="Q3300" s="2077"/>
      <c r="R3300" s="2184"/>
    </row>
    <row r="3301" spans="1:18" ht="22.15" customHeight="1">
      <c r="A3301" s="1901"/>
      <c r="B3301" s="2185" t="s">
        <v>876</v>
      </c>
      <c r="C3301" s="1807"/>
      <c r="D3301" s="1965"/>
      <c r="E3301" s="2186">
        <v>96</v>
      </c>
      <c r="F3301" s="1860" t="s">
        <v>240</v>
      </c>
      <c r="G3301" s="1789">
        <v>1300</v>
      </c>
      <c r="H3301" s="1788">
        <f t="shared" si="1535"/>
        <v>124800</v>
      </c>
      <c r="I3301" s="2083">
        <v>336</v>
      </c>
      <c r="J3301" s="1808">
        <f t="shared" si="1536"/>
        <v>32256</v>
      </c>
      <c r="K3301" s="1808">
        <f t="shared" si="1537"/>
        <v>157056</v>
      </c>
      <c r="L3301" s="1899"/>
      <c r="M3301" s="2184"/>
      <c r="N3301" s="1863"/>
      <c r="O3301" s="1863"/>
      <c r="P3301" s="2077"/>
      <c r="Q3301" s="2077"/>
      <c r="R3301" s="2184"/>
    </row>
    <row r="3302" spans="1:18" ht="22.15" customHeight="1">
      <c r="A3302" s="1901"/>
      <c r="B3302" s="2185" t="s">
        <v>877</v>
      </c>
      <c r="C3302" s="1807"/>
      <c r="D3302" s="1965"/>
      <c r="E3302" s="2186">
        <v>28</v>
      </c>
      <c r="F3302" s="1860" t="s">
        <v>240</v>
      </c>
      <c r="G3302" s="1789">
        <v>1950</v>
      </c>
      <c r="H3302" s="1788">
        <f t="shared" si="1535"/>
        <v>54600</v>
      </c>
      <c r="I3302" s="2083">
        <v>504</v>
      </c>
      <c r="J3302" s="1808">
        <f t="shared" si="1536"/>
        <v>14112</v>
      </c>
      <c r="K3302" s="1808">
        <f t="shared" si="1537"/>
        <v>68712</v>
      </c>
      <c r="L3302" s="1899"/>
      <c r="M3302" s="2184"/>
      <c r="N3302" s="1863"/>
      <c r="O3302" s="1863"/>
      <c r="P3302" s="2077"/>
      <c r="Q3302" s="2077"/>
      <c r="R3302" s="2184"/>
    </row>
    <row r="3303" spans="1:18">
      <c r="A3303" s="1901" t="s">
        <v>878</v>
      </c>
      <c r="B3303" s="1755" t="s">
        <v>879</v>
      </c>
      <c r="C3303" s="1807"/>
      <c r="D3303" s="1965"/>
      <c r="E3303" s="2187"/>
      <c r="F3303" s="1806"/>
      <c r="G3303" s="1966"/>
      <c r="H3303" s="1967"/>
      <c r="I3303" s="1968"/>
      <c r="J3303" s="2147"/>
      <c r="K3303" s="2220"/>
      <c r="L3303" s="1899"/>
    </row>
    <row r="3304" spans="1:18">
      <c r="A3304" s="1901"/>
      <c r="B3304" s="2078" t="s">
        <v>425</v>
      </c>
      <c r="C3304" s="1807" t="s">
        <v>880</v>
      </c>
      <c r="D3304" s="1965"/>
      <c r="E3304" s="2186">
        <v>2</v>
      </c>
      <c r="F3304" s="1860" t="s">
        <v>240</v>
      </c>
      <c r="G3304" s="1789">
        <v>146250</v>
      </c>
      <c r="H3304" s="1788">
        <f t="shared" ref="H3304:H3305" si="1538">E3304*G3304</f>
        <v>292500</v>
      </c>
      <c r="I3304" s="2083">
        <v>11115</v>
      </c>
      <c r="J3304" s="1808">
        <f t="shared" ref="J3304:J3305" si="1539">E3304*I3304</f>
        <v>22230</v>
      </c>
      <c r="K3304" s="1808">
        <f t="shared" ref="K3304:K3305" si="1540">H3304+J3304</f>
        <v>314730</v>
      </c>
      <c r="L3304" s="1899"/>
      <c r="O3304" s="2004"/>
      <c r="P3304" s="2004"/>
      <c r="Q3304" s="2004"/>
    </row>
    <row r="3305" spans="1:18">
      <c r="A3305" s="1901"/>
      <c r="B3305" s="2078" t="s">
        <v>425</v>
      </c>
      <c r="C3305" s="1807" t="s">
        <v>881</v>
      </c>
      <c r="D3305" s="1965"/>
      <c r="E3305" s="2186">
        <v>1</v>
      </c>
      <c r="F3305" s="1860" t="s">
        <v>240</v>
      </c>
      <c r="G3305" s="1789">
        <v>260625</v>
      </c>
      <c r="H3305" s="1788">
        <f t="shared" si="1538"/>
        <v>260625</v>
      </c>
      <c r="I3305" s="2083">
        <v>19807.5</v>
      </c>
      <c r="J3305" s="1808">
        <f t="shared" si="1539"/>
        <v>19807.5</v>
      </c>
      <c r="K3305" s="1808">
        <f t="shared" si="1540"/>
        <v>280432.5</v>
      </c>
      <c r="L3305" s="1899"/>
      <c r="O3305" s="2004"/>
      <c r="P3305" s="2004"/>
      <c r="Q3305" s="2004"/>
    </row>
    <row r="3306" spans="1:18" ht="22.15" customHeight="1">
      <c r="A3306" s="1782" t="s">
        <v>882</v>
      </c>
      <c r="B3306" s="2109" t="s">
        <v>2866</v>
      </c>
      <c r="C3306" s="2133"/>
      <c r="D3306" s="2133"/>
      <c r="E3306" s="1897"/>
      <c r="F3306" s="1806"/>
      <c r="G3306" s="1966"/>
      <c r="H3306" s="1967"/>
      <c r="I3306" s="1968"/>
      <c r="J3306" s="2147"/>
      <c r="K3306" s="2148"/>
      <c r="L3306" s="1899"/>
      <c r="N3306" s="1863"/>
      <c r="O3306" s="1863"/>
      <c r="P3306" s="2077"/>
      <c r="Q3306" s="2077"/>
      <c r="R3306" s="2184"/>
    </row>
    <row r="3307" spans="1:18" ht="22.15" customHeight="1">
      <c r="A3307" s="2093"/>
      <c r="B3307" s="1756" t="s">
        <v>425</v>
      </c>
      <c r="C3307" s="2133" t="s">
        <v>894</v>
      </c>
      <c r="D3307" s="2133"/>
      <c r="E3307" s="1897">
        <v>28565</v>
      </c>
      <c r="F3307" s="1808" t="s">
        <v>37</v>
      </c>
      <c r="G3307" s="1892">
        <v>58</v>
      </c>
      <c r="H3307" s="1788">
        <f t="shared" ref="H3307:H3365" si="1541">G3307*E3307</f>
        <v>1656770</v>
      </c>
      <c r="I3307" s="2083">
        <v>35</v>
      </c>
      <c r="J3307" s="1808">
        <f>E3307*I3307</f>
        <v>999775</v>
      </c>
      <c r="K3307" s="1808">
        <f>H3307+J3307</f>
        <v>2656545</v>
      </c>
      <c r="L3307" s="1899"/>
      <c r="N3307" s="1863"/>
      <c r="O3307" s="1863"/>
      <c r="P3307" s="2077"/>
      <c r="Q3307" s="2077"/>
      <c r="R3307" s="2184"/>
    </row>
    <row r="3308" spans="1:18" ht="22.15" customHeight="1">
      <c r="A3308" s="2093"/>
      <c r="B3308" s="2078" t="s">
        <v>425</v>
      </c>
      <c r="C3308" s="2133" t="s">
        <v>895</v>
      </c>
      <c r="D3308" s="2133"/>
      <c r="E3308" s="1897">
        <v>28565</v>
      </c>
      <c r="F3308" s="1808" t="s">
        <v>37</v>
      </c>
      <c r="G3308" s="1892">
        <v>735</v>
      </c>
      <c r="H3308" s="1788">
        <f t="shared" si="1541"/>
        <v>20995275</v>
      </c>
      <c r="I3308" s="2083">
        <v>0</v>
      </c>
      <c r="J3308" s="1808">
        <f>E3308*I3308</f>
        <v>0</v>
      </c>
      <c r="K3308" s="1808">
        <f>H3308+J3308</f>
        <v>20995275</v>
      </c>
      <c r="L3308" s="1899"/>
      <c r="M3308" s="2004">
        <v>20330451.350000001</v>
      </c>
      <c r="N3308" s="1863"/>
      <c r="O3308" s="1863"/>
      <c r="P3308" s="2077"/>
      <c r="Q3308" s="2077"/>
      <c r="R3308" s="2184"/>
    </row>
    <row r="3309" spans="1:18" ht="22.15" customHeight="1">
      <c r="A3309" s="2093"/>
      <c r="B3309" s="2128"/>
      <c r="C3309" s="2133"/>
      <c r="D3309" s="2133"/>
      <c r="E3309" s="2276"/>
      <c r="F3309" s="2106"/>
      <c r="G3309" s="2103"/>
      <c r="H3309" s="1788"/>
      <c r="I3309" s="2188"/>
      <c r="J3309" s="1808"/>
      <c r="K3309" s="1808"/>
      <c r="L3309" s="2107"/>
      <c r="M3309" s="2004"/>
      <c r="N3309" s="1863"/>
      <c r="O3309" s="1863"/>
      <c r="P3309" s="2077"/>
      <c r="Q3309" s="2077"/>
      <c r="R3309" s="2184"/>
    </row>
    <row r="3310" spans="1:18" ht="22.15" customHeight="1">
      <c r="A3310" s="2093"/>
      <c r="B3310" s="2128"/>
      <c r="C3310" s="2133"/>
      <c r="D3310" s="2133"/>
      <c r="E3310" s="2276"/>
      <c r="F3310" s="2106"/>
      <c r="G3310" s="2103"/>
      <c r="H3310" s="1788"/>
      <c r="I3310" s="2188"/>
      <c r="J3310" s="1808"/>
      <c r="K3310" s="1808"/>
      <c r="L3310" s="2107"/>
      <c r="M3310" s="2004"/>
      <c r="N3310" s="1863"/>
      <c r="O3310" s="1863"/>
      <c r="P3310" s="2077"/>
      <c r="Q3310" s="2077"/>
      <c r="R3310" s="2184"/>
    </row>
    <row r="3311" spans="1:18" ht="22.15" customHeight="1">
      <c r="A3311" s="2093" t="s">
        <v>2899</v>
      </c>
      <c r="B3311" s="1978" t="s">
        <v>885</v>
      </c>
      <c r="C3311" s="2133"/>
      <c r="D3311" s="2133"/>
      <c r="E3311" s="2276"/>
      <c r="F3311" s="2106"/>
      <c r="G3311" s="2103"/>
      <c r="H3311" s="1788"/>
      <c r="I3311" s="2188"/>
      <c r="J3311" s="1808"/>
      <c r="K3311" s="1808"/>
      <c r="L3311" s="2107"/>
      <c r="M3311" s="2004" t="e">
        <f>M3308/#REF!</f>
        <v>#REF!</v>
      </c>
      <c r="N3311" s="2189"/>
      <c r="O3311" s="1863"/>
      <c r="P3311" s="2077"/>
      <c r="Q3311" s="2077"/>
      <c r="R3311" s="2184"/>
    </row>
    <row r="3312" spans="1:18" ht="22.15" customHeight="1">
      <c r="A3312" s="2093"/>
      <c r="B3312" s="2094" t="s">
        <v>884</v>
      </c>
      <c r="C3312" s="2133" t="s">
        <v>2867</v>
      </c>
      <c r="D3312" s="2133"/>
      <c r="E3312" s="2276">
        <v>1816</v>
      </c>
      <c r="F3312" s="2106" t="s">
        <v>240</v>
      </c>
      <c r="G3312" s="2103">
        <v>2000</v>
      </c>
      <c r="H3312" s="1788">
        <f t="shared" si="1541"/>
        <v>3632000</v>
      </c>
      <c r="I3312" s="2188"/>
      <c r="J3312" s="1808">
        <f t="shared" ref="J3312:J3353" si="1542">E3312*I3312</f>
        <v>0</v>
      </c>
      <c r="K3312" s="1808">
        <f t="shared" ref="K3312:K3353" si="1543">H3312+J3312</f>
        <v>3632000</v>
      </c>
      <c r="L3312" s="2107"/>
      <c r="M3312" s="2004"/>
      <c r="N3312" s="1863"/>
      <c r="O3312" s="1863"/>
      <c r="P3312" s="2077"/>
      <c r="Q3312" s="2077"/>
      <c r="R3312" s="2184"/>
    </row>
    <row r="3313" spans="1:18" ht="22.15" customHeight="1">
      <c r="A3313" s="2093"/>
      <c r="B3313" s="2094"/>
      <c r="C3313" s="2133" t="s">
        <v>886</v>
      </c>
      <c r="D3313" s="2133"/>
      <c r="E3313" s="2276"/>
      <c r="F3313" s="2106"/>
      <c r="G3313" s="2103"/>
      <c r="H3313" s="1788"/>
      <c r="I3313" s="2188"/>
      <c r="J3313" s="1808"/>
      <c r="K3313" s="1808"/>
      <c r="L3313" s="2107"/>
      <c r="N3313" s="1863"/>
      <c r="O3313" s="1863"/>
      <c r="P3313" s="2077"/>
      <c r="Q3313" s="2077"/>
      <c r="R3313" s="2184"/>
    </row>
    <row r="3314" spans="1:18" ht="22.15" customHeight="1">
      <c r="A3314" s="2093"/>
      <c r="B3314" s="2094" t="s">
        <v>884</v>
      </c>
      <c r="C3314" s="2133" t="s">
        <v>887</v>
      </c>
      <c r="D3314" s="2133"/>
      <c r="E3314" s="2276">
        <v>122</v>
      </c>
      <c r="F3314" s="2106" t="s">
        <v>240</v>
      </c>
      <c r="G3314" s="2103">
        <v>2000</v>
      </c>
      <c r="H3314" s="1788">
        <f t="shared" si="1541"/>
        <v>244000</v>
      </c>
      <c r="I3314" s="2188"/>
      <c r="J3314" s="1808">
        <f t="shared" si="1542"/>
        <v>0</v>
      </c>
      <c r="K3314" s="1808">
        <f t="shared" si="1543"/>
        <v>244000</v>
      </c>
      <c r="L3314" s="2107"/>
      <c r="N3314" s="1863"/>
      <c r="O3314" s="1863"/>
      <c r="P3314" s="2077"/>
      <c r="Q3314" s="2077"/>
      <c r="R3314" s="2184"/>
    </row>
    <row r="3315" spans="1:18" ht="22.15" customHeight="1">
      <c r="A3315" s="2093"/>
      <c r="B3315" s="2094" t="s">
        <v>884</v>
      </c>
      <c r="C3315" s="2133" t="s">
        <v>888</v>
      </c>
      <c r="D3315" s="2133"/>
      <c r="E3315" s="2276">
        <v>41</v>
      </c>
      <c r="F3315" s="2106" t="s">
        <v>240</v>
      </c>
      <c r="G3315" s="2103">
        <v>3000</v>
      </c>
      <c r="H3315" s="1788">
        <f t="shared" si="1541"/>
        <v>123000</v>
      </c>
      <c r="I3315" s="2188"/>
      <c r="J3315" s="1808">
        <f t="shared" si="1542"/>
        <v>0</v>
      </c>
      <c r="K3315" s="1808">
        <f t="shared" si="1543"/>
        <v>123000</v>
      </c>
      <c r="L3315" s="2107"/>
      <c r="N3315" s="1863"/>
      <c r="O3315" s="1863"/>
      <c r="P3315" s="2077"/>
      <c r="Q3315" s="2077"/>
      <c r="R3315" s="2184"/>
    </row>
    <row r="3316" spans="1:18" ht="22.15" customHeight="1">
      <c r="A3316" s="2093"/>
      <c r="B3316" s="2094" t="s">
        <v>884</v>
      </c>
      <c r="C3316" s="2133" t="s">
        <v>889</v>
      </c>
      <c r="D3316" s="2133"/>
      <c r="E3316" s="2276">
        <v>1</v>
      </c>
      <c r="F3316" s="2106" t="s">
        <v>240</v>
      </c>
      <c r="G3316" s="2103">
        <v>180000</v>
      </c>
      <c r="H3316" s="1788">
        <f t="shared" si="1541"/>
        <v>180000</v>
      </c>
      <c r="I3316" s="2188"/>
      <c r="J3316" s="1808">
        <f t="shared" si="1542"/>
        <v>0</v>
      </c>
      <c r="K3316" s="1808">
        <f t="shared" si="1543"/>
        <v>180000</v>
      </c>
      <c r="L3316" s="2107"/>
      <c r="N3316" s="1863"/>
      <c r="O3316" s="1863"/>
      <c r="P3316" s="2077"/>
      <c r="Q3316" s="2077"/>
      <c r="R3316" s="2184"/>
    </row>
    <row r="3317" spans="1:18" ht="22.15" customHeight="1">
      <c r="A3317" s="2093"/>
      <c r="B3317" s="2094" t="s">
        <v>890</v>
      </c>
      <c r="C3317" s="2133" t="s">
        <v>2868</v>
      </c>
      <c r="D3317" s="2133"/>
      <c r="E3317" s="2276">
        <v>150</v>
      </c>
      <c r="F3317" s="2106" t="s">
        <v>240</v>
      </c>
      <c r="G3317" s="2103">
        <v>2100</v>
      </c>
      <c r="H3317" s="2104">
        <f t="shared" si="1541"/>
        <v>315000</v>
      </c>
      <c r="I3317" s="2188"/>
      <c r="J3317" s="1808">
        <f t="shared" si="1542"/>
        <v>0</v>
      </c>
      <c r="K3317" s="2097">
        <f t="shared" si="1543"/>
        <v>315000</v>
      </c>
      <c r="L3317" s="2107"/>
      <c r="N3317" s="1863"/>
      <c r="O3317" s="1863"/>
      <c r="P3317" s="2077"/>
      <c r="Q3317" s="2077"/>
      <c r="R3317" s="2184"/>
    </row>
    <row r="3318" spans="1:18" ht="22.15" customHeight="1">
      <c r="A3318" s="2093"/>
      <c r="B3318" s="2094"/>
      <c r="C3318" s="2133" t="s">
        <v>2938</v>
      </c>
      <c r="D3318" s="2133"/>
      <c r="E3318" s="2276"/>
      <c r="F3318" s="2106"/>
      <c r="G3318" s="2103"/>
      <c r="H3318" s="2104"/>
      <c r="I3318" s="2188"/>
      <c r="J3318" s="1808"/>
      <c r="K3318" s="2097"/>
      <c r="L3318" s="2107"/>
      <c r="N3318" s="1863"/>
      <c r="O3318" s="1863"/>
      <c r="P3318" s="2077"/>
      <c r="Q3318" s="2077"/>
      <c r="R3318" s="2184"/>
    </row>
    <row r="3319" spans="1:18" ht="22.15" customHeight="1">
      <c r="A3319" s="2093"/>
      <c r="B3319" s="2094" t="s">
        <v>891</v>
      </c>
      <c r="C3319" s="2133" t="s">
        <v>892</v>
      </c>
      <c r="D3319" s="2133"/>
      <c r="E3319" s="2276">
        <v>16</v>
      </c>
      <c r="F3319" s="2106" t="s">
        <v>240</v>
      </c>
      <c r="G3319" s="2103">
        <v>1950</v>
      </c>
      <c r="H3319" s="2104">
        <f t="shared" si="1541"/>
        <v>31200</v>
      </c>
      <c r="I3319" s="2188"/>
      <c r="J3319" s="1808">
        <f t="shared" si="1542"/>
        <v>0</v>
      </c>
      <c r="K3319" s="2097">
        <f t="shared" si="1543"/>
        <v>31200</v>
      </c>
      <c r="L3319" s="2107"/>
      <c r="N3319" s="1863"/>
      <c r="O3319" s="1863"/>
      <c r="P3319" s="2077"/>
      <c r="Q3319" s="2077"/>
      <c r="R3319" s="2184"/>
    </row>
    <row r="3320" spans="1:18" ht="22.15" customHeight="1">
      <c r="A3320" s="2093"/>
      <c r="B3320" s="2094"/>
      <c r="C3320" s="2133" t="s">
        <v>2939</v>
      </c>
      <c r="D3320" s="2133"/>
      <c r="E3320" s="2276"/>
      <c r="F3320" s="2106"/>
      <c r="G3320" s="2103"/>
      <c r="H3320" s="2104"/>
      <c r="I3320" s="2188"/>
      <c r="J3320" s="1808"/>
      <c r="K3320" s="2097"/>
      <c r="L3320" s="2107"/>
      <c r="N3320" s="1863"/>
      <c r="O3320" s="1863"/>
      <c r="P3320" s="2077"/>
      <c r="Q3320" s="2077"/>
      <c r="R3320" s="2184"/>
    </row>
    <row r="3321" spans="1:18" ht="22.15" customHeight="1">
      <c r="A3321" s="2093"/>
      <c r="B3321" s="2094" t="s">
        <v>893</v>
      </c>
      <c r="C3321" s="2133" t="s">
        <v>892</v>
      </c>
      <c r="D3321" s="2133"/>
      <c r="E3321" s="2276">
        <v>6</v>
      </c>
      <c r="F3321" s="2106" t="s">
        <v>240</v>
      </c>
      <c r="G3321" s="2103">
        <v>1950</v>
      </c>
      <c r="H3321" s="2104">
        <f t="shared" si="1541"/>
        <v>11700</v>
      </c>
      <c r="I3321" s="2188"/>
      <c r="J3321" s="1808">
        <f t="shared" si="1542"/>
        <v>0</v>
      </c>
      <c r="K3321" s="2097">
        <f t="shared" si="1543"/>
        <v>11700</v>
      </c>
      <c r="L3321" s="2107"/>
      <c r="N3321" s="1863"/>
      <c r="O3321" s="1863"/>
      <c r="P3321" s="2077"/>
      <c r="Q3321" s="2077"/>
      <c r="R3321" s="2184"/>
    </row>
    <row r="3322" spans="1:18" ht="22.15" customHeight="1">
      <c r="A3322" s="2093"/>
      <c r="B3322" s="2094"/>
      <c r="C3322" s="2133" t="s">
        <v>2940</v>
      </c>
      <c r="D3322" s="2133"/>
      <c r="E3322" s="2276"/>
      <c r="F3322" s="2106"/>
      <c r="G3322" s="2103"/>
      <c r="H3322" s="2104"/>
      <c r="I3322" s="2188"/>
      <c r="J3322" s="1808"/>
      <c r="K3322" s="2097"/>
      <c r="L3322" s="2107"/>
      <c r="N3322" s="1863"/>
      <c r="O3322" s="1863"/>
      <c r="P3322" s="2077"/>
      <c r="Q3322" s="2077"/>
      <c r="R3322" s="2184"/>
    </row>
    <row r="3323" spans="1:18" ht="22.15" customHeight="1">
      <c r="A3323" s="2093"/>
      <c r="B3323" s="2094" t="s">
        <v>896</v>
      </c>
      <c r="C3323" s="2133" t="s">
        <v>2868</v>
      </c>
      <c r="D3323" s="2133"/>
      <c r="E3323" s="2276">
        <v>65</v>
      </c>
      <c r="F3323" s="2106" t="s">
        <v>240</v>
      </c>
      <c r="G3323" s="2103">
        <v>2100</v>
      </c>
      <c r="H3323" s="2104">
        <f t="shared" si="1541"/>
        <v>136500</v>
      </c>
      <c r="I3323" s="2188"/>
      <c r="J3323" s="1808">
        <f t="shared" si="1542"/>
        <v>0</v>
      </c>
      <c r="K3323" s="2097">
        <f t="shared" si="1543"/>
        <v>136500</v>
      </c>
      <c r="L3323" s="2107"/>
      <c r="N3323" s="1863"/>
      <c r="O3323" s="1863"/>
      <c r="P3323" s="2077"/>
      <c r="Q3323" s="2077"/>
      <c r="R3323" s="2184"/>
    </row>
    <row r="3324" spans="1:18" ht="22.15" customHeight="1">
      <c r="A3324" s="2093"/>
      <c r="B3324" s="2094"/>
      <c r="C3324" s="2133" t="s">
        <v>2941</v>
      </c>
      <c r="D3324" s="2133"/>
      <c r="E3324" s="2276"/>
      <c r="F3324" s="2106"/>
      <c r="G3324" s="2103"/>
      <c r="H3324" s="2104"/>
      <c r="I3324" s="2188"/>
      <c r="J3324" s="1808"/>
      <c r="K3324" s="2097"/>
      <c r="L3324" s="2107"/>
      <c r="N3324" s="1863"/>
      <c r="O3324" s="1863"/>
      <c r="P3324" s="2077"/>
      <c r="Q3324" s="2077"/>
      <c r="R3324" s="2184"/>
    </row>
    <row r="3325" spans="1:18" ht="22.15" customHeight="1">
      <c r="A3325" s="2093"/>
      <c r="B3325" s="2094" t="s">
        <v>897</v>
      </c>
      <c r="C3325" s="2133" t="s">
        <v>2869</v>
      </c>
      <c r="D3325" s="2133"/>
      <c r="E3325" s="2276">
        <v>40</v>
      </c>
      <c r="F3325" s="2106" t="s">
        <v>240</v>
      </c>
      <c r="G3325" s="2103">
        <v>3200</v>
      </c>
      <c r="H3325" s="2104">
        <f t="shared" si="1541"/>
        <v>128000</v>
      </c>
      <c r="I3325" s="2188"/>
      <c r="J3325" s="1808">
        <f t="shared" si="1542"/>
        <v>0</v>
      </c>
      <c r="K3325" s="2097">
        <f t="shared" si="1543"/>
        <v>128000</v>
      </c>
      <c r="L3325" s="2107"/>
      <c r="N3325" s="1863"/>
      <c r="O3325" s="1863"/>
      <c r="P3325" s="2077"/>
      <c r="Q3325" s="2077"/>
      <c r="R3325" s="2184"/>
    </row>
    <row r="3326" spans="1:18" ht="22.15" customHeight="1">
      <c r="A3326" s="2093"/>
      <c r="B3326" s="2094"/>
      <c r="C3326" s="2133" t="s">
        <v>898</v>
      </c>
      <c r="D3326" s="2133"/>
      <c r="E3326" s="2276"/>
      <c r="F3326" s="2106"/>
      <c r="G3326" s="2103"/>
      <c r="H3326" s="2104"/>
      <c r="I3326" s="2188"/>
      <c r="J3326" s="1808"/>
      <c r="K3326" s="2097"/>
      <c r="L3326" s="2107"/>
      <c r="N3326" s="1863"/>
      <c r="O3326" s="1863"/>
      <c r="P3326" s="2077"/>
      <c r="Q3326" s="2077"/>
      <c r="R3326" s="2184"/>
    </row>
    <row r="3327" spans="1:18" ht="22.15" customHeight="1">
      <c r="A3327" s="2093"/>
      <c r="B3327" s="2094" t="s">
        <v>899</v>
      </c>
      <c r="C3327" s="2133" t="s">
        <v>2870</v>
      </c>
      <c r="D3327" s="2133"/>
      <c r="E3327" s="2276">
        <v>12</v>
      </c>
      <c r="F3327" s="2106" t="s">
        <v>240</v>
      </c>
      <c r="G3327" s="2103">
        <v>23100</v>
      </c>
      <c r="H3327" s="2104">
        <f t="shared" si="1541"/>
        <v>277200</v>
      </c>
      <c r="I3327" s="2188"/>
      <c r="J3327" s="1808">
        <f t="shared" si="1542"/>
        <v>0</v>
      </c>
      <c r="K3327" s="2097">
        <f t="shared" si="1543"/>
        <v>277200</v>
      </c>
      <c r="L3327" s="2107"/>
      <c r="N3327" s="1863"/>
      <c r="O3327" s="1863"/>
      <c r="P3327" s="2077"/>
      <c r="Q3327" s="2077"/>
      <c r="R3327" s="2184"/>
    </row>
    <row r="3328" spans="1:18" ht="22.15" customHeight="1">
      <c r="A3328" s="2093"/>
      <c r="B3328" s="2094"/>
      <c r="C3328" s="2133" t="s">
        <v>2942</v>
      </c>
      <c r="D3328" s="2133"/>
      <c r="E3328" s="2276"/>
      <c r="F3328" s="2106"/>
      <c r="G3328" s="2103"/>
      <c r="H3328" s="2104"/>
      <c r="I3328" s="2188"/>
      <c r="J3328" s="1808"/>
      <c r="K3328" s="2097"/>
      <c r="L3328" s="2107"/>
      <c r="N3328" s="1863"/>
      <c r="O3328" s="1863"/>
      <c r="P3328" s="2077"/>
      <c r="Q3328" s="2077"/>
      <c r="R3328" s="2184"/>
    </row>
    <row r="3329" spans="1:18" ht="22.15" customHeight="1">
      <c r="A3329" s="2093"/>
      <c r="B3329" s="2094" t="s">
        <v>900</v>
      </c>
      <c r="C3329" s="2133" t="s">
        <v>2871</v>
      </c>
      <c r="D3329" s="2133"/>
      <c r="E3329" s="2276">
        <v>34</v>
      </c>
      <c r="F3329" s="2106" t="s">
        <v>240</v>
      </c>
      <c r="G3329" s="2103">
        <v>10300</v>
      </c>
      <c r="H3329" s="2104">
        <f t="shared" si="1541"/>
        <v>350200</v>
      </c>
      <c r="I3329" s="2188"/>
      <c r="J3329" s="1808">
        <f t="shared" si="1542"/>
        <v>0</v>
      </c>
      <c r="K3329" s="2097">
        <f t="shared" si="1543"/>
        <v>350200</v>
      </c>
      <c r="L3329" s="2107"/>
      <c r="N3329" s="1863"/>
      <c r="O3329" s="1863"/>
      <c r="P3329" s="2077"/>
      <c r="Q3329" s="2077"/>
      <c r="R3329" s="2184"/>
    </row>
    <row r="3330" spans="1:18" ht="22.15" customHeight="1">
      <c r="A3330" s="2093"/>
      <c r="B3330" s="2094"/>
      <c r="C3330" s="2133" t="s">
        <v>901</v>
      </c>
      <c r="D3330" s="2133"/>
      <c r="E3330" s="2276"/>
      <c r="F3330" s="2106"/>
      <c r="G3330" s="2103"/>
      <c r="H3330" s="2104"/>
      <c r="I3330" s="2188"/>
      <c r="J3330" s="1808"/>
      <c r="K3330" s="2097"/>
      <c r="L3330" s="2107"/>
      <c r="N3330" s="1863"/>
      <c r="O3330" s="1863"/>
      <c r="P3330" s="2077"/>
      <c r="Q3330" s="2077"/>
      <c r="R3330" s="2184"/>
    </row>
    <row r="3331" spans="1:18" ht="22.15" customHeight="1">
      <c r="A3331" s="2093"/>
      <c r="B3331" s="2094"/>
      <c r="C3331" s="2133" t="s">
        <v>2943</v>
      </c>
      <c r="D3331" s="2133"/>
      <c r="E3331" s="2276"/>
      <c r="F3331" s="2106"/>
      <c r="G3331" s="2103"/>
      <c r="H3331" s="2104"/>
      <c r="I3331" s="2188"/>
      <c r="J3331" s="1808"/>
      <c r="K3331" s="2097"/>
      <c r="L3331" s="2107"/>
      <c r="N3331" s="1863"/>
      <c r="O3331" s="1863"/>
      <c r="P3331" s="2077"/>
      <c r="Q3331" s="2077"/>
      <c r="R3331" s="2184"/>
    </row>
    <row r="3332" spans="1:18" ht="22.15" customHeight="1">
      <c r="A3332" s="2093"/>
      <c r="B3332" s="2094" t="s">
        <v>902</v>
      </c>
      <c r="C3332" s="2133" t="s">
        <v>903</v>
      </c>
      <c r="D3332" s="2133"/>
      <c r="E3332" s="2276">
        <v>14</v>
      </c>
      <c r="F3332" s="2106" t="s">
        <v>240</v>
      </c>
      <c r="G3332" s="2103">
        <v>17595</v>
      </c>
      <c r="H3332" s="2104">
        <f t="shared" si="1541"/>
        <v>246330</v>
      </c>
      <c r="I3332" s="2188"/>
      <c r="J3332" s="1808">
        <f t="shared" si="1542"/>
        <v>0</v>
      </c>
      <c r="K3332" s="2097">
        <f t="shared" si="1543"/>
        <v>246330</v>
      </c>
      <c r="L3332" s="2107"/>
      <c r="N3332" s="1863"/>
      <c r="O3332" s="1863"/>
      <c r="P3332" s="2077"/>
      <c r="Q3332" s="2077"/>
      <c r="R3332" s="2184"/>
    </row>
    <row r="3333" spans="1:18" ht="22.15" customHeight="1">
      <c r="A3333" s="2093"/>
      <c r="B3333" s="2094"/>
      <c r="C3333" s="2133" t="s">
        <v>2944</v>
      </c>
      <c r="D3333" s="2133"/>
      <c r="E3333" s="2276"/>
      <c r="F3333" s="2106"/>
      <c r="G3333" s="2103"/>
      <c r="H3333" s="2104"/>
      <c r="I3333" s="2188"/>
      <c r="J3333" s="1808"/>
      <c r="K3333" s="2097"/>
      <c r="L3333" s="2107"/>
      <c r="N3333" s="1863"/>
      <c r="O3333" s="1863"/>
      <c r="P3333" s="2077"/>
      <c r="Q3333" s="2077"/>
      <c r="R3333" s="2184"/>
    </row>
    <row r="3334" spans="1:18" ht="22.15" customHeight="1">
      <c r="A3334" s="2093"/>
      <c r="B3334" s="2094" t="s">
        <v>904</v>
      </c>
      <c r="C3334" s="2133" t="s">
        <v>2871</v>
      </c>
      <c r="D3334" s="2133"/>
      <c r="E3334" s="2276">
        <v>14</v>
      </c>
      <c r="F3334" s="2106" t="s">
        <v>240</v>
      </c>
      <c r="G3334" s="2103">
        <v>58225</v>
      </c>
      <c r="H3334" s="2104">
        <f t="shared" si="1541"/>
        <v>815150</v>
      </c>
      <c r="I3334" s="2188"/>
      <c r="J3334" s="1808">
        <f t="shared" si="1542"/>
        <v>0</v>
      </c>
      <c r="K3334" s="2097">
        <f t="shared" si="1543"/>
        <v>815150</v>
      </c>
      <c r="L3334" s="2107"/>
      <c r="N3334" s="1863"/>
      <c r="O3334" s="1863"/>
      <c r="P3334" s="2077"/>
      <c r="Q3334" s="2077"/>
      <c r="R3334" s="2184"/>
    </row>
    <row r="3335" spans="1:18" ht="22.15" customHeight="1">
      <c r="A3335" s="2093"/>
      <c r="B3335" s="2094"/>
      <c r="C3335" s="2133" t="s">
        <v>905</v>
      </c>
      <c r="D3335" s="2133"/>
      <c r="E3335" s="2276"/>
      <c r="F3335" s="2106"/>
      <c r="G3335" s="2103"/>
      <c r="H3335" s="2104"/>
      <c r="I3335" s="2188"/>
      <c r="J3335" s="1808"/>
      <c r="K3335" s="2097"/>
      <c r="L3335" s="2107"/>
      <c r="N3335" s="1863"/>
      <c r="O3335" s="1863"/>
      <c r="P3335" s="2077"/>
      <c r="Q3335" s="2077"/>
      <c r="R3335" s="2184"/>
    </row>
    <row r="3336" spans="1:18" ht="22.15" customHeight="1">
      <c r="A3336" s="2093"/>
      <c r="B3336" s="2094"/>
      <c r="C3336" s="2133" t="s">
        <v>2945</v>
      </c>
      <c r="D3336" s="2133"/>
      <c r="E3336" s="2276"/>
      <c r="F3336" s="2106"/>
      <c r="G3336" s="2103"/>
      <c r="H3336" s="2104"/>
      <c r="I3336" s="2188"/>
      <c r="J3336" s="1808"/>
      <c r="K3336" s="2097"/>
      <c r="L3336" s="2107"/>
      <c r="N3336" s="1863"/>
      <c r="O3336" s="1863"/>
      <c r="P3336" s="2077"/>
      <c r="Q3336" s="2077"/>
      <c r="R3336" s="2184"/>
    </row>
    <row r="3337" spans="1:18" ht="22.15" customHeight="1">
      <c r="A3337" s="2093"/>
      <c r="B3337" s="2094" t="s">
        <v>906</v>
      </c>
      <c r="C3337" s="2133" t="s">
        <v>2871</v>
      </c>
      <c r="D3337" s="2133"/>
      <c r="E3337" s="2276">
        <v>10</v>
      </c>
      <c r="F3337" s="2106" t="s">
        <v>240</v>
      </c>
      <c r="G3337" s="2103">
        <v>53550</v>
      </c>
      <c r="H3337" s="2104">
        <f t="shared" si="1541"/>
        <v>535500</v>
      </c>
      <c r="I3337" s="2188"/>
      <c r="J3337" s="1808">
        <f t="shared" si="1542"/>
        <v>0</v>
      </c>
      <c r="K3337" s="2097">
        <f t="shared" si="1543"/>
        <v>535500</v>
      </c>
      <c r="L3337" s="2107"/>
      <c r="N3337" s="1863"/>
      <c r="O3337" s="1863"/>
      <c r="P3337" s="2077"/>
      <c r="Q3337" s="2077"/>
      <c r="R3337" s="2184"/>
    </row>
    <row r="3338" spans="1:18" ht="22.15" customHeight="1">
      <c r="A3338" s="2093"/>
      <c r="B3338" s="2094"/>
      <c r="C3338" s="2133" t="s">
        <v>907</v>
      </c>
      <c r="D3338" s="2133"/>
      <c r="E3338" s="2276"/>
      <c r="F3338" s="2106"/>
      <c r="G3338" s="2103"/>
      <c r="H3338" s="2104"/>
      <c r="I3338" s="2188"/>
      <c r="J3338" s="1808"/>
      <c r="K3338" s="2097"/>
      <c r="L3338" s="2107"/>
      <c r="N3338" s="1863"/>
      <c r="O3338" s="1863"/>
      <c r="P3338" s="2077"/>
      <c r="Q3338" s="2077"/>
      <c r="R3338" s="2184"/>
    </row>
    <row r="3339" spans="1:18" ht="22.15" customHeight="1">
      <c r="A3339" s="2093"/>
      <c r="B3339" s="2094"/>
      <c r="C3339" s="2133" t="s">
        <v>2946</v>
      </c>
      <c r="D3339" s="2133"/>
      <c r="E3339" s="2276"/>
      <c r="F3339" s="2106"/>
      <c r="G3339" s="2103"/>
      <c r="H3339" s="2104"/>
      <c r="I3339" s="2188"/>
      <c r="J3339" s="1808"/>
      <c r="K3339" s="2097"/>
      <c r="L3339" s="2107"/>
      <c r="N3339" s="1863"/>
      <c r="O3339" s="1863"/>
      <c r="P3339" s="2077"/>
      <c r="Q3339" s="2077"/>
      <c r="R3339" s="2184"/>
    </row>
    <row r="3340" spans="1:18" ht="22.15" customHeight="1">
      <c r="A3340" s="2093"/>
      <c r="B3340" s="2094" t="s">
        <v>908</v>
      </c>
      <c r="C3340" s="2133" t="s">
        <v>2871</v>
      </c>
      <c r="D3340" s="2133"/>
      <c r="E3340" s="2276">
        <v>8</v>
      </c>
      <c r="F3340" s="2106" t="s">
        <v>240</v>
      </c>
      <c r="G3340" s="2103">
        <v>58225</v>
      </c>
      <c r="H3340" s="2104">
        <f t="shared" si="1541"/>
        <v>465800</v>
      </c>
      <c r="I3340" s="2188"/>
      <c r="J3340" s="1808">
        <f t="shared" si="1542"/>
        <v>0</v>
      </c>
      <c r="K3340" s="2097">
        <f t="shared" si="1543"/>
        <v>465800</v>
      </c>
      <c r="L3340" s="2107"/>
      <c r="N3340" s="1863"/>
      <c r="O3340" s="1863"/>
      <c r="P3340" s="2077"/>
      <c r="Q3340" s="2077"/>
      <c r="R3340" s="2184"/>
    </row>
    <row r="3341" spans="1:18" ht="22.15" customHeight="1">
      <c r="A3341" s="2093"/>
      <c r="B3341" s="2094"/>
      <c r="C3341" s="2133" t="s">
        <v>2872</v>
      </c>
      <c r="D3341" s="2133"/>
      <c r="E3341" s="2276"/>
      <c r="F3341" s="2106"/>
      <c r="G3341" s="2103"/>
      <c r="H3341" s="2104"/>
      <c r="I3341" s="2188"/>
      <c r="J3341" s="1808"/>
      <c r="K3341" s="2097"/>
      <c r="L3341" s="2107"/>
      <c r="N3341" s="1863"/>
      <c r="O3341" s="1863"/>
      <c r="P3341" s="2077"/>
      <c r="Q3341" s="2077"/>
      <c r="R3341" s="2184"/>
    </row>
    <row r="3342" spans="1:18" ht="22.15" customHeight="1">
      <c r="A3342" s="2093"/>
      <c r="B3342" s="2094"/>
      <c r="C3342" s="2133" t="s">
        <v>2947</v>
      </c>
      <c r="D3342" s="2133"/>
      <c r="E3342" s="2276"/>
      <c r="F3342" s="2106"/>
      <c r="G3342" s="2103"/>
      <c r="H3342" s="2104"/>
      <c r="I3342" s="2188"/>
      <c r="J3342" s="1808"/>
      <c r="K3342" s="2097"/>
      <c r="L3342" s="2107"/>
      <c r="N3342" s="1863"/>
      <c r="O3342" s="1863"/>
      <c r="P3342" s="2077"/>
      <c r="Q3342" s="2077"/>
      <c r="R3342" s="2184"/>
    </row>
    <row r="3343" spans="1:18" ht="22.15" customHeight="1">
      <c r="A3343" s="2093"/>
      <c r="B3343" s="2094" t="s">
        <v>909</v>
      </c>
      <c r="C3343" s="2133" t="s">
        <v>910</v>
      </c>
      <c r="D3343" s="2133"/>
      <c r="E3343" s="2276">
        <v>24</v>
      </c>
      <c r="F3343" s="2106" t="s">
        <v>240</v>
      </c>
      <c r="G3343" s="2103">
        <v>10300</v>
      </c>
      <c r="H3343" s="2104">
        <f t="shared" si="1541"/>
        <v>247200</v>
      </c>
      <c r="I3343" s="2188"/>
      <c r="J3343" s="1808">
        <f t="shared" si="1542"/>
        <v>0</v>
      </c>
      <c r="K3343" s="2097">
        <f t="shared" si="1543"/>
        <v>247200</v>
      </c>
      <c r="L3343" s="2107"/>
      <c r="N3343" s="1863"/>
      <c r="O3343" s="1863"/>
      <c r="P3343" s="2077"/>
      <c r="Q3343" s="2077"/>
      <c r="R3343" s="2184"/>
    </row>
    <row r="3344" spans="1:18" ht="22.15" customHeight="1">
      <c r="A3344" s="2093"/>
      <c r="B3344" s="2094"/>
      <c r="C3344" s="2133" t="s">
        <v>2948</v>
      </c>
      <c r="D3344" s="2133"/>
      <c r="E3344" s="2276"/>
      <c r="F3344" s="2106"/>
      <c r="G3344" s="2103"/>
      <c r="H3344" s="2104"/>
      <c r="I3344" s="2188"/>
      <c r="J3344" s="1808"/>
      <c r="K3344" s="2097"/>
      <c r="L3344" s="2107"/>
      <c r="N3344" s="1863"/>
      <c r="O3344" s="1863"/>
      <c r="P3344" s="2077"/>
      <c r="Q3344" s="2077"/>
      <c r="R3344" s="2184"/>
    </row>
    <row r="3345" spans="1:18" ht="22.15" customHeight="1">
      <c r="A3345" s="2093"/>
      <c r="B3345" s="2094" t="s">
        <v>911</v>
      </c>
      <c r="C3345" s="2133" t="s">
        <v>2873</v>
      </c>
      <c r="D3345" s="2133"/>
      <c r="E3345" s="2276">
        <v>10</v>
      </c>
      <c r="F3345" s="2106" t="s">
        <v>240</v>
      </c>
      <c r="G3345" s="2103">
        <v>137000</v>
      </c>
      <c r="H3345" s="2104">
        <f t="shared" si="1541"/>
        <v>1370000</v>
      </c>
      <c r="I3345" s="2188"/>
      <c r="J3345" s="1808">
        <f t="shared" si="1542"/>
        <v>0</v>
      </c>
      <c r="K3345" s="2097">
        <f t="shared" si="1543"/>
        <v>1370000</v>
      </c>
      <c r="L3345" s="2107"/>
      <c r="N3345" s="1863"/>
      <c r="O3345" s="1863"/>
      <c r="P3345" s="2077"/>
      <c r="Q3345" s="2077"/>
      <c r="R3345" s="2184"/>
    </row>
    <row r="3346" spans="1:18" ht="22.15" customHeight="1">
      <c r="A3346" s="2093"/>
      <c r="B3346" s="2094"/>
      <c r="C3346" s="2133" t="s">
        <v>912</v>
      </c>
      <c r="D3346" s="2133"/>
      <c r="E3346" s="2276"/>
      <c r="F3346" s="2106"/>
      <c r="G3346" s="2103"/>
      <c r="H3346" s="2104"/>
      <c r="I3346" s="2188"/>
      <c r="J3346" s="1808"/>
      <c r="K3346" s="2097"/>
      <c r="L3346" s="2107"/>
      <c r="N3346" s="1863"/>
      <c r="O3346" s="1863"/>
      <c r="P3346" s="2077"/>
      <c r="Q3346" s="2077"/>
      <c r="R3346" s="2184"/>
    </row>
    <row r="3347" spans="1:18" ht="22.15" customHeight="1">
      <c r="A3347" s="2093"/>
      <c r="B3347" s="2094"/>
      <c r="C3347" s="2133" t="s">
        <v>913</v>
      </c>
      <c r="D3347" s="2133"/>
      <c r="E3347" s="2276"/>
      <c r="F3347" s="2106"/>
      <c r="G3347" s="2103"/>
      <c r="H3347" s="2104"/>
      <c r="I3347" s="2188"/>
      <c r="J3347" s="1808"/>
      <c r="K3347" s="2097"/>
      <c r="L3347" s="2107"/>
      <c r="N3347" s="1863"/>
      <c r="O3347" s="1863"/>
      <c r="P3347" s="2077"/>
      <c r="Q3347" s="2077"/>
      <c r="R3347" s="2184"/>
    </row>
    <row r="3348" spans="1:18" ht="22.15" customHeight="1">
      <c r="A3348" s="2093"/>
      <c r="B3348" s="2094"/>
      <c r="C3348" s="2133" t="s">
        <v>2949</v>
      </c>
      <c r="D3348" s="2133"/>
      <c r="E3348" s="2276"/>
      <c r="F3348" s="2106"/>
      <c r="G3348" s="2103"/>
      <c r="H3348" s="2104"/>
      <c r="I3348" s="2188"/>
      <c r="J3348" s="1808"/>
      <c r="K3348" s="2097"/>
      <c r="L3348" s="2107"/>
      <c r="N3348" s="1863"/>
      <c r="O3348" s="1863"/>
      <c r="P3348" s="2077"/>
      <c r="Q3348" s="2077"/>
      <c r="R3348" s="2184"/>
    </row>
    <row r="3349" spans="1:18" ht="22.15" customHeight="1">
      <c r="A3349" s="2093"/>
      <c r="B3349" s="2094" t="s">
        <v>925</v>
      </c>
      <c r="C3349" s="2133" t="s">
        <v>926</v>
      </c>
      <c r="D3349" s="2133"/>
      <c r="E3349" s="2276">
        <v>6</v>
      </c>
      <c r="F3349" s="2106" t="s">
        <v>240</v>
      </c>
      <c r="G3349" s="2103">
        <v>103350</v>
      </c>
      <c r="H3349" s="2104">
        <f t="shared" si="1541"/>
        <v>620100</v>
      </c>
      <c r="I3349" s="2188"/>
      <c r="J3349" s="1808">
        <f t="shared" si="1542"/>
        <v>0</v>
      </c>
      <c r="K3349" s="2097">
        <f t="shared" si="1543"/>
        <v>620100</v>
      </c>
      <c r="L3349" s="2107"/>
      <c r="N3349" s="1863"/>
      <c r="O3349" s="1863"/>
      <c r="P3349" s="2077"/>
      <c r="Q3349" s="2077"/>
      <c r="R3349" s="2184"/>
    </row>
    <row r="3350" spans="1:18" ht="22.15" customHeight="1">
      <c r="A3350" s="2093"/>
      <c r="B3350" s="2094"/>
      <c r="C3350" s="2133" t="s">
        <v>2874</v>
      </c>
      <c r="D3350" s="2133"/>
      <c r="E3350" s="2276"/>
      <c r="F3350" s="2106"/>
      <c r="G3350" s="2103"/>
      <c r="H3350" s="2104"/>
      <c r="I3350" s="2188"/>
      <c r="J3350" s="1808"/>
      <c r="K3350" s="2097"/>
      <c r="L3350" s="2107"/>
      <c r="N3350" s="1863"/>
      <c r="O3350" s="1863"/>
      <c r="P3350" s="2077"/>
      <c r="Q3350" s="2077"/>
      <c r="R3350" s="2184"/>
    </row>
    <row r="3351" spans="1:18" ht="22.15" customHeight="1">
      <c r="A3351" s="2093"/>
      <c r="B3351" s="2094"/>
      <c r="C3351" s="2133" t="s">
        <v>914</v>
      </c>
      <c r="D3351" s="2133"/>
      <c r="E3351" s="2276"/>
      <c r="F3351" s="2106"/>
      <c r="G3351" s="2103"/>
      <c r="H3351" s="2104"/>
      <c r="I3351" s="2188"/>
      <c r="J3351" s="1808"/>
      <c r="K3351" s="2097"/>
      <c r="L3351" s="2107"/>
      <c r="N3351" s="1863"/>
      <c r="O3351" s="1863"/>
      <c r="P3351" s="2077"/>
      <c r="Q3351" s="2077"/>
      <c r="R3351" s="2184"/>
    </row>
    <row r="3352" spans="1:18" ht="22.15" customHeight="1">
      <c r="A3352" s="2093"/>
      <c r="B3352" s="2094"/>
      <c r="C3352" s="2133"/>
      <c r="D3352" s="2133"/>
      <c r="E3352" s="2276"/>
      <c r="F3352" s="2106"/>
      <c r="G3352" s="2103"/>
      <c r="H3352" s="2104"/>
      <c r="I3352" s="2188"/>
      <c r="J3352" s="1808"/>
      <c r="K3352" s="2097"/>
      <c r="L3352" s="2107"/>
      <c r="N3352" s="1863"/>
      <c r="O3352" s="1863"/>
      <c r="P3352" s="2077"/>
      <c r="Q3352" s="2077"/>
      <c r="R3352" s="2184"/>
    </row>
    <row r="3353" spans="1:18" ht="22.15" customHeight="1">
      <c r="A3353" s="2093"/>
      <c r="B3353" s="2094" t="s">
        <v>915</v>
      </c>
      <c r="C3353" s="2133" t="s">
        <v>916</v>
      </c>
      <c r="D3353" s="2133"/>
      <c r="E3353" s="2276">
        <v>14</v>
      </c>
      <c r="F3353" s="2106" t="s">
        <v>240</v>
      </c>
      <c r="G3353" s="2103">
        <v>32600</v>
      </c>
      <c r="H3353" s="2104">
        <f t="shared" si="1541"/>
        <v>456400</v>
      </c>
      <c r="I3353" s="2188"/>
      <c r="J3353" s="1808">
        <f t="shared" si="1542"/>
        <v>0</v>
      </c>
      <c r="K3353" s="2097">
        <f t="shared" si="1543"/>
        <v>456400</v>
      </c>
      <c r="L3353" s="2107"/>
      <c r="N3353" s="1863"/>
      <c r="O3353" s="1863"/>
      <c r="P3353" s="2077"/>
      <c r="Q3353" s="2077"/>
      <c r="R3353" s="2184"/>
    </row>
    <row r="3354" spans="1:18" ht="22.15" customHeight="1">
      <c r="A3354" s="2093"/>
      <c r="B3354" s="2094"/>
      <c r="C3354" s="2133" t="s">
        <v>2950</v>
      </c>
      <c r="D3354" s="2133"/>
      <c r="E3354" s="2276"/>
      <c r="F3354" s="2106"/>
      <c r="G3354" s="2103"/>
      <c r="H3354" s="2104"/>
      <c r="I3354" s="2188"/>
      <c r="J3354" s="1808"/>
      <c r="K3354" s="2097"/>
      <c r="L3354" s="2107"/>
      <c r="N3354" s="1863"/>
      <c r="O3354" s="1863"/>
      <c r="P3354" s="2077"/>
      <c r="Q3354" s="2077"/>
      <c r="R3354" s="2184"/>
    </row>
    <row r="3355" spans="1:18" ht="22.15" customHeight="1">
      <c r="A3355" s="2093"/>
      <c r="B3355" s="2094"/>
      <c r="C3355" s="2133"/>
      <c r="D3355" s="2133"/>
      <c r="E3355" s="2276"/>
      <c r="F3355" s="2106"/>
      <c r="G3355" s="2103"/>
      <c r="H3355" s="2104"/>
      <c r="I3355" s="2188"/>
      <c r="J3355" s="1808"/>
      <c r="K3355" s="2097"/>
      <c r="L3355" s="2107"/>
      <c r="N3355" s="1863"/>
      <c r="O3355" s="1863"/>
      <c r="P3355" s="2077"/>
      <c r="Q3355" s="2077"/>
      <c r="R3355" s="2184"/>
    </row>
    <row r="3356" spans="1:18" ht="22.15" customHeight="1">
      <c r="A3356" s="2093"/>
      <c r="B3356" s="2094" t="s">
        <v>917</v>
      </c>
      <c r="C3356" s="2133" t="s">
        <v>918</v>
      </c>
      <c r="D3356" s="2133"/>
      <c r="E3356" s="2276">
        <v>20</v>
      </c>
      <c r="F3356" s="2106" t="s">
        <v>240</v>
      </c>
      <c r="G3356" s="2103">
        <v>10625</v>
      </c>
      <c r="H3356" s="2104">
        <f t="shared" si="1541"/>
        <v>212500</v>
      </c>
      <c r="I3356" s="2188"/>
      <c r="J3356" s="1808">
        <f t="shared" ref="J3356:J3365" si="1544">E3356*I3356</f>
        <v>0</v>
      </c>
      <c r="K3356" s="2097">
        <f t="shared" ref="K3356:K3365" si="1545">H3356+J3356</f>
        <v>212500</v>
      </c>
      <c r="L3356" s="2107"/>
      <c r="N3356" s="1863"/>
      <c r="O3356" s="1863"/>
      <c r="P3356" s="2077"/>
      <c r="Q3356" s="2077"/>
      <c r="R3356" s="2184"/>
    </row>
    <row r="3357" spans="1:18" ht="22.15" customHeight="1">
      <c r="A3357" s="2093"/>
      <c r="B3357" s="2094"/>
      <c r="C3357" s="2133" t="s">
        <v>2951</v>
      </c>
      <c r="D3357" s="2133"/>
      <c r="E3357" s="2276"/>
      <c r="F3357" s="2106"/>
      <c r="G3357" s="2103"/>
      <c r="H3357" s="2104"/>
      <c r="I3357" s="2188"/>
      <c r="J3357" s="1808"/>
      <c r="K3357" s="2097"/>
      <c r="L3357" s="2107"/>
      <c r="N3357" s="1863"/>
      <c r="O3357" s="1863"/>
      <c r="P3357" s="2077"/>
      <c r="Q3357" s="2077"/>
      <c r="R3357" s="2184"/>
    </row>
    <row r="3358" spans="1:18" ht="22.15" customHeight="1">
      <c r="A3358" s="2093"/>
      <c r="B3358" s="2094" t="s">
        <v>919</v>
      </c>
      <c r="C3358" s="2133" t="s">
        <v>2871</v>
      </c>
      <c r="D3358" s="2133"/>
      <c r="E3358" s="2276">
        <v>20</v>
      </c>
      <c r="F3358" s="2106" t="s">
        <v>240</v>
      </c>
      <c r="G3358" s="2103">
        <v>43775</v>
      </c>
      <c r="H3358" s="2104">
        <f t="shared" si="1541"/>
        <v>875500</v>
      </c>
      <c r="I3358" s="2188"/>
      <c r="J3358" s="1808">
        <f t="shared" si="1544"/>
        <v>0</v>
      </c>
      <c r="K3358" s="2097">
        <f t="shared" si="1545"/>
        <v>875500</v>
      </c>
      <c r="L3358" s="2107"/>
      <c r="N3358" s="1863"/>
      <c r="O3358" s="1863"/>
      <c r="P3358" s="2077"/>
      <c r="Q3358" s="2077"/>
      <c r="R3358" s="2184"/>
    </row>
    <row r="3359" spans="1:18" ht="22.15" customHeight="1">
      <c r="A3359" s="2093"/>
      <c r="B3359" s="2094"/>
      <c r="C3359" s="2133" t="s">
        <v>920</v>
      </c>
      <c r="D3359" s="2133"/>
      <c r="E3359" s="2276"/>
      <c r="F3359" s="2106"/>
      <c r="G3359" s="2103"/>
      <c r="H3359" s="2104"/>
      <c r="I3359" s="2188"/>
      <c r="J3359" s="1808"/>
      <c r="K3359" s="2097"/>
      <c r="L3359" s="2107"/>
      <c r="N3359" s="1863"/>
      <c r="O3359" s="1863"/>
      <c r="P3359" s="2077"/>
      <c r="Q3359" s="2077"/>
      <c r="R3359" s="2184"/>
    </row>
    <row r="3360" spans="1:18" ht="22.15" customHeight="1">
      <c r="A3360" s="2093"/>
      <c r="B3360" s="2094"/>
      <c r="C3360" s="2133" t="s">
        <v>2952</v>
      </c>
      <c r="D3360" s="2133"/>
      <c r="E3360" s="2276"/>
      <c r="F3360" s="2106"/>
      <c r="G3360" s="2103"/>
      <c r="H3360" s="2104"/>
      <c r="I3360" s="2188"/>
      <c r="J3360" s="1808"/>
      <c r="K3360" s="2097"/>
      <c r="L3360" s="2107"/>
      <c r="N3360" s="1863"/>
      <c r="O3360" s="1863"/>
      <c r="P3360" s="2077"/>
      <c r="Q3360" s="2077"/>
      <c r="R3360" s="2184"/>
    </row>
    <row r="3361" spans="1:18" ht="22.15" customHeight="1">
      <c r="A3361" s="2093"/>
      <c r="B3361" s="2094" t="s">
        <v>921</v>
      </c>
      <c r="C3361" s="2133" t="s">
        <v>2871</v>
      </c>
      <c r="D3361" s="2133"/>
      <c r="E3361" s="2276">
        <v>20</v>
      </c>
      <c r="F3361" s="2106" t="s">
        <v>240</v>
      </c>
      <c r="G3361" s="2103">
        <v>43775</v>
      </c>
      <c r="H3361" s="2104">
        <f t="shared" si="1541"/>
        <v>875500</v>
      </c>
      <c r="I3361" s="2188"/>
      <c r="J3361" s="1808">
        <f t="shared" si="1544"/>
        <v>0</v>
      </c>
      <c r="K3361" s="2097">
        <f t="shared" si="1545"/>
        <v>875500</v>
      </c>
      <c r="L3361" s="2107"/>
      <c r="N3361" s="1863"/>
      <c r="O3361" s="1863"/>
      <c r="P3361" s="2077"/>
      <c r="Q3361" s="2077"/>
      <c r="R3361" s="2184"/>
    </row>
    <row r="3362" spans="1:18" ht="22.15" customHeight="1">
      <c r="A3362" s="2093"/>
      <c r="B3362" s="2094"/>
      <c r="C3362" s="2133" t="s">
        <v>922</v>
      </c>
      <c r="D3362" s="2133"/>
      <c r="E3362" s="2276"/>
      <c r="F3362" s="2106"/>
      <c r="G3362" s="2103"/>
      <c r="H3362" s="2104"/>
      <c r="I3362" s="2188"/>
      <c r="J3362" s="1808"/>
      <c r="K3362" s="2097"/>
      <c r="L3362" s="2107"/>
      <c r="N3362" s="1863"/>
      <c r="O3362" s="1863"/>
      <c r="P3362" s="2077"/>
      <c r="Q3362" s="2077"/>
      <c r="R3362" s="2184"/>
    </row>
    <row r="3363" spans="1:18" ht="22.15" customHeight="1">
      <c r="A3363" s="2093"/>
      <c r="B3363" s="2094"/>
      <c r="C3363" s="2133" t="s">
        <v>2946</v>
      </c>
      <c r="D3363" s="2133"/>
      <c r="E3363" s="2276"/>
      <c r="F3363" s="2106"/>
      <c r="G3363" s="2103"/>
      <c r="H3363" s="2104"/>
      <c r="I3363" s="2188"/>
      <c r="J3363" s="1808"/>
      <c r="K3363" s="2097"/>
      <c r="L3363" s="2107"/>
      <c r="N3363" s="1863"/>
      <c r="O3363" s="1863"/>
      <c r="P3363" s="2077"/>
      <c r="Q3363" s="2077"/>
      <c r="R3363" s="2184"/>
    </row>
    <row r="3364" spans="1:18" ht="22.15" customHeight="1">
      <c r="A3364" s="2093"/>
      <c r="B3364" s="2094"/>
      <c r="C3364" s="2133"/>
      <c r="D3364" s="2133"/>
      <c r="E3364" s="2276"/>
      <c r="F3364" s="2106"/>
      <c r="G3364" s="2103"/>
      <c r="H3364" s="2104"/>
      <c r="I3364" s="2188"/>
      <c r="J3364" s="1808"/>
      <c r="K3364" s="2097"/>
      <c r="L3364" s="2107"/>
      <c r="N3364" s="1863"/>
      <c r="O3364" s="1863"/>
      <c r="P3364" s="2077"/>
      <c r="Q3364" s="2077"/>
      <c r="R3364" s="2184"/>
    </row>
    <row r="3365" spans="1:18" ht="22.15" customHeight="1">
      <c r="A3365" s="2093"/>
      <c r="B3365" s="2094" t="s">
        <v>923</v>
      </c>
      <c r="C3365" s="2133" t="s">
        <v>2875</v>
      </c>
      <c r="D3365" s="2133"/>
      <c r="E3365" s="2276">
        <v>5</v>
      </c>
      <c r="F3365" s="2106" t="s">
        <v>240</v>
      </c>
      <c r="G3365" s="2103">
        <v>103350</v>
      </c>
      <c r="H3365" s="2104">
        <f t="shared" si="1541"/>
        <v>516750</v>
      </c>
      <c r="I3365" s="2188"/>
      <c r="J3365" s="1808">
        <f t="shared" si="1544"/>
        <v>0</v>
      </c>
      <c r="K3365" s="2097">
        <f t="shared" si="1545"/>
        <v>516750</v>
      </c>
      <c r="L3365" s="2107"/>
      <c r="N3365" s="1863"/>
      <c r="O3365" s="1863"/>
      <c r="P3365" s="2077"/>
      <c r="Q3365" s="2077"/>
      <c r="R3365" s="2184"/>
    </row>
    <row r="3366" spans="1:18" ht="22.15" customHeight="1">
      <c r="A3366" s="2093"/>
      <c r="B3366" s="2094"/>
      <c r="C3366" s="2133" t="s">
        <v>2876</v>
      </c>
      <c r="D3366" s="2133"/>
      <c r="E3366" s="2276"/>
      <c r="F3366" s="2106"/>
      <c r="G3366" s="2103"/>
      <c r="H3366" s="2104"/>
      <c r="I3366" s="2188"/>
      <c r="J3366" s="1808"/>
      <c r="K3366" s="2097"/>
      <c r="L3366" s="2107"/>
      <c r="M3366" s="1737" t="s">
        <v>2900</v>
      </c>
      <c r="N3366" s="1863">
        <f>SUM(K3312:K3365)</f>
        <v>12665530</v>
      </c>
      <c r="O3366" s="1863"/>
      <c r="P3366" s="2077"/>
      <c r="Q3366" s="2077"/>
      <c r="R3366" s="2184"/>
    </row>
    <row r="3367" spans="1:18" ht="22.15" customHeight="1">
      <c r="A3367" s="2093"/>
      <c r="B3367" s="2094"/>
      <c r="C3367" s="2133" t="s">
        <v>924</v>
      </c>
      <c r="D3367" s="2133"/>
      <c r="E3367" s="2276"/>
      <c r="F3367" s="2106"/>
      <c r="G3367" s="2103"/>
      <c r="H3367" s="2104"/>
      <c r="I3367" s="2188"/>
      <c r="J3367" s="1808"/>
      <c r="K3367" s="2097"/>
      <c r="L3367" s="2107"/>
      <c r="N3367" s="2200">
        <v>8.5000000000000006E-2</v>
      </c>
      <c r="O3367" s="1863"/>
      <c r="P3367" s="2077"/>
      <c r="Q3367" s="2077"/>
      <c r="R3367" s="2184"/>
    </row>
    <row r="3368" spans="1:18" s="2202" customFormat="1" ht="23.65" customHeight="1">
      <c r="A3368" s="2250"/>
      <c r="B3368" s="2251"/>
      <c r="C3368" s="2252" t="s">
        <v>2953</v>
      </c>
      <c r="D3368" s="2253"/>
      <c r="E3368" s="2221">
        <v>1</v>
      </c>
      <c r="F3368" s="2254" t="s">
        <v>2954</v>
      </c>
      <c r="G3368" s="2222"/>
      <c r="H3368" s="2223">
        <f t="shared" ref="H3368" si="1546">SUM(E3368*G3368)</f>
        <v>0</v>
      </c>
      <c r="I3368" s="2224">
        <v>1076570.05</v>
      </c>
      <c r="J3368" s="2225">
        <f t="shared" ref="J3368" si="1547">SUM(E3368*I3368)</f>
        <v>1076570.05</v>
      </c>
      <c r="K3368" s="2222">
        <f t="shared" ref="K3368" si="1548">SUM(H3368+J3368)</f>
        <v>1076570.05</v>
      </c>
      <c r="L3368" s="2201"/>
      <c r="N3368" s="2203"/>
      <c r="O3368" s="2204"/>
      <c r="P3368" s="2205"/>
    </row>
    <row r="3369" spans="1:18" ht="22.15" customHeight="1">
      <c r="A3369" s="2093"/>
      <c r="B3369" s="2094"/>
      <c r="C3369" s="2133"/>
      <c r="D3369" s="2133"/>
      <c r="E3369" s="2276"/>
      <c r="F3369" s="2106"/>
      <c r="G3369" s="2103"/>
      <c r="H3369" s="2104"/>
      <c r="I3369" s="2188"/>
      <c r="J3369" s="1808"/>
      <c r="K3369" s="2097"/>
      <c r="L3369" s="2107"/>
      <c r="N3369" s="1863">
        <f>N3366*N3367</f>
        <v>1076570.05</v>
      </c>
      <c r="O3369" s="1863"/>
      <c r="P3369" s="2077"/>
      <c r="Q3369" s="2077"/>
      <c r="R3369" s="2184"/>
    </row>
    <row r="3370" spans="1:18" ht="22.15" customHeight="1">
      <c r="A3370" s="2093"/>
      <c r="B3370" s="2094"/>
      <c r="C3370" s="2133"/>
      <c r="D3370" s="2133"/>
      <c r="E3370" s="2276"/>
      <c r="F3370" s="2106"/>
      <c r="G3370" s="2103"/>
      <c r="H3370" s="2104"/>
      <c r="I3370" s="2188"/>
      <c r="J3370" s="1808"/>
      <c r="K3370" s="2097"/>
      <c r="L3370" s="2107"/>
      <c r="N3370" s="1863"/>
      <c r="O3370" s="1863"/>
      <c r="P3370" s="2077"/>
      <c r="Q3370" s="2077"/>
      <c r="R3370" s="2184"/>
    </row>
    <row r="3371" spans="1:18">
      <c r="A3371" s="1932"/>
      <c r="B3371" s="2449" t="str">
        <f>"รวมราคารายการที่ "&amp;A3208</f>
        <v>รวมราคารายการที่ 2.9</v>
      </c>
      <c r="C3371" s="2449"/>
      <c r="D3371" s="2449"/>
      <c r="E3371" s="1974"/>
      <c r="F3371" s="1932"/>
      <c r="G3371" s="1975"/>
      <c r="H3371" s="1976">
        <f>SUBTOTAL(9,H3208:H3370)</f>
        <v>246083071.96146801</v>
      </c>
      <c r="I3371" s="1930"/>
      <c r="J3371" s="2039">
        <f>SUBTOTAL(9,J3208:J3370)</f>
        <v>54043662.549999997</v>
      </c>
      <c r="K3371" s="1932">
        <f>SUBTOTAL(9,K3208:K3370)</f>
        <v>300126734.51146799</v>
      </c>
      <c r="L3371" s="1932"/>
    </row>
    <row r="3374" spans="1:18">
      <c r="K3374" s="2077">
        <f>K3271+K3272+K3273+K3261+K3244+K3245+K3231+K3224+K3225+K3214+K3215</f>
        <v>24145891.052787151</v>
      </c>
    </row>
  </sheetData>
  <mergeCells count="20">
    <mergeCell ref="L7:L8"/>
    <mergeCell ref="A9:A10"/>
    <mergeCell ref="B9:D10"/>
    <mergeCell ref="E9:E10"/>
    <mergeCell ref="F9:F10"/>
    <mergeCell ref="G9:H9"/>
    <mergeCell ref="I9:J9"/>
    <mergeCell ref="L9:L10"/>
    <mergeCell ref="L3246:L3247"/>
    <mergeCell ref="L3259:L3261"/>
    <mergeCell ref="B3371:D3371"/>
    <mergeCell ref="B35:D35"/>
    <mergeCell ref="B566:D566"/>
    <mergeCell ref="B1462:D1462"/>
    <mergeCell ref="B1692:D1692"/>
    <mergeCell ref="B1717:D1717"/>
    <mergeCell ref="B2364:D2364"/>
    <mergeCell ref="B3095:D3095"/>
    <mergeCell ref="B3108:D3108"/>
    <mergeCell ref="B3207:D3207"/>
  </mergeCells>
  <printOptions horizontalCentered="1"/>
  <pageMargins left="0.59055118110236204" right="0.196850393700787" top="0.59055118110236204" bottom="0.39370078740157499" header="0.39370078740157499" footer="0.15748031496063"/>
  <pageSetup paperSize="209" scale="65" fitToHeight="0" orientation="landscape" r:id="rId1"/>
  <headerFooter>
    <oddHeader>&amp;Rแผ่นที่ &amp;P ใน &amp;N แผ่น</oddHeader>
    <oddFooter>&amp;Rงานสถาปัตยกรรม-อาคารสนับสนุน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E3AC1-EDED-4017-A9CB-247C725A2A4B}">
  <sheetPr>
    <tabColor rgb="FFFF3399"/>
  </sheetPr>
  <dimension ref="A1:O151"/>
  <sheetViews>
    <sheetView showGridLines="0" tabSelected="1" view="pageBreakPreview" topLeftCell="A118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703125" style="1" customWidth="1"/>
    <col min="13" max="73" width="7.703125" style="1" customWidth="1"/>
    <col min="74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1780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>
        <v>6</v>
      </c>
      <c r="B11" s="1144" t="s">
        <v>1892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/>
      <c r="B12" s="1151" t="str">
        <f>B35</f>
        <v>งานระบบดับเพลิงและป้องกันอัคคีภัย</v>
      </c>
      <c r="C12" s="1123"/>
      <c r="D12" s="1124"/>
      <c r="E12" s="1149"/>
      <c r="F12" s="1150"/>
      <c r="G12" s="710"/>
      <c r="H12" s="711"/>
      <c r="I12" s="712"/>
      <c r="J12" s="711"/>
      <c r="K12" s="1129"/>
      <c r="L12" s="1024"/>
    </row>
    <row r="13" spans="1:12" s="714" customFormat="1" ht="24" customHeight="1">
      <c r="A13" s="1147">
        <f>A36</f>
        <v>6.1</v>
      </c>
      <c r="B13" s="1148" t="str">
        <f>B36</f>
        <v>งานท่อน้ำ (Piping Work)</v>
      </c>
      <c r="C13" s="1123"/>
      <c r="D13" s="1124"/>
      <c r="E13" s="1149">
        <v>1</v>
      </c>
      <c r="F13" s="1150" t="s">
        <v>19</v>
      </c>
      <c r="G13" s="710"/>
      <c r="H13" s="711">
        <f>H59</f>
        <v>929177</v>
      </c>
      <c r="I13" s="712"/>
      <c r="J13" s="711">
        <f>J59</f>
        <v>402330</v>
      </c>
      <c r="K13" s="1129">
        <f t="shared" ref="K13:K18" si="0">SUM(H13:J13)</f>
        <v>1331507</v>
      </c>
      <c r="L13" s="1024"/>
    </row>
    <row r="14" spans="1:12" s="714" customFormat="1" ht="24" customHeight="1">
      <c r="A14" s="1147">
        <f>A60</f>
        <v>6.2</v>
      </c>
      <c r="B14" s="1148" t="str">
        <f>B60</f>
        <v>วาล์วและอุปกรณ์ (Valve &amp; Pipe Accessories)</v>
      </c>
      <c r="C14" s="1123"/>
      <c r="D14" s="1124"/>
      <c r="E14" s="1149">
        <v>1</v>
      </c>
      <c r="F14" s="1150" t="s">
        <v>19</v>
      </c>
      <c r="G14" s="710"/>
      <c r="H14" s="711">
        <f>H76</f>
        <v>212932</v>
      </c>
      <c r="I14" s="712"/>
      <c r="J14" s="711">
        <f>J76</f>
        <v>14000</v>
      </c>
      <c r="K14" s="1129">
        <f t="shared" si="0"/>
        <v>226932</v>
      </c>
      <c r="L14" s="1024"/>
    </row>
    <row r="15" spans="1:12" s="714" customFormat="1" ht="24" customHeight="1">
      <c r="A15" s="1147">
        <f>A77</f>
        <v>6.3</v>
      </c>
      <c r="B15" s="1148" t="str">
        <f>B85</f>
        <v>ตู้ดับเพลิงและถังดับเพลิงชนิดมือถือ (Fire Hose Cabinet &amp; Portable Fire Extinguisher)</v>
      </c>
      <c r="C15" s="1123"/>
      <c r="D15" s="1124"/>
      <c r="E15" s="1149">
        <v>1</v>
      </c>
      <c r="F15" s="1150" t="s">
        <v>19</v>
      </c>
      <c r="G15" s="710"/>
      <c r="H15" s="711">
        <f>H84</f>
        <v>78498</v>
      </c>
      <c r="I15" s="712"/>
      <c r="J15" s="711">
        <f>J84</f>
        <v>46725</v>
      </c>
      <c r="K15" s="1129">
        <f t="shared" si="0"/>
        <v>125223</v>
      </c>
      <c r="L15" s="1024"/>
    </row>
    <row r="16" spans="1:12" s="714" customFormat="1" ht="24" customHeight="1">
      <c r="A16" s="1147">
        <f>A85</f>
        <v>6.4</v>
      </c>
      <c r="B16" s="1231" t="str">
        <f>B85</f>
        <v>ตู้ดับเพลิงและถังดับเพลิงชนิดมือถือ (Fire Hose Cabinet &amp; Portable Fire Extinguisher)</v>
      </c>
      <c r="C16" s="1197"/>
      <c r="D16" s="1198"/>
      <c r="E16" s="1149">
        <v>1</v>
      </c>
      <c r="F16" s="1200" t="s">
        <v>19</v>
      </c>
      <c r="G16" s="1263"/>
      <c r="H16" s="1264">
        <f>H109</f>
        <v>205090</v>
      </c>
      <c r="I16" s="1265"/>
      <c r="J16" s="1264">
        <f>J109</f>
        <v>12935</v>
      </c>
      <c r="K16" s="1129">
        <f t="shared" si="0"/>
        <v>218025</v>
      </c>
      <c r="L16" s="1266"/>
    </row>
    <row r="17" spans="1:12" s="714" customFormat="1" ht="24" customHeight="1">
      <c r="A17" s="1230">
        <f>A110</f>
        <v>6.5</v>
      </c>
      <c r="B17" s="1160" t="str">
        <f>B110</f>
        <v>ระบบไฟฟ้าและควบคุม (Electrical &amp; Control System) สำหรับระบบป้องกันอัคคีภัย</v>
      </c>
      <c r="C17" s="1161"/>
      <c r="D17" s="1162"/>
      <c r="E17" s="1149">
        <v>1</v>
      </c>
      <c r="F17" s="1163" t="s">
        <v>19</v>
      </c>
      <c r="G17" s="1164"/>
      <c r="H17" s="957">
        <f>H118</f>
        <v>22800</v>
      </c>
      <c r="I17" s="1165"/>
      <c r="J17" s="957">
        <f>J118</f>
        <v>2280</v>
      </c>
      <c r="K17" s="1129">
        <f t="shared" si="0"/>
        <v>25080</v>
      </c>
      <c r="L17" s="954"/>
    </row>
    <row r="18" spans="1:12" s="714" customFormat="1" ht="24" customHeight="1">
      <c r="A18" s="1147">
        <f>A119</f>
        <v>6.6</v>
      </c>
      <c r="B18" s="1148" t="str">
        <f>B119</f>
        <v>ระบบป้องกันไฟและควันลาม (Fire Barrier System)</v>
      </c>
      <c r="C18" s="1123"/>
      <c r="D18" s="1124"/>
      <c r="E18" s="1149">
        <v>1</v>
      </c>
      <c r="F18" s="1150" t="s">
        <v>19</v>
      </c>
      <c r="G18" s="710"/>
      <c r="H18" s="711">
        <f>H134</f>
        <v>0</v>
      </c>
      <c r="I18" s="712"/>
      <c r="J18" s="711">
        <f>J134</f>
        <v>0</v>
      </c>
      <c r="K18" s="1129">
        <f t="shared" si="0"/>
        <v>0</v>
      </c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2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2" s="714" customFormat="1" ht="30" customHeight="1">
      <c r="A34" s="1166"/>
      <c r="B34" s="2475" t="str">
        <f>"รวมราคา"&amp;B11</f>
        <v>รวมราคางานระบบดับเพลิงและป้องกันอัคคีภัย ชั้น 3</v>
      </c>
      <c r="C34" s="2476"/>
      <c r="D34" s="2477"/>
      <c r="E34" s="1167"/>
      <c r="F34" s="1167"/>
      <c r="G34" s="1168"/>
      <c r="H34" s="1169">
        <f>SUM(H12:H33)</f>
        <v>1448497</v>
      </c>
      <c r="I34" s="1170"/>
      <c r="J34" s="1169">
        <f>SUM(J12:J33)</f>
        <v>478270</v>
      </c>
      <c r="K34" s="1171">
        <f>SUM(K12:K33)</f>
        <v>1926767</v>
      </c>
      <c r="L34" s="1171"/>
    </row>
    <row r="35" spans="1:12" s="714" customFormat="1" ht="24" customHeight="1">
      <c r="A35" s="1011"/>
      <c r="B35" s="1173" t="s">
        <v>31</v>
      </c>
      <c r="C35" s="859"/>
      <c r="D35" s="859"/>
      <c r="E35" s="1290"/>
      <c r="F35" s="852"/>
      <c r="G35" s="874"/>
      <c r="H35" s="854"/>
      <c r="I35" s="855"/>
      <c r="J35" s="854"/>
      <c r="K35" s="912"/>
      <c r="L35" s="912"/>
    </row>
    <row r="36" spans="1:12" s="714" customFormat="1" ht="24" customHeight="1">
      <c r="A36" s="1207">
        <v>6.1</v>
      </c>
      <c r="B36" s="1208" t="s">
        <v>1782</v>
      </c>
      <c r="C36" s="1238"/>
      <c r="D36" s="1210"/>
      <c r="E36" s="1291"/>
      <c r="F36" s="1212"/>
      <c r="G36" s="874"/>
      <c r="H36" s="854"/>
      <c r="I36" s="855"/>
      <c r="J36" s="854"/>
      <c r="K36" s="912"/>
      <c r="L36" s="912"/>
    </row>
    <row r="37" spans="1:12" s="714" customFormat="1" ht="24" customHeight="1">
      <c r="A37" s="1159" t="s">
        <v>1783</v>
      </c>
      <c r="B37" s="1160" t="s">
        <v>1878</v>
      </c>
      <c r="C37" s="1161"/>
      <c r="D37" s="1162"/>
      <c r="E37" s="1291"/>
      <c r="F37" s="1163"/>
      <c r="G37" s="1205"/>
      <c r="H37" s="796"/>
      <c r="I37" s="797"/>
      <c r="J37" s="796"/>
      <c r="K37" s="914"/>
      <c r="L37" s="914"/>
    </row>
    <row r="38" spans="1:12" s="714" customFormat="1" ht="24" customHeight="1">
      <c r="A38" s="1147"/>
      <c r="B38" s="1148" t="s">
        <v>1822</v>
      </c>
      <c r="C38" s="1123"/>
      <c r="D38" s="1124"/>
      <c r="E38" s="1292">
        <v>1407</v>
      </c>
      <c r="F38" s="1150" t="s">
        <v>438</v>
      </c>
      <c r="G38" s="1140">
        <v>78</v>
      </c>
      <c r="H38" s="796">
        <f t="shared" ref="H38:H51" si="1">ROUND(E38*G38,)</f>
        <v>109746</v>
      </c>
      <c r="I38" s="797">
        <v>45</v>
      </c>
      <c r="J38" s="796">
        <f t="shared" ref="J38:J51" si="2">ROUND(I38*E38,)</f>
        <v>63315</v>
      </c>
      <c r="K38" s="914">
        <f t="shared" ref="K38:K51" si="3">H38+J38</f>
        <v>173061</v>
      </c>
      <c r="L38" s="914"/>
    </row>
    <row r="39" spans="1:12" s="714" customFormat="1" ht="24" customHeight="1">
      <c r="A39" s="1147"/>
      <c r="B39" s="1148" t="s">
        <v>1186</v>
      </c>
      <c r="C39" s="1123"/>
      <c r="D39" s="1124"/>
      <c r="E39" s="1292">
        <v>125</v>
      </c>
      <c r="F39" s="1150" t="s">
        <v>438</v>
      </c>
      <c r="G39" s="1140">
        <v>105</v>
      </c>
      <c r="H39" s="796">
        <f t="shared" si="1"/>
        <v>13125</v>
      </c>
      <c r="I39" s="855">
        <v>60</v>
      </c>
      <c r="J39" s="796">
        <f t="shared" si="2"/>
        <v>7500</v>
      </c>
      <c r="K39" s="914">
        <f t="shared" si="3"/>
        <v>20625</v>
      </c>
      <c r="L39" s="912"/>
    </row>
    <row r="40" spans="1:12" s="714" customFormat="1" ht="24" customHeight="1">
      <c r="A40" s="1147"/>
      <c r="B40" s="1148" t="s">
        <v>1187</v>
      </c>
      <c r="C40" s="1123"/>
      <c r="D40" s="1124"/>
      <c r="E40" s="1292">
        <v>142</v>
      </c>
      <c r="F40" s="1150" t="s">
        <v>438</v>
      </c>
      <c r="G40" s="1244">
        <v>126</v>
      </c>
      <c r="H40" s="796">
        <f t="shared" si="1"/>
        <v>17892</v>
      </c>
      <c r="I40" s="1176">
        <v>70</v>
      </c>
      <c r="J40" s="796">
        <f t="shared" si="2"/>
        <v>9940</v>
      </c>
      <c r="K40" s="914">
        <f t="shared" si="3"/>
        <v>27832</v>
      </c>
      <c r="L40" s="912"/>
    </row>
    <row r="41" spans="1:12" s="714" customFormat="1" ht="24" customHeight="1">
      <c r="A41" s="1147"/>
      <c r="B41" s="1148" t="s">
        <v>1188</v>
      </c>
      <c r="C41" s="1123"/>
      <c r="D41" s="1124"/>
      <c r="E41" s="1292">
        <v>410</v>
      </c>
      <c r="F41" s="1150" t="s">
        <v>438</v>
      </c>
      <c r="G41" s="1244">
        <v>169</v>
      </c>
      <c r="H41" s="796">
        <f t="shared" si="1"/>
        <v>69290</v>
      </c>
      <c r="I41" s="1176">
        <v>95</v>
      </c>
      <c r="J41" s="796">
        <f t="shared" si="2"/>
        <v>38950</v>
      </c>
      <c r="K41" s="914">
        <f t="shared" si="3"/>
        <v>108240</v>
      </c>
      <c r="L41" s="912"/>
    </row>
    <row r="42" spans="1:12" s="714" customFormat="1" ht="24" customHeight="1">
      <c r="A42" s="1147"/>
      <c r="B42" s="1148" t="s">
        <v>1189</v>
      </c>
      <c r="C42" s="1123"/>
      <c r="D42" s="1124"/>
      <c r="E42" s="1292">
        <v>273</v>
      </c>
      <c r="F42" s="1150" t="s">
        <v>438</v>
      </c>
      <c r="G42" s="1244">
        <v>268</v>
      </c>
      <c r="H42" s="796">
        <f t="shared" si="1"/>
        <v>73164</v>
      </c>
      <c r="I42" s="1176">
        <v>150</v>
      </c>
      <c r="J42" s="796">
        <f t="shared" si="2"/>
        <v>40950</v>
      </c>
      <c r="K42" s="914">
        <f t="shared" si="3"/>
        <v>114114</v>
      </c>
      <c r="L42" s="912"/>
    </row>
    <row r="43" spans="1:12" s="714" customFormat="1" ht="24" customHeight="1">
      <c r="A43" s="1147"/>
      <c r="B43" s="1148" t="s">
        <v>1190</v>
      </c>
      <c r="C43" s="1123"/>
      <c r="D43" s="1124"/>
      <c r="E43" s="1292">
        <v>128</v>
      </c>
      <c r="F43" s="1150" t="s">
        <v>438</v>
      </c>
      <c r="G43" s="1244">
        <v>350</v>
      </c>
      <c r="H43" s="796">
        <f t="shared" si="1"/>
        <v>44800</v>
      </c>
      <c r="I43" s="1176">
        <v>200</v>
      </c>
      <c r="J43" s="796">
        <f t="shared" si="2"/>
        <v>25600</v>
      </c>
      <c r="K43" s="914">
        <f t="shared" si="3"/>
        <v>70400</v>
      </c>
      <c r="L43" s="912"/>
    </row>
    <row r="44" spans="1:12" s="714" customFormat="1" ht="24" customHeight="1">
      <c r="A44" s="1147"/>
      <c r="B44" s="1148" t="s">
        <v>1674</v>
      </c>
      <c r="C44" s="1123"/>
      <c r="D44" s="1124"/>
      <c r="E44" s="1292">
        <v>158</v>
      </c>
      <c r="F44" s="1150" t="s">
        <v>438</v>
      </c>
      <c r="G44" s="1244">
        <v>499</v>
      </c>
      <c r="H44" s="796">
        <f t="shared" si="1"/>
        <v>78842</v>
      </c>
      <c r="I44" s="1176">
        <v>280</v>
      </c>
      <c r="J44" s="796">
        <f t="shared" si="2"/>
        <v>44240</v>
      </c>
      <c r="K44" s="914">
        <f t="shared" si="3"/>
        <v>123082</v>
      </c>
      <c r="L44" s="912"/>
    </row>
    <row r="45" spans="1:12" s="714" customFormat="1" ht="24" customHeight="1">
      <c r="A45" s="1147"/>
      <c r="B45" s="1148" t="s">
        <v>1675</v>
      </c>
      <c r="C45" s="1123"/>
      <c r="D45" s="1124"/>
      <c r="E45" s="1292">
        <v>62</v>
      </c>
      <c r="F45" s="1150" t="s">
        <v>438</v>
      </c>
      <c r="G45" s="1244">
        <v>877</v>
      </c>
      <c r="H45" s="796">
        <f t="shared" si="1"/>
        <v>54374</v>
      </c>
      <c r="I45" s="1176">
        <v>500</v>
      </c>
      <c r="J45" s="796">
        <f t="shared" si="2"/>
        <v>31000</v>
      </c>
      <c r="K45" s="914">
        <f t="shared" si="3"/>
        <v>85374</v>
      </c>
      <c r="L45" s="912"/>
    </row>
    <row r="46" spans="1:12" s="714" customFormat="1" ht="24" customHeight="1">
      <c r="A46" s="1147"/>
      <c r="B46" s="1148" t="s">
        <v>1676</v>
      </c>
      <c r="C46" s="1123"/>
      <c r="D46" s="1124"/>
      <c r="E46" s="1293"/>
      <c r="F46" s="1150" t="s">
        <v>438</v>
      </c>
      <c r="G46" s="1244">
        <v>1361</v>
      </c>
      <c r="H46" s="796">
        <f t="shared" si="1"/>
        <v>0</v>
      </c>
      <c r="I46" s="1176">
        <v>560</v>
      </c>
      <c r="J46" s="796">
        <f t="shared" si="2"/>
        <v>0</v>
      </c>
      <c r="K46" s="914">
        <f t="shared" si="3"/>
        <v>0</v>
      </c>
      <c r="L46" s="912"/>
    </row>
    <row r="47" spans="1:12" s="714" customFormat="1" ht="24" customHeight="1">
      <c r="A47" s="1147"/>
      <c r="B47" s="1148" t="s">
        <v>1790</v>
      </c>
      <c r="C47" s="1123"/>
      <c r="D47" s="1124"/>
      <c r="E47" s="1288"/>
      <c r="F47" s="1150" t="s">
        <v>438</v>
      </c>
      <c r="G47" s="1244">
        <v>2212</v>
      </c>
      <c r="H47" s="796">
        <f t="shared" si="1"/>
        <v>0</v>
      </c>
      <c r="I47" s="1176">
        <v>700</v>
      </c>
      <c r="J47" s="796">
        <f t="shared" si="2"/>
        <v>0</v>
      </c>
      <c r="K47" s="914">
        <f t="shared" si="3"/>
        <v>0</v>
      </c>
      <c r="L47" s="912"/>
    </row>
    <row r="48" spans="1:12" s="714" customFormat="1" ht="24" customHeight="1">
      <c r="A48" s="1147"/>
      <c r="B48" s="1148" t="s">
        <v>1645</v>
      </c>
      <c r="C48" s="1123"/>
      <c r="D48" s="1124"/>
      <c r="E48" s="1294">
        <v>1</v>
      </c>
      <c r="F48" s="935" t="s">
        <v>948</v>
      </c>
      <c r="G48" s="1244">
        <f>ROUND(SUM(H38:H47)*40%,)</f>
        <v>184493</v>
      </c>
      <c r="H48" s="796">
        <f t="shared" si="1"/>
        <v>184493</v>
      </c>
      <c r="I48" s="1176">
        <f>ROUND(G48*0.3,)</f>
        <v>55348</v>
      </c>
      <c r="J48" s="796">
        <f t="shared" si="2"/>
        <v>55348</v>
      </c>
      <c r="K48" s="914">
        <f t="shared" si="3"/>
        <v>239841</v>
      </c>
      <c r="L48" s="912"/>
    </row>
    <row r="49" spans="1:15" s="714" customFormat="1" ht="24" customHeight="1">
      <c r="A49" s="1147"/>
      <c r="B49" s="1148" t="s">
        <v>1646</v>
      </c>
      <c r="C49" s="1123"/>
      <c r="D49" s="1124"/>
      <c r="E49" s="1294">
        <v>1</v>
      </c>
      <c r="F49" s="935" t="s">
        <v>948</v>
      </c>
      <c r="G49" s="1244">
        <f>ROUND(SUM(H38:H47)*20%,)</f>
        <v>92247</v>
      </c>
      <c r="H49" s="796">
        <f t="shared" si="1"/>
        <v>92247</v>
      </c>
      <c r="I49" s="1176">
        <f t="shared" ref="I49:I51" si="4">ROUND(G49*0.3,)</f>
        <v>27674</v>
      </c>
      <c r="J49" s="796">
        <f t="shared" si="2"/>
        <v>27674</v>
      </c>
      <c r="K49" s="914">
        <f t="shared" si="3"/>
        <v>119921</v>
      </c>
      <c r="L49" s="912"/>
    </row>
    <row r="50" spans="1:15" s="714" customFormat="1" ht="24" customHeight="1">
      <c r="A50" s="1147"/>
      <c r="B50" s="1148" t="s">
        <v>1647</v>
      </c>
      <c r="C50" s="1123"/>
      <c r="D50" s="1124"/>
      <c r="E50" s="1294">
        <v>1</v>
      </c>
      <c r="F50" s="935" t="s">
        <v>948</v>
      </c>
      <c r="G50" s="1244">
        <f>ROUND(SUM(H38:H47)*10%,)</f>
        <v>46123</v>
      </c>
      <c r="H50" s="796">
        <f t="shared" si="1"/>
        <v>46123</v>
      </c>
      <c r="I50" s="1176">
        <f t="shared" si="4"/>
        <v>13837</v>
      </c>
      <c r="J50" s="796">
        <f t="shared" si="2"/>
        <v>13837</v>
      </c>
      <c r="K50" s="914">
        <f t="shared" si="3"/>
        <v>59960</v>
      </c>
      <c r="L50" s="912"/>
    </row>
    <row r="51" spans="1:15" s="714" customFormat="1" ht="24" customHeight="1">
      <c r="A51" s="1159"/>
      <c r="B51" s="1148" t="s">
        <v>1791</v>
      </c>
      <c r="C51" s="1123"/>
      <c r="D51" s="1124"/>
      <c r="E51" s="1294">
        <v>1</v>
      </c>
      <c r="F51" s="935" t="s">
        <v>948</v>
      </c>
      <c r="G51" s="1244">
        <f>ROUND(SUM(H38:H47)*30%,)</f>
        <v>138370</v>
      </c>
      <c r="H51" s="796">
        <f t="shared" si="1"/>
        <v>138370</v>
      </c>
      <c r="I51" s="1176">
        <f t="shared" si="4"/>
        <v>41511</v>
      </c>
      <c r="J51" s="796">
        <f t="shared" si="2"/>
        <v>41511</v>
      </c>
      <c r="K51" s="914">
        <f t="shared" si="3"/>
        <v>179881</v>
      </c>
      <c r="L51" s="912"/>
    </row>
    <row r="52" spans="1:15" s="714" customFormat="1" ht="24" customHeight="1">
      <c r="A52" s="1159" t="s">
        <v>1792</v>
      </c>
      <c r="B52" s="1160" t="s">
        <v>1793</v>
      </c>
      <c r="C52" s="1161"/>
      <c r="D52" s="1162"/>
      <c r="E52" s="1163"/>
      <c r="F52" s="1163"/>
      <c r="G52" s="1205"/>
      <c r="H52" s="796"/>
      <c r="I52" s="797"/>
      <c r="J52" s="796"/>
      <c r="K52" s="914"/>
      <c r="L52" s="914"/>
    </row>
    <row r="53" spans="1:15" s="714" customFormat="1" ht="24" customHeight="1">
      <c r="A53" s="1147"/>
      <c r="B53" s="1148" t="s">
        <v>1185</v>
      </c>
      <c r="C53" s="1123"/>
      <c r="D53" s="1124"/>
      <c r="E53" s="1295">
        <v>5</v>
      </c>
      <c r="F53" s="1150" t="s">
        <v>438</v>
      </c>
      <c r="G53" s="1140">
        <v>124</v>
      </c>
      <c r="H53" s="796">
        <f>ROUND(E53*G53,)</f>
        <v>620</v>
      </c>
      <c r="I53" s="797">
        <v>50</v>
      </c>
      <c r="J53" s="796">
        <f t="shared" ref="J53:J56" si="5">ROUND(I53*E53,)</f>
        <v>250</v>
      </c>
      <c r="K53" s="914">
        <f t="shared" ref="K53:K57" si="6">H53+J53</f>
        <v>870</v>
      </c>
      <c r="L53" s="2273" t="s">
        <v>2974</v>
      </c>
      <c r="N53" s="714">
        <v>745.96</v>
      </c>
      <c r="O53" s="714">
        <f>ROUND(N53/6,)</f>
        <v>124</v>
      </c>
    </row>
    <row r="54" spans="1:15" s="714" customFormat="1" ht="24" customHeight="1">
      <c r="A54" s="1147"/>
      <c r="B54" s="1148" t="s">
        <v>1188</v>
      </c>
      <c r="C54" s="1123"/>
      <c r="D54" s="1124"/>
      <c r="E54" s="1296">
        <v>12</v>
      </c>
      <c r="F54" s="1150" t="s">
        <v>438</v>
      </c>
      <c r="G54" s="1140">
        <v>259</v>
      </c>
      <c r="H54" s="796">
        <f t="shared" ref="H54:H57" si="7">ROUND(E54*G54,)</f>
        <v>3108</v>
      </c>
      <c r="I54" s="855">
        <v>110</v>
      </c>
      <c r="J54" s="796">
        <f t="shared" si="5"/>
        <v>1320</v>
      </c>
      <c r="K54" s="914">
        <f t="shared" si="6"/>
        <v>4428</v>
      </c>
      <c r="L54" s="2273" t="s">
        <v>2974</v>
      </c>
      <c r="N54" s="714">
        <v>1554.48</v>
      </c>
      <c r="O54" s="714">
        <f>ROUND(N54/6,)</f>
        <v>259</v>
      </c>
    </row>
    <row r="55" spans="1:15" s="714" customFormat="1" ht="24" customHeight="1">
      <c r="A55" s="1147"/>
      <c r="B55" s="1148" t="s">
        <v>1645</v>
      </c>
      <c r="C55" s="1123"/>
      <c r="D55" s="1124"/>
      <c r="E55" s="1288">
        <v>1</v>
      </c>
      <c r="F55" s="935" t="s">
        <v>948</v>
      </c>
      <c r="G55" s="1244">
        <f>ROUND(SUM(H53:H54)*50%,)</f>
        <v>1864</v>
      </c>
      <c r="H55" s="796">
        <f t="shared" si="7"/>
        <v>1864</v>
      </c>
      <c r="I55" s="1176">
        <f>ROUND(G55*0.3,)</f>
        <v>559</v>
      </c>
      <c r="J55" s="796">
        <f t="shared" si="5"/>
        <v>559</v>
      </c>
      <c r="K55" s="914">
        <f t="shared" si="6"/>
        <v>2423</v>
      </c>
      <c r="L55" s="912"/>
    </row>
    <row r="56" spans="1:15" s="714" customFormat="1" ht="24" customHeight="1">
      <c r="A56" s="1147"/>
      <c r="B56" s="1148" t="s">
        <v>1646</v>
      </c>
      <c r="C56" s="1123"/>
      <c r="D56" s="1124"/>
      <c r="E56" s="1288">
        <v>1</v>
      </c>
      <c r="F56" s="935" t="s">
        <v>948</v>
      </c>
      <c r="G56" s="1244">
        <f>ROUND(SUM(H53:H54)*20%,)</f>
        <v>746</v>
      </c>
      <c r="H56" s="796">
        <f t="shared" si="7"/>
        <v>746</v>
      </c>
      <c r="I56" s="1176">
        <f>ROUND(G56*0.3,)</f>
        <v>224</v>
      </c>
      <c r="J56" s="796">
        <f t="shared" si="5"/>
        <v>224</v>
      </c>
      <c r="K56" s="914">
        <f t="shared" si="6"/>
        <v>970</v>
      </c>
      <c r="L56" s="912"/>
    </row>
    <row r="57" spans="1:15" s="714" customFormat="1" ht="24" customHeight="1">
      <c r="A57" s="1147"/>
      <c r="B57" s="1148" t="s">
        <v>1647</v>
      </c>
      <c r="C57" s="1123"/>
      <c r="D57" s="1124"/>
      <c r="E57" s="1288">
        <v>1</v>
      </c>
      <c r="F57" s="935" t="s">
        <v>948</v>
      </c>
      <c r="G57" s="1244">
        <f>ROUND(SUM(H53:H54)*10%,)</f>
        <v>373</v>
      </c>
      <c r="H57" s="796">
        <f t="shared" si="7"/>
        <v>373</v>
      </c>
      <c r="I57" s="1176">
        <f>ROUND(G57*0.3,)</f>
        <v>112</v>
      </c>
      <c r="J57" s="796">
        <f>ROUND(I57*E57,)</f>
        <v>112</v>
      </c>
      <c r="K57" s="914">
        <f t="shared" si="6"/>
        <v>485</v>
      </c>
      <c r="L57" s="912"/>
    </row>
    <row r="58" spans="1:15" s="714" customFormat="1" ht="24" customHeight="1">
      <c r="A58" s="1147"/>
      <c r="B58" s="1148" t="s">
        <v>957</v>
      </c>
      <c r="C58" s="1123"/>
      <c r="D58" s="1124"/>
      <c r="E58" s="1297"/>
      <c r="F58" s="1150"/>
      <c r="G58" s="1140"/>
      <c r="H58" s="854"/>
      <c r="I58" s="855"/>
      <c r="J58" s="854"/>
      <c r="K58" s="912"/>
      <c r="L58" s="912"/>
    </row>
    <row r="59" spans="1:15" s="714" customFormat="1" ht="24" customHeight="1">
      <c r="A59" s="1166"/>
      <c r="B59" s="2475" t="str">
        <f>"รวมราคารายการที่ "&amp;A36</f>
        <v>รวมราคารายการที่ 6.1</v>
      </c>
      <c r="C59" s="2476"/>
      <c r="D59" s="2477"/>
      <c r="E59" s="1167"/>
      <c r="F59" s="1167"/>
      <c r="G59" s="1168"/>
      <c r="H59" s="1169">
        <f>SUM(H37:H58)</f>
        <v>929177</v>
      </c>
      <c r="I59" s="1170"/>
      <c r="J59" s="1169">
        <f>SUM(J37:J58)</f>
        <v>402330</v>
      </c>
      <c r="K59" s="1171">
        <f>SUM(K37:K58)</f>
        <v>1331507</v>
      </c>
      <c r="L59" s="1171"/>
    </row>
    <row r="60" spans="1:15" s="714" customFormat="1" ht="24" customHeight="1">
      <c r="A60" s="1207">
        <v>6.2</v>
      </c>
      <c r="B60" s="1208" t="s">
        <v>1794</v>
      </c>
      <c r="C60" s="1209"/>
      <c r="D60" s="1210"/>
      <c r="E60" s="1291"/>
      <c r="F60" s="1212"/>
      <c r="G60" s="874"/>
      <c r="H60" s="854"/>
      <c r="I60" s="855"/>
      <c r="J60" s="854"/>
      <c r="K60" s="912"/>
      <c r="L60" s="912"/>
    </row>
    <row r="61" spans="1:15" s="714" customFormat="1" ht="24" customHeight="1">
      <c r="A61" s="1147" t="s">
        <v>1795</v>
      </c>
      <c r="B61" s="1148" t="s">
        <v>1823</v>
      </c>
      <c r="C61" s="1123"/>
      <c r="D61" s="1124"/>
      <c r="E61" s="1297"/>
      <c r="F61" s="1150"/>
      <c r="G61" s="1140"/>
      <c r="H61" s="796">
        <f t="shared" ref="H61:H62" si="8">ROUND(E61*G61,)</f>
        <v>0</v>
      </c>
      <c r="I61" s="855"/>
      <c r="J61" s="796">
        <f t="shared" ref="J61:J62" si="9">ROUND(I61*E61,)</f>
        <v>0</v>
      </c>
      <c r="K61" s="912"/>
      <c r="L61" s="912"/>
    </row>
    <row r="62" spans="1:15" s="714" customFormat="1" ht="24" customHeight="1">
      <c r="A62" s="1147"/>
      <c r="B62" s="1148" t="s">
        <v>1185</v>
      </c>
      <c r="C62" s="1123"/>
      <c r="D62" s="1124"/>
      <c r="E62" s="1297">
        <v>8</v>
      </c>
      <c r="F62" s="1150" t="s">
        <v>240</v>
      </c>
      <c r="G62" s="1140">
        <v>400</v>
      </c>
      <c r="H62" s="796">
        <f t="shared" si="8"/>
        <v>3200</v>
      </c>
      <c r="I62" s="855">
        <v>200</v>
      </c>
      <c r="J62" s="796">
        <f t="shared" si="9"/>
        <v>1600</v>
      </c>
      <c r="K62" s="914">
        <f t="shared" ref="K62" si="10">H62+J62</f>
        <v>4800</v>
      </c>
      <c r="L62" s="912"/>
    </row>
    <row r="63" spans="1:15" s="714" customFormat="1" ht="24" customHeight="1">
      <c r="A63" s="1147" t="s">
        <v>1797</v>
      </c>
      <c r="B63" s="1148" t="s">
        <v>1824</v>
      </c>
      <c r="C63" s="1123"/>
      <c r="D63" s="1124"/>
      <c r="E63" s="1297"/>
      <c r="F63" s="1150"/>
      <c r="G63" s="1140"/>
      <c r="H63" s="854"/>
      <c r="I63" s="855"/>
      <c r="J63" s="854"/>
      <c r="K63" s="912"/>
      <c r="L63" s="912"/>
    </row>
    <row r="64" spans="1:15" s="714" customFormat="1" ht="24" customHeight="1">
      <c r="A64" s="1147"/>
      <c r="B64" s="1148" t="s">
        <v>1675</v>
      </c>
      <c r="C64" s="1123"/>
      <c r="D64" s="1124"/>
      <c r="E64" s="1297">
        <v>4</v>
      </c>
      <c r="F64" s="1150" t="s">
        <v>240</v>
      </c>
      <c r="G64" s="1140">
        <v>13100</v>
      </c>
      <c r="H64" s="796">
        <f t="shared" ref="H64:H67" si="11">ROUND(E64*G64,)</f>
        <v>52400</v>
      </c>
      <c r="I64" s="855">
        <v>1200</v>
      </c>
      <c r="J64" s="796">
        <f t="shared" ref="J64:J67" si="12">ROUND(I64*E64,)</f>
        <v>4800</v>
      </c>
      <c r="K64" s="914">
        <f t="shared" ref="K64:K67" si="13">H64+J64</f>
        <v>57200</v>
      </c>
      <c r="L64" s="912"/>
    </row>
    <row r="65" spans="1:12" s="714" customFormat="1" ht="24" customHeight="1">
      <c r="A65" s="1147" t="s">
        <v>1799</v>
      </c>
      <c r="B65" s="1148" t="s">
        <v>1825</v>
      </c>
      <c r="C65" s="1123"/>
      <c r="D65" s="1124"/>
      <c r="E65" s="1297"/>
      <c r="F65" s="1150"/>
      <c r="G65" s="1140"/>
      <c r="H65" s="796"/>
      <c r="I65" s="855"/>
      <c r="J65" s="796"/>
      <c r="K65" s="914"/>
      <c r="L65" s="912"/>
    </row>
    <row r="66" spans="1:12" s="714" customFormat="1" ht="24" customHeight="1">
      <c r="A66" s="1147"/>
      <c r="B66" s="1148" t="s">
        <v>1788</v>
      </c>
      <c r="C66" s="1123"/>
      <c r="D66" s="1124"/>
      <c r="E66" s="1297">
        <v>4</v>
      </c>
      <c r="F66" s="1150" t="s">
        <v>240</v>
      </c>
      <c r="G66" s="1140">
        <v>1963</v>
      </c>
      <c r="H66" s="796">
        <f t="shared" ref="H66" si="14">ROUND(E66*G66,)</f>
        <v>7852</v>
      </c>
      <c r="I66" s="855">
        <v>400</v>
      </c>
      <c r="J66" s="796">
        <f t="shared" ref="J66" si="15">ROUND(I66*E66,)</f>
        <v>1600</v>
      </c>
      <c r="K66" s="914">
        <f t="shared" ref="K66" si="16">H66+J66</f>
        <v>9452</v>
      </c>
      <c r="L66" s="912"/>
    </row>
    <row r="67" spans="1:12" s="714" customFormat="1" ht="24" customHeight="1">
      <c r="A67" s="1147" t="s">
        <v>1801</v>
      </c>
      <c r="B67" s="1148" t="s">
        <v>1826</v>
      </c>
      <c r="C67" s="1123"/>
      <c r="D67" s="1124"/>
      <c r="E67" s="1297">
        <v>4</v>
      </c>
      <c r="F67" s="1150" t="s">
        <v>240</v>
      </c>
      <c r="G67" s="1140">
        <v>900</v>
      </c>
      <c r="H67" s="796">
        <f t="shared" si="11"/>
        <v>3600</v>
      </c>
      <c r="I67" s="855">
        <v>100</v>
      </c>
      <c r="J67" s="796">
        <f t="shared" si="12"/>
        <v>400</v>
      </c>
      <c r="K67" s="914">
        <f t="shared" si="13"/>
        <v>4000</v>
      </c>
      <c r="L67" s="912"/>
    </row>
    <row r="68" spans="1:12" s="714" customFormat="1" ht="24" customHeight="1">
      <c r="A68" s="1147" t="s">
        <v>1803</v>
      </c>
      <c r="B68" s="1148" t="s">
        <v>1827</v>
      </c>
      <c r="C68" s="1123"/>
      <c r="D68" s="1124"/>
      <c r="E68" s="1297"/>
      <c r="F68" s="1150"/>
      <c r="G68" s="1140"/>
      <c r="H68" s="854"/>
      <c r="I68" s="855"/>
      <c r="J68" s="854"/>
      <c r="K68" s="912"/>
      <c r="L68" s="912"/>
    </row>
    <row r="69" spans="1:12" s="714" customFormat="1" ht="24" customHeight="1">
      <c r="A69" s="1147"/>
      <c r="B69" s="1148" t="s">
        <v>1675</v>
      </c>
      <c r="C69" s="1123"/>
      <c r="D69" s="1124"/>
      <c r="E69" s="1297">
        <v>4</v>
      </c>
      <c r="F69" s="1150" t="s">
        <v>240</v>
      </c>
      <c r="G69" s="1140">
        <v>17400</v>
      </c>
      <c r="H69" s="796">
        <f t="shared" ref="H69" si="17">ROUND(E69*G69,)</f>
        <v>69600</v>
      </c>
      <c r="I69" s="855">
        <v>1200</v>
      </c>
      <c r="J69" s="796">
        <f t="shared" ref="J69" si="18">ROUND(I69*E69,)</f>
        <v>4800</v>
      </c>
      <c r="K69" s="914">
        <f t="shared" ref="K69" si="19">H69+J69</f>
        <v>74400</v>
      </c>
      <c r="L69" s="912"/>
    </row>
    <row r="70" spans="1:12" s="714" customFormat="1" ht="24" customHeight="1">
      <c r="A70" s="1147" t="s">
        <v>1805</v>
      </c>
      <c r="B70" s="1148" t="s">
        <v>1717</v>
      </c>
      <c r="C70" s="1123"/>
      <c r="D70" s="1124"/>
      <c r="E70" s="1297"/>
      <c r="F70" s="1150"/>
      <c r="G70" s="1140"/>
      <c r="H70" s="854"/>
      <c r="I70" s="855"/>
      <c r="J70" s="854"/>
      <c r="K70" s="912"/>
      <c r="L70" s="912"/>
    </row>
    <row r="71" spans="1:12" s="714" customFormat="1" ht="24" customHeight="1">
      <c r="A71" s="1147"/>
      <c r="B71" s="1148" t="s">
        <v>1785</v>
      </c>
      <c r="C71" s="1123"/>
      <c r="D71" s="1124"/>
      <c r="E71" s="1297">
        <v>4</v>
      </c>
      <c r="F71" s="1150" t="s">
        <v>240</v>
      </c>
      <c r="G71" s="1140">
        <v>1010</v>
      </c>
      <c r="H71" s="796">
        <f t="shared" ref="H71" si="20">ROUND(E71*G71,)</f>
        <v>4040</v>
      </c>
      <c r="I71" s="855">
        <v>100</v>
      </c>
      <c r="J71" s="796">
        <f t="shared" ref="J71" si="21">ROUND(I71*E71,)</f>
        <v>400</v>
      </c>
      <c r="K71" s="914">
        <f t="shared" ref="K71" si="22">H71+J71</f>
        <v>4440</v>
      </c>
      <c r="L71" s="912"/>
    </row>
    <row r="72" spans="1:12" s="714" customFormat="1" ht="24" customHeight="1">
      <c r="A72" s="1147" t="s">
        <v>1807</v>
      </c>
      <c r="B72" s="1148" t="s">
        <v>1806</v>
      </c>
      <c r="C72" s="1123"/>
      <c r="D72" s="1124"/>
      <c r="E72" s="1297"/>
      <c r="F72" s="1150"/>
      <c r="G72" s="1140"/>
      <c r="H72" s="854"/>
      <c r="I72" s="855"/>
      <c r="J72" s="854"/>
      <c r="K72" s="912"/>
      <c r="L72" s="912"/>
    </row>
    <row r="73" spans="1:12" s="714" customFormat="1" ht="24" customHeight="1">
      <c r="A73" s="1147"/>
      <c r="B73" s="1148" t="s">
        <v>1785</v>
      </c>
      <c r="C73" s="1123"/>
      <c r="D73" s="1124"/>
      <c r="E73" s="1297">
        <v>4</v>
      </c>
      <c r="F73" s="1150" t="s">
        <v>240</v>
      </c>
      <c r="G73" s="1249">
        <v>18060</v>
      </c>
      <c r="H73" s="796">
        <f t="shared" ref="H73" si="23">ROUND(E73*G73,)</f>
        <v>72240</v>
      </c>
      <c r="I73" s="855">
        <v>100</v>
      </c>
      <c r="J73" s="796">
        <f t="shared" ref="J73" si="24">ROUND(I73*E73,)</f>
        <v>400</v>
      </c>
      <c r="K73" s="914">
        <f t="shared" ref="K73" si="25">H73+J73</f>
        <v>72640</v>
      </c>
      <c r="L73" s="912"/>
    </row>
    <row r="74" spans="1:12" s="714" customFormat="1" ht="24" customHeight="1">
      <c r="A74" s="1147"/>
      <c r="B74" s="1148" t="s">
        <v>957</v>
      </c>
      <c r="C74" s="1123"/>
      <c r="D74" s="1124"/>
      <c r="E74" s="1297"/>
      <c r="F74" s="1150"/>
      <c r="G74" s="1140"/>
      <c r="H74" s="854"/>
      <c r="I74" s="855"/>
      <c r="J74" s="854"/>
      <c r="K74" s="912"/>
      <c r="L74" s="912"/>
    </row>
    <row r="75" spans="1:12" s="714" customFormat="1" ht="24" customHeight="1">
      <c r="A75" s="1147"/>
      <c r="B75" s="1148" t="s">
        <v>1102</v>
      </c>
      <c r="C75" s="1123"/>
      <c r="D75" s="1124"/>
      <c r="E75" s="1297"/>
      <c r="F75" s="1150"/>
      <c r="G75" s="1140"/>
      <c r="H75" s="854"/>
      <c r="I75" s="855"/>
      <c r="J75" s="854"/>
      <c r="K75" s="912"/>
      <c r="L75" s="912"/>
    </row>
    <row r="76" spans="1:12" s="714" customFormat="1" ht="24" customHeight="1">
      <c r="A76" s="1166"/>
      <c r="B76" s="2475" t="str">
        <f>"รวมราคารายการที่ "&amp;A60</f>
        <v>รวมราคารายการที่ 6.2</v>
      </c>
      <c r="C76" s="2476"/>
      <c r="D76" s="2477"/>
      <c r="E76" s="1167"/>
      <c r="F76" s="1167"/>
      <c r="G76" s="1168"/>
      <c r="H76" s="1169">
        <f>SUM(H61:H75)</f>
        <v>212932</v>
      </c>
      <c r="I76" s="1170"/>
      <c r="J76" s="1169">
        <f>SUM(J61:J75)</f>
        <v>14000</v>
      </c>
      <c r="K76" s="1171">
        <f>SUM(K61:K75)</f>
        <v>226932</v>
      </c>
      <c r="L76" s="1171"/>
    </row>
    <row r="77" spans="1:12" s="714" customFormat="1" ht="24" customHeight="1">
      <c r="A77" s="1207">
        <v>6.3</v>
      </c>
      <c r="B77" s="1208" t="s">
        <v>1828</v>
      </c>
      <c r="C77" s="1209"/>
      <c r="D77" s="1210"/>
      <c r="E77" s="1291"/>
      <c r="F77" s="1221"/>
      <c r="G77" s="1249"/>
      <c r="H77" s="854"/>
      <c r="I77" s="855"/>
      <c r="J77" s="854"/>
      <c r="K77" s="912"/>
      <c r="L77" s="912"/>
    </row>
    <row r="78" spans="1:12" s="714" customFormat="1" ht="24" customHeight="1">
      <c r="A78" s="1147" t="s">
        <v>1829</v>
      </c>
      <c r="B78" s="1148" t="s">
        <v>1830</v>
      </c>
      <c r="C78" s="1123"/>
      <c r="D78" s="1124"/>
      <c r="E78" s="1297">
        <v>623</v>
      </c>
      <c r="F78" s="1147" t="s">
        <v>240</v>
      </c>
      <c r="G78" s="1249">
        <v>126</v>
      </c>
      <c r="H78" s="796">
        <f t="shared" ref="H78" si="26">ROUND(E78*G78,)</f>
        <v>78498</v>
      </c>
      <c r="I78" s="855">
        <v>75</v>
      </c>
      <c r="J78" s="796">
        <f t="shared" ref="J78" si="27">ROUND(I78*E78,)</f>
        <v>46725</v>
      </c>
      <c r="K78" s="914">
        <f>H78+J78</f>
        <v>125223</v>
      </c>
      <c r="L78" s="912"/>
    </row>
    <row r="79" spans="1:12" s="714" customFormat="1" ht="24" customHeight="1">
      <c r="A79" s="1147" t="s">
        <v>1831</v>
      </c>
      <c r="B79" s="1148" t="s">
        <v>1832</v>
      </c>
      <c r="C79" s="1123"/>
      <c r="D79" s="1124"/>
      <c r="E79" s="1297"/>
      <c r="F79" s="1147" t="s">
        <v>240</v>
      </c>
      <c r="G79" s="1249"/>
      <c r="H79" s="796"/>
      <c r="I79" s="855"/>
      <c r="J79" s="796"/>
      <c r="K79" s="914"/>
      <c r="L79" s="912"/>
    </row>
    <row r="80" spans="1:12" s="714" customFormat="1" ht="24" customHeight="1">
      <c r="A80" s="1147" t="s">
        <v>1833</v>
      </c>
      <c r="B80" s="1148" t="s">
        <v>1881</v>
      </c>
      <c r="C80" s="1123"/>
      <c r="D80" s="1124"/>
      <c r="E80" s="1297"/>
      <c r="F80" s="1147" t="s">
        <v>240</v>
      </c>
      <c r="G80" s="1249"/>
      <c r="H80" s="796"/>
      <c r="I80" s="855"/>
      <c r="J80" s="796"/>
      <c r="K80" s="914"/>
      <c r="L80" s="912"/>
    </row>
    <row r="81" spans="1:14" s="714" customFormat="1" ht="24" customHeight="1">
      <c r="A81" s="1147" t="s">
        <v>1835</v>
      </c>
      <c r="B81" s="1148" t="s">
        <v>1834</v>
      </c>
      <c r="C81" s="1123"/>
      <c r="D81" s="1124"/>
      <c r="E81" s="1297"/>
      <c r="F81" s="1147" t="s">
        <v>240</v>
      </c>
      <c r="G81" s="1249"/>
      <c r="H81" s="796"/>
      <c r="I81" s="855"/>
      <c r="J81" s="796"/>
      <c r="K81" s="914"/>
      <c r="L81" s="912"/>
    </row>
    <row r="82" spans="1:14" s="714" customFormat="1" ht="24" customHeight="1">
      <c r="A82" s="1147" t="s">
        <v>1837</v>
      </c>
      <c r="B82" s="1148" t="s">
        <v>1882</v>
      </c>
      <c r="C82" s="1123"/>
      <c r="D82" s="1124"/>
      <c r="E82" s="1297"/>
      <c r="F82" s="1147"/>
      <c r="G82" s="1249"/>
      <c r="H82" s="854"/>
      <c r="I82" s="855"/>
      <c r="J82" s="854"/>
      <c r="K82" s="912"/>
      <c r="L82" s="912"/>
    </row>
    <row r="83" spans="1:14" s="714" customFormat="1" ht="24" customHeight="1">
      <c r="A83" s="1147"/>
      <c r="B83" s="1148"/>
      <c r="C83" s="1123"/>
      <c r="D83" s="1124"/>
      <c r="E83" s="1297"/>
      <c r="F83" s="1147"/>
      <c r="G83" s="1249"/>
      <c r="H83" s="854"/>
      <c r="I83" s="855"/>
      <c r="J83" s="854"/>
      <c r="K83" s="912"/>
      <c r="L83" s="912"/>
    </row>
    <row r="84" spans="1:14" s="714" customFormat="1" ht="24" customHeight="1">
      <c r="A84" s="1166"/>
      <c r="B84" s="2475" t="str">
        <f>"รวมราคารายการที่ "&amp;A77</f>
        <v>รวมราคารายการที่ 6.3</v>
      </c>
      <c r="C84" s="2476"/>
      <c r="D84" s="2477"/>
      <c r="E84" s="1167"/>
      <c r="F84" s="1167"/>
      <c r="G84" s="1168"/>
      <c r="H84" s="1169">
        <f>SUM(H78:H83)</f>
        <v>78498</v>
      </c>
      <c r="I84" s="1169"/>
      <c r="J84" s="1169">
        <f>SUM(J78:J83)</f>
        <v>46725</v>
      </c>
      <c r="K84" s="1169">
        <f>SUM(K78:K83)</f>
        <v>125223</v>
      </c>
      <c r="L84" s="1169"/>
    </row>
    <row r="85" spans="1:14" s="714" customFormat="1" ht="24" customHeight="1">
      <c r="A85" s="1195">
        <v>6.4</v>
      </c>
      <c r="B85" s="1196" t="s">
        <v>1844</v>
      </c>
      <c r="C85" s="1197"/>
      <c r="D85" s="1198"/>
      <c r="E85" s="1298"/>
      <c r="F85" s="1230"/>
      <c r="G85" s="1255"/>
      <c r="H85" s="788"/>
      <c r="I85" s="789"/>
      <c r="J85" s="788"/>
      <c r="K85" s="1256"/>
      <c r="L85" s="1256"/>
    </row>
    <row r="86" spans="1:14" s="714" customFormat="1" ht="24" customHeight="1">
      <c r="A86" s="1147" t="s">
        <v>1845</v>
      </c>
      <c r="B86" s="1148" t="s">
        <v>1846</v>
      </c>
      <c r="C86" s="1123"/>
      <c r="D86" s="1124"/>
      <c r="E86" s="1297"/>
      <c r="F86" s="1147"/>
      <c r="G86" s="1257"/>
      <c r="H86" s="796"/>
      <c r="I86" s="797"/>
      <c r="J86" s="796"/>
      <c r="K86" s="914"/>
      <c r="L86" s="914"/>
    </row>
    <row r="87" spans="1:14" s="714" customFormat="1" ht="24" customHeight="1">
      <c r="A87" s="1147"/>
      <c r="B87" s="1148" t="s">
        <v>1847</v>
      </c>
      <c r="C87" s="1123"/>
      <c r="D87" s="1124"/>
      <c r="E87" s="1297">
        <v>5</v>
      </c>
      <c r="F87" s="1147" t="s">
        <v>240</v>
      </c>
      <c r="G87" s="1257">
        <v>3800</v>
      </c>
      <c r="H87" s="796">
        <f t="shared" ref="H87:H93" si="28">ROUND(E87*G87,)</f>
        <v>19000</v>
      </c>
      <c r="I87" s="797">
        <f>G87*0.3</f>
        <v>1140</v>
      </c>
      <c r="J87" s="796">
        <f t="shared" ref="J87" si="29">ROUND(I87*E87,)</f>
        <v>5700</v>
      </c>
      <c r="K87" s="914">
        <f>H87+J87</f>
        <v>24700</v>
      </c>
      <c r="L87" s="914"/>
    </row>
    <row r="88" spans="1:14" s="714" customFormat="1" ht="24" customHeight="1">
      <c r="A88" s="1159"/>
      <c r="B88" s="1160" t="s">
        <v>1848</v>
      </c>
      <c r="C88" s="1161"/>
      <c r="D88" s="1162"/>
      <c r="E88" s="1297">
        <v>5</v>
      </c>
      <c r="F88" s="1159" t="s">
        <v>240</v>
      </c>
      <c r="G88" s="1258">
        <v>890</v>
      </c>
      <c r="H88" s="796">
        <f t="shared" si="28"/>
        <v>4450</v>
      </c>
      <c r="I88" s="797" t="s">
        <v>974</v>
      </c>
      <c r="J88" s="796"/>
      <c r="K88" s="914">
        <f t="shared" ref="K88:K93" si="30">H88+J88</f>
        <v>4450</v>
      </c>
      <c r="L88" s="914"/>
    </row>
    <row r="89" spans="1:14" s="714" customFormat="1" ht="24" customHeight="1">
      <c r="A89" s="1147"/>
      <c r="B89" s="1148" t="s">
        <v>1849</v>
      </c>
      <c r="C89" s="1123"/>
      <c r="D89" s="1124"/>
      <c r="E89" s="1297">
        <v>5</v>
      </c>
      <c r="F89" s="1147" t="s">
        <v>240</v>
      </c>
      <c r="G89" s="1257">
        <v>4200</v>
      </c>
      <c r="H89" s="796">
        <f t="shared" si="28"/>
        <v>21000</v>
      </c>
      <c r="I89" s="797" t="s">
        <v>974</v>
      </c>
      <c r="J89" s="796"/>
      <c r="K89" s="914">
        <f t="shared" si="30"/>
        <v>21000</v>
      </c>
      <c r="L89" s="914"/>
    </row>
    <row r="90" spans="1:14" s="714" customFormat="1" ht="24" customHeight="1">
      <c r="A90" s="1159"/>
      <c r="B90" s="1148" t="s">
        <v>1850</v>
      </c>
      <c r="C90" s="1123"/>
      <c r="D90" s="1124"/>
      <c r="E90" s="1149">
        <v>5</v>
      </c>
      <c r="F90" s="1147" t="s">
        <v>240</v>
      </c>
      <c r="G90" s="1257">
        <v>8000</v>
      </c>
      <c r="H90" s="796">
        <f t="shared" si="28"/>
        <v>40000</v>
      </c>
      <c r="I90" s="797" t="s">
        <v>974</v>
      </c>
      <c r="J90" s="796"/>
      <c r="K90" s="914">
        <f t="shared" si="30"/>
        <v>40000</v>
      </c>
      <c r="L90" s="1014"/>
    </row>
    <row r="91" spans="1:14" s="714" customFormat="1" ht="24" customHeight="1">
      <c r="A91" s="1147"/>
      <c r="B91" s="1148" t="s">
        <v>1851</v>
      </c>
      <c r="C91" s="1123"/>
      <c r="D91" s="1124"/>
      <c r="E91" s="1149">
        <v>5</v>
      </c>
      <c r="F91" s="1147" t="s">
        <v>240</v>
      </c>
      <c r="G91" s="1257">
        <v>5720</v>
      </c>
      <c r="H91" s="796">
        <f t="shared" si="28"/>
        <v>28600</v>
      </c>
      <c r="I91" s="797" t="s">
        <v>974</v>
      </c>
      <c r="J91" s="796"/>
      <c r="K91" s="914">
        <f t="shared" si="30"/>
        <v>28600</v>
      </c>
      <c r="L91" s="912"/>
    </row>
    <row r="92" spans="1:14" s="714" customFormat="1" ht="24" customHeight="1">
      <c r="A92" s="1147"/>
      <c r="B92" s="1148" t="s">
        <v>1852</v>
      </c>
      <c r="C92" s="1123"/>
      <c r="D92" s="1124"/>
      <c r="E92" s="1297">
        <v>5</v>
      </c>
      <c r="F92" s="1147" t="s">
        <v>240</v>
      </c>
      <c r="G92" s="1257">
        <v>820</v>
      </c>
      <c r="H92" s="796">
        <f t="shared" si="28"/>
        <v>4100</v>
      </c>
      <c r="I92" s="797" t="s">
        <v>974</v>
      </c>
      <c r="J92" s="796"/>
      <c r="K92" s="914">
        <f t="shared" si="30"/>
        <v>4100</v>
      </c>
      <c r="L92" s="912"/>
    </row>
    <row r="93" spans="1:14" s="714" customFormat="1" ht="24" customHeight="1">
      <c r="A93" s="1147"/>
      <c r="B93" s="1148" t="s">
        <v>1853</v>
      </c>
      <c r="C93" s="1123"/>
      <c r="D93" s="1124"/>
      <c r="E93" s="1297">
        <v>5</v>
      </c>
      <c r="F93" s="1147" t="s">
        <v>240</v>
      </c>
      <c r="G93" s="1257">
        <v>450</v>
      </c>
      <c r="H93" s="796">
        <f t="shared" si="28"/>
        <v>2250</v>
      </c>
      <c r="I93" s="797" t="s">
        <v>974</v>
      </c>
      <c r="J93" s="796"/>
      <c r="K93" s="914">
        <f t="shared" si="30"/>
        <v>2250</v>
      </c>
      <c r="L93" s="912"/>
    </row>
    <row r="94" spans="1:14" s="714" customFormat="1" ht="24" customHeight="1">
      <c r="A94" s="1147" t="s">
        <v>1854</v>
      </c>
      <c r="B94" s="1148" t="s">
        <v>1855</v>
      </c>
      <c r="C94" s="1123"/>
      <c r="D94" s="1124"/>
      <c r="E94" s="1297"/>
      <c r="F94" s="1147"/>
      <c r="G94" s="1257"/>
      <c r="H94" s="854"/>
      <c r="I94" s="855"/>
      <c r="J94" s="854"/>
      <c r="K94" s="912"/>
      <c r="L94" s="912"/>
      <c r="M94" s="914">
        <f>J94+L94</f>
        <v>0</v>
      </c>
      <c r="N94" s="1014"/>
    </row>
    <row r="95" spans="1:14" s="714" customFormat="1" ht="24" customHeight="1">
      <c r="A95" s="1147"/>
      <c r="B95" s="1148" t="s">
        <v>1856</v>
      </c>
      <c r="C95" s="1123"/>
      <c r="D95" s="1124"/>
      <c r="E95" s="1149">
        <v>3</v>
      </c>
      <c r="F95" s="1147" t="s">
        <v>240</v>
      </c>
      <c r="G95" s="1257">
        <f>6500*1.1</f>
        <v>7150.0000000000009</v>
      </c>
      <c r="H95" s="796">
        <f t="shared" ref="H95:H101" si="31">ROUND(E95*G95,)</f>
        <v>21450</v>
      </c>
      <c r="I95" s="797">
        <f>G95*0.3</f>
        <v>2145</v>
      </c>
      <c r="J95" s="796">
        <f t="shared" ref="J95" si="32">ROUND(I95*E95,)</f>
        <v>6435</v>
      </c>
      <c r="K95" s="914">
        <f>H95+J95</f>
        <v>27885</v>
      </c>
      <c r="L95" s="1014"/>
      <c r="M95" s="914">
        <f t="shared" ref="M95:M98" si="33">J95+L95</f>
        <v>6435</v>
      </c>
      <c r="N95" s="1014"/>
    </row>
    <row r="96" spans="1:14" s="714" customFormat="1" ht="24" customHeight="1">
      <c r="A96" s="1159"/>
      <c r="B96" s="1160" t="s">
        <v>1848</v>
      </c>
      <c r="C96" s="1161"/>
      <c r="D96" s="1162"/>
      <c r="E96" s="1149">
        <v>3</v>
      </c>
      <c r="F96" s="1159" t="s">
        <v>240</v>
      </c>
      <c r="G96" s="1258">
        <v>890</v>
      </c>
      <c r="H96" s="796">
        <f t="shared" si="31"/>
        <v>2670</v>
      </c>
      <c r="I96" s="797" t="s">
        <v>974</v>
      </c>
      <c r="J96" s="796"/>
      <c r="K96" s="914">
        <f t="shared" ref="K96:K101" si="34">H96+J96</f>
        <v>2670</v>
      </c>
      <c r="L96" s="1014"/>
      <c r="M96" s="914">
        <f t="shared" si="33"/>
        <v>0</v>
      </c>
      <c r="N96" s="1014"/>
    </row>
    <row r="97" spans="1:14" s="714" customFormat="1" ht="24" customHeight="1">
      <c r="A97" s="1147"/>
      <c r="B97" s="1148" t="s">
        <v>1883</v>
      </c>
      <c r="C97" s="1123"/>
      <c r="D97" s="1124"/>
      <c r="E97" s="1149">
        <v>3</v>
      </c>
      <c r="F97" s="1147" t="s">
        <v>240</v>
      </c>
      <c r="G97" s="1257">
        <v>4200</v>
      </c>
      <c r="H97" s="796">
        <f t="shared" si="31"/>
        <v>12600</v>
      </c>
      <c r="I97" s="797" t="s">
        <v>974</v>
      </c>
      <c r="J97" s="796"/>
      <c r="K97" s="914">
        <f t="shared" si="34"/>
        <v>12600</v>
      </c>
      <c r="L97" s="1014"/>
      <c r="M97" s="914">
        <f t="shared" si="33"/>
        <v>0</v>
      </c>
      <c r="N97" s="1014"/>
    </row>
    <row r="98" spans="1:14" s="714" customFormat="1" ht="24" customHeight="1">
      <c r="A98" s="1159"/>
      <c r="B98" s="1148" t="s">
        <v>1850</v>
      </c>
      <c r="C98" s="1123"/>
      <c r="D98" s="1124"/>
      <c r="E98" s="1149">
        <v>3</v>
      </c>
      <c r="F98" s="1147" t="s">
        <v>240</v>
      </c>
      <c r="G98" s="1257">
        <v>8000</v>
      </c>
      <c r="H98" s="796">
        <f t="shared" si="31"/>
        <v>24000</v>
      </c>
      <c r="I98" s="797" t="s">
        <v>974</v>
      </c>
      <c r="J98" s="796"/>
      <c r="K98" s="914">
        <f t="shared" si="34"/>
        <v>24000</v>
      </c>
      <c r="L98" s="1014"/>
      <c r="M98" s="914">
        <f t="shared" si="33"/>
        <v>0</v>
      </c>
      <c r="N98" s="1014"/>
    </row>
    <row r="99" spans="1:14" s="714" customFormat="1" ht="24" customHeight="1">
      <c r="A99" s="1147"/>
      <c r="B99" s="1148" t="s">
        <v>1851</v>
      </c>
      <c r="C99" s="1123"/>
      <c r="D99" s="1124"/>
      <c r="E99" s="1149">
        <v>3</v>
      </c>
      <c r="F99" s="1147" t="s">
        <v>240</v>
      </c>
      <c r="G99" s="1257">
        <v>5720</v>
      </c>
      <c r="H99" s="796">
        <f t="shared" si="31"/>
        <v>17160</v>
      </c>
      <c r="I99" s="797" t="s">
        <v>974</v>
      </c>
      <c r="J99" s="796"/>
      <c r="K99" s="914">
        <f t="shared" si="34"/>
        <v>17160</v>
      </c>
      <c r="L99" s="912"/>
    </row>
    <row r="100" spans="1:14" s="714" customFormat="1" ht="24" customHeight="1">
      <c r="A100" s="1147"/>
      <c r="B100" s="1148" t="s">
        <v>1884</v>
      </c>
      <c r="C100" s="1123"/>
      <c r="D100" s="1124"/>
      <c r="E100" s="1149">
        <v>3</v>
      </c>
      <c r="F100" s="1147" t="s">
        <v>240</v>
      </c>
      <c r="G100" s="1257">
        <v>820</v>
      </c>
      <c r="H100" s="796">
        <f t="shared" si="31"/>
        <v>2460</v>
      </c>
      <c r="I100" s="797" t="s">
        <v>974</v>
      </c>
      <c r="J100" s="796"/>
      <c r="K100" s="914">
        <f t="shared" si="34"/>
        <v>2460</v>
      </c>
      <c r="L100" s="1014"/>
    </row>
    <row r="101" spans="1:14" s="714" customFormat="1" ht="24" customHeight="1">
      <c r="A101" s="1147"/>
      <c r="B101" s="1148" t="s">
        <v>1885</v>
      </c>
      <c r="C101" s="1123"/>
      <c r="D101" s="1124"/>
      <c r="E101" s="1149">
        <v>3</v>
      </c>
      <c r="F101" s="1147" t="s">
        <v>240</v>
      </c>
      <c r="G101" s="1257">
        <v>450</v>
      </c>
      <c r="H101" s="796">
        <f t="shared" si="31"/>
        <v>1350</v>
      </c>
      <c r="I101" s="797" t="s">
        <v>974</v>
      </c>
      <c r="J101" s="796"/>
      <c r="K101" s="914">
        <f t="shared" si="34"/>
        <v>1350</v>
      </c>
      <c r="L101" s="1014"/>
    </row>
    <row r="102" spans="1:14" s="714" customFormat="1" ht="24" customHeight="1">
      <c r="A102" s="1221"/>
      <c r="B102" s="1219"/>
      <c r="C102" s="1209"/>
      <c r="D102" s="1210"/>
      <c r="E102" s="1211"/>
      <c r="F102" s="1221"/>
      <c r="G102" s="1257"/>
      <c r="H102" s="796"/>
      <c r="I102" s="797"/>
      <c r="J102" s="796"/>
      <c r="K102" s="914"/>
      <c r="L102" s="1014"/>
    </row>
    <row r="103" spans="1:14" s="714" customFormat="1" ht="24" customHeight="1">
      <c r="A103" s="1221" t="s">
        <v>1857</v>
      </c>
      <c r="B103" s="1219" t="s">
        <v>1858</v>
      </c>
      <c r="C103" s="1209"/>
      <c r="D103" s="1210"/>
      <c r="E103" s="1291"/>
      <c r="F103" s="1221"/>
      <c r="G103" s="1257"/>
      <c r="H103" s="796"/>
      <c r="I103" s="1259"/>
      <c r="J103" s="796"/>
      <c r="K103" s="1014"/>
      <c r="L103" s="1014"/>
    </row>
    <row r="104" spans="1:14" s="714" customFormat="1" ht="24" customHeight="1">
      <c r="A104" s="1147"/>
      <c r="B104" s="1148" t="s">
        <v>1859</v>
      </c>
      <c r="C104" s="1123"/>
      <c r="D104" s="1124"/>
      <c r="E104" s="1297">
        <v>4</v>
      </c>
      <c r="F104" s="1147" t="s">
        <v>240</v>
      </c>
      <c r="G104" s="1257">
        <v>1000</v>
      </c>
      <c r="H104" s="796">
        <f t="shared" ref="H104:H105" si="35">ROUND(E104*G104,)</f>
        <v>4000</v>
      </c>
      <c r="I104" s="1259">
        <v>200</v>
      </c>
      <c r="J104" s="796">
        <f t="shared" ref="J104:J105" si="36">ROUND(I104*E104,)</f>
        <v>800</v>
      </c>
      <c r="K104" s="914">
        <f t="shared" ref="K104:K105" si="37">H104+J104</f>
        <v>4800</v>
      </c>
      <c r="L104" s="1014"/>
    </row>
    <row r="105" spans="1:14" s="714" customFormat="1" ht="24" customHeight="1">
      <c r="A105" s="1159"/>
      <c r="B105" s="1160" t="s">
        <v>1860</v>
      </c>
      <c r="C105" s="1161"/>
      <c r="D105" s="1162"/>
      <c r="E105" s="1299"/>
      <c r="F105" s="1159" t="s">
        <v>240</v>
      </c>
      <c r="G105" s="1257">
        <v>6000</v>
      </c>
      <c r="H105" s="796">
        <f t="shared" si="35"/>
        <v>0</v>
      </c>
      <c r="I105" s="1259">
        <v>200</v>
      </c>
      <c r="J105" s="796">
        <f t="shared" si="36"/>
        <v>0</v>
      </c>
      <c r="K105" s="914">
        <f t="shared" si="37"/>
        <v>0</v>
      </c>
      <c r="L105" s="1014"/>
    </row>
    <row r="106" spans="1:14" s="714" customFormat="1" ht="24" customHeight="1">
      <c r="A106" s="1147"/>
      <c r="B106" s="1148" t="s">
        <v>1861</v>
      </c>
      <c r="C106" s="1123"/>
      <c r="D106" s="1124"/>
      <c r="E106" s="1297"/>
      <c r="F106" s="1147" t="s">
        <v>240</v>
      </c>
      <c r="G106" s="1257"/>
      <c r="H106" s="796"/>
      <c r="I106" s="1259"/>
      <c r="J106" s="796"/>
      <c r="K106" s="1014"/>
      <c r="L106" s="1014"/>
    </row>
    <row r="107" spans="1:14" s="714" customFormat="1" ht="24" customHeight="1">
      <c r="A107" s="1147"/>
      <c r="B107" s="1148" t="s">
        <v>957</v>
      </c>
      <c r="C107" s="1123"/>
      <c r="D107" s="1124"/>
      <c r="E107" s="1297"/>
      <c r="F107" s="1147"/>
      <c r="G107" s="1257"/>
      <c r="H107" s="796"/>
      <c r="I107" s="1259"/>
      <c r="J107" s="796"/>
      <c r="K107" s="1014"/>
      <c r="L107" s="1014"/>
    </row>
    <row r="108" spans="1:14" s="714" customFormat="1" ht="24" customHeight="1">
      <c r="A108" s="1147"/>
      <c r="B108" s="1148" t="s">
        <v>1102</v>
      </c>
      <c r="C108" s="1123"/>
      <c r="D108" s="1124"/>
      <c r="E108" s="1297"/>
      <c r="F108" s="1147"/>
      <c r="G108" s="1257"/>
      <c r="H108" s="796"/>
      <c r="I108" s="1259"/>
      <c r="J108" s="796"/>
      <c r="K108" s="1014"/>
      <c r="L108" s="1014"/>
    </row>
    <row r="109" spans="1:14" s="714" customFormat="1" ht="24" customHeight="1">
      <c r="A109" s="1166"/>
      <c r="B109" s="2475" t="str">
        <f>"รวมราคารายการที่ "&amp;A85</f>
        <v>รวมราคารายการที่ 6.4</v>
      </c>
      <c r="C109" s="2476"/>
      <c r="D109" s="2477"/>
      <c r="E109" s="1167"/>
      <c r="F109" s="1167"/>
      <c r="G109" s="1168"/>
      <c r="H109" s="1169">
        <f>SUM(H86:H108)</f>
        <v>205090</v>
      </c>
      <c r="I109" s="1170"/>
      <c r="J109" s="1169">
        <f>SUM(J86:J108)</f>
        <v>12935</v>
      </c>
      <c r="K109" s="1171">
        <f>SUM(K86:K108)</f>
        <v>218025</v>
      </c>
      <c r="L109" s="1171"/>
    </row>
    <row r="110" spans="1:14" s="714" customFormat="1" ht="24" customHeight="1">
      <c r="A110" s="1195">
        <v>6.5</v>
      </c>
      <c r="B110" s="1196" t="s">
        <v>1862</v>
      </c>
      <c r="C110" s="1197"/>
      <c r="D110" s="1198"/>
      <c r="E110" s="1298"/>
      <c r="F110" s="1230"/>
      <c r="G110" s="1201"/>
      <c r="H110" s="788"/>
      <c r="I110" s="789"/>
      <c r="J110" s="788"/>
      <c r="K110" s="1256"/>
      <c r="L110" s="1256"/>
    </row>
    <row r="111" spans="1:14" s="714" customFormat="1" ht="24" customHeight="1">
      <c r="A111" s="1147" t="s">
        <v>1863</v>
      </c>
      <c r="B111" s="1148" t="s">
        <v>1864</v>
      </c>
      <c r="C111" s="1123"/>
      <c r="D111" s="1124"/>
      <c r="E111" s="1297">
        <v>4</v>
      </c>
      <c r="F111" s="1147" t="s">
        <v>240</v>
      </c>
      <c r="G111" s="1140">
        <v>2300</v>
      </c>
      <c r="H111" s="796">
        <f t="shared" ref="H111:H112" si="38">ROUND(E111*G111,)</f>
        <v>9200</v>
      </c>
      <c r="I111" s="797">
        <f>G111*0.1</f>
        <v>230</v>
      </c>
      <c r="J111" s="796">
        <f t="shared" ref="J111:J112" si="39">ROUND(I111*E111,)</f>
        <v>920</v>
      </c>
      <c r="K111" s="914">
        <f t="shared" ref="K111:K112" si="40">H111+J111</f>
        <v>10120</v>
      </c>
      <c r="L111" s="914"/>
    </row>
    <row r="112" spans="1:14" s="714" customFormat="1" ht="24" customHeight="1">
      <c r="A112" s="1147" t="s">
        <v>1865</v>
      </c>
      <c r="B112" s="1148" t="s">
        <v>1866</v>
      </c>
      <c r="C112" s="1123"/>
      <c r="D112" s="1124"/>
      <c r="E112" s="1297">
        <v>4</v>
      </c>
      <c r="F112" s="1147" t="s">
        <v>240</v>
      </c>
      <c r="G112" s="1140">
        <v>3400</v>
      </c>
      <c r="H112" s="796">
        <f t="shared" si="38"/>
        <v>13600</v>
      </c>
      <c r="I112" s="797">
        <f>G112*0.1</f>
        <v>340</v>
      </c>
      <c r="J112" s="796">
        <f t="shared" si="39"/>
        <v>1360</v>
      </c>
      <c r="K112" s="914">
        <f t="shared" si="40"/>
        <v>14960</v>
      </c>
      <c r="L112" s="912"/>
    </row>
    <row r="113" spans="1:12" s="714" customFormat="1" ht="24" customHeight="1">
      <c r="A113" s="1147" t="s">
        <v>1867</v>
      </c>
      <c r="B113" s="1148" t="s">
        <v>1868</v>
      </c>
      <c r="C113" s="1123"/>
      <c r="D113" s="1124"/>
      <c r="E113" s="1297"/>
      <c r="F113" s="1147" t="s">
        <v>240</v>
      </c>
      <c r="G113" s="1140"/>
      <c r="H113" s="796"/>
      <c r="I113" s="797"/>
      <c r="J113" s="796"/>
      <c r="K113" s="914"/>
      <c r="L113" s="912"/>
    </row>
    <row r="114" spans="1:12" s="714" customFormat="1" ht="24" customHeight="1">
      <c r="A114" s="1147"/>
      <c r="B114" s="1148" t="s">
        <v>957</v>
      </c>
      <c r="C114" s="1123"/>
      <c r="D114" s="1124"/>
      <c r="E114" s="1297"/>
      <c r="F114" s="1147"/>
      <c r="G114" s="1140"/>
      <c r="H114" s="854"/>
      <c r="I114" s="855"/>
      <c r="J114" s="854"/>
      <c r="K114" s="912"/>
      <c r="L114" s="912"/>
    </row>
    <row r="115" spans="1:12" s="714" customFormat="1" ht="24" customHeight="1">
      <c r="A115" s="1147"/>
      <c r="B115" s="1148" t="s">
        <v>1102</v>
      </c>
      <c r="C115" s="1123"/>
      <c r="D115" s="1124"/>
      <c r="E115" s="1297"/>
      <c r="F115" s="1147"/>
      <c r="G115" s="1140"/>
      <c r="H115" s="854"/>
      <c r="I115" s="855"/>
      <c r="J115" s="854"/>
      <c r="K115" s="912"/>
      <c r="L115" s="912"/>
    </row>
    <row r="116" spans="1:12" s="714" customFormat="1" ht="24" customHeight="1">
      <c r="A116" s="1038"/>
      <c r="B116" s="1148" t="s">
        <v>1102</v>
      </c>
      <c r="C116" s="1233"/>
      <c r="D116" s="809"/>
      <c r="E116" s="1300"/>
      <c r="F116" s="852"/>
      <c r="G116" s="1140"/>
      <c r="H116" s="854"/>
      <c r="I116" s="855"/>
      <c r="J116" s="854"/>
      <c r="K116" s="912"/>
      <c r="L116" s="912"/>
    </row>
    <row r="117" spans="1:12" s="714" customFormat="1" ht="24" customHeight="1">
      <c r="A117" s="1038"/>
      <c r="B117" s="1301"/>
      <c r="C117" s="1233"/>
      <c r="D117" s="809"/>
      <c r="E117" s="1300"/>
      <c r="F117" s="852"/>
      <c r="G117" s="1140"/>
      <c r="H117" s="854"/>
      <c r="I117" s="855"/>
      <c r="J117" s="854"/>
      <c r="K117" s="912"/>
      <c r="L117" s="912"/>
    </row>
    <row r="118" spans="1:12" s="714" customFormat="1" ht="24" customHeight="1">
      <c r="A118" s="1166"/>
      <c r="B118" s="2475" t="str">
        <f>"รวมราคารายการที่ "&amp;A110</f>
        <v>รวมราคารายการที่ 6.5</v>
      </c>
      <c r="C118" s="2476"/>
      <c r="D118" s="2477"/>
      <c r="E118" s="1167"/>
      <c r="F118" s="1167"/>
      <c r="G118" s="1168"/>
      <c r="H118" s="1169">
        <f>SUM(H111:H117)</f>
        <v>22800</v>
      </c>
      <c r="I118" s="1170"/>
      <c r="J118" s="1169">
        <f>SUM(J111:J117)</f>
        <v>2280</v>
      </c>
      <c r="K118" s="1171">
        <f>SUM(K111:K117)</f>
        <v>25080</v>
      </c>
      <c r="L118" s="1171"/>
    </row>
    <row r="119" spans="1:12" s="714" customFormat="1" ht="24" customHeight="1">
      <c r="A119" s="1221">
        <v>6.6</v>
      </c>
      <c r="B119" s="1219" t="s">
        <v>1264</v>
      </c>
      <c r="C119" s="1209"/>
      <c r="D119" s="1210"/>
      <c r="E119" s="1291"/>
      <c r="F119" s="1221" t="s">
        <v>948</v>
      </c>
      <c r="G119" s="1262" t="s">
        <v>1876</v>
      </c>
      <c r="H119" s="796"/>
      <c r="I119" s="855"/>
      <c r="J119" s="796">
        <f t="shared" ref="J119" si="41">ROUND(I119*E119,)</f>
        <v>0</v>
      </c>
      <c r="K119" s="914">
        <f t="shared" ref="K119" si="42">H119+J119</f>
        <v>0</v>
      </c>
      <c r="L119" s="912"/>
    </row>
    <row r="120" spans="1:12" s="714" customFormat="1" ht="24" customHeight="1">
      <c r="A120" s="1221"/>
      <c r="B120" s="1219"/>
      <c r="C120" s="1209"/>
      <c r="D120" s="1210"/>
      <c r="E120" s="1291"/>
      <c r="F120" s="1221"/>
      <c r="G120" s="874"/>
      <c r="H120" s="796"/>
      <c r="I120" s="855"/>
      <c r="J120" s="796"/>
      <c r="K120" s="914"/>
      <c r="L120" s="912"/>
    </row>
    <row r="121" spans="1:12" s="714" customFormat="1" ht="24" customHeight="1">
      <c r="A121" s="1221"/>
      <c r="B121" s="1219"/>
      <c r="C121" s="1209"/>
      <c r="D121" s="1210"/>
      <c r="E121" s="1291"/>
      <c r="F121" s="1221"/>
      <c r="G121" s="874"/>
      <c r="H121" s="796"/>
      <c r="I121" s="855"/>
      <c r="J121" s="796"/>
      <c r="K121" s="914"/>
      <c r="L121" s="912"/>
    </row>
    <row r="122" spans="1:12" s="714" customFormat="1" ht="24" customHeight="1">
      <c r="A122" s="1221"/>
      <c r="B122" s="1219"/>
      <c r="C122" s="1209"/>
      <c r="D122" s="1210"/>
      <c r="E122" s="1291"/>
      <c r="F122" s="1221"/>
      <c r="G122" s="874"/>
      <c r="H122" s="796"/>
      <c r="I122" s="855"/>
      <c r="J122" s="796"/>
      <c r="K122" s="914"/>
      <c r="L122" s="912"/>
    </row>
    <row r="123" spans="1:12" s="714" customFormat="1" ht="24" customHeight="1">
      <c r="A123" s="1221"/>
      <c r="B123" s="1219"/>
      <c r="C123" s="1209"/>
      <c r="D123" s="1210"/>
      <c r="E123" s="1291"/>
      <c r="F123" s="1221"/>
      <c r="G123" s="874"/>
      <c r="H123" s="796"/>
      <c r="I123" s="855"/>
      <c r="J123" s="796"/>
      <c r="K123" s="914"/>
      <c r="L123" s="912"/>
    </row>
    <row r="124" spans="1:12" s="714" customFormat="1" ht="24" customHeight="1">
      <c r="A124" s="1221"/>
      <c r="B124" s="1219"/>
      <c r="C124" s="1209"/>
      <c r="D124" s="1210"/>
      <c r="E124" s="1291"/>
      <c r="F124" s="1221"/>
      <c r="G124" s="874"/>
      <c r="H124" s="796"/>
      <c r="I124" s="855"/>
      <c r="J124" s="796"/>
      <c r="K124" s="914"/>
      <c r="L124" s="912"/>
    </row>
    <row r="125" spans="1:12" s="714" customFormat="1" ht="24" customHeight="1">
      <c r="A125" s="1221"/>
      <c r="B125" s="1219"/>
      <c r="C125" s="1209"/>
      <c r="D125" s="1210"/>
      <c r="E125" s="1291"/>
      <c r="F125" s="1221"/>
      <c r="G125" s="874"/>
      <c r="H125" s="796"/>
      <c r="I125" s="855"/>
      <c r="J125" s="796"/>
      <c r="K125" s="914"/>
      <c r="L125" s="912"/>
    </row>
    <row r="126" spans="1:12" s="714" customFormat="1" ht="24" customHeight="1">
      <c r="A126" s="1221"/>
      <c r="B126" s="1219"/>
      <c r="C126" s="1209"/>
      <c r="D126" s="1210"/>
      <c r="E126" s="1291"/>
      <c r="F126" s="1221"/>
      <c r="G126" s="874"/>
      <c r="H126" s="796"/>
      <c r="I126" s="855"/>
      <c r="J126" s="796"/>
      <c r="K126" s="914"/>
      <c r="L126" s="912"/>
    </row>
    <row r="127" spans="1:12" s="714" customFormat="1" ht="24" customHeight="1">
      <c r="A127" s="1221"/>
      <c r="B127" s="1219"/>
      <c r="C127" s="1209"/>
      <c r="D127" s="1210"/>
      <c r="E127" s="1291"/>
      <c r="F127" s="1221"/>
      <c r="G127" s="874"/>
      <c r="H127" s="796"/>
      <c r="I127" s="855"/>
      <c r="J127" s="796"/>
      <c r="K127" s="914"/>
      <c r="L127" s="912"/>
    </row>
    <row r="128" spans="1:12" s="714" customFormat="1" ht="24" customHeight="1">
      <c r="A128" s="1221"/>
      <c r="B128" s="1219"/>
      <c r="C128" s="1209"/>
      <c r="D128" s="1210"/>
      <c r="E128" s="1291"/>
      <c r="F128" s="1221"/>
      <c r="G128" s="874"/>
      <c r="H128" s="796"/>
      <c r="I128" s="855"/>
      <c r="J128" s="796"/>
      <c r="K128" s="914"/>
      <c r="L128" s="912"/>
    </row>
    <row r="129" spans="1:12" s="714" customFormat="1" ht="24" customHeight="1">
      <c r="A129" s="1221"/>
      <c r="B129" s="1219"/>
      <c r="C129" s="1209"/>
      <c r="D129" s="1210"/>
      <c r="E129" s="1291"/>
      <c r="F129" s="1221"/>
      <c r="G129" s="874"/>
      <c r="H129" s="796"/>
      <c r="I129" s="855"/>
      <c r="J129" s="796"/>
      <c r="K129" s="914"/>
      <c r="L129" s="912"/>
    </row>
    <row r="130" spans="1:12" s="714" customFormat="1" ht="24" customHeight="1">
      <c r="A130" s="1221"/>
      <c r="B130" s="1219"/>
      <c r="C130" s="1209"/>
      <c r="D130" s="1210"/>
      <c r="E130" s="1291"/>
      <c r="F130" s="1221"/>
      <c r="G130" s="874"/>
      <c r="H130" s="796"/>
      <c r="I130" s="855"/>
      <c r="J130" s="796"/>
      <c r="K130" s="914"/>
      <c r="L130" s="912"/>
    </row>
    <row r="131" spans="1:12" s="714" customFormat="1" ht="24" customHeight="1">
      <c r="A131" s="1221"/>
      <c r="B131" s="1219"/>
      <c r="C131" s="1209"/>
      <c r="D131" s="1210"/>
      <c r="E131" s="1291"/>
      <c r="F131" s="1221"/>
      <c r="G131" s="874"/>
      <c r="H131" s="796"/>
      <c r="I131" s="855"/>
      <c r="J131" s="796"/>
      <c r="K131" s="914"/>
      <c r="L131" s="912"/>
    </row>
    <row r="132" spans="1:12" s="714" customFormat="1" ht="24" customHeight="1">
      <c r="A132" s="1221"/>
      <c r="B132" s="1219"/>
      <c r="C132" s="1209"/>
      <c r="D132" s="1210"/>
      <c r="E132" s="1291"/>
      <c r="F132" s="1221"/>
      <c r="G132" s="874"/>
      <c r="H132" s="796"/>
      <c r="I132" s="855"/>
      <c r="J132" s="796"/>
      <c r="K132" s="914"/>
      <c r="L132" s="912"/>
    </row>
    <row r="133" spans="1:12" s="714" customFormat="1" ht="21.3">
      <c r="A133" s="1221"/>
      <c r="B133" s="1219"/>
      <c r="C133" s="1209"/>
      <c r="D133" s="1210"/>
      <c r="E133" s="1291"/>
      <c r="F133" s="1221"/>
      <c r="G133" s="874"/>
      <c r="H133" s="796"/>
      <c r="I133" s="855"/>
      <c r="J133" s="796"/>
      <c r="K133" s="914"/>
      <c r="L133" s="912"/>
    </row>
    <row r="134" spans="1:12" s="714" customFormat="1" ht="21.3">
      <c r="A134" s="1166"/>
      <c r="B134" s="2475" t="str">
        <f>"รวมราคารายการที่ "&amp;A119</f>
        <v>รวมราคารายการที่ 6.6</v>
      </c>
      <c r="C134" s="2476"/>
      <c r="D134" s="2477"/>
      <c r="E134" s="1167"/>
      <c r="F134" s="1167"/>
      <c r="G134" s="1168"/>
      <c r="H134" s="1169">
        <f>SUM(H119:H133)</f>
        <v>0</v>
      </c>
      <c r="I134" s="1170"/>
      <c r="J134" s="1169">
        <f>SUM(J119:J133)</f>
        <v>0</v>
      </c>
      <c r="K134" s="1171">
        <f>SUM(K119:K133)</f>
        <v>0</v>
      </c>
      <c r="L134" s="1171"/>
    </row>
    <row r="135" spans="1:12" s="714" customFormat="1" ht="21.3">
      <c r="A135" s="950"/>
      <c r="E135" s="1302"/>
    </row>
    <row r="136" spans="1:12" s="714" customFormat="1" ht="21.3">
      <c r="A136" s="950"/>
      <c r="E136" s="1302"/>
    </row>
    <row r="137" spans="1:12" s="714" customFormat="1" ht="21.3">
      <c r="A137" s="950"/>
      <c r="E137" s="1302"/>
    </row>
    <row r="138" spans="1:12" s="714" customFormat="1" ht="21.3">
      <c r="A138" s="950"/>
      <c r="E138" s="1302"/>
    </row>
    <row r="139" spans="1:12" s="714" customFormat="1" ht="21.3">
      <c r="A139" s="950"/>
      <c r="E139" s="1302"/>
    </row>
    <row r="140" spans="1:12" s="714" customFormat="1" ht="21.3">
      <c r="A140" s="950"/>
      <c r="E140" s="1302"/>
    </row>
    <row r="141" spans="1:12" s="714" customFormat="1" ht="21.3">
      <c r="A141" s="950"/>
      <c r="E141" s="1302"/>
    </row>
    <row r="142" spans="1:12" s="714" customFormat="1" ht="21.3">
      <c r="A142" s="950"/>
      <c r="E142" s="1302"/>
    </row>
    <row r="143" spans="1:12" s="714" customFormat="1" ht="21.3">
      <c r="A143" s="950"/>
      <c r="E143" s="1302"/>
    </row>
    <row r="144" spans="1:12" s="714" customFormat="1" ht="21.3">
      <c r="A144" s="950"/>
      <c r="E144" s="1302"/>
    </row>
    <row r="145" spans="1:5" s="714" customFormat="1" ht="21.3">
      <c r="A145" s="950"/>
      <c r="E145" s="1302"/>
    </row>
    <row r="146" spans="1:5" s="714" customFormat="1" ht="21.3">
      <c r="A146" s="950"/>
      <c r="E146" s="1302"/>
    </row>
    <row r="147" spans="1:5" s="714" customFormat="1" ht="21.3">
      <c r="A147" s="950"/>
      <c r="E147" s="1302"/>
    </row>
    <row r="148" spans="1:5" s="714" customFormat="1" ht="21.3">
      <c r="A148" s="950"/>
      <c r="E148" s="1234"/>
    </row>
    <row r="149" spans="1:5" s="714" customFormat="1" ht="21.3">
      <c r="A149" s="950"/>
      <c r="E149" s="1234"/>
    </row>
    <row r="150" spans="1:5" s="714" customFormat="1" ht="21.3">
      <c r="A150" s="950"/>
      <c r="E150" s="1234"/>
    </row>
    <row r="151" spans="1:5" s="714" customFormat="1" ht="21.3">
      <c r="A151" s="950"/>
      <c r="E151" s="1234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&amp;Rงานดับเพลิงและป้องกันอัคคีภัย ชั้น 3-อาคารสนับนุน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6100C-2FAF-408D-8E15-320F679D046C}">
  <sheetPr>
    <tabColor rgb="FFFF3399"/>
  </sheetPr>
  <dimension ref="A1:O150"/>
  <sheetViews>
    <sheetView showGridLines="0" tabSelected="1" view="pageBreakPreview" topLeftCell="A118" zoomScale="70" zoomScaleNormal="6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703125" style="1" customWidth="1"/>
    <col min="13" max="13" width="11.5859375" style="1" customWidth="1"/>
    <col min="14" max="88" width="7.703125" style="1" customWidth="1"/>
    <col min="89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1780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>
        <v>6</v>
      </c>
      <c r="B11" s="1144" t="s">
        <v>1893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/>
      <c r="B12" s="1151" t="str">
        <f>B35</f>
        <v>งานระบบดับเพลิงและป้องกันอัคคีภัย</v>
      </c>
      <c r="C12" s="1123"/>
      <c r="D12" s="1124"/>
      <c r="E12" s="1149"/>
      <c r="F12" s="1150"/>
      <c r="G12" s="710"/>
      <c r="H12" s="711"/>
      <c r="I12" s="712"/>
      <c r="J12" s="711"/>
      <c r="K12" s="1129"/>
      <c r="L12" s="1024"/>
    </row>
    <row r="13" spans="1:12" s="714" customFormat="1" ht="24" customHeight="1">
      <c r="A13" s="1147">
        <f>A36</f>
        <v>6.1</v>
      </c>
      <c r="B13" s="1148" t="str">
        <f>B36</f>
        <v>งานท่อน้ำ (Piping Work)</v>
      </c>
      <c r="C13" s="1123"/>
      <c r="D13" s="1124"/>
      <c r="E13" s="1149">
        <v>1</v>
      </c>
      <c r="F13" s="1150" t="s">
        <v>19</v>
      </c>
      <c r="G13" s="710"/>
      <c r="H13" s="711">
        <f>H59</f>
        <v>925687</v>
      </c>
      <c r="I13" s="712"/>
      <c r="J13" s="711">
        <f>J59</f>
        <v>400797</v>
      </c>
      <c r="K13" s="1129">
        <f t="shared" ref="K13:K18" si="0">SUM(H13:J13)</f>
        <v>1326484</v>
      </c>
      <c r="L13" s="1024"/>
    </row>
    <row r="14" spans="1:12" s="714" customFormat="1" ht="24" customHeight="1">
      <c r="A14" s="1147">
        <f>A60</f>
        <v>6.2</v>
      </c>
      <c r="B14" s="1148" t="str">
        <f>B60</f>
        <v>วาล์วและอุปกรณ์ (Valve &amp; Pipe Accessories)</v>
      </c>
      <c r="C14" s="1123"/>
      <c r="D14" s="1124"/>
      <c r="E14" s="1149">
        <v>1</v>
      </c>
      <c r="F14" s="1150" t="s">
        <v>19</v>
      </c>
      <c r="G14" s="710"/>
      <c r="H14" s="711">
        <f>H76</f>
        <v>212932</v>
      </c>
      <c r="I14" s="712"/>
      <c r="J14" s="711">
        <f>J76</f>
        <v>14000</v>
      </c>
      <c r="K14" s="1129">
        <f t="shared" si="0"/>
        <v>226932</v>
      </c>
      <c r="L14" s="1024"/>
    </row>
    <row r="15" spans="1:12" s="714" customFormat="1" ht="24" customHeight="1">
      <c r="A15" s="1147">
        <f>A77</f>
        <v>6.3</v>
      </c>
      <c r="B15" s="1148" t="str">
        <f>B77</f>
        <v>ระบบหัวกระจายน้ำดับเพลิง (Sprinkler System)</v>
      </c>
      <c r="C15" s="1123"/>
      <c r="D15" s="1124"/>
      <c r="E15" s="1149">
        <v>1</v>
      </c>
      <c r="F15" s="1150" t="s">
        <v>19</v>
      </c>
      <c r="G15" s="710"/>
      <c r="H15" s="711">
        <f>H84</f>
        <v>79002</v>
      </c>
      <c r="I15" s="712"/>
      <c r="J15" s="711">
        <f>J84</f>
        <v>47025</v>
      </c>
      <c r="K15" s="1129">
        <f t="shared" si="0"/>
        <v>126027</v>
      </c>
      <c r="L15" s="1024"/>
    </row>
    <row r="16" spans="1:12" s="714" customFormat="1" ht="24" customHeight="1">
      <c r="A16" s="1147">
        <f>A85</f>
        <v>6.4</v>
      </c>
      <c r="B16" s="1231" t="str">
        <f>B85</f>
        <v>ตู้ดับเพลิงและถังดับเพลิงชนิดมือถือ (Fire Hose Cabinet &amp; Portable Fire Extinguisher)</v>
      </c>
      <c r="C16" s="1197"/>
      <c r="D16" s="1198"/>
      <c r="E16" s="1149">
        <v>1</v>
      </c>
      <c r="F16" s="1200" t="s">
        <v>19</v>
      </c>
      <c r="G16" s="1263"/>
      <c r="H16" s="1264">
        <f>H109</f>
        <v>205090</v>
      </c>
      <c r="I16" s="1265"/>
      <c r="J16" s="1264">
        <f>J109</f>
        <v>12935</v>
      </c>
      <c r="K16" s="1129">
        <f t="shared" si="0"/>
        <v>218025</v>
      </c>
      <c r="L16" s="1266"/>
    </row>
    <row r="17" spans="1:12" s="714" customFormat="1" ht="24" customHeight="1">
      <c r="A17" s="1230">
        <f>A110</f>
        <v>6.5</v>
      </c>
      <c r="B17" s="1160" t="str">
        <f>B110</f>
        <v>ระบบไฟฟ้าและควบคุม (Electrical &amp; Control System) สำหรับระบบป้องกันอัคคีภัย</v>
      </c>
      <c r="C17" s="1161"/>
      <c r="D17" s="1162"/>
      <c r="E17" s="1149">
        <v>1</v>
      </c>
      <c r="F17" s="1163" t="s">
        <v>19</v>
      </c>
      <c r="G17" s="1164"/>
      <c r="H17" s="957">
        <f>H118</f>
        <v>22800</v>
      </c>
      <c r="I17" s="1165"/>
      <c r="J17" s="957">
        <f>J118</f>
        <v>2280</v>
      </c>
      <c r="K17" s="1129">
        <f t="shared" si="0"/>
        <v>25080</v>
      </c>
      <c r="L17" s="954"/>
    </row>
    <row r="18" spans="1:12" s="714" customFormat="1" ht="24" customHeight="1">
      <c r="A18" s="1230">
        <f>A119</f>
        <v>6.6</v>
      </c>
      <c r="B18" s="1148" t="str">
        <f>B119</f>
        <v>ระบบป้องกันไฟและควันลาม (Fire Barrier System)</v>
      </c>
      <c r="C18" s="1123"/>
      <c r="D18" s="1124"/>
      <c r="E18" s="1149">
        <v>1</v>
      </c>
      <c r="F18" s="1150" t="s">
        <v>19</v>
      </c>
      <c r="G18" s="710"/>
      <c r="H18" s="711">
        <f>H134</f>
        <v>0</v>
      </c>
      <c r="I18" s="712"/>
      <c r="J18" s="711">
        <f>J134</f>
        <v>0</v>
      </c>
      <c r="K18" s="1129">
        <f t="shared" si="0"/>
        <v>0</v>
      </c>
      <c r="L18" s="1024"/>
    </row>
    <row r="19" spans="1:12" s="714" customFormat="1" ht="24" customHeight="1">
      <c r="A19" s="1227"/>
      <c r="B19" s="1160"/>
      <c r="C19" s="1161"/>
      <c r="D19" s="1162"/>
      <c r="E19" s="1183"/>
      <c r="F19" s="1163"/>
      <c r="G19" s="1164"/>
      <c r="H19" s="957"/>
      <c r="I19" s="1165"/>
      <c r="J19" s="957"/>
      <c r="K19" s="1129"/>
      <c r="L19" s="954"/>
    </row>
    <row r="20" spans="1:12" s="714" customFormat="1" ht="24" customHeight="1">
      <c r="A20" s="1227"/>
      <c r="B20" s="1160"/>
      <c r="C20" s="1161"/>
      <c r="D20" s="1162"/>
      <c r="E20" s="1183"/>
      <c r="F20" s="1163"/>
      <c r="G20" s="1164"/>
      <c r="H20" s="957"/>
      <c r="I20" s="1165"/>
      <c r="J20" s="957"/>
      <c r="K20" s="1129"/>
      <c r="L20" s="954"/>
    </row>
    <row r="21" spans="1:12" s="714" customFormat="1" ht="24" customHeight="1">
      <c r="A21" s="1227"/>
      <c r="B21" s="1160"/>
      <c r="C21" s="1161"/>
      <c r="D21" s="1162"/>
      <c r="E21" s="1183"/>
      <c r="F21" s="1163"/>
      <c r="G21" s="1164"/>
      <c r="H21" s="957"/>
      <c r="I21" s="1165"/>
      <c r="J21" s="957"/>
      <c r="K21" s="1129"/>
      <c r="L21" s="954"/>
    </row>
    <row r="22" spans="1:12" s="714" customFormat="1" ht="24" customHeight="1">
      <c r="A22" s="1227"/>
      <c r="B22" s="1160"/>
      <c r="C22" s="1161"/>
      <c r="D22" s="1162"/>
      <c r="E22" s="1183"/>
      <c r="F22" s="1163"/>
      <c r="G22" s="1164"/>
      <c r="H22" s="957"/>
      <c r="I22" s="1165"/>
      <c r="J22" s="957"/>
      <c r="K22" s="1129"/>
      <c r="L22" s="954"/>
    </row>
    <row r="23" spans="1:12" s="714" customFormat="1" ht="24" customHeight="1">
      <c r="A23" s="1227"/>
      <c r="B23" s="1160"/>
      <c r="C23" s="1161"/>
      <c r="D23" s="1162"/>
      <c r="E23" s="1183"/>
      <c r="F23" s="1163"/>
      <c r="G23" s="1164"/>
      <c r="H23" s="957"/>
      <c r="I23" s="1165"/>
      <c r="J23" s="957"/>
      <c r="K23" s="1129"/>
      <c r="L23" s="954"/>
    </row>
    <row r="24" spans="1:12" s="714" customFormat="1" ht="24" customHeight="1">
      <c r="A24" s="1227"/>
      <c r="B24" s="1160"/>
      <c r="C24" s="1161"/>
      <c r="D24" s="1162"/>
      <c r="E24" s="1183"/>
      <c r="F24" s="1163"/>
      <c r="G24" s="1164"/>
      <c r="H24" s="957"/>
      <c r="I24" s="1165"/>
      <c r="J24" s="957"/>
      <c r="K24" s="1129"/>
      <c r="L24" s="954"/>
    </row>
    <row r="25" spans="1:12" s="714" customFormat="1" ht="24" customHeight="1">
      <c r="A25" s="1227"/>
      <c r="B25" s="1160"/>
      <c r="C25" s="1161"/>
      <c r="D25" s="1162"/>
      <c r="E25" s="1183"/>
      <c r="F25" s="1163"/>
      <c r="G25" s="1164"/>
      <c r="H25" s="957"/>
      <c r="I25" s="1165"/>
      <c r="J25" s="957"/>
      <c r="K25" s="1129"/>
      <c r="L25" s="954"/>
    </row>
    <row r="26" spans="1:12" s="714" customFormat="1" ht="24" customHeight="1">
      <c r="A26" s="1227"/>
      <c r="B26" s="1160"/>
      <c r="C26" s="1161"/>
      <c r="D26" s="1162"/>
      <c r="E26" s="1183"/>
      <c r="F26" s="1163"/>
      <c r="G26" s="1164"/>
      <c r="H26" s="957"/>
      <c r="I26" s="1165"/>
      <c r="J26" s="957"/>
      <c r="K26" s="1129"/>
      <c r="L26" s="954"/>
    </row>
    <row r="27" spans="1:12" s="714" customFormat="1" ht="24" customHeight="1">
      <c r="A27" s="1227"/>
      <c r="B27" s="1160"/>
      <c r="C27" s="1161"/>
      <c r="D27" s="1162"/>
      <c r="E27" s="1183"/>
      <c r="F27" s="1163"/>
      <c r="G27" s="1164"/>
      <c r="H27" s="957"/>
      <c r="I27" s="1165"/>
      <c r="J27" s="957"/>
      <c r="K27" s="1129"/>
      <c r="L27" s="954"/>
    </row>
    <row r="28" spans="1:12" s="714" customFormat="1" ht="24" customHeight="1">
      <c r="A28" s="1227"/>
      <c r="B28" s="1160"/>
      <c r="C28" s="1161"/>
      <c r="D28" s="1162"/>
      <c r="E28" s="1183"/>
      <c r="F28" s="1163"/>
      <c r="G28" s="1164"/>
      <c r="H28" s="957"/>
      <c r="I28" s="1165"/>
      <c r="J28" s="957"/>
      <c r="K28" s="1129"/>
      <c r="L28" s="954"/>
    </row>
    <row r="29" spans="1:12" s="714" customFormat="1" ht="24" customHeight="1">
      <c r="A29" s="1227"/>
      <c r="B29" s="1160"/>
      <c r="C29" s="1161"/>
      <c r="D29" s="1162"/>
      <c r="E29" s="1183"/>
      <c r="F29" s="1163"/>
      <c r="G29" s="1164"/>
      <c r="H29" s="957"/>
      <c r="I29" s="1165"/>
      <c r="J29" s="957"/>
      <c r="K29" s="1129"/>
      <c r="L29" s="954"/>
    </row>
    <row r="30" spans="1:12" s="714" customFormat="1" ht="24" customHeight="1">
      <c r="A30" s="1227"/>
      <c r="B30" s="1160"/>
      <c r="C30" s="1161"/>
      <c r="D30" s="1162"/>
      <c r="E30" s="1183"/>
      <c r="F30" s="1163"/>
      <c r="G30" s="1164"/>
      <c r="H30" s="957"/>
      <c r="I30" s="1165"/>
      <c r="J30" s="957"/>
      <c r="K30" s="1129"/>
      <c r="L30" s="954"/>
    </row>
    <row r="31" spans="1:12" s="714" customFormat="1" ht="24" customHeight="1">
      <c r="A31" s="1227"/>
      <c r="B31" s="1160"/>
      <c r="C31" s="1161"/>
      <c r="D31" s="1162"/>
      <c r="E31" s="1183"/>
      <c r="F31" s="1163"/>
      <c r="G31" s="1164"/>
      <c r="H31" s="957"/>
      <c r="I31" s="1165"/>
      <c r="J31" s="957"/>
      <c r="K31" s="1129"/>
      <c r="L31" s="954"/>
    </row>
    <row r="32" spans="1:12" s="714" customFormat="1" ht="24" customHeight="1">
      <c r="A32" s="1227"/>
      <c r="B32" s="1160"/>
      <c r="C32" s="1161"/>
      <c r="D32" s="1162"/>
      <c r="E32" s="1183"/>
      <c r="F32" s="1163"/>
      <c r="G32" s="1164"/>
      <c r="H32" s="957"/>
      <c r="I32" s="1165"/>
      <c r="J32" s="957"/>
      <c r="K32" s="1129"/>
      <c r="L32" s="954"/>
    </row>
    <row r="33" spans="1:12" s="714" customFormat="1" ht="24" customHeight="1">
      <c r="A33" s="1227"/>
      <c r="B33" s="1160"/>
      <c r="C33" s="1161"/>
      <c r="D33" s="1162"/>
      <c r="E33" s="1183"/>
      <c r="F33" s="1163"/>
      <c r="G33" s="1164"/>
      <c r="H33" s="957"/>
      <c r="I33" s="1165"/>
      <c r="J33" s="957"/>
      <c r="K33" s="1129"/>
      <c r="L33" s="954"/>
    </row>
    <row r="34" spans="1:12" s="714" customFormat="1" ht="30" customHeight="1">
      <c r="A34" s="1166"/>
      <c r="B34" s="2475" t="str">
        <f>"รวมราคา"&amp;B11</f>
        <v>รวมราคางานระบบดับเพลิงและป้องกันอัคคีภัย ชั้น 4</v>
      </c>
      <c r="C34" s="2476"/>
      <c r="D34" s="2477"/>
      <c r="E34" s="1167"/>
      <c r="F34" s="1167"/>
      <c r="G34" s="1168"/>
      <c r="H34" s="1169">
        <f>SUM(H12:H33)</f>
        <v>1445511</v>
      </c>
      <c r="I34" s="1170"/>
      <c r="J34" s="1169">
        <f>SUM(J12:J33)</f>
        <v>477037</v>
      </c>
      <c r="K34" s="1171">
        <f>SUM(K12:K33)</f>
        <v>1922548</v>
      </c>
      <c r="L34" s="1171"/>
    </row>
    <row r="35" spans="1:12" s="714" customFormat="1" ht="24" customHeight="1">
      <c r="A35" s="1011"/>
      <c r="B35" s="1173" t="s">
        <v>31</v>
      </c>
      <c r="C35" s="859"/>
      <c r="D35" s="859"/>
      <c r="E35" s="1216"/>
      <c r="F35" s="852"/>
      <c r="G35" s="874"/>
      <c r="H35" s="854"/>
      <c r="I35" s="855"/>
      <c r="J35" s="854"/>
      <c r="K35" s="912"/>
      <c r="L35" s="912"/>
    </row>
    <row r="36" spans="1:12" s="714" customFormat="1" ht="24" customHeight="1">
      <c r="A36" s="1207">
        <v>6.1</v>
      </c>
      <c r="B36" s="1208" t="s">
        <v>1782</v>
      </c>
      <c r="C36" s="1238"/>
      <c r="D36" s="1210"/>
      <c r="E36" s="1211"/>
      <c r="F36" s="1212"/>
      <c r="G36" s="874"/>
      <c r="H36" s="854"/>
      <c r="I36" s="855"/>
      <c r="J36" s="854"/>
      <c r="K36" s="912"/>
      <c r="L36" s="912"/>
    </row>
    <row r="37" spans="1:12" s="714" customFormat="1" ht="24" customHeight="1">
      <c r="A37" s="1159" t="s">
        <v>1783</v>
      </c>
      <c r="B37" s="1160" t="s">
        <v>1878</v>
      </c>
      <c r="C37" s="1161"/>
      <c r="D37" s="1162"/>
      <c r="E37" s="1211"/>
      <c r="F37" s="1163"/>
      <c r="G37" s="1205"/>
      <c r="H37" s="796"/>
      <c r="I37" s="797"/>
      <c r="J37" s="796"/>
      <c r="K37" s="914"/>
      <c r="L37" s="914"/>
    </row>
    <row r="38" spans="1:12" s="714" customFormat="1" ht="24" customHeight="1">
      <c r="A38" s="1147"/>
      <c r="B38" s="1148" t="s">
        <v>1822</v>
      </c>
      <c r="C38" s="1123"/>
      <c r="D38" s="1124"/>
      <c r="E38" s="1287">
        <v>1398</v>
      </c>
      <c r="F38" s="1150" t="s">
        <v>438</v>
      </c>
      <c r="G38" s="1140">
        <v>78</v>
      </c>
      <c r="H38" s="796">
        <f t="shared" ref="H38:H51" si="1">ROUND(E38*G38,)</f>
        <v>109044</v>
      </c>
      <c r="I38" s="797">
        <v>45</v>
      </c>
      <c r="J38" s="796">
        <f t="shared" ref="J38:J51" si="2">ROUND(I38*E38,)</f>
        <v>62910</v>
      </c>
      <c r="K38" s="914">
        <f t="shared" ref="K38:K51" si="3">H38+J38</f>
        <v>171954</v>
      </c>
      <c r="L38" s="914"/>
    </row>
    <row r="39" spans="1:12" s="714" customFormat="1" ht="24" customHeight="1">
      <c r="A39" s="1147"/>
      <c r="B39" s="1148" t="s">
        <v>1186</v>
      </c>
      <c r="C39" s="1123"/>
      <c r="D39" s="1124"/>
      <c r="E39" s="1287">
        <v>124</v>
      </c>
      <c r="F39" s="1150" t="s">
        <v>438</v>
      </c>
      <c r="G39" s="1140">
        <v>105</v>
      </c>
      <c r="H39" s="796">
        <f t="shared" si="1"/>
        <v>13020</v>
      </c>
      <c r="I39" s="855">
        <v>60</v>
      </c>
      <c r="J39" s="796">
        <f t="shared" si="2"/>
        <v>7440</v>
      </c>
      <c r="K39" s="914">
        <f t="shared" si="3"/>
        <v>20460</v>
      </c>
      <c r="L39" s="912"/>
    </row>
    <row r="40" spans="1:12" s="714" customFormat="1" ht="24" customHeight="1">
      <c r="A40" s="1147"/>
      <c r="B40" s="1148" t="s">
        <v>1187</v>
      </c>
      <c r="C40" s="1123"/>
      <c r="D40" s="1124"/>
      <c r="E40" s="1287">
        <v>151</v>
      </c>
      <c r="F40" s="1150" t="s">
        <v>438</v>
      </c>
      <c r="G40" s="1244">
        <v>126</v>
      </c>
      <c r="H40" s="796">
        <f t="shared" si="1"/>
        <v>19026</v>
      </c>
      <c r="I40" s="1176">
        <v>70</v>
      </c>
      <c r="J40" s="796">
        <f t="shared" si="2"/>
        <v>10570</v>
      </c>
      <c r="K40" s="914">
        <f t="shared" si="3"/>
        <v>29596</v>
      </c>
      <c r="L40" s="912"/>
    </row>
    <row r="41" spans="1:12" s="714" customFormat="1" ht="24" customHeight="1">
      <c r="A41" s="1147"/>
      <c r="B41" s="1148" t="s">
        <v>1188</v>
      </c>
      <c r="C41" s="1123"/>
      <c r="D41" s="1124"/>
      <c r="E41" s="1287">
        <v>415</v>
      </c>
      <c r="F41" s="1150" t="s">
        <v>438</v>
      </c>
      <c r="G41" s="1244">
        <v>169</v>
      </c>
      <c r="H41" s="796">
        <f t="shared" si="1"/>
        <v>70135</v>
      </c>
      <c r="I41" s="1176">
        <v>95</v>
      </c>
      <c r="J41" s="796">
        <f t="shared" si="2"/>
        <v>39425</v>
      </c>
      <c r="K41" s="914">
        <f t="shared" si="3"/>
        <v>109560</v>
      </c>
      <c r="L41" s="912"/>
    </row>
    <row r="42" spans="1:12" s="714" customFormat="1" ht="24" customHeight="1">
      <c r="A42" s="1147"/>
      <c r="B42" s="1148" t="s">
        <v>1189</v>
      </c>
      <c r="C42" s="1123"/>
      <c r="D42" s="1124"/>
      <c r="E42" s="1287">
        <v>268</v>
      </c>
      <c r="F42" s="1150" t="s">
        <v>438</v>
      </c>
      <c r="G42" s="1244">
        <v>268</v>
      </c>
      <c r="H42" s="796">
        <f t="shared" si="1"/>
        <v>71824</v>
      </c>
      <c r="I42" s="1176">
        <v>150</v>
      </c>
      <c r="J42" s="796">
        <f t="shared" si="2"/>
        <v>40200</v>
      </c>
      <c r="K42" s="914">
        <f t="shared" si="3"/>
        <v>112024</v>
      </c>
      <c r="L42" s="912"/>
    </row>
    <row r="43" spans="1:12" s="714" customFormat="1" ht="24" customHeight="1">
      <c r="A43" s="1147"/>
      <c r="B43" s="1148" t="s">
        <v>1190</v>
      </c>
      <c r="C43" s="1123"/>
      <c r="D43" s="1124"/>
      <c r="E43" s="1287">
        <v>126</v>
      </c>
      <c r="F43" s="1150" t="s">
        <v>438</v>
      </c>
      <c r="G43" s="1244">
        <v>350</v>
      </c>
      <c r="H43" s="796">
        <f t="shared" si="1"/>
        <v>44100</v>
      </c>
      <c r="I43" s="1176">
        <v>200</v>
      </c>
      <c r="J43" s="796">
        <f t="shared" si="2"/>
        <v>25200</v>
      </c>
      <c r="K43" s="914">
        <f t="shared" si="3"/>
        <v>69300</v>
      </c>
      <c r="L43" s="912"/>
    </row>
    <row r="44" spans="1:12" s="714" customFormat="1" ht="24" customHeight="1">
      <c r="A44" s="1147"/>
      <c r="B44" s="1148" t="s">
        <v>1674</v>
      </c>
      <c r="C44" s="1123"/>
      <c r="D44" s="1124"/>
      <c r="E44" s="1287">
        <v>158</v>
      </c>
      <c r="F44" s="1150" t="s">
        <v>438</v>
      </c>
      <c r="G44" s="1244">
        <v>499</v>
      </c>
      <c r="H44" s="796">
        <f t="shared" si="1"/>
        <v>78842</v>
      </c>
      <c r="I44" s="1176">
        <v>280</v>
      </c>
      <c r="J44" s="796">
        <f t="shared" si="2"/>
        <v>44240</v>
      </c>
      <c r="K44" s="914">
        <f t="shared" si="3"/>
        <v>123082</v>
      </c>
      <c r="L44" s="912"/>
    </row>
    <row r="45" spans="1:12" s="714" customFormat="1" ht="24" customHeight="1">
      <c r="A45" s="1147"/>
      <c r="B45" s="1148" t="s">
        <v>1675</v>
      </c>
      <c r="C45" s="1123"/>
      <c r="D45" s="1124"/>
      <c r="E45" s="1287">
        <v>61</v>
      </c>
      <c r="F45" s="1150" t="s">
        <v>438</v>
      </c>
      <c r="G45" s="1244">
        <v>877</v>
      </c>
      <c r="H45" s="796">
        <f t="shared" si="1"/>
        <v>53497</v>
      </c>
      <c r="I45" s="1176">
        <v>500</v>
      </c>
      <c r="J45" s="796">
        <f t="shared" si="2"/>
        <v>30500</v>
      </c>
      <c r="K45" s="914">
        <f t="shared" si="3"/>
        <v>83997</v>
      </c>
      <c r="L45" s="912"/>
    </row>
    <row r="46" spans="1:12" s="714" customFormat="1" ht="24" customHeight="1">
      <c r="A46" s="1147"/>
      <c r="B46" s="1148" t="s">
        <v>1676</v>
      </c>
      <c r="C46" s="1123"/>
      <c r="D46" s="1124"/>
      <c r="E46" s="1013"/>
      <c r="F46" s="1150" t="s">
        <v>438</v>
      </c>
      <c r="G46" s="1244">
        <v>1361</v>
      </c>
      <c r="H46" s="796">
        <f t="shared" si="1"/>
        <v>0</v>
      </c>
      <c r="I46" s="1176">
        <v>560</v>
      </c>
      <c r="J46" s="796">
        <f t="shared" si="2"/>
        <v>0</v>
      </c>
      <c r="K46" s="914">
        <f t="shared" si="3"/>
        <v>0</v>
      </c>
      <c r="L46" s="912"/>
    </row>
    <row r="47" spans="1:12" s="714" customFormat="1" ht="24" customHeight="1">
      <c r="A47" s="1147"/>
      <c r="B47" s="1148" t="s">
        <v>1790</v>
      </c>
      <c r="C47" s="1123"/>
      <c r="D47" s="1124"/>
      <c r="E47" s="1013"/>
      <c r="F47" s="1150" t="s">
        <v>438</v>
      </c>
      <c r="G47" s="1244">
        <v>2212</v>
      </c>
      <c r="H47" s="796">
        <f t="shared" si="1"/>
        <v>0</v>
      </c>
      <c r="I47" s="1176">
        <v>700</v>
      </c>
      <c r="J47" s="796">
        <f t="shared" si="2"/>
        <v>0</v>
      </c>
      <c r="K47" s="914">
        <f t="shared" si="3"/>
        <v>0</v>
      </c>
      <c r="L47" s="912"/>
    </row>
    <row r="48" spans="1:12" s="714" customFormat="1" ht="24" customHeight="1">
      <c r="A48" s="1147"/>
      <c r="B48" s="1148" t="s">
        <v>1645</v>
      </c>
      <c r="C48" s="1123"/>
      <c r="D48" s="1124"/>
      <c r="E48" s="1245">
        <v>1</v>
      </c>
      <c r="F48" s="935" t="s">
        <v>948</v>
      </c>
      <c r="G48" s="1244">
        <f>ROUND(SUM(H38:H47)*40%,)</f>
        <v>183795</v>
      </c>
      <c r="H48" s="796">
        <f t="shared" si="1"/>
        <v>183795</v>
      </c>
      <c r="I48" s="1176">
        <f>ROUND(G48*0.3,)</f>
        <v>55139</v>
      </c>
      <c r="J48" s="796">
        <f t="shared" si="2"/>
        <v>55139</v>
      </c>
      <c r="K48" s="914">
        <f t="shared" si="3"/>
        <v>238934</v>
      </c>
      <c r="L48" s="912"/>
    </row>
    <row r="49" spans="1:15" s="714" customFormat="1" ht="24" customHeight="1">
      <c r="A49" s="1147"/>
      <c r="B49" s="1148" t="s">
        <v>1646</v>
      </c>
      <c r="C49" s="1123"/>
      <c r="D49" s="1124"/>
      <c r="E49" s="1245">
        <v>1</v>
      </c>
      <c r="F49" s="935" t="s">
        <v>948</v>
      </c>
      <c r="G49" s="1244">
        <f>ROUND(SUM(H38:H47)*20%,)</f>
        <v>91898</v>
      </c>
      <c r="H49" s="796">
        <f t="shared" si="1"/>
        <v>91898</v>
      </c>
      <c r="I49" s="1176">
        <f>ROUND(G49*0.3,)</f>
        <v>27569</v>
      </c>
      <c r="J49" s="796">
        <f t="shared" si="2"/>
        <v>27569</v>
      </c>
      <c r="K49" s="914">
        <f t="shared" si="3"/>
        <v>119467</v>
      </c>
      <c r="L49" s="912"/>
    </row>
    <row r="50" spans="1:15" s="714" customFormat="1" ht="24" customHeight="1">
      <c r="A50" s="1147"/>
      <c r="B50" s="1148" t="s">
        <v>1647</v>
      </c>
      <c r="C50" s="1123"/>
      <c r="D50" s="1124"/>
      <c r="E50" s="1245">
        <v>1</v>
      </c>
      <c r="F50" s="935" t="s">
        <v>948</v>
      </c>
      <c r="G50" s="1244">
        <f>ROUND(SUM(H38:H47)*10%,)</f>
        <v>45949</v>
      </c>
      <c r="H50" s="796">
        <f t="shared" si="1"/>
        <v>45949</v>
      </c>
      <c r="I50" s="1176">
        <f t="shared" ref="I50:I51" si="4">ROUND(G50*0.3,)</f>
        <v>13785</v>
      </c>
      <c r="J50" s="796">
        <f t="shared" si="2"/>
        <v>13785</v>
      </c>
      <c r="K50" s="914">
        <f t="shared" si="3"/>
        <v>59734</v>
      </c>
      <c r="L50" s="912"/>
    </row>
    <row r="51" spans="1:15" s="714" customFormat="1" ht="24" customHeight="1">
      <c r="A51" s="1159"/>
      <c r="B51" s="1148" t="s">
        <v>1791</v>
      </c>
      <c r="C51" s="1123"/>
      <c r="D51" s="1124"/>
      <c r="E51" s="1245">
        <v>1</v>
      </c>
      <c r="F51" s="935" t="s">
        <v>948</v>
      </c>
      <c r="G51" s="1244">
        <f>ROUND(SUM(H38:H47)*30%,)</f>
        <v>137846</v>
      </c>
      <c r="H51" s="796">
        <f t="shared" si="1"/>
        <v>137846</v>
      </c>
      <c r="I51" s="1176">
        <f t="shared" si="4"/>
        <v>41354</v>
      </c>
      <c r="J51" s="796">
        <f t="shared" si="2"/>
        <v>41354</v>
      </c>
      <c r="K51" s="914">
        <f t="shared" si="3"/>
        <v>179200</v>
      </c>
      <c r="L51" s="912"/>
    </row>
    <row r="52" spans="1:15" s="714" customFormat="1" ht="24" customHeight="1">
      <c r="A52" s="1159" t="s">
        <v>1792</v>
      </c>
      <c r="B52" s="1160" t="s">
        <v>1793</v>
      </c>
      <c r="C52" s="1161"/>
      <c r="D52" s="1162"/>
      <c r="E52" s="1183"/>
      <c r="F52" s="1163"/>
      <c r="G52" s="1205"/>
      <c r="H52" s="796"/>
      <c r="I52" s="797"/>
      <c r="J52" s="796"/>
      <c r="K52" s="914"/>
      <c r="L52" s="914"/>
    </row>
    <row r="53" spans="1:15" s="714" customFormat="1" ht="24" customHeight="1">
      <c r="A53" s="1147"/>
      <c r="B53" s="1148" t="s">
        <v>1185</v>
      </c>
      <c r="C53" s="1123"/>
      <c r="D53" s="1124"/>
      <c r="E53" s="1022">
        <v>5</v>
      </c>
      <c r="F53" s="1150" t="s">
        <v>438</v>
      </c>
      <c r="G53" s="1140">
        <v>124</v>
      </c>
      <c r="H53" s="796">
        <f>ROUND(E53*G53,)</f>
        <v>620</v>
      </c>
      <c r="I53" s="797">
        <v>50</v>
      </c>
      <c r="J53" s="796">
        <f t="shared" ref="J53:J57" si="5">ROUND(I53*E53,)</f>
        <v>250</v>
      </c>
      <c r="K53" s="914">
        <f t="shared" ref="K53:K57" si="6">H53+J53</f>
        <v>870</v>
      </c>
      <c r="L53" s="2273" t="s">
        <v>2974</v>
      </c>
      <c r="N53" s="714">
        <v>745.96</v>
      </c>
      <c r="O53" s="714">
        <f>ROUND(N53/6,)</f>
        <v>124</v>
      </c>
    </row>
    <row r="54" spans="1:15" s="714" customFormat="1" ht="24" customHeight="1">
      <c r="A54" s="1147"/>
      <c r="B54" s="1148" t="s">
        <v>1188</v>
      </c>
      <c r="C54" s="1123"/>
      <c r="D54" s="1124"/>
      <c r="E54" s="1019">
        <v>12</v>
      </c>
      <c r="F54" s="1150" t="s">
        <v>438</v>
      </c>
      <c r="G54" s="1140">
        <v>259</v>
      </c>
      <c r="H54" s="796">
        <f t="shared" ref="H54:H57" si="7">ROUND(E54*G54,)</f>
        <v>3108</v>
      </c>
      <c r="I54" s="855">
        <v>110</v>
      </c>
      <c r="J54" s="796">
        <f t="shared" si="5"/>
        <v>1320</v>
      </c>
      <c r="K54" s="914">
        <f t="shared" si="6"/>
        <v>4428</v>
      </c>
      <c r="L54" s="2273" t="s">
        <v>2974</v>
      </c>
      <c r="N54" s="714">
        <v>1554.48</v>
      </c>
      <c r="O54" s="714">
        <f>ROUND(N54/6,)</f>
        <v>259</v>
      </c>
    </row>
    <row r="55" spans="1:15" s="714" customFormat="1" ht="24" customHeight="1">
      <c r="A55" s="1147"/>
      <c r="B55" s="1148" t="s">
        <v>1645</v>
      </c>
      <c r="C55" s="1123"/>
      <c r="D55" s="1124"/>
      <c r="E55" s="1013">
        <v>1</v>
      </c>
      <c r="F55" s="935" t="s">
        <v>948</v>
      </c>
      <c r="G55" s="1244">
        <f>ROUND(SUM(H53:H54)*50%,)</f>
        <v>1864</v>
      </c>
      <c r="H55" s="796">
        <f t="shared" si="7"/>
        <v>1864</v>
      </c>
      <c r="I55" s="1176">
        <f>ROUND(G55*0.3,)</f>
        <v>559</v>
      </c>
      <c r="J55" s="796">
        <f t="shared" si="5"/>
        <v>559</v>
      </c>
      <c r="K55" s="914">
        <f t="shared" si="6"/>
        <v>2423</v>
      </c>
      <c r="L55" s="912"/>
    </row>
    <row r="56" spans="1:15" s="714" customFormat="1" ht="24" customHeight="1">
      <c r="A56" s="1147"/>
      <c r="B56" s="1148" t="s">
        <v>1646</v>
      </c>
      <c r="C56" s="1123"/>
      <c r="D56" s="1124"/>
      <c r="E56" s="1013">
        <v>1</v>
      </c>
      <c r="F56" s="935" t="s">
        <v>948</v>
      </c>
      <c r="G56" s="1244">
        <f>ROUND(SUM(H53:H54)*20%,)</f>
        <v>746</v>
      </c>
      <c r="H56" s="796">
        <f t="shared" si="7"/>
        <v>746</v>
      </c>
      <c r="I56" s="1176">
        <f>ROUND(G56*0.3,)</f>
        <v>224</v>
      </c>
      <c r="J56" s="796">
        <f t="shared" si="5"/>
        <v>224</v>
      </c>
      <c r="K56" s="914">
        <f t="shared" si="6"/>
        <v>970</v>
      </c>
      <c r="L56" s="912"/>
    </row>
    <row r="57" spans="1:15" s="714" customFormat="1" ht="24" customHeight="1">
      <c r="A57" s="1147"/>
      <c r="B57" s="1148" t="s">
        <v>1647</v>
      </c>
      <c r="C57" s="1123"/>
      <c r="D57" s="1124"/>
      <c r="E57" s="1013">
        <v>1</v>
      </c>
      <c r="F57" s="935" t="s">
        <v>948</v>
      </c>
      <c r="G57" s="1244">
        <f>ROUND(SUM(H53:H54)*10%,)</f>
        <v>373</v>
      </c>
      <c r="H57" s="796">
        <f t="shared" si="7"/>
        <v>373</v>
      </c>
      <c r="I57" s="1176">
        <f>ROUND(G57*0.3,)</f>
        <v>112</v>
      </c>
      <c r="J57" s="796">
        <f t="shared" si="5"/>
        <v>112</v>
      </c>
      <c r="K57" s="914">
        <f t="shared" si="6"/>
        <v>485</v>
      </c>
      <c r="L57" s="912"/>
    </row>
    <row r="58" spans="1:15" s="714" customFormat="1" ht="24" customHeight="1">
      <c r="A58" s="1147"/>
      <c r="B58" s="1148" t="s">
        <v>957</v>
      </c>
      <c r="C58" s="1123"/>
      <c r="D58" s="1124"/>
      <c r="E58" s="1149"/>
      <c r="F58" s="1150"/>
      <c r="G58" s="1140"/>
      <c r="H58" s="854"/>
      <c r="I58" s="855"/>
      <c r="J58" s="854"/>
      <c r="K58" s="912"/>
      <c r="L58" s="912"/>
    </row>
    <row r="59" spans="1:15" s="714" customFormat="1" ht="24" customHeight="1">
      <c r="A59" s="1166"/>
      <c r="B59" s="2475" t="str">
        <f>"รวมราคารายการที่ "&amp;A36</f>
        <v>รวมราคารายการที่ 6.1</v>
      </c>
      <c r="C59" s="2476"/>
      <c r="D59" s="2477"/>
      <c r="E59" s="1167"/>
      <c r="F59" s="1167"/>
      <c r="G59" s="1168"/>
      <c r="H59" s="1169">
        <f>SUM(H37:H58)</f>
        <v>925687</v>
      </c>
      <c r="I59" s="1170"/>
      <c r="J59" s="1169">
        <f>SUM(J37:J58)</f>
        <v>400797</v>
      </c>
      <c r="K59" s="1171">
        <f>SUM(K37:K58)</f>
        <v>1326484</v>
      </c>
      <c r="L59" s="1171"/>
    </row>
    <row r="60" spans="1:15" s="714" customFormat="1" ht="24" customHeight="1">
      <c r="A60" s="1207">
        <v>6.2</v>
      </c>
      <c r="B60" s="1208" t="s">
        <v>1794</v>
      </c>
      <c r="C60" s="1209"/>
      <c r="D60" s="1210"/>
      <c r="E60" s="1211"/>
      <c r="F60" s="1212"/>
      <c r="G60" s="874"/>
      <c r="H60" s="854"/>
      <c r="I60" s="855"/>
      <c r="J60" s="854"/>
      <c r="K60" s="912"/>
      <c r="L60" s="912"/>
    </row>
    <row r="61" spans="1:15" s="714" customFormat="1" ht="24" customHeight="1">
      <c r="A61" s="1147" t="s">
        <v>1795</v>
      </c>
      <c r="B61" s="1148" t="s">
        <v>1823</v>
      </c>
      <c r="C61" s="1123"/>
      <c r="D61" s="1124"/>
      <c r="E61" s="1149"/>
      <c r="F61" s="1150"/>
      <c r="G61" s="1140"/>
      <c r="H61" s="796">
        <f t="shared" ref="H61:H62" si="8">ROUND(E61*G61,)</f>
        <v>0</v>
      </c>
      <c r="I61" s="855"/>
      <c r="J61" s="796">
        <f t="shared" ref="J61:J62" si="9">ROUND(I61*E61,)</f>
        <v>0</v>
      </c>
      <c r="K61" s="912"/>
      <c r="L61" s="912"/>
    </row>
    <row r="62" spans="1:15" s="714" customFormat="1" ht="24" customHeight="1">
      <c r="A62" s="1147"/>
      <c r="B62" s="1148" t="s">
        <v>1185</v>
      </c>
      <c r="C62" s="1123"/>
      <c r="D62" s="1124"/>
      <c r="E62" s="1149">
        <v>8</v>
      </c>
      <c r="F62" s="1150" t="s">
        <v>240</v>
      </c>
      <c r="G62" s="1140">
        <v>400</v>
      </c>
      <c r="H62" s="796">
        <f t="shared" si="8"/>
        <v>3200</v>
      </c>
      <c r="I62" s="855">
        <v>200</v>
      </c>
      <c r="J62" s="796">
        <f t="shared" si="9"/>
        <v>1600</v>
      </c>
      <c r="K62" s="914">
        <f t="shared" ref="K62" si="10">H62+J62</f>
        <v>4800</v>
      </c>
      <c r="L62" s="912"/>
    </row>
    <row r="63" spans="1:15" s="714" customFormat="1" ht="24" customHeight="1">
      <c r="A63" s="1147" t="s">
        <v>1797</v>
      </c>
      <c r="B63" s="1148" t="s">
        <v>1824</v>
      </c>
      <c r="C63" s="1123"/>
      <c r="D63" s="1124"/>
      <c r="E63" s="1149"/>
      <c r="F63" s="1150"/>
      <c r="G63" s="1140"/>
      <c r="H63" s="854"/>
      <c r="I63" s="855"/>
      <c r="J63" s="854"/>
      <c r="K63" s="912"/>
      <c r="L63" s="912"/>
    </row>
    <row r="64" spans="1:15" s="714" customFormat="1" ht="24" customHeight="1">
      <c r="A64" s="1147"/>
      <c r="B64" s="1148" t="s">
        <v>1675</v>
      </c>
      <c r="C64" s="1123"/>
      <c r="D64" s="1124"/>
      <c r="E64" s="1149">
        <v>4</v>
      </c>
      <c r="F64" s="1150" t="s">
        <v>240</v>
      </c>
      <c r="G64" s="1140">
        <v>13100</v>
      </c>
      <c r="H64" s="796">
        <f t="shared" ref="H64:H67" si="11">ROUND(E64*G64,)</f>
        <v>52400</v>
      </c>
      <c r="I64" s="855">
        <v>1200</v>
      </c>
      <c r="J64" s="796">
        <f t="shared" ref="J64:J67" si="12">ROUND(I64*E64,)</f>
        <v>4800</v>
      </c>
      <c r="K64" s="914">
        <f t="shared" ref="K64:K67" si="13">H64+J64</f>
        <v>57200</v>
      </c>
      <c r="L64" s="912"/>
    </row>
    <row r="65" spans="1:12" s="714" customFormat="1" ht="24" customHeight="1">
      <c r="A65" s="1147" t="s">
        <v>1799</v>
      </c>
      <c r="B65" s="1148" t="s">
        <v>1825</v>
      </c>
      <c r="C65" s="1123"/>
      <c r="D65" s="1124"/>
      <c r="E65" s="1149"/>
      <c r="F65" s="1150"/>
      <c r="G65" s="1140"/>
      <c r="H65" s="796"/>
      <c r="I65" s="855"/>
      <c r="J65" s="796"/>
      <c r="K65" s="914"/>
      <c r="L65" s="912"/>
    </row>
    <row r="66" spans="1:12" s="714" customFormat="1" ht="24" customHeight="1">
      <c r="A66" s="1147"/>
      <c r="B66" s="1148" t="s">
        <v>1788</v>
      </c>
      <c r="C66" s="1123"/>
      <c r="D66" s="1124"/>
      <c r="E66" s="1149">
        <v>4</v>
      </c>
      <c r="F66" s="1150" t="s">
        <v>240</v>
      </c>
      <c r="G66" s="1140">
        <v>1963</v>
      </c>
      <c r="H66" s="796">
        <f t="shared" ref="H66" si="14">ROUND(E66*G66,)</f>
        <v>7852</v>
      </c>
      <c r="I66" s="855">
        <v>400</v>
      </c>
      <c r="J66" s="796">
        <f t="shared" ref="J66" si="15">ROUND(I66*E66,)</f>
        <v>1600</v>
      </c>
      <c r="K66" s="914">
        <f t="shared" ref="K66" si="16">H66+J66</f>
        <v>9452</v>
      </c>
      <c r="L66" s="912"/>
    </row>
    <row r="67" spans="1:12" s="714" customFormat="1" ht="24" customHeight="1">
      <c r="A67" s="1147" t="s">
        <v>1801</v>
      </c>
      <c r="B67" s="1148" t="s">
        <v>1826</v>
      </c>
      <c r="C67" s="1123"/>
      <c r="D67" s="1124"/>
      <c r="E67" s="1149">
        <v>4</v>
      </c>
      <c r="F67" s="1150" t="s">
        <v>240</v>
      </c>
      <c r="G67" s="1140">
        <v>900</v>
      </c>
      <c r="H67" s="796">
        <f t="shared" si="11"/>
        <v>3600</v>
      </c>
      <c r="I67" s="855">
        <v>100</v>
      </c>
      <c r="J67" s="796">
        <f t="shared" si="12"/>
        <v>400</v>
      </c>
      <c r="K67" s="914">
        <f t="shared" si="13"/>
        <v>4000</v>
      </c>
      <c r="L67" s="912"/>
    </row>
    <row r="68" spans="1:12" s="714" customFormat="1" ht="24" customHeight="1">
      <c r="A68" s="1147" t="s">
        <v>1803</v>
      </c>
      <c r="B68" s="1148" t="s">
        <v>1827</v>
      </c>
      <c r="C68" s="1123"/>
      <c r="D68" s="1124"/>
      <c r="E68" s="1149"/>
      <c r="F68" s="1150"/>
      <c r="G68" s="1140"/>
      <c r="H68" s="854"/>
      <c r="I68" s="855"/>
      <c r="J68" s="854"/>
      <c r="K68" s="912"/>
      <c r="L68" s="912"/>
    </row>
    <row r="69" spans="1:12" s="714" customFormat="1" ht="24" customHeight="1">
      <c r="A69" s="1147"/>
      <c r="B69" s="1148" t="s">
        <v>1675</v>
      </c>
      <c r="C69" s="1123"/>
      <c r="D69" s="1124"/>
      <c r="E69" s="1149">
        <v>4</v>
      </c>
      <c r="F69" s="1150" t="s">
        <v>240</v>
      </c>
      <c r="G69" s="1140">
        <v>17400</v>
      </c>
      <c r="H69" s="796">
        <f t="shared" ref="H69" si="17">ROUND(E69*G69,)</f>
        <v>69600</v>
      </c>
      <c r="I69" s="855">
        <v>1200</v>
      </c>
      <c r="J69" s="796">
        <f t="shared" ref="J69" si="18">ROUND(I69*E69,)</f>
        <v>4800</v>
      </c>
      <c r="K69" s="914">
        <f t="shared" ref="K69" si="19">H69+J69</f>
        <v>74400</v>
      </c>
      <c r="L69" s="912"/>
    </row>
    <row r="70" spans="1:12" s="714" customFormat="1" ht="24" customHeight="1">
      <c r="A70" s="1147" t="s">
        <v>1805</v>
      </c>
      <c r="B70" s="1148" t="s">
        <v>1717</v>
      </c>
      <c r="C70" s="1123"/>
      <c r="D70" s="1124"/>
      <c r="E70" s="1149"/>
      <c r="F70" s="1150"/>
      <c r="G70" s="1140"/>
      <c r="H70" s="854"/>
      <c r="I70" s="855"/>
      <c r="J70" s="854"/>
      <c r="K70" s="912"/>
      <c r="L70" s="912"/>
    </row>
    <row r="71" spans="1:12" s="714" customFormat="1" ht="24" customHeight="1">
      <c r="A71" s="1147"/>
      <c r="B71" s="1148" t="s">
        <v>1785</v>
      </c>
      <c r="C71" s="1123"/>
      <c r="D71" s="1124"/>
      <c r="E71" s="1149">
        <v>4</v>
      </c>
      <c r="F71" s="1150" t="s">
        <v>240</v>
      </c>
      <c r="G71" s="1140">
        <v>1010</v>
      </c>
      <c r="H71" s="796">
        <f t="shared" ref="H71" si="20">ROUND(E71*G71,)</f>
        <v>4040</v>
      </c>
      <c r="I71" s="855">
        <v>100</v>
      </c>
      <c r="J71" s="796">
        <f t="shared" ref="J71" si="21">ROUND(I71*E71,)</f>
        <v>400</v>
      </c>
      <c r="K71" s="914">
        <f t="shared" ref="K71" si="22">H71+J71</f>
        <v>4440</v>
      </c>
      <c r="L71" s="912"/>
    </row>
    <row r="72" spans="1:12" s="714" customFormat="1" ht="24" customHeight="1">
      <c r="A72" s="1147" t="s">
        <v>1807</v>
      </c>
      <c r="B72" s="1148" t="s">
        <v>1806</v>
      </c>
      <c r="C72" s="1123"/>
      <c r="D72" s="1124"/>
      <c r="E72" s="1149"/>
      <c r="F72" s="1150"/>
      <c r="G72" s="1140"/>
      <c r="H72" s="854"/>
      <c r="I72" s="855"/>
      <c r="J72" s="854"/>
      <c r="K72" s="912"/>
      <c r="L72" s="912"/>
    </row>
    <row r="73" spans="1:12" s="714" customFormat="1" ht="24" customHeight="1">
      <c r="A73" s="1147"/>
      <c r="B73" s="1148" t="s">
        <v>1785</v>
      </c>
      <c r="C73" s="1123"/>
      <c r="D73" s="1124"/>
      <c r="E73" s="1149">
        <v>4</v>
      </c>
      <c r="F73" s="1150" t="s">
        <v>240</v>
      </c>
      <c r="G73" s="1249">
        <v>18060</v>
      </c>
      <c r="H73" s="796">
        <f t="shared" ref="H73" si="23">ROUND(E73*G73,)</f>
        <v>72240</v>
      </c>
      <c r="I73" s="855">
        <v>100</v>
      </c>
      <c r="J73" s="796">
        <f t="shared" ref="J73" si="24">ROUND(I73*E73,)</f>
        <v>400</v>
      </c>
      <c r="K73" s="914">
        <f t="shared" ref="K73" si="25">H73+J73</f>
        <v>72640</v>
      </c>
      <c r="L73" s="912"/>
    </row>
    <row r="74" spans="1:12" s="714" customFormat="1" ht="24" customHeight="1">
      <c r="A74" s="1147"/>
      <c r="B74" s="1148" t="s">
        <v>957</v>
      </c>
      <c r="C74" s="1123"/>
      <c r="D74" s="1124"/>
      <c r="E74" s="1149"/>
      <c r="F74" s="1150"/>
      <c r="G74" s="1140"/>
      <c r="H74" s="854"/>
      <c r="I74" s="855"/>
      <c r="J74" s="854"/>
      <c r="K74" s="912"/>
      <c r="L74" s="912"/>
    </row>
    <row r="75" spans="1:12" s="714" customFormat="1" ht="24" customHeight="1">
      <c r="A75" s="1147"/>
      <c r="B75" s="1148" t="s">
        <v>1102</v>
      </c>
      <c r="C75" s="1123"/>
      <c r="D75" s="1124"/>
      <c r="E75" s="1149"/>
      <c r="F75" s="1150"/>
      <c r="G75" s="1140"/>
      <c r="H75" s="854"/>
      <c r="I75" s="855"/>
      <c r="J75" s="854"/>
      <c r="K75" s="912"/>
      <c r="L75" s="912"/>
    </row>
    <row r="76" spans="1:12" s="714" customFormat="1" ht="24" customHeight="1">
      <c r="A76" s="1166"/>
      <c r="B76" s="2475" t="str">
        <f>"รวมราคารายการที่ "&amp;A60</f>
        <v>รวมราคารายการที่ 6.2</v>
      </c>
      <c r="C76" s="2476"/>
      <c r="D76" s="2477"/>
      <c r="E76" s="1167"/>
      <c r="F76" s="1167"/>
      <c r="G76" s="1168"/>
      <c r="H76" s="1169">
        <f>SUM(H61:H75)</f>
        <v>212932</v>
      </c>
      <c r="I76" s="1170"/>
      <c r="J76" s="1169">
        <f>SUM(J61:J75)</f>
        <v>14000</v>
      </c>
      <c r="K76" s="1171">
        <f>SUM(K61:K75)</f>
        <v>226932</v>
      </c>
      <c r="L76" s="1171"/>
    </row>
    <row r="77" spans="1:12" s="714" customFormat="1" ht="24" customHeight="1">
      <c r="A77" s="1207">
        <v>6.3</v>
      </c>
      <c r="B77" s="1208" t="s">
        <v>1828</v>
      </c>
      <c r="C77" s="1209"/>
      <c r="D77" s="1210"/>
      <c r="E77" s="1211"/>
      <c r="F77" s="1221"/>
      <c r="G77" s="1249"/>
      <c r="H77" s="854"/>
      <c r="I77" s="855"/>
      <c r="J77" s="854"/>
      <c r="K77" s="912"/>
      <c r="L77" s="912"/>
    </row>
    <row r="78" spans="1:12" s="714" customFormat="1" ht="24" customHeight="1">
      <c r="A78" s="1147" t="s">
        <v>1829</v>
      </c>
      <c r="B78" s="1148" t="s">
        <v>1830</v>
      </c>
      <c r="C78" s="1123"/>
      <c r="D78" s="1124"/>
      <c r="E78" s="1149">
        <v>627</v>
      </c>
      <c r="F78" s="1147" t="s">
        <v>240</v>
      </c>
      <c r="G78" s="1249">
        <v>126</v>
      </c>
      <c r="H78" s="796">
        <f t="shared" ref="H78" si="26">ROUND(E78*G78,)</f>
        <v>79002</v>
      </c>
      <c r="I78" s="855">
        <v>75</v>
      </c>
      <c r="J78" s="796">
        <f t="shared" ref="J78" si="27">ROUND(I78*E78,)</f>
        <v>47025</v>
      </c>
      <c r="K78" s="914">
        <f>H78+J78</f>
        <v>126027</v>
      </c>
      <c r="L78" s="912"/>
    </row>
    <row r="79" spans="1:12" s="714" customFormat="1" ht="24" customHeight="1">
      <c r="A79" s="1147" t="s">
        <v>1831</v>
      </c>
      <c r="B79" s="1148" t="s">
        <v>1832</v>
      </c>
      <c r="C79" s="1123"/>
      <c r="D79" s="1124"/>
      <c r="E79" s="1149"/>
      <c r="F79" s="1147" t="s">
        <v>240</v>
      </c>
      <c r="G79" s="1249"/>
      <c r="H79" s="796"/>
      <c r="I79" s="855"/>
      <c r="J79" s="796"/>
      <c r="K79" s="914"/>
      <c r="L79" s="912"/>
    </row>
    <row r="80" spans="1:12" s="714" customFormat="1" ht="24" customHeight="1">
      <c r="A80" s="1147" t="s">
        <v>1833</v>
      </c>
      <c r="B80" s="1148" t="s">
        <v>1881</v>
      </c>
      <c r="C80" s="1123"/>
      <c r="D80" s="1124"/>
      <c r="E80" s="1149"/>
      <c r="F80" s="1147" t="s">
        <v>240</v>
      </c>
      <c r="G80" s="1249"/>
      <c r="H80" s="796"/>
      <c r="I80" s="855"/>
      <c r="J80" s="796"/>
      <c r="K80" s="914"/>
      <c r="L80" s="912"/>
    </row>
    <row r="81" spans="1:14" s="714" customFormat="1" ht="24" customHeight="1">
      <c r="A81" s="1147" t="s">
        <v>1835</v>
      </c>
      <c r="B81" s="1148" t="s">
        <v>1834</v>
      </c>
      <c r="C81" s="1123"/>
      <c r="D81" s="1124"/>
      <c r="E81" s="1149"/>
      <c r="F81" s="1147" t="s">
        <v>240</v>
      </c>
      <c r="G81" s="1249"/>
      <c r="H81" s="796"/>
      <c r="I81" s="855"/>
      <c r="J81" s="796"/>
      <c r="K81" s="914"/>
      <c r="L81" s="912"/>
    </row>
    <row r="82" spans="1:14" s="714" customFormat="1" ht="24" customHeight="1">
      <c r="A82" s="1147" t="s">
        <v>1837</v>
      </c>
      <c r="B82" s="1148" t="s">
        <v>1882</v>
      </c>
      <c r="C82" s="1123"/>
      <c r="D82" s="1124"/>
      <c r="E82" s="1149"/>
      <c r="F82" s="1147"/>
      <c r="G82" s="1249"/>
      <c r="H82" s="854"/>
      <c r="I82" s="855"/>
      <c r="J82" s="854"/>
      <c r="K82" s="912"/>
      <c r="L82" s="912"/>
    </row>
    <row r="83" spans="1:14" s="714" customFormat="1" ht="24" customHeight="1">
      <c r="A83" s="1147"/>
      <c r="B83" s="1148"/>
      <c r="C83" s="1123"/>
      <c r="D83" s="1124"/>
      <c r="E83" s="1149"/>
      <c r="F83" s="1147"/>
      <c r="G83" s="1249"/>
      <c r="H83" s="854"/>
      <c r="I83" s="855"/>
      <c r="J83" s="854"/>
      <c r="K83" s="912"/>
      <c r="L83" s="912"/>
    </row>
    <row r="84" spans="1:14" s="714" customFormat="1" ht="24" customHeight="1">
      <c r="A84" s="1166"/>
      <c r="B84" s="2475" t="str">
        <f>"รวมราคารายการที่ "&amp;A77</f>
        <v>รวมราคารายการที่ 6.3</v>
      </c>
      <c r="C84" s="2476"/>
      <c r="D84" s="2477"/>
      <c r="E84" s="1167"/>
      <c r="F84" s="1167"/>
      <c r="G84" s="1168"/>
      <c r="H84" s="1169">
        <f>SUM(H78:H83)</f>
        <v>79002</v>
      </c>
      <c r="I84" s="1169"/>
      <c r="J84" s="1169">
        <f>SUM(J78:J83)</f>
        <v>47025</v>
      </c>
      <c r="K84" s="1169">
        <f>SUM(K78:K83)</f>
        <v>126027</v>
      </c>
      <c r="L84" s="1169"/>
    </row>
    <row r="85" spans="1:14" s="714" customFormat="1" ht="24" customHeight="1">
      <c r="A85" s="1195">
        <v>6.4</v>
      </c>
      <c r="B85" s="1196" t="s">
        <v>1844</v>
      </c>
      <c r="C85" s="1197"/>
      <c r="D85" s="1198"/>
      <c r="E85" s="1199"/>
      <c r="F85" s="1230"/>
      <c r="G85" s="1255"/>
      <c r="H85" s="788"/>
      <c r="I85" s="789"/>
      <c r="J85" s="788"/>
      <c r="K85" s="1256"/>
      <c r="L85" s="1256"/>
    </row>
    <row r="86" spans="1:14" s="714" customFormat="1" ht="24" customHeight="1">
      <c r="A86" s="1147" t="s">
        <v>1845</v>
      </c>
      <c r="B86" s="1148" t="s">
        <v>1846</v>
      </c>
      <c r="C86" s="1123"/>
      <c r="D86" s="1124"/>
      <c r="E86" s="1149"/>
      <c r="F86" s="1147"/>
      <c r="G86" s="1257"/>
      <c r="H86" s="796"/>
      <c r="I86" s="797"/>
      <c r="J86" s="796"/>
      <c r="K86" s="914"/>
      <c r="L86" s="914"/>
    </row>
    <row r="87" spans="1:14" s="714" customFormat="1" ht="24" customHeight="1">
      <c r="A87" s="1147"/>
      <c r="B87" s="1148" t="s">
        <v>1847</v>
      </c>
      <c r="C87" s="1123"/>
      <c r="D87" s="1124"/>
      <c r="E87" s="1149">
        <v>5</v>
      </c>
      <c r="F87" s="1147" t="s">
        <v>240</v>
      </c>
      <c r="G87" s="1257">
        <v>3800</v>
      </c>
      <c r="H87" s="796">
        <f t="shared" ref="H87:H93" si="28">ROUND(E87*G87,)</f>
        <v>19000</v>
      </c>
      <c r="I87" s="797">
        <f>G87*0.3</f>
        <v>1140</v>
      </c>
      <c r="J87" s="796">
        <f t="shared" ref="J87" si="29">ROUND(I87*E87,)</f>
        <v>5700</v>
      </c>
      <c r="K87" s="914">
        <f>H87+J87</f>
        <v>24700</v>
      </c>
      <c r="L87" s="914"/>
    </row>
    <row r="88" spans="1:14" s="714" customFormat="1" ht="24" customHeight="1">
      <c r="A88" s="1159"/>
      <c r="B88" s="1160" t="s">
        <v>1848</v>
      </c>
      <c r="C88" s="1161"/>
      <c r="D88" s="1162"/>
      <c r="E88" s="1149">
        <v>5</v>
      </c>
      <c r="F88" s="1159" t="s">
        <v>240</v>
      </c>
      <c r="G88" s="1258">
        <v>890</v>
      </c>
      <c r="H88" s="796">
        <f t="shared" si="28"/>
        <v>4450</v>
      </c>
      <c r="I88" s="797" t="s">
        <v>974</v>
      </c>
      <c r="J88" s="796"/>
      <c r="K88" s="914">
        <f t="shared" ref="K88:K93" si="30">H88+J88</f>
        <v>4450</v>
      </c>
      <c r="L88" s="914"/>
    </row>
    <row r="89" spans="1:14" s="714" customFormat="1" ht="24" customHeight="1">
      <c r="A89" s="1147"/>
      <c r="B89" s="1148" t="s">
        <v>1849</v>
      </c>
      <c r="C89" s="1123"/>
      <c r="D89" s="1124"/>
      <c r="E89" s="1149">
        <v>5</v>
      </c>
      <c r="F89" s="1147" t="s">
        <v>240</v>
      </c>
      <c r="G89" s="1257">
        <v>4200</v>
      </c>
      <c r="H89" s="796">
        <f t="shared" si="28"/>
        <v>21000</v>
      </c>
      <c r="I89" s="797" t="s">
        <v>974</v>
      </c>
      <c r="J89" s="796"/>
      <c r="K89" s="914">
        <f t="shared" si="30"/>
        <v>21000</v>
      </c>
      <c r="L89" s="914"/>
    </row>
    <row r="90" spans="1:14" s="714" customFormat="1" ht="24" customHeight="1">
      <c r="A90" s="1159"/>
      <c r="B90" s="1148" t="s">
        <v>1850</v>
      </c>
      <c r="C90" s="1123"/>
      <c r="D90" s="1124"/>
      <c r="E90" s="1149">
        <v>5</v>
      </c>
      <c r="F90" s="1147" t="s">
        <v>240</v>
      </c>
      <c r="G90" s="1257">
        <v>8000</v>
      </c>
      <c r="H90" s="796">
        <f t="shared" si="28"/>
        <v>40000</v>
      </c>
      <c r="I90" s="797" t="s">
        <v>974</v>
      </c>
      <c r="J90" s="796"/>
      <c r="K90" s="914">
        <f t="shared" si="30"/>
        <v>40000</v>
      </c>
      <c r="L90" s="1014"/>
    </row>
    <row r="91" spans="1:14" s="714" customFormat="1" ht="24" customHeight="1">
      <c r="A91" s="1147"/>
      <c r="B91" s="1148" t="s">
        <v>1851</v>
      </c>
      <c r="C91" s="1123"/>
      <c r="D91" s="1124"/>
      <c r="E91" s="1149">
        <v>5</v>
      </c>
      <c r="F91" s="1147" t="s">
        <v>240</v>
      </c>
      <c r="G91" s="1257">
        <v>5720</v>
      </c>
      <c r="H91" s="796">
        <f t="shared" si="28"/>
        <v>28600</v>
      </c>
      <c r="I91" s="797" t="s">
        <v>974</v>
      </c>
      <c r="J91" s="796"/>
      <c r="K91" s="914">
        <f t="shared" si="30"/>
        <v>28600</v>
      </c>
      <c r="L91" s="912"/>
    </row>
    <row r="92" spans="1:14" s="714" customFormat="1" ht="24" customHeight="1">
      <c r="A92" s="1147"/>
      <c r="B92" s="1148" t="s">
        <v>1852</v>
      </c>
      <c r="C92" s="1123"/>
      <c r="D92" s="1124"/>
      <c r="E92" s="1149">
        <v>5</v>
      </c>
      <c r="F92" s="1147" t="s">
        <v>240</v>
      </c>
      <c r="G92" s="1257">
        <v>820</v>
      </c>
      <c r="H92" s="796">
        <f t="shared" si="28"/>
        <v>4100</v>
      </c>
      <c r="I92" s="797" t="s">
        <v>974</v>
      </c>
      <c r="J92" s="796"/>
      <c r="K92" s="914">
        <f t="shared" si="30"/>
        <v>4100</v>
      </c>
      <c r="L92" s="912"/>
    </row>
    <row r="93" spans="1:14" s="714" customFormat="1" ht="24" customHeight="1">
      <c r="A93" s="1147"/>
      <c r="B93" s="1148" t="s">
        <v>1853</v>
      </c>
      <c r="C93" s="1123"/>
      <c r="D93" s="1124"/>
      <c r="E93" s="1149">
        <v>5</v>
      </c>
      <c r="F93" s="1147" t="s">
        <v>240</v>
      </c>
      <c r="G93" s="1257">
        <v>450</v>
      </c>
      <c r="H93" s="796">
        <f t="shared" si="28"/>
        <v>2250</v>
      </c>
      <c r="I93" s="797" t="s">
        <v>974</v>
      </c>
      <c r="J93" s="796"/>
      <c r="K93" s="914">
        <f t="shared" si="30"/>
        <v>2250</v>
      </c>
      <c r="L93" s="912"/>
    </row>
    <row r="94" spans="1:14" s="714" customFormat="1" ht="24" customHeight="1">
      <c r="A94" s="1147" t="s">
        <v>1854</v>
      </c>
      <c r="B94" s="1148" t="s">
        <v>1855</v>
      </c>
      <c r="C94" s="1123"/>
      <c r="D94" s="1124"/>
      <c r="E94" s="1149"/>
      <c r="F94" s="1147"/>
      <c r="G94" s="1257"/>
      <c r="H94" s="854"/>
      <c r="I94" s="855"/>
      <c r="J94" s="854"/>
      <c r="K94" s="912"/>
      <c r="L94" s="912"/>
      <c r="M94" s="914"/>
      <c r="N94" s="1014"/>
    </row>
    <row r="95" spans="1:14" s="714" customFormat="1" ht="24" customHeight="1">
      <c r="A95" s="1147"/>
      <c r="B95" s="1148" t="s">
        <v>1856</v>
      </c>
      <c r="C95" s="1123"/>
      <c r="D95" s="1124"/>
      <c r="E95" s="1149">
        <v>3</v>
      </c>
      <c r="F95" s="1147" t="s">
        <v>240</v>
      </c>
      <c r="G95" s="1257">
        <f>6500*1.1</f>
        <v>7150.0000000000009</v>
      </c>
      <c r="H95" s="796">
        <f t="shared" ref="H95:H101" si="31">ROUND(E95*G95,)</f>
        <v>21450</v>
      </c>
      <c r="I95" s="797">
        <f>G95*0.3</f>
        <v>2145</v>
      </c>
      <c r="J95" s="796">
        <f t="shared" ref="J95" si="32">ROUND(I95*E95,)</f>
        <v>6435</v>
      </c>
      <c r="K95" s="914">
        <f>H95+J95</f>
        <v>27885</v>
      </c>
      <c r="L95" s="1014"/>
      <c r="M95" s="914"/>
      <c r="N95" s="1014"/>
    </row>
    <row r="96" spans="1:14" s="714" customFormat="1" ht="24" customHeight="1">
      <c r="A96" s="1159"/>
      <c r="B96" s="1160" t="s">
        <v>1848</v>
      </c>
      <c r="C96" s="1161"/>
      <c r="D96" s="1162"/>
      <c r="E96" s="1149">
        <v>3</v>
      </c>
      <c r="F96" s="1159" t="s">
        <v>240</v>
      </c>
      <c r="G96" s="1258">
        <v>890</v>
      </c>
      <c r="H96" s="796">
        <f t="shared" si="31"/>
        <v>2670</v>
      </c>
      <c r="I96" s="797" t="s">
        <v>974</v>
      </c>
      <c r="J96" s="796"/>
      <c r="K96" s="914">
        <f t="shared" ref="K96:K101" si="33">H96+J96</f>
        <v>2670</v>
      </c>
      <c r="L96" s="1014"/>
      <c r="M96" s="914"/>
      <c r="N96" s="1014"/>
    </row>
    <row r="97" spans="1:14" s="714" customFormat="1" ht="24" customHeight="1">
      <c r="A97" s="1147"/>
      <c r="B97" s="1148" t="s">
        <v>1883</v>
      </c>
      <c r="C97" s="1123"/>
      <c r="D97" s="1124"/>
      <c r="E97" s="1149">
        <v>3</v>
      </c>
      <c r="F97" s="1147" t="s">
        <v>240</v>
      </c>
      <c r="G97" s="1257">
        <v>4200</v>
      </c>
      <c r="H97" s="796">
        <f t="shared" si="31"/>
        <v>12600</v>
      </c>
      <c r="I97" s="797" t="s">
        <v>974</v>
      </c>
      <c r="J97" s="796"/>
      <c r="K97" s="914">
        <f t="shared" si="33"/>
        <v>12600</v>
      </c>
      <c r="L97" s="1014"/>
      <c r="M97" s="914"/>
      <c r="N97" s="1014"/>
    </row>
    <row r="98" spans="1:14" s="714" customFormat="1" ht="24" customHeight="1">
      <c r="A98" s="1159"/>
      <c r="B98" s="1148" t="s">
        <v>1850</v>
      </c>
      <c r="C98" s="1123"/>
      <c r="D98" s="1124"/>
      <c r="E98" s="1149">
        <v>3</v>
      </c>
      <c r="F98" s="1147" t="s">
        <v>240</v>
      </c>
      <c r="G98" s="1257">
        <v>8000</v>
      </c>
      <c r="H98" s="796">
        <f t="shared" si="31"/>
        <v>24000</v>
      </c>
      <c r="I98" s="797" t="s">
        <v>974</v>
      </c>
      <c r="J98" s="796"/>
      <c r="K98" s="914">
        <f t="shared" si="33"/>
        <v>24000</v>
      </c>
      <c r="L98" s="1014"/>
      <c r="M98" s="914"/>
      <c r="N98" s="1014"/>
    </row>
    <row r="99" spans="1:14" s="714" customFormat="1" ht="24" customHeight="1">
      <c r="A99" s="1147"/>
      <c r="B99" s="1148" t="s">
        <v>1851</v>
      </c>
      <c r="C99" s="1123"/>
      <c r="D99" s="1124"/>
      <c r="E99" s="1149">
        <v>3</v>
      </c>
      <c r="F99" s="1147" t="s">
        <v>240</v>
      </c>
      <c r="G99" s="1257">
        <v>5720</v>
      </c>
      <c r="H99" s="796">
        <f t="shared" si="31"/>
        <v>17160</v>
      </c>
      <c r="I99" s="797" t="s">
        <v>974</v>
      </c>
      <c r="J99" s="796"/>
      <c r="K99" s="914">
        <f t="shared" si="33"/>
        <v>17160</v>
      </c>
      <c r="L99" s="912"/>
    </row>
    <row r="100" spans="1:14" s="714" customFormat="1" ht="24" customHeight="1">
      <c r="A100" s="1147"/>
      <c r="B100" s="1148" t="s">
        <v>1884</v>
      </c>
      <c r="C100" s="1123"/>
      <c r="D100" s="1124"/>
      <c r="E100" s="1149">
        <v>3</v>
      </c>
      <c r="F100" s="1147" t="s">
        <v>240</v>
      </c>
      <c r="G100" s="1257">
        <v>820</v>
      </c>
      <c r="H100" s="796">
        <f t="shared" si="31"/>
        <v>2460</v>
      </c>
      <c r="I100" s="797" t="s">
        <v>974</v>
      </c>
      <c r="J100" s="796"/>
      <c r="K100" s="914">
        <f t="shared" si="33"/>
        <v>2460</v>
      </c>
      <c r="L100" s="1014"/>
    </row>
    <row r="101" spans="1:14" s="714" customFormat="1" ht="24" customHeight="1">
      <c r="A101" s="1147"/>
      <c r="B101" s="1148" t="s">
        <v>1885</v>
      </c>
      <c r="C101" s="1123"/>
      <c r="D101" s="1124"/>
      <c r="E101" s="1149">
        <v>3</v>
      </c>
      <c r="F101" s="1147" t="s">
        <v>240</v>
      </c>
      <c r="G101" s="1257">
        <v>450</v>
      </c>
      <c r="H101" s="796">
        <f t="shared" si="31"/>
        <v>1350</v>
      </c>
      <c r="I101" s="797" t="s">
        <v>974</v>
      </c>
      <c r="J101" s="796"/>
      <c r="K101" s="914">
        <f t="shared" si="33"/>
        <v>1350</v>
      </c>
      <c r="L101" s="1014"/>
    </row>
    <row r="102" spans="1:14" s="714" customFormat="1" ht="24" customHeight="1">
      <c r="A102" s="1221"/>
      <c r="B102" s="1219"/>
      <c r="C102" s="1209"/>
      <c r="D102" s="1210"/>
      <c r="E102" s="1211"/>
      <c r="F102" s="1221"/>
      <c r="G102" s="1257"/>
      <c r="H102" s="796"/>
      <c r="I102" s="797"/>
      <c r="J102" s="796"/>
      <c r="K102" s="914"/>
      <c r="L102" s="1014"/>
    </row>
    <row r="103" spans="1:14" s="714" customFormat="1" ht="24" customHeight="1">
      <c r="A103" s="1221" t="s">
        <v>1857</v>
      </c>
      <c r="B103" s="1219" t="s">
        <v>1858</v>
      </c>
      <c r="C103" s="1209"/>
      <c r="D103" s="1210"/>
      <c r="E103" s="1211"/>
      <c r="F103" s="1221"/>
      <c r="G103" s="1257"/>
      <c r="H103" s="796"/>
      <c r="I103" s="1259"/>
      <c r="J103" s="796"/>
      <c r="K103" s="1014"/>
      <c r="L103" s="1014"/>
    </row>
    <row r="104" spans="1:14" s="714" customFormat="1" ht="24" customHeight="1">
      <c r="A104" s="1147"/>
      <c r="B104" s="1148" t="s">
        <v>1859</v>
      </c>
      <c r="C104" s="1123"/>
      <c r="D104" s="1124"/>
      <c r="E104" s="1149">
        <v>4</v>
      </c>
      <c r="F104" s="1147" t="s">
        <v>240</v>
      </c>
      <c r="G104" s="1257">
        <v>1000</v>
      </c>
      <c r="H104" s="796">
        <f t="shared" ref="H104:H105" si="34">ROUND(E104*G104,)</f>
        <v>4000</v>
      </c>
      <c r="I104" s="1259">
        <v>200</v>
      </c>
      <c r="J104" s="796">
        <f t="shared" ref="J104:J105" si="35">ROUND(I104*E104,)</f>
        <v>800</v>
      </c>
      <c r="K104" s="914">
        <f t="shared" ref="K104:K105" si="36">H104+J104</f>
        <v>4800</v>
      </c>
      <c r="L104" s="1014"/>
    </row>
    <row r="105" spans="1:14" s="714" customFormat="1" ht="24" customHeight="1">
      <c r="A105" s="1159"/>
      <c r="B105" s="1160" t="s">
        <v>1860</v>
      </c>
      <c r="C105" s="1161"/>
      <c r="D105" s="1162"/>
      <c r="E105" s="1183"/>
      <c r="F105" s="1159" t="s">
        <v>240</v>
      </c>
      <c r="G105" s="1257">
        <v>6000</v>
      </c>
      <c r="H105" s="796">
        <f t="shared" si="34"/>
        <v>0</v>
      </c>
      <c r="I105" s="1259">
        <v>200</v>
      </c>
      <c r="J105" s="796">
        <f t="shared" si="35"/>
        <v>0</v>
      </c>
      <c r="K105" s="914">
        <f t="shared" si="36"/>
        <v>0</v>
      </c>
      <c r="L105" s="1014"/>
    </row>
    <row r="106" spans="1:14" s="714" customFormat="1" ht="24" customHeight="1">
      <c r="A106" s="1147"/>
      <c r="B106" s="1148" t="s">
        <v>1861</v>
      </c>
      <c r="C106" s="1123"/>
      <c r="D106" s="1124"/>
      <c r="E106" s="1149"/>
      <c r="F106" s="1147" t="s">
        <v>240</v>
      </c>
      <c r="G106" s="1257"/>
      <c r="H106" s="796"/>
      <c r="I106" s="1259"/>
      <c r="J106" s="796"/>
      <c r="K106" s="1014"/>
      <c r="L106" s="1014"/>
    </row>
    <row r="107" spans="1:14" s="714" customFormat="1" ht="24" customHeight="1">
      <c r="A107" s="1147"/>
      <c r="B107" s="1148" t="s">
        <v>957</v>
      </c>
      <c r="C107" s="1123"/>
      <c r="D107" s="1124"/>
      <c r="E107" s="1149"/>
      <c r="F107" s="1147"/>
      <c r="G107" s="1257"/>
      <c r="H107" s="796"/>
      <c r="I107" s="1259"/>
      <c r="J107" s="796"/>
      <c r="K107" s="1014"/>
      <c r="L107" s="1014"/>
    </row>
    <row r="108" spans="1:14" s="714" customFormat="1" ht="24" customHeight="1">
      <c r="A108" s="1147"/>
      <c r="B108" s="1148" t="s">
        <v>1102</v>
      </c>
      <c r="C108" s="1123"/>
      <c r="D108" s="1124"/>
      <c r="E108" s="1149"/>
      <c r="F108" s="1147"/>
      <c r="G108" s="1257"/>
      <c r="H108" s="796"/>
      <c r="I108" s="1259"/>
      <c r="J108" s="796"/>
      <c r="K108" s="1014"/>
      <c r="L108" s="1014"/>
    </row>
    <row r="109" spans="1:14" s="714" customFormat="1" ht="24" customHeight="1">
      <c r="A109" s="1166"/>
      <c r="B109" s="2475" t="str">
        <f>"รวมราคารายการที่ "&amp;A85</f>
        <v>รวมราคารายการที่ 6.4</v>
      </c>
      <c r="C109" s="2476"/>
      <c r="D109" s="2477"/>
      <c r="E109" s="1167"/>
      <c r="F109" s="1167"/>
      <c r="G109" s="1168"/>
      <c r="H109" s="1169">
        <f>SUM(H86:H108)</f>
        <v>205090</v>
      </c>
      <c r="I109" s="1170"/>
      <c r="J109" s="1169">
        <f>SUM(J86:J108)</f>
        <v>12935</v>
      </c>
      <c r="K109" s="1171">
        <f>SUM(K86:K108)</f>
        <v>218025</v>
      </c>
      <c r="L109" s="1171"/>
    </row>
    <row r="110" spans="1:14" s="714" customFormat="1" ht="24" customHeight="1">
      <c r="A110" s="1195">
        <v>6.5</v>
      </c>
      <c r="B110" s="1196" t="s">
        <v>1862</v>
      </c>
      <c r="C110" s="1197"/>
      <c r="D110" s="1198"/>
      <c r="E110" s="1199"/>
      <c r="F110" s="1230"/>
      <c r="G110" s="1201"/>
      <c r="H110" s="788"/>
      <c r="I110" s="789"/>
      <c r="J110" s="788"/>
      <c r="K110" s="1256"/>
      <c r="L110" s="1256"/>
    </row>
    <row r="111" spans="1:14" s="714" customFormat="1" ht="24" customHeight="1">
      <c r="A111" s="1147" t="s">
        <v>1863</v>
      </c>
      <c r="B111" s="1148" t="s">
        <v>1864</v>
      </c>
      <c r="C111" s="1123"/>
      <c r="D111" s="1124"/>
      <c r="E111" s="1149">
        <v>4</v>
      </c>
      <c r="F111" s="1147" t="s">
        <v>240</v>
      </c>
      <c r="G111" s="1140">
        <v>2300</v>
      </c>
      <c r="H111" s="796">
        <f t="shared" ref="H111:H112" si="37">ROUND(E111*G111,)</f>
        <v>9200</v>
      </c>
      <c r="I111" s="797">
        <f>G111*0.1</f>
        <v>230</v>
      </c>
      <c r="J111" s="796">
        <f t="shared" ref="J111:J112" si="38">ROUND(I111*E111,)</f>
        <v>920</v>
      </c>
      <c r="K111" s="914">
        <f t="shared" ref="K111:K112" si="39">H111+J111</f>
        <v>10120</v>
      </c>
      <c r="L111" s="914"/>
    </row>
    <row r="112" spans="1:14" s="714" customFormat="1" ht="24" customHeight="1">
      <c r="A112" s="1147" t="s">
        <v>1865</v>
      </c>
      <c r="B112" s="1148" t="s">
        <v>1866</v>
      </c>
      <c r="C112" s="1123"/>
      <c r="D112" s="1124"/>
      <c r="E112" s="1149">
        <v>4</v>
      </c>
      <c r="F112" s="1147" t="s">
        <v>240</v>
      </c>
      <c r="G112" s="1140">
        <v>3400</v>
      </c>
      <c r="H112" s="796">
        <f t="shared" si="37"/>
        <v>13600</v>
      </c>
      <c r="I112" s="797">
        <f>G112*0.1</f>
        <v>340</v>
      </c>
      <c r="J112" s="796">
        <f t="shared" si="38"/>
        <v>1360</v>
      </c>
      <c r="K112" s="914">
        <f t="shared" si="39"/>
        <v>14960</v>
      </c>
      <c r="L112" s="912"/>
    </row>
    <row r="113" spans="1:12" s="714" customFormat="1" ht="24" customHeight="1">
      <c r="A113" s="1147" t="s">
        <v>1867</v>
      </c>
      <c r="B113" s="1148" t="s">
        <v>1868</v>
      </c>
      <c r="C113" s="1123"/>
      <c r="D113" s="1124"/>
      <c r="E113" s="1149"/>
      <c r="F113" s="1147" t="s">
        <v>240</v>
      </c>
      <c r="G113" s="1140"/>
      <c r="H113" s="796"/>
      <c r="I113" s="797"/>
      <c r="J113" s="796"/>
      <c r="K113" s="914"/>
      <c r="L113" s="912"/>
    </row>
    <row r="114" spans="1:12" s="714" customFormat="1" ht="24" customHeight="1">
      <c r="A114" s="1147"/>
      <c r="B114" s="1148" t="s">
        <v>957</v>
      </c>
      <c r="C114" s="1123"/>
      <c r="D114" s="1124"/>
      <c r="E114" s="1149"/>
      <c r="F114" s="1147"/>
      <c r="G114" s="1140"/>
      <c r="H114" s="854"/>
      <c r="I114" s="855"/>
      <c r="J114" s="854"/>
      <c r="K114" s="912"/>
      <c r="L114" s="912"/>
    </row>
    <row r="115" spans="1:12" s="714" customFormat="1" ht="24" customHeight="1">
      <c r="A115" s="1147"/>
      <c r="B115" s="1148" t="s">
        <v>1102</v>
      </c>
      <c r="C115" s="1123"/>
      <c r="D115" s="1124"/>
      <c r="E115" s="1149"/>
      <c r="F115" s="1147"/>
      <c r="G115" s="1140"/>
      <c r="H115" s="854"/>
      <c r="I115" s="855"/>
      <c r="J115" s="854"/>
      <c r="K115" s="912"/>
      <c r="L115" s="912"/>
    </row>
    <row r="116" spans="1:12" s="714" customFormat="1" ht="24" customHeight="1">
      <c r="A116" s="1038"/>
      <c r="B116" s="1148" t="s">
        <v>1102</v>
      </c>
      <c r="C116" s="1233"/>
      <c r="D116" s="809"/>
      <c r="E116" s="1229"/>
      <c r="F116" s="852"/>
      <c r="G116" s="1140"/>
      <c r="H116" s="854"/>
      <c r="I116" s="855"/>
      <c r="J116" s="854"/>
      <c r="K116" s="912"/>
      <c r="L116" s="912"/>
    </row>
    <row r="117" spans="1:12" s="714" customFormat="1" ht="24" customHeight="1">
      <c r="A117" s="1038"/>
      <c r="B117" s="1301"/>
      <c r="C117" s="1233"/>
      <c r="D117" s="809"/>
      <c r="E117" s="1229"/>
      <c r="F117" s="852"/>
      <c r="G117" s="1140"/>
      <c r="H117" s="854"/>
      <c r="I117" s="855"/>
      <c r="J117" s="854"/>
      <c r="K117" s="912"/>
      <c r="L117" s="912"/>
    </row>
    <row r="118" spans="1:12" s="714" customFormat="1" ht="24" customHeight="1">
      <c r="A118" s="1166"/>
      <c r="B118" s="2475" t="str">
        <f>"รวมราคารายการที่ "&amp;A110</f>
        <v>รวมราคารายการที่ 6.5</v>
      </c>
      <c r="C118" s="2476"/>
      <c r="D118" s="2477"/>
      <c r="E118" s="1167"/>
      <c r="F118" s="1167"/>
      <c r="G118" s="1168"/>
      <c r="H118" s="1169">
        <f>SUM(H111:H117)</f>
        <v>22800</v>
      </c>
      <c r="I118" s="1170"/>
      <c r="J118" s="1169">
        <f>SUM(J111:J117)</f>
        <v>2280</v>
      </c>
      <c r="K118" s="1171">
        <f>SUM(K111:K117)</f>
        <v>25080</v>
      </c>
      <c r="L118" s="1171"/>
    </row>
    <row r="119" spans="1:12" s="714" customFormat="1" ht="24" customHeight="1">
      <c r="A119" s="1207">
        <v>6.6</v>
      </c>
      <c r="B119" s="1208" t="s">
        <v>1264</v>
      </c>
      <c r="C119" s="1209"/>
      <c r="D119" s="1210"/>
      <c r="E119" s="1211"/>
      <c r="F119" s="1221" t="s">
        <v>948</v>
      </c>
      <c r="G119" s="1262" t="s">
        <v>1876</v>
      </c>
      <c r="H119" s="796"/>
      <c r="I119" s="855"/>
      <c r="J119" s="796">
        <f t="shared" ref="J119" si="40">ROUND(I119*E119,)</f>
        <v>0</v>
      </c>
      <c r="K119" s="914">
        <f t="shared" ref="K119" si="41">H119+J119</f>
        <v>0</v>
      </c>
      <c r="L119" s="912"/>
    </row>
    <row r="120" spans="1:12" s="714" customFormat="1" ht="24" customHeight="1">
      <c r="A120" s="1147"/>
      <c r="B120" s="1148"/>
      <c r="C120" s="1123"/>
      <c r="D120" s="1303"/>
      <c r="E120" s="1149"/>
      <c r="F120" s="1147"/>
      <c r="G120" s="1140"/>
      <c r="H120" s="854"/>
      <c r="I120" s="855"/>
      <c r="J120" s="854"/>
      <c r="K120" s="912"/>
      <c r="L120" s="1147"/>
    </row>
    <row r="121" spans="1:12" s="714" customFormat="1" ht="24" customHeight="1">
      <c r="A121" s="1147"/>
      <c r="B121" s="1148"/>
      <c r="C121" s="1123"/>
      <c r="D121" s="1303"/>
      <c r="E121" s="1149"/>
      <c r="F121" s="1147"/>
      <c r="G121" s="1140"/>
      <c r="H121" s="854"/>
      <c r="I121" s="855"/>
      <c r="J121" s="854"/>
      <c r="K121" s="912"/>
      <c r="L121" s="1147"/>
    </row>
    <row r="122" spans="1:12" s="714" customFormat="1" ht="24" customHeight="1">
      <c r="A122" s="1147"/>
      <c r="B122" s="1148"/>
      <c r="C122" s="1123"/>
      <c r="D122" s="1303"/>
      <c r="E122" s="1149"/>
      <c r="F122" s="1147"/>
      <c r="G122" s="1140"/>
      <c r="H122" s="854"/>
      <c r="I122" s="855"/>
      <c r="J122" s="854"/>
      <c r="K122" s="912"/>
      <c r="L122" s="1147"/>
    </row>
    <row r="123" spans="1:12" s="714" customFormat="1" ht="24" customHeight="1">
      <c r="A123" s="1147"/>
      <c r="B123" s="1148"/>
      <c r="C123" s="1123"/>
      <c r="D123" s="1303"/>
      <c r="E123" s="1149"/>
      <c r="F123" s="1147"/>
      <c r="G123" s="1140"/>
      <c r="H123" s="854"/>
      <c r="I123" s="855"/>
      <c r="J123" s="854"/>
      <c r="K123" s="912"/>
      <c r="L123" s="1147"/>
    </row>
    <row r="124" spans="1:12" s="714" customFormat="1" ht="24" customHeight="1">
      <c r="A124" s="1147"/>
      <c r="B124" s="1148"/>
      <c r="C124" s="1123"/>
      <c r="D124" s="1303"/>
      <c r="E124" s="1149"/>
      <c r="F124" s="1147"/>
      <c r="G124" s="1140"/>
      <c r="H124" s="854"/>
      <c r="I124" s="855"/>
      <c r="J124" s="854"/>
      <c r="K124" s="912"/>
      <c r="L124" s="1147"/>
    </row>
    <row r="125" spans="1:12" s="714" customFormat="1" ht="24" customHeight="1">
      <c r="A125" s="1147"/>
      <c r="B125" s="1148"/>
      <c r="C125" s="1123"/>
      <c r="D125" s="1303"/>
      <c r="E125" s="1149"/>
      <c r="F125" s="1147"/>
      <c r="G125" s="1140"/>
      <c r="H125" s="854"/>
      <c r="I125" s="855"/>
      <c r="J125" s="854"/>
      <c r="K125" s="912"/>
      <c r="L125" s="1147"/>
    </row>
    <row r="126" spans="1:12" s="714" customFormat="1" ht="24" customHeight="1">
      <c r="A126" s="1147"/>
      <c r="B126" s="1148"/>
      <c r="C126" s="1123"/>
      <c r="D126" s="1303"/>
      <c r="E126" s="1149"/>
      <c r="F126" s="1147"/>
      <c r="G126" s="1140"/>
      <c r="H126" s="854"/>
      <c r="I126" s="855"/>
      <c r="J126" s="854"/>
      <c r="K126" s="912"/>
      <c r="L126" s="1147"/>
    </row>
    <row r="127" spans="1:12" s="714" customFormat="1" ht="24" customHeight="1">
      <c r="A127" s="1147"/>
      <c r="B127" s="1148"/>
      <c r="C127" s="1123"/>
      <c r="D127" s="1303"/>
      <c r="E127" s="1149"/>
      <c r="F127" s="1147"/>
      <c r="G127" s="1140"/>
      <c r="H127" s="854"/>
      <c r="I127" s="855"/>
      <c r="J127" s="854"/>
      <c r="K127" s="912"/>
      <c r="L127" s="1147"/>
    </row>
    <row r="128" spans="1:12" s="714" customFormat="1" ht="24" customHeight="1">
      <c r="A128" s="1147"/>
      <c r="B128" s="1148"/>
      <c r="C128" s="1123"/>
      <c r="D128" s="1303"/>
      <c r="E128" s="1149"/>
      <c r="F128" s="1147"/>
      <c r="G128" s="1140"/>
      <c r="H128" s="854"/>
      <c r="I128" s="855"/>
      <c r="J128" s="854"/>
      <c r="K128" s="912"/>
      <c r="L128" s="1147"/>
    </row>
    <row r="129" spans="1:12" s="714" customFormat="1" ht="24" customHeight="1">
      <c r="A129" s="1147"/>
      <c r="B129" s="1148"/>
      <c r="C129" s="1123"/>
      <c r="D129" s="1303"/>
      <c r="E129" s="1149"/>
      <c r="F129" s="1147"/>
      <c r="G129" s="1140"/>
      <c r="H129" s="854"/>
      <c r="I129" s="855"/>
      <c r="J129" s="854"/>
      <c r="K129" s="912"/>
      <c r="L129" s="1147"/>
    </row>
    <row r="130" spans="1:12" s="714" customFormat="1" ht="24" customHeight="1">
      <c r="A130" s="1147"/>
      <c r="B130" s="1148"/>
      <c r="C130" s="1123"/>
      <c r="D130" s="1303"/>
      <c r="E130" s="1149"/>
      <c r="F130" s="1147"/>
      <c r="G130" s="1140"/>
      <c r="H130" s="854"/>
      <c r="I130" s="855"/>
      <c r="J130" s="854"/>
      <c r="K130" s="912"/>
      <c r="L130" s="1147"/>
    </row>
    <row r="131" spans="1:12" s="714" customFormat="1" ht="24" customHeight="1">
      <c r="A131" s="1147"/>
      <c r="B131" s="1148"/>
      <c r="C131" s="1123"/>
      <c r="D131" s="1303"/>
      <c r="E131" s="1149"/>
      <c r="F131" s="1147"/>
      <c r="G131" s="1140"/>
      <c r="H131" s="854"/>
      <c r="I131" s="855"/>
      <c r="J131" s="854"/>
      <c r="K131" s="912"/>
      <c r="L131" s="1147"/>
    </row>
    <row r="132" spans="1:12" s="714" customFormat="1" ht="24" customHeight="1">
      <c r="A132" s="1147"/>
      <c r="B132" s="1148"/>
      <c r="C132" s="1123"/>
      <c r="D132" s="1303"/>
      <c r="E132" s="1149"/>
      <c r="F132" s="1147"/>
      <c r="G132" s="1140"/>
      <c r="H132" s="854"/>
      <c r="I132" s="855"/>
      <c r="J132" s="854"/>
      <c r="K132" s="912"/>
      <c r="L132" s="1147"/>
    </row>
    <row r="133" spans="1:12" s="714" customFormat="1" ht="21.3">
      <c r="A133" s="1147"/>
      <c r="B133" s="1148"/>
      <c r="C133" s="1123"/>
      <c r="D133" s="1124"/>
      <c r="E133" s="1149"/>
      <c r="F133" s="1147"/>
      <c r="G133" s="1140"/>
      <c r="H133" s="854"/>
      <c r="I133" s="855"/>
      <c r="J133" s="854"/>
      <c r="K133" s="912"/>
      <c r="L133" s="1147"/>
    </row>
    <row r="134" spans="1:12" s="714" customFormat="1" ht="21.3">
      <c r="A134" s="1166"/>
      <c r="B134" s="2475" t="str">
        <f>"รวมราคารายการที่ "&amp;A119</f>
        <v>รวมราคารายการที่ 6.6</v>
      </c>
      <c r="C134" s="2476"/>
      <c r="D134" s="2477"/>
      <c r="E134" s="1167"/>
      <c r="F134" s="1167"/>
      <c r="G134" s="1168"/>
      <c r="H134" s="1169">
        <f>SUM(H119:H133)</f>
        <v>0</v>
      </c>
      <c r="I134" s="1170"/>
      <c r="J134" s="1169">
        <f>SUM(J119:J133)</f>
        <v>0</v>
      </c>
      <c r="K134" s="1171">
        <f>SUM(K119:K133)</f>
        <v>0</v>
      </c>
      <c r="L134" s="1171"/>
    </row>
    <row r="135" spans="1:12" s="714" customFormat="1" ht="21.3">
      <c r="A135" s="950"/>
      <c r="E135" s="1234"/>
    </row>
    <row r="136" spans="1:12" s="714" customFormat="1" ht="21.3">
      <c r="A136" s="950"/>
      <c r="E136" s="1234"/>
    </row>
    <row r="137" spans="1:12" s="714" customFormat="1" ht="21.3">
      <c r="A137" s="950"/>
      <c r="E137" s="1234"/>
    </row>
    <row r="138" spans="1:12" s="714" customFormat="1" ht="21.3">
      <c r="A138" s="950"/>
      <c r="E138" s="1234"/>
    </row>
    <row r="139" spans="1:12" s="714" customFormat="1" ht="21.3">
      <c r="A139" s="950"/>
      <c r="E139" s="1234"/>
    </row>
    <row r="140" spans="1:12" s="714" customFormat="1" ht="21.3">
      <c r="A140" s="950"/>
      <c r="E140" s="1234"/>
    </row>
    <row r="141" spans="1:12" s="714" customFormat="1" ht="21.3">
      <c r="A141" s="950"/>
      <c r="E141" s="1234"/>
    </row>
    <row r="142" spans="1:12" s="714" customFormat="1" ht="21.3">
      <c r="A142" s="950"/>
      <c r="E142" s="1234"/>
    </row>
    <row r="143" spans="1:12" s="714" customFormat="1" ht="21.3">
      <c r="A143" s="950"/>
      <c r="E143" s="1234"/>
    </row>
    <row r="144" spans="1:12" s="714" customFormat="1" ht="21.3">
      <c r="A144" s="950"/>
      <c r="E144" s="1234"/>
    </row>
    <row r="145" spans="1:5" s="714" customFormat="1" ht="21.3">
      <c r="A145" s="950"/>
      <c r="E145" s="1234"/>
    </row>
    <row r="146" spans="1:5" s="714" customFormat="1" ht="21.3">
      <c r="A146" s="950"/>
      <c r="E146" s="1234"/>
    </row>
    <row r="147" spans="1:5" s="714" customFormat="1" ht="21.3">
      <c r="A147" s="950"/>
      <c r="E147" s="1234"/>
    </row>
    <row r="148" spans="1:5" s="714" customFormat="1" ht="21.3">
      <c r="A148" s="950"/>
      <c r="E148" s="1234"/>
    </row>
    <row r="149" spans="1:5" s="714" customFormat="1" ht="21.3">
      <c r="A149" s="950"/>
      <c r="E149" s="1234"/>
    </row>
    <row r="150" spans="1:5" s="714" customFormat="1" ht="21.3">
      <c r="A150" s="950"/>
      <c r="E150" s="1234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&amp;Rงานดับเพลิงและป้องกันอัคคีภัย ชั้น 4-อาคารสนับนุน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5BD96-1022-457C-9985-0CB8FCA58BF3}">
  <sheetPr>
    <tabColor rgb="FFFF3399"/>
  </sheetPr>
  <dimension ref="A1:O151"/>
  <sheetViews>
    <sheetView showGridLines="0" tabSelected="1" view="pageBreakPreview" topLeftCell="A124" zoomScale="85" zoomScaleNormal="90" zoomScaleSheetLayoutView="8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29296875" style="1" customWidth="1"/>
    <col min="13" max="86" width="7.703125" style="1" customWidth="1"/>
    <col min="87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1780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>
        <v>6</v>
      </c>
      <c r="B11" s="1144" t="s">
        <v>1894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/>
      <c r="B12" s="1151" t="str">
        <f>B35</f>
        <v>งานระบบดับเพลิงและป้องกันอัคคีภัย</v>
      </c>
      <c r="C12" s="1123"/>
      <c r="D12" s="1124"/>
      <c r="E12" s="1149"/>
      <c r="F12" s="1150"/>
      <c r="G12" s="710"/>
      <c r="H12" s="711"/>
      <c r="I12" s="712"/>
      <c r="J12" s="711"/>
      <c r="K12" s="1129"/>
      <c r="L12" s="1024"/>
    </row>
    <row r="13" spans="1:12" s="714" customFormat="1" ht="24" customHeight="1">
      <c r="A13" s="1147">
        <f>A36</f>
        <v>6.1</v>
      </c>
      <c r="B13" s="1148" t="str">
        <f>B36</f>
        <v>งานท่อน้ำ (Piping Work)</v>
      </c>
      <c r="C13" s="1123"/>
      <c r="D13" s="1124"/>
      <c r="E13" s="1149">
        <v>1</v>
      </c>
      <c r="F13" s="1150" t="s">
        <v>19</v>
      </c>
      <c r="G13" s="710"/>
      <c r="H13" s="711">
        <f>H59</f>
        <v>934397</v>
      </c>
      <c r="I13" s="712"/>
      <c r="J13" s="711">
        <f>J59</f>
        <v>404833</v>
      </c>
      <c r="K13" s="1129">
        <f t="shared" ref="K13:K18" si="0">SUM(H13:J13)</f>
        <v>1339230</v>
      </c>
      <c r="L13" s="1024"/>
    </row>
    <row r="14" spans="1:12" s="714" customFormat="1" ht="24" customHeight="1">
      <c r="A14" s="1147">
        <f>A60</f>
        <v>6.2</v>
      </c>
      <c r="B14" s="1148" t="str">
        <f>B60</f>
        <v>วาล์วและอุปกรณ์ (Valve &amp; Pipe Accessories)</v>
      </c>
      <c r="C14" s="1123"/>
      <c r="D14" s="1124"/>
      <c r="E14" s="1149">
        <v>1</v>
      </c>
      <c r="F14" s="1150" t="s">
        <v>19</v>
      </c>
      <c r="G14" s="710"/>
      <c r="H14" s="711">
        <f>H76</f>
        <v>212932</v>
      </c>
      <c r="I14" s="712"/>
      <c r="J14" s="711">
        <f>J76</f>
        <v>14000</v>
      </c>
      <c r="K14" s="1129">
        <f t="shared" si="0"/>
        <v>226932</v>
      </c>
      <c r="L14" s="1024"/>
    </row>
    <row r="15" spans="1:12" s="714" customFormat="1" ht="24" customHeight="1">
      <c r="A15" s="1147">
        <f>A77</f>
        <v>6.3</v>
      </c>
      <c r="B15" s="1148" t="str">
        <f>B77</f>
        <v>ระบบหัวกระจายน้ำดับเพลิง (Sprinkler System)</v>
      </c>
      <c r="C15" s="1123"/>
      <c r="D15" s="1124"/>
      <c r="E15" s="1149">
        <v>1</v>
      </c>
      <c r="F15" s="1150" t="s">
        <v>19</v>
      </c>
      <c r="G15" s="710"/>
      <c r="H15" s="711">
        <f>H84</f>
        <v>72972</v>
      </c>
      <c r="I15" s="712"/>
      <c r="J15" s="711">
        <f>J84</f>
        <v>42650</v>
      </c>
      <c r="K15" s="1129">
        <f t="shared" si="0"/>
        <v>115622</v>
      </c>
      <c r="L15" s="1024"/>
    </row>
    <row r="16" spans="1:12" s="714" customFormat="1" ht="24" customHeight="1">
      <c r="A16" s="1147">
        <f>A85</f>
        <v>6.4</v>
      </c>
      <c r="B16" s="1231" t="str">
        <f>B85</f>
        <v>ตู้ดับเพลิงและถังดับเพลิงชนิดมือถือ (Fire Hose Cabinet &amp; Portable Fire Extinguisher)</v>
      </c>
      <c r="C16" s="1197"/>
      <c r="D16" s="1198"/>
      <c r="E16" s="1149">
        <v>1</v>
      </c>
      <c r="F16" s="1200" t="s">
        <v>19</v>
      </c>
      <c r="G16" s="1263"/>
      <c r="H16" s="1264">
        <f>H109</f>
        <v>233890</v>
      </c>
      <c r="I16" s="1265"/>
      <c r="J16" s="1264">
        <f>J84</f>
        <v>42650</v>
      </c>
      <c r="K16" s="1129">
        <f t="shared" si="0"/>
        <v>276540</v>
      </c>
      <c r="L16" s="1266"/>
    </row>
    <row r="17" spans="1:12" s="714" customFormat="1" ht="24" customHeight="1">
      <c r="A17" s="1230">
        <f>A110</f>
        <v>6.5</v>
      </c>
      <c r="B17" s="1160" t="str">
        <f>B110</f>
        <v>ระบบไฟฟ้าและควบคุม (Electrical &amp; Control System) สำหรับระบบป้องกันอัคคีภัย</v>
      </c>
      <c r="C17" s="1161"/>
      <c r="D17" s="1162"/>
      <c r="E17" s="1149">
        <v>1</v>
      </c>
      <c r="F17" s="1163" t="s">
        <v>19</v>
      </c>
      <c r="G17" s="1164"/>
      <c r="H17" s="957">
        <f>H118</f>
        <v>22800</v>
      </c>
      <c r="I17" s="1165"/>
      <c r="J17" s="957">
        <f>J118</f>
        <v>2280</v>
      </c>
      <c r="K17" s="1129">
        <f t="shared" si="0"/>
        <v>25080</v>
      </c>
      <c r="L17" s="954"/>
    </row>
    <row r="18" spans="1:12" s="714" customFormat="1" ht="24" customHeight="1">
      <c r="A18" s="1147">
        <f>A119</f>
        <v>6.6</v>
      </c>
      <c r="B18" s="1148" t="str">
        <f>B119</f>
        <v>ระบบป้องกันไฟและควันลาม (Fire Barrier System)</v>
      </c>
      <c r="C18" s="1123"/>
      <c r="D18" s="1124"/>
      <c r="E18" s="1149">
        <v>1</v>
      </c>
      <c r="F18" s="1150" t="s">
        <v>19</v>
      </c>
      <c r="G18" s="710"/>
      <c r="H18" s="711">
        <f>H134</f>
        <v>0</v>
      </c>
      <c r="I18" s="712"/>
      <c r="J18" s="711">
        <f>J134</f>
        <v>0</v>
      </c>
      <c r="K18" s="1129">
        <f t="shared" si="0"/>
        <v>0</v>
      </c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2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2" s="714" customFormat="1" ht="30" customHeight="1">
      <c r="A34" s="1166"/>
      <c r="B34" s="2475" t="str">
        <f>"รวมราคา"&amp;B11</f>
        <v>รวมราคางานระบบดับเพลิงและป้องกันอัคคีภัย ชั้น 5</v>
      </c>
      <c r="C34" s="2476"/>
      <c r="D34" s="2477"/>
      <c r="E34" s="1167"/>
      <c r="F34" s="1167"/>
      <c r="G34" s="1168"/>
      <c r="H34" s="1169">
        <f>SUM(H12:H33)</f>
        <v>1476991</v>
      </c>
      <c r="I34" s="1170"/>
      <c r="J34" s="1169">
        <f>SUM(J12:J33)</f>
        <v>506413</v>
      </c>
      <c r="K34" s="1171">
        <f>SUM(K12:K33)</f>
        <v>1983404</v>
      </c>
      <c r="L34" s="1171"/>
    </row>
    <row r="35" spans="1:12" s="714" customFormat="1" ht="24" customHeight="1">
      <c r="A35" s="1011"/>
      <c r="B35" s="1173" t="s">
        <v>31</v>
      </c>
      <c r="C35" s="859"/>
      <c r="D35" s="859"/>
      <c r="E35" s="1216"/>
      <c r="F35" s="852"/>
      <c r="G35" s="874"/>
      <c r="H35" s="854"/>
      <c r="I35" s="855"/>
      <c r="J35" s="854"/>
      <c r="K35" s="912"/>
      <c r="L35" s="912"/>
    </row>
    <row r="36" spans="1:12" s="714" customFormat="1" ht="24" customHeight="1">
      <c r="A36" s="1207">
        <v>6.1</v>
      </c>
      <c r="B36" s="1208" t="s">
        <v>1782</v>
      </c>
      <c r="C36" s="1238"/>
      <c r="D36" s="1210"/>
      <c r="E36" s="1211"/>
      <c r="F36" s="1212"/>
      <c r="G36" s="874"/>
      <c r="H36" s="854"/>
      <c r="I36" s="855"/>
      <c r="J36" s="854"/>
      <c r="K36" s="912"/>
      <c r="L36" s="912"/>
    </row>
    <row r="37" spans="1:12" s="714" customFormat="1" ht="24" customHeight="1">
      <c r="A37" s="1159" t="s">
        <v>1783</v>
      </c>
      <c r="B37" s="1160" t="s">
        <v>1878</v>
      </c>
      <c r="C37" s="1161"/>
      <c r="D37" s="1162"/>
      <c r="E37" s="1211"/>
      <c r="F37" s="1163"/>
      <c r="G37" s="1205"/>
      <c r="H37" s="796"/>
      <c r="I37" s="797"/>
      <c r="J37" s="796"/>
      <c r="K37" s="914"/>
      <c r="L37" s="914"/>
    </row>
    <row r="38" spans="1:12" s="714" customFormat="1" ht="24" customHeight="1">
      <c r="A38" s="1147"/>
      <c r="B38" s="1148" t="s">
        <v>1822</v>
      </c>
      <c r="C38" s="1123"/>
      <c r="D38" s="1124"/>
      <c r="E38" s="1287">
        <v>1445</v>
      </c>
      <c r="F38" s="1150" t="s">
        <v>438</v>
      </c>
      <c r="G38" s="1140">
        <v>78</v>
      </c>
      <c r="H38" s="796">
        <f t="shared" ref="H38:H51" si="1">ROUND(E38*G38,)</f>
        <v>112710</v>
      </c>
      <c r="I38" s="797">
        <v>45</v>
      </c>
      <c r="J38" s="796">
        <f t="shared" ref="J38:J51" si="2">ROUND(I38*E38,)</f>
        <v>65025</v>
      </c>
      <c r="K38" s="914">
        <f t="shared" ref="K38:K51" si="3">H38+J38</f>
        <v>177735</v>
      </c>
      <c r="L38" s="914"/>
    </row>
    <row r="39" spans="1:12" s="714" customFormat="1" ht="24" customHeight="1">
      <c r="A39" s="1147"/>
      <c r="B39" s="1148" t="s">
        <v>1186</v>
      </c>
      <c r="C39" s="1123"/>
      <c r="D39" s="1124"/>
      <c r="E39" s="1287">
        <v>217</v>
      </c>
      <c r="F39" s="1150" t="s">
        <v>438</v>
      </c>
      <c r="G39" s="1140">
        <v>105</v>
      </c>
      <c r="H39" s="796">
        <f t="shared" si="1"/>
        <v>22785</v>
      </c>
      <c r="I39" s="855">
        <v>60</v>
      </c>
      <c r="J39" s="796">
        <f t="shared" si="2"/>
        <v>13020</v>
      </c>
      <c r="K39" s="914">
        <f t="shared" si="3"/>
        <v>35805</v>
      </c>
      <c r="L39" s="912"/>
    </row>
    <row r="40" spans="1:12" s="714" customFormat="1" ht="24" customHeight="1">
      <c r="A40" s="1147"/>
      <c r="B40" s="1148" t="s">
        <v>1187</v>
      </c>
      <c r="C40" s="1123"/>
      <c r="D40" s="1124"/>
      <c r="E40" s="1287">
        <v>138</v>
      </c>
      <c r="F40" s="1150" t="s">
        <v>438</v>
      </c>
      <c r="G40" s="1244">
        <v>126</v>
      </c>
      <c r="H40" s="796">
        <f t="shared" si="1"/>
        <v>17388</v>
      </c>
      <c r="I40" s="1176">
        <v>70</v>
      </c>
      <c r="J40" s="796">
        <f t="shared" si="2"/>
        <v>9660</v>
      </c>
      <c r="K40" s="914">
        <f t="shared" si="3"/>
        <v>27048</v>
      </c>
      <c r="L40" s="912"/>
    </row>
    <row r="41" spans="1:12" s="714" customFormat="1" ht="24" customHeight="1">
      <c r="A41" s="1147"/>
      <c r="B41" s="1148" t="s">
        <v>1188</v>
      </c>
      <c r="C41" s="1123"/>
      <c r="D41" s="1124"/>
      <c r="E41" s="1287">
        <v>170</v>
      </c>
      <c r="F41" s="1150" t="s">
        <v>438</v>
      </c>
      <c r="G41" s="1244">
        <v>169</v>
      </c>
      <c r="H41" s="796">
        <f t="shared" si="1"/>
        <v>28730</v>
      </c>
      <c r="I41" s="1176">
        <v>95</v>
      </c>
      <c r="J41" s="796">
        <f t="shared" si="2"/>
        <v>16150</v>
      </c>
      <c r="K41" s="914">
        <f t="shared" si="3"/>
        <v>44880</v>
      </c>
      <c r="L41" s="912"/>
    </row>
    <row r="42" spans="1:12" s="714" customFormat="1" ht="24" customHeight="1">
      <c r="A42" s="1147"/>
      <c r="B42" s="1148" t="s">
        <v>1189</v>
      </c>
      <c r="C42" s="1123"/>
      <c r="D42" s="1124"/>
      <c r="E42" s="1287">
        <v>332</v>
      </c>
      <c r="F42" s="1150" t="s">
        <v>438</v>
      </c>
      <c r="G42" s="1244">
        <v>268</v>
      </c>
      <c r="H42" s="796">
        <f t="shared" si="1"/>
        <v>88976</v>
      </c>
      <c r="I42" s="1176">
        <v>150</v>
      </c>
      <c r="J42" s="796">
        <f t="shared" si="2"/>
        <v>49800</v>
      </c>
      <c r="K42" s="914">
        <f t="shared" si="3"/>
        <v>138776</v>
      </c>
      <c r="L42" s="912"/>
    </row>
    <row r="43" spans="1:12" s="714" customFormat="1" ht="24" customHeight="1">
      <c r="A43" s="1147"/>
      <c r="B43" s="1148" t="s">
        <v>1190</v>
      </c>
      <c r="C43" s="1123"/>
      <c r="D43" s="1124"/>
      <c r="E43" s="1287">
        <v>140</v>
      </c>
      <c r="F43" s="1150" t="s">
        <v>438</v>
      </c>
      <c r="G43" s="1244">
        <v>350</v>
      </c>
      <c r="H43" s="796">
        <f t="shared" si="1"/>
        <v>49000</v>
      </c>
      <c r="I43" s="1176">
        <v>200</v>
      </c>
      <c r="J43" s="796">
        <f t="shared" si="2"/>
        <v>28000</v>
      </c>
      <c r="K43" s="914">
        <f t="shared" si="3"/>
        <v>77000</v>
      </c>
      <c r="L43" s="912"/>
    </row>
    <row r="44" spans="1:12" s="714" customFormat="1" ht="24" customHeight="1">
      <c r="A44" s="1147"/>
      <c r="B44" s="1148" t="s">
        <v>1674</v>
      </c>
      <c r="C44" s="1123"/>
      <c r="D44" s="1124"/>
      <c r="E44" s="1287">
        <v>152</v>
      </c>
      <c r="F44" s="1150" t="s">
        <v>438</v>
      </c>
      <c r="G44" s="1244">
        <v>499</v>
      </c>
      <c r="H44" s="796">
        <f t="shared" si="1"/>
        <v>75848</v>
      </c>
      <c r="I44" s="1176">
        <v>280</v>
      </c>
      <c r="J44" s="796">
        <f t="shared" si="2"/>
        <v>42560</v>
      </c>
      <c r="K44" s="914">
        <f t="shared" si="3"/>
        <v>118408</v>
      </c>
      <c r="L44" s="912"/>
    </row>
    <row r="45" spans="1:12" s="714" customFormat="1" ht="24" customHeight="1">
      <c r="A45" s="1147"/>
      <c r="B45" s="1148" t="s">
        <v>1675</v>
      </c>
      <c r="C45" s="1123"/>
      <c r="D45" s="1124"/>
      <c r="E45" s="1287">
        <v>78</v>
      </c>
      <c r="F45" s="1150" t="s">
        <v>438</v>
      </c>
      <c r="G45" s="1244">
        <v>877</v>
      </c>
      <c r="H45" s="796">
        <f t="shared" si="1"/>
        <v>68406</v>
      </c>
      <c r="I45" s="1176">
        <v>500</v>
      </c>
      <c r="J45" s="796">
        <f t="shared" si="2"/>
        <v>39000</v>
      </c>
      <c r="K45" s="914">
        <f t="shared" si="3"/>
        <v>107406</v>
      </c>
      <c r="L45" s="912"/>
    </row>
    <row r="46" spans="1:12" s="714" customFormat="1" ht="24" customHeight="1">
      <c r="A46" s="1147"/>
      <c r="B46" s="1148" t="s">
        <v>1676</v>
      </c>
      <c r="C46" s="1123"/>
      <c r="D46" s="1124"/>
      <c r="E46" s="1013"/>
      <c r="F46" s="1150" t="s">
        <v>438</v>
      </c>
      <c r="G46" s="1244">
        <v>1361</v>
      </c>
      <c r="H46" s="796">
        <f t="shared" si="1"/>
        <v>0</v>
      </c>
      <c r="I46" s="1176">
        <v>560</v>
      </c>
      <c r="J46" s="796">
        <f t="shared" si="2"/>
        <v>0</v>
      </c>
      <c r="K46" s="914">
        <f t="shared" si="3"/>
        <v>0</v>
      </c>
      <c r="L46" s="912">
        <f t="shared" ref="L46" si="4">ROUND(E46*0.9,)</f>
        <v>0</v>
      </c>
    </row>
    <row r="47" spans="1:12" s="714" customFormat="1" ht="24" customHeight="1">
      <c r="A47" s="1147"/>
      <c r="B47" s="1148" t="s">
        <v>1790</v>
      </c>
      <c r="C47" s="1123"/>
      <c r="D47" s="1124"/>
      <c r="E47" s="1013"/>
      <c r="F47" s="1150" t="s">
        <v>438</v>
      </c>
      <c r="G47" s="1244">
        <v>2212</v>
      </c>
      <c r="H47" s="796">
        <f t="shared" si="1"/>
        <v>0</v>
      </c>
      <c r="I47" s="1176">
        <v>700</v>
      </c>
      <c r="J47" s="796">
        <f t="shared" si="2"/>
        <v>0</v>
      </c>
      <c r="K47" s="914">
        <f t="shared" si="3"/>
        <v>0</v>
      </c>
      <c r="L47" s="912"/>
    </row>
    <row r="48" spans="1:12" s="714" customFormat="1" ht="24" customHeight="1">
      <c r="A48" s="1147"/>
      <c r="B48" s="1148" t="s">
        <v>1645</v>
      </c>
      <c r="C48" s="1123"/>
      <c r="D48" s="1124"/>
      <c r="E48" s="1013">
        <v>1</v>
      </c>
      <c r="F48" s="935" t="s">
        <v>948</v>
      </c>
      <c r="G48" s="1244">
        <f>ROUND(SUM(H38:H47)*40%,)</f>
        <v>185537</v>
      </c>
      <c r="H48" s="796">
        <f t="shared" si="1"/>
        <v>185537</v>
      </c>
      <c r="I48" s="1176">
        <f>ROUND(G48*0.3,)</f>
        <v>55661</v>
      </c>
      <c r="J48" s="796">
        <f t="shared" si="2"/>
        <v>55661</v>
      </c>
      <c r="K48" s="914">
        <f t="shared" si="3"/>
        <v>241198</v>
      </c>
      <c r="L48" s="912"/>
    </row>
    <row r="49" spans="1:15" s="714" customFormat="1" ht="24" customHeight="1">
      <c r="A49" s="1147"/>
      <c r="B49" s="1148" t="s">
        <v>1646</v>
      </c>
      <c r="C49" s="1123"/>
      <c r="D49" s="1124"/>
      <c r="E49" s="1013">
        <v>1</v>
      </c>
      <c r="F49" s="935" t="s">
        <v>948</v>
      </c>
      <c r="G49" s="1244">
        <f>ROUND(SUM(H38:H47)*20%,)</f>
        <v>92769</v>
      </c>
      <c r="H49" s="796">
        <f t="shared" si="1"/>
        <v>92769</v>
      </c>
      <c r="I49" s="1176">
        <f t="shared" ref="I49:I51" si="5">ROUND(G49*0.3,)</f>
        <v>27831</v>
      </c>
      <c r="J49" s="796">
        <f t="shared" si="2"/>
        <v>27831</v>
      </c>
      <c r="K49" s="914">
        <f t="shared" si="3"/>
        <v>120600</v>
      </c>
      <c r="L49" s="912"/>
    </row>
    <row r="50" spans="1:15" s="714" customFormat="1" ht="24" customHeight="1">
      <c r="A50" s="1147"/>
      <c r="B50" s="1148" t="s">
        <v>1647</v>
      </c>
      <c r="C50" s="1123"/>
      <c r="D50" s="1124"/>
      <c r="E50" s="1013">
        <v>1</v>
      </c>
      <c r="F50" s="935" t="s">
        <v>948</v>
      </c>
      <c r="G50" s="1244">
        <f>ROUND(SUM(H38:H47)*10%,)</f>
        <v>46384</v>
      </c>
      <c r="H50" s="796">
        <f t="shared" si="1"/>
        <v>46384</v>
      </c>
      <c r="I50" s="1176">
        <f t="shared" si="5"/>
        <v>13915</v>
      </c>
      <c r="J50" s="796">
        <f t="shared" si="2"/>
        <v>13915</v>
      </c>
      <c r="K50" s="914">
        <f t="shared" si="3"/>
        <v>60299</v>
      </c>
      <c r="L50" s="912"/>
    </row>
    <row r="51" spans="1:15" s="714" customFormat="1" ht="24" customHeight="1">
      <c r="A51" s="1159"/>
      <c r="B51" s="1148" t="s">
        <v>1791</v>
      </c>
      <c r="C51" s="1123"/>
      <c r="D51" s="1124"/>
      <c r="E51" s="1013">
        <v>1</v>
      </c>
      <c r="F51" s="935" t="s">
        <v>948</v>
      </c>
      <c r="G51" s="1244">
        <f>ROUND(SUM(H38:H47)*30%,)</f>
        <v>139153</v>
      </c>
      <c r="H51" s="796">
        <f t="shared" si="1"/>
        <v>139153</v>
      </c>
      <c r="I51" s="1176">
        <f t="shared" si="5"/>
        <v>41746</v>
      </c>
      <c r="J51" s="796">
        <f t="shared" si="2"/>
        <v>41746</v>
      </c>
      <c r="K51" s="914">
        <f t="shared" si="3"/>
        <v>180899</v>
      </c>
      <c r="L51" s="912"/>
    </row>
    <row r="52" spans="1:15" s="714" customFormat="1" ht="24" customHeight="1">
      <c r="A52" s="1159" t="s">
        <v>1792</v>
      </c>
      <c r="B52" s="1160" t="s">
        <v>1793</v>
      </c>
      <c r="C52" s="1161"/>
      <c r="D52" s="1162"/>
      <c r="E52" s="1183"/>
      <c r="F52" s="1163"/>
      <c r="G52" s="1205"/>
      <c r="H52" s="796"/>
      <c r="I52" s="797"/>
      <c r="J52" s="796"/>
      <c r="K52" s="914"/>
      <c r="L52" s="914"/>
    </row>
    <row r="53" spans="1:15" s="714" customFormat="1" ht="24" customHeight="1">
      <c r="A53" s="1147"/>
      <c r="B53" s="1148" t="s">
        <v>1185</v>
      </c>
      <c r="C53" s="1123"/>
      <c r="D53" s="1124"/>
      <c r="E53" s="1022">
        <v>5</v>
      </c>
      <c r="F53" s="1150" t="s">
        <v>438</v>
      </c>
      <c r="G53" s="1140">
        <v>124</v>
      </c>
      <c r="H53" s="796">
        <f>ROUND(E53*G53,)</f>
        <v>620</v>
      </c>
      <c r="I53" s="797">
        <v>50</v>
      </c>
      <c r="J53" s="796">
        <f t="shared" ref="J53:J57" si="6">ROUND(I53*E53,)</f>
        <v>250</v>
      </c>
      <c r="K53" s="914">
        <f t="shared" ref="K53:K57" si="7">H53+J53</f>
        <v>870</v>
      </c>
      <c r="L53" s="2273" t="s">
        <v>2974</v>
      </c>
      <c r="N53" s="714">
        <v>745.96</v>
      </c>
      <c r="O53" s="714">
        <f>ROUND(N53/6,)</f>
        <v>124</v>
      </c>
    </row>
    <row r="54" spans="1:15" s="714" customFormat="1" ht="24" customHeight="1">
      <c r="A54" s="1147"/>
      <c r="B54" s="1148" t="s">
        <v>1188</v>
      </c>
      <c r="C54" s="1123"/>
      <c r="D54" s="1124"/>
      <c r="E54" s="1019">
        <v>12</v>
      </c>
      <c r="F54" s="1150" t="s">
        <v>438</v>
      </c>
      <c r="G54" s="1140">
        <v>259</v>
      </c>
      <c r="H54" s="796">
        <f t="shared" ref="H54:H57" si="8">ROUND(E54*G54,)</f>
        <v>3108</v>
      </c>
      <c r="I54" s="855">
        <v>110</v>
      </c>
      <c r="J54" s="796">
        <f t="shared" si="6"/>
        <v>1320</v>
      </c>
      <c r="K54" s="914">
        <f t="shared" si="7"/>
        <v>4428</v>
      </c>
      <c r="L54" s="2273" t="s">
        <v>2974</v>
      </c>
      <c r="N54" s="714">
        <v>1554.48</v>
      </c>
      <c r="O54" s="714">
        <f>ROUND(N54/6,)</f>
        <v>259</v>
      </c>
    </row>
    <row r="55" spans="1:15" s="714" customFormat="1" ht="24" customHeight="1">
      <c r="A55" s="1147"/>
      <c r="B55" s="1148" t="s">
        <v>1645</v>
      </c>
      <c r="C55" s="1123"/>
      <c r="D55" s="1124"/>
      <c r="E55" s="1013">
        <v>1</v>
      </c>
      <c r="F55" s="935" t="s">
        <v>948</v>
      </c>
      <c r="G55" s="1244">
        <f>ROUND(SUM(H53:H54)*50%,)</f>
        <v>1864</v>
      </c>
      <c r="H55" s="796">
        <f t="shared" si="8"/>
        <v>1864</v>
      </c>
      <c r="I55" s="1176">
        <f t="shared" ref="I55:I56" si="9">ROUND(G55*0.3,)</f>
        <v>559</v>
      </c>
      <c r="J55" s="796">
        <f t="shared" si="6"/>
        <v>559</v>
      </c>
      <c r="K55" s="914">
        <f t="shared" si="7"/>
        <v>2423</v>
      </c>
      <c r="L55" s="912"/>
    </row>
    <row r="56" spans="1:15" s="714" customFormat="1" ht="24" customHeight="1">
      <c r="A56" s="1147"/>
      <c r="B56" s="1148" t="s">
        <v>1646</v>
      </c>
      <c r="C56" s="1123"/>
      <c r="D56" s="1124"/>
      <c r="E56" s="1013">
        <v>1</v>
      </c>
      <c r="F56" s="935" t="s">
        <v>948</v>
      </c>
      <c r="G56" s="1244">
        <f>ROUND(SUM(H53:H54)*20%,)</f>
        <v>746</v>
      </c>
      <c r="H56" s="796">
        <f t="shared" si="8"/>
        <v>746</v>
      </c>
      <c r="I56" s="1176">
        <f t="shared" si="9"/>
        <v>224</v>
      </c>
      <c r="J56" s="796">
        <f t="shared" si="6"/>
        <v>224</v>
      </c>
      <c r="K56" s="914">
        <f t="shared" si="7"/>
        <v>970</v>
      </c>
      <c r="L56" s="912"/>
    </row>
    <row r="57" spans="1:15" s="714" customFormat="1" ht="24" customHeight="1">
      <c r="A57" s="1147"/>
      <c r="B57" s="1148" t="s">
        <v>1647</v>
      </c>
      <c r="C57" s="1123"/>
      <c r="D57" s="1124"/>
      <c r="E57" s="1013">
        <v>1</v>
      </c>
      <c r="F57" s="935" t="s">
        <v>948</v>
      </c>
      <c r="G57" s="1244">
        <f>ROUND(SUM(H53:H54)*10%,)</f>
        <v>373</v>
      </c>
      <c r="H57" s="796">
        <f t="shared" si="8"/>
        <v>373</v>
      </c>
      <c r="I57" s="1176">
        <f>ROUND(G57*0.3,)</f>
        <v>112</v>
      </c>
      <c r="J57" s="796">
        <f t="shared" si="6"/>
        <v>112</v>
      </c>
      <c r="K57" s="914">
        <f t="shared" si="7"/>
        <v>485</v>
      </c>
      <c r="L57" s="912"/>
    </row>
    <row r="58" spans="1:15" s="714" customFormat="1" ht="24" customHeight="1">
      <c r="A58" s="1147"/>
      <c r="B58" s="1148" t="s">
        <v>957</v>
      </c>
      <c r="C58" s="1123"/>
      <c r="D58" s="1124"/>
      <c r="E58" s="1149"/>
      <c r="F58" s="1150"/>
      <c r="G58" s="1140"/>
      <c r="H58" s="854"/>
      <c r="I58" s="855"/>
      <c r="J58" s="854"/>
      <c r="K58" s="912"/>
      <c r="L58" s="912"/>
    </row>
    <row r="59" spans="1:15" s="714" customFormat="1" ht="24" customHeight="1">
      <c r="A59" s="1166"/>
      <c r="B59" s="2475" t="str">
        <f>"รวมราคารายการที่ "&amp;A36</f>
        <v>รวมราคารายการที่ 6.1</v>
      </c>
      <c r="C59" s="2476"/>
      <c r="D59" s="2477"/>
      <c r="E59" s="1167"/>
      <c r="F59" s="1167"/>
      <c r="G59" s="1168"/>
      <c r="H59" s="1169">
        <f>SUM(H37:H58)</f>
        <v>934397</v>
      </c>
      <c r="I59" s="1170"/>
      <c r="J59" s="1169">
        <f>SUM(J37:J58)</f>
        <v>404833</v>
      </c>
      <c r="K59" s="1171">
        <f>SUM(K37:K58)</f>
        <v>1339230</v>
      </c>
      <c r="L59" s="1171"/>
    </row>
    <row r="60" spans="1:15" s="714" customFormat="1" ht="24" customHeight="1">
      <c r="A60" s="1207">
        <v>6.2</v>
      </c>
      <c r="B60" s="1208" t="s">
        <v>1794</v>
      </c>
      <c r="C60" s="1209"/>
      <c r="D60" s="1210"/>
      <c r="E60" s="1211"/>
      <c r="F60" s="1212"/>
      <c r="G60" s="874"/>
      <c r="H60" s="854"/>
      <c r="I60" s="855"/>
      <c r="J60" s="854"/>
      <c r="K60" s="912"/>
      <c r="L60" s="912"/>
    </row>
    <row r="61" spans="1:15" s="714" customFormat="1" ht="24" customHeight="1">
      <c r="A61" s="1147" t="s">
        <v>1795</v>
      </c>
      <c r="B61" s="1148" t="s">
        <v>1823</v>
      </c>
      <c r="C61" s="1123"/>
      <c r="D61" s="1124"/>
      <c r="E61" s="1149"/>
      <c r="F61" s="1150"/>
      <c r="G61" s="1140"/>
      <c r="H61" s="796">
        <f t="shared" ref="H61:H62" si="10">ROUND(E61*G61,)</f>
        <v>0</v>
      </c>
      <c r="I61" s="855"/>
      <c r="J61" s="796">
        <f t="shared" ref="J61:J62" si="11">ROUND(I61*E61,)</f>
        <v>0</v>
      </c>
      <c r="K61" s="912"/>
      <c r="L61" s="912"/>
    </row>
    <row r="62" spans="1:15" s="714" customFormat="1" ht="24" customHeight="1">
      <c r="A62" s="1147"/>
      <c r="B62" s="1148" t="s">
        <v>1185</v>
      </c>
      <c r="C62" s="1123"/>
      <c r="D62" s="1124"/>
      <c r="E62" s="1149">
        <v>8</v>
      </c>
      <c r="F62" s="1150" t="s">
        <v>240</v>
      </c>
      <c r="G62" s="1140">
        <v>400</v>
      </c>
      <c r="H62" s="796">
        <f t="shared" si="10"/>
        <v>3200</v>
      </c>
      <c r="I62" s="855">
        <v>200</v>
      </c>
      <c r="J62" s="796">
        <f t="shared" si="11"/>
        <v>1600</v>
      </c>
      <c r="K62" s="914">
        <f t="shared" ref="K62" si="12">H62+J62</f>
        <v>4800</v>
      </c>
      <c r="L62" s="912"/>
    </row>
    <row r="63" spans="1:15" s="714" customFormat="1" ht="24" customHeight="1">
      <c r="A63" s="1147" t="s">
        <v>1797</v>
      </c>
      <c r="B63" s="1148" t="s">
        <v>1824</v>
      </c>
      <c r="C63" s="1123"/>
      <c r="D63" s="1124"/>
      <c r="E63" s="1149"/>
      <c r="F63" s="1150"/>
      <c r="G63" s="1140"/>
      <c r="H63" s="854"/>
      <c r="I63" s="855"/>
      <c r="J63" s="854"/>
      <c r="K63" s="912"/>
      <c r="L63" s="912"/>
    </row>
    <row r="64" spans="1:15" s="714" customFormat="1" ht="24" customHeight="1">
      <c r="A64" s="1147"/>
      <c r="B64" s="1148" t="s">
        <v>1675</v>
      </c>
      <c r="C64" s="1123"/>
      <c r="D64" s="1124"/>
      <c r="E64" s="1149">
        <v>4</v>
      </c>
      <c r="F64" s="1150" t="s">
        <v>240</v>
      </c>
      <c r="G64" s="1140">
        <v>13100</v>
      </c>
      <c r="H64" s="796">
        <f t="shared" ref="H64:H67" si="13">ROUND(E64*G64,)</f>
        <v>52400</v>
      </c>
      <c r="I64" s="855">
        <v>1200</v>
      </c>
      <c r="J64" s="796">
        <f t="shared" ref="J64:J67" si="14">ROUND(I64*E64,)</f>
        <v>4800</v>
      </c>
      <c r="K64" s="914">
        <f t="shared" ref="K64:K67" si="15">H64+J64</f>
        <v>57200</v>
      </c>
      <c r="L64" s="912"/>
    </row>
    <row r="65" spans="1:12" s="714" customFormat="1" ht="24" customHeight="1">
      <c r="A65" s="1147" t="s">
        <v>1799</v>
      </c>
      <c r="B65" s="1148" t="s">
        <v>1825</v>
      </c>
      <c r="C65" s="1123"/>
      <c r="D65" s="1124"/>
      <c r="E65" s="1149"/>
      <c r="F65" s="1150"/>
      <c r="G65" s="1140"/>
      <c r="H65" s="796"/>
      <c r="I65" s="855"/>
      <c r="J65" s="796"/>
      <c r="K65" s="914"/>
      <c r="L65" s="912"/>
    </row>
    <row r="66" spans="1:12" s="714" customFormat="1" ht="24" customHeight="1">
      <c r="A66" s="1147"/>
      <c r="B66" s="1148" t="s">
        <v>1788</v>
      </c>
      <c r="C66" s="1123"/>
      <c r="D66" s="1124"/>
      <c r="E66" s="1149">
        <v>4</v>
      </c>
      <c r="F66" s="1150" t="s">
        <v>240</v>
      </c>
      <c r="G66" s="1140">
        <v>1963</v>
      </c>
      <c r="H66" s="796">
        <f t="shared" ref="H66" si="16">ROUND(E66*G66,)</f>
        <v>7852</v>
      </c>
      <c r="I66" s="855">
        <v>400</v>
      </c>
      <c r="J66" s="796">
        <f t="shared" ref="J66" si="17">ROUND(I66*E66,)</f>
        <v>1600</v>
      </c>
      <c r="K66" s="914">
        <f t="shared" ref="K66" si="18">H66+J66</f>
        <v>9452</v>
      </c>
      <c r="L66" s="912"/>
    </row>
    <row r="67" spans="1:12" s="714" customFormat="1" ht="24" customHeight="1">
      <c r="A67" s="1147" t="s">
        <v>1801</v>
      </c>
      <c r="B67" s="1148" t="s">
        <v>1826</v>
      </c>
      <c r="C67" s="1123"/>
      <c r="D67" s="1124"/>
      <c r="E67" s="1149">
        <v>4</v>
      </c>
      <c r="F67" s="1150" t="s">
        <v>240</v>
      </c>
      <c r="G67" s="1140">
        <v>900</v>
      </c>
      <c r="H67" s="796">
        <f t="shared" si="13"/>
        <v>3600</v>
      </c>
      <c r="I67" s="855">
        <v>100</v>
      </c>
      <c r="J67" s="796">
        <f t="shared" si="14"/>
        <v>400</v>
      </c>
      <c r="K67" s="914">
        <f t="shared" si="15"/>
        <v>4000</v>
      </c>
      <c r="L67" s="912"/>
    </row>
    <row r="68" spans="1:12" s="714" customFormat="1" ht="24" customHeight="1">
      <c r="A68" s="1147" t="s">
        <v>1803</v>
      </c>
      <c r="B68" s="1148" t="s">
        <v>1827</v>
      </c>
      <c r="C68" s="1123"/>
      <c r="D68" s="1124"/>
      <c r="E68" s="1149"/>
      <c r="F68" s="1150"/>
      <c r="G68" s="1140"/>
      <c r="H68" s="854"/>
      <c r="I68" s="855"/>
      <c r="J68" s="854"/>
      <c r="K68" s="912"/>
      <c r="L68" s="912"/>
    </row>
    <row r="69" spans="1:12" s="714" customFormat="1" ht="24" customHeight="1">
      <c r="A69" s="1147"/>
      <c r="B69" s="1148" t="s">
        <v>1675</v>
      </c>
      <c r="C69" s="1123"/>
      <c r="D69" s="1124"/>
      <c r="E69" s="1149">
        <v>4</v>
      </c>
      <c r="F69" s="1150" t="s">
        <v>240</v>
      </c>
      <c r="G69" s="1140">
        <v>17400</v>
      </c>
      <c r="H69" s="796">
        <f t="shared" ref="H69" si="19">ROUND(E69*G69,)</f>
        <v>69600</v>
      </c>
      <c r="I69" s="855">
        <v>1200</v>
      </c>
      <c r="J69" s="796">
        <f t="shared" ref="J69" si="20">ROUND(I69*E69,)</f>
        <v>4800</v>
      </c>
      <c r="K69" s="914">
        <f t="shared" ref="K69" si="21">H69+J69</f>
        <v>74400</v>
      </c>
      <c r="L69" s="912"/>
    </row>
    <row r="70" spans="1:12" s="714" customFormat="1" ht="24" customHeight="1">
      <c r="A70" s="1147" t="s">
        <v>1805</v>
      </c>
      <c r="B70" s="1148" t="s">
        <v>1717</v>
      </c>
      <c r="C70" s="1123"/>
      <c r="D70" s="1124"/>
      <c r="E70" s="1149"/>
      <c r="F70" s="1150"/>
      <c r="G70" s="1140"/>
      <c r="H70" s="854"/>
      <c r="I70" s="855"/>
      <c r="J70" s="854"/>
      <c r="K70" s="912"/>
      <c r="L70" s="912"/>
    </row>
    <row r="71" spans="1:12" s="714" customFormat="1" ht="24" customHeight="1">
      <c r="A71" s="1147"/>
      <c r="B71" s="1148" t="s">
        <v>1785</v>
      </c>
      <c r="C71" s="1123"/>
      <c r="D71" s="1124"/>
      <c r="E71" s="1149">
        <v>4</v>
      </c>
      <c r="F71" s="1150" t="s">
        <v>240</v>
      </c>
      <c r="G71" s="1140">
        <v>1010</v>
      </c>
      <c r="H71" s="796">
        <f t="shared" ref="H71" si="22">ROUND(E71*G71,)</f>
        <v>4040</v>
      </c>
      <c r="I71" s="855">
        <v>100</v>
      </c>
      <c r="J71" s="796">
        <f t="shared" ref="J71" si="23">ROUND(I71*E71,)</f>
        <v>400</v>
      </c>
      <c r="K71" s="914">
        <f t="shared" ref="K71" si="24">H71+J71</f>
        <v>4440</v>
      </c>
      <c r="L71" s="912"/>
    </row>
    <row r="72" spans="1:12" s="714" customFormat="1" ht="24" customHeight="1">
      <c r="A72" s="1147" t="s">
        <v>1807</v>
      </c>
      <c r="B72" s="1148" t="s">
        <v>1806</v>
      </c>
      <c r="C72" s="1123"/>
      <c r="D72" s="1124"/>
      <c r="E72" s="1149"/>
      <c r="F72" s="1150"/>
      <c r="G72" s="1140"/>
      <c r="H72" s="854"/>
      <c r="I72" s="855"/>
      <c r="J72" s="854"/>
      <c r="K72" s="912"/>
      <c r="L72" s="912"/>
    </row>
    <row r="73" spans="1:12" s="714" customFormat="1" ht="24" customHeight="1">
      <c r="A73" s="1147"/>
      <c r="B73" s="1148" t="s">
        <v>1785</v>
      </c>
      <c r="C73" s="1123"/>
      <c r="D73" s="1124"/>
      <c r="E73" s="1149">
        <v>4</v>
      </c>
      <c r="F73" s="1150" t="s">
        <v>240</v>
      </c>
      <c r="G73" s="1249">
        <v>18060</v>
      </c>
      <c r="H73" s="796">
        <f t="shared" ref="H73" si="25">ROUND(E73*G73,)</f>
        <v>72240</v>
      </c>
      <c r="I73" s="855">
        <v>100</v>
      </c>
      <c r="J73" s="796">
        <f t="shared" ref="J73" si="26">ROUND(I73*E73,)</f>
        <v>400</v>
      </c>
      <c r="K73" s="914">
        <f t="shared" ref="K73" si="27">H73+J73</f>
        <v>72640</v>
      </c>
      <c r="L73" s="912"/>
    </row>
    <row r="74" spans="1:12" s="714" customFormat="1" ht="24" customHeight="1">
      <c r="A74" s="1147"/>
      <c r="B74" s="1148" t="s">
        <v>957</v>
      </c>
      <c r="C74" s="1123"/>
      <c r="D74" s="1124"/>
      <c r="E74" s="1149"/>
      <c r="F74" s="1150"/>
      <c r="G74" s="1140"/>
      <c r="H74" s="854"/>
      <c r="I74" s="855"/>
      <c r="J74" s="854"/>
      <c r="K74" s="912"/>
      <c r="L74" s="912"/>
    </row>
    <row r="75" spans="1:12" s="714" customFormat="1" ht="24" customHeight="1">
      <c r="A75" s="1147"/>
      <c r="B75" s="1148" t="s">
        <v>1102</v>
      </c>
      <c r="C75" s="1123"/>
      <c r="D75" s="1124"/>
      <c r="E75" s="1149"/>
      <c r="F75" s="1150"/>
      <c r="G75" s="1140"/>
      <c r="H75" s="854"/>
      <c r="I75" s="855"/>
      <c r="J75" s="854"/>
      <c r="K75" s="912"/>
      <c r="L75" s="912"/>
    </row>
    <row r="76" spans="1:12" s="714" customFormat="1" ht="24" customHeight="1">
      <c r="A76" s="1166"/>
      <c r="B76" s="2475" t="str">
        <f>"รวมราคารายการที่ "&amp;A60</f>
        <v>รวมราคารายการที่ 6.2</v>
      </c>
      <c r="C76" s="2476"/>
      <c r="D76" s="2477"/>
      <c r="E76" s="1167"/>
      <c r="F76" s="1167"/>
      <c r="G76" s="1168"/>
      <c r="H76" s="1169">
        <f>SUM(H61:H75)</f>
        <v>212932</v>
      </c>
      <c r="I76" s="1170"/>
      <c r="J76" s="1169">
        <f>SUM(J61:J75)</f>
        <v>14000</v>
      </c>
      <c r="K76" s="1171">
        <f>SUM(K61:K75)</f>
        <v>226932</v>
      </c>
      <c r="L76" s="1171"/>
    </row>
    <row r="77" spans="1:12" s="714" customFormat="1" ht="24" customHeight="1">
      <c r="A77" s="1207">
        <v>6.3</v>
      </c>
      <c r="B77" s="1208" t="s">
        <v>1828</v>
      </c>
      <c r="C77" s="1209"/>
      <c r="D77" s="1210"/>
      <c r="E77" s="1211"/>
      <c r="F77" s="1221"/>
      <c r="G77" s="1249"/>
      <c r="H77" s="854"/>
      <c r="I77" s="855"/>
      <c r="J77" s="854"/>
      <c r="K77" s="912"/>
      <c r="L77" s="912"/>
    </row>
    <row r="78" spans="1:12" s="714" customFormat="1" ht="24" customHeight="1">
      <c r="A78" s="1147" t="s">
        <v>1829</v>
      </c>
      <c r="B78" s="1148" t="s">
        <v>1830</v>
      </c>
      <c r="C78" s="1123"/>
      <c r="D78" s="1124"/>
      <c r="E78" s="1149">
        <v>532</v>
      </c>
      <c r="F78" s="1147" t="s">
        <v>240</v>
      </c>
      <c r="G78" s="1249">
        <v>126</v>
      </c>
      <c r="H78" s="796">
        <f t="shared" ref="H78:H81" si="28">ROUND(E78*G78,)</f>
        <v>67032</v>
      </c>
      <c r="I78" s="855">
        <v>75</v>
      </c>
      <c r="J78" s="796">
        <f t="shared" ref="J78:J81" si="29">ROUND(I78*E78,)</f>
        <v>39900</v>
      </c>
      <c r="K78" s="914">
        <f>H78+J78</f>
        <v>106932</v>
      </c>
      <c r="L78" s="912"/>
    </row>
    <row r="79" spans="1:12" s="714" customFormat="1" ht="24" customHeight="1">
      <c r="A79" s="1147" t="s">
        <v>1831</v>
      </c>
      <c r="B79" s="1148" t="s">
        <v>1832</v>
      </c>
      <c r="C79" s="1123"/>
      <c r="D79" s="1124"/>
      <c r="E79" s="1149"/>
      <c r="F79" s="1147" t="s">
        <v>240</v>
      </c>
      <c r="G79" s="1249"/>
      <c r="H79" s="796"/>
      <c r="I79" s="855"/>
      <c r="J79" s="796"/>
      <c r="K79" s="914"/>
      <c r="L79" s="912"/>
    </row>
    <row r="80" spans="1:12" s="714" customFormat="1" ht="24" customHeight="1">
      <c r="A80" s="1147" t="s">
        <v>1833</v>
      </c>
      <c r="B80" s="1148" t="s">
        <v>1881</v>
      </c>
      <c r="C80" s="1123"/>
      <c r="D80" s="1124"/>
      <c r="E80" s="1149"/>
      <c r="F80" s="1147" t="s">
        <v>240</v>
      </c>
      <c r="G80" s="1249"/>
      <c r="H80" s="796"/>
      <c r="I80" s="855"/>
      <c r="J80" s="796"/>
      <c r="K80" s="914"/>
      <c r="L80" s="912"/>
    </row>
    <row r="81" spans="1:14" s="714" customFormat="1" ht="24" customHeight="1">
      <c r="A81" s="1147" t="s">
        <v>1835</v>
      </c>
      <c r="B81" s="1148" t="s">
        <v>1834</v>
      </c>
      <c r="C81" s="1123"/>
      <c r="D81" s="1124"/>
      <c r="E81" s="1149">
        <v>55</v>
      </c>
      <c r="F81" s="1147" t="s">
        <v>240</v>
      </c>
      <c r="G81" s="1249">
        <v>108</v>
      </c>
      <c r="H81" s="796">
        <f t="shared" si="28"/>
        <v>5940</v>
      </c>
      <c r="I81" s="855">
        <v>50</v>
      </c>
      <c r="J81" s="796">
        <f t="shared" si="29"/>
        <v>2750</v>
      </c>
      <c r="K81" s="914">
        <f>H81+J81</f>
        <v>8690</v>
      </c>
      <c r="L81" s="912"/>
    </row>
    <row r="82" spans="1:14" s="714" customFormat="1" ht="24" customHeight="1">
      <c r="A82" s="1147" t="s">
        <v>1837</v>
      </c>
      <c r="B82" s="1148" t="s">
        <v>1882</v>
      </c>
      <c r="C82" s="1123"/>
      <c r="D82" s="1124"/>
      <c r="E82" s="1149"/>
      <c r="F82" s="1147"/>
      <c r="G82" s="1249"/>
      <c r="H82" s="854"/>
      <c r="I82" s="855"/>
      <c r="J82" s="854"/>
      <c r="K82" s="912"/>
      <c r="L82" s="912"/>
    </row>
    <row r="83" spans="1:14" s="714" customFormat="1" ht="24" customHeight="1">
      <c r="A83" s="1147"/>
      <c r="B83" s="1148"/>
      <c r="C83" s="1123"/>
      <c r="D83" s="1124"/>
      <c r="E83" s="1149"/>
      <c r="F83" s="1147"/>
      <c r="G83" s="1249"/>
      <c r="H83" s="854"/>
      <c r="I83" s="855"/>
      <c r="J83" s="854"/>
      <c r="K83" s="912"/>
      <c r="L83" s="912"/>
    </row>
    <row r="84" spans="1:14" s="714" customFormat="1" ht="24" customHeight="1">
      <c r="A84" s="1166"/>
      <c r="B84" s="2475" t="str">
        <f>"รวมราคารายการที่ "&amp;A77</f>
        <v>รวมราคารายการที่ 6.3</v>
      </c>
      <c r="C84" s="2476"/>
      <c r="D84" s="2477"/>
      <c r="E84" s="1167"/>
      <c r="F84" s="1167"/>
      <c r="G84" s="1168"/>
      <c r="H84" s="1169">
        <f>SUM(H78:H83)</f>
        <v>72972</v>
      </c>
      <c r="I84" s="1169"/>
      <c r="J84" s="1169">
        <f>SUM(J78:J83)</f>
        <v>42650</v>
      </c>
      <c r="K84" s="1169">
        <f>SUM(K78:K83)</f>
        <v>115622</v>
      </c>
      <c r="L84" s="1169"/>
    </row>
    <row r="85" spans="1:14" s="714" customFormat="1" ht="24" customHeight="1">
      <c r="A85" s="1195">
        <v>6.4</v>
      </c>
      <c r="B85" s="1196" t="s">
        <v>1844</v>
      </c>
      <c r="C85" s="1197"/>
      <c r="D85" s="1198"/>
      <c r="E85" s="1199"/>
      <c r="F85" s="1230"/>
      <c r="G85" s="1255"/>
      <c r="H85" s="788"/>
      <c r="I85" s="789"/>
      <c r="J85" s="788"/>
      <c r="K85" s="1256"/>
      <c r="L85" s="1256"/>
    </row>
    <row r="86" spans="1:14" s="714" customFormat="1" ht="24" customHeight="1">
      <c r="A86" s="1147" t="s">
        <v>1845</v>
      </c>
      <c r="B86" s="1148" t="s">
        <v>1846</v>
      </c>
      <c r="C86" s="1123"/>
      <c r="D86" s="1124"/>
      <c r="E86" s="1149"/>
      <c r="F86" s="1147"/>
      <c r="G86" s="1257"/>
      <c r="H86" s="796"/>
      <c r="I86" s="797"/>
      <c r="J86" s="796"/>
      <c r="K86" s="914"/>
      <c r="L86" s="914"/>
    </row>
    <row r="87" spans="1:14" s="714" customFormat="1" ht="24" customHeight="1">
      <c r="A87" s="1147"/>
      <c r="B87" s="1148" t="s">
        <v>1847</v>
      </c>
      <c r="C87" s="1123"/>
      <c r="D87" s="1124"/>
      <c r="E87" s="1149">
        <v>5</v>
      </c>
      <c r="F87" s="1147" t="s">
        <v>240</v>
      </c>
      <c r="G87" s="1257">
        <v>3800</v>
      </c>
      <c r="H87" s="796">
        <f t="shared" ref="H87:H93" si="30">ROUND(E87*G87,)</f>
        <v>19000</v>
      </c>
      <c r="I87" s="797">
        <f>G87*0.3</f>
        <v>1140</v>
      </c>
      <c r="J87" s="796">
        <f t="shared" ref="J87" si="31">ROUND(I87*E87,)</f>
        <v>5700</v>
      </c>
      <c r="K87" s="914">
        <f>H87+J87</f>
        <v>24700</v>
      </c>
      <c r="L87" s="914"/>
    </row>
    <row r="88" spans="1:14" s="714" customFormat="1" ht="24" customHeight="1">
      <c r="A88" s="1159"/>
      <c r="B88" s="1160" t="s">
        <v>1848</v>
      </c>
      <c r="C88" s="1161"/>
      <c r="D88" s="1162"/>
      <c r="E88" s="1149">
        <v>5</v>
      </c>
      <c r="F88" s="1159" t="s">
        <v>240</v>
      </c>
      <c r="G88" s="1258">
        <v>890</v>
      </c>
      <c r="H88" s="796">
        <f t="shared" si="30"/>
        <v>4450</v>
      </c>
      <c r="I88" s="797" t="s">
        <v>974</v>
      </c>
      <c r="J88" s="796"/>
      <c r="K88" s="914">
        <f t="shared" ref="K88:K93" si="32">H88+J88</f>
        <v>4450</v>
      </c>
      <c r="L88" s="914"/>
    </row>
    <row r="89" spans="1:14" s="714" customFormat="1" ht="24" customHeight="1">
      <c r="A89" s="1147"/>
      <c r="B89" s="1148" t="s">
        <v>1849</v>
      </c>
      <c r="C89" s="1123"/>
      <c r="D89" s="1124"/>
      <c r="E89" s="1149">
        <v>5</v>
      </c>
      <c r="F89" s="1147" t="s">
        <v>240</v>
      </c>
      <c r="G89" s="1257">
        <v>4200</v>
      </c>
      <c r="H89" s="796">
        <f t="shared" si="30"/>
        <v>21000</v>
      </c>
      <c r="I89" s="797" t="s">
        <v>974</v>
      </c>
      <c r="J89" s="796"/>
      <c r="K89" s="914">
        <f t="shared" si="32"/>
        <v>21000</v>
      </c>
      <c r="L89" s="914"/>
    </row>
    <row r="90" spans="1:14" s="714" customFormat="1" ht="24" customHeight="1">
      <c r="A90" s="1159"/>
      <c r="B90" s="1148" t="s">
        <v>1850</v>
      </c>
      <c r="C90" s="1123"/>
      <c r="D90" s="1124"/>
      <c r="E90" s="1149">
        <v>5</v>
      </c>
      <c r="F90" s="1147" t="s">
        <v>240</v>
      </c>
      <c r="G90" s="1257">
        <v>8000</v>
      </c>
      <c r="H90" s="796">
        <f t="shared" si="30"/>
        <v>40000</v>
      </c>
      <c r="I90" s="797" t="s">
        <v>974</v>
      </c>
      <c r="J90" s="796"/>
      <c r="K90" s="914">
        <f t="shared" si="32"/>
        <v>40000</v>
      </c>
      <c r="L90" s="1014"/>
    </row>
    <row r="91" spans="1:14" s="714" customFormat="1" ht="24" customHeight="1">
      <c r="A91" s="1147"/>
      <c r="B91" s="1148" t="s">
        <v>1851</v>
      </c>
      <c r="C91" s="1123"/>
      <c r="D91" s="1124"/>
      <c r="E91" s="1149">
        <v>5</v>
      </c>
      <c r="F91" s="1147" t="s">
        <v>240</v>
      </c>
      <c r="G91" s="1257">
        <v>5720</v>
      </c>
      <c r="H91" s="796">
        <f t="shared" si="30"/>
        <v>28600</v>
      </c>
      <c r="I91" s="797" t="s">
        <v>974</v>
      </c>
      <c r="J91" s="796"/>
      <c r="K91" s="914">
        <f t="shared" si="32"/>
        <v>28600</v>
      </c>
      <c r="L91" s="912"/>
    </row>
    <row r="92" spans="1:14" s="714" customFormat="1" ht="24" customHeight="1">
      <c r="A92" s="1147"/>
      <c r="B92" s="1148" t="s">
        <v>1852</v>
      </c>
      <c r="C92" s="1123"/>
      <c r="D92" s="1124"/>
      <c r="E92" s="1149">
        <v>5</v>
      </c>
      <c r="F92" s="1147" t="s">
        <v>240</v>
      </c>
      <c r="G92" s="1257">
        <v>820</v>
      </c>
      <c r="H92" s="796">
        <f t="shared" si="30"/>
        <v>4100</v>
      </c>
      <c r="I92" s="797" t="s">
        <v>974</v>
      </c>
      <c r="J92" s="796"/>
      <c r="K92" s="914">
        <f t="shared" si="32"/>
        <v>4100</v>
      </c>
      <c r="L92" s="912"/>
    </row>
    <row r="93" spans="1:14" s="714" customFormat="1" ht="24" customHeight="1">
      <c r="A93" s="1147"/>
      <c r="B93" s="1148" t="s">
        <v>1853</v>
      </c>
      <c r="C93" s="1123"/>
      <c r="D93" s="1124"/>
      <c r="E93" s="1149">
        <v>5</v>
      </c>
      <c r="F93" s="1147" t="s">
        <v>240</v>
      </c>
      <c r="G93" s="1257">
        <v>450</v>
      </c>
      <c r="H93" s="796">
        <f t="shared" si="30"/>
        <v>2250</v>
      </c>
      <c r="I93" s="797" t="s">
        <v>974</v>
      </c>
      <c r="J93" s="796"/>
      <c r="K93" s="914">
        <f t="shared" si="32"/>
        <v>2250</v>
      </c>
      <c r="L93" s="912"/>
    </row>
    <row r="94" spans="1:14" s="714" customFormat="1" ht="24" customHeight="1">
      <c r="A94" s="1147" t="s">
        <v>1854</v>
      </c>
      <c r="B94" s="1148" t="s">
        <v>1855</v>
      </c>
      <c r="C94" s="1123"/>
      <c r="D94" s="1124"/>
      <c r="E94" s="1149"/>
      <c r="F94" s="1147"/>
      <c r="G94" s="1257"/>
      <c r="H94" s="854"/>
      <c r="I94" s="855"/>
      <c r="J94" s="854"/>
      <c r="K94" s="912"/>
      <c r="L94" s="912"/>
      <c r="M94" s="914"/>
      <c r="N94" s="1014"/>
    </row>
    <row r="95" spans="1:14" s="714" customFormat="1" ht="24" customHeight="1">
      <c r="A95" s="1147"/>
      <c r="B95" s="1148" t="s">
        <v>1856</v>
      </c>
      <c r="C95" s="1123"/>
      <c r="D95" s="1124"/>
      <c r="E95" s="1149">
        <v>3</v>
      </c>
      <c r="F95" s="1147" t="s">
        <v>240</v>
      </c>
      <c r="G95" s="1257">
        <f>6500*1.1</f>
        <v>7150.0000000000009</v>
      </c>
      <c r="H95" s="796">
        <f t="shared" ref="H95:H101" si="33">ROUND(E95*G95,)</f>
        <v>21450</v>
      </c>
      <c r="I95" s="797">
        <f>G95*0.3</f>
        <v>2145</v>
      </c>
      <c r="J95" s="796">
        <f t="shared" ref="J95" si="34">ROUND(I95*E95,)</f>
        <v>6435</v>
      </c>
      <c r="K95" s="914">
        <f>H95+J95</f>
        <v>27885</v>
      </c>
      <c r="L95" s="1014"/>
      <c r="M95" s="914"/>
      <c r="N95" s="1014"/>
    </row>
    <row r="96" spans="1:14" s="714" customFormat="1" ht="24" customHeight="1">
      <c r="A96" s="1159"/>
      <c r="B96" s="1160" t="s">
        <v>1848</v>
      </c>
      <c r="C96" s="1161"/>
      <c r="D96" s="1162"/>
      <c r="E96" s="1149">
        <v>3</v>
      </c>
      <c r="F96" s="1159" t="s">
        <v>240</v>
      </c>
      <c r="G96" s="1258">
        <v>890</v>
      </c>
      <c r="H96" s="796">
        <f t="shared" si="33"/>
        <v>2670</v>
      </c>
      <c r="I96" s="797" t="s">
        <v>974</v>
      </c>
      <c r="J96" s="796"/>
      <c r="K96" s="914">
        <f t="shared" ref="K96:K101" si="35">H96+J96</f>
        <v>2670</v>
      </c>
      <c r="L96" s="1014"/>
      <c r="M96" s="914"/>
      <c r="N96" s="1014"/>
    </row>
    <row r="97" spans="1:14" s="714" customFormat="1" ht="24" customHeight="1">
      <c r="A97" s="1147"/>
      <c r="B97" s="1148" t="s">
        <v>1883</v>
      </c>
      <c r="C97" s="1123"/>
      <c r="D97" s="1124"/>
      <c r="E97" s="1149">
        <v>3</v>
      </c>
      <c r="F97" s="1147" t="s">
        <v>240</v>
      </c>
      <c r="G97" s="1257">
        <v>4200</v>
      </c>
      <c r="H97" s="796">
        <f t="shared" si="33"/>
        <v>12600</v>
      </c>
      <c r="I97" s="797" t="s">
        <v>974</v>
      </c>
      <c r="J97" s="796"/>
      <c r="K97" s="914">
        <f t="shared" si="35"/>
        <v>12600</v>
      </c>
      <c r="L97" s="1014"/>
      <c r="M97" s="914"/>
      <c r="N97" s="1014"/>
    </row>
    <row r="98" spans="1:14" s="714" customFormat="1" ht="24" customHeight="1">
      <c r="A98" s="1159"/>
      <c r="B98" s="1148" t="s">
        <v>1850</v>
      </c>
      <c r="C98" s="1123"/>
      <c r="D98" s="1124"/>
      <c r="E98" s="1149">
        <v>3</v>
      </c>
      <c r="F98" s="1147" t="s">
        <v>240</v>
      </c>
      <c r="G98" s="1257">
        <v>8000</v>
      </c>
      <c r="H98" s="796">
        <f t="shared" si="33"/>
        <v>24000</v>
      </c>
      <c r="I98" s="797" t="s">
        <v>974</v>
      </c>
      <c r="J98" s="796"/>
      <c r="K98" s="914">
        <f t="shared" si="35"/>
        <v>24000</v>
      </c>
      <c r="L98" s="1014"/>
      <c r="M98" s="914"/>
      <c r="N98" s="1014"/>
    </row>
    <row r="99" spans="1:14" s="714" customFormat="1" ht="24" customHeight="1">
      <c r="A99" s="1147"/>
      <c r="B99" s="1148" t="s">
        <v>1851</v>
      </c>
      <c r="C99" s="1123"/>
      <c r="D99" s="1124"/>
      <c r="E99" s="1149">
        <v>3</v>
      </c>
      <c r="F99" s="1147" t="s">
        <v>240</v>
      </c>
      <c r="G99" s="1257">
        <v>5720</v>
      </c>
      <c r="H99" s="796">
        <f t="shared" si="33"/>
        <v>17160</v>
      </c>
      <c r="I99" s="797" t="s">
        <v>974</v>
      </c>
      <c r="J99" s="796"/>
      <c r="K99" s="914">
        <f t="shared" si="35"/>
        <v>17160</v>
      </c>
      <c r="L99" s="912"/>
    </row>
    <row r="100" spans="1:14" s="714" customFormat="1" ht="24" customHeight="1">
      <c r="A100" s="1147"/>
      <c r="B100" s="1148" t="s">
        <v>1884</v>
      </c>
      <c r="C100" s="1123"/>
      <c r="D100" s="1124"/>
      <c r="E100" s="1149">
        <v>3</v>
      </c>
      <c r="F100" s="1147" t="s">
        <v>240</v>
      </c>
      <c r="G100" s="1257">
        <v>820</v>
      </c>
      <c r="H100" s="796">
        <f t="shared" si="33"/>
        <v>2460</v>
      </c>
      <c r="I100" s="797" t="s">
        <v>974</v>
      </c>
      <c r="J100" s="796"/>
      <c r="K100" s="914">
        <f t="shared" si="35"/>
        <v>2460</v>
      </c>
      <c r="L100" s="1014"/>
    </row>
    <row r="101" spans="1:14" s="714" customFormat="1" ht="24" customHeight="1">
      <c r="A101" s="1147"/>
      <c r="B101" s="1148" t="s">
        <v>1885</v>
      </c>
      <c r="C101" s="1123"/>
      <c r="D101" s="1124"/>
      <c r="E101" s="1149">
        <v>3</v>
      </c>
      <c r="F101" s="1147" t="s">
        <v>240</v>
      </c>
      <c r="G101" s="1257">
        <v>450</v>
      </c>
      <c r="H101" s="796">
        <f t="shared" si="33"/>
        <v>1350</v>
      </c>
      <c r="I101" s="797" t="s">
        <v>974</v>
      </c>
      <c r="J101" s="796"/>
      <c r="K101" s="914">
        <f t="shared" si="35"/>
        <v>1350</v>
      </c>
      <c r="L101" s="1014"/>
    </row>
    <row r="102" spans="1:14" s="714" customFormat="1" ht="24" customHeight="1">
      <c r="A102" s="1221"/>
      <c r="B102" s="1219"/>
      <c r="C102" s="1209"/>
      <c r="D102" s="1210"/>
      <c r="E102" s="1211"/>
      <c r="F102" s="1221"/>
      <c r="G102" s="1257"/>
      <c r="H102" s="796"/>
      <c r="I102" s="797"/>
      <c r="J102" s="796"/>
      <c r="K102" s="914"/>
      <c r="L102" s="1014"/>
    </row>
    <row r="103" spans="1:14" s="714" customFormat="1" ht="24" customHeight="1">
      <c r="A103" s="1221" t="s">
        <v>1857</v>
      </c>
      <c r="B103" s="1219" t="s">
        <v>1858</v>
      </c>
      <c r="C103" s="1209"/>
      <c r="D103" s="1210"/>
      <c r="E103" s="1211"/>
      <c r="F103" s="1221"/>
      <c r="G103" s="1257"/>
      <c r="H103" s="796"/>
      <c r="I103" s="1259"/>
      <c r="J103" s="796"/>
      <c r="K103" s="1014"/>
      <c r="L103" s="1014"/>
    </row>
    <row r="104" spans="1:14" s="714" customFormat="1" ht="24" customHeight="1">
      <c r="A104" s="1147"/>
      <c r="B104" s="1148" t="s">
        <v>1859</v>
      </c>
      <c r="C104" s="1123"/>
      <c r="D104" s="1124"/>
      <c r="E104" s="1149">
        <v>4</v>
      </c>
      <c r="F104" s="1147" t="s">
        <v>240</v>
      </c>
      <c r="G104" s="1257">
        <v>1000</v>
      </c>
      <c r="H104" s="796">
        <f t="shared" ref="H104:H105" si="36">ROUND(E104*G104,)</f>
        <v>4000</v>
      </c>
      <c r="I104" s="1259">
        <v>200</v>
      </c>
      <c r="J104" s="796">
        <f t="shared" ref="J104:J105" si="37">ROUND(I104*E104,)</f>
        <v>800</v>
      </c>
      <c r="K104" s="914">
        <f t="shared" ref="K104:K105" si="38">H104+J104</f>
        <v>4800</v>
      </c>
      <c r="L104" s="1014"/>
    </row>
    <row r="105" spans="1:14" s="714" customFormat="1" ht="24" customHeight="1">
      <c r="A105" s="1159"/>
      <c r="B105" s="1160" t="s">
        <v>1860</v>
      </c>
      <c r="C105" s="1161"/>
      <c r="D105" s="1162"/>
      <c r="E105" s="1183"/>
      <c r="F105" s="1159" t="s">
        <v>240</v>
      </c>
      <c r="G105" s="1257">
        <v>6000</v>
      </c>
      <c r="H105" s="796">
        <f t="shared" si="36"/>
        <v>0</v>
      </c>
      <c r="I105" s="1259">
        <v>200</v>
      </c>
      <c r="J105" s="796">
        <f t="shared" si="37"/>
        <v>0</v>
      </c>
      <c r="K105" s="914">
        <f t="shared" si="38"/>
        <v>0</v>
      </c>
      <c r="L105" s="1014"/>
    </row>
    <row r="106" spans="1:14" s="714" customFormat="1" ht="24" customHeight="1">
      <c r="A106" s="1147"/>
      <c r="B106" s="1148" t="s">
        <v>1861</v>
      </c>
      <c r="C106" s="1123"/>
      <c r="D106" s="1124"/>
      <c r="E106" s="1149">
        <v>2</v>
      </c>
      <c r="F106" s="1147" t="s">
        <v>240</v>
      </c>
      <c r="G106" s="849">
        <v>14400</v>
      </c>
      <c r="H106" s="796">
        <f>ROUND(E106*G106,)</f>
        <v>28800</v>
      </c>
      <c r="I106" s="1259">
        <v>200</v>
      </c>
      <c r="J106" s="796">
        <f>ROUND(I106*E106,)</f>
        <v>400</v>
      </c>
      <c r="K106" s="914">
        <f>H106+J106</f>
        <v>29200</v>
      </c>
      <c r="L106" s="1014"/>
    </row>
    <row r="107" spans="1:14" s="714" customFormat="1" ht="24" customHeight="1">
      <c r="A107" s="1147"/>
      <c r="B107" s="1148" t="s">
        <v>957</v>
      </c>
      <c r="C107" s="1123"/>
      <c r="D107" s="1124"/>
      <c r="E107" s="1149"/>
      <c r="F107" s="1147"/>
      <c r="G107" s="1257"/>
      <c r="H107" s="796"/>
      <c r="I107" s="1259"/>
      <c r="J107" s="796"/>
      <c r="K107" s="1014"/>
      <c r="L107" s="1014"/>
    </row>
    <row r="108" spans="1:14" s="714" customFormat="1" ht="24" customHeight="1">
      <c r="A108" s="1147"/>
      <c r="B108" s="1148" t="s">
        <v>1102</v>
      </c>
      <c r="C108" s="1123"/>
      <c r="D108" s="1124"/>
      <c r="E108" s="1149"/>
      <c r="F108" s="1147"/>
      <c r="G108" s="1257"/>
      <c r="H108" s="796"/>
      <c r="I108" s="1259"/>
      <c r="J108" s="796"/>
      <c r="K108" s="1014"/>
      <c r="L108" s="1014"/>
    </row>
    <row r="109" spans="1:14" s="714" customFormat="1" ht="24" customHeight="1">
      <c r="A109" s="1166"/>
      <c r="B109" s="2475" t="str">
        <f>"รวมราคารายการที่ "&amp;A85</f>
        <v>รวมราคารายการที่ 6.4</v>
      </c>
      <c r="C109" s="2476"/>
      <c r="D109" s="2477"/>
      <c r="E109" s="1167"/>
      <c r="F109" s="1167"/>
      <c r="G109" s="1168"/>
      <c r="H109" s="1169">
        <f>SUM(H86:H108)</f>
        <v>233890</v>
      </c>
      <c r="I109" s="1170"/>
      <c r="J109" s="1169">
        <f>SUM(J86:J108)</f>
        <v>13335</v>
      </c>
      <c r="K109" s="1171">
        <f>SUM(K86:K108)</f>
        <v>247225</v>
      </c>
      <c r="L109" s="1171"/>
    </row>
    <row r="110" spans="1:14" s="714" customFormat="1" ht="24" customHeight="1">
      <c r="A110" s="1195">
        <v>6.5</v>
      </c>
      <c r="B110" s="1196" t="s">
        <v>1862</v>
      </c>
      <c r="C110" s="1197"/>
      <c r="D110" s="1198"/>
      <c r="E110" s="1199"/>
      <c r="F110" s="1230"/>
      <c r="G110" s="1201"/>
      <c r="H110" s="788"/>
      <c r="I110" s="789"/>
      <c r="J110" s="788"/>
      <c r="K110" s="1256"/>
      <c r="L110" s="1256"/>
    </row>
    <row r="111" spans="1:14" s="714" customFormat="1" ht="24" customHeight="1">
      <c r="A111" s="1147" t="s">
        <v>1863</v>
      </c>
      <c r="B111" s="1148" t="s">
        <v>1864</v>
      </c>
      <c r="C111" s="1123"/>
      <c r="D111" s="1124"/>
      <c r="E111" s="1149">
        <v>4</v>
      </c>
      <c r="F111" s="1147" t="s">
        <v>240</v>
      </c>
      <c r="G111" s="1140">
        <v>2300</v>
      </c>
      <c r="H111" s="796">
        <f t="shared" ref="H111:H112" si="39">ROUND(E111*G111,)</f>
        <v>9200</v>
      </c>
      <c r="I111" s="797">
        <f>G111*0.1</f>
        <v>230</v>
      </c>
      <c r="J111" s="796">
        <f t="shared" ref="J111:J112" si="40">ROUND(I111*E111,)</f>
        <v>920</v>
      </c>
      <c r="K111" s="914">
        <f t="shared" ref="K111:K112" si="41">H111+J111</f>
        <v>10120</v>
      </c>
      <c r="L111" s="914"/>
    </row>
    <row r="112" spans="1:14" s="714" customFormat="1" ht="24" customHeight="1">
      <c r="A112" s="1147" t="s">
        <v>1865</v>
      </c>
      <c r="B112" s="1148" t="s">
        <v>1866</v>
      </c>
      <c r="C112" s="1123"/>
      <c r="D112" s="1124"/>
      <c r="E112" s="1149">
        <v>4</v>
      </c>
      <c r="F112" s="1147" t="s">
        <v>240</v>
      </c>
      <c r="G112" s="1140">
        <v>3400</v>
      </c>
      <c r="H112" s="796">
        <f t="shared" si="39"/>
        <v>13600</v>
      </c>
      <c r="I112" s="797">
        <f>G112*0.1</f>
        <v>340</v>
      </c>
      <c r="J112" s="796">
        <f t="shared" si="40"/>
        <v>1360</v>
      </c>
      <c r="K112" s="914">
        <f t="shared" si="41"/>
        <v>14960</v>
      </c>
      <c r="L112" s="912"/>
    </row>
    <row r="113" spans="1:12" s="714" customFormat="1" ht="24" customHeight="1">
      <c r="A113" s="1147" t="s">
        <v>1867</v>
      </c>
      <c r="B113" s="1148" t="s">
        <v>1868</v>
      </c>
      <c r="C113" s="1123"/>
      <c r="D113" s="1124"/>
      <c r="E113" s="1149"/>
      <c r="F113" s="1147" t="s">
        <v>240</v>
      </c>
      <c r="G113" s="1140"/>
      <c r="H113" s="796"/>
      <c r="I113" s="797"/>
      <c r="J113" s="796"/>
      <c r="K113" s="914"/>
      <c r="L113" s="912"/>
    </row>
    <row r="114" spans="1:12" s="714" customFormat="1" ht="24" customHeight="1">
      <c r="A114" s="1147"/>
      <c r="B114" s="1148" t="s">
        <v>957</v>
      </c>
      <c r="C114" s="1123"/>
      <c r="D114" s="1124"/>
      <c r="E114" s="1149"/>
      <c r="F114" s="1147"/>
      <c r="G114" s="1140"/>
      <c r="H114" s="854"/>
      <c r="I114" s="855"/>
      <c r="J114" s="854"/>
      <c r="K114" s="912"/>
      <c r="L114" s="912"/>
    </row>
    <row r="115" spans="1:12" s="714" customFormat="1" ht="24" customHeight="1">
      <c r="A115" s="1147"/>
      <c r="B115" s="1148" t="s">
        <v>1102</v>
      </c>
      <c r="C115" s="1123"/>
      <c r="D115" s="1124"/>
      <c r="E115" s="1149"/>
      <c r="F115" s="1147"/>
      <c r="G115" s="1140"/>
      <c r="H115" s="854"/>
      <c r="I115" s="855"/>
      <c r="J115" s="854"/>
      <c r="K115" s="912"/>
      <c r="L115" s="912"/>
    </row>
    <row r="116" spans="1:12" s="714" customFormat="1" ht="24" customHeight="1">
      <c r="A116" s="1038"/>
      <c r="B116" s="1148" t="s">
        <v>1102</v>
      </c>
      <c r="C116" s="1233"/>
      <c r="D116" s="809"/>
      <c r="E116" s="1229"/>
      <c r="F116" s="852"/>
      <c r="G116" s="1140"/>
      <c r="H116" s="854"/>
      <c r="I116" s="855"/>
      <c r="J116" s="854"/>
      <c r="K116" s="912"/>
      <c r="L116" s="912"/>
    </row>
    <row r="117" spans="1:12" s="714" customFormat="1" ht="24" customHeight="1">
      <c r="A117" s="1038"/>
      <c r="B117" s="1301"/>
      <c r="C117" s="1233"/>
      <c r="D117" s="809"/>
      <c r="E117" s="1229"/>
      <c r="F117" s="852"/>
      <c r="G117" s="1140"/>
      <c r="H117" s="854"/>
      <c r="I117" s="855"/>
      <c r="J117" s="854"/>
      <c r="K117" s="912"/>
      <c r="L117" s="912"/>
    </row>
    <row r="118" spans="1:12" s="714" customFormat="1" ht="24" customHeight="1">
      <c r="A118" s="1166"/>
      <c r="B118" s="2475" t="str">
        <f>"รวมราคารายการที่ "&amp;A110</f>
        <v>รวมราคารายการที่ 6.5</v>
      </c>
      <c r="C118" s="2476"/>
      <c r="D118" s="2477"/>
      <c r="E118" s="1167"/>
      <c r="F118" s="1167"/>
      <c r="G118" s="1168"/>
      <c r="H118" s="1169">
        <f>SUM(H111:H117)</f>
        <v>22800</v>
      </c>
      <c r="I118" s="1170"/>
      <c r="J118" s="1169">
        <f>SUM(J111:J117)</f>
        <v>2280</v>
      </c>
      <c r="K118" s="1171">
        <f>SUM(K111:K117)</f>
        <v>25080</v>
      </c>
      <c r="L118" s="1171"/>
    </row>
    <row r="119" spans="1:12" s="714" customFormat="1" ht="24" customHeight="1">
      <c r="A119" s="1207">
        <v>6.6</v>
      </c>
      <c r="B119" s="1208" t="s">
        <v>1264</v>
      </c>
      <c r="C119" s="1209"/>
      <c r="D119" s="1210"/>
      <c r="E119" s="1211"/>
      <c r="F119" s="1221" t="s">
        <v>948</v>
      </c>
      <c r="G119" s="1262" t="s">
        <v>1876</v>
      </c>
      <c r="H119" s="796"/>
      <c r="I119" s="855"/>
      <c r="J119" s="796"/>
      <c r="K119" s="914"/>
      <c r="L119" s="912"/>
    </row>
    <row r="120" spans="1:12" s="714" customFormat="1" ht="24" customHeight="1">
      <c r="A120" s="1221"/>
      <c r="B120" s="1219"/>
      <c r="C120" s="1209"/>
      <c r="D120" s="1210"/>
      <c r="E120" s="1211"/>
      <c r="F120" s="1221"/>
      <c r="G120" s="874"/>
      <c r="H120" s="796"/>
      <c r="I120" s="855"/>
      <c r="J120" s="796"/>
      <c r="K120" s="914"/>
      <c r="L120" s="912"/>
    </row>
    <row r="121" spans="1:12" s="714" customFormat="1" ht="24" customHeight="1">
      <c r="A121" s="1221"/>
      <c r="B121" s="1219"/>
      <c r="C121" s="1209"/>
      <c r="D121" s="1210"/>
      <c r="E121" s="1211"/>
      <c r="F121" s="1221"/>
      <c r="G121" s="874"/>
      <c r="H121" s="796"/>
      <c r="I121" s="855"/>
      <c r="J121" s="796"/>
      <c r="K121" s="914"/>
      <c r="L121" s="912"/>
    </row>
    <row r="122" spans="1:12" s="714" customFormat="1" ht="24" customHeight="1">
      <c r="A122" s="1221"/>
      <c r="B122" s="1219"/>
      <c r="C122" s="1209"/>
      <c r="D122" s="1210"/>
      <c r="E122" s="1211"/>
      <c r="F122" s="1221"/>
      <c r="G122" s="874"/>
      <c r="H122" s="796"/>
      <c r="I122" s="855"/>
      <c r="J122" s="796"/>
      <c r="K122" s="914"/>
      <c r="L122" s="912"/>
    </row>
    <row r="123" spans="1:12" s="714" customFormat="1" ht="24" customHeight="1">
      <c r="A123" s="1221"/>
      <c r="B123" s="1219"/>
      <c r="C123" s="1209"/>
      <c r="D123" s="1210"/>
      <c r="E123" s="1211"/>
      <c r="F123" s="1221"/>
      <c r="G123" s="874"/>
      <c r="H123" s="796"/>
      <c r="I123" s="855"/>
      <c r="J123" s="796"/>
      <c r="K123" s="914"/>
      <c r="L123" s="912"/>
    </row>
    <row r="124" spans="1:12" s="714" customFormat="1" ht="24" customHeight="1">
      <c r="A124" s="1221"/>
      <c r="B124" s="1219"/>
      <c r="C124" s="1209"/>
      <c r="D124" s="1210"/>
      <c r="E124" s="1211"/>
      <c r="F124" s="1221"/>
      <c r="G124" s="874"/>
      <c r="H124" s="796"/>
      <c r="I124" s="855"/>
      <c r="J124" s="796"/>
      <c r="K124" s="914"/>
      <c r="L124" s="912"/>
    </row>
    <row r="125" spans="1:12" s="714" customFormat="1" ht="24" customHeight="1">
      <c r="A125" s="1221"/>
      <c r="B125" s="1219"/>
      <c r="C125" s="1209"/>
      <c r="D125" s="1210"/>
      <c r="E125" s="1211"/>
      <c r="F125" s="1221"/>
      <c r="G125" s="874"/>
      <c r="H125" s="796"/>
      <c r="I125" s="855"/>
      <c r="J125" s="796"/>
      <c r="K125" s="914"/>
      <c r="L125" s="912"/>
    </row>
    <row r="126" spans="1:12" s="714" customFormat="1" ht="24" customHeight="1">
      <c r="A126" s="1221"/>
      <c r="B126" s="1219"/>
      <c r="C126" s="1209"/>
      <c r="D126" s="1210"/>
      <c r="E126" s="1211"/>
      <c r="F126" s="1221"/>
      <c r="G126" s="874"/>
      <c r="H126" s="796"/>
      <c r="I126" s="855"/>
      <c r="J126" s="796"/>
      <c r="K126" s="914"/>
      <c r="L126" s="912"/>
    </row>
    <row r="127" spans="1:12" s="714" customFormat="1" ht="24" customHeight="1">
      <c r="A127" s="1221"/>
      <c r="B127" s="1219"/>
      <c r="C127" s="1209"/>
      <c r="D127" s="1210"/>
      <c r="E127" s="1211"/>
      <c r="F127" s="1221"/>
      <c r="G127" s="874"/>
      <c r="H127" s="796"/>
      <c r="I127" s="855"/>
      <c r="J127" s="796"/>
      <c r="K127" s="914"/>
      <c r="L127" s="912"/>
    </row>
    <row r="128" spans="1:12" s="714" customFormat="1" ht="24" customHeight="1">
      <c r="A128" s="1221"/>
      <c r="B128" s="1219"/>
      <c r="C128" s="1209"/>
      <c r="D128" s="1210"/>
      <c r="E128" s="1211"/>
      <c r="F128" s="1221"/>
      <c r="G128" s="874"/>
      <c r="H128" s="796"/>
      <c r="I128" s="855"/>
      <c r="J128" s="796"/>
      <c r="K128" s="914"/>
      <c r="L128" s="912"/>
    </row>
    <row r="129" spans="1:12" s="714" customFormat="1" ht="24" customHeight="1">
      <c r="A129" s="1221"/>
      <c r="B129" s="1219"/>
      <c r="C129" s="1209"/>
      <c r="D129" s="1210"/>
      <c r="E129" s="1211"/>
      <c r="F129" s="1221"/>
      <c r="G129" s="874"/>
      <c r="H129" s="796"/>
      <c r="I129" s="855"/>
      <c r="J129" s="796"/>
      <c r="K129" s="914"/>
      <c r="L129" s="912"/>
    </row>
    <row r="130" spans="1:12" s="714" customFormat="1" ht="24" customHeight="1">
      <c r="A130" s="1221"/>
      <c r="B130" s="1219"/>
      <c r="C130" s="1209"/>
      <c r="D130" s="1210"/>
      <c r="E130" s="1211"/>
      <c r="F130" s="1221"/>
      <c r="G130" s="874"/>
      <c r="H130" s="796"/>
      <c r="I130" s="855"/>
      <c r="J130" s="796"/>
      <c r="K130" s="914"/>
      <c r="L130" s="912"/>
    </row>
    <row r="131" spans="1:12" s="714" customFormat="1" ht="24" customHeight="1">
      <c r="A131" s="1221"/>
      <c r="B131" s="1219"/>
      <c r="C131" s="1209"/>
      <c r="D131" s="1210"/>
      <c r="E131" s="1211"/>
      <c r="F131" s="1221"/>
      <c r="G131" s="874"/>
      <c r="H131" s="796"/>
      <c r="I131" s="855"/>
      <c r="J131" s="796"/>
      <c r="K131" s="914"/>
      <c r="L131" s="912"/>
    </row>
    <row r="132" spans="1:12" s="714" customFormat="1" ht="24" customHeight="1">
      <c r="A132" s="1221"/>
      <c r="B132" s="1219"/>
      <c r="C132" s="1209"/>
      <c r="D132" s="1210"/>
      <c r="E132" s="1211"/>
      <c r="F132" s="1221"/>
      <c r="G132" s="874"/>
      <c r="H132" s="796"/>
      <c r="I132" s="855"/>
      <c r="J132" s="796"/>
      <c r="K132" s="914"/>
      <c r="L132" s="912"/>
    </row>
    <row r="133" spans="1:12" s="714" customFormat="1" ht="21.3">
      <c r="A133" s="1221"/>
      <c r="B133" s="1219"/>
      <c r="C133" s="1209"/>
      <c r="D133" s="1210"/>
      <c r="E133" s="1211"/>
      <c r="F133" s="1221"/>
      <c r="G133" s="874"/>
      <c r="H133" s="796"/>
      <c r="I133" s="855"/>
      <c r="J133" s="796"/>
      <c r="K133" s="914"/>
      <c r="L133" s="912"/>
    </row>
    <row r="134" spans="1:12" s="714" customFormat="1" ht="21.3">
      <c r="A134" s="1166"/>
      <c r="B134" s="2475" t="str">
        <f>"รวมราคารายการที่ "&amp;A119</f>
        <v>รวมราคารายการที่ 6.6</v>
      </c>
      <c r="C134" s="2476"/>
      <c r="D134" s="2477"/>
      <c r="E134" s="1167"/>
      <c r="F134" s="1167"/>
      <c r="G134" s="1168"/>
      <c r="H134" s="1169">
        <f>SUM(H119:H133)</f>
        <v>0</v>
      </c>
      <c r="I134" s="1170"/>
      <c r="J134" s="1169">
        <f>SUM(J119:J133)</f>
        <v>0</v>
      </c>
      <c r="K134" s="1171">
        <f>SUM(K119:K133)</f>
        <v>0</v>
      </c>
      <c r="L134" s="1171"/>
    </row>
    <row r="135" spans="1:12" s="714" customFormat="1" ht="21.3">
      <c r="A135" s="950"/>
      <c r="E135" s="1234"/>
    </row>
    <row r="136" spans="1:12" s="714" customFormat="1" ht="21.3">
      <c r="A136" s="950"/>
      <c r="E136" s="1234"/>
    </row>
    <row r="137" spans="1:12" s="714" customFormat="1" ht="21.3">
      <c r="A137" s="950"/>
      <c r="E137" s="1234"/>
    </row>
    <row r="138" spans="1:12" s="714" customFormat="1" ht="21.3">
      <c r="A138" s="950"/>
      <c r="E138" s="1234"/>
    </row>
    <row r="139" spans="1:12" s="714" customFormat="1" ht="21.3">
      <c r="A139" s="950"/>
      <c r="E139" s="1234"/>
    </row>
    <row r="140" spans="1:12" s="714" customFormat="1" ht="21.3">
      <c r="A140" s="950"/>
      <c r="E140" s="1234"/>
    </row>
    <row r="141" spans="1:12" s="714" customFormat="1" ht="21.3">
      <c r="A141" s="950"/>
      <c r="E141" s="1234"/>
    </row>
    <row r="142" spans="1:12" s="714" customFormat="1" ht="21.3">
      <c r="A142" s="950"/>
      <c r="E142" s="1234"/>
    </row>
    <row r="143" spans="1:12" s="714" customFormat="1" ht="21.3">
      <c r="A143" s="950"/>
      <c r="E143" s="1234"/>
    </row>
    <row r="144" spans="1:12" s="714" customFormat="1" ht="21.3">
      <c r="A144" s="950"/>
      <c r="E144" s="1234"/>
    </row>
    <row r="145" spans="1:5" s="714" customFormat="1" ht="21.3">
      <c r="A145" s="950"/>
      <c r="E145" s="1234"/>
    </row>
    <row r="146" spans="1:5" s="714" customFormat="1" ht="21.3">
      <c r="A146" s="950"/>
      <c r="E146" s="1234"/>
    </row>
    <row r="147" spans="1:5" s="714" customFormat="1" ht="21.3">
      <c r="A147" s="950"/>
      <c r="E147" s="1234"/>
    </row>
    <row r="148" spans="1:5" s="714" customFormat="1" ht="21.3">
      <c r="A148" s="950"/>
      <c r="E148" s="1234"/>
    </row>
    <row r="149" spans="1:5" s="714" customFormat="1" ht="21.3">
      <c r="A149" s="950"/>
      <c r="E149" s="1234"/>
    </row>
    <row r="150" spans="1:5" s="714" customFormat="1" ht="21.3">
      <c r="A150" s="950"/>
      <c r="E150" s="1234"/>
    </row>
    <row r="151" spans="1:5" s="714" customFormat="1" ht="21.3">
      <c r="A151" s="950"/>
      <c r="E151" s="1234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&amp;Rงานดับเพลิงและป้องกันอัคคีภัย ชั้น 5-อาคารสนับนุน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1AB5C-BE90-4E7D-B4D7-91645203EB5C}">
  <sheetPr>
    <tabColor rgb="FFFF3399"/>
  </sheetPr>
  <dimension ref="A1:O151"/>
  <sheetViews>
    <sheetView showGridLines="0" tabSelected="1" view="pageBreakPreview" topLeftCell="A115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41015625" style="1" customWidth="1"/>
    <col min="13" max="92" width="7.703125" style="1" customWidth="1"/>
    <col min="93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1780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>
        <v>6</v>
      </c>
      <c r="B11" s="1144" t="s">
        <v>1895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/>
      <c r="B12" s="1151" t="str">
        <f>B35</f>
        <v>งานระบบดับเพลิงและป้องกันอัคคีภัย</v>
      </c>
      <c r="C12" s="1123"/>
      <c r="D12" s="1124"/>
      <c r="E12" s="1149"/>
      <c r="F12" s="1150"/>
      <c r="G12" s="710"/>
      <c r="H12" s="711"/>
      <c r="I12" s="712"/>
      <c r="J12" s="711"/>
      <c r="K12" s="1129"/>
      <c r="L12" s="1024"/>
    </row>
    <row r="13" spans="1:12" s="714" customFormat="1" ht="24" customHeight="1">
      <c r="A13" s="1147">
        <f>A36</f>
        <v>6.1</v>
      </c>
      <c r="B13" s="1148" t="str">
        <f>B36</f>
        <v>งานท่อน้ำ (Piping Work)</v>
      </c>
      <c r="C13" s="1123"/>
      <c r="D13" s="1124"/>
      <c r="E13" s="1149">
        <v>1</v>
      </c>
      <c r="F13" s="1150" t="s">
        <v>19</v>
      </c>
      <c r="G13" s="710"/>
      <c r="H13" s="711">
        <f>H59</f>
        <v>971503</v>
      </c>
      <c r="I13" s="712"/>
      <c r="J13" s="711">
        <f>J59</f>
        <v>420614</v>
      </c>
      <c r="K13" s="1129">
        <f t="shared" ref="K13:K18" si="0">SUM(H13:J13)</f>
        <v>1392117</v>
      </c>
      <c r="L13" s="1024"/>
    </row>
    <row r="14" spans="1:12" s="714" customFormat="1" ht="24" customHeight="1">
      <c r="A14" s="1147">
        <f>A60</f>
        <v>6.2</v>
      </c>
      <c r="B14" s="1148" t="str">
        <f>B60</f>
        <v>วาล์วและอุปกรณ์ (Valve &amp; Pipe Accessories)</v>
      </c>
      <c r="C14" s="1123"/>
      <c r="D14" s="1124"/>
      <c r="E14" s="1149">
        <v>1</v>
      </c>
      <c r="F14" s="1150" t="s">
        <v>19</v>
      </c>
      <c r="G14" s="710"/>
      <c r="H14" s="711">
        <f>H76</f>
        <v>212932</v>
      </c>
      <c r="I14" s="712"/>
      <c r="J14" s="711">
        <f>J76</f>
        <v>14000</v>
      </c>
      <c r="K14" s="1129">
        <f t="shared" si="0"/>
        <v>226932</v>
      </c>
      <c r="L14" s="1024"/>
    </row>
    <row r="15" spans="1:12" s="714" customFormat="1" ht="24" customHeight="1">
      <c r="A15" s="1147">
        <f>A77</f>
        <v>6.3</v>
      </c>
      <c r="B15" s="1148" t="str">
        <f>B77</f>
        <v>ระบบหัวกระจายน้ำดับเพลิง (Sprinkler System)</v>
      </c>
      <c r="C15" s="1123"/>
      <c r="D15" s="1124"/>
      <c r="E15" s="1149">
        <v>1</v>
      </c>
      <c r="F15" s="1150" t="s">
        <v>19</v>
      </c>
      <c r="G15" s="710"/>
      <c r="H15" s="711">
        <f>H84</f>
        <v>70812</v>
      </c>
      <c r="I15" s="712"/>
      <c r="J15" s="711">
        <f>J84</f>
        <v>41750</v>
      </c>
      <c r="K15" s="1129">
        <f t="shared" si="0"/>
        <v>112562</v>
      </c>
      <c r="L15" s="1024"/>
    </row>
    <row r="16" spans="1:12" s="714" customFormat="1" ht="24" customHeight="1">
      <c r="A16" s="1230">
        <f>A85</f>
        <v>6.4</v>
      </c>
      <c r="B16" s="1231" t="str">
        <f>B85</f>
        <v>ตู้ดับเพลิงและถังดับเพลิงชนิดมือถือ (Fire Hose Cabinet &amp; Portable Fire Extinguisher)</v>
      </c>
      <c r="C16" s="1197"/>
      <c r="D16" s="1198"/>
      <c r="E16" s="1149">
        <v>1</v>
      </c>
      <c r="F16" s="1200" t="s">
        <v>19</v>
      </c>
      <c r="G16" s="1263"/>
      <c r="H16" s="1264">
        <f>H109</f>
        <v>277090</v>
      </c>
      <c r="I16" s="1265"/>
      <c r="J16" s="1264">
        <f>J109</f>
        <v>13935</v>
      </c>
      <c r="K16" s="1129">
        <f t="shared" si="0"/>
        <v>291025</v>
      </c>
      <c r="L16" s="1266"/>
    </row>
    <row r="17" spans="1:12" s="714" customFormat="1" ht="24" customHeight="1">
      <c r="A17" s="1304">
        <f>A110</f>
        <v>6.5</v>
      </c>
      <c r="B17" s="1160" t="str">
        <f>B110</f>
        <v>ระบบไฟฟ้าและควบคุม (Electrical &amp; Control System) สำหรับระบบป้องกันอัคคีภัย</v>
      </c>
      <c r="C17" s="1161"/>
      <c r="D17" s="1162"/>
      <c r="E17" s="1149">
        <v>1</v>
      </c>
      <c r="F17" s="1163" t="s">
        <v>19</v>
      </c>
      <c r="G17" s="1164"/>
      <c r="H17" s="957">
        <f>H118</f>
        <v>22800</v>
      </c>
      <c r="I17" s="1165"/>
      <c r="J17" s="957">
        <f>J118</f>
        <v>2280</v>
      </c>
      <c r="K17" s="1129">
        <f t="shared" si="0"/>
        <v>25080</v>
      </c>
      <c r="L17" s="954"/>
    </row>
    <row r="18" spans="1:12" s="714" customFormat="1" ht="24" customHeight="1">
      <c r="A18" s="1147">
        <f>A119</f>
        <v>6.6</v>
      </c>
      <c r="B18" s="1148" t="str">
        <f>B119</f>
        <v>ระบบป้องกันไฟและควันลาม (Fire Barrier System)</v>
      </c>
      <c r="C18" s="1123"/>
      <c r="D18" s="1124"/>
      <c r="E18" s="1149">
        <v>1</v>
      </c>
      <c r="F18" s="1150" t="s">
        <v>19</v>
      </c>
      <c r="G18" s="710"/>
      <c r="H18" s="711">
        <f>H134</f>
        <v>0</v>
      </c>
      <c r="I18" s="712"/>
      <c r="J18" s="711">
        <f>J134</f>
        <v>0</v>
      </c>
      <c r="K18" s="1129">
        <f t="shared" si="0"/>
        <v>0</v>
      </c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4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4" s="714" customFormat="1" ht="30" customHeight="1">
      <c r="A34" s="1166"/>
      <c r="B34" s="2475" t="str">
        <f>"รวมราคา"&amp;B11</f>
        <v>รวมราคางานระบบดับเพลิงและป้องกันอัคคีภัย ชั้น 6</v>
      </c>
      <c r="C34" s="2476"/>
      <c r="D34" s="2477"/>
      <c r="E34" s="1167"/>
      <c r="F34" s="1167"/>
      <c r="G34" s="1168"/>
      <c r="H34" s="1169">
        <f>SUM(H12:H33)</f>
        <v>1555137</v>
      </c>
      <c r="I34" s="1170"/>
      <c r="J34" s="1169">
        <f>SUM(J12:J33)</f>
        <v>492579</v>
      </c>
      <c r="K34" s="1171">
        <f>SUM(K12:K33)</f>
        <v>2047716</v>
      </c>
      <c r="L34" s="1171"/>
      <c r="M34" s="729"/>
      <c r="N34" s="729"/>
    </row>
    <row r="35" spans="1:14" s="714" customFormat="1" ht="24" customHeight="1">
      <c r="A35" s="1011"/>
      <c r="B35" s="1173" t="s">
        <v>31</v>
      </c>
      <c r="C35" s="859"/>
      <c r="D35" s="859"/>
      <c r="E35" s="1216"/>
      <c r="F35" s="852"/>
      <c r="G35" s="874"/>
      <c r="H35" s="854"/>
      <c r="I35" s="855"/>
      <c r="J35" s="854"/>
      <c r="K35" s="912"/>
      <c r="L35" s="912"/>
    </row>
    <row r="36" spans="1:14" s="714" customFormat="1" ht="24" customHeight="1">
      <c r="A36" s="1207">
        <v>6.1</v>
      </c>
      <c r="B36" s="1208" t="s">
        <v>1782</v>
      </c>
      <c r="C36" s="1238"/>
      <c r="D36" s="1210"/>
      <c r="E36" s="1211"/>
      <c r="F36" s="1212"/>
      <c r="G36" s="874"/>
      <c r="H36" s="854"/>
      <c r="I36" s="855"/>
      <c r="J36" s="854"/>
      <c r="K36" s="912"/>
      <c r="L36" s="912"/>
    </row>
    <row r="37" spans="1:14" s="714" customFormat="1" ht="24" customHeight="1">
      <c r="A37" s="1159" t="s">
        <v>1783</v>
      </c>
      <c r="B37" s="1160" t="s">
        <v>1878</v>
      </c>
      <c r="C37" s="1161"/>
      <c r="D37" s="1162"/>
      <c r="E37" s="1211"/>
      <c r="F37" s="1163"/>
      <c r="G37" s="1205"/>
      <c r="H37" s="796"/>
      <c r="I37" s="797"/>
      <c r="J37" s="796"/>
      <c r="K37" s="914"/>
      <c r="L37" s="914"/>
    </row>
    <row r="38" spans="1:14" s="714" customFormat="1" ht="24" customHeight="1">
      <c r="A38" s="1147"/>
      <c r="B38" s="1148" t="s">
        <v>1822</v>
      </c>
      <c r="C38" s="1123"/>
      <c r="D38" s="1124"/>
      <c r="E38" s="1287">
        <v>1324</v>
      </c>
      <c r="F38" s="1150" t="s">
        <v>438</v>
      </c>
      <c r="G38" s="1140">
        <v>78</v>
      </c>
      <c r="H38" s="796">
        <f t="shared" ref="H38:H51" si="1">ROUND(E38*G38,)</f>
        <v>103272</v>
      </c>
      <c r="I38" s="797">
        <v>45</v>
      </c>
      <c r="J38" s="796">
        <f t="shared" ref="J38:J51" si="2">ROUND(I38*E38,)</f>
        <v>59580</v>
      </c>
      <c r="K38" s="914">
        <f t="shared" ref="K38:K51" si="3">H38+J38</f>
        <v>162852</v>
      </c>
      <c r="L38" s="914"/>
    </row>
    <row r="39" spans="1:14" s="714" customFormat="1" ht="24" customHeight="1">
      <c r="A39" s="1147"/>
      <c r="B39" s="1148" t="s">
        <v>1186</v>
      </c>
      <c r="C39" s="1123"/>
      <c r="D39" s="1124"/>
      <c r="E39" s="1287">
        <v>145</v>
      </c>
      <c r="F39" s="1150" t="s">
        <v>438</v>
      </c>
      <c r="G39" s="1140">
        <v>105</v>
      </c>
      <c r="H39" s="796">
        <f t="shared" si="1"/>
        <v>15225</v>
      </c>
      <c r="I39" s="855">
        <v>60</v>
      </c>
      <c r="J39" s="796">
        <f t="shared" si="2"/>
        <v>8700</v>
      </c>
      <c r="K39" s="914">
        <f t="shared" si="3"/>
        <v>23925</v>
      </c>
      <c r="L39" s="912"/>
    </row>
    <row r="40" spans="1:14" s="714" customFormat="1" ht="24" customHeight="1">
      <c r="A40" s="1147"/>
      <c r="B40" s="1148" t="s">
        <v>1187</v>
      </c>
      <c r="C40" s="1123"/>
      <c r="D40" s="1124"/>
      <c r="E40" s="1287">
        <v>204</v>
      </c>
      <c r="F40" s="1150" t="s">
        <v>438</v>
      </c>
      <c r="G40" s="1244">
        <v>126</v>
      </c>
      <c r="H40" s="796">
        <f t="shared" si="1"/>
        <v>25704</v>
      </c>
      <c r="I40" s="1176">
        <v>70</v>
      </c>
      <c r="J40" s="796">
        <f t="shared" si="2"/>
        <v>14280</v>
      </c>
      <c r="K40" s="914">
        <f t="shared" si="3"/>
        <v>39984</v>
      </c>
      <c r="L40" s="912"/>
    </row>
    <row r="41" spans="1:14" s="714" customFormat="1" ht="24" customHeight="1">
      <c r="A41" s="1147"/>
      <c r="B41" s="1148" t="s">
        <v>1188</v>
      </c>
      <c r="C41" s="1123"/>
      <c r="D41" s="1124"/>
      <c r="E41" s="1287">
        <v>550</v>
      </c>
      <c r="F41" s="1150" t="s">
        <v>438</v>
      </c>
      <c r="G41" s="1244">
        <v>169</v>
      </c>
      <c r="H41" s="796">
        <f t="shared" si="1"/>
        <v>92950</v>
      </c>
      <c r="I41" s="1176">
        <v>95</v>
      </c>
      <c r="J41" s="796">
        <f t="shared" si="2"/>
        <v>52250</v>
      </c>
      <c r="K41" s="914">
        <f t="shared" si="3"/>
        <v>145200</v>
      </c>
      <c r="L41" s="912"/>
    </row>
    <row r="42" spans="1:14" s="714" customFormat="1" ht="24" customHeight="1">
      <c r="A42" s="1147"/>
      <c r="B42" s="1148" t="s">
        <v>1189</v>
      </c>
      <c r="C42" s="1123"/>
      <c r="D42" s="1124"/>
      <c r="E42" s="1287">
        <v>210</v>
      </c>
      <c r="F42" s="1150" t="s">
        <v>438</v>
      </c>
      <c r="G42" s="1244">
        <v>268</v>
      </c>
      <c r="H42" s="796">
        <f t="shared" si="1"/>
        <v>56280</v>
      </c>
      <c r="I42" s="1176">
        <v>150</v>
      </c>
      <c r="J42" s="796">
        <f t="shared" si="2"/>
        <v>31500</v>
      </c>
      <c r="K42" s="914">
        <f t="shared" si="3"/>
        <v>87780</v>
      </c>
      <c r="L42" s="912"/>
    </row>
    <row r="43" spans="1:14" s="714" customFormat="1" ht="24" customHeight="1">
      <c r="A43" s="1147"/>
      <c r="B43" s="1148" t="s">
        <v>1190</v>
      </c>
      <c r="C43" s="1123"/>
      <c r="D43" s="1124"/>
      <c r="E43" s="1287">
        <v>122</v>
      </c>
      <c r="F43" s="1150" t="s">
        <v>438</v>
      </c>
      <c r="G43" s="1244">
        <v>350</v>
      </c>
      <c r="H43" s="796">
        <f t="shared" si="1"/>
        <v>42700</v>
      </c>
      <c r="I43" s="1176">
        <v>200</v>
      </c>
      <c r="J43" s="796">
        <f t="shared" si="2"/>
        <v>24400</v>
      </c>
      <c r="K43" s="914">
        <f t="shared" si="3"/>
        <v>67100</v>
      </c>
      <c r="L43" s="912"/>
    </row>
    <row r="44" spans="1:14" s="714" customFormat="1" ht="24" customHeight="1">
      <c r="A44" s="1147"/>
      <c r="B44" s="1148" t="s">
        <v>1674</v>
      </c>
      <c r="C44" s="1123"/>
      <c r="D44" s="1124"/>
      <c r="E44" s="1287">
        <v>149</v>
      </c>
      <c r="F44" s="1150" t="s">
        <v>438</v>
      </c>
      <c r="G44" s="1244">
        <v>499</v>
      </c>
      <c r="H44" s="796">
        <f t="shared" si="1"/>
        <v>74351</v>
      </c>
      <c r="I44" s="1176">
        <v>280</v>
      </c>
      <c r="J44" s="796">
        <f t="shared" si="2"/>
        <v>41720</v>
      </c>
      <c r="K44" s="914">
        <f t="shared" si="3"/>
        <v>116071</v>
      </c>
      <c r="L44" s="912"/>
    </row>
    <row r="45" spans="1:14" s="714" customFormat="1" ht="24" customHeight="1">
      <c r="A45" s="1147"/>
      <c r="B45" s="1148" t="s">
        <v>1675</v>
      </c>
      <c r="C45" s="1123"/>
      <c r="D45" s="1124"/>
      <c r="E45" s="1287">
        <v>82</v>
      </c>
      <c r="F45" s="1150" t="s">
        <v>438</v>
      </c>
      <c r="G45" s="1244">
        <v>877</v>
      </c>
      <c r="H45" s="796">
        <f t="shared" si="1"/>
        <v>71914</v>
      </c>
      <c r="I45" s="1176">
        <v>500</v>
      </c>
      <c r="J45" s="796">
        <f t="shared" si="2"/>
        <v>41000</v>
      </c>
      <c r="K45" s="914">
        <f t="shared" si="3"/>
        <v>112914</v>
      </c>
      <c r="L45" s="912"/>
    </row>
    <row r="46" spans="1:14" s="714" customFormat="1" ht="24" customHeight="1">
      <c r="A46" s="1147"/>
      <c r="B46" s="1148" t="s">
        <v>1676</v>
      </c>
      <c r="C46" s="1123"/>
      <c r="D46" s="1124"/>
      <c r="E46" s="1254"/>
      <c r="F46" s="1150" t="s">
        <v>438</v>
      </c>
      <c r="G46" s="1244">
        <v>1361</v>
      </c>
      <c r="H46" s="796">
        <f t="shared" si="1"/>
        <v>0</v>
      </c>
      <c r="I46" s="1176">
        <v>560</v>
      </c>
      <c r="J46" s="796">
        <f t="shared" si="2"/>
        <v>0</v>
      </c>
      <c r="K46" s="914">
        <f t="shared" si="3"/>
        <v>0</v>
      </c>
      <c r="L46" s="912"/>
    </row>
    <row r="47" spans="1:14" s="714" customFormat="1" ht="24" customHeight="1">
      <c r="A47" s="1147"/>
      <c r="B47" s="1148" t="s">
        <v>1790</v>
      </c>
      <c r="C47" s="1123"/>
      <c r="D47" s="1124"/>
      <c r="E47" s="1254"/>
      <c r="F47" s="1150" t="s">
        <v>438</v>
      </c>
      <c r="G47" s="1244">
        <v>2212</v>
      </c>
      <c r="H47" s="796">
        <f t="shared" si="1"/>
        <v>0</v>
      </c>
      <c r="I47" s="1176">
        <v>700</v>
      </c>
      <c r="J47" s="796">
        <f t="shared" si="2"/>
        <v>0</v>
      </c>
      <c r="K47" s="914">
        <f t="shared" si="3"/>
        <v>0</v>
      </c>
      <c r="L47" s="912"/>
    </row>
    <row r="48" spans="1:14" s="714" customFormat="1" ht="24" customHeight="1">
      <c r="A48" s="1147"/>
      <c r="B48" s="1148" t="s">
        <v>1645</v>
      </c>
      <c r="C48" s="1123"/>
      <c r="D48" s="1124"/>
      <c r="E48" s="1245">
        <v>1</v>
      </c>
      <c r="F48" s="935" t="s">
        <v>948</v>
      </c>
      <c r="G48" s="1244">
        <f>ROUND(SUM(H38:H47)*40%,)</f>
        <v>192958</v>
      </c>
      <c r="H48" s="796">
        <f t="shared" si="1"/>
        <v>192958</v>
      </c>
      <c r="I48" s="1176">
        <f>ROUND(G48*0.3,)</f>
        <v>57887</v>
      </c>
      <c r="J48" s="796">
        <f t="shared" si="2"/>
        <v>57887</v>
      </c>
      <c r="K48" s="914">
        <f t="shared" si="3"/>
        <v>250845</v>
      </c>
      <c r="L48" s="912"/>
    </row>
    <row r="49" spans="1:15" s="714" customFormat="1" ht="24" customHeight="1">
      <c r="A49" s="1147"/>
      <c r="B49" s="1148" t="s">
        <v>1646</v>
      </c>
      <c r="C49" s="1123"/>
      <c r="D49" s="1124"/>
      <c r="E49" s="1245">
        <v>1</v>
      </c>
      <c r="F49" s="935" t="s">
        <v>948</v>
      </c>
      <c r="G49" s="1244">
        <f>ROUND(SUM(H38:H47)*20%,)</f>
        <v>96479</v>
      </c>
      <c r="H49" s="796">
        <f t="shared" si="1"/>
        <v>96479</v>
      </c>
      <c r="I49" s="1176">
        <f t="shared" ref="I49:I51" si="4">ROUND(G49*0.3,)</f>
        <v>28944</v>
      </c>
      <c r="J49" s="796">
        <f t="shared" si="2"/>
        <v>28944</v>
      </c>
      <c r="K49" s="914">
        <f t="shared" si="3"/>
        <v>125423</v>
      </c>
      <c r="L49" s="912"/>
    </row>
    <row r="50" spans="1:15" s="714" customFormat="1" ht="24" customHeight="1">
      <c r="A50" s="1147"/>
      <c r="B50" s="1148" t="s">
        <v>1647</v>
      </c>
      <c r="C50" s="1123"/>
      <c r="D50" s="1124"/>
      <c r="E50" s="1245">
        <v>1</v>
      </c>
      <c r="F50" s="935" t="s">
        <v>948</v>
      </c>
      <c r="G50" s="1244">
        <f>ROUND(SUM(H38:H47)*10%,)</f>
        <v>48240</v>
      </c>
      <c r="H50" s="796">
        <f t="shared" si="1"/>
        <v>48240</v>
      </c>
      <c r="I50" s="1176">
        <f t="shared" si="4"/>
        <v>14472</v>
      </c>
      <c r="J50" s="796">
        <f t="shared" si="2"/>
        <v>14472</v>
      </c>
      <c r="K50" s="914">
        <f t="shared" si="3"/>
        <v>62712</v>
      </c>
      <c r="L50" s="912"/>
    </row>
    <row r="51" spans="1:15" s="714" customFormat="1" ht="24" customHeight="1">
      <c r="A51" s="1159"/>
      <c r="B51" s="1148" t="s">
        <v>1791</v>
      </c>
      <c r="C51" s="1123"/>
      <c r="D51" s="1124"/>
      <c r="E51" s="1245">
        <v>1</v>
      </c>
      <c r="F51" s="935" t="s">
        <v>948</v>
      </c>
      <c r="G51" s="1244">
        <f>ROUND(SUM(H38:H47)*30%,)</f>
        <v>144719</v>
      </c>
      <c r="H51" s="796">
        <f t="shared" si="1"/>
        <v>144719</v>
      </c>
      <c r="I51" s="1176">
        <f t="shared" si="4"/>
        <v>43416</v>
      </c>
      <c r="J51" s="796">
        <f t="shared" si="2"/>
        <v>43416</v>
      </c>
      <c r="K51" s="914">
        <f t="shared" si="3"/>
        <v>188135</v>
      </c>
      <c r="L51" s="912"/>
    </row>
    <row r="52" spans="1:15" s="714" customFormat="1" ht="24" customHeight="1">
      <c r="A52" s="1159" t="s">
        <v>1792</v>
      </c>
      <c r="B52" s="1160" t="s">
        <v>1793</v>
      </c>
      <c r="C52" s="1161"/>
      <c r="D52" s="1162"/>
      <c r="E52" s="1245"/>
      <c r="F52" s="1163"/>
      <c r="G52" s="1205"/>
      <c r="H52" s="796"/>
      <c r="I52" s="797"/>
      <c r="J52" s="796"/>
      <c r="K52" s="914"/>
      <c r="L52" s="914"/>
    </row>
    <row r="53" spans="1:15" s="714" customFormat="1" ht="24" customHeight="1">
      <c r="A53" s="1147"/>
      <c r="B53" s="1148" t="s">
        <v>1185</v>
      </c>
      <c r="C53" s="1123"/>
      <c r="D53" s="1124"/>
      <c r="E53" s="1245">
        <v>5</v>
      </c>
      <c r="F53" s="1150" t="s">
        <v>438</v>
      </c>
      <c r="G53" s="1140">
        <v>124</v>
      </c>
      <c r="H53" s="796">
        <f>ROUND(E53*G53,)</f>
        <v>620</v>
      </c>
      <c r="I53" s="797">
        <v>50</v>
      </c>
      <c r="J53" s="796">
        <f t="shared" ref="J53:J57" si="5">ROUND(I53*E53,)</f>
        <v>250</v>
      </c>
      <c r="K53" s="914">
        <f t="shared" ref="K53:K57" si="6">H53+J53</f>
        <v>870</v>
      </c>
      <c r="L53" s="2273" t="s">
        <v>2974</v>
      </c>
      <c r="N53" s="714">
        <v>745.96</v>
      </c>
      <c r="O53" s="714">
        <f>ROUND(N53/6,)</f>
        <v>124</v>
      </c>
    </row>
    <row r="54" spans="1:15" s="714" customFormat="1" ht="24" customHeight="1">
      <c r="A54" s="1147"/>
      <c r="B54" s="1148" t="s">
        <v>1188</v>
      </c>
      <c r="C54" s="1123"/>
      <c r="D54" s="1124"/>
      <c r="E54" s="1245">
        <v>12</v>
      </c>
      <c r="F54" s="1150" t="s">
        <v>438</v>
      </c>
      <c r="G54" s="1140">
        <v>259</v>
      </c>
      <c r="H54" s="796">
        <f t="shared" ref="H54:H57" si="7">ROUND(E54*G54,)</f>
        <v>3108</v>
      </c>
      <c r="I54" s="855">
        <v>110</v>
      </c>
      <c r="J54" s="796">
        <f t="shared" si="5"/>
        <v>1320</v>
      </c>
      <c r="K54" s="914">
        <f t="shared" si="6"/>
        <v>4428</v>
      </c>
      <c r="L54" s="2273" t="s">
        <v>2974</v>
      </c>
      <c r="N54" s="714">
        <v>1554.48</v>
      </c>
      <c r="O54" s="714">
        <f>ROUND(N54/6,)</f>
        <v>259</v>
      </c>
    </row>
    <row r="55" spans="1:15" s="714" customFormat="1" ht="24" customHeight="1">
      <c r="A55" s="1147"/>
      <c r="B55" s="1148" t="s">
        <v>1645</v>
      </c>
      <c r="C55" s="1123"/>
      <c r="D55" s="1124"/>
      <c r="E55" s="1254">
        <v>1</v>
      </c>
      <c r="F55" s="935" t="s">
        <v>948</v>
      </c>
      <c r="G55" s="1244">
        <f>ROUND(SUM(H53:H54)*50%,)</f>
        <v>1864</v>
      </c>
      <c r="H55" s="796">
        <f t="shared" si="7"/>
        <v>1864</v>
      </c>
      <c r="I55" s="1176">
        <f>ROUND(G55*0.3,)</f>
        <v>559</v>
      </c>
      <c r="J55" s="796">
        <f t="shared" si="5"/>
        <v>559</v>
      </c>
      <c r="K55" s="914">
        <f t="shared" si="6"/>
        <v>2423</v>
      </c>
      <c r="L55" s="912"/>
    </row>
    <row r="56" spans="1:15" s="714" customFormat="1" ht="24" customHeight="1">
      <c r="A56" s="1147"/>
      <c r="B56" s="1148" t="s">
        <v>1646</v>
      </c>
      <c r="C56" s="1123"/>
      <c r="D56" s="1124"/>
      <c r="E56" s="1254">
        <v>1</v>
      </c>
      <c r="F56" s="935" t="s">
        <v>948</v>
      </c>
      <c r="G56" s="1244">
        <f>ROUND(SUM(H53:H54)*20%,)</f>
        <v>746</v>
      </c>
      <c r="H56" s="796">
        <f t="shared" si="7"/>
        <v>746</v>
      </c>
      <c r="I56" s="1176">
        <f t="shared" ref="I56:I57" si="8">ROUND(G56*0.3,)</f>
        <v>224</v>
      </c>
      <c r="J56" s="796">
        <f t="shared" si="5"/>
        <v>224</v>
      </c>
      <c r="K56" s="914">
        <f t="shared" si="6"/>
        <v>970</v>
      </c>
      <c r="L56" s="912"/>
    </row>
    <row r="57" spans="1:15" s="714" customFormat="1" ht="24" customHeight="1">
      <c r="A57" s="1147"/>
      <c r="B57" s="1148" t="s">
        <v>1647</v>
      </c>
      <c r="C57" s="1123"/>
      <c r="D57" s="1124"/>
      <c r="E57" s="1254">
        <v>1</v>
      </c>
      <c r="F57" s="935" t="s">
        <v>948</v>
      </c>
      <c r="G57" s="1244">
        <f>ROUND(SUM(H53:H54)*10%,)</f>
        <v>373</v>
      </c>
      <c r="H57" s="796">
        <f t="shared" si="7"/>
        <v>373</v>
      </c>
      <c r="I57" s="1176">
        <f t="shared" si="8"/>
        <v>112</v>
      </c>
      <c r="J57" s="796">
        <f t="shared" si="5"/>
        <v>112</v>
      </c>
      <c r="K57" s="914">
        <f t="shared" si="6"/>
        <v>485</v>
      </c>
      <c r="L57" s="912"/>
    </row>
    <row r="58" spans="1:15" s="714" customFormat="1" ht="24" customHeight="1">
      <c r="A58" s="1147"/>
      <c r="B58" s="1148" t="s">
        <v>957</v>
      </c>
      <c r="C58" s="1123"/>
      <c r="D58" s="1124"/>
      <c r="E58" s="1240"/>
      <c r="F58" s="1150"/>
      <c r="G58" s="1140"/>
      <c r="H58" s="854"/>
      <c r="I58" s="855"/>
      <c r="J58" s="854"/>
      <c r="K58" s="912"/>
      <c r="L58" s="912"/>
    </row>
    <row r="59" spans="1:15" s="714" customFormat="1" ht="24" customHeight="1">
      <c r="A59" s="1166"/>
      <c r="B59" s="2475" t="str">
        <f>"รวมราคารายการที่ "&amp;A36</f>
        <v>รวมราคารายการที่ 6.1</v>
      </c>
      <c r="C59" s="2476"/>
      <c r="D59" s="2477"/>
      <c r="E59" s="1248"/>
      <c r="F59" s="1167"/>
      <c r="G59" s="1168"/>
      <c r="H59" s="1169">
        <f>SUM(H37:H58)</f>
        <v>971503</v>
      </c>
      <c r="I59" s="1170"/>
      <c r="J59" s="1169">
        <f>SUM(J37:J58)</f>
        <v>420614</v>
      </c>
      <c r="K59" s="1171">
        <f>SUM(K37:K58)</f>
        <v>1392117</v>
      </c>
      <c r="L59" s="1171"/>
    </row>
    <row r="60" spans="1:15" s="714" customFormat="1" ht="24" customHeight="1">
      <c r="A60" s="1207">
        <v>6.2</v>
      </c>
      <c r="B60" s="1208" t="s">
        <v>1794</v>
      </c>
      <c r="C60" s="1209"/>
      <c r="D60" s="1210"/>
      <c r="E60" s="1239"/>
      <c r="F60" s="1212"/>
      <c r="G60" s="874"/>
      <c r="H60" s="854"/>
      <c r="I60" s="855"/>
      <c r="J60" s="854"/>
      <c r="K60" s="912"/>
      <c r="L60" s="912"/>
    </row>
    <row r="61" spans="1:15" s="714" customFormat="1" ht="24" customHeight="1">
      <c r="A61" s="1147" t="s">
        <v>1795</v>
      </c>
      <c r="B61" s="1148" t="s">
        <v>1823</v>
      </c>
      <c r="C61" s="1123"/>
      <c r="D61" s="1124"/>
      <c r="E61" s="1240"/>
      <c r="F61" s="1150"/>
      <c r="G61" s="1140"/>
      <c r="H61" s="796">
        <f t="shared" ref="H61:H62" si="9">ROUND(E61*G61,)</f>
        <v>0</v>
      </c>
      <c r="I61" s="855"/>
      <c r="J61" s="796">
        <f t="shared" ref="J61:J62" si="10">ROUND(I61*E61,)</f>
        <v>0</v>
      </c>
      <c r="K61" s="912"/>
      <c r="L61" s="912"/>
    </row>
    <row r="62" spans="1:15" s="714" customFormat="1" ht="24" customHeight="1">
      <c r="A62" s="1147"/>
      <c r="B62" s="1148" t="s">
        <v>1185</v>
      </c>
      <c r="C62" s="1123"/>
      <c r="D62" s="1124"/>
      <c r="E62" s="1240">
        <v>8</v>
      </c>
      <c r="F62" s="1150" t="s">
        <v>240</v>
      </c>
      <c r="G62" s="1140">
        <v>400</v>
      </c>
      <c r="H62" s="796">
        <f t="shared" si="9"/>
        <v>3200</v>
      </c>
      <c r="I62" s="855">
        <v>200</v>
      </c>
      <c r="J62" s="796">
        <f t="shared" si="10"/>
        <v>1600</v>
      </c>
      <c r="K62" s="914">
        <f t="shared" ref="K62" si="11">H62+J62</f>
        <v>4800</v>
      </c>
      <c r="L62" s="912"/>
    </row>
    <row r="63" spans="1:15" s="714" customFormat="1" ht="24" customHeight="1">
      <c r="A63" s="1147" t="s">
        <v>1797</v>
      </c>
      <c r="B63" s="1148" t="s">
        <v>1824</v>
      </c>
      <c r="C63" s="1123"/>
      <c r="D63" s="1124"/>
      <c r="E63" s="1240"/>
      <c r="F63" s="1150"/>
      <c r="G63" s="1140"/>
      <c r="H63" s="854"/>
      <c r="I63" s="855"/>
      <c r="J63" s="854"/>
      <c r="K63" s="912"/>
      <c r="L63" s="912"/>
    </row>
    <row r="64" spans="1:15" s="714" customFormat="1" ht="24" customHeight="1">
      <c r="A64" s="1147"/>
      <c r="B64" s="1148" t="s">
        <v>1675</v>
      </c>
      <c r="C64" s="1123"/>
      <c r="D64" s="1124"/>
      <c r="E64" s="1240">
        <v>4</v>
      </c>
      <c r="F64" s="1150" t="s">
        <v>240</v>
      </c>
      <c r="G64" s="1140">
        <v>13100</v>
      </c>
      <c r="H64" s="796">
        <f t="shared" ref="H64:H67" si="12">ROUND(E64*G64,)</f>
        <v>52400</v>
      </c>
      <c r="I64" s="855">
        <v>1200</v>
      </c>
      <c r="J64" s="796">
        <f t="shared" ref="J64:J67" si="13">ROUND(I64*E64,)</f>
        <v>4800</v>
      </c>
      <c r="K64" s="914">
        <f t="shared" ref="K64:K67" si="14">H64+J64</f>
        <v>57200</v>
      </c>
      <c r="L64" s="912"/>
    </row>
    <row r="65" spans="1:12" s="714" customFormat="1" ht="24" customHeight="1">
      <c r="A65" s="1147" t="s">
        <v>1799</v>
      </c>
      <c r="B65" s="1148" t="s">
        <v>1825</v>
      </c>
      <c r="C65" s="1123"/>
      <c r="D65" s="1124"/>
      <c r="E65" s="1240"/>
      <c r="F65" s="1150"/>
      <c r="G65" s="1140"/>
      <c r="H65" s="796"/>
      <c r="I65" s="855"/>
      <c r="J65" s="796"/>
      <c r="K65" s="914"/>
      <c r="L65" s="912"/>
    </row>
    <row r="66" spans="1:12" s="714" customFormat="1" ht="24" customHeight="1">
      <c r="A66" s="1147"/>
      <c r="B66" s="1148" t="s">
        <v>1788</v>
      </c>
      <c r="C66" s="1123"/>
      <c r="D66" s="1124"/>
      <c r="E66" s="1240">
        <v>4</v>
      </c>
      <c r="F66" s="1150" t="s">
        <v>240</v>
      </c>
      <c r="G66" s="1140">
        <v>1963</v>
      </c>
      <c r="H66" s="796">
        <f t="shared" ref="H66" si="15">ROUND(E66*G66,)</f>
        <v>7852</v>
      </c>
      <c r="I66" s="855">
        <v>400</v>
      </c>
      <c r="J66" s="796">
        <f t="shared" ref="J66" si="16">ROUND(I66*E66,)</f>
        <v>1600</v>
      </c>
      <c r="K66" s="914">
        <f t="shared" ref="K66" si="17">H66+J66</f>
        <v>9452</v>
      </c>
      <c r="L66" s="912"/>
    </row>
    <row r="67" spans="1:12" s="714" customFormat="1" ht="24" customHeight="1">
      <c r="A67" s="1147" t="s">
        <v>1801</v>
      </c>
      <c r="B67" s="1148" t="s">
        <v>1826</v>
      </c>
      <c r="C67" s="1123"/>
      <c r="D67" s="1124"/>
      <c r="E67" s="1240">
        <v>4</v>
      </c>
      <c r="F67" s="1150" t="s">
        <v>240</v>
      </c>
      <c r="G67" s="1140">
        <v>900</v>
      </c>
      <c r="H67" s="796">
        <f t="shared" si="12"/>
        <v>3600</v>
      </c>
      <c r="I67" s="855">
        <v>100</v>
      </c>
      <c r="J67" s="796">
        <f t="shared" si="13"/>
        <v>400</v>
      </c>
      <c r="K67" s="914">
        <f t="shared" si="14"/>
        <v>4000</v>
      </c>
      <c r="L67" s="912"/>
    </row>
    <row r="68" spans="1:12" s="714" customFormat="1" ht="24" customHeight="1">
      <c r="A68" s="1147" t="s">
        <v>1803</v>
      </c>
      <c r="B68" s="1148" t="s">
        <v>1827</v>
      </c>
      <c r="C68" s="1123"/>
      <c r="D68" s="1124"/>
      <c r="E68" s="1240"/>
      <c r="F68" s="1150"/>
      <c r="G68" s="1140"/>
      <c r="H68" s="854"/>
      <c r="I68" s="855"/>
      <c r="J68" s="854"/>
      <c r="K68" s="912"/>
      <c r="L68" s="912"/>
    </row>
    <row r="69" spans="1:12" s="714" customFormat="1" ht="24" customHeight="1">
      <c r="A69" s="1147"/>
      <c r="B69" s="1148" t="s">
        <v>1675</v>
      </c>
      <c r="C69" s="1123"/>
      <c r="D69" s="1124"/>
      <c r="E69" s="1240">
        <v>4</v>
      </c>
      <c r="F69" s="1150" t="s">
        <v>240</v>
      </c>
      <c r="G69" s="1140">
        <v>17400</v>
      </c>
      <c r="H69" s="796">
        <f t="shared" ref="H69" si="18">ROUND(E69*G69,)</f>
        <v>69600</v>
      </c>
      <c r="I69" s="855">
        <v>1200</v>
      </c>
      <c r="J69" s="796">
        <f t="shared" ref="J69" si="19">ROUND(I69*E69,)</f>
        <v>4800</v>
      </c>
      <c r="K69" s="914">
        <f t="shared" ref="K69" si="20">H69+J69</f>
        <v>74400</v>
      </c>
      <c r="L69" s="912"/>
    </row>
    <row r="70" spans="1:12" s="714" customFormat="1" ht="24" customHeight="1">
      <c r="A70" s="1147" t="s">
        <v>1805</v>
      </c>
      <c r="B70" s="1148" t="s">
        <v>1717</v>
      </c>
      <c r="C70" s="1123"/>
      <c r="D70" s="1124"/>
      <c r="E70" s="1240"/>
      <c r="F70" s="1150"/>
      <c r="G70" s="1140"/>
      <c r="H70" s="854"/>
      <c r="I70" s="855"/>
      <c r="J70" s="854"/>
      <c r="K70" s="912"/>
      <c r="L70" s="912"/>
    </row>
    <row r="71" spans="1:12" s="714" customFormat="1" ht="24" customHeight="1">
      <c r="A71" s="1147"/>
      <c r="B71" s="1148" t="s">
        <v>1785</v>
      </c>
      <c r="C71" s="1123"/>
      <c r="D71" s="1124"/>
      <c r="E71" s="1240">
        <v>4</v>
      </c>
      <c r="F71" s="1150" t="s">
        <v>240</v>
      </c>
      <c r="G71" s="1140">
        <v>1010</v>
      </c>
      <c r="H71" s="796">
        <f t="shared" ref="H71" si="21">ROUND(E71*G71,)</f>
        <v>4040</v>
      </c>
      <c r="I71" s="855">
        <v>100</v>
      </c>
      <c r="J71" s="796">
        <f t="shared" ref="J71" si="22">ROUND(I71*E71,)</f>
        <v>400</v>
      </c>
      <c r="K71" s="914">
        <f t="shared" ref="K71" si="23">H71+J71</f>
        <v>4440</v>
      </c>
      <c r="L71" s="912"/>
    </row>
    <row r="72" spans="1:12" s="714" customFormat="1" ht="24" customHeight="1">
      <c r="A72" s="1147" t="s">
        <v>1807</v>
      </c>
      <c r="B72" s="1148" t="s">
        <v>1806</v>
      </c>
      <c r="C72" s="1123"/>
      <c r="D72" s="1124"/>
      <c r="E72" s="1240"/>
      <c r="F72" s="1150"/>
      <c r="G72" s="1140"/>
      <c r="H72" s="854"/>
      <c r="I72" s="855"/>
      <c r="J72" s="854"/>
      <c r="K72" s="912"/>
      <c r="L72" s="912"/>
    </row>
    <row r="73" spans="1:12" s="714" customFormat="1" ht="24" customHeight="1">
      <c r="A73" s="1147"/>
      <c r="B73" s="1148" t="s">
        <v>1785</v>
      </c>
      <c r="C73" s="1123"/>
      <c r="D73" s="1124"/>
      <c r="E73" s="1240">
        <v>4</v>
      </c>
      <c r="F73" s="1150" t="s">
        <v>240</v>
      </c>
      <c r="G73" s="1249">
        <v>18060</v>
      </c>
      <c r="H73" s="796">
        <f t="shared" ref="H73" si="24">ROUND(E73*G73,)</f>
        <v>72240</v>
      </c>
      <c r="I73" s="855">
        <v>100</v>
      </c>
      <c r="J73" s="796">
        <f t="shared" ref="J73" si="25">ROUND(I73*E73,)</f>
        <v>400</v>
      </c>
      <c r="K73" s="914">
        <f t="shared" ref="K73" si="26">H73+J73</f>
        <v>72640</v>
      </c>
      <c r="L73" s="912"/>
    </row>
    <row r="74" spans="1:12" s="714" customFormat="1" ht="24" customHeight="1">
      <c r="A74" s="1147"/>
      <c r="B74" s="1148" t="s">
        <v>957</v>
      </c>
      <c r="C74" s="1123"/>
      <c r="D74" s="1124"/>
      <c r="E74" s="1240"/>
      <c r="F74" s="1150"/>
      <c r="G74" s="1140"/>
      <c r="H74" s="854"/>
      <c r="I74" s="855"/>
      <c r="J74" s="854"/>
      <c r="K74" s="912"/>
      <c r="L74" s="912"/>
    </row>
    <row r="75" spans="1:12" s="714" customFormat="1" ht="24" customHeight="1">
      <c r="A75" s="1147"/>
      <c r="B75" s="1148" t="s">
        <v>1102</v>
      </c>
      <c r="C75" s="1123"/>
      <c r="D75" s="1124"/>
      <c r="E75" s="1240"/>
      <c r="F75" s="1150"/>
      <c r="G75" s="1140"/>
      <c r="H75" s="854"/>
      <c r="I75" s="855"/>
      <c r="J75" s="854"/>
      <c r="K75" s="912"/>
      <c r="L75" s="912"/>
    </row>
    <row r="76" spans="1:12" s="714" customFormat="1" ht="24" customHeight="1">
      <c r="A76" s="1166"/>
      <c r="B76" s="2475" t="str">
        <f>"รวมราคารายการที่ "&amp;A60</f>
        <v>รวมราคารายการที่ 6.2</v>
      </c>
      <c r="C76" s="2476"/>
      <c r="D76" s="2477"/>
      <c r="E76" s="1248"/>
      <c r="F76" s="1167"/>
      <c r="G76" s="1168"/>
      <c r="H76" s="1169">
        <f>SUM(H61:H75)</f>
        <v>212932</v>
      </c>
      <c r="I76" s="1170"/>
      <c r="J76" s="1169">
        <f>SUM(J61:J75)</f>
        <v>14000</v>
      </c>
      <c r="K76" s="1171">
        <f>SUM(K61:K75)</f>
        <v>226932</v>
      </c>
      <c r="L76" s="1171"/>
    </row>
    <row r="77" spans="1:12" s="714" customFormat="1" ht="24" customHeight="1">
      <c r="A77" s="1207">
        <v>6.3</v>
      </c>
      <c r="B77" s="1208" t="s">
        <v>1828</v>
      </c>
      <c r="C77" s="1209"/>
      <c r="D77" s="1210"/>
      <c r="E77" s="1239"/>
      <c r="F77" s="1221"/>
      <c r="G77" s="1140"/>
      <c r="H77" s="854"/>
      <c r="I77" s="855"/>
      <c r="J77" s="854"/>
      <c r="K77" s="912"/>
      <c r="L77" s="912"/>
    </row>
    <row r="78" spans="1:12" s="714" customFormat="1" ht="24" customHeight="1">
      <c r="A78" s="1147" t="s">
        <v>1829</v>
      </c>
      <c r="B78" s="1148" t="s">
        <v>1830</v>
      </c>
      <c r="C78" s="1123"/>
      <c r="D78" s="1124"/>
      <c r="E78" s="1240">
        <v>538</v>
      </c>
      <c r="F78" s="1147" t="s">
        <v>240</v>
      </c>
      <c r="G78" s="1140">
        <v>126</v>
      </c>
      <c r="H78" s="796">
        <f t="shared" ref="H78:H81" si="27">ROUND(E78*G78,)</f>
        <v>67788</v>
      </c>
      <c r="I78" s="855">
        <v>75</v>
      </c>
      <c r="J78" s="796">
        <f t="shared" ref="J78:J81" si="28">ROUND(I78*E78,)</f>
        <v>40350</v>
      </c>
      <c r="K78" s="914">
        <f>H78+J78</f>
        <v>108138</v>
      </c>
      <c r="L78" s="912"/>
    </row>
    <row r="79" spans="1:12" s="714" customFormat="1" ht="24" customHeight="1">
      <c r="A79" s="1147" t="s">
        <v>1831</v>
      </c>
      <c r="B79" s="1148" t="s">
        <v>1832</v>
      </c>
      <c r="C79" s="1123"/>
      <c r="D79" s="1124"/>
      <c r="E79" s="1240"/>
      <c r="F79" s="1147" t="s">
        <v>240</v>
      </c>
      <c r="G79" s="1140"/>
      <c r="H79" s="796"/>
      <c r="I79" s="855"/>
      <c r="J79" s="796"/>
      <c r="K79" s="914"/>
      <c r="L79" s="912"/>
    </row>
    <row r="80" spans="1:12" s="714" customFormat="1" ht="24" customHeight="1">
      <c r="A80" s="1147" t="s">
        <v>1833</v>
      </c>
      <c r="B80" s="1148" t="s">
        <v>1881</v>
      </c>
      <c r="C80" s="1123"/>
      <c r="D80" s="1124"/>
      <c r="E80" s="1240"/>
      <c r="F80" s="1147" t="s">
        <v>240</v>
      </c>
      <c r="G80" s="1140"/>
      <c r="H80" s="796"/>
      <c r="I80" s="855"/>
      <c r="J80" s="796"/>
      <c r="K80" s="914"/>
      <c r="L80" s="912"/>
    </row>
    <row r="81" spans="1:14" s="714" customFormat="1" ht="24" customHeight="1">
      <c r="A81" s="1147" t="s">
        <v>1835</v>
      </c>
      <c r="B81" s="1148" t="s">
        <v>1834</v>
      </c>
      <c r="C81" s="1123"/>
      <c r="D81" s="1124"/>
      <c r="E81" s="1240">
        <v>28</v>
      </c>
      <c r="F81" s="1147" t="s">
        <v>240</v>
      </c>
      <c r="G81" s="1140">
        <v>108</v>
      </c>
      <c r="H81" s="796">
        <f t="shared" si="27"/>
        <v>3024</v>
      </c>
      <c r="I81" s="855">
        <v>50</v>
      </c>
      <c r="J81" s="796">
        <f t="shared" si="28"/>
        <v>1400</v>
      </c>
      <c r="K81" s="914">
        <f>H81+J81</f>
        <v>4424</v>
      </c>
      <c r="L81" s="912"/>
    </row>
    <row r="82" spans="1:14" s="714" customFormat="1" ht="24" customHeight="1">
      <c r="A82" s="1147" t="s">
        <v>1837</v>
      </c>
      <c r="B82" s="1148" t="s">
        <v>1882</v>
      </c>
      <c r="C82" s="1123"/>
      <c r="D82" s="1124"/>
      <c r="E82" s="1240"/>
      <c r="F82" s="1147"/>
      <c r="G82" s="1140"/>
      <c r="H82" s="854"/>
      <c r="I82" s="855"/>
      <c r="J82" s="854"/>
      <c r="K82" s="912"/>
      <c r="L82" s="912"/>
    </row>
    <row r="83" spans="1:14" s="714" customFormat="1" ht="24" customHeight="1">
      <c r="A83" s="1147"/>
      <c r="B83" s="1148"/>
      <c r="C83" s="1123"/>
      <c r="D83" s="1124"/>
      <c r="E83" s="1240"/>
      <c r="F83" s="1147"/>
      <c r="G83" s="1140"/>
      <c r="H83" s="854"/>
      <c r="I83" s="855"/>
      <c r="J83" s="854"/>
      <c r="K83" s="912"/>
      <c r="L83" s="912"/>
    </row>
    <row r="84" spans="1:14" s="714" customFormat="1" ht="24" customHeight="1">
      <c r="A84" s="1166"/>
      <c r="B84" s="2475" t="str">
        <f>"รวมราคารายการที่ "&amp;A77</f>
        <v>รวมราคารายการที่ 6.3</v>
      </c>
      <c r="C84" s="2476"/>
      <c r="D84" s="2477"/>
      <c r="E84" s="1248"/>
      <c r="F84" s="1167"/>
      <c r="G84" s="1168"/>
      <c r="H84" s="1169">
        <f>SUM(H78:H83)</f>
        <v>70812</v>
      </c>
      <c r="I84" s="1169"/>
      <c r="J84" s="1169">
        <f>SUM(J78:J83)</f>
        <v>41750</v>
      </c>
      <c r="K84" s="1169">
        <f>SUM(K78:K83)</f>
        <v>112562</v>
      </c>
      <c r="L84" s="1169"/>
    </row>
    <row r="85" spans="1:14" s="714" customFormat="1" ht="24" customHeight="1">
      <c r="A85" s="1195">
        <v>6.4</v>
      </c>
      <c r="B85" s="1196" t="s">
        <v>1844</v>
      </c>
      <c r="C85" s="1197"/>
      <c r="D85" s="1198"/>
      <c r="E85" s="1305"/>
      <c r="F85" s="1230"/>
      <c r="G85" s="1255"/>
      <c r="H85" s="788"/>
      <c r="I85" s="789"/>
      <c r="J85" s="788"/>
      <c r="K85" s="1256"/>
      <c r="L85" s="1256"/>
    </row>
    <row r="86" spans="1:14" s="714" customFormat="1" ht="24" customHeight="1">
      <c r="A86" s="1147" t="s">
        <v>1845</v>
      </c>
      <c r="B86" s="1148" t="s">
        <v>1846</v>
      </c>
      <c r="C86" s="1123"/>
      <c r="D86" s="1124"/>
      <c r="E86" s="1240"/>
      <c r="F86" s="1147"/>
      <c r="G86" s="1257"/>
      <c r="H86" s="796"/>
      <c r="I86" s="797"/>
      <c r="J86" s="796"/>
      <c r="K86" s="914"/>
      <c r="L86" s="914"/>
    </row>
    <row r="87" spans="1:14" s="714" customFormat="1" ht="24" customHeight="1">
      <c r="A87" s="1147"/>
      <c r="B87" s="1148" t="s">
        <v>1847</v>
      </c>
      <c r="C87" s="1123"/>
      <c r="D87" s="1124"/>
      <c r="E87" s="1240">
        <v>5</v>
      </c>
      <c r="F87" s="1147" t="s">
        <v>240</v>
      </c>
      <c r="G87" s="1257">
        <v>3800</v>
      </c>
      <c r="H87" s="796">
        <f t="shared" ref="H87:H93" si="29">ROUND(E87*G87,)</f>
        <v>19000</v>
      </c>
      <c r="I87" s="797">
        <f>G87*0.3</f>
        <v>1140</v>
      </c>
      <c r="J87" s="796">
        <f t="shared" ref="J87" si="30">ROUND(I87*E87,)</f>
        <v>5700</v>
      </c>
      <c r="K87" s="914">
        <f>H87+J87</f>
        <v>24700</v>
      </c>
      <c r="L87" s="914"/>
    </row>
    <row r="88" spans="1:14" s="714" customFormat="1" ht="24" customHeight="1">
      <c r="A88" s="1159"/>
      <c r="B88" s="1160" t="s">
        <v>1848</v>
      </c>
      <c r="C88" s="1161"/>
      <c r="D88" s="1162"/>
      <c r="E88" s="1240">
        <v>5</v>
      </c>
      <c r="F88" s="1159" t="s">
        <v>240</v>
      </c>
      <c r="G88" s="1258">
        <v>890</v>
      </c>
      <c r="H88" s="796">
        <f t="shared" si="29"/>
        <v>4450</v>
      </c>
      <c r="I88" s="797" t="s">
        <v>974</v>
      </c>
      <c r="J88" s="796"/>
      <c r="K88" s="914">
        <f t="shared" ref="K88:K93" si="31">H88+J88</f>
        <v>4450</v>
      </c>
      <c r="L88" s="914"/>
    </row>
    <row r="89" spans="1:14" s="714" customFormat="1" ht="24" customHeight="1">
      <c r="A89" s="1147"/>
      <c r="B89" s="1148" t="s">
        <v>1849</v>
      </c>
      <c r="C89" s="1123"/>
      <c r="D89" s="1124"/>
      <c r="E89" s="1240">
        <v>5</v>
      </c>
      <c r="F89" s="1147" t="s">
        <v>240</v>
      </c>
      <c r="G89" s="1257">
        <v>4200</v>
      </c>
      <c r="H89" s="796">
        <f t="shared" si="29"/>
        <v>21000</v>
      </c>
      <c r="I89" s="797" t="s">
        <v>974</v>
      </c>
      <c r="J89" s="796"/>
      <c r="K89" s="914">
        <f t="shared" si="31"/>
        <v>21000</v>
      </c>
      <c r="L89" s="914"/>
    </row>
    <row r="90" spans="1:14" s="714" customFormat="1" ht="24" customHeight="1">
      <c r="A90" s="1159"/>
      <c r="B90" s="1148" t="s">
        <v>1850</v>
      </c>
      <c r="C90" s="1123"/>
      <c r="D90" s="1124"/>
      <c r="E90" s="1149">
        <v>5</v>
      </c>
      <c r="F90" s="1147" t="s">
        <v>240</v>
      </c>
      <c r="G90" s="1257">
        <v>8000</v>
      </c>
      <c r="H90" s="796">
        <f t="shared" si="29"/>
        <v>40000</v>
      </c>
      <c r="I90" s="797" t="s">
        <v>974</v>
      </c>
      <c r="J90" s="796"/>
      <c r="K90" s="914">
        <f t="shared" si="31"/>
        <v>40000</v>
      </c>
      <c r="L90" s="1014"/>
    </row>
    <row r="91" spans="1:14" s="714" customFormat="1" ht="24" customHeight="1">
      <c r="A91" s="1147"/>
      <c r="B91" s="1148" t="s">
        <v>1851</v>
      </c>
      <c r="C91" s="1123"/>
      <c r="D91" s="1124"/>
      <c r="E91" s="1149">
        <v>5</v>
      </c>
      <c r="F91" s="1147" t="s">
        <v>240</v>
      </c>
      <c r="G91" s="1257">
        <v>5720</v>
      </c>
      <c r="H91" s="796">
        <f t="shared" si="29"/>
        <v>28600</v>
      </c>
      <c r="I91" s="797" t="s">
        <v>974</v>
      </c>
      <c r="J91" s="796"/>
      <c r="K91" s="914">
        <f t="shared" si="31"/>
        <v>28600</v>
      </c>
      <c r="L91" s="912"/>
    </row>
    <row r="92" spans="1:14" s="714" customFormat="1" ht="24" customHeight="1">
      <c r="A92" s="1147"/>
      <c r="B92" s="1148" t="s">
        <v>1852</v>
      </c>
      <c r="C92" s="1123"/>
      <c r="D92" s="1124"/>
      <c r="E92" s="1240">
        <v>5</v>
      </c>
      <c r="F92" s="1147" t="s">
        <v>240</v>
      </c>
      <c r="G92" s="1257">
        <v>820</v>
      </c>
      <c r="H92" s="796">
        <f t="shared" si="29"/>
        <v>4100</v>
      </c>
      <c r="I92" s="797" t="s">
        <v>974</v>
      </c>
      <c r="J92" s="796"/>
      <c r="K92" s="914">
        <f t="shared" si="31"/>
        <v>4100</v>
      </c>
      <c r="L92" s="914"/>
    </row>
    <row r="93" spans="1:14" s="714" customFormat="1" ht="24" customHeight="1">
      <c r="A93" s="1147"/>
      <c r="B93" s="1148" t="s">
        <v>1853</v>
      </c>
      <c r="C93" s="1123"/>
      <c r="D93" s="1124"/>
      <c r="E93" s="1240">
        <v>5</v>
      </c>
      <c r="F93" s="1147" t="s">
        <v>240</v>
      </c>
      <c r="G93" s="1257">
        <v>450</v>
      </c>
      <c r="H93" s="796">
        <f t="shared" si="29"/>
        <v>2250</v>
      </c>
      <c r="I93" s="797" t="s">
        <v>974</v>
      </c>
      <c r="J93" s="796"/>
      <c r="K93" s="914">
        <f t="shared" si="31"/>
        <v>2250</v>
      </c>
      <c r="L93" s="914"/>
    </row>
    <row r="94" spans="1:14" s="714" customFormat="1" ht="24" customHeight="1">
      <c r="A94" s="1147" t="s">
        <v>1854</v>
      </c>
      <c r="B94" s="1148" t="s">
        <v>1855</v>
      </c>
      <c r="C94" s="1123"/>
      <c r="D94" s="1124"/>
      <c r="E94" s="1240"/>
      <c r="F94" s="1147"/>
      <c r="G94" s="1257"/>
      <c r="H94" s="854"/>
      <c r="I94" s="855"/>
      <c r="J94" s="854"/>
      <c r="K94" s="912"/>
      <c r="L94" s="914"/>
      <c r="M94" s="1203"/>
      <c r="N94" s="1203"/>
    </row>
    <row r="95" spans="1:14" s="714" customFormat="1" ht="24" customHeight="1">
      <c r="A95" s="1147"/>
      <c r="B95" s="1148" t="s">
        <v>1856</v>
      </c>
      <c r="C95" s="1123"/>
      <c r="D95" s="1124"/>
      <c r="E95" s="1149">
        <v>3</v>
      </c>
      <c r="F95" s="1147" t="s">
        <v>240</v>
      </c>
      <c r="G95" s="1257">
        <f>6500*1.1</f>
        <v>7150.0000000000009</v>
      </c>
      <c r="H95" s="796">
        <f t="shared" ref="H95:H101" si="32">ROUND(E95*G95,)</f>
        <v>21450</v>
      </c>
      <c r="I95" s="797">
        <f>G95*0.3</f>
        <v>2145</v>
      </c>
      <c r="J95" s="796">
        <f t="shared" ref="J95" si="33">ROUND(I95*E95,)</f>
        <v>6435</v>
      </c>
      <c r="K95" s="914">
        <f>H95+J95</f>
        <v>27885</v>
      </c>
      <c r="L95" s="914"/>
      <c r="M95" s="1203"/>
      <c r="N95" s="1203"/>
    </row>
    <row r="96" spans="1:14" s="714" customFormat="1" ht="24" customHeight="1">
      <c r="A96" s="1159"/>
      <c r="B96" s="1160" t="s">
        <v>1848</v>
      </c>
      <c r="C96" s="1161"/>
      <c r="D96" s="1162"/>
      <c r="E96" s="1149">
        <v>3</v>
      </c>
      <c r="F96" s="1159" t="s">
        <v>240</v>
      </c>
      <c r="G96" s="1258">
        <v>890</v>
      </c>
      <c r="H96" s="796">
        <f t="shared" si="32"/>
        <v>2670</v>
      </c>
      <c r="I96" s="797" t="s">
        <v>974</v>
      </c>
      <c r="J96" s="796"/>
      <c r="K96" s="914">
        <f t="shared" ref="K96:K101" si="34">H96+J96</f>
        <v>2670</v>
      </c>
      <c r="L96" s="914"/>
      <c r="M96" s="1203"/>
      <c r="N96" s="1203"/>
    </row>
    <row r="97" spans="1:14" s="714" customFormat="1" ht="24" customHeight="1">
      <c r="A97" s="1147"/>
      <c r="B97" s="1148" t="s">
        <v>1883</v>
      </c>
      <c r="C97" s="1123"/>
      <c r="D97" s="1124"/>
      <c r="E97" s="1149">
        <v>3</v>
      </c>
      <c r="F97" s="1147" t="s">
        <v>240</v>
      </c>
      <c r="G97" s="1257">
        <v>4200</v>
      </c>
      <c r="H97" s="796">
        <f t="shared" si="32"/>
        <v>12600</v>
      </c>
      <c r="I97" s="797" t="s">
        <v>974</v>
      </c>
      <c r="J97" s="796"/>
      <c r="K97" s="914">
        <f t="shared" si="34"/>
        <v>12600</v>
      </c>
      <c r="L97" s="914"/>
      <c r="M97" s="1203"/>
      <c r="N97" s="1203"/>
    </row>
    <row r="98" spans="1:14" s="714" customFormat="1" ht="24" customHeight="1">
      <c r="A98" s="1159"/>
      <c r="B98" s="1148" t="s">
        <v>1850</v>
      </c>
      <c r="C98" s="1123"/>
      <c r="D98" s="1124"/>
      <c r="E98" s="1149">
        <v>3</v>
      </c>
      <c r="F98" s="1147" t="s">
        <v>240</v>
      </c>
      <c r="G98" s="1257">
        <v>8000</v>
      </c>
      <c r="H98" s="796">
        <f t="shared" si="32"/>
        <v>24000</v>
      </c>
      <c r="I98" s="797" t="s">
        <v>974</v>
      </c>
      <c r="J98" s="796"/>
      <c r="K98" s="914">
        <f t="shared" si="34"/>
        <v>24000</v>
      </c>
      <c r="L98" s="1014"/>
      <c r="M98" s="1203"/>
      <c r="N98" s="1203"/>
    </row>
    <row r="99" spans="1:14" s="714" customFormat="1" ht="24" customHeight="1">
      <c r="A99" s="1147"/>
      <c r="B99" s="1148" t="s">
        <v>1851</v>
      </c>
      <c r="C99" s="1123"/>
      <c r="D99" s="1124"/>
      <c r="E99" s="1149">
        <v>3</v>
      </c>
      <c r="F99" s="1147" t="s">
        <v>240</v>
      </c>
      <c r="G99" s="1257">
        <v>5720</v>
      </c>
      <c r="H99" s="796">
        <f t="shared" si="32"/>
        <v>17160</v>
      </c>
      <c r="I99" s="797" t="s">
        <v>974</v>
      </c>
      <c r="J99" s="796"/>
      <c r="K99" s="914">
        <f t="shared" si="34"/>
        <v>17160</v>
      </c>
      <c r="L99" s="912"/>
    </row>
    <row r="100" spans="1:14" s="714" customFormat="1" ht="24" customHeight="1">
      <c r="A100" s="1147"/>
      <c r="B100" s="1148" t="s">
        <v>1884</v>
      </c>
      <c r="C100" s="1123"/>
      <c r="D100" s="1124"/>
      <c r="E100" s="1149">
        <v>3</v>
      </c>
      <c r="F100" s="1147" t="s">
        <v>240</v>
      </c>
      <c r="G100" s="1257">
        <v>820</v>
      </c>
      <c r="H100" s="796">
        <f t="shared" si="32"/>
        <v>2460</v>
      </c>
      <c r="I100" s="797" t="s">
        <v>974</v>
      </c>
      <c r="J100" s="796"/>
      <c r="K100" s="914">
        <f t="shared" si="34"/>
        <v>2460</v>
      </c>
      <c r="L100" s="914"/>
    </row>
    <row r="101" spans="1:14" s="714" customFormat="1" ht="24" customHeight="1">
      <c r="A101" s="1147"/>
      <c r="B101" s="1148" t="s">
        <v>1885</v>
      </c>
      <c r="C101" s="1123"/>
      <c r="D101" s="1124"/>
      <c r="E101" s="1149">
        <v>3</v>
      </c>
      <c r="F101" s="1147" t="s">
        <v>240</v>
      </c>
      <c r="G101" s="1257">
        <v>450</v>
      </c>
      <c r="H101" s="796">
        <f t="shared" si="32"/>
        <v>1350</v>
      </c>
      <c r="I101" s="797" t="s">
        <v>974</v>
      </c>
      <c r="J101" s="796"/>
      <c r="K101" s="914">
        <f t="shared" si="34"/>
        <v>1350</v>
      </c>
      <c r="L101" s="914"/>
    </row>
    <row r="102" spans="1:14" s="714" customFormat="1" ht="24" customHeight="1">
      <c r="A102" s="1221"/>
      <c r="B102" s="1219"/>
      <c r="C102" s="1209"/>
      <c r="D102" s="1210"/>
      <c r="E102" s="1211"/>
      <c r="F102" s="1221"/>
      <c r="G102" s="1257"/>
      <c r="H102" s="796"/>
      <c r="I102" s="797"/>
      <c r="J102" s="796"/>
      <c r="K102" s="914"/>
      <c r="L102" s="914"/>
    </row>
    <row r="103" spans="1:14" s="714" customFormat="1" ht="24" customHeight="1">
      <c r="A103" s="1221" t="s">
        <v>1857</v>
      </c>
      <c r="B103" s="1219" t="s">
        <v>1858</v>
      </c>
      <c r="C103" s="1209"/>
      <c r="D103" s="1210"/>
      <c r="E103" s="1239"/>
      <c r="F103" s="1221"/>
      <c r="G103" s="1257"/>
      <c r="H103" s="796"/>
      <c r="I103" s="1259"/>
      <c r="J103" s="796"/>
      <c r="K103" s="1014"/>
      <c r="L103" s="914"/>
    </row>
    <row r="104" spans="1:14" s="714" customFormat="1" ht="24" customHeight="1">
      <c r="A104" s="1147"/>
      <c r="B104" s="1148" t="s">
        <v>1859</v>
      </c>
      <c r="C104" s="1123"/>
      <c r="D104" s="1124"/>
      <c r="E104" s="1240">
        <v>4</v>
      </c>
      <c r="F104" s="1147" t="s">
        <v>240</v>
      </c>
      <c r="G104" s="1257">
        <v>1000</v>
      </c>
      <c r="H104" s="796">
        <f t="shared" ref="H104:H105" si="35">ROUND(E104*G104,)</f>
        <v>4000</v>
      </c>
      <c r="I104" s="1259">
        <v>200</v>
      </c>
      <c r="J104" s="796">
        <f t="shared" ref="J104:J105" si="36">ROUND(I104*E104,)</f>
        <v>800</v>
      </c>
      <c r="K104" s="914">
        <f t="shared" ref="K104:K105" si="37">H104+J104</f>
        <v>4800</v>
      </c>
      <c r="L104" s="914"/>
      <c r="M104" s="1203"/>
    </row>
    <row r="105" spans="1:14" s="714" customFormat="1" ht="24" customHeight="1">
      <c r="A105" s="1159"/>
      <c r="B105" s="1160" t="s">
        <v>1860</v>
      </c>
      <c r="C105" s="1161"/>
      <c r="D105" s="1162"/>
      <c r="E105" s="1306"/>
      <c r="F105" s="1159" t="s">
        <v>240</v>
      </c>
      <c r="G105" s="1257">
        <v>6000</v>
      </c>
      <c r="H105" s="796">
        <f t="shared" si="35"/>
        <v>0</v>
      </c>
      <c r="I105" s="1259">
        <v>200</v>
      </c>
      <c r="J105" s="796">
        <f t="shared" si="36"/>
        <v>0</v>
      </c>
      <c r="K105" s="914">
        <f t="shared" si="37"/>
        <v>0</v>
      </c>
      <c r="L105" s="914"/>
    </row>
    <row r="106" spans="1:14" s="714" customFormat="1" ht="24" customHeight="1">
      <c r="A106" s="1147"/>
      <c r="B106" s="1148" t="s">
        <v>1861</v>
      </c>
      <c r="C106" s="1123"/>
      <c r="D106" s="1124"/>
      <c r="E106" s="1240">
        <v>5</v>
      </c>
      <c r="F106" s="1147" t="s">
        <v>240</v>
      </c>
      <c r="G106" s="849">
        <v>14400</v>
      </c>
      <c r="H106" s="796">
        <f>ROUND(E106*G106,)</f>
        <v>72000</v>
      </c>
      <c r="I106" s="1259">
        <v>200</v>
      </c>
      <c r="J106" s="796">
        <f>ROUND(I106*E106,)</f>
        <v>1000</v>
      </c>
      <c r="K106" s="914">
        <f>H106+J106</f>
        <v>73000</v>
      </c>
      <c r="L106" s="914"/>
    </row>
    <row r="107" spans="1:14" s="714" customFormat="1" ht="24" customHeight="1">
      <c r="A107" s="1147"/>
      <c r="B107" s="1148" t="s">
        <v>957</v>
      </c>
      <c r="C107" s="1123"/>
      <c r="D107" s="1124"/>
      <c r="E107" s="1240"/>
      <c r="F107" s="1147"/>
      <c r="G107" s="1257"/>
      <c r="H107" s="796"/>
      <c r="I107" s="1259"/>
      <c r="J107" s="796"/>
      <c r="K107" s="1014"/>
      <c r="L107" s="914"/>
    </row>
    <row r="108" spans="1:14" s="714" customFormat="1" ht="24" customHeight="1">
      <c r="A108" s="1147"/>
      <c r="B108" s="1148" t="s">
        <v>1102</v>
      </c>
      <c r="C108" s="1123"/>
      <c r="D108" s="1124"/>
      <c r="E108" s="1240"/>
      <c r="F108" s="1147"/>
      <c r="G108" s="1257"/>
      <c r="H108" s="796"/>
      <c r="I108" s="1259"/>
      <c r="J108" s="796"/>
      <c r="K108" s="1014"/>
      <c r="L108" s="914"/>
    </row>
    <row r="109" spans="1:14" s="714" customFormat="1" ht="24" customHeight="1">
      <c r="A109" s="1166"/>
      <c r="B109" s="2475" t="str">
        <f>"รวมราคารายการที่ "&amp;A85</f>
        <v>รวมราคารายการที่ 6.4</v>
      </c>
      <c r="C109" s="2476"/>
      <c r="D109" s="2477"/>
      <c r="E109" s="1248"/>
      <c r="F109" s="1167"/>
      <c r="G109" s="1168"/>
      <c r="H109" s="1169">
        <f>SUM(H86:H108)</f>
        <v>277090</v>
      </c>
      <c r="I109" s="1170"/>
      <c r="J109" s="1169">
        <f>SUM(J86:J108)</f>
        <v>13935</v>
      </c>
      <c r="K109" s="1171">
        <f>SUM(K86:K108)</f>
        <v>291025</v>
      </c>
      <c r="L109" s="1307"/>
    </row>
    <row r="110" spans="1:14" s="714" customFormat="1" ht="24" customHeight="1">
      <c r="A110" s="1195">
        <v>6.5</v>
      </c>
      <c r="B110" s="1196" t="s">
        <v>1862</v>
      </c>
      <c r="C110" s="1197"/>
      <c r="D110" s="1198"/>
      <c r="E110" s="1305"/>
      <c r="F110" s="1230"/>
      <c r="G110" s="1201"/>
      <c r="H110" s="788"/>
      <c r="I110" s="789"/>
      <c r="J110" s="788"/>
      <c r="K110" s="1256"/>
      <c r="L110" s="912"/>
    </row>
    <row r="111" spans="1:14" s="714" customFormat="1" ht="24" customHeight="1">
      <c r="A111" s="1147" t="s">
        <v>1863</v>
      </c>
      <c r="B111" s="1148" t="s">
        <v>1864</v>
      </c>
      <c r="C111" s="1123"/>
      <c r="D111" s="1124"/>
      <c r="E111" s="1240">
        <v>4</v>
      </c>
      <c r="F111" s="1147" t="s">
        <v>240</v>
      </c>
      <c r="G111" s="1140">
        <v>2300</v>
      </c>
      <c r="H111" s="796">
        <f t="shared" ref="H111:H112" si="38">ROUND(E111*G111,)</f>
        <v>9200</v>
      </c>
      <c r="I111" s="797">
        <f>G111*0.1</f>
        <v>230</v>
      </c>
      <c r="J111" s="796">
        <f t="shared" ref="J111:J112" si="39">ROUND(I111*E111,)</f>
        <v>920</v>
      </c>
      <c r="K111" s="914">
        <f t="shared" ref="K111:K112" si="40">H111+J111</f>
        <v>10120</v>
      </c>
      <c r="L111" s="912"/>
    </row>
    <row r="112" spans="1:14" s="714" customFormat="1" ht="24" customHeight="1">
      <c r="A112" s="1147" t="s">
        <v>1865</v>
      </c>
      <c r="B112" s="1148" t="s">
        <v>1866</v>
      </c>
      <c r="C112" s="1123"/>
      <c r="D112" s="1124"/>
      <c r="E112" s="1240">
        <v>4</v>
      </c>
      <c r="F112" s="1147" t="s">
        <v>240</v>
      </c>
      <c r="G112" s="1140">
        <v>3400</v>
      </c>
      <c r="H112" s="796">
        <f t="shared" si="38"/>
        <v>13600</v>
      </c>
      <c r="I112" s="797">
        <f>G112*0.1</f>
        <v>340</v>
      </c>
      <c r="J112" s="796">
        <f t="shared" si="39"/>
        <v>1360</v>
      </c>
      <c r="K112" s="914">
        <f t="shared" si="40"/>
        <v>14960</v>
      </c>
      <c r="L112" s="912"/>
    </row>
    <row r="113" spans="1:12" s="714" customFormat="1" ht="24" customHeight="1">
      <c r="A113" s="1147" t="s">
        <v>1867</v>
      </c>
      <c r="B113" s="1148" t="s">
        <v>1868</v>
      </c>
      <c r="C113" s="1123"/>
      <c r="D113" s="1124"/>
      <c r="E113" s="1240"/>
      <c r="F113" s="1147" t="s">
        <v>240</v>
      </c>
      <c r="G113" s="1140"/>
      <c r="H113" s="796"/>
      <c r="I113" s="797"/>
      <c r="J113" s="796"/>
      <c r="K113" s="914"/>
      <c r="L113" s="912"/>
    </row>
    <row r="114" spans="1:12" s="714" customFormat="1" ht="24" customHeight="1">
      <c r="A114" s="1147"/>
      <c r="B114" s="1148" t="s">
        <v>957</v>
      </c>
      <c r="C114" s="1123"/>
      <c r="D114" s="1124"/>
      <c r="E114" s="1240"/>
      <c r="F114" s="1147"/>
      <c r="G114" s="1140"/>
      <c r="H114" s="854"/>
      <c r="I114" s="855"/>
      <c r="J114" s="854"/>
      <c r="K114" s="912"/>
      <c r="L114" s="912"/>
    </row>
    <row r="115" spans="1:12" s="714" customFormat="1" ht="24" customHeight="1">
      <c r="A115" s="1147"/>
      <c r="B115" s="1148" t="s">
        <v>1102</v>
      </c>
      <c r="C115" s="1123"/>
      <c r="D115" s="1124"/>
      <c r="E115" s="1240"/>
      <c r="F115" s="1147"/>
      <c r="G115" s="1140"/>
      <c r="H115" s="854"/>
      <c r="I115" s="855"/>
      <c r="J115" s="854"/>
      <c r="K115" s="912"/>
      <c r="L115" s="912"/>
    </row>
    <row r="116" spans="1:12" s="714" customFormat="1" ht="24" customHeight="1">
      <c r="A116" s="1038"/>
      <c r="B116" s="1148" t="s">
        <v>1102</v>
      </c>
      <c r="C116" s="1233"/>
      <c r="D116" s="809"/>
      <c r="E116" s="1229"/>
      <c r="F116" s="852"/>
      <c r="G116" s="1140"/>
      <c r="H116" s="854"/>
      <c r="I116" s="855"/>
      <c r="J116" s="854"/>
      <c r="K116" s="912"/>
      <c r="L116" s="912"/>
    </row>
    <row r="117" spans="1:12" s="714" customFormat="1" ht="24" customHeight="1">
      <c r="A117" s="1038"/>
      <c r="B117" s="1301"/>
      <c r="C117" s="1233"/>
      <c r="D117" s="809"/>
      <c r="E117" s="1229"/>
      <c r="F117" s="852"/>
      <c r="G117" s="1140"/>
      <c r="H117" s="854"/>
      <c r="I117" s="855"/>
      <c r="J117" s="854"/>
      <c r="K117" s="912"/>
      <c r="L117" s="912"/>
    </row>
    <row r="118" spans="1:12" s="714" customFormat="1" ht="24" customHeight="1">
      <c r="A118" s="1166"/>
      <c r="B118" s="2475" t="str">
        <f>"รวมราคารายการที่ "&amp;A110</f>
        <v>รวมราคารายการที่ 6.5</v>
      </c>
      <c r="C118" s="2476"/>
      <c r="D118" s="2477"/>
      <c r="E118" s="1248"/>
      <c r="F118" s="1167"/>
      <c r="G118" s="1168"/>
      <c r="H118" s="1169">
        <f>SUM(H111:H117)</f>
        <v>22800</v>
      </c>
      <c r="I118" s="1170"/>
      <c r="J118" s="1169">
        <f>SUM(J111:J117)</f>
        <v>2280</v>
      </c>
      <c r="K118" s="1171">
        <f>SUM(K111:K117)</f>
        <v>25080</v>
      </c>
      <c r="L118" s="1171"/>
    </row>
    <row r="119" spans="1:12" s="714" customFormat="1" ht="24" customHeight="1">
      <c r="A119" s="1308">
        <v>6.6</v>
      </c>
      <c r="B119" s="1309" t="s">
        <v>1264</v>
      </c>
      <c r="C119" s="1161"/>
      <c r="D119" s="1162"/>
      <c r="E119" s="1306"/>
      <c r="F119" s="1159" t="s">
        <v>948</v>
      </c>
      <c r="G119" s="1262" t="s">
        <v>1876</v>
      </c>
      <c r="H119" s="796"/>
      <c r="I119" s="1259"/>
      <c r="J119" s="796"/>
      <c r="K119" s="914"/>
      <c r="L119" s="1014"/>
    </row>
    <row r="120" spans="1:12" s="714" customFormat="1" ht="24" customHeight="1">
      <c r="A120" s="1159"/>
      <c r="B120" s="1160"/>
      <c r="C120" s="1161"/>
      <c r="D120" s="1162"/>
      <c r="E120" s="1306"/>
      <c r="F120" s="1159"/>
      <c r="G120" s="1257"/>
      <c r="H120" s="796"/>
      <c r="I120" s="1259"/>
      <c r="J120" s="796"/>
      <c r="K120" s="914"/>
      <c r="L120" s="1014"/>
    </row>
    <row r="121" spans="1:12" s="714" customFormat="1" ht="24" customHeight="1">
      <c r="A121" s="1159"/>
      <c r="B121" s="1160"/>
      <c r="C121" s="1161"/>
      <c r="D121" s="1162"/>
      <c r="E121" s="1306"/>
      <c r="F121" s="1159"/>
      <c r="G121" s="1257"/>
      <c r="H121" s="796"/>
      <c r="I121" s="1259"/>
      <c r="J121" s="796"/>
      <c r="K121" s="914"/>
      <c r="L121" s="1014"/>
    </row>
    <row r="122" spans="1:12" s="714" customFormat="1" ht="24" customHeight="1">
      <c r="A122" s="1159"/>
      <c r="B122" s="1160"/>
      <c r="C122" s="1161"/>
      <c r="D122" s="1162"/>
      <c r="E122" s="1306"/>
      <c r="F122" s="1159"/>
      <c r="G122" s="1257"/>
      <c r="H122" s="796"/>
      <c r="I122" s="1259"/>
      <c r="J122" s="796"/>
      <c r="K122" s="914"/>
      <c r="L122" s="1014"/>
    </row>
    <row r="123" spans="1:12" s="714" customFormat="1" ht="24" customHeight="1">
      <c r="A123" s="1159"/>
      <c r="B123" s="1160"/>
      <c r="C123" s="1161"/>
      <c r="D123" s="1162"/>
      <c r="E123" s="1306"/>
      <c r="F123" s="1159"/>
      <c r="G123" s="1257"/>
      <c r="H123" s="796"/>
      <c r="I123" s="1259"/>
      <c r="J123" s="796"/>
      <c r="K123" s="914"/>
      <c r="L123" s="1014"/>
    </row>
    <row r="124" spans="1:12" s="714" customFormat="1" ht="24" customHeight="1">
      <c r="A124" s="1159"/>
      <c r="B124" s="1160"/>
      <c r="C124" s="1161"/>
      <c r="D124" s="1162"/>
      <c r="E124" s="1306"/>
      <c r="F124" s="1159"/>
      <c r="G124" s="1257"/>
      <c r="H124" s="796"/>
      <c r="I124" s="1259"/>
      <c r="J124" s="796"/>
      <c r="K124" s="914"/>
      <c r="L124" s="1014"/>
    </row>
    <row r="125" spans="1:12" s="714" customFormat="1" ht="24" customHeight="1">
      <c r="A125" s="1159"/>
      <c r="B125" s="1160"/>
      <c r="C125" s="1161"/>
      <c r="D125" s="1162"/>
      <c r="E125" s="1306"/>
      <c r="F125" s="1159"/>
      <c r="G125" s="1257"/>
      <c r="H125" s="796"/>
      <c r="I125" s="1259"/>
      <c r="J125" s="796"/>
      <c r="K125" s="914"/>
      <c r="L125" s="1014"/>
    </row>
    <row r="126" spans="1:12" s="714" customFormat="1" ht="24" customHeight="1">
      <c r="A126" s="1159"/>
      <c r="B126" s="1160"/>
      <c r="C126" s="1161"/>
      <c r="D126" s="1162"/>
      <c r="E126" s="1306"/>
      <c r="F126" s="1159"/>
      <c r="G126" s="1257"/>
      <c r="H126" s="796"/>
      <c r="I126" s="1259"/>
      <c r="J126" s="796"/>
      <c r="K126" s="914"/>
      <c r="L126" s="1014"/>
    </row>
    <row r="127" spans="1:12" s="714" customFormat="1" ht="24" customHeight="1">
      <c r="A127" s="1159"/>
      <c r="B127" s="1160"/>
      <c r="C127" s="1161"/>
      <c r="D127" s="1162"/>
      <c r="E127" s="1306"/>
      <c r="F127" s="1159"/>
      <c r="G127" s="1257"/>
      <c r="H127" s="796"/>
      <c r="I127" s="1259"/>
      <c r="J127" s="796"/>
      <c r="K127" s="914"/>
      <c r="L127" s="1014"/>
    </row>
    <row r="128" spans="1:12" s="714" customFormat="1" ht="24" customHeight="1">
      <c r="A128" s="1159"/>
      <c r="B128" s="1160"/>
      <c r="C128" s="1161"/>
      <c r="D128" s="1162"/>
      <c r="E128" s="1306"/>
      <c r="F128" s="1159"/>
      <c r="G128" s="1257"/>
      <c r="H128" s="796"/>
      <c r="I128" s="1259"/>
      <c r="J128" s="796"/>
      <c r="K128" s="914"/>
      <c r="L128" s="1014"/>
    </row>
    <row r="129" spans="1:12" s="714" customFormat="1" ht="24" customHeight="1">
      <c r="A129" s="1159"/>
      <c r="B129" s="1160"/>
      <c r="C129" s="1161"/>
      <c r="D129" s="1162"/>
      <c r="E129" s="1306"/>
      <c r="F129" s="1159"/>
      <c r="G129" s="1257"/>
      <c r="H129" s="796"/>
      <c r="I129" s="1259"/>
      <c r="J129" s="796"/>
      <c r="K129" s="914"/>
      <c r="L129" s="1014"/>
    </row>
    <row r="130" spans="1:12" s="714" customFormat="1" ht="24" customHeight="1">
      <c r="A130" s="1159"/>
      <c r="B130" s="1160"/>
      <c r="C130" s="1161"/>
      <c r="D130" s="1162"/>
      <c r="E130" s="1306"/>
      <c r="F130" s="1159"/>
      <c r="G130" s="1257"/>
      <c r="H130" s="796"/>
      <c r="I130" s="1259"/>
      <c r="J130" s="796"/>
      <c r="K130" s="914"/>
      <c r="L130" s="1014"/>
    </row>
    <row r="131" spans="1:12" s="714" customFormat="1" ht="24" customHeight="1">
      <c r="A131" s="1159"/>
      <c r="B131" s="1160"/>
      <c r="C131" s="1161"/>
      <c r="D131" s="1162"/>
      <c r="E131" s="1306"/>
      <c r="F131" s="1159"/>
      <c r="G131" s="1257"/>
      <c r="H131" s="796"/>
      <c r="I131" s="1259"/>
      <c r="J131" s="796"/>
      <c r="K131" s="914"/>
      <c r="L131" s="1014"/>
    </row>
    <row r="132" spans="1:12" s="714" customFormat="1" ht="24" customHeight="1">
      <c r="A132" s="1159"/>
      <c r="B132" s="1160"/>
      <c r="C132" s="1161"/>
      <c r="D132" s="1162"/>
      <c r="E132" s="1306"/>
      <c r="F132" s="1159"/>
      <c r="G132" s="1257"/>
      <c r="H132" s="796"/>
      <c r="I132" s="1259"/>
      <c r="J132" s="796"/>
      <c r="K132" s="914"/>
      <c r="L132" s="1014"/>
    </row>
    <row r="133" spans="1:12" s="714" customFormat="1" ht="21.3">
      <c r="A133" s="1159"/>
      <c r="B133" s="1160"/>
      <c r="C133" s="1161"/>
      <c r="D133" s="1162"/>
      <c r="E133" s="1306"/>
      <c r="F133" s="1159"/>
      <c r="G133" s="1257"/>
      <c r="H133" s="796"/>
      <c r="I133" s="1259"/>
      <c r="J133" s="796"/>
      <c r="K133" s="914"/>
      <c r="L133" s="1014"/>
    </row>
    <row r="134" spans="1:12" s="714" customFormat="1" ht="21.3">
      <c r="A134" s="1166"/>
      <c r="B134" s="2475" t="str">
        <f>"รวมราคารายการที่ "&amp;A119</f>
        <v>รวมราคารายการที่ 6.6</v>
      </c>
      <c r="C134" s="2476"/>
      <c r="D134" s="2477"/>
      <c r="E134" s="1248"/>
      <c r="F134" s="1167"/>
      <c r="G134" s="1168"/>
      <c r="H134" s="1169">
        <f>SUM(H119:H133)</f>
        <v>0</v>
      </c>
      <c r="I134" s="1170"/>
      <c r="J134" s="1169">
        <f>SUM(J119:J133)</f>
        <v>0</v>
      </c>
      <c r="K134" s="1171">
        <f>SUM(K119:K133)</f>
        <v>0</v>
      </c>
      <c r="L134" s="1171"/>
    </row>
    <row r="135" spans="1:12" s="714" customFormat="1" ht="21.3">
      <c r="A135" s="950"/>
      <c r="E135" s="1234"/>
    </row>
    <row r="136" spans="1:12" s="714" customFormat="1" ht="21.3">
      <c r="A136" s="950"/>
      <c r="E136" s="1234"/>
    </row>
    <row r="137" spans="1:12" s="714" customFormat="1" ht="21.3">
      <c r="A137" s="950"/>
      <c r="E137" s="1234"/>
    </row>
    <row r="138" spans="1:12" s="714" customFormat="1" ht="21.3">
      <c r="A138" s="950"/>
      <c r="E138" s="1234"/>
    </row>
    <row r="139" spans="1:12" s="714" customFormat="1" ht="21.3">
      <c r="A139" s="950"/>
      <c r="E139" s="1234"/>
    </row>
    <row r="140" spans="1:12" s="714" customFormat="1" ht="21.3">
      <c r="A140" s="950"/>
      <c r="E140" s="1234"/>
    </row>
    <row r="141" spans="1:12" s="714" customFormat="1" ht="21.3">
      <c r="A141" s="950"/>
      <c r="E141" s="1234"/>
    </row>
    <row r="142" spans="1:12" s="714" customFormat="1" ht="21.3">
      <c r="A142" s="950"/>
      <c r="E142" s="1234"/>
    </row>
    <row r="143" spans="1:12" s="714" customFormat="1" ht="21.3">
      <c r="A143" s="950"/>
      <c r="E143" s="1234"/>
    </row>
    <row r="144" spans="1:12" s="714" customFormat="1" ht="21.3">
      <c r="A144" s="950"/>
      <c r="E144" s="1234"/>
    </row>
    <row r="145" spans="1:5" s="714" customFormat="1" ht="21.3">
      <c r="A145" s="950"/>
      <c r="E145" s="1234"/>
    </row>
    <row r="146" spans="1:5" s="714" customFormat="1" ht="21.3">
      <c r="A146" s="950"/>
      <c r="E146" s="1234"/>
    </row>
    <row r="147" spans="1:5" s="714" customFormat="1" ht="21.3">
      <c r="A147" s="950"/>
      <c r="E147" s="1234"/>
    </row>
    <row r="148" spans="1:5" s="714" customFormat="1" ht="21.3">
      <c r="A148" s="950"/>
      <c r="E148" s="1234"/>
    </row>
    <row r="149" spans="1:5" s="714" customFormat="1" ht="21.3">
      <c r="A149" s="950"/>
      <c r="E149" s="1234"/>
    </row>
    <row r="150" spans="1:5" s="714" customFormat="1" ht="21.3">
      <c r="A150" s="950"/>
      <c r="E150" s="1234"/>
    </row>
    <row r="151" spans="1:5" s="714" customFormat="1" ht="21.3">
      <c r="A151" s="950"/>
      <c r="E151" s="1234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&amp;Rงานดับเพลิงและป้องกันอัคคีภัย ชั้น 6-อาคารสนับนุน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14E97-DC15-4658-B640-EDA3D2E42C84}">
  <sheetPr>
    <tabColor rgb="FFFF3399"/>
  </sheetPr>
  <dimension ref="A1:O151"/>
  <sheetViews>
    <sheetView showGridLines="0" tabSelected="1" view="pageBreakPreview" topLeftCell="A115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29296875" style="1" customWidth="1"/>
    <col min="13" max="90" width="7.703125" style="1" customWidth="1"/>
    <col min="91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1780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>
        <v>6</v>
      </c>
      <c r="B11" s="1144" t="s">
        <v>1896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/>
      <c r="B12" s="1151" t="str">
        <f>B35</f>
        <v>งานระบบดับเพลิงและป้องกันอัคคีภัย</v>
      </c>
      <c r="C12" s="1123"/>
      <c r="D12" s="1124"/>
      <c r="E12" s="1149"/>
      <c r="F12" s="1150"/>
      <c r="G12" s="710"/>
      <c r="H12" s="711"/>
      <c r="I12" s="712"/>
      <c r="J12" s="711"/>
      <c r="K12" s="1129"/>
      <c r="L12" s="1024"/>
    </row>
    <row r="13" spans="1:12" s="714" customFormat="1" ht="24" customHeight="1">
      <c r="A13" s="1147">
        <f>A36</f>
        <v>6.1</v>
      </c>
      <c r="B13" s="1148" t="str">
        <f>B36</f>
        <v>งานท่อน้ำ (Piping Work)</v>
      </c>
      <c r="C13" s="1123"/>
      <c r="D13" s="1124"/>
      <c r="E13" s="1149">
        <v>1</v>
      </c>
      <c r="F13" s="1150" t="s">
        <v>19</v>
      </c>
      <c r="G13" s="710"/>
      <c r="H13" s="711">
        <f>H59</f>
        <v>359537</v>
      </c>
      <c r="I13" s="712"/>
      <c r="J13" s="711">
        <f>J59</f>
        <v>155454</v>
      </c>
      <c r="K13" s="1129">
        <f t="shared" ref="K13:K18" si="0">SUM(H13:J13)</f>
        <v>514991</v>
      </c>
      <c r="L13" s="1024"/>
    </row>
    <row r="14" spans="1:12" s="714" customFormat="1" ht="24" customHeight="1">
      <c r="A14" s="1147">
        <f>A60</f>
        <v>6.2</v>
      </c>
      <c r="B14" s="1148" t="str">
        <f>B60</f>
        <v>วาล์วและอุปกรณ์ (Valve &amp; Pipe Accessories)</v>
      </c>
      <c r="C14" s="1123"/>
      <c r="D14" s="1124"/>
      <c r="E14" s="1149">
        <v>1</v>
      </c>
      <c r="F14" s="1150" t="s">
        <v>19</v>
      </c>
      <c r="G14" s="710"/>
      <c r="H14" s="711">
        <f>H76</f>
        <v>212932</v>
      </c>
      <c r="I14" s="712"/>
      <c r="J14" s="711">
        <f>J76</f>
        <v>14000</v>
      </c>
      <c r="K14" s="1129">
        <f t="shared" si="0"/>
        <v>226932</v>
      </c>
      <c r="L14" s="1024"/>
    </row>
    <row r="15" spans="1:12" s="714" customFormat="1" ht="24" customHeight="1">
      <c r="A15" s="1147">
        <f>A77</f>
        <v>6.3</v>
      </c>
      <c r="B15" s="1148" t="str">
        <f>B77</f>
        <v>ระบบหัวกระจายน้ำดับเพลิง (Sprinkler System)</v>
      </c>
      <c r="C15" s="1123"/>
      <c r="D15" s="1124"/>
      <c r="E15" s="1149">
        <v>1</v>
      </c>
      <c r="F15" s="1150" t="s">
        <v>19</v>
      </c>
      <c r="G15" s="710"/>
      <c r="H15" s="711">
        <f>H84</f>
        <v>25326</v>
      </c>
      <c r="I15" s="712"/>
      <c r="J15" s="711">
        <f>J84</f>
        <v>15075</v>
      </c>
      <c r="K15" s="1129">
        <f t="shared" si="0"/>
        <v>40401</v>
      </c>
      <c r="L15" s="1024"/>
    </row>
    <row r="16" spans="1:12" s="714" customFormat="1" ht="24" customHeight="1">
      <c r="A16" s="1230">
        <f>A85</f>
        <v>6.4</v>
      </c>
      <c r="B16" s="1231" t="str">
        <f>B85</f>
        <v>ตู้ดับเพลิงและถังดับเพลิงชนิดมือถือ (Fire Hose Cabinet &amp; Portable Fire Extinguisher)</v>
      </c>
      <c r="C16" s="1197"/>
      <c r="D16" s="1198"/>
      <c r="E16" s="1149">
        <v>1</v>
      </c>
      <c r="F16" s="1200" t="s">
        <v>19</v>
      </c>
      <c r="G16" s="1263"/>
      <c r="H16" s="1264">
        <f>H109</f>
        <v>227190</v>
      </c>
      <c r="I16" s="1265"/>
      <c r="J16" s="1264">
        <f>J109</f>
        <v>11325</v>
      </c>
      <c r="K16" s="1129">
        <f t="shared" si="0"/>
        <v>238515</v>
      </c>
      <c r="L16" s="1266"/>
    </row>
    <row r="17" spans="1:12" s="714" customFormat="1" ht="24" customHeight="1">
      <c r="A17" s="1304">
        <f>A110</f>
        <v>6.5</v>
      </c>
      <c r="B17" s="1160" t="str">
        <f>B110</f>
        <v>ระบบไฟฟ้าและควบคุม (Electrical &amp; Control System) สำหรับระบบป้องกันอัคคีภัย</v>
      </c>
      <c r="C17" s="1161"/>
      <c r="D17" s="1162"/>
      <c r="E17" s="1149">
        <v>1</v>
      </c>
      <c r="F17" s="1163" t="s">
        <v>19</v>
      </c>
      <c r="G17" s="1164"/>
      <c r="H17" s="957">
        <f>H116</f>
        <v>22800</v>
      </c>
      <c r="I17" s="1165"/>
      <c r="J17" s="957">
        <f>J116</f>
        <v>2280</v>
      </c>
      <c r="K17" s="1129">
        <f t="shared" si="0"/>
        <v>25080</v>
      </c>
      <c r="L17" s="954"/>
    </row>
    <row r="18" spans="1:12" s="714" customFormat="1" ht="24" customHeight="1">
      <c r="A18" s="1147">
        <f>A117</f>
        <v>6.6</v>
      </c>
      <c r="B18" s="1148" t="str">
        <f>B117</f>
        <v>ระบบป้องกันไฟและควันลาม (Fire Barrier System)</v>
      </c>
      <c r="C18" s="1123"/>
      <c r="D18" s="1124"/>
      <c r="E18" s="1149">
        <v>1</v>
      </c>
      <c r="F18" s="1150" t="s">
        <v>19</v>
      </c>
      <c r="G18" s="710"/>
      <c r="H18" s="711">
        <f>H134</f>
        <v>0</v>
      </c>
      <c r="I18" s="712"/>
      <c r="J18" s="711">
        <f>J134</f>
        <v>0</v>
      </c>
      <c r="K18" s="1129">
        <f t="shared" si="0"/>
        <v>0</v>
      </c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2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2" s="714" customFormat="1" ht="30" customHeight="1">
      <c r="A34" s="1166"/>
      <c r="B34" s="2475" t="str">
        <f>"รวมราคา"&amp;B11</f>
        <v>รวมราคางานระบบดับเพลิงและป้องกันอัคคีภัย ชั้น 7</v>
      </c>
      <c r="C34" s="2476"/>
      <c r="D34" s="2477"/>
      <c r="E34" s="1167"/>
      <c r="F34" s="1167"/>
      <c r="G34" s="1168"/>
      <c r="H34" s="1169">
        <f>SUM(H12:H33)</f>
        <v>847785</v>
      </c>
      <c r="I34" s="1170"/>
      <c r="J34" s="1169">
        <f>SUM(J12:J33)</f>
        <v>198134</v>
      </c>
      <c r="K34" s="1171">
        <f>SUM(K12:K33)</f>
        <v>1045919</v>
      </c>
      <c r="L34" s="1171"/>
    </row>
    <row r="35" spans="1:12" s="714" customFormat="1" ht="24" customHeight="1">
      <c r="A35" s="1011"/>
      <c r="B35" s="1173" t="s">
        <v>31</v>
      </c>
      <c r="C35" s="859"/>
      <c r="D35" s="859"/>
      <c r="E35" s="1216"/>
      <c r="F35" s="852"/>
      <c r="G35" s="874"/>
      <c r="H35" s="854"/>
      <c r="I35" s="855"/>
      <c r="J35" s="854"/>
      <c r="K35" s="912"/>
      <c r="L35" s="912"/>
    </row>
    <row r="36" spans="1:12" s="714" customFormat="1" ht="24" customHeight="1">
      <c r="A36" s="1207">
        <v>6.1</v>
      </c>
      <c r="B36" s="1208" t="s">
        <v>1782</v>
      </c>
      <c r="C36" s="1238"/>
      <c r="D36" s="1210"/>
      <c r="E36" s="1211"/>
      <c r="F36" s="1212"/>
      <c r="G36" s="874"/>
      <c r="H36" s="854"/>
      <c r="I36" s="855"/>
      <c r="J36" s="854"/>
      <c r="K36" s="912"/>
      <c r="L36" s="912"/>
    </row>
    <row r="37" spans="1:12" s="714" customFormat="1" ht="24" customHeight="1">
      <c r="A37" s="1159" t="s">
        <v>1783</v>
      </c>
      <c r="B37" s="1160" t="s">
        <v>1878</v>
      </c>
      <c r="C37" s="1161"/>
      <c r="D37" s="1162"/>
      <c r="E37" s="1211"/>
      <c r="F37" s="1163"/>
      <c r="G37" s="1205"/>
      <c r="H37" s="796"/>
      <c r="I37" s="797"/>
      <c r="J37" s="796"/>
      <c r="K37" s="914"/>
      <c r="L37" s="914"/>
    </row>
    <row r="38" spans="1:12" s="714" customFormat="1" ht="24" customHeight="1">
      <c r="A38" s="1147"/>
      <c r="B38" s="1148" t="s">
        <v>1822</v>
      </c>
      <c r="C38" s="1123"/>
      <c r="D38" s="1124"/>
      <c r="E38" s="1287">
        <v>511</v>
      </c>
      <c r="F38" s="1150" t="s">
        <v>438</v>
      </c>
      <c r="G38" s="1249">
        <v>78</v>
      </c>
      <c r="H38" s="864">
        <f t="shared" ref="H38:H51" si="1">ROUND(E38*G38,)</f>
        <v>39858</v>
      </c>
      <c r="I38" s="797">
        <v>45</v>
      </c>
      <c r="J38" s="796">
        <f t="shared" ref="J38:J51" si="2">ROUND(I38*E38,)</f>
        <v>22995</v>
      </c>
      <c r="K38" s="914">
        <f t="shared" ref="K38:K51" si="3">H38+J38</f>
        <v>62853</v>
      </c>
      <c r="L38" s="914"/>
    </row>
    <row r="39" spans="1:12" s="714" customFormat="1" ht="24" customHeight="1">
      <c r="A39" s="1147"/>
      <c r="B39" s="1148" t="s">
        <v>1186</v>
      </c>
      <c r="C39" s="1123"/>
      <c r="D39" s="1124"/>
      <c r="E39" s="1287">
        <v>36</v>
      </c>
      <c r="F39" s="1150" t="s">
        <v>438</v>
      </c>
      <c r="G39" s="1249">
        <v>105</v>
      </c>
      <c r="H39" s="864">
        <f t="shared" si="1"/>
        <v>3780</v>
      </c>
      <c r="I39" s="855">
        <v>60</v>
      </c>
      <c r="J39" s="796">
        <f t="shared" si="2"/>
        <v>2160</v>
      </c>
      <c r="K39" s="914">
        <f t="shared" si="3"/>
        <v>5940</v>
      </c>
      <c r="L39" s="912"/>
    </row>
    <row r="40" spans="1:12" s="714" customFormat="1" ht="24" customHeight="1">
      <c r="A40" s="1147"/>
      <c r="B40" s="1148" t="s">
        <v>1187</v>
      </c>
      <c r="C40" s="1123"/>
      <c r="D40" s="1124"/>
      <c r="E40" s="1287">
        <v>51</v>
      </c>
      <c r="F40" s="1150" t="s">
        <v>438</v>
      </c>
      <c r="G40" s="1310">
        <v>126</v>
      </c>
      <c r="H40" s="864">
        <f t="shared" si="1"/>
        <v>6426</v>
      </c>
      <c r="I40" s="1176">
        <v>70</v>
      </c>
      <c r="J40" s="796">
        <f t="shared" si="2"/>
        <v>3570</v>
      </c>
      <c r="K40" s="914">
        <f t="shared" si="3"/>
        <v>9996</v>
      </c>
      <c r="L40" s="912"/>
    </row>
    <row r="41" spans="1:12" s="714" customFormat="1" ht="24" customHeight="1">
      <c r="A41" s="1147"/>
      <c r="B41" s="1148" t="s">
        <v>1188</v>
      </c>
      <c r="C41" s="1123"/>
      <c r="D41" s="1124"/>
      <c r="E41" s="1287">
        <v>124</v>
      </c>
      <c r="F41" s="1150" t="s">
        <v>438</v>
      </c>
      <c r="G41" s="1310">
        <v>169</v>
      </c>
      <c r="H41" s="864">
        <f t="shared" si="1"/>
        <v>20956</v>
      </c>
      <c r="I41" s="1176">
        <v>95</v>
      </c>
      <c r="J41" s="796">
        <f t="shared" si="2"/>
        <v>11780</v>
      </c>
      <c r="K41" s="914">
        <f t="shared" si="3"/>
        <v>32736</v>
      </c>
      <c r="L41" s="912"/>
    </row>
    <row r="42" spans="1:12" s="714" customFormat="1" ht="24" customHeight="1">
      <c r="A42" s="1147"/>
      <c r="B42" s="1148" t="s">
        <v>1189</v>
      </c>
      <c r="C42" s="1123"/>
      <c r="D42" s="1124"/>
      <c r="E42" s="1287">
        <v>130</v>
      </c>
      <c r="F42" s="1150" t="s">
        <v>438</v>
      </c>
      <c r="G42" s="1310">
        <v>268</v>
      </c>
      <c r="H42" s="864">
        <f t="shared" si="1"/>
        <v>34840</v>
      </c>
      <c r="I42" s="1176">
        <v>150</v>
      </c>
      <c r="J42" s="796">
        <f t="shared" si="2"/>
        <v>19500</v>
      </c>
      <c r="K42" s="914">
        <f t="shared" si="3"/>
        <v>54340</v>
      </c>
      <c r="L42" s="912"/>
    </row>
    <row r="43" spans="1:12" s="714" customFormat="1" ht="24" customHeight="1">
      <c r="A43" s="1147"/>
      <c r="B43" s="1148" t="s">
        <v>1190</v>
      </c>
      <c r="C43" s="1123"/>
      <c r="D43" s="1124"/>
      <c r="E43" s="1287">
        <v>54</v>
      </c>
      <c r="F43" s="1150" t="s">
        <v>438</v>
      </c>
      <c r="G43" s="1310">
        <v>350</v>
      </c>
      <c r="H43" s="864">
        <f t="shared" si="1"/>
        <v>18900</v>
      </c>
      <c r="I43" s="1176">
        <v>200</v>
      </c>
      <c r="J43" s="796">
        <f t="shared" si="2"/>
        <v>10800</v>
      </c>
      <c r="K43" s="914">
        <f t="shared" si="3"/>
        <v>29700</v>
      </c>
      <c r="L43" s="912"/>
    </row>
    <row r="44" spans="1:12" s="714" customFormat="1" ht="24" customHeight="1">
      <c r="A44" s="1147"/>
      <c r="B44" s="1148" t="s">
        <v>1674</v>
      </c>
      <c r="C44" s="1123"/>
      <c r="D44" s="1124"/>
      <c r="E44" s="1287">
        <v>42</v>
      </c>
      <c r="F44" s="1150" t="s">
        <v>438</v>
      </c>
      <c r="G44" s="1310">
        <v>499</v>
      </c>
      <c r="H44" s="864">
        <f t="shared" si="1"/>
        <v>20958</v>
      </c>
      <c r="I44" s="1176">
        <v>280</v>
      </c>
      <c r="J44" s="796">
        <f t="shared" si="2"/>
        <v>11760</v>
      </c>
      <c r="K44" s="914">
        <f t="shared" si="3"/>
        <v>32718</v>
      </c>
      <c r="L44" s="912"/>
    </row>
    <row r="45" spans="1:12" s="714" customFormat="1" ht="24" customHeight="1">
      <c r="A45" s="1147"/>
      <c r="B45" s="1148" t="s">
        <v>1675</v>
      </c>
      <c r="C45" s="1123"/>
      <c r="D45" s="1124"/>
      <c r="E45" s="1287">
        <v>35</v>
      </c>
      <c r="F45" s="1150" t="s">
        <v>438</v>
      </c>
      <c r="G45" s="1310">
        <v>877</v>
      </c>
      <c r="H45" s="864">
        <f t="shared" si="1"/>
        <v>30695</v>
      </c>
      <c r="I45" s="1176">
        <v>500</v>
      </c>
      <c r="J45" s="796">
        <f t="shared" si="2"/>
        <v>17500</v>
      </c>
      <c r="K45" s="914">
        <f t="shared" si="3"/>
        <v>48195</v>
      </c>
      <c r="L45" s="912"/>
    </row>
    <row r="46" spans="1:12" s="714" customFormat="1" ht="24" customHeight="1">
      <c r="A46" s="1147"/>
      <c r="B46" s="1148" t="s">
        <v>1676</v>
      </c>
      <c r="C46" s="1123"/>
      <c r="D46" s="1124"/>
      <c r="E46" s="1311"/>
      <c r="F46" s="1150" t="s">
        <v>438</v>
      </c>
      <c r="G46" s="1310">
        <v>1361</v>
      </c>
      <c r="H46" s="864">
        <f t="shared" si="1"/>
        <v>0</v>
      </c>
      <c r="I46" s="1176">
        <v>560</v>
      </c>
      <c r="J46" s="796">
        <f t="shared" si="2"/>
        <v>0</v>
      </c>
      <c r="K46" s="914">
        <f t="shared" si="3"/>
        <v>0</v>
      </c>
      <c r="L46" s="912"/>
    </row>
    <row r="47" spans="1:12" s="714" customFormat="1" ht="24" customHeight="1">
      <c r="A47" s="1147"/>
      <c r="B47" s="1148" t="s">
        <v>1790</v>
      </c>
      <c r="C47" s="1123"/>
      <c r="D47" s="1124"/>
      <c r="E47" s="1254"/>
      <c r="F47" s="1150" t="s">
        <v>438</v>
      </c>
      <c r="G47" s="1244">
        <v>2212</v>
      </c>
      <c r="H47" s="796">
        <f t="shared" si="1"/>
        <v>0</v>
      </c>
      <c r="I47" s="1176">
        <v>700</v>
      </c>
      <c r="J47" s="796">
        <f t="shared" si="2"/>
        <v>0</v>
      </c>
      <c r="K47" s="914">
        <f t="shared" si="3"/>
        <v>0</v>
      </c>
      <c r="L47" s="912"/>
    </row>
    <row r="48" spans="1:12" s="714" customFormat="1" ht="24" customHeight="1">
      <c r="A48" s="1147"/>
      <c r="B48" s="1148" t="s">
        <v>1645</v>
      </c>
      <c r="C48" s="1123"/>
      <c r="D48" s="1124"/>
      <c r="E48" s="1245">
        <v>1</v>
      </c>
      <c r="F48" s="935" t="s">
        <v>948</v>
      </c>
      <c r="G48" s="1244">
        <f>ROUND(SUM(H38:H47)*40%,)</f>
        <v>70565</v>
      </c>
      <c r="H48" s="796">
        <f t="shared" si="1"/>
        <v>70565</v>
      </c>
      <c r="I48" s="1176">
        <f>ROUND(G48*0.3,0)</f>
        <v>21170</v>
      </c>
      <c r="J48" s="796">
        <f t="shared" si="2"/>
        <v>21170</v>
      </c>
      <c r="K48" s="914">
        <f t="shared" si="3"/>
        <v>91735</v>
      </c>
      <c r="L48" s="912"/>
    </row>
    <row r="49" spans="1:15" s="714" customFormat="1" ht="24" customHeight="1">
      <c r="A49" s="1147"/>
      <c r="B49" s="1148" t="s">
        <v>1646</v>
      </c>
      <c r="C49" s="1123"/>
      <c r="D49" s="1124"/>
      <c r="E49" s="1245">
        <v>1</v>
      </c>
      <c r="F49" s="935" t="s">
        <v>948</v>
      </c>
      <c r="G49" s="1244">
        <f>ROUND(SUM(H38:H47)*20%,)</f>
        <v>35283</v>
      </c>
      <c r="H49" s="796">
        <f t="shared" si="1"/>
        <v>35283</v>
      </c>
      <c r="I49" s="1176">
        <f t="shared" ref="I49:I51" si="4">ROUND(G49*0.3,0)</f>
        <v>10585</v>
      </c>
      <c r="J49" s="796">
        <f t="shared" si="2"/>
        <v>10585</v>
      </c>
      <c r="K49" s="914">
        <f t="shared" si="3"/>
        <v>45868</v>
      </c>
      <c r="L49" s="912"/>
    </row>
    <row r="50" spans="1:15" s="714" customFormat="1" ht="24" customHeight="1">
      <c r="A50" s="1147"/>
      <c r="B50" s="1148" t="s">
        <v>1647</v>
      </c>
      <c r="C50" s="1123"/>
      <c r="D50" s="1124"/>
      <c r="E50" s="1245">
        <v>1</v>
      </c>
      <c r="F50" s="935" t="s">
        <v>948</v>
      </c>
      <c r="G50" s="1244">
        <f>ROUND(SUM(H38:H47)*10%,)</f>
        <v>17641</v>
      </c>
      <c r="H50" s="796">
        <f t="shared" si="1"/>
        <v>17641</v>
      </c>
      <c r="I50" s="1176">
        <f t="shared" si="4"/>
        <v>5292</v>
      </c>
      <c r="J50" s="796">
        <f t="shared" si="2"/>
        <v>5292</v>
      </c>
      <c r="K50" s="914">
        <f t="shared" si="3"/>
        <v>22933</v>
      </c>
      <c r="L50" s="912"/>
    </row>
    <row r="51" spans="1:15" s="714" customFormat="1" ht="24" customHeight="1">
      <c r="A51" s="1159"/>
      <c r="B51" s="1148" t="s">
        <v>1791</v>
      </c>
      <c r="C51" s="1123"/>
      <c r="D51" s="1124"/>
      <c r="E51" s="1245">
        <v>1</v>
      </c>
      <c r="F51" s="935" t="s">
        <v>948</v>
      </c>
      <c r="G51" s="1244">
        <f>ROUND(SUM(H38:H47)*30%,)</f>
        <v>52924</v>
      </c>
      <c r="H51" s="796">
        <f t="shared" si="1"/>
        <v>52924</v>
      </c>
      <c r="I51" s="1176">
        <f t="shared" si="4"/>
        <v>15877</v>
      </c>
      <c r="J51" s="796">
        <f t="shared" si="2"/>
        <v>15877</v>
      </c>
      <c r="K51" s="914">
        <f t="shared" si="3"/>
        <v>68801</v>
      </c>
      <c r="L51" s="912"/>
    </row>
    <row r="52" spans="1:15" s="714" customFormat="1" ht="24" customHeight="1">
      <c r="A52" s="1159" t="s">
        <v>1792</v>
      </c>
      <c r="B52" s="1160" t="s">
        <v>1793</v>
      </c>
      <c r="C52" s="1161"/>
      <c r="D52" s="1162"/>
      <c r="E52" s="1150"/>
      <c r="F52" s="1163"/>
      <c r="G52" s="1205"/>
      <c r="H52" s="796"/>
      <c r="I52" s="797"/>
      <c r="J52" s="796"/>
      <c r="K52" s="914"/>
      <c r="L52" s="914"/>
    </row>
    <row r="53" spans="1:15" s="714" customFormat="1" ht="24" customHeight="1">
      <c r="A53" s="1147"/>
      <c r="B53" s="1148" t="s">
        <v>1185</v>
      </c>
      <c r="C53" s="1123"/>
      <c r="D53" s="1124"/>
      <c r="E53" s="1311">
        <v>5</v>
      </c>
      <c r="F53" s="1150" t="s">
        <v>438</v>
      </c>
      <c r="G53" s="1140">
        <v>124</v>
      </c>
      <c r="H53" s="796">
        <f>ROUND(E53*G53,)</f>
        <v>620</v>
      </c>
      <c r="I53" s="797">
        <v>50</v>
      </c>
      <c r="J53" s="796">
        <f t="shared" ref="J53:J57" si="5">ROUND(I53*E53,)</f>
        <v>250</v>
      </c>
      <c r="K53" s="914">
        <f t="shared" ref="K53:K57" si="6">H53+J53</f>
        <v>870</v>
      </c>
      <c r="L53" s="2273" t="s">
        <v>2974</v>
      </c>
      <c r="N53" s="714">
        <v>745.96</v>
      </c>
      <c r="O53" s="714">
        <f>ROUND(N53/6,)</f>
        <v>124</v>
      </c>
    </row>
    <row r="54" spans="1:15" s="714" customFormat="1" ht="24" customHeight="1">
      <c r="A54" s="1147"/>
      <c r="B54" s="1148" t="s">
        <v>1188</v>
      </c>
      <c r="C54" s="1123"/>
      <c r="D54" s="1124"/>
      <c r="E54" s="1311">
        <v>12</v>
      </c>
      <c r="F54" s="1150" t="s">
        <v>438</v>
      </c>
      <c r="G54" s="1140">
        <v>259</v>
      </c>
      <c r="H54" s="796">
        <f t="shared" ref="H54:H57" si="7">ROUND(E54*G54,)</f>
        <v>3108</v>
      </c>
      <c r="I54" s="855">
        <v>110</v>
      </c>
      <c r="J54" s="796">
        <f t="shared" si="5"/>
        <v>1320</v>
      </c>
      <c r="K54" s="914">
        <f t="shared" si="6"/>
        <v>4428</v>
      </c>
      <c r="L54" s="2273" t="s">
        <v>2974</v>
      </c>
      <c r="N54" s="714">
        <v>1554.48</v>
      </c>
      <c r="O54" s="714">
        <f>ROUND(N54/6,)</f>
        <v>259</v>
      </c>
    </row>
    <row r="55" spans="1:15" s="714" customFormat="1" ht="24" customHeight="1">
      <c r="A55" s="1147"/>
      <c r="B55" s="1148" t="s">
        <v>1645</v>
      </c>
      <c r="C55" s="1123"/>
      <c r="D55" s="1124"/>
      <c r="E55" s="1254">
        <v>1</v>
      </c>
      <c r="F55" s="935" t="s">
        <v>948</v>
      </c>
      <c r="G55" s="1244">
        <f>ROUND(SUM(H53:H54)*50%,)</f>
        <v>1864</v>
      </c>
      <c r="H55" s="796">
        <f t="shared" si="7"/>
        <v>1864</v>
      </c>
      <c r="I55" s="1176">
        <f>ROUND(G55*0.3,0)</f>
        <v>559</v>
      </c>
      <c r="J55" s="796">
        <f t="shared" si="5"/>
        <v>559</v>
      </c>
      <c r="K55" s="914">
        <f t="shared" si="6"/>
        <v>2423</v>
      </c>
      <c r="L55" s="912"/>
    </row>
    <row r="56" spans="1:15" s="714" customFormat="1" ht="24" customHeight="1">
      <c r="A56" s="1147"/>
      <c r="B56" s="1148" t="s">
        <v>1646</v>
      </c>
      <c r="C56" s="1123"/>
      <c r="D56" s="1124"/>
      <c r="E56" s="1254">
        <v>1</v>
      </c>
      <c r="F56" s="935" t="s">
        <v>948</v>
      </c>
      <c r="G56" s="1244">
        <f>ROUND(SUM(H53:H54)*20%,)</f>
        <v>746</v>
      </c>
      <c r="H56" s="796">
        <f t="shared" si="7"/>
        <v>746</v>
      </c>
      <c r="I56" s="1176">
        <f t="shared" ref="I56:I57" si="8">ROUND(G56*0.3,0)</f>
        <v>224</v>
      </c>
      <c r="J56" s="796">
        <f t="shared" si="5"/>
        <v>224</v>
      </c>
      <c r="K56" s="914">
        <f t="shared" si="6"/>
        <v>970</v>
      </c>
      <c r="L56" s="912"/>
    </row>
    <row r="57" spans="1:15" s="714" customFormat="1" ht="24" customHeight="1">
      <c r="A57" s="1147"/>
      <c r="B57" s="1148" t="s">
        <v>1647</v>
      </c>
      <c r="C57" s="1123"/>
      <c r="D57" s="1124"/>
      <c r="E57" s="1254">
        <v>1</v>
      </c>
      <c r="F57" s="935" t="s">
        <v>948</v>
      </c>
      <c r="G57" s="1244">
        <f>ROUND(SUM(H53:H54)*10%,)</f>
        <v>373</v>
      </c>
      <c r="H57" s="796">
        <f t="shared" si="7"/>
        <v>373</v>
      </c>
      <c r="I57" s="1176">
        <f t="shared" si="8"/>
        <v>112</v>
      </c>
      <c r="J57" s="796">
        <f t="shared" si="5"/>
        <v>112</v>
      </c>
      <c r="K57" s="914">
        <f t="shared" si="6"/>
        <v>485</v>
      </c>
      <c r="L57" s="912"/>
    </row>
    <row r="58" spans="1:15" s="714" customFormat="1" ht="24" customHeight="1">
      <c r="A58" s="1147"/>
      <c r="B58" s="1148" t="s">
        <v>957</v>
      </c>
      <c r="C58" s="1123"/>
      <c r="D58" s="1124"/>
      <c r="E58" s="1240"/>
      <c r="F58" s="1150"/>
      <c r="G58" s="1140"/>
      <c r="H58" s="854"/>
      <c r="I58" s="855"/>
      <c r="J58" s="854"/>
      <c r="K58" s="912"/>
      <c r="L58" s="912"/>
    </row>
    <row r="59" spans="1:15" s="714" customFormat="1" ht="24" customHeight="1">
      <c r="A59" s="1166"/>
      <c r="B59" s="2475" t="str">
        <f>"รวมราคารายการที่ "&amp;A36</f>
        <v>รวมราคารายการที่ 6.1</v>
      </c>
      <c r="C59" s="2476"/>
      <c r="D59" s="2477"/>
      <c r="E59" s="1248"/>
      <c r="F59" s="1167"/>
      <c r="G59" s="1168"/>
      <c r="H59" s="1169">
        <f>SUM(H37:H58)</f>
        <v>359537</v>
      </c>
      <c r="I59" s="1170"/>
      <c r="J59" s="1169">
        <f>SUM(J37:J58)</f>
        <v>155454</v>
      </c>
      <c r="K59" s="1171">
        <f>SUM(K37:K58)</f>
        <v>514991</v>
      </c>
      <c r="L59" s="1171"/>
    </row>
    <row r="60" spans="1:15" s="714" customFormat="1" ht="24" customHeight="1">
      <c r="A60" s="1207">
        <v>6.2</v>
      </c>
      <c r="B60" s="1208" t="s">
        <v>1794</v>
      </c>
      <c r="C60" s="1209"/>
      <c r="D60" s="1210"/>
      <c r="E60" s="1239"/>
      <c r="F60" s="1212"/>
      <c r="G60" s="874"/>
      <c r="H60" s="854"/>
      <c r="I60" s="855"/>
      <c r="J60" s="854"/>
      <c r="K60" s="912"/>
      <c r="L60" s="912"/>
    </row>
    <row r="61" spans="1:15" s="714" customFormat="1" ht="24" customHeight="1">
      <c r="A61" s="1147" t="s">
        <v>1795</v>
      </c>
      <c r="B61" s="1148" t="s">
        <v>1823</v>
      </c>
      <c r="C61" s="1123"/>
      <c r="D61" s="1124"/>
      <c r="E61" s="1240"/>
      <c r="F61" s="1150"/>
      <c r="G61" s="1140"/>
      <c r="H61" s="796">
        <f t="shared" ref="H61:H62" si="9">ROUND(E61*G61,)</f>
        <v>0</v>
      </c>
      <c r="I61" s="855"/>
      <c r="J61" s="796">
        <f t="shared" ref="J61:J62" si="10">ROUND(I61*E61,)</f>
        <v>0</v>
      </c>
      <c r="K61" s="912"/>
      <c r="L61" s="912"/>
    </row>
    <row r="62" spans="1:15" s="714" customFormat="1" ht="24" customHeight="1">
      <c r="A62" s="1147"/>
      <c r="B62" s="1148" t="s">
        <v>1185</v>
      </c>
      <c r="C62" s="1123"/>
      <c r="D62" s="1124"/>
      <c r="E62" s="1240">
        <v>8</v>
      </c>
      <c r="F62" s="1150" t="s">
        <v>240</v>
      </c>
      <c r="G62" s="1140">
        <v>400</v>
      </c>
      <c r="H62" s="796">
        <f t="shared" si="9"/>
        <v>3200</v>
      </c>
      <c r="I62" s="855">
        <v>200</v>
      </c>
      <c r="J62" s="796">
        <f t="shared" si="10"/>
        <v>1600</v>
      </c>
      <c r="K62" s="914">
        <f t="shared" ref="K62" si="11">H62+J62</f>
        <v>4800</v>
      </c>
      <c r="L62" s="912"/>
    </row>
    <row r="63" spans="1:15" s="714" customFormat="1" ht="24" customHeight="1">
      <c r="A63" s="1147" t="s">
        <v>1797</v>
      </c>
      <c r="B63" s="1148" t="s">
        <v>1824</v>
      </c>
      <c r="C63" s="1123"/>
      <c r="D63" s="1124"/>
      <c r="E63" s="1240"/>
      <c r="F63" s="1150"/>
      <c r="G63" s="1140"/>
      <c r="H63" s="854"/>
      <c r="I63" s="855"/>
      <c r="J63" s="854"/>
      <c r="K63" s="912"/>
      <c r="L63" s="912"/>
    </row>
    <row r="64" spans="1:15" s="714" customFormat="1" ht="24" customHeight="1">
      <c r="A64" s="1147"/>
      <c r="B64" s="1148" t="s">
        <v>1675</v>
      </c>
      <c r="C64" s="1123"/>
      <c r="D64" s="1124"/>
      <c r="E64" s="1240">
        <v>4</v>
      </c>
      <c r="F64" s="1150" t="s">
        <v>240</v>
      </c>
      <c r="G64" s="1140">
        <v>13100</v>
      </c>
      <c r="H64" s="796">
        <f t="shared" ref="H64:H67" si="12">ROUND(E64*G64,)</f>
        <v>52400</v>
      </c>
      <c r="I64" s="855">
        <v>1200</v>
      </c>
      <c r="J64" s="796">
        <f t="shared" ref="J64:J67" si="13">ROUND(I64*E64,)</f>
        <v>4800</v>
      </c>
      <c r="K64" s="914">
        <f t="shared" ref="K64:K67" si="14">H64+J64</f>
        <v>57200</v>
      </c>
      <c r="L64" s="912"/>
    </row>
    <row r="65" spans="1:12" s="714" customFormat="1" ht="24" customHeight="1">
      <c r="A65" s="1147" t="s">
        <v>1799</v>
      </c>
      <c r="B65" s="1148" t="s">
        <v>1825</v>
      </c>
      <c r="C65" s="1123"/>
      <c r="D65" s="1124"/>
      <c r="E65" s="1240"/>
      <c r="F65" s="1150"/>
      <c r="G65" s="1140"/>
      <c r="H65" s="796"/>
      <c r="I65" s="855"/>
      <c r="J65" s="796"/>
      <c r="K65" s="914"/>
      <c r="L65" s="912"/>
    </row>
    <row r="66" spans="1:12" s="714" customFormat="1" ht="24" customHeight="1">
      <c r="A66" s="1147"/>
      <c r="B66" s="1148" t="s">
        <v>1788</v>
      </c>
      <c r="C66" s="1123"/>
      <c r="D66" s="1124"/>
      <c r="E66" s="1240">
        <v>4</v>
      </c>
      <c r="F66" s="1150" t="s">
        <v>240</v>
      </c>
      <c r="G66" s="1140">
        <v>1963</v>
      </c>
      <c r="H66" s="796">
        <f t="shared" ref="H66" si="15">ROUND(E66*G66,)</f>
        <v>7852</v>
      </c>
      <c r="I66" s="855">
        <v>400</v>
      </c>
      <c r="J66" s="796">
        <f t="shared" ref="J66" si="16">ROUND(I66*E66,)</f>
        <v>1600</v>
      </c>
      <c r="K66" s="914">
        <f t="shared" ref="K66" si="17">H66+J66</f>
        <v>9452</v>
      </c>
      <c r="L66" s="912"/>
    </row>
    <row r="67" spans="1:12" s="714" customFormat="1" ht="24" customHeight="1">
      <c r="A67" s="1147" t="s">
        <v>1801</v>
      </c>
      <c r="B67" s="1148" t="s">
        <v>1826</v>
      </c>
      <c r="C67" s="1123"/>
      <c r="D67" s="1124"/>
      <c r="E67" s="1240">
        <v>4</v>
      </c>
      <c r="F67" s="1150" t="s">
        <v>240</v>
      </c>
      <c r="G67" s="1140">
        <v>900</v>
      </c>
      <c r="H67" s="796">
        <f t="shared" si="12"/>
        <v>3600</v>
      </c>
      <c r="I67" s="855">
        <v>100</v>
      </c>
      <c r="J67" s="796">
        <f t="shared" si="13"/>
        <v>400</v>
      </c>
      <c r="K67" s="914">
        <f t="shared" si="14"/>
        <v>4000</v>
      </c>
      <c r="L67" s="912"/>
    </row>
    <row r="68" spans="1:12" s="714" customFormat="1" ht="24" customHeight="1">
      <c r="A68" s="1147" t="s">
        <v>1803</v>
      </c>
      <c r="B68" s="1148" t="s">
        <v>1827</v>
      </c>
      <c r="C68" s="1123"/>
      <c r="D68" s="1124"/>
      <c r="E68" s="1240"/>
      <c r="F68" s="1150"/>
      <c r="G68" s="1140"/>
      <c r="H68" s="854"/>
      <c r="I68" s="855"/>
      <c r="J68" s="854"/>
      <c r="K68" s="912"/>
      <c r="L68" s="912"/>
    </row>
    <row r="69" spans="1:12" s="714" customFormat="1" ht="24" customHeight="1">
      <c r="A69" s="1147"/>
      <c r="B69" s="1148" t="s">
        <v>1675</v>
      </c>
      <c r="C69" s="1123"/>
      <c r="D69" s="1124"/>
      <c r="E69" s="1240">
        <v>4</v>
      </c>
      <c r="F69" s="1150" t="s">
        <v>240</v>
      </c>
      <c r="G69" s="1140">
        <v>17400</v>
      </c>
      <c r="H69" s="796">
        <f t="shared" ref="H69" si="18">ROUND(E69*G69,)</f>
        <v>69600</v>
      </c>
      <c r="I69" s="855">
        <v>1200</v>
      </c>
      <c r="J69" s="796">
        <f t="shared" ref="J69" si="19">ROUND(I69*E69,)</f>
        <v>4800</v>
      </c>
      <c r="K69" s="914">
        <f t="shared" ref="K69" si="20">H69+J69</f>
        <v>74400</v>
      </c>
      <c r="L69" s="912"/>
    </row>
    <row r="70" spans="1:12" s="714" customFormat="1" ht="24" customHeight="1">
      <c r="A70" s="1147" t="s">
        <v>1805</v>
      </c>
      <c r="B70" s="1148" t="s">
        <v>1717</v>
      </c>
      <c r="C70" s="1123"/>
      <c r="D70" s="1124"/>
      <c r="E70" s="1240"/>
      <c r="F70" s="1150"/>
      <c r="G70" s="1140"/>
      <c r="H70" s="854"/>
      <c r="I70" s="855"/>
      <c r="J70" s="854"/>
      <c r="K70" s="912"/>
      <c r="L70" s="912"/>
    </row>
    <row r="71" spans="1:12" s="714" customFormat="1" ht="24" customHeight="1">
      <c r="A71" s="1147"/>
      <c r="B71" s="1148" t="s">
        <v>1785</v>
      </c>
      <c r="C71" s="1123"/>
      <c r="D71" s="1124"/>
      <c r="E71" s="1240">
        <v>4</v>
      </c>
      <c r="F71" s="1150" t="s">
        <v>240</v>
      </c>
      <c r="G71" s="1140">
        <v>1010</v>
      </c>
      <c r="H71" s="796">
        <f t="shared" ref="H71" si="21">ROUND(E71*G71,)</f>
        <v>4040</v>
      </c>
      <c r="I71" s="855">
        <v>100</v>
      </c>
      <c r="J71" s="796">
        <f t="shared" ref="J71" si="22">ROUND(I71*E71,)</f>
        <v>400</v>
      </c>
      <c r="K71" s="914">
        <f t="shared" ref="K71" si="23">H71+J71</f>
        <v>4440</v>
      </c>
      <c r="L71" s="912"/>
    </row>
    <row r="72" spans="1:12" s="714" customFormat="1" ht="24" customHeight="1">
      <c r="A72" s="1147" t="s">
        <v>1807</v>
      </c>
      <c r="B72" s="1148" t="s">
        <v>1806</v>
      </c>
      <c r="C72" s="1123"/>
      <c r="D72" s="1124"/>
      <c r="E72" s="1240"/>
      <c r="F72" s="1150"/>
      <c r="G72" s="1140"/>
      <c r="H72" s="854"/>
      <c r="I72" s="855"/>
      <c r="J72" s="854"/>
      <c r="K72" s="912"/>
      <c r="L72" s="912"/>
    </row>
    <row r="73" spans="1:12" s="714" customFormat="1" ht="24" customHeight="1">
      <c r="A73" s="1147"/>
      <c r="B73" s="1148" t="s">
        <v>1785</v>
      </c>
      <c r="C73" s="1123"/>
      <c r="D73" s="1124"/>
      <c r="E73" s="1240">
        <v>4</v>
      </c>
      <c r="F73" s="1150" t="s">
        <v>240</v>
      </c>
      <c r="G73" s="1249">
        <v>18060</v>
      </c>
      <c r="H73" s="796">
        <f t="shared" ref="H73" si="24">ROUND(E73*G73,)</f>
        <v>72240</v>
      </c>
      <c r="I73" s="855">
        <v>100</v>
      </c>
      <c r="J73" s="796">
        <f t="shared" ref="J73" si="25">ROUND(I73*E73,)</f>
        <v>400</v>
      </c>
      <c r="K73" s="914">
        <f t="shared" ref="K73" si="26">H73+J73</f>
        <v>72640</v>
      </c>
      <c r="L73" s="912"/>
    </row>
    <row r="74" spans="1:12" s="714" customFormat="1" ht="24" customHeight="1">
      <c r="A74" s="1147"/>
      <c r="B74" s="1148" t="s">
        <v>957</v>
      </c>
      <c r="C74" s="1123"/>
      <c r="D74" s="1124"/>
      <c r="E74" s="1240"/>
      <c r="F74" s="1150"/>
      <c r="G74" s="1140"/>
      <c r="H74" s="854"/>
      <c r="I74" s="855"/>
      <c r="J74" s="854"/>
      <c r="K74" s="912"/>
      <c r="L74" s="912"/>
    </row>
    <row r="75" spans="1:12" s="714" customFormat="1" ht="24" customHeight="1">
      <c r="A75" s="1147"/>
      <c r="B75" s="1148" t="s">
        <v>1102</v>
      </c>
      <c r="C75" s="1123"/>
      <c r="D75" s="1124"/>
      <c r="E75" s="1240"/>
      <c r="F75" s="1150"/>
      <c r="G75" s="1140"/>
      <c r="H75" s="854"/>
      <c r="I75" s="855"/>
      <c r="J75" s="854"/>
      <c r="K75" s="912"/>
      <c r="L75" s="912"/>
    </row>
    <row r="76" spans="1:12" s="714" customFormat="1" ht="24" customHeight="1">
      <c r="A76" s="1166"/>
      <c r="B76" s="2475" t="str">
        <f>"รวมราคารายการที่ "&amp;A60</f>
        <v>รวมราคารายการที่ 6.2</v>
      </c>
      <c r="C76" s="2476"/>
      <c r="D76" s="2477"/>
      <c r="E76" s="1248"/>
      <c r="F76" s="1167"/>
      <c r="G76" s="1168"/>
      <c r="H76" s="1169">
        <f>SUM(H61:H75)</f>
        <v>212932</v>
      </c>
      <c r="I76" s="1170"/>
      <c r="J76" s="1169">
        <f>SUM(J61:J75)</f>
        <v>14000</v>
      </c>
      <c r="K76" s="1171">
        <f>SUM(K61:K75)</f>
        <v>226932</v>
      </c>
      <c r="L76" s="1171"/>
    </row>
    <row r="77" spans="1:12" s="714" customFormat="1" ht="24" customHeight="1">
      <c r="A77" s="1207">
        <v>6.3</v>
      </c>
      <c r="B77" s="1208" t="s">
        <v>1828</v>
      </c>
      <c r="C77" s="1209"/>
      <c r="D77" s="1210"/>
      <c r="E77" s="1239"/>
      <c r="F77" s="1221"/>
      <c r="G77" s="1140"/>
      <c r="H77" s="854"/>
      <c r="I77" s="855"/>
      <c r="J77" s="854"/>
      <c r="K77" s="912"/>
      <c r="L77" s="912"/>
    </row>
    <row r="78" spans="1:12" s="714" customFormat="1" ht="24" customHeight="1">
      <c r="A78" s="1147" t="s">
        <v>1829</v>
      </c>
      <c r="B78" s="1148" t="s">
        <v>1830</v>
      </c>
      <c r="C78" s="1123"/>
      <c r="D78" s="1124"/>
      <c r="E78" s="1240">
        <v>201</v>
      </c>
      <c r="F78" s="1147" t="s">
        <v>240</v>
      </c>
      <c r="G78" s="1140">
        <v>126</v>
      </c>
      <c r="H78" s="796">
        <f t="shared" ref="H78:H81" si="27">ROUND(E78*G78,)</f>
        <v>25326</v>
      </c>
      <c r="I78" s="855">
        <v>75</v>
      </c>
      <c r="J78" s="796">
        <f t="shared" ref="J78:J81" si="28">ROUND(I78*E78,)</f>
        <v>15075</v>
      </c>
      <c r="K78" s="914">
        <f>H78+J78</f>
        <v>40401</v>
      </c>
      <c r="L78" s="912"/>
    </row>
    <row r="79" spans="1:12" s="714" customFormat="1" ht="24" customHeight="1">
      <c r="A79" s="1147" t="s">
        <v>1831</v>
      </c>
      <c r="B79" s="1148" t="s">
        <v>1832</v>
      </c>
      <c r="C79" s="1123"/>
      <c r="D79" s="1124"/>
      <c r="E79" s="1240"/>
      <c r="F79" s="1147" t="s">
        <v>240</v>
      </c>
      <c r="G79" s="1140"/>
      <c r="H79" s="796"/>
      <c r="I79" s="855"/>
      <c r="J79" s="796"/>
      <c r="K79" s="914"/>
      <c r="L79" s="912"/>
    </row>
    <row r="80" spans="1:12" s="714" customFormat="1" ht="24" customHeight="1">
      <c r="A80" s="1147" t="s">
        <v>1833</v>
      </c>
      <c r="B80" s="1148" t="s">
        <v>1881</v>
      </c>
      <c r="C80" s="1123"/>
      <c r="D80" s="1124"/>
      <c r="E80" s="1240"/>
      <c r="F80" s="1147" t="s">
        <v>240</v>
      </c>
      <c r="G80" s="1140"/>
      <c r="H80" s="796">
        <f t="shared" ref="H80" si="29">ROUND(E80*G80,)</f>
        <v>0</v>
      </c>
      <c r="I80" s="855"/>
      <c r="J80" s="796">
        <f t="shared" ref="J80" si="30">ROUND(I80*E80,)</f>
        <v>0</v>
      </c>
      <c r="K80" s="914">
        <f>H80+J80</f>
        <v>0</v>
      </c>
      <c r="L80" s="912"/>
    </row>
    <row r="81" spans="1:14" s="714" customFormat="1" ht="24" customHeight="1">
      <c r="A81" s="1147" t="s">
        <v>1835</v>
      </c>
      <c r="B81" s="1148" t="s">
        <v>1834</v>
      </c>
      <c r="C81" s="1123"/>
      <c r="D81" s="1124"/>
      <c r="E81" s="1240"/>
      <c r="F81" s="1147" t="s">
        <v>240</v>
      </c>
      <c r="G81" s="1140"/>
      <c r="H81" s="796">
        <f t="shared" si="27"/>
        <v>0</v>
      </c>
      <c r="I81" s="855"/>
      <c r="J81" s="796">
        <f t="shared" si="28"/>
        <v>0</v>
      </c>
      <c r="K81" s="914">
        <f>H81+J81</f>
        <v>0</v>
      </c>
      <c r="L81" s="912"/>
    </row>
    <row r="82" spans="1:14" s="714" customFormat="1" ht="24" customHeight="1">
      <c r="A82" s="1147" t="s">
        <v>1837</v>
      </c>
      <c r="B82" s="1148" t="s">
        <v>1882</v>
      </c>
      <c r="C82" s="1123"/>
      <c r="D82" s="1124"/>
      <c r="E82" s="1240"/>
      <c r="F82" s="1147"/>
      <c r="G82" s="1140"/>
      <c r="H82" s="854"/>
      <c r="I82" s="855"/>
      <c r="J82" s="854"/>
      <c r="K82" s="912"/>
      <c r="L82" s="912"/>
    </row>
    <row r="83" spans="1:14" s="714" customFormat="1" ht="24" customHeight="1">
      <c r="A83" s="1147"/>
      <c r="B83" s="1148"/>
      <c r="C83" s="1123"/>
      <c r="D83" s="1124"/>
      <c r="E83" s="1240"/>
      <c r="F83" s="1147"/>
      <c r="G83" s="1140"/>
      <c r="H83" s="854"/>
      <c r="I83" s="855"/>
      <c r="J83" s="854"/>
      <c r="K83" s="912"/>
      <c r="L83" s="912"/>
    </row>
    <row r="84" spans="1:14" s="714" customFormat="1" ht="24" customHeight="1">
      <c r="A84" s="1166"/>
      <c r="B84" s="2475" t="str">
        <f>"รวมราคารายการที่ "&amp;A77</f>
        <v>รวมราคารายการที่ 6.3</v>
      </c>
      <c r="C84" s="2476"/>
      <c r="D84" s="2477"/>
      <c r="E84" s="1248"/>
      <c r="F84" s="1167"/>
      <c r="G84" s="1168"/>
      <c r="H84" s="1169">
        <f>SUM(H78:H83)</f>
        <v>25326</v>
      </c>
      <c r="I84" s="1169"/>
      <c r="J84" s="1169">
        <f>SUM(J78:J83)</f>
        <v>15075</v>
      </c>
      <c r="K84" s="1169">
        <f>SUM(K78:K83)</f>
        <v>40401</v>
      </c>
      <c r="L84" s="1169"/>
    </row>
    <row r="85" spans="1:14" s="714" customFormat="1" ht="24" customHeight="1">
      <c r="A85" s="1195">
        <v>6.4</v>
      </c>
      <c r="B85" s="1196" t="s">
        <v>1844</v>
      </c>
      <c r="C85" s="1197"/>
      <c r="D85" s="1198"/>
      <c r="E85" s="1305"/>
      <c r="F85" s="1230"/>
      <c r="G85" s="1255"/>
      <c r="H85" s="788"/>
      <c r="I85" s="789"/>
      <c r="J85" s="788"/>
      <c r="K85" s="1256"/>
      <c r="L85" s="1256"/>
    </row>
    <row r="86" spans="1:14" s="714" customFormat="1" ht="24" customHeight="1">
      <c r="A86" s="1147" t="s">
        <v>1845</v>
      </c>
      <c r="B86" s="1148" t="s">
        <v>1846</v>
      </c>
      <c r="C86" s="1123"/>
      <c r="D86" s="1124"/>
      <c r="E86" s="1240"/>
      <c r="F86" s="1147"/>
      <c r="G86" s="1257"/>
      <c r="H86" s="796"/>
      <c r="I86" s="797"/>
      <c r="J86" s="796"/>
      <c r="K86" s="914"/>
      <c r="L86" s="914"/>
    </row>
    <row r="87" spans="1:14" s="714" customFormat="1" ht="24" customHeight="1">
      <c r="A87" s="1147"/>
      <c r="B87" s="1148" t="s">
        <v>1847</v>
      </c>
      <c r="C87" s="1123"/>
      <c r="D87" s="1124"/>
      <c r="E87" s="1240">
        <v>7</v>
      </c>
      <c r="F87" s="1147" t="s">
        <v>240</v>
      </c>
      <c r="G87" s="1257">
        <v>3800</v>
      </c>
      <c r="H87" s="796">
        <f t="shared" ref="H87:H93" si="31">ROUND(E87*G87,)</f>
        <v>26600</v>
      </c>
      <c r="I87" s="797">
        <f>G87*0.3</f>
        <v>1140</v>
      </c>
      <c r="J87" s="796">
        <f t="shared" ref="J87" si="32">ROUND(I87*E87,)</f>
        <v>7980</v>
      </c>
      <c r="K87" s="914">
        <f>H87+J87</f>
        <v>34580</v>
      </c>
      <c r="L87" s="914"/>
    </row>
    <row r="88" spans="1:14" s="714" customFormat="1" ht="24" customHeight="1">
      <c r="A88" s="1159"/>
      <c r="B88" s="1160" t="s">
        <v>1848</v>
      </c>
      <c r="C88" s="1161"/>
      <c r="D88" s="1162"/>
      <c r="E88" s="1240">
        <v>7</v>
      </c>
      <c r="F88" s="1159" t="s">
        <v>240</v>
      </c>
      <c r="G88" s="1258">
        <v>890</v>
      </c>
      <c r="H88" s="796">
        <f t="shared" si="31"/>
        <v>6230</v>
      </c>
      <c r="I88" s="797" t="s">
        <v>974</v>
      </c>
      <c r="J88" s="796"/>
      <c r="K88" s="914">
        <f t="shared" ref="K88:K93" si="33">H88+J88</f>
        <v>6230</v>
      </c>
      <c r="L88" s="914"/>
    </row>
    <row r="89" spans="1:14" s="714" customFormat="1" ht="24" customHeight="1">
      <c r="A89" s="1147"/>
      <c r="B89" s="1148" t="s">
        <v>1849</v>
      </c>
      <c r="C89" s="1123"/>
      <c r="D89" s="1124"/>
      <c r="E89" s="1240">
        <v>7</v>
      </c>
      <c r="F89" s="1147" t="s">
        <v>240</v>
      </c>
      <c r="G89" s="1257">
        <v>4200</v>
      </c>
      <c r="H89" s="796">
        <f t="shared" si="31"/>
        <v>29400</v>
      </c>
      <c r="I89" s="797" t="s">
        <v>974</v>
      </c>
      <c r="J89" s="796"/>
      <c r="K89" s="914">
        <f t="shared" si="33"/>
        <v>29400</v>
      </c>
      <c r="L89" s="914"/>
    </row>
    <row r="90" spans="1:14" s="714" customFormat="1" ht="24" customHeight="1">
      <c r="A90" s="1159"/>
      <c r="B90" s="1148" t="s">
        <v>1850</v>
      </c>
      <c r="C90" s="1123"/>
      <c r="D90" s="1124"/>
      <c r="E90" s="1149">
        <v>7</v>
      </c>
      <c r="F90" s="1147" t="s">
        <v>240</v>
      </c>
      <c r="G90" s="1257">
        <v>8000</v>
      </c>
      <c r="H90" s="796">
        <f t="shared" si="31"/>
        <v>56000</v>
      </c>
      <c r="I90" s="797" t="s">
        <v>974</v>
      </c>
      <c r="J90" s="796"/>
      <c r="K90" s="914">
        <f t="shared" si="33"/>
        <v>56000</v>
      </c>
      <c r="L90" s="1014"/>
    </row>
    <row r="91" spans="1:14" s="714" customFormat="1" ht="24" customHeight="1">
      <c r="A91" s="1147"/>
      <c r="B91" s="1148" t="s">
        <v>1851</v>
      </c>
      <c r="C91" s="1123"/>
      <c r="D91" s="1124"/>
      <c r="E91" s="1149">
        <v>7</v>
      </c>
      <c r="F91" s="1147" t="s">
        <v>240</v>
      </c>
      <c r="G91" s="1257">
        <v>5720</v>
      </c>
      <c r="H91" s="796">
        <f t="shared" si="31"/>
        <v>40040</v>
      </c>
      <c r="I91" s="797" t="s">
        <v>974</v>
      </c>
      <c r="J91" s="796"/>
      <c r="K91" s="914">
        <f t="shared" si="33"/>
        <v>40040</v>
      </c>
      <c r="L91" s="912"/>
    </row>
    <row r="92" spans="1:14" s="714" customFormat="1" ht="24" customHeight="1">
      <c r="A92" s="1147"/>
      <c r="B92" s="1148" t="s">
        <v>1852</v>
      </c>
      <c r="C92" s="1123"/>
      <c r="D92" s="1124"/>
      <c r="E92" s="1240">
        <v>7</v>
      </c>
      <c r="F92" s="1147" t="s">
        <v>240</v>
      </c>
      <c r="G92" s="1257">
        <v>820</v>
      </c>
      <c r="H92" s="796">
        <f t="shared" si="31"/>
        <v>5740</v>
      </c>
      <c r="I92" s="797" t="s">
        <v>974</v>
      </c>
      <c r="J92" s="796"/>
      <c r="K92" s="914">
        <f t="shared" si="33"/>
        <v>5740</v>
      </c>
      <c r="L92" s="912"/>
    </row>
    <row r="93" spans="1:14" s="714" customFormat="1" ht="24" customHeight="1">
      <c r="A93" s="1147"/>
      <c r="B93" s="1148" t="s">
        <v>1853</v>
      </c>
      <c r="C93" s="1123"/>
      <c r="D93" s="1124"/>
      <c r="E93" s="1240">
        <v>7</v>
      </c>
      <c r="F93" s="1147" t="s">
        <v>240</v>
      </c>
      <c r="G93" s="1257">
        <v>450</v>
      </c>
      <c r="H93" s="796">
        <f t="shared" si="31"/>
        <v>3150</v>
      </c>
      <c r="I93" s="797" t="s">
        <v>974</v>
      </c>
      <c r="J93" s="796"/>
      <c r="K93" s="914">
        <f t="shared" si="33"/>
        <v>3150</v>
      </c>
      <c r="L93" s="912"/>
    </row>
    <row r="94" spans="1:14" s="714" customFormat="1" ht="24" customHeight="1">
      <c r="A94" s="1147" t="s">
        <v>1854</v>
      </c>
      <c r="B94" s="1148" t="s">
        <v>1855</v>
      </c>
      <c r="C94" s="1123"/>
      <c r="D94" s="1124"/>
      <c r="E94" s="1240"/>
      <c r="F94" s="1147"/>
      <c r="G94" s="1257"/>
      <c r="H94" s="854"/>
      <c r="I94" s="855"/>
      <c r="J94" s="854"/>
      <c r="K94" s="912"/>
      <c r="L94" s="912"/>
      <c r="M94" s="914"/>
      <c r="N94" s="1014"/>
    </row>
    <row r="95" spans="1:14" s="714" customFormat="1" ht="24" customHeight="1">
      <c r="A95" s="1147"/>
      <c r="B95" s="1148" t="s">
        <v>1856</v>
      </c>
      <c r="C95" s="1123"/>
      <c r="D95" s="1124"/>
      <c r="E95" s="1149">
        <v>1</v>
      </c>
      <c r="F95" s="1147" t="s">
        <v>240</v>
      </c>
      <c r="G95" s="1257">
        <f>6500*1.1</f>
        <v>7150.0000000000009</v>
      </c>
      <c r="H95" s="796">
        <f t="shared" ref="H95:H101" si="34">ROUND(E95*G95,)</f>
        <v>7150</v>
      </c>
      <c r="I95" s="797">
        <f>G95*0.3</f>
        <v>2145</v>
      </c>
      <c r="J95" s="796">
        <f t="shared" ref="J95" si="35">ROUND(I95*E95,)</f>
        <v>2145</v>
      </c>
      <c r="K95" s="914">
        <f>H95+J95</f>
        <v>9295</v>
      </c>
      <c r="L95" s="1014"/>
      <c r="M95" s="914"/>
      <c r="N95" s="1014"/>
    </row>
    <row r="96" spans="1:14" s="714" customFormat="1" ht="24" customHeight="1">
      <c r="A96" s="1159"/>
      <c r="B96" s="1160" t="s">
        <v>1848</v>
      </c>
      <c r="C96" s="1161"/>
      <c r="D96" s="1162"/>
      <c r="E96" s="1149">
        <v>1</v>
      </c>
      <c r="F96" s="1159" t="s">
        <v>240</v>
      </c>
      <c r="G96" s="1258">
        <v>890</v>
      </c>
      <c r="H96" s="796">
        <f t="shared" si="34"/>
        <v>890</v>
      </c>
      <c r="I96" s="797" t="s">
        <v>974</v>
      </c>
      <c r="J96" s="796"/>
      <c r="K96" s="914">
        <f t="shared" ref="K96:K101" si="36">H96+J96</f>
        <v>890</v>
      </c>
      <c r="L96" s="1014"/>
      <c r="M96" s="914"/>
      <c r="N96" s="1014"/>
    </row>
    <row r="97" spans="1:14" s="714" customFormat="1" ht="24" customHeight="1">
      <c r="A97" s="1147"/>
      <c r="B97" s="1148" t="s">
        <v>1883</v>
      </c>
      <c r="C97" s="1123"/>
      <c r="D97" s="1124"/>
      <c r="E97" s="1149">
        <v>1</v>
      </c>
      <c r="F97" s="1147" t="s">
        <v>240</v>
      </c>
      <c r="G97" s="1257">
        <v>4200</v>
      </c>
      <c r="H97" s="796">
        <f t="shared" si="34"/>
        <v>4200</v>
      </c>
      <c r="I97" s="797" t="s">
        <v>974</v>
      </c>
      <c r="J97" s="796"/>
      <c r="K97" s="914">
        <f t="shared" si="36"/>
        <v>4200</v>
      </c>
      <c r="L97" s="1014"/>
      <c r="M97" s="914"/>
      <c r="N97" s="1014"/>
    </row>
    <row r="98" spans="1:14" s="714" customFormat="1" ht="24" customHeight="1">
      <c r="A98" s="1159"/>
      <c r="B98" s="1148" t="s">
        <v>1850</v>
      </c>
      <c r="C98" s="1123"/>
      <c r="D98" s="1124"/>
      <c r="E98" s="1149">
        <v>1</v>
      </c>
      <c r="F98" s="1147" t="s">
        <v>240</v>
      </c>
      <c r="G98" s="1257">
        <v>8000</v>
      </c>
      <c r="H98" s="796">
        <f t="shared" si="34"/>
        <v>8000</v>
      </c>
      <c r="I98" s="797" t="s">
        <v>974</v>
      </c>
      <c r="J98" s="796"/>
      <c r="K98" s="914">
        <f t="shared" si="36"/>
        <v>8000</v>
      </c>
      <c r="L98" s="1014"/>
      <c r="M98" s="914"/>
      <c r="N98" s="1014"/>
    </row>
    <row r="99" spans="1:14" s="714" customFormat="1" ht="24" customHeight="1">
      <c r="A99" s="1147"/>
      <c r="B99" s="1148" t="s">
        <v>1851</v>
      </c>
      <c r="C99" s="1123"/>
      <c r="D99" s="1124"/>
      <c r="E99" s="1149">
        <v>1</v>
      </c>
      <c r="F99" s="1147" t="s">
        <v>240</v>
      </c>
      <c r="G99" s="1257">
        <v>5720</v>
      </c>
      <c r="H99" s="796">
        <f t="shared" si="34"/>
        <v>5720</v>
      </c>
      <c r="I99" s="797" t="s">
        <v>974</v>
      </c>
      <c r="J99" s="796"/>
      <c r="K99" s="914">
        <f t="shared" si="36"/>
        <v>5720</v>
      </c>
      <c r="L99" s="912"/>
    </row>
    <row r="100" spans="1:14" s="714" customFormat="1" ht="24" customHeight="1">
      <c r="A100" s="1147"/>
      <c r="B100" s="1148" t="s">
        <v>1884</v>
      </c>
      <c r="C100" s="1123"/>
      <c r="D100" s="1124"/>
      <c r="E100" s="1149">
        <v>1</v>
      </c>
      <c r="F100" s="1147" t="s">
        <v>240</v>
      </c>
      <c r="G100" s="1257">
        <v>820</v>
      </c>
      <c r="H100" s="796">
        <f t="shared" si="34"/>
        <v>820</v>
      </c>
      <c r="I100" s="797" t="s">
        <v>974</v>
      </c>
      <c r="J100" s="796"/>
      <c r="K100" s="914">
        <f t="shared" si="36"/>
        <v>820</v>
      </c>
      <c r="L100" s="1014"/>
    </row>
    <row r="101" spans="1:14" s="714" customFormat="1" ht="24" customHeight="1">
      <c r="A101" s="1147"/>
      <c r="B101" s="1148" t="s">
        <v>1885</v>
      </c>
      <c r="C101" s="1123"/>
      <c r="D101" s="1124"/>
      <c r="E101" s="1149">
        <v>1</v>
      </c>
      <c r="F101" s="1147" t="s">
        <v>240</v>
      </c>
      <c r="G101" s="1257">
        <v>450</v>
      </c>
      <c r="H101" s="796">
        <f t="shared" si="34"/>
        <v>450</v>
      </c>
      <c r="I101" s="797" t="s">
        <v>974</v>
      </c>
      <c r="J101" s="796"/>
      <c r="K101" s="914">
        <f t="shared" si="36"/>
        <v>450</v>
      </c>
      <c r="L101" s="1014"/>
    </row>
    <row r="102" spans="1:14" s="714" customFormat="1" ht="24" customHeight="1">
      <c r="A102" s="1221"/>
      <c r="B102" s="1219"/>
      <c r="C102" s="1209"/>
      <c r="D102" s="1210"/>
      <c r="E102" s="1211"/>
      <c r="F102" s="1221"/>
      <c r="G102" s="1257"/>
      <c r="H102" s="796"/>
      <c r="I102" s="797"/>
      <c r="J102" s="796"/>
      <c r="K102" s="914"/>
      <c r="L102" s="1014"/>
    </row>
    <row r="103" spans="1:14" s="714" customFormat="1" ht="24" customHeight="1">
      <c r="A103" s="1221" t="s">
        <v>1857</v>
      </c>
      <c r="B103" s="1219" t="s">
        <v>1858</v>
      </c>
      <c r="C103" s="1209"/>
      <c r="D103" s="1210"/>
      <c r="E103" s="1239"/>
      <c r="F103" s="1221"/>
      <c r="G103" s="1257"/>
      <c r="H103" s="796"/>
      <c r="I103" s="1259"/>
      <c r="J103" s="796"/>
      <c r="K103" s="1014"/>
      <c r="L103" s="1014"/>
    </row>
    <row r="104" spans="1:14" s="714" customFormat="1" ht="24" customHeight="1">
      <c r="A104" s="1147"/>
      <c r="B104" s="1148" t="s">
        <v>1859</v>
      </c>
      <c r="C104" s="1123"/>
      <c r="D104" s="1124"/>
      <c r="E104" s="1240">
        <v>4</v>
      </c>
      <c r="F104" s="1147" t="s">
        <v>240</v>
      </c>
      <c r="G104" s="1257">
        <v>1000</v>
      </c>
      <c r="H104" s="796">
        <f t="shared" ref="H104:H105" si="37">ROUND(E104*G104,)</f>
        <v>4000</v>
      </c>
      <c r="I104" s="1259">
        <v>200</v>
      </c>
      <c r="J104" s="796">
        <f t="shared" ref="J104:J105" si="38">ROUND(I104*E104,)</f>
        <v>800</v>
      </c>
      <c r="K104" s="914">
        <f t="shared" ref="K104:K105" si="39">H104+J104</f>
        <v>4800</v>
      </c>
      <c r="L104" s="1014"/>
    </row>
    <row r="105" spans="1:14" s="714" customFormat="1" ht="24" customHeight="1">
      <c r="A105" s="1159"/>
      <c r="B105" s="1160" t="s">
        <v>1860</v>
      </c>
      <c r="C105" s="1161"/>
      <c r="D105" s="1162"/>
      <c r="E105" s="1306"/>
      <c r="F105" s="1159" t="s">
        <v>240</v>
      </c>
      <c r="G105" s="1257">
        <v>6000</v>
      </c>
      <c r="H105" s="796">
        <f t="shared" si="37"/>
        <v>0</v>
      </c>
      <c r="I105" s="1259">
        <v>200</v>
      </c>
      <c r="J105" s="796">
        <f t="shared" si="38"/>
        <v>0</v>
      </c>
      <c r="K105" s="914">
        <f t="shared" si="39"/>
        <v>0</v>
      </c>
      <c r="L105" s="1014"/>
    </row>
    <row r="106" spans="1:14" s="714" customFormat="1" ht="24" customHeight="1">
      <c r="A106" s="1147"/>
      <c r="B106" s="1148" t="s">
        <v>1861</v>
      </c>
      <c r="C106" s="1123"/>
      <c r="D106" s="1124"/>
      <c r="E106" s="1240">
        <v>2</v>
      </c>
      <c r="F106" s="1147" t="s">
        <v>240</v>
      </c>
      <c r="G106" s="849">
        <v>14400</v>
      </c>
      <c r="H106" s="796">
        <f>ROUND(E106*G106,)</f>
        <v>28800</v>
      </c>
      <c r="I106" s="1259">
        <v>200</v>
      </c>
      <c r="J106" s="796">
        <f>ROUND(I106*E106,)</f>
        <v>400</v>
      </c>
      <c r="K106" s="914">
        <f>H106+J106</f>
        <v>29200</v>
      </c>
      <c r="L106" s="1014"/>
    </row>
    <row r="107" spans="1:14" s="714" customFormat="1" ht="24" customHeight="1">
      <c r="A107" s="1147"/>
      <c r="B107" s="1148" t="s">
        <v>957</v>
      </c>
      <c r="C107" s="1123"/>
      <c r="D107" s="1124"/>
      <c r="E107" s="1240"/>
      <c r="F107" s="1147"/>
      <c r="G107" s="1257"/>
      <c r="H107" s="796"/>
      <c r="I107" s="1259"/>
      <c r="J107" s="796"/>
      <c r="K107" s="1014"/>
      <c r="L107" s="1014"/>
    </row>
    <row r="108" spans="1:14" s="714" customFormat="1" ht="24" customHeight="1">
      <c r="A108" s="1230"/>
      <c r="B108" s="1231"/>
      <c r="C108" s="1197"/>
      <c r="D108" s="1198"/>
      <c r="E108" s="1305"/>
      <c r="F108" s="1230"/>
      <c r="G108" s="1727"/>
      <c r="H108" s="1202"/>
      <c r="I108" s="1728"/>
      <c r="J108" s="1202"/>
      <c r="K108" s="1729"/>
      <c r="L108" s="1729"/>
    </row>
    <row r="109" spans="1:14" s="714" customFormat="1" ht="24" customHeight="1">
      <c r="A109" s="1166"/>
      <c r="B109" s="2475" t="str">
        <f>"รวมราคารายการที่ "&amp;A85</f>
        <v>รวมราคารายการที่ 6.4</v>
      </c>
      <c r="C109" s="2476"/>
      <c r="D109" s="2477"/>
      <c r="E109" s="1248"/>
      <c r="F109" s="1167"/>
      <c r="G109" s="1168"/>
      <c r="H109" s="1169">
        <f>SUM(H86:H107)</f>
        <v>227190</v>
      </c>
      <c r="I109" s="1170"/>
      <c r="J109" s="1169">
        <f>SUM(J86:J107)</f>
        <v>11325</v>
      </c>
      <c r="K109" s="1171">
        <f>SUM(K86:K107)</f>
        <v>238515</v>
      </c>
      <c r="L109" s="1171"/>
    </row>
    <row r="110" spans="1:14" s="714" customFormat="1" ht="24" customHeight="1">
      <c r="A110" s="1195">
        <v>6.5</v>
      </c>
      <c r="B110" s="1196" t="s">
        <v>1862</v>
      </c>
      <c r="C110" s="1197"/>
      <c r="D110" s="1198"/>
      <c r="E110" s="1305"/>
      <c r="F110" s="1230"/>
      <c r="G110" s="1201"/>
      <c r="H110" s="788"/>
      <c r="I110" s="789"/>
      <c r="J110" s="788"/>
      <c r="K110" s="1256"/>
      <c r="L110" s="1256"/>
    </row>
    <row r="111" spans="1:14" s="714" customFormat="1" ht="24" customHeight="1">
      <c r="A111" s="1147" t="s">
        <v>1863</v>
      </c>
      <c r="B111" s="1148" t="s">
        <v>1864</v>
      </c>
      <c r="C111" s="1123"/>
      <c r="D111" s="1124"/>
      <c r="E111" s="1240">
        <v>4</v>
      </c>
      <c r="F111" s="1147" t="s">
        <v>240</v>
      </c>
      <c r="G111" s="1140">
        <v>2300</v>
      </c>
      <c r="H111" s="796">
        <f t="shared" ref="H111:H112" si="40">ROUND(E111*G111,)</f>
        <v>9200</v>
      </c>
      <c r="I111" s="797">
        <f>G111*0.1</f>
        <v>230</v>
      </c>
      <c r="J111" s="796">
        <f t="shared" ref="J111:J112" si="41">ROUND(I111*E111,)</f>
        <v>920</v>
      </c>
      <c r="K111" s="914">
        <f t="shared" ref="K111:K112" si="42">H111+J111</f>
        <v>10120</v>
      </c>
      <c r="L111" s="914"/>
    </row>
    <row r="112" spans="1:14" s="714" customFormat="1" ht="24" customHeight="1">
      <c r="A112" s="1147" t="s">
        <v>1865</v>
      </c>
      <c r="B112" s="1148" t="s">
        <v>1866</v>
      </c>
      <c r="C112" s="1123"/>
      <c r="D112" s="1124"/>
      <c r="E112" s="1240">
        <v>4</v>
      </c>
      <c r="F112" s="1147" t="s">
        <v>240</v>
      </c>
      <c r="G112" s="1140">
        <v>3400</v>
      </c>
      <c r="H112" s="796">
        <f t="shared" si="40"/>
        <v>13600</v>
      </c>
      <c r="I112" s="797">
        <f>G112*0.1</f>
        <v>340</v>
      </c>
      <c r="J112" s="796">
        <f t="shared" si="41"/>
        <v>1360</v>
      </c>
      <c r="K112" s="914">
        <f t="shared" si="42"/>
        <v>14960</v>
      </c>
      <c r="L112" s="912"/>
    </row>
    <row r="113" spans="1:12" s="714" customFormat="1" ht="24" customHeight="1">
      <c r="A113" s="1147" t="s">
        <v>1867</v>
      </c>
      <c r="B113" s="1148" t="s">
        <v>1868</v>
      </c>
      <c r="C113" s="1123"/>
      <c r="D113" s="1124"/>
      <c r="E113" s="1240"/>
      <c r="F113" s="1147" t="s">
        <v>240</v>
      </c>
      <c r="G113" s="1140"/>
      <c r="H113" s="796"/>
      <c r="I113" s="797"/>
      <c r="J113" s="796"/>
      <c r="K113" s="914"/>
      <c r="L113" s="912"/>
    </row>
    <row r="114" spans="1:12" s="714" customFormat="1" ht="24" customHeight="1">
      <c r="A114" s="1147"/>
      <c r="B114" s="1148" t="s">
        <v>957</v>
      </c>
      <c r="C114" s="1123"/>
      <c r="D114" s="1124"/>
      <c r="E114" s="1240"/>
      <c r="F114" s="1147"/>
      <c r="G114" s="1140"/>
      <c r="H114" s="854"/>
      <c r="I114" s="855"/>
      <c r="J114" s="854"/>
      <c r="K114" s="912"/>
      <c r="L114" s="912"/>
    </row>
    <row r="115" spans="1:12" s="714" customFormat="1" ht="24" customHeight="1">
      <c r="A115" s="1147"/>
      <c r="B115" s="1148" t="s">
        <v>1102</v>
      </c>
      <c r="C115" s="1123"/>
      <c r="D115" s="1124"/>
      <c r="E115" s="1240"/>
      <c r="F115" s="1147"/>
      <c r="G115" s="1140"/>
      <c r="H115" s="854"/>
      <c r="I115" s="855"/>
      <c r="J115" s="854"/>
      <c r="K115" s="912"/>
      <c r="L115" s="912"/>
    </row>
    <row r="116" spans="1:12" s="714" customFormat="1" ht="24" customHeight="1">
      <c r="A116" s="1166"/>
      <c r="B116" s="2475" t="str">
        <f>"รวมราคารายการที่ "&amp;A110</f>
        <v>รวมราคารายการที่ 6.5</v>
      </c>
      <c r="C116" s="2476"/>
      <c r="D116" s="2477"/>
      <c r="E116" s="1248"/>
      <c r="F116" s="1167"/>
      <c r="G116" s="1168"/>
      <c r="H116" s="1169">
        <f>SUM(H111:H115)</f>
        <v>22800</v>
      </c>
      <c r="I116" s="1170"/>
      <c r="J116" s="1169">
        <f>SUM(J111:J115)</f>
        <v>2280</v>
      </c>
      <c r="K116" s="1171">
        <f>SUM(K111:K115)</f>
        <v>25080</v>
      </c>
      <c r="L116" s="1171"/>
    </row>
    <row r="117" spans="1:12" s="714" customFormat="1" ht="24" customHeight="1">
      <c r="A117" s="1207">
        <v>6.6</v>
      </c>
      <c r="B117" s="1208" t="s">
        <v>1264</v>
      </c>
      <c r="C117" s="1238"/>
      <c r="D117" s="1210"/>
      <c r="E117" s="1239"/>
      <c r="F117" s="1221" t="s">
        <v>948</v>
      </c>
      <c r="G117" s="1262" t="s">
        <v>1876</v>
      </c>
      <c r="H117" s="796"/>
      <c r="I117" s="855"/>
      <c r="J117" s="796">
        <f t="shared" ref="J117" si="43">ROUND(I117*E117,)</f>
        <v>0</v>
      </c>
      <c r="K117" s="914">
        <f t="shared" ref="K117" si="44">H117+J117</f>
        <v>0</v>
      </c>
      <c r="L117" s="912"/>
    </row>
    <row r="118" spans="1:12" s="714" customFormat="1" ht="24" customHeight="1">
      <c r="A118" s="1221"/>
      <c r="B118" s="1219"/>
      <c r="C118" s="1209"/>
      <c r="D118" s="1210"/>
      <c r="E118" s="1239"/>
      <c r="F118" s="1221"/>
      <c r="G118" s="874"/>
      <c r="H118" s="796"/>
      <c r="I118" s="855"/>
      <c r="J118" s="796"/>
      <c r="K118" s="914"/>
      <c r="L118" s="912"/>
    </row>
    <row r="119" spans="1:12" s="714" customFormat="1" ht="24" customHeight="1">
      <c r="A119" s="1221"/>
      <c r="B119" s="1219"/>
      <c r="C119" s="1209"/>
      <c r="D119" s="1210"/>
      <c r="E119" s="1239"/>
      <c r="F119" s="1221"/>
      <c r="G119" s="874"/>
      <c r="H119" s="796"/>
      <c r="I119" s="855"/>
      <c r="J119" s="796"/>
      <c r="K119" s="914"/>
      <c r="L119" s="912"/>
    </row>
    <row r="120" spans="1:12" s="714" customFormat="1" ht="24" customHeight="1">
      <c r="A120" s="1221"/>
      <c r="B120" s="1219"/>
      <c r="C120" s="1209"/>
      <c r="D120" s="1210"/>
      <c r="E120" s="1239"/>
      <c r="F120" s="1221"/>
      <c r="G120" s="874"/>
      <c r="H120" s="796"/>
      <c r="I120" s="855"/>
      <c r="J120" s="796"/>
      <c r="K120" s="914"/>
      <c r="L120" s="912"/>
    </row>
    <row r="121" spans="1:12" s="714" customFormat="1" ht="24" customHeight="1">
      <c r="A121" s="1221"/>
      <c r="B121" s="1219"/>
      <c r="C121" s="1209"/>
      <c r="D121" s="1210"/>
      <c r="E121" s="1239"/>
      <c r="F121" s="1221"/>
      <c r="G121" s="874"/>
      <c r="H121" s="796"/>
      <c r="I121" s="855"/>
      <c r="J121" s="796"/>
      <c r="K121" s="914"/>
      <c r="L121" s="912"/>
    </row>
    <row r="122" spans="1:12" s="714" customFormat="1" ht="24" customHeight="1">
      <c r="A122" s="1221"/>
      <c r="B122" s="1219"/>
      <c r="C122" s="1209"/>
      <c r="D122" s="1210"/>
      <c r="E122" s="1239"/>
      <c r="F122" s="1221"/>
      <c r="G122" s="874"/>
      <c r="H122" s="796"/>
      <c r="I122" s="855"/>
      <c r="J122" s="796"/>
      <c r="K122" s="914"/>
      <c r="L122" s="912"/>
    </row>
    <row r="123" spans="1:12" s="714" customFormat="1" ht="24" customHeight="1">
      <c r="A123" s="1221"/>
      <c r="B123" s="1219"/>
      <c r="C123" s="1209"/>
      <c r="D123" s="1210"/>
      <c r="E123" s="1239"/>
      <c r="F123" s="1221"/>
      <c r="G123" s="874"/>
      <c r="H123" s="796"/>
      <c r="I123" s="855"/>
      <c r="J123" s="796"/>
      <c r="K123" s="914"/>
      <c r="L123" s="912"/>
    </row>
    <row r="124" spans="1:12" s="714" customFormat="1" ht="24" customHeight="1">
      <c r="A124" s="1221"/>
      <c r="B124" s="1219"/>
      <c r="C124" s="1209"/>
      <c r="D124" s="1210"/>
      <c r="E124" s="1239"/>
      <c r="F124" s="1221"/>
      <c r="G124" s="874"/>
      <c r="H124" s="796"/>
      <c r="I124" s="855"/>
      <c r="J124" s="796"/>
      <c r="K124" s="914"/>
      <c r="L124" s="912"/>
    </row>
    <row r="125" spans="1:12" s="714" customFormat="1" ht="24" customHeight="1">
      <c r="A125" s="1221"/>
      <c r="B125" s="1219"/>
      <c r="C125" s="1209"/>
      <c r="D125" s="1210"/>
      <c r="E125" s="1239"/>
      <c r="F125" s="1221"/>
      <c r="G125" s="874"/>
      <c r="H125" s="796"/>
      <c r="I125" s="855"/>
      <c r="J125" s="796"/>
      <c r="K125" s="914"/>
      <c r="L125" s="912"/>
    </row>
    <row r="126" spans="1:12" s="714" customFormat="1" ht="24" customHeight="1">
      <c r="A126" s="1221"/>
      <c r="B126" s="1219"/>
      <c r="C126" s="1209"/>
      <c r="D126" s="1210"/>
      <c r="E126" s="1239"/>
      <c r="F126" s="1221"/>
      <c r="G126" s="874"/>
      <c r="H126" s="796"/>
      <c r="I126" s="855"/>
      <c r="J126" s="796"/>
      <c r="K126" s="914"/>
      <c r="L126" s="912"/>
    </row>
    <row r="127" spans="1:12" s="714" customFormat="1" ht="24" customHeight="1">
      <c r="A127" s="1221"/>
      <c r="B127" s="1219"/>
      <c r="C127" s="1209"/>
      <c r="D127" s="1210"/>
      <c r="E127" s="1239"/>
      <c r="F127" s="1221"/>
      <c r="G127" s="874"/>
      <c r="H127" s="796"/>
      <c r="I127" s="855"/>
      <c r="J127" s="796"/>
      <c r="K127" s="914"/>
      <c r="L127" s="912"/>
    </row>
    <row r="128" spans="1:12" s="714" customFormat="1" ht="24" customHeight="1">
      <c r="A128" s="1221"/>
      <c r="B128" s="1219"/>
      <c r="C128" s="1209"/>
      <c r="D128" s="1210"/>
      <c r="E128" s="1239"/>
      <c r="F128" s="1221"/>
      <c r="G128" s="874"/>
      <c r="H128" s="796"/>
      <c r="I128" s="855"/>
      <c r="J128" s="796"/>
      <c r="K128" s="914"/>
      <c r="L128" s="912"/>
    </row>
    <row r="129" spans="1:12" s="714" customFormat="1" ht="24" customHeight="1">
      <c r="A129" s="1221"/>
      <c r="B129" s="1219"/>
      <c r="C129" s="1209"/>
      <c r="D129" s="1210"/>
      <c r="E129" s="1239"/>
      <c r="F129" s="1221"/>
      <c r="G129" s="874"/>
      <c r="H129" s="796"/>
      <c r="I129" s="855"/>
      <c r="J129" s="796"/>
      <c r="K129" s="914"/>
      <c r="L129" s="912"/>
    </row>
    <row r="130" spans="1:12" s="714" customFormat="1" ht="24" customHeight="1">
      <c r="A130" s="1221"/>
      <c r="B130" s="1219"/>
      <c r="C130" s="1209"/>
      <c r="D130" s="1210"/>
      <c r="E130" s="1239"/>
      <c r="F130" s="1221"/>
      <c r="G130" s="874"/>
      <c r="H130" s="796"/>
      <c r="I130" s="855"/>
      <c r="J130" s="796"/>
      <c r="K130" s="914"/>
      <c r="L130" s="912"/>
    </row>
    <row r="131" spans="1:12" s="714" customFormat="1" ht="24" customHeight="1">
      <c r="A131" s="1221"/>
      <c r="B131" s="1219"/>
      <c r="C131" s="1209"/>
      <c r="D131" s="1210"/>
      <c r="E131" s="1239"/>
      <c r="F131" s="1221"/>
      <c r="G131" s="874"/>
      <c r="H131" s="796"/>
      <c r="I131" s="855"/>
      <c r="J131" s="796"/>
      <c r="K131" s="914"/>
      <c r="L131" s="912"/>
    </row>
    <row r="132" spans="1:12" s="714" customFormat="1" ht="24" customHeight="1">
      <c r="A132" s="1221"/>
      <c r="B132" s="1219"/>
      <c r="C132" s="1209"/>
      <c r="D132" s="1210"/>
      <c r="E132" s="1239"/>
      <c r="F132" s="1221"/>
      <c r="G132" s="874"/>
      <c r="H132" s="796"/>
      <c r="I132" s="855"/>
      <c r="J132" s="796"/>
      <c r="K132" s="914"/>
      <c r="L132" s="912"/>
    </row>
    <row r="133" spans="1:12" s="714" customFormat="1" ht="21.3">
      <c r="A133" s="1221"/>
      <c r="B133" s="1219"/>
      <c r="C133" s="1209"/>
      <c r="D133" s="1210"/>
      <c r="E133" s="1239"/>
      <c r="F133" s="1221"/>
      <c r="G133" s="874"/>
      <c r="H133" s="796"/>
      <c r="I133" s="855"/>
      <c r="J133" s="796"/>
      <c r="K133" s="914"/>
      <c r="L133" s="912"/>
    </row>
    <row r="134" spans="1:12" s="714" customFormat="1" ht="21.3">
      <c r="A134" s="1166"/>
      <c r="B134" s="2475" t="str">
        <f>"รวมราคารายการที่ "&amp;A117</f>
        <v>รวมราคารายการที่ 6.6</v>
      </c>
      <c r="C134" s="2476"/>
      <c r="D134" s="2477"/>
      <c r="E134" s="1248"/>
      <c r="F134" s="1167"/>
      <c r="G134" s="1168"/>
      <c r="H134" s="1169">
        <f>SUM(H117:H133)</f>
        <v>0</v>
      </c>
      <c r="I134" s="1170"/>
      <c r="J134" s="1169">
        <f>SUM(J117:J133)</f>
        <v>0</v>
      </c>
      <c r="K134" s="1171">
        <f>SUM(K117:K133)</f>
        <v>0</v>
      </c>
      <c r="L134" s="1171"/>
    </row>
    <row r="135" spans="1:12" s="714" customFormat="1" ht="21.3">
      <c r="A135" s="950"/>
      <c r="E135" s="1251"/>
    </row>
    <row r="136" spans="1:12" s="714" customFormat="1" ht="21.3">
      <c r="A136" s="950"/>
      <c r="E136" s="1234"/>
    </row>
    <row r="137" spans="1:12" s="714" customFormat="1" ht="21.3">
      <c r="A137" s="950"/>
      <c r="E137" s="1234"/>
    </row>
    <row r="138" spans="1:12" s="714" customFormat="1" ht="21.3">
      <c r="A138" s="950"/>
      <c r="E138" s="1234"/>
    </row>
    <row r="139" spans="1:12" s="714" customFormat="1" ht="21.3">
      <c r="A139" s="950"/>
      <c r="E139" s="1234"/>
    </row>
    <row r="140" spans="1:12" s="714" customFormat="1" ht="21.3">
      <c r="A140" s="950"/>
      <c r="E140" s="1234"/>
    </row>
    <row r="141" spans="1:12" s="714" customFormat="1" ht="21.3">
      <c r="A141" s="950"/>
      <c r="E141" s="1234"/>
    </row>
    <row r="142" spans="1:12" s="714" customFormat="1" ht="21.3">
      <c r="A142" s="950"/>
      <c r="E142" s="1234"/>
    </row>
    <row r="143" spans="1:12" s="714" customFormat="1" ht="21.3">
      <c r="A143" s="950"/>
      <c r="E143" s="1234"/>
    </row>
    <row r="144" spans="1:12" s="714" customFormat="1" ht="21.3">
      <c r="A144" s="950"/>
      <c r="E144" s="1234"/>
    </row>
    <row r="145" spans="1:5" s="714" customFormat="1" ht="21.3">
      <c r="A145" s="950"/>
      <c r="E145" s="1234"/>
    </row>
    <row r="146" spans="1:5" s="714" customFormat="1" ht="21.3">
      <c r="A146" s="950"/>
      <c r="E146" s="1234"/>
    </row>
    <row r="147" spans="1:5" s="714" customFormat="1" ht="21.3">
      <c r="A147" s="950"/>
      <c r="E147" s="1234"/>
    </row>
    <row r="148" spans="1:5" s="714" customFormat="1" ht="21.3">
      <c r="A148" s="950"/>
      <c r="E148" s="1234"/>
    </row>
    <row r="149" spans="1:5" s="714" customFormat="1" ht="21.3">
      <c r="A149" s="950"/>
      <c r="E149" s="1234"/>
    </row>
    <row r="150" spans="1:5" s="714" customFormat="1" ht="21.3">
      <c r="A150" s="950"/>
      <c r="E150" s="1234"/>
    </row>
    <row r="151" spans="1:5" s="714" customFormat="1" ht="21.3">
      <c r="A151" s="950"/>
      <c r="E151" s="1234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6:D116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&amp;Rงานดับเพลิงและป้องกันอัคคีภัย ชั้น 7-อาคารสนับนุน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DC0C6-A8DD-4325-9B1A-E310A38BD247}">
  <sheetPr>
    <tabColor rgb="FFFF3399"/>
  </sheetPr>
  <dimension ref="A1:O151"/>
  <sheetViews>
    <sheetView showGridLines="0" tabSelected="1" view="pageBreakPreview" topLeftCell="A118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5.29296875" style="1" customWidth="1"/>
    <col min="13" max="90" width="7.703125" style="1" customWidth="1"/>
    <col min="91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1780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>
        <v>6</v>
      </c>
      <c r="B11" s="1144" t="s">
        <v>1897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/>
      <c r="B12" s="1151" t="str">
        <f>B35</f>
        <v>งานระบบดับเพลิงและป้องกันอัคคีภัย</v>
      </c>
      <c r="C12" s="1123"/>
      <c r="D12" s="1124"/>
      <c r="E12" s="1149"/>
      <c r="F12" s="1150"/>
      <c r="G12" s="710"/>
      <c r="H12" s="711"/>
      <c r="I12" s="712"/>
      <c r="J12" s="711"/>
      <c r="K12" s="1129"/>
      <c r="L12" s="1024"/>
    </row>
    <row r="13" spans="1:12" s="714" customFormat="1" ht="24" customHeight="1">
      <c r="A13" s="1147">
        <f>A36</f>
        <v>6.1</v>
      </c>
      <c r="B13" s="1148" t="str">
        <f>B36</f>
        <v>งานท่อน้ำ (Piping Work)</v>
      </c>
      <c r="C13" s="1123"/>
      <c r="D13" s="1124"/>
      <c r="E13" s="1149">
        <v>1</v>
      </c>
      <c r="F13" s="1150" t="s">
        <v>19</v>
      </c>
      <c r="G13" s="710"/>
      <c r="H13" s="711">
        <f>H59</f>
        <v>724192</v>
      </c>
      <c r="I13" s="712"/>
      <c r="J13" s="711">
        <f>J59</f>
        <v>313372</v>
      </c>
      <c r="K13" s="1129">
        <f t="shared" ref="K13:K18" si="0">SUM(H13:J13)</f>
        <v>1037564</v>
      </c>
      <c r="L13" s="1024"/>
    </row>
    <row r="14" spans="1:12" s="714" customFormat="1" ht="24" customHeight="1">
      <c r="A14" s="1147">
        <f>A60</f>
        <v>6.2</v>
      </c>
      <c r="B14" s="1148" t="str">
        <f>B60</f>
        <v>วาล์วและอุปกรณ์ (Valve &amp; Pipe Accessories)</v>
      </c>
      <c r="C14" s="1123"/>
      <c r="D14" s="1124"/>
      <c r="E14" s="1149">
        <v>1</v>
      </c>
      <c r="F14" s="1150" t="s">
        <v>19</v>
      </c>
      <c r="G14" s="710"/>
      <c r="H14" s="711">
        <f>H76</f>
        <v>212932</v>
      </c>
      <c r="I14" s="712"/>
      <c r="J14" s="711">
        <f>J76</f>
        <v>14000</v>
      </c>
      <c r="K14" s="1129">
        <f t="shared" si="0"/>
        <v>226932</v>
      </c>
      <c r="L14" s="1024"/>
    </row>
    <row r="15" spans="1:12" s="714" customFormat="1" ht="24" customHeight="1">
      <c r="A15" s="1147">
        <f>A77</f>
        <v>6.3</v>
      </c>
      <c r="B15" s="1148" t="str">
        <f>B77</f>
        <v>ระบบหัวกระจายน้ำดับเพลิง (Sprinkler System)</v>
      </c>
      <c r="C15" s="1123"/>
      <c r="D15" s="1124"/>
      <c r="E15" s="1149">
        <v>1</v>
      </c>
      <c r="F15" s="1150" t="s">
        <v>19</v>
      </c>
      <c r="G15" s="710"/>
      <c r="H15" s="711">
        <f>H84</f>
        <v>76878</v>
      </c>
      <c r="I15" s="712"/>
      <c r="J15" s="711">
        <f>J84</f>
        <v>36095</v>
      </c>
      <c r="K15" s="1129">
        <f t="shared" si="0"/>
        <v>112973</v>
      </c>
      <c r="L15" s="1024"/>
    </row>
    <row r="16" spans="1:12" s="714" customFormat="1" ht="24" customHeight="1">
      <c r="A16" s="1230">
        <f>A85</f>
        <v>6.4</v>
      </c>
      <c r="B16" s="1231" t="str">
        <f>B85</f>
        <v>ตู้ดับเพลิงและถังดับเพลิงชนิดมือถือ (Fire Hose Cabinet &amp; Portable Fire Extinguisher)</v>
      </c>
      <c r="C16" s="1197"/>
      <c r="D16" s="1198"/>
      <c r="E16" s="1149">
        <v>1</v>
      </c>
      <c r="F16" s="1200" t="s">
        <v>19</v>
      </c>
      <c r="G16" s="1263"/>
      <c r="H16" s="1264">
        <f>H109</f>
        <v>211790</v>
      </c>
      <c r="I16" s="1265"/>
      <c r="J16" s="1264">
        <f>J109</f>
        <v>14945</v>
      </c>
      <c r="K16" s="1129">
        <f t="shared" si="0"/>
        <v>226735</v>
      </c>
      <c r="L16" s="1266"/>
    </row>
    <row r="17" spans="1:12" s="714" customFormat="1" ht="24" customHeight="1">
      <c r="A17" s="1304">
        <f>A110</f>
        <v>6.5</v>
      </c>
      <c r="B17" s="1160" t="str">
        <f>B110</f>
        <v>ระบบไฟฟ้าและควบคุม (Electrical &amp; Control System) สำหรับระบบป้องกันอัคคีภัย</v>
      </c>
      <c r="C17" s="1161"/>
      <c r="D17" s="1162"/>
      <c r="E17" s="1149">
        <v>1</v>
      </c>
      <c r="F17" s="1163" t="s">
        <v>19</v>
      </c>
      <c r="G17" s="1164"/>
      <c r="H17" s="957">
        <f>H118</f>
        <v>22800</v>
      </c>
      <c r="I17" s="1165"/>
      <c r="J17" s="957">
        <f>J118</f>
        <v>2280</v>
      </c>
      <c r="K17" s="1129">
        <f t="shared" si="0"/>
        <v>25080</v>
      </c>
      <c r="L17" s="954"/>
    </row>
    <row r="18" spans="1:12" s="714" customFormat="1" ht="24" customHeight="1">
      <c r="A18" s="1147">
        <f>A119</f>
        <v>6.6</v>
      </c>
      <c r="B18" s="1148" t="str">
        <f>B119</f>
        <v>ระบบป้องกันไฟและควันลาม (Fire Barrier System)</v>
      </c>
      <c r="C18" s="1123"/>
      <c r="D18" s="1124"/>
      <c r="E18" s="1149">
        <v>1</v>
      </c>
      <c r="F18" s="1150" t="s">
        <v>19</v>
      </c>
      <c r="G18" s="710"/>
      <c r="H18" s="711">
        <f>H134</f>
        <v>0</v>
      </c>
      <c r="I18" s="712"/>
      <c r="J18" s="711">
        <f>J134</f>
        <v>0</v>
      </c>
      <c r="K18" s="1129">
        <f t="shared" si="0"/>
        <v>0</v>
      </c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2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2" s="714" customFormat="1" ht="30" customHeight="1">
      <c r="A34" s="1166"/>
      <c r="B34" s="2475" t="str">
        <f>"รวมราคา"&amp;B11</f>
        <v>รวมราคางานระบบดับเพลิงและป้องกันอัคคีภัย ชั้น 8</v>
      </c>
      <c r="C34" s="2476"/>
      <c r="D34" s="2477"/>
      <c r="E34" s="1167"/>
      <c r="F34" s="1167"/>
      <c r="G34" s="1168"/>
      <c r="H34" s="1169">
        <f>SUM(H12:H33)</f>
        <v>1248592</v>
      </c>
      <c r="I34" s="1170"/>
      <c r="J34" s="1169">
        <f>SUM(J12:J33)</f>
        <v>380692</v>
      </c>
      <c r="K34" s="1171">
        <f>SUM(K12:K33)</f>
        <v>1629284</v>
      </c>
      <c r="L34" s="1171"/>
    </row>
    <row r="35" spans="1:12" s="714" customFormat="1" ht="24" customHeight="1">
      <c r="A35" s="1011"/>
      <c r="B35" s="1173" t="s">
        <v>31</v>
      </c>
      <c r="C35" s="859"/>
      <c r="D35" s="859"/>
      <c r="E35" s="1216"/>
      <c r="F35" s="852"/>
      <c r="G35" s="874"/>
      <c r="H35" s="854"/>
      <c r="I35" s="855"/>
      <c r="J35" s="854"/>
      <c r="K35" s="912"/>
      <c r="L35" s="912"/>
    </row>
    <row r="36" spans="1:12" s="714" customFormat="1" ht="24" customHeight="1">
      <c r="A36" s="1207">
        <v>6.1</v>
      </c>
      <c r="B36" s="1208" t="s">
        <v>1782</v>
      </c>
      <c r="C36" s="1238"/>
      <c r="D36" s="1210"/>
      <c r="E36" s="1211"/>
      <c r="F36" s="1212"/>
      <c r="G36" s="874"/>
      <c r="H36" s="854"/>
      <c r="I36" s="855"/>
      <c r="J36" s="854"/>
      <c r="K36" s="912"/>
      <c r="L36" s="912"/>
    </row>
    <row r="37" spans="1:12" s="714" customFormat="1" ht="24" customHeight="1">
      <c r="A37" s="1159" t="s">
        <v>1783</v>
      </c>
      <c r="B37" s="1160" t="s">
        <v>1878</v>
      </c>
      <c r="C37" s="1161"/>
      <c r="D37" s="1162"/>
      <c r="E37" s="1211"/>
      <c r="F37" s="1163"/>
      <c r="G37" s="1205"/>
      <c r="H37" s="796"/>
      <c r="I37" s="797"/>
      <c r="J37" s="796"/>
      <c r="K37" s="914"/>
      <c r="L37" s="914"/>
    </row>
    <row r="38" spans="1:12" s="714" customFormat="1" ht="24" customHeight="1">
      <c r="A38" s="1147"/>
      <c r="B38" s="1148" t="s">
        <v>1822</v>
      </c>
      <c r="C38" s="1123"/>
      <c r="D38" s="1124"/>
      <c r="E38" s="1287">
        <v>842</v>
      </c>
      <c r="F38" s="1150" t="s">
        <v>438</v>
      </c>
      <c r="G38" s="1249">
        <v>78</v>
      </c>
      <c r="H38" s="796">
        <f t="shared" ref="H38:H51" si="1">ROUND(E38*G38,)</f>
        <v>65676</v>
      </c>
      <c r="I38" s="797">
        <v>45</v>
      </c>
      <c r="J38" s="796">
        <f t="shared" ref="J38:J51" si="2">ROUND(I38*E38,)</f>
        <v>37890</v>
      </c>
      <c r="K38" s="914">
        <f t="shared" ref="K38:K51" si="3">H38+J38</f>
        <v>103566</v>
      </c>
      <c r="L38" s="914"/>
    </row>
    <row r="39" spans="1:12" s="714" customFormat="1" ht="24" customHeight="1">
      <c r="A39" s="1147"/>
      <c r="B39" s="1148" t="s">
        <v>1186</v>
      </c>
      <c r="C39" s="1123"/>
      <c r="D39" s="1124"/>
      <c r="E39" s="1287">
        <v>201</v>
      </c>
      <c r="F39" s="1150" t="s">
        <v>438</v>
      </c>
      <c r="G39" s="1249">
        <v>105</v>
      </c>
      <c r="H39" s="796">
        <f t="shared" si="1"/>
        <v>21105</v>
      </c>
      <c r="I39" s="855">
        <v>60</v>
      </c>
      <c r="J39" s="796">
        <f t="shared" si="2"/>
        <v>12060</v>
      </c>
      <c r="K39" s="914">
        <f t="shared" si="3"/>
        <v>33165</v>
      </c>
      <c r="L39" s="912"/>
    </row>
    <row r="40" spans="1:12" s="714" customFormat="1" ht="24" customHeight="1">
      <c r="A40" s="1147"/>
      <c r="B40" s="1148" t="s">
        <v>1187</v>
      </c>
      <c r="C40" s="1123"/>
      <c r="D40" s="1124"/>
      <c r="E40" s="1287">
        <v>219</v>
      </c>
      <c r="F40" s="1150" t="s">
        <v>438</v>
      </c>
      <c r="G40" s="1310">
        <v>126</v>
      </c>
      <c r="H40" s="796">
        <f t="shared" si="1"/>
        <v>27594</v>
      </c>
      <c r="I40" s="1176">
        <v>70</v>
      </c>
      <c r="J40" s="796">
        <f t="shared" si="2"/>
        <v>15330</v>
      </c>
      <c r="K40" s="914">
        <f t="shared" si="3"/>
        <v>42924</v>
      </c>
      <c r="L40" s="912"/>
    </row>
    <row r="41" spans="1:12" s="714" customFormat="1" ht="24" customHeight="1">
      <c r="A41" s="1147"/>
      <c r="B41" s="1148" t="s">
        <v>1188</v>
      </c>
      <c r="C41" s="1123"/>
      <c r="D41" s="1124"/>
      <c r="E41" s="1287">
        <v>371</v>
      </c>
      <c r="F41" s="1150" t="s">
        <v>438</v>
      </c>
      <c r="G41" s="1310">
        <v>169</v>
      </c>
      <c r="H41" s="796">
        <f t="shared" si="1"/>
        <v>62699</v>
      </c>
      <c r="I41" s="1176">
        <v>95</v>
      </c>
      <c r="J41" s="796">
        <f t="shared" si="2"/>
        <v>35245</v>
      </c>
      <c r="K41" s="914">
        <f t="shared" si="3"/>
        <v>97944</v>
      </c>
      <c r="L41" s="912"/>
    </row>
    <row r="42" spans="1:12" s="714" customFormat="1" ht="24" customHeight="1">
      <c r="A42" s="1147"/>
      <c r="B42" s="1148" t="s">
        <v>1189</v>
      </c>
      <c r="C42" s="1123"/>
      <c r="D42" s="1124"/>
      <c r="E42" s="1287">
        <v>162</v>
      </c>
      <c r="F42" s="1150" t="s">
        <v>438</v>
      </c>
      <c r="G42" s="1310">
        <v>268</v>
      </c>
      <c r="H42" s="796">
        <f t="shared" si="1"/>
        <v>43416</v>
      </c>
      <c r="I42" s="1176">
        <v>150</v>
      </c>
      <c r="J42" s="796">
        <f t="shared" si="2"/>
        <v>24300</v>
      </c>
      <c r="K42" s="914">
        <f t="shared" si="3"/>
        <v>67716</v>
      </c>
      <c r="L42" s="912"/>
    </row>
    <row r="43" spans="1:12" s="714" customFormat="1" ht="24" customHeight="1">
      <c r="A43" s="1147"/>
      <c r="B43" s="1148" t="s">
        <v>1190</v>
      </c>
      <c r="C43" s="1123"/>
      <c r="D43" s="1124"/>
      <c r="E43" s="1287">
        <v>116</v>
      </c>
      <c r="F43" s="1150" t="s">
        <v>438</v>
      </c>
      <c r="G43" s="1310">
        <v>350</v>
      </c>
      <c r="H43" s="796">
        <f t="shared" si="1"/>
        <v>40600</v>
      </c>
      <c r="I43" s="1176">
        <v>200</v>
      </c>
      <c r="J43" s="796">
        <f t="shared" si="2"/>
        <v>23200</v>
      </c>
      <c r="K43" s="914">
        <f t="shared" si="3"/>
        <v>63800</v>
      </c>
      <c r="L43" s="912"/>
    </row>
    <row r="44" spans="1:12" s="714" customFormat="1" ht="24" customHeight="1">
      <c r="A44" s="1147"/>
      <c r="B44" s="1148" t="s">
        <v>1674</v>
      </c>
      <c r="C44" s="1123"/>
      <c r="D44" s="1124"/>
      <c r="E44" s="1287">
        <v>92</v>
      </c>
      <c r="F44" s="1150" t="s">
        <v>438</v>
      </c>
      <c r="G44" s="1310">
        <v>499</v>
      </c>
      <c r="H44" s="796">
        <f t="shared" si="1"/>
        <v>45908</v>
      </c>
      <c r="I44" s="1176">
        <v>280</v>
      </c>
      <c r="J44" s="796">
        <f t="shared" si="2"/>
        <v>25760</v>
      </c>
      <c r="K44" s="914">
        <f t="shared" si="3"/>
        <v>71668</v>
      </c>
      <c r="L44" s="912"/>
    </row>
    <row r="45" spans="1:12" s="714" customFormat="1" ht="24" customHeight="1">
      <c r="A45" s="1147"/>
      <c r="B45" s="1148" t="s">
        <v>1675</v>
      </c>
      <c r="C45" s="1123"/>
      <c r="D45" s="1124"/>
      <c r="E45" s="1287">
        <v>59</v>
      </c>
      <c r="F45" s="1150" t="s">
        <v>438</v>
      </c>
      <c r="G45" s="1310">
        <v>877</v>
      </c>
      <c r="H45" s="796">
        <f t="shared" si="1"/>
        <v>51743</v>
      </c>
      <c r="I45" s="1176">
        <v>500</v>
      </c>
      <c r="J45" s="796">
        <f t="shared" si="2"/>
        <v>29500</v>
      </c>
      <c r="K45" s="914">
        <f t="shared" si="3"/>
        <v>81243</v>
      </c>
      <c r="L45" s="912"/>
    </row>
    <row r="46" spans="1:12" s="714" customFormat="1" ht="24" customHeight="1">
      <c r="A46" s="1147"/>
      <c r="B46" s="1148" t="s">
        <v>1676</v>
      </c>
      <c r="C46" s="1123"/>
      <c r="D46" s="1124"/>
      <c r="E46" s="1311"/>
      <c r="F46" s="1150" t="s">
        <v>438</v>
      </c>
      <c r="G46" s="1310">
        <v>1361</v>
      </c>
      <c r="H46" s="796">
        <f t="shared" si="1"/>
        <v>0</v>
      </c>
      <c r="I46" s="1176">
        <v>560</v>
      </c>
      <c r="J46" s="796">
        <f t="shared" si="2"/>
        <v>0</v>
      </c>
      <c r="K46" s="914">
        <f t="shared" si="3"/>
        <v>0</v>
      </c>
      <c r="L46" s="912"/>
    </row>
    <row r="47" spans="1:12" s="714" customFormat="1" ht="24" customHeight="1">
      <c r="A47" s="1147"/>
      <c r="B47" s="1148" t="s">
        <v>1790</v>
      </c>
      <c r="C47" s="1123"/>
      <c r="D47" s="1124"/>
      <c r="E47" s="1254"/>
      <c r="F47" s="1150" t="s">
        <v>438</v>
      </c>
      <c r="G47" s="1244">
        <v>2212</v>
      </c>
      <c r="H47" s="796">
        <f t="shared" si="1"/>
        <v>0</v>
      </c>
      <c r="I47" s="1176">
        <v>700</v>
      </c>
      <c r="J47" s="796">
        <f t="shared" si="2"/>
        <v>0</v>
      </c>
      <c r="K47" s="914">
        <f t="shared" si="3"/>
        <v>0</v>
      </c>
      <c r="L47" s="912"/>
    </row>
    <row r="48" spans="1:12" s="714" customFormat="1" ht="24" customHeight="1">
      <c r="A48" s="1147"/>
      <c r="B48" s="1148" t="s">
        <v>1645</v>
      </c>
      <c r="C48" s="1123"/>
      <c r="D48" s="1124"/>
      <c r="E48" s="1245">
        <v>1</v>
      </c>
      <c r="F48" s="935" t="s">
        <v>948</v>
      </c>
      <c r="G48" s="1244">
        <f>ROUND(SUM(H38:H47)*40%,)</f>
        <v>143496</v>
      </c>
      <c r="H48" s="796">
        <f t="shared" si="1"/>
        <v>143496</v>
      </c>
      <c r="I48" s="1176">
        <f>ROUND(G48*0.3,)</f>
        <v>43049</v>
      </c>
      <c r="J48" s="796">
        <f t="shared" si="2"/>
        <v>43049</v>
      </c>
      <c r="K48" s="914">
        <f t="shared" si="3"/>
        <v>186545</v>
      </c>
      <c r="L48" s="912"/>
    </row>
    <row r="49" spans="1:15" s="714" customFormat="1" ht="24" customHeight="1">
      <c r="A49" s="1147"/>
      <c r="B49" s="1148" t="s">
        <v>1646</v>
      </c>
      <c r="C49" s="1123"/>
      <c r="D49" s="1124"/>
      <c r="E49" s="1245">
        <v>1</v>
      </c>
      <c r="F49" s="935" t="s">
        <v>948</v>
      </c>
      <c r="G49" s="1244">
        <f>ROUND(SUM(H38:H47)*20%,)</f>
        <v>71748</v>
      </c>
      <c r="H49" s="796">
        <f t="shared" si="1"/>
        <v>71748</v>
      </c>
      <c r="I49" s="1176">
        <f t="shared" ref="I49:I51" si="4">ROUND(G49*0.3,)</f>
        <v>21524</v>
      </c>
      <c r="J49" s="796">
        <f t="shared" si="2"/>
        <v>21524</v>
      </c>
      <c r="K49" s="914">
        <f t="shared" si="3"/>
        <v>93272</v>
      </c>
      <c r="L49" s="912"/>
    </row>
    <row r="50" spans="1:15" s="714" customFormat="1" ht="24" customHeight="1">
      <c r="A50" s="1147"/>
      <c r="B50" s="1148" t="s">
        <v>1647</v>
      </c>
      <c r="C50" s="1123"/>
      <c r="D50" s="1124"/>
      <c r="E50" s="1245">
        <v>1</v>
      </c>
      <c r="F50" s="935" t="s">
        <v>948</v>
      </c>
      <c r="G50" s="1244">
        <f>ROUND(SUM(H38:H47)*10%,)</f>
        <v>35874</v>
      </c>
      <c r="H50" s="796">
        <f t="shared" si="1"/>
        <v>35874</v>
      </c>
      <c r="I50" s="1176">
        <f t="shared" si="4"/>
        <v>10762</v>
      </c>
      <c r="J50" s="796">
        <f t="shared" si="2"/>
        <v>10762</v>
      </c>
      <c r="K50" s="914">
        <f t="shared" si="3"/>
        <v>46636</v>
      </c>
      <c r="L50" s="912"/>
    </row>
    <row r="51" spans="1:15" s="714" customFormat="1" ht="24" customHeight="1">
      <c r="A51" s="1159"/>
      <c r="B51" s="1148" t="s">
        <v>1791</v>
      </c>
      <c r="C51" s="1123"/>
      <c r="D51" s="1124"/>
      <c r="E51" s="1245">
        <v>1</v>
      </c>
      <c r="F51" s="935" t="s">
        <v>948</v>
      </c>
      <c r="G51" s="1244">
        <f>ROUND(SUM(H38:H47)*30%,)</f>
        <v>107622</v>
      </c>
      <c r="H51" s="796">
        <f t="shared" si="1"/>
        <v>107622</v>
      </c>
      <c r="I51" s="1176">
        <f t="shared" si="4"/>
        <v>32287</v>
      </c>
      <c r="J51" s="796">
        <f t="shared" si="2"/>
        <v>32287</v>
      </c>
      <c r="K51" s="914">
        <f t="shared" si="3"/>
        <v>139909</v>
      </c>
      <c r="L51" s="912"/>
    </row>
    <row r="52" spans="1:15" s="714" customFormat="1" ht="24" customHeight="1">
      <c r="A52" s="1159" t="s">
        <v>1792</v>
      </c>
      <c r="B52" s="1160" t="s">
        <v>1793</v>
      </c>
      <c r="C52" s="1161"/>
      <c r="D52" s="1162"/>
      <c r="E52" s="1306"/>
      <c r="F52" s="1163"/>
      <c r="G52" s="1205"/>
      <c r="H52" s="796"/>
      <c r="I52" s="797"/>
      <c r="J52" s="796"/>
      <c r="K52" s="914"/>
      <c r="L52" s="914"/>
    </row>
    <row r="53" spans="1:15" s="714" customFormat="1" ht="24" customHeight="1">
      <c r="A53" s="1147"/>
      <c r="B53" s="1148" t="s">
        <v>1185</v>
      </c>
      <c r="C53" s="1123"/>
      <c r="D53" s="1124"/>
      <c r="E53" s="1312">
        <v>5</v>
      </c>
      <c r="F53" s="1150" t="s">
        <v>438</v>
      </c>
      <c r="G53" s="1140">
        <v>124</v>
      </c>
      <c r="H53" s="796">
        <f>ROUND(E53*G53,)</f>
        <v>620</v>
      </c>
      <c r="I53" s="797">
        <v>50</v>
      </c>
      <c r="J53" s="796">
        <f t="shared" ref="J53:J57" si="5">ROUND(I53*E53,)</f>
        <v>250</v>
      </c>
      <c r="K53" s="914">
        <f t="shared" ref="K53:K57" si="6">H53+J53</f>
        <v>870</v>
      </c>
      <c r="L53" s="2273" t="s">
        <v>2974</v>
      </c>
      <c r="N53" s="714">
        <v>745.96</v>
      </c>
      <c r="O53" s="714">
        <f>ROUND(N53/6,)</f>
        <v>124</v>
      </c>
    </row>
    <row r="54" spans="1:15" s="714" customFormat="1" ht="24" customHeight="1">
      <c r="A54" s="1147"/>
      <c r="B54" s="1148" t="s">
        <v>1188</v>
      </c>
      <c r="C54" s="1123"/>
      <c r="D54" s="1124"/>
      <c r="E54" s="1254">
        <v>12</v>
      </c>
      <c r="F54" s="1150" t="s">
        <v>438</v>
      </c>
      <c r="G54" s="1140">
        <v>259</v>
      </c>
      <c r="H54" s="796">
        <f t="shared" ref="H54:H57" si="7">ROUND(E54*G54,)</f>
        <v>3108</v>
      </c>
      <c r="I54" s="855">
        <v>110</v>
      </c>
      <c r="J54" s="796">
        <f t="shared" si="5"/>
        <v>1320</v>
      </c>
      <c r="K54" s="914">
        <f t="shared" si="6"/>
        <v>4428</v>
      </c>
      <c r="L54" s="2273" t="s">
        <v>2974</v>
      </c>
      <c r="N54" s="714">
        <v>1554.48</v>
      </c>
      <c r="O54" s="714">
        <f>ROUND(N54/6,)</f>
        <v>259</v>
      </c>
    </row>
    <row r="55" spans="1:15" s="714" customFormat="1" ht="24" customHeight="1">
      <c r="A55" s="1147"/>
      <c r="B55" s="1148" t="s">
        <v>1645</v>
      </c>
      <c r="C55" s="1123"/>
      <c r="D55" s="1124"/>
      <c r="E55" s="1254">
        <v>1</v>
      </c>
      <c r="F55" s="935" t="s">
        <v>948</v>
      </c>
      <c r="G55" s="1244">
        <f>ROUND(SUM(H53:H54)*50%,)</f>
        <v>1864</v>
      </c>
      <c r="H55" s="796">
        <f t="shared" si="7"/>
        <v>1864</v>
      </c>
      <c r="I55" s="1176">
        <f>ROUND(G55*0.3,)</f>
        <v>559</v>
      </c>
      <c r="J55" s="796">
        <f t="shared" si="5"/>
        <v>559</v>
      </c>
      <c r="K55" s="914">
        <f t="shared" si="6"/>
        <v>2423</v>
      </c>
      <c r="L55" s="912"/>
    </row>
    <row r="56" spans="1:15" s="714" customFormat="1" ht="24" customHeight="1">
      <c r="A56" s="1147"/>
      <c r="B56" s="1148" t="s">
        <v>1646</v>
      </c>
      <c r="C56" s="1123"/>
      <c r="D56" s="1124"/>
      <c r="E56" s="1254">
        <v>1</v>
      </c>
      <c r="F56" s="935" t="s">
        <v>948</v>
      </c>
      <c r="G56" s="1244">
        <f>ROUND(SUM(H53:H54)*20%,)</f>
        <v>746</v>
      </c>
      <c r="H56" s="796">
        <f t="shared" si="7"/>
        <v>746</v>
      </c>
      <c r="I56" s="1176">
        <f t="shared" ref="I56:I57" si="8">ROUND(G56*0.3,)</f>
        <v>224</v>
      </c>
      <c r="J56" s="796">
        <f t="shared" si="5"/>
        <v>224</v>
      </c>
      <c r="K56" s="914">
        <f t="shared" si="6"/>
        <v>970</v>
      </c>
      <c r="L56" s="912"/>
    </row>
    <row r="57" spans="1:15" s="714" customFormat="1" ht="24" customHeight="1">
      <c r="A57" s="1147"/>
      <c r="B57" s="1148" t="s">
        <v>1647</v>
      </c>
      <c r="C57" s="1123"/>
      <c r="D57" s="1124"/>
      <c r="E57" s="1254">
        <v>1</v>
      </c>
      <c r="F57" s="935" t="s">
        <v>948</v>
      </c>
      <c r="G57" s="1244">
        <f>ROUND(SUM(H53:H54)*10%,)</f>
        <v>373</v>
      </c>
      <c r="H57" s="796">
        <f t="shared" si="7"/>
        <v>373</v>
      </c>
      <c r="I57" s="1176">
        <f t="shared" si="8"/>
        <v>112</v>
      </c>
      <c r="J57" s="796">
        <f t="shared" si="5"/>
        <v>112</v>
      </c>
      <c r="K57" s="914">
        <f t="shared" si="6"/>
        <v>485</v>
      </c>
      <c r="L57" s="912"/>
    </row>
    <row r="58" spans="1:15" s="714" customFormat="1" ht="24" customHeight="1">
      <c r="A58" s="1147"/>
      <c r="B58" s="1148" t="s">
        <v>957</v>
      </c>
      <c r="C58" s="1123"/>
      <c r="D58" s="1124"/>
      <c r="E58" s="1240"/>
      <c r="F58" s="1150"/>
      <c r="G58" s="1140"/>
      <c r="H58" s="854"/>
      <c r="I58" s="855"/>
      <c r="J58" s="854"/>
      <c r="K58" s="912"/>
      <c r="L58" s="912"/>
    </row>
    <row r="59" spans="1:15" s="714" customFormat="1" ht="24" customHeight="1">
      <c r="A59" s="1166"/>
      <c r="B59" s="2475" t="str">
        <f>"รวมราคารายการที่ "&amp;A36</f>
        <v>รวมราคารายการที่ 6.1</v>
      </c>
      <c r="C59" s="2476"/>
      <c r="D59" s="2477"/>
      <c r="E59" s="1248"/>
      <c r="F59" s="1167"/>
      <c r="G59" s="1168"/>
      <c r="H59" s="1169">
        <f>SUM(H37:H58)</f>
        <v>724192</v>
      </c>
      <c r="I59" s="1170"/>
      <c r="J59" s="1169">
        <f>SUM(J37:J58)</f>
        <v>313372</v>
      </c>
      <c r="K59" s="1171">
        <f>SUM(K37:K58)</f>
        <v>1037564</v>
      </c>
      <c r="L59" s="1171"/>
    </row>
    <row r="60" spans="1:15" s="714" customFormat="1" ht="24" customHeight="1">
      <c r="A60" s="1207">
        <v>6.2</v>
      </c>
      <c r="B60" s="1208" t="s">
        <v>1794</v>
      </c>
      <c r="C60" s="1209"/>
      <c r="D60" s="1210"/>
      <c r="E60" s="1239"/>
      <c r="F60" s="1212"/>
      <c r="G60" s="874"/>
      <c r="H60" s="854"/>
      <c r="I60" s="855"/>
      <c r="J60" s="854"/>
      <c r="K60" s="912"/>
      <c r="L60" s="912"/>
    </row>
    <row r="61" spans="1:15" s="714" customFormat="1" ht="24" customHeight="1">
      <c r="A61" s="1147" t="s">
        <v>1795</v>
      </c>
      <c r="B61" s="1148" t="s">
        <v>1823</v>
      </c>
      <c r="C61" s="1123"/>
      <c r="D61" s="1124"/>
      <c r="E61" s="1240"/>
      <c r="F61" s="1150"/>
      <c r="G61" s="1140"/>
      <c r="H61" s="796">
        <f t="shared" ref="H61:H62" si="9">ROUND(E61*G61,)</f>
        <v>0</v>
      </c>
      <c r="I61" s="855"/>
      <c r="J61" s="796">
        <f t="shared" ref="J61:J62" si="10">ROUND(I61*E61,)</f>
        <v>0</v>
      </c>
      <c r="K61" s="912"/>
      <c r="L61" s="912"/>
    </row>
    <row r="62" spans="1:15" s="714" customFormat="1" ht="24" customHeight="1">
      <c r="A62" s="1147"/>
      <c r="B62" s="1148" t="s">
        <v>1185</v>
      </c>
      <c r="C62" s="1123"/>
      <c r="D62" s="1124"/>
      <c r="E62" s="1240">
        <v>8</v>
      </c>
      <c r="F62" s="1150" t="s">
        <v>240</v>
      </c>
      <c r="G62" s="1140">
        <v>400</v>
      </c>
      <c r="H62" s="796">
        <f t="shared" si="9"/>
        <v>3200</v>
      </c>
      <c r="I62" s="855">
        <v>200</v>
      </c>
      <c r="J62" s="796">
        <f t="shared" si="10"/>
        <v>1600</v>
      </c>
      <c r="K62" s="914">
        <f t="shared" ref="K62" si="11">H62+J62</f>
        <v>4800</v>
      </c>
      <c r="L62" s="912"/>
    </row>
    <row r="63" spans="1:15" s="714" customFormat="1" ht="24" customHeight="1">
      <c r="A63" s="1147" t="s">
        <v>1797</v>
      </c>
      <c r="B63" s="1148" t="s">
        <v>1824</v>
      </c>
      <c r="C63" s="1123"/>
      <c r="D63" s="1124"/>
      <c r="E63" s="1240"/>
      <c r="F63" s="1150"/>
      <c r="G63" s="1140"/>
      <c r="H63" s="854"/>
      <c r="I63" s="855"/>
      <c r="J63" s="854"/>
      <c r="K63" s="912"/>
      <c r="L63" s="912"/>
    </row>
    <row r="64" spans="1:15" s="714" customFormat="1" ht="24" customHeight="1">
      <c r="A64" s="1147"/>
      <c r="B64" s="1148" t="s">
        <v>1675</v>
      </c>
      <c r="C64" s="1123"/>
      <c r="D64" s="1124"/>
      <c r="E64" s="1240">
        <v>4</v>
      </c>
      <c r="F64" s="1150" t="s">
        <v>240</v>
      </c>
      <c r="G64" s="1140">
        <v>13100</v>
      </c>
      <c r="H64" s="796">
        <f t="shared" ref="H64:H67" si="12">ROUND(E64*G64,)</f>
        <v>52400</v>
      </c>
      <c r="I64" s="855">
        <v>1200</v>
      </c>
      <c r="J64" s="796">
        <f t="shared" ref="J64:J67" si="13">ROUND(I64*E64,)</f>
        <v>4800</v>
      </c>
      <c r="K64" s="914">
        <f t="shared" ref="K64:K67" si="14">H64+J64</f>
        <v>57200</v>
      </c>
      <c r="L64" s="912"/>
    </row>
    <row r="65" spans="1:12" s="714" customFormat="1" ht="24" customHeight="1">
      <c r="A65" s="1147" t="s">
        <v>1799</v>
      </c>
      <c r="B65" s="1148" t="s">
        <v>1825</v>
      </c>
      <c r="C65" s="1123"/>
      <c r="D65" s="1124"/>
      <c r="E65" s="1240"/>
      <c r="F65" s="1150"/>
      <c r="G65" s="1140"/>
      <c r="H65" s="796"/>
      <c r="I65" s="855"/>
      <c r="J65" s="796"/>
      <c r="K65" s="914"/>
      <c r="L65" s="912"/>
    </row>
    <row r="66" spans="1:12" s="714" customFormat="1" ht="24" customHeight="1">
      <c r="A66" s="1147"/>
      <c r="B66" s="1148" t="s">
        <v>1788</v>
      </c>
      <c r="C66" s="1123"/>
      <c r="D66" s="1124"/>
      <c r="E66" s="1240">
        <v>4</v>
      </c>
      <c r="F66" s="1150" t="s">
        <v>240</v>
      </c>
      <c r="G66" s="1140">
        <v>1963</v>
      </c>
      <c r="H66" s="796">
        <f t="shared" ref="H66" si="15">ROUND(E66*G66,)</f>
        <v>7852</v>
      </c>
      <c r="I66" s="855">
        <v>400</v>
      </c>
      <c r="J66" s="796">
        <f t="shared" ref="J66" si="16">ROUND(I66*E66,)</f>
        <v>1600</v>
      </c>
      <c r="K66" s="914">
        <f t="shared" ref="K66" si="17">H66+J66</f>
        <v>9452</v>
      </c>
      <c r="L66" s="912"/>
    </row>
    <row r="67" spans="1:12" s="714" customFormat="1" ht="24" customHeight="1">
      <c r="A67" s="1147" t="s">
        <v>1801</v>
      </c>
      <c r="B67" s="1148" t="s">
        <v>1826</v>
      </c>
      <c r="C67" s="1123"/>
      <c r="D67" s="1124"/>
      <c r="E67" s="1240">
        <v>4</v>
      </c>
      <c r="F67" s="1150" t="s">
        <v>240</v>
      </c>
      <c r="G67" s="1140">
        <v>900</v>
      </c>
      <c r="H67" s="796">
        <f t="shared" si="12"/>
        <v>3600</v>
      </c>
      <c r="I67" s="855">
        <v>100</v>
      </c>
      <c r="J67" s="796">
        <f t="shared" si="13"/>
        <v>400</v>
      </c>
      <c r="K67" s="914">
        <f t="shared" si="14"/>
        <v>4000</v>
      </c>
      <c r="L67" s="912"/>
    </row>
    <row r="68" spans="1:12" s="714" customFormat="1" ht="24" customHeight="1">
      <c r="A68" s="1147" t="s">
        <v>1803</v>
      </c>
      <c r="B68" s="1148" t="s">
        <v>1827</v>
      </c>
      <c r="C68" s="1123"/>
      <c r="D68" s="1124"/>
      <c r="E68" s="1240"/>
      <c r="F68" s="1150"/>
      <c r="G68" s="1140"/>
      <c r="H68" s="854"/>
      <c r="I68" s="855"/>
      <c r="J68" s="854"/>
      <c r="K68" s="912"/>
      <c r="L68" s="912"/>
    </row>
    <row r="69" spans="1:12" s="714" customFormat="1" ht="24" customHeight="1">
      <c r="A69" s="1147"/>
      <c r="B69" s="1148" t="s">
        <v>1675</v>
      </c>
      <c r="C69" s="1123"/>
      <c r="D69" s="1124"/>
      <c r="E69" s="1240">
        <v>4</v>
      </c>
      <c r="F69" s="1150" t="s">
        <v>240</v>
      </c>
      <c r="G69" s="1140">
        <v>17400</v>
      </c>
      <c r="H69" s="796">
        <f t="shared" ref="H69" si="18">ROUND(E69*G69,)</f>
        <v>69600</v>
      </c>
      <c r="I69" s="855">
        <v>1200</v>
      </c>
      <c r="J69" s="796">
        <f t="shared" ref="J69" si="19">ROUND(I69*E69,)</f>
        <v>4800</v>
      </c>
      <c r="K69" s="914">
        <f t="shared" ref="K69" si="20">H69+J69</f>
        <v>74400</v>
      </c>
      <c r="L69" s="912"/>
    </row>
    <row r="70" spans="1:12" s="714" customFormat="1" ht="24" customHeight="1">
      <c r="A70" s="1147" t="s">
        <v>1805</v>
      </c>
      <c r="B70" s="1148" t="s">
        <v>1717</v>
      </c>
      <c r="C70" s="1123"/>
      <c r="D70" s="1124"/>
      <c r="E70" s="1240"/>
      <c r="F70" s="1150"/>
      <c r="G70" s="1140"/>
      <c r="H70" s="854"/>
      <c r="I70" s="855"/>
      <c r="J70" s="854"/>
      <c r="K70" s="912"/>
      <c r="L70" s="912"/>
    </row>
    <row r="71" spans="1:12" s="714" customFormat="1" ht="24" customHeight="1">
      <c r="A71" s="1147"/>
      <c r="B71" s="1148" t="s">
        <v>1785</v>
      </c>
      <c r="C71" s="1123"/>
      <c r="D71" s="1124"/>
      <c r="E71" s="1240">
        <v>4</v>
      </c>
      <c r="F71" s="1150" t="s">
        <v>240</v>
      </c>
      <c r="G71" s="1140">
        <v>1010</v>
      </c>
      <c r="H71" s="796">
        <f t="shared" ref="H71" si="21">ROUND(E71*G71,)</f>
        <v>4040</v>
      </c>
      <c r="I71" s="855">
        <v>100</v>
      </c>
      <c r="J71" s="796">
        <f t="shared" ref="J71" si="22">ROUND(I71*E71,)</f>
        <v>400</v>
      </c>
      <c r="K71" s="914">
        <f t="shared" ref="K71" si="23">H71+J71</f>
        <v>4440</v>
      </c>
      <c r="L71" s="912"/>
    </row>
    <row r="72" spans="1:12" s="714" customFormat="1" ht="24" customHeight="1">
      <c r="A72" s="1147" t="s">
        <v>1807</v>
      </c>
      <c r="B72" s="1148" t="s">
        <v>1806</v>
      </c>
      <c r="C72" s="1123"/>
      <c r="D72" s="1124"/>
      <c r="E72" s="1240"/>
      <c r="F72" s="1150"/>
      <c r="G72" s="1140"/>
      <c r="H72" s="854"/>
      <c r="I72" s="855"/>
      <c r="J72" s="854"/>
      <c r="K72" s="912"/>
      <c r="L72" s="912"/>
    </row>
    <row r="73" spans="1:12" s="714" customFormat="1" ht="24" customHeight="1">
      <c r="A73" s="1147"/>
      <c r="B73" s="1148" t="s">
        <v>1785</v>
      </c>
      <c r="C73" s="1123"/>
      <c r="D73" s="1124"/>
      <c r="E73" s="1240">
        <v>4</v>
      </c>
      <c r="F73" s="1150" t="s">
        <v>240</v>
      </c>
      <c r="G73" s="1249">
        <v>18060</v>
      </c>
      <c r="H73" s="796">
        <f t="shared" ref="H73" si="24">ROUND(E73*G73,)</f>
        <v>72240</v>
      </c>
      <c r="I73" s="855">
        <v>100</v>
      </c>
      <c r="J73" s="796">
        <f t="shared" ref="J73" si="25">ROUND(I73*E73,)</f>
        <v>400</v>
      </c>
      <c r="K73" s="914">
        <f t="shared" ref="K73" si="26">H73+J73</f>
        <v>72640</v>
      </c>
      <c r="L73" s="912"/>
    </row>
    <row r="74" spans="1:12" s="714" customFormat="1" ht="24" customHeight="1">
      <c r="A74" s="1147"/>
      <c r="B74" s="1148" t="s">
        <v>957</v>
      </c>
      <c r="C74" s="1123"/>
      <c r="D74" s="1124"/>
      <c r="E74" s="1240"/>
      <c r="F74" s="1150"/>
      <c r="G74" s="1140"/>
      <c r="H74" s="854"/>
      <c r="I74" s="855"/>
      <c r="J74" s="854"/>
      <c r="K74" s="912"/>
      <c r="L74" s="912"/>
    </row>
    <row r="75" spans="1:12" s="714" customFormat="1" ht="24" customHeight="1">
      <c r="A75" s="1147"/>
      <c r="B75" s="1148" t="s">
        <v>1102</v>
      </c>
      <c r="C75" s="1123"/>
      <c r="D75" s="1124"/>
      <c r="E75" s="1240"/>
      <c r="F75" s="1150"/>
      <c r="G75" s="1140"/>
      <c r="H75" s="854"/>
      <c r="I75" s="855"/>
      <c r="J75" s="854"/>
      <c r="K75" s="912"/>
      <c r="L75" s="912"/>
    </row>
    <row r="76" spans="1:12" s="714" customFormat="1" ht="24" customHeight="1">
      <c r="A76" s="1166"/>
      <c r="B76" s="2475" t="str">
        <f>"รวมราคารายการที่ "&amp;A60</f>
        <v>รวมราคารายการที่ 6.2</v>
      </c>
      <c r="C76" s="2476"/>
      <c r="D76" s="2477"/>
      <c r="E76" s="1248"/>
      <c r="F76" s="1167"/>
      <c r="G76" s="1168"/>
      <c r="H76" s="1169">
        <f>SUM(H61:H75)</f>
        <v>212932</v>
      </c>
      <c r="I76" s="1170"/>
      <c r="J76" s="1169">
        <f>SUM(J61:J75)</f>
        <v>14000</v>
      </c>
      <c r="K76" s="1171">
        <f>SUM(K61:K75)</f>
        <v>226932</v>
      </c>
      <c r="L76" s="1171"/>
    </row>
    <row r="77" spans="1:12" s="714" customFormat="1" ht="24" customHeight="1">
      <c r="A77" s="1207">
        <v>6.3</v>
      </c>
      <c r="B77" s="1208" t="s">
        <v>1828</v>
      </c>
      <c r="C77" s="1209"/>
      <c r="D77" s="1210"/>
      <c r="E77" s="1239"/>
      <c r="F77" s="1221"/>
      <c r="G77" s="1140"/>
      <c r="H77" s="854"/>
      <c r="I77" s="855"/>
      <c r="J77" s="854"/>
      <c r="K77" s="912"/>
      <c r="L77" s="912"/>
    </row>
    <row r="78" spans="1:12" s="714" customFormat="1" ht="24" customHeight="1">
      <c r="A78" s="1147" t="s">
        <v>1829</v>
      </c>
      <c r="B78" s="1148" t="s">
        <v>1830</v>
      </c>
      <c r="C78" s="1123"/>
      <c r="D78" s="1124"/>
      <c r="E78" s="1240">
        <v>383</v>
      </c>
      <c r="F78" s="1147" t="s">
        <v>240</v>
      </c>
      <c r="G78" s="1140">
        <v>126</v>
      </c>
      <c r="H78" s="796">
        <f t="shared" ref="H78:H81" si="27">ROUND(E78*G78,)</f>
        <v>48258</v>
      </c>
      <c r="I78" s="855">
        <v>75</v>
      </c>
      <c r="J78" s="796">
        <f t="shared" ref="J78:J81" si="28">ROUND(I78*E78,)</f>
        <v>28725</v>
      </c>
      <c r="K78" s="914">
        <f>H78+J78</f>
        <v>76983</v>
      </c>
      <c r="L78" s="912"/>
    </row>
    <row r="79" spans="1:12" s="714" customFormat="1" ht="24" customHeight="1">
      <c r="A79" s="1147" t="s">
        <v>1831</v>
      </c>
      <c r="B79" s="1148" t="s">
        <v>1832</v>
      </c>
      <c r="C79" s="1123"/>
      <c r="D79" s="1124"/>
      <c r="E79" s="1240"/>
      <c r="F79" s="1147" t="s">
        <v>240</v>
      </c>
      <c r="G79" s="1140"/>
      <c r="H79" s="796"/>
      <c r="I79" s="855"/>
      <c r="J79" s="796"/>
      <c r="K79" s="914"/>
      <c r="L79" s="912"/>
    </row>
    <row r="80" spans="1:12" s="714" customFormat="1" ht="24" customHeight="1">
      <c r="A80" s="1147" t="s">
        <v>1833</v>
      </c>
      <c r="B80" s="1148" t="s">
        <v>1881</v>
      </c>
      <c r="C80" s="1123"/>
      <c r="D80" s="1124"/>
      <c r="E80" s="1240"/>
      <c r="F80" s="1147" t="s">
        <v>240</v>
      </c>
      <c r="G80" s="1140"/>
      <c r="H80" s="796">
        <f t="shared" ref="H80" si="29">ROUND(E80*G80,)</f>
        <v>0</v>
      </c>
      <c r="I80" s="855"/>
      <c r="J80" s="796">
        <f t="shared" ref="J80" si="30">ROUND(I80*E80,)</f>
        <v>0</v>
      </c>
      <c r="K80" s="914">
        <f>H80+J80</f>
        <v>0</v>
      </c>
      <c r="L80" s="912"/>
    </row>
    <row r="81" spans="1:14" s="714" customFormat="1" ht="24" customHeight="1">
      <c r="A81" s="1147" t="s">
        <v>1835</v>
      </c>
      <c r="B81" s="1148" t="s">
        <v>1834</v>
      </c>
      <c r="C81" s="1123"/>
      <c r="D81" s="1124"/>
      <c r="E81" s="1240">
        <v>115</v>
      </c>
      <c r="F81" s="1147" t="s">
        <v>240</v>
      </c>
      <c r="G81" s="1140">
        <v>108</v>
      </c>
      <c r="H81" s="796">
        <f t="shared" si="27"/>
        <v>12420</v>
      </c>
      <c r="I81" s="855">
        <v>50</v>
      </c>
      <c r="J81" s="796">
        <f t="shared" si="28"/>
        <v>5750</v>
      </c>
      <c r="K81" s="914">
        <f>H81+J81</f>
        <v>18170</v>
      </c>
      <c r="L81" s="912"/>
    </row>
    <row r="82" spans="1:14" s="714" customFormat="1" ht="24" customHeight="1">
      <c r="A82" s="1147" t="s">
        <v>1837</v>
      </c>
      <c r="B82" s="1148" t="s">
        <v>1882</v>
      </c>
      <c r="C82" s="1123"/>
      <c r="D82" s="1124"/>
      <c r="E82" s="1240">
        <v>3</v>
      </c>
      <c r="F82" s="1147" t="s">
        <v>240</v>
      </c>
      <c r="G82" s="1140">
        <v>5400</v>
      </c>
      <c r="H82" s="796">
        <f>ROUND(E82*G82,)</f>
        <v>16200</v>
      </c>
      <c r="I82" s="855">
        <f>G82*0.1</f>
        <v>540</v>
      </c>
      <c r="J82" s="796">
        <f>ROUND(I82*E82,)</f>
        <v>1620</v>
      </c>
      <c r="K82" s="914">
        <f>H82+J82</f>
        <v>17820</v>
      </c>
      <c r="L82" s="912"/>
    </row>
    <row r="83" spans="1:14" s="714" customFormat="1" ht="24" customHeight="1">
      <c r="A83" s="1147"/>
      <c r="B83" s="1148"/>
      <c r="C83" s="1123"/>
      <c r="D83" s="1124"/>
      <c r="E83" s="1240"/>
      <c r="F83" s="1147"/>
      <c r="G83" s="1140"/>
      <c r="H83" s="854"/>
      <c r="I83" s="855"/>
      <c r="J83" s="854"/>
      <c r="K83" s="912"/>
      <c r="L83" s="912"/>
    </row>
    <row r="84" spans="1:14" s="714" customFormat="1" ht="24" customHeight="1">
      <c r="A84" s="1166"/>
      <c r="B84" s="2475" t="str">
        <f>"รวมราคารายการที่ "&amp;A77</f>
        <v>รวมราคารายการที่ 6.3</v>
      </c>
      <c r="C84" s="2476"/>
      <c r="D84" s="2477"/>
      <c r="E84" s="1248"/>
      <c r="F84" s="1167"/>
      <c r="G84" s="1168"/>
      <c r="H84" s="1169">
        <f>SUM(H78:H83)</f>
        <v>76878</v>
      </c>
      <c r="I84" s="1169"/>
      <c r="J84" s="1169">
        <f>SUM(J78:J83)</f>
        <v>36095</v>
      </c>
      <c r="K84" s="1169">
        <f>SUM(K78:K83)</f>
        <v>112973</v>
      </c>
      <c r="L84" s="1169"/>
    </row>
    <row r="85" spans="1:14" s="714" customFormat="1" ht="24" customHeight="1">
      <c r="A85" s="1195">
        <v>6.4</v>
      </c>
      <c r="B85" s="1196" t="s">
        <v>1844</v>
      </c>
      <c r="C85" s="1197"/>
      <c r="D85" s="1198"/>
      <c r="E85" s="1305"/>
      <c r="F85" s="1230"/>
      <c r="G85" s="1255"/>
      <c r="H85" s="788"/>
      <c r="I85" s="789"/>
      <c r="J85" s="788"/>
      <c r="K85" s="1256"/>
      <c r="L85" s="1256"/>
    </row>
    <row r="86" spans="1:14" s="714" customFormat="1" ht="24" customHeight="1">
      <c r="A86" s="1147" t="s">
        <v>1845</v>
      </c>
      <c r="B86" s="1148" t="s">
        <v>1846</v>
      </c>
      <c r="C86" s="1123"/>
      <c r="D86" s="1124"/>
      <c r="E86" s="1240"/>
      <c r="F86" s="1147"/>
      <c r="G86" s="1257"/>
      <c r="H86" s="796"/>
      <c r="I86" s="797"/>
      <c r="J86" s="796"/>
      <c r="K86" s="914"/>
      <c r="L86" s="914"/>
    </row>
    <row r="87" spans="1:14" s="714" customFormat="1" ht="24" customHeight="1">
      <c r="A87" s="1147"/>
      <c r="B87" s="1148" t="s">
        <v>1847</v>
      </c>
      <c r="C87" s="1123"/>
      <c r="D87" s="1124"/>
      <c r="E87" s="1240">
        <v>3</v>
      </c>
      <c r="F87" s="1147" t="s">
        <v>240</v>
      </c>
      <c r="G87" s="1257">
        <v>3800</v>
      </c>
      <c r="H87" s="796">
        <f t="shared" ref="H87:H93" si="31">ROUND(E87*G87,)</f>
        <v>11400</v>
      </c>
      <c r="I87" s="797">
        <f>G87*0.3</f>
        <v>1140</v>
      </c>
      <c r="J87" s="796">
        <f t="shared" ref="J87" si="32">ROUND(I87*E87,)</f>
        <v>3420</v>
      </c>
      <c r="K87" s="914">
        <f>H87+J87</f>
        <v>14820</v>
      </c>
      <c r="L87" s="914"/>
    </row>
    <row r="88" spans="1:14" s="714" customFormat="1" ht="24" customHeight="1">
      <c r="A88" s="1159"/>
      <c r="B88" s="1160" t="s">
        <v>1848</v>
      </c>
      <c r="C88" s="1161"/>
      <c r="D88" s="1162"/>
      <c r="E88" s="1240">
        <v>3</v>
      </c>
      <c r="F88" s="1159" t="s">
        <v>240</v>
      </c>
      <c r="G88" s="1258">
        <v>890</v>
      </c>
      <c r="H88" s="796">
        <f t="shared" si="31"/>
        <v>2670</v>
      </c>
      <c r="I88" s="797" t="s">
        <v>974</v>
      </c>
      <c r="J88" s="796"/>
      <c r="K88" s="914">
        <f t="shared" ref="K88:K93" si="33">H88+J88</f>
        <v>2670</v>
      </c>
      <c r="L88" s="914"/>
    </row>
    <row r="89" spans="1:14" s="714" customFormat="1" ht="24" customHeight="1">
      <c r="A89" s="1147"/>
      <c r="B89" s="1148" t="s">
        <v>1849</v>
      </c>
      <c r="C89" s="1123"/>
      <c r="D89" s="1124"/>
      <c r="E89" s="1240">
        <v>3</v>
      </c>
      <c r="F89" s="1147" t="s">
        <v>240</v>
      </c>
      <c r="G89" s="1257">
        <v>4200</v>
      </c>
      <c r="H89" s="796">
        <f t="shared" si="31"/>
        <v>12600</v>
      </c>
      <c r="I89" s="797" t="s">
        <v>974</v>
      </c>
      <c r="J89" s="796"/>
      <c r="K89" s="914">
        <f t="shared" si="33"/>
        <v>12600</v>
      </c>
      <c r="L89" s="914"/>
    </row>
    <row r="90" spans="1:14" s="714" customFormat="1" ht="24" customHeight="1">
      <c r="A90" s="1159"/>
      <c r="B90" s="1148" t="s">
        <v>1850</v>
      </c>
      <c r="C90" s="1123"/>
      <c r="D90" s="1124"/>
      <c r="E90" s="1149">
        <v>3</v>
      </c>
      <c r="F90" s="1147" t="s">
        <v>240</v>
      </c>
      <c r="G90" s="1257">
        <v>8000</v>
      </c>
      <c r="H90" s="796">
        <f t="shared" si="31"/>
        <v>24000</v>
      </c>
      <c r="I90" s="797" t="s">
        <v>974</v>
      </c>
      <c r="J90" s="796"/>
      <c r="K90" s="914">
        <f t="shared" si="33"/>
        <v>24000</v>
      </c>
      <c r="L90" s="1014"/>
    </row>
    <row r="91" spans="1:14" s="714" customFormat="1" ht="24" customHeight="1">
      <c r="A91" s="1147"/>
      <c r="B91" s="1148" t="s">
        <v>1851</v>
      </c>
      <c r="C91" s="1123"/>
      <c r="D91" s="1124"/>
      <c r="E91" s="1149">
        <v>3</v>
      </c>
      <c r="F91" s="1147" t="s">
        <v>240</v>
      </c>
      <c r="G91" s="1257">
        <v>5720</v>
      </c>
      <c r="H91" s="796">
        <f t="shared" si="31"/>
        <v>17160</v>
      </c>
      <c r="I91" s="797" t="s">
        <v>974</v>
      </c>
      <c r="J91" s="796"/>
      <c r="K91" s="914">
        <f t="shared" si="33"/>
        <v>17160</v>
      </c>
      <c r="L91" s="912"/>
    </row>
    <row r="92" spans="1:14" s="714" customFormat="1" ht="24" customHeight="1">
      <c r="A92" s="1147"/>
      <c r="B92" s="1148" t="s">
        <v>1852</v>
      </c>
      <c r="C92" s="1123"/>
      <c r="D92" s="1124"/>
      <c r="E92" s="1240">
        <v>3</v>
      </c>
      <c r="F92" s="1147" t="s">
        <v>240</v>
      </c>
      <c r="G92" s="1257">
        <v>820</v>
      </c>
      <c r="H92" s="796">
        <f t="shared" si="31"/>
        <v>2460</v>
      </c>
      <c r="I92" s="797" t="s">
        <v>974</v>
      </c>
      <c r="J92" s="796"/>
      <c r="K92" s="914">
        <f t="shared" si="33"/>
        <v>2460</v>
      </c>
      <c r="L92" s="912"/>
    </row>
    <row r="93" spans="1:14" s="714" customFormat="1" ht="24" customHeight="1">
      <c r="A93" s="1147"/>
      <c r="B93" s="1148" t="s">
        <v>1853</v>
      </c>
      <c r="C93" s="1123"/>
      <c r="D93" s="1124"/>
      <c r="E93" s="1240">
        <v>3</v>
      </c>
      <c r="F93" s="1147" t="s">
        <v>240</v>
      </c>
      <c r="G93" s="1257">
        <v>450</v>
      </c>
      <c r="H93" s="796">
        <f t="shared" si="31"/>
        <v>1350</v>
      </c>
      <c r="I93" s="797" t="s">
        <v>974</v>
      </c>
      <c r="J93" s="796"/>
      <c r="K93" s="914">
        <f t="shared" si="33"/>
        <v>1350</v>
      </c>
      <c r="L93" s="912"/>
    </row>
    <row r="94" spans="1:14" s="714" customFormat="1" ht="24" customHeight="1">
      <c r="A94" s="1147" t="s">
        <v>1854</v>
      </c>
      <c r="B94" s="1148" t="s">
        <v>1855</v>
      </c>
      <c r="C94" s="1123"/>
      <c r="D94" s="1124"/>
      <c r="E94" s="1240"/>
      <c r="F94" s="1147"/>
      <c r="G94" s="1257"/>
      <c r="H94" s="854"/>
      <c r="I94" s="855"/>
      <c r="J94" s="854"/>
      <c r="K94" s="912"/>
      <c r="L94" s="912"/>
      <c r="M94" s="914"/>
      <c r="N94" s="1014"/>
    </row>
    <row r="95" spans="1:14" s="714" customFormat="1" ht="24" customHeight="1">
      <c r="A95" s="1147"/>
      <c r="B95" s="1148" t="s">
        <v>1856</v>
      </c>
      <c r="C95" s="1123"/>
      <c r="D95" s="1124"/>
      <c r="E95" s="1149">
        <v>5</v>
      </c>
      <c r="F95" s="1147" t="s">
        <v>240</v>
      </c>
      <c r="G95" s="1257">
        <f>6500*1.1</f>
        <v>7150.0000000000009</v>
      </c>
      <c r="H95" s="796">
        <f t="shared" ref="H95:H101" si="34">ROUND(E95*G95,)</f>
        <v>35750</v>
      </c>
      <c r="I95" s="797">
        <f>G95*0.3</f>
        <v>2145</v>
      </c>
      <c r="J95" s="796">
        <f t="shared" ref="J95" si="35">ROUND(I95*E95,)</f>
        <v>10725</v>
      </c>
      <c r="K95" s="914">
        <f>H95+J95</f>
        <v>46475</v>
      </c>
      <c r="L95" s="1014"/>
      <c r="M95" s="914"/>
      <c r="N95" s="1014"/>
    </row>
    <row r="96" spans="1:14" s="714" customFormat="1" ht="24" customHeight="1">
      <c r="A96" s="1159"/>
      <c r="B96" s="1160" t="s">
        <v>1848</v>
      </c>
      <c r="C96" s="1161"/>
      <c r="D96" s="1162"/>
      <c r="E96" s="1149">
        <v>5</v>
      </c>
      <c r="F96" s="1159" t="s">
        <v>240</v>
      </c>
      <c r="G96" s="1258">
        <v>890</v>
      </c>
      <c r="H96" s="796">
        <f t="shared" si="34"/>
        <v>4450</v>
      </c>
      <c r="I96" s="797" t="s">
        <v>974</v>
      </c>
      <c r="J96" s="796"/>
      <c r="K96" s="914">
        <f t="shared" ref="K96:K101" si="36">H96+J96</f>
        <v>4450</v>
      </c>
      <c r="L96" s="1014"/>
      <c r="M96" s="914"/>
      <c r="N96" s="1014"/>
    </row>
    <row r="97" spans="1:14" s="714" customFormat="1" ht="24" customHeight="1">
      <c r="A97" s="1147"/>
      <c r="B97" s="1148" t="s">
        <v>1883</v>
      </c>
      <c r="C97" s="1123"/>
      <c r="D97" s="1124"/>
      <c r="E97" s="1149">
        <v>5</v>
      </c>
      <c r="F97" s="1147" t="s">
        <v>240</v>
      </c>
      <c r="G97" s="1257">
        <v>4200</v>
      </c>
      <c r="H97" s="796">
        <f t="shared" si="34"/>
        <v>21000</v>
      </c>
      <c r="I97" s="797" t="s">
        <v>974</v>
      </c>
      <c r="J97" s="796"/>
      <c r="K97" s="914">
        <f t="shared" si="36"/>
        <v>21000</v>
      </c>
      <c r="L97" s="1014"/>
      <c r="M97" s="914"/>
      <c r="N97" s="1014"/>
    </row>
    <row r="98" spans="1:14" s="714" customFormat="1" ht="24" customHeight="1">
      <c r="A98" s="1159"/>
      <c r="B98" s="1148" t="s">
        <v>1850</v>
      </c>
      <c r="C98" s="1123"/>
      <c r="D98" s="1124"/>
      <c r="E98" s="1149">
        <v>5</v>
      </c>
      <c r="F98" s="1147" t="s">
        <v>240</v>
      </c>
      <c r="G98" s="1257">
        <v>8000</v>
      </c>
      <c r="H98" s="796">
        <f t="shared" si="34"/>
        <v>40000</v>
      </c>
      <c r="I98" s="797" t="s">
        <v>974</v>
      </c>
      <c r="J98" s="796"/>
      <c r="K98" s="914">
        <f t="shared" si="36"/>
        <v>40000</v>
      </c>
      <c r="L98" s="1014"/>
      <c r="M98" s="914"/>
      <c r="N98" s="1014"/>
    </row>
    <row r="99" spans="1:14" s="714" customFormat="1" ht="24" customHeight="1">
      <c r="A99" s="1147"/>
      <c r="B99" s="1148" t="s">
        <v>1851</v>
      </c>
      <c r="C99" s="1123"/>
      <c r="D99" s="1124"/>
      <c r="E99" s="1149">
        <v>5</v>
      </c>
      <c r="F99" s="1147" t="s">
        <v>240</v>
      </c>
      <c r="G99" s="1257">
        <v>5720</v>
      </c>
      <c r="H99" s="796">
        <f t="shared" si="34"/>
        <v>28600</v>
      </c>
      <c r="I99" s="797" t="s">
        <v>974</v>
      </c>
      <c r="J99" s="796"/>
      <c r="K99" s="914">
        <f t="shared" si="36"/>
        <v>28600</v>
      </c>
      <c r="L99" s="912"/>
    </row>
    <row r="100" spans="1:14" s="714" customFormat="1" ht="24" customHeight="1">
      <c r="A100" s="1147"/>
      <c r="B100" s="1148" t="s">
        <v>1884</v>
      </c>
      <c r="C100" s="1123"/>
      <c r="D100" s="1124"/>
      <c r="E100" s="1149">
        <v>5</v>
      </c>
      <c r="F100" s="1147" t="s">
        <v>240</v>
      </c>
      <c r="G100" s="1257">
        <v>820</v>
      </c>
      <c r="H100" s="796">
        <f t="shared" si="34"/>
        <v>4100</v>
      </c>
      <c r="I100" s="797" t="s">
        <v>974</v>
      </c>
      <c r="J100" s="796"/>
      <c r="K100" s="914">
        <f t="shared" si="36"/>
        <v>4100</v>
      </c>
      <c r="L100" s="1014"/>
    </row>
    <row r="101" spans="1:14" s="714" customFormat="1" ht="24" customHeight="1">
      <c r="A101" s="1147"/>
      <c r="B101" s="1148" t="s">
        <v>1885</v>
      </c>
      <c r="C101" s="1123"/>
      <c r="D101" s="1124"/>
      <c r="E101" s="1149">
        <v>5</v>
      </c>
      <c r="F101" s="1147" t="s">
        <v>240</v>
      </c>
      <c r="G101" s="1257">
        <v>450</v>
      </c>
      <c r="H101" s="796">
        <f t="shared" si="34"/>
        <v>2250</v>
      </c>
      <c r="I101" s="797" t="s">
        <v>974</v>
      </c>
      <c r="J101" s="796"/>
      <c r="K101" s="914">
        <f t="shared" si="36"/>
        <v>2250</v>
      </c>
      <c r="L101" s="1014"/>
    </row>
    <row r="102" spans="1:14" s="714" customFormat="1" ht="24" customHeight="1">
      <c r="A102" s="1221"/>
      <c r="B102" s="1219"/>
      <c r="C102" s="1209"/>
      <c r="D102" s="1210"/>
      <c r="E102" s="1211"/>
      <c r="F102" s="1221"/>
      <c r="G102" s="1257"/>
      <c r="H102" s="796"/>
      <c r="I102" s="797"/>
      <c r="J102" s="796"/>
      <c r="K102" s="914"/>
      <c r="L102" s="1014"/>
    </row>
    <row r="103" spans="1:14" s="714" customFormat="1" ht="24" customHeight="1">
      <c r="A103" s="1221" t="s">
        <v>1857</v>
      </c>
      <c r="B103" s="1219" t="s">
        <v>1858</v>
      </c>
      <c r="C103" s="1209"/>
      <c r="D103" s="1210"/>
      <c r="E103" s="1239"/>
      <c r="F103" s="1221"/>
      <c r="G103" s="1257"/>
      <c r="H103" s="796"/>
      <c r="I103" s="1259"/>
      <c r="J103" s="796"/>
      <c r="K103" s="1014"/>
      <c r="L103" s="1014"/>
    </row>
    <row r="104" spans="1:14" s="714" customFormat="1" ht="24" customHeight="1">
      <c r="A104" s="1147"/>
      <c r="B104" s="1148" t="s">
        <v>1859</v>
      </c>
      <c r="C104" s="1123"/>
      <c r="D104" s="1124"/>
      <c r="E104" s="1240">
        <v>4</v>
      </c>
      <c r="F104" s="1147" t="s">
        <v>240</v>
      </c>
      <c r="G104" s="1257">
        <v>1000</v>
      </c>
      <c r="H104" s="796">
        <f t="shared" ref="H104:H105" si="37">ROUND(E104*G104,)</f>
        <v>4000</v>
      </c>
      <c r="I104" s="1259">
        <v>200</v>
      </c>
      <c r="J104" s="796">
        <f t="shared" ref="J104:J105" si="38">ROUND(I104*E104,)</f>
        <v>800</v>
      </c>
      <c r="K104" s="914">
        <f t="shared" ref="K104:K105" si="39">H104+J104</f>
        <v>4800</v>
      </c>
      <c r="L104" s="1014"/>
    </row>
    <row r="105" spans="1:14" s="714" customFormat="1" ht="24" customHeight="1">
      <c r="A105" s="1159"/>
      <c r="B105" s="1160" t="s">
        <v>1860</v>
      </c>
      <c r="C105" s="1161"/>
      <c r="D105" s="1162"/>
      <c r="E105" s="1306"/>
      <c r="F105" s="1159" t="s">
        <v>240</v>
      </c>
      <c r="G105" s="1257">
        <v>6000</v>
      </c>
      <c r="H105" s="796">
        <f t="shared" si="37"/>
        <v>0</v>
      </c>
      <c r="I105" s="1259">
        <v>200</v>
      </c>
      <c r="J105" s="796">
        <f t="shared" si="38"/>
        <v>0</v>
      </c>
      <c r="K105" s="914">
        <f t="shared" si="39"/>
        <v>0</v>
      </c>
      <c r="L105" s="1014"/>
    </row>
    <row r="106" spans="1:14" s="714" customFormat="1" ht="24" customHeight="1">
      <c r="A106" s="1147"/>
      <c r="B106" s="1148" t="s">
        <v>1861</v>
      </c>
      <c r="C106" s="1123"/>
      <c r="D106" s="1124"/>
      <c r="E106" s="1240"/>
      <c r="F106" s="1147" t="s">
        <v>240</v>
      </c>
      <c r="G106" s="1257"/>
      <c r="H106" s="796"/>
      <c r="I106" s="1259"/>
      <c r="J106" s="796"/>
      <c r="K106" s="1014"/>
      <c r="L106" s="1014"/>
    </row>
    <row r="107" spans="1:14" s="714" customFormat="1" ht="24" customHeight="1">
      <c r="A107" s="1147"/>
      <c r="B107" s="1148" t="s">
        <v>957</v>
      </c>
      <c r="C107" s="1123"/>
      <c r="D107" s="1124"/>
      <c r="E107" s="1240"/>
      <c r="F107" s="1147"/>
      <c r="G107" s="1257"/>
      <c r="H107" s="796"/>
      <c r="I107" s="1259"/>
      <c r="J107" s="796"/>
      <c r="K107" s="1014"/>
      <c r="L107" s="1014"/>
    </row>
    <row r="108" spans="1:14" s="714" customFormat="1" ht="24" customHeight="1">
      <c r="A108" s="1147"/>
      <c r="B108" s="1148" t="s">
        <v>1102</v>
      </c>
      <c r="C108" s="1123"/>
      <c r="D108" s="1124"/>
      <c r="E108" s="1240"/>
      <c r="F108" s="1147"/>
      <c r="G108" s="1257"/>
      <c r="H108" s="796"/>
      <c r="I108" s="1259"/>
      <c r="J108" s="796"/>
      <c r="K108" s="1014"/>
      <c r="L108" s="1014"/>
    </row>
    <row r="109" spans="1:14" s="714" customFormat="1" ht="24" customHeight="1">
      <c r="A109" s="1166"/>
      <c r="B109" s="2475" t="str">
        <f>"รวมราคารายการที่ "&amp;A85</f>
        <v>รวมราคารายการที่ 6.4</v>
      </c>
      <c r="C109" s="2476"/>
      <c r="D109" s="2477"/>
      <c r="E109" s="1248"/>
      <c r="F109" s="1167"/>
      <c r="G109" s="1168"/>
      <c r="H109" s="1169">
        <f>SUM(H86:H108)</f>
        <v>211790</v>
      </c>
      <c r="I109" s="1170"/>
      <c r="J109" s="1169">
        <f>SUM(J86:J108)</f>
        <v>14945</v>
      </c>
      <c r="K109" s="1171">
        <f>SUM(K86:K108)</f>
        <v>226735</v>
      </c>
      <c r="L109" s="1171"/>
    </row>
    <row r="110" spans="1:14" s="714" customFormat="1" ht="24" customHeight="1">
      <c r="A110" s="1195">
        <v>6.5</v>
      </c>
      <c r="B110" s="1196" t="s">
        <v>1862</v>
      </c>
      <c r="C110" s="1197"/>
      <c r="D110" s="1198"/>
      <c r="E110" s="1305"/>
      <c r="F110" s="1230"/>
      <c r="G110" s="1201"/>
      <c r="H110" s="788"/>
      <c r="I110" s="789"/>
      <c r="J110" s="788"/>
      <c r="K110" s="1256"/>
      <c r="L110" s="1256"/>
    </row>
    <row r="111" spans="1:14" s="714" customFormat="1" ht="24" customHeight="1">
      <c r="A111" s="1147" t="s">
        <v>1863</v>
      </c>
      <c r="B111" s="1148" t="s">
        <v>1864</v>
      </c>
      <c r="C111" s="1123"/>
      <c r="D111" s="1124"/>
      <c r="E111" s="1240">
        <v>4</v>
      </c>
      <c r="F111" s="1147" t="s">
        <v>240</v>
      </c>
      <c r="G111" s="1140">
        <v>2300</v>
      </c>
      <c r="H111" s="796">
        <f t="shared" ref="H111:H112" si="40">ROUND(E111*G111,)</f>
        <v>9200</v>
      </c>
      <c r="I111" s="797">
        <f>G111*0.1</f>
        <v>230</v>
      </c>
      <c r="J111" s="796">
        <f t="shared" ref="J111:J112" si="41">ROUND(I111*E111,)</f>
        <v>920</v>
      </c>
      <c r="K111" s="914">
        <f t="shared" ref="K111:K112" si="42">H111+J111</f>
        <v>10120</v>
      </c>
      <c r="L111" s="914"/>
    </row>
    <row r="112" spans="1:14" s="714" customFormat="1" ht="24" customHeight="1">
      <c r="A112" s="1147" t="s">
        <v>1865</v>
      </c>
      <c r="B112" s="1148" t="s">
        <v>1866</v>
      </c>
      <c r="C112" s="1123"/>
      <c r="D112" s="1124"/>
      <c r="E112" s="1240">
        <v>4</v>
      </c>
      <c r="F112" s="1147" t="s">
        <v>240</v>
      </c>
      <c r="G112" s="1140">
        <v>3400</v>
      </c>
      <c r="H112" s="796">
        <f t="shared" si="40"/>
        <v>13600</v>
      </c>
      <c r="I112" s="797">
        <f>G112*0.1</f>
        <v>340</v>
      </c>
      <c r="J112" s="796">
        <f t="shared" si="41"/>
        <v>1360</v>
      </c>
      <c r="K112" s="914">
        <f t="shared" si="42"/>
        <v>14960</v>
      </c>
      <c r="L112" s="912"/>
    </row>
    <row r="113" spans="1:12" s="714" customFormat="1" ht="24" customHeight="1">
      <c r="A113" s="1147" t="s">
        <v>1867</v>
      </c>
      <c r="B113" s="1148" t="s">
        <v>1868</v>
      </c>
      <c r="C113" s="1123"/>
      <c r="D113" s="1124"/>
      <c r="E113" s="1240"/>
      <c r="F113" s="1147" t="s">
        <v>240</v>
      </c>
      <c r="G113" s="1140"/>
      <c r="H113" s="796"/>
      <c r="I113" s="797"/>
      <c r="J113" s="796"/>
      <c r="K113" s="914"/>
      <c r="L113" s="912"/>
    </row>
    <row r="114" spans="1:12" s="714" customFormat="1" ht="24" customHeight="1">
      <c r="A114" s="1147"/>
      <c r="B114" s="1148" t="s">
        <v>957</v>
      </c>
      <c r="C114" s="1123"/>
      <c r="D114" s="1124"/>
      <c r="E114" s="1240"/>
      <c r="F114" s="1147"/>
      <c r="G114" s="1140"/>
      <c r="H114" s="854"/>
      <c r="I114" s="855"/>
      <c r="J114" s="854"/>
      <c r="K114" s="912"/>
      <c r="L114" s="912"/>
    </row>
    <row r="115" spans="1:12" s="714" customFormat="1" ht="24" customHeight="1">
      <c r="A115" s="1147"/>
      <c r="B115" s="1148" t="s">
        <v>1102</v>
      </c>
      <c r="C115" s="1123"/>
      <c r="D115" s="1124"/>
      <c r="E115" s="1240"/>
      <c r="F115" s="1147"/>
      <c r="G115" s="1140"/>
      <c r="H115" s="854"/>
      <c r="I115" s="855"/>
      <c r="J115" s="854"/>
      <c r="K115" s="912"/>
      <c r="L115" s="912"/>
    </row>
    <row r="116" spans="1:12" s="714" customFormat="1" ht="24" customHeight="1">
      <c r="A116" s="1038"/>
      <c r="B116" s="1148" t="s">
        <v>1102</v>
      </c>
      <c r="C116" s="1233"/>
      <c r="D116" s="809"/>
      <c r="E116" s="1229"/>
      <c r="F116" s="852"/>
      <c r="G116" s="1140"/>
      <c r="H116" s="854"/>
      <c r="I116" s="855"/>
      <c r="J116" s="854"/>
      <c r="K116" s="912"/>
      <c r="L116" s="912"/>
    </row>
    <row r="117" spans="1:12" s="714" customFormat="1" ht="24" customHeight="1">
      <c r="A117" s="1038"/>
      <c r="B117" s="1301"/>
      <c r="C117" s="1233"/>
      <c r="D117" s="809"/>
      <c r="E117" s="1229"/>
      <c r="F117" s="852"/>
      <c r="G117" s="1140"/>
      <c r="H117" s="854"/>
      <c r="I117" s="855"/>
      <c r="J117" s="854"/>
      <c r="K117" s="912"/>
      <c r="L117" s="912"/>
    </row>
    <row r="118" spans="1:12" s="714" customFormat="1" ht="24" customHeight="1">
      <c r="A118" s="1166"/>
      <c r="B118" s="2475" t="str">
        <f>"รวมราคารายการที่ "&amp;A110</f>
        <v>รวมราคารายการที่ 6.5</v>
      </c>
      <c r="C118" s="2476"/>
      <c r="D118" s="2477"/>
      <c r="E118" s="1248"/>
      <c r="F118" s="1167"/>
      <c r="G118" s="1168"/>
      <c r="H118" s="1169">
        <f>SUM(H111:H117)</f>
        <v>22800</v>
      </c>
      <c r="I118" s="1170"/>
      <c r="J118" s="1169">
        <f>SUM(J111:J117)</f>
        <v>2280</v>
      </c>
      <c r="K118" s="1171">
        <f>SUM(K111:K117)</f>
        <v>25080</v>
      </c>
      <c r="L118" s="1171"/>
    </row>
    <row r="119" spans="1:12" s="714" customFormat="1" ht="24" customHeight="1">
      <c r="A119" s="1207">
        <v>6.6</v>
      </c>
      <c r="B119" s="1208" t="s">
        <v>1264</v>
      </c>
      <c r="C119" s="1209"/>
      <c r="D119" s="1210"/>
      <c r="E119" s="1239"/>
      <c r="F119" s="1221" t="s">
        <v>948</v>
      </c>
      <c r="G119" s="1262" t="s">
        <v>1876</v>
      </c>
      <c r="H119" s="796"/>
      <c r="I119" s="855"/>
      <c r="J119" s="796"/>
      <c r="K119" s="914"/>
      <c r="L119" s="912"/>
    </row>
    <row r="120" spans="1:12" s="714" customFormat="1" ht="24" customHeight="1">
      <c r="A120" s="1207"/>
      <c r="B120" s="1208"/>
      <c r="C120" s="1209"/>
      <c r="D120" s="1210"/>
      <c r="E120" s="1239"/>
      <c r="F120" s="1221"/>
      <c r="G120" s="1262"/>
      <c r="H120" s="796"/>
      <c r="I120" s="855"/>
      <c r="J120" s="796"/>
      <c r="K120" s="914"/>
      <c r="L120" s="912"/>
    </row>
    <row r="121" spans="1:12" s="714" customFormat="1" ht="24" customHeight="1">
      <c r="A121" s="1207"/>
      <c r="B121" s="1208"/>
      <c r="C121" s="1209"/>
      <c r="D121" s="1210"/>
      <c r="E121" s="1239"/>
      <c r="F121" s="1221"/>
      <c r="G121" s="1262"/>
      <c r="H121" s="796"/>
      <c r="I121" s="855"/>
      <c r="J121" s="796"/>
      <c r="K121" s="914"/>
      <c r="L121" s="912"/>
    </row>
    <row r="122" spans="1:12" s="714" customFormat="1" ht="24" customHeight="1">
      <c r="A122" s="1207"/>
      <c r="B122" s="1208"/>
      <c r="C122" s="1209"/>
      <c r="D122" s="1210"/>
      <c r="E122" s="1239"/>
      <c r="F122" s="1221"/>
      <c r="G122" s="1262"/>
      <c r="H122" s="796"/>
      <c r="I122" s="855"/>
      <c r="J122" s="796"/>
      <c r="K122" s="914"/>
      <c r="L122" s="912"/>
    </row>
    <row r="123" spans="1:12" s="714" customFormat="1" ht="24" customHeight="1">
      <c r="A123" s="1207"/>
      <c r="B123" s="1208"/>
      <c r="C123" s="1209"/>
      <c r="D123" s="1210"/>
      <c r="E123" s="1239"/>
      <c r="F123" s="1221"/>
      <c r="G123" s="1262"/>
      <c r="H123" s="796"/>
      <c r="I123" s="855"/>
      <c r="J123" s="796"/>
      <c r="K123" s="914"/>
      <c r="L123" s="912"/>
    </row>
    <row r="124" spans="1:12" s="714" customFormat="1" ht="24" customHeight="1">
      <c r="A124" s="1207"/>
      <c r="B124" s="1208"/>
      <c r="C124" s="1209"/>
      <c r="D124" s="1210"/>
      <c r="E124" s="1239"/>
      <c r="F124" s="1221"/>
      <c r="G124" s="1262"/>
      <c r="H124" s="796"/>
      <c r="I124" s="855"/>
      <c r="J124" s="796"/>
      <c r="K124" s="914"/>
      <c r="L124" s="912"/>
    </row>
    <row r="125" spans="1:12" s="714" customFormat="1" ht="24" customHeight="1">
      <c r="A125" s="1207"/>
      <c r="B125" s="1208"/>
      <c r="C125" s="1209"/>
      <c r="D125" s="1210"/>
      <c r="E125" s="1239"/>
      <c r="F125" s="1221"/>
      <c r="G125" s="1262"/>
      <c r="H125" s="796"/>
      <c r="I125" s="855"/>
      <c r="J125" s="796"/>
      <c r="K125" s="914"/>
      <c r="L125" s="912"/>
    </row>
    <row r="126" spans="1:12" s="714" customFormat="1" ht="24" customHeight="1">
      <c r="A126" s="1207"/>
      <c r="B126" s="1208"/>
      <c r="C126" s="1209"/>
      <c r="D126" s="1210"/>
      <c r="E126" s="1239"/>
      <c r="F126" s="1221"/>
      <c r="G126" s="1262"/>
      <c r="H126" s="796"/>
      <c r="I126" s="855"/>
      <c r="J126" s="796"/>
      <c r="K126" s="914"/>
      <c r="L126" s="912"/>
    </row>
    <row r="127" spans="1:12" s="714" customFormat="1" ht="24" customHeight="1">
      <c r="A127" s="1207"/>
      <c r="B127" s="1208"/>
      <c r="C127" s="1209"/>
      <c r="D127" s="1210"/>
      <c r="E127" s="1239"/>
      <c r="F127" s="1221"/>
      <c r="G127" s="1262"/>
      <c r="H127" s="796"/>
      <c r="I127" s="855"/>
      <c r="J127" s="796"/>
      <c r="K127" s="914"/>
      <c r="L127" s="912"/>
    </row>
    <row r="128" spans="1:12" s="714" customFormat="1" ht="24" customHeight="1">
      <c r="A128" s="1207"/>
      <c r="B128" s="1208"/>
      <c r="C128" s="1209"/>
      <c r="D128" s="1210"/>
      <c r="E128" s="1239"/>
      <c r="F128" s="1221"/>
      <c r="G128" s="1262"/>
      <c r="H128" s="796"/>
      <c r="I128" s="855"/>
      <c r="J128" s="796"/>
      <c r="K128" s="914"/>
      <c r="L128" s="912"/>
    </row>
    <row r="129" spans="1:12" s="714" customFormat="1" ht="24" customHeight="1">
      <c r="A129" s="1207"/>
      <c r="B129" s="1208"/>
      <c r="C129" s="1209"/>
      <c r="D129" s="1210"/>
      <c r="E129" s="1239"/>
      <c r="F129" s="1221"/>
      <c r="G129" s="1262"/>
      <c r="H129" s="796"/>
      <c r="I129" s="855"/>
      <c r="J129" s="796"/>
      <c r="K129" s="914"/>
      <c r="L129" s="912"/>
    </row>
    <row r="130" spans="1:12" s="714" customFormat="1" ht="24" customHeight="1">
      <c r="A130" s="1207"/>
      <c r="B130" s="1208"/>
      <c r="C130" s="1209"/>
      <c r="D130" s="1210"/>
      <c r="E130" s="1239"/>
      <c r="F130" s="1221"/>
      <c r="G130" s="1262"/>
      <c r="H130" s="796"/>
      <c r="I130" s="855"/>
      <c r="J130" s="796"/>
      <c r="K130" s="914"/>
      <c r="L130" s="912"/>
    </row>
    <row r="131" spans="1:12" s="714" customFormat="1" ht="24" customHeight="1">
      <c r="A131" s="1207"/>
      <c r="B131" s="1208"/>
      <c r="C131" s="1209"/>
      <c r="D131" s="1210"/>
      <c r="E131" s="1239"/>
      <c r="F131" s="1221"/>
      <c r="G131" s="1262"/>
      <c r="H131" s="796"/>
      <c r="I131" s="855"/>
      <c r="J131" s="796"/>
      <c r="K131" s="914"/>
      <c r="L131" s="912"/>
    </row>
    <row r="132" spans="1:12" s="714" customFormat="1" ht="24" customHeight="1">
      <c r="A132" s="1207"/>
      <c r="B132" s="1208"/>
      <c r="C132" s="1209"/>
      <c r="D132" s="1210"/>
      <c r="E132" s="1239"/>
      <c r="F132" s="1221"/>
      <c r="G132" s="1262"/>
      <c r="H132" s="796"/>
      <c r="I132" s="855"/>
      <c r="J132" s="796"/>
      <c r="K132" s="914"/>
      <c r="L132" s="912"/>
    </row>
    <row r="133" spans="1:12" s="714" customFormat="1" ht="21.3">
      <c r="A133" s="1221"/>
      <c r="B133" s="1219"/>
      <c r="C133" s="1209"/>
      <c r="D133" s="1210"/>
      <c r="E133" s="1239"/>
      <c r="F133" s="1221"/>
      <c r="G133" s="874"/>
      <c r="H133" s="796"/>
      <c r="I133" s="855"/>
      <c r="J133" s="796"/>
      <c r="K133" s="914"/>
      <c r="L133" s="912"/>
    </row>
    <row r="134" spans="1:12" s="714" customFormat="1" ht="21.3">
      <c r="A134" s="1166"/>
      <c r="B134" s="2475" t="str">
        <f>"รวมราคารายการที่ "&amp;A119</f>
        <v>รวมราคารายการที่ 6.6</v>
      </c>
      <c r="C134" s="2476"/>
      <c r="D134" s="2477"/>
      <c r="E134" s="1248"/>
      <c r="F134" s="1167"/>
      <c r="G134" s="1168"/>
      <c r="H134" s="1169">
        <f>SUM(H119:H133)</f>
        <v>0</v>
      </c>
      <c r="I134" s="1170"/>
      <c r="J134" s="1169">
        <f>SUM(J119:J133)</f>
        <v>0</v>
      </c>
      <c r="K134" s="1171">
        <f>SUM(K119:K133)</f>
        <v>0</v>
      </c>
      <c r="L134" s="1171"/>
    </row>
    <row r="135" spans="1:12" s="714" customFormat="1" ht="21.3">
      <c r="A135" s="950"/>
      <c r="E135" s="1234"/>
    </row>
    <row r="136" spans="1:12" s="714" customFormat="1" ht="21.3">
      <c r="A136" s="950"/>
      <c r="E136" s="1234"/>
    </row>
    <row r="137" spans="1:12" s="714" customFormat="1" ht="21.3">
      <c r="A137" s="950"/>
      <c r="E137" s="1234"/>
    </row>
    <row r="138" spans="1:12" s="714" customFormat="1" ht="21.3">
      <c r="A138" s="950"/>
      <c r="E138" s="1234"/>
    </row>
    <row r="139" spans="1:12" s="714" customFormat="1" ht="21.3">
      <c r="A139" s="950"/>
      <c r="E139" s="1234"/>
    </row>
    <row r="140" spans="1:12" s="714" customFormat="1" ht="21.3">
      <c r="A140" s="950"/>
      <c r="E140" s="1234"/>
    </row>
    <row r="141" spans="1:12" s="714" customFormat="1" ht="21.3">
      <c r="A141" s="950"/>
      <c r="E141" s="1234"/>
    </row>
    <row r="142" spans="1:12" s="714" customFormat="1" ht="21.3">
      <c r="A142" s="950"/>
      <c r="E142" s="1234"/>
    </row>
    <row r="143" spans="1:12" s="714" customFormat="1" ht="21.3">
      <c r="A143" s="950"/>
      <c r="E143" s="1234"/>
    </row>
    <row r="144" spans="1:12" s="714" customFormat="1" ht="21.3">
      <c r="A144" s="950"/>
      <c r="E144" s="1234"/>
    </row>
    <row r="145" spans="1:5" s="714" customFormat="1" ht="21.3">
      <c r="A145" s="950"/>
      <c r="E145" s="1234"/>
    </row>
    <row r="146" spans="1:5" s="714" customFormat="1" ht="21.3">
      <c r="A146" s="950"/>
      <c r="E146" s="1234"/>
    </row>
    <row r="147" spans="1:5" s="714" customFormat="1" ht="21.3">
      <c r="A147" s="950"/>
      <c r="E147" s="1234"/>
    </row>
    <row r="148" spans="1:5" s="714" customFormat="1" ht="21.3">
      <c r="A148" s="950"/>
      <c r="E148" s="1234"/>
    </row>
    <row r="149" spans="1:5" s="714" customFormat="1" ht="21.3">
      <c r="A149" s="950"/>
      <c r="E149" s="1234"/>
    </row>
    <row r="150" spans="1:5" s="714" customFormat="1" ht="21.3">
      <c r="A150" s="950"/>
      <c r="E150" s="1234"/>
    </row>
    <row r="151" spans="1:5" s="714" customFormat="1" ht="21.3">
      <c r="A151" s="950"/>
      <c r="E151" s="1234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8:D118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&amp;Rงานดับเพลิงและป้องกันอัคคีภัย ชั้น 8-อาคารสนับนุน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49BB3-D602-4EF4-9C83-6EE6D07B094F}">
  <sheetPr>
    <tabColor rgb="FFFF3399"/>
  </sheetPr>
  <dimension ref="A1:O154"/>
  <sheetViews>
    <sheetView showGridLines="0" tabSelected="1" view="pageBreakPreview" topLeftCell="A109" zoomScale="55" zoomScaleNormal="60" zoomScaleSheetLayoutView="5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154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4.87890625" style="1" customWidth="1"/>
    <col min="13" max="90" width="7.703125" style="1" customWidth="1"/>
    <col min="91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1780</v>
      </c>
      <c r="E2" s="1155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115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115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1157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115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1158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4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ht="24" customHeight="1">
      <c r="A11" s="1143">
        <v>6</v>
      </c>
      <c r="B11" s="1144" t="s">
        <v>1898</v>
      </c>
      <c r="C11" s="1144"/>
      <c r="D11" s="1144"/>
      <c r="E11" s="1145"/>
      <c r="F11" s="1146"/>
      <c r="G11" s="696"/>
      <c r="H11" s="697"/>
      <c r="I11" s="698"/>
      <c r="J11" s="697"/>
      <c r="K11" s="699"/>
      <c r="L11" s="953"/>
    </row>
    <row r="12" spans="1:12" s="714" customFormat="1" ht="24" customHeight="1">
      <c r="A12" s="1147"/>
      <c r="B12" s="1151" t="str">
        <f>B35</f>
        <v>งานระบบดับเพลิงและป้องกันอัคคีภัย</v>
      </c>
      <c r="C12" s="1123"/>
      <c r="D12" s="1124"/>
      <c r="E12" s="1149"/>
      <c r="F12" s="1150"/>
      <c r="G12" s="710"/>
      <c r="H12" s="711"/>
      <c r="I12" s="712"/>
      <c r="J12" s="711"/>
      <c r="K12" s="1129"/>
      <c r="L12" s="1024"/>
    </row>
    <row r="13" spans="1:12" s="714" customFormat="1" ht="24" customHeight="1">
      <c r="A13" s="1147">
        <f>A36</f>
        <v>6.1</v>
      </c>
      <c r="B13" s="1148" t="str">
        <f>B36</f>
        <v>งานท่อน้ำ (Piping Work)</v>
      </c>
      <c r="C13" s="1123"/>
      <c r="D13" s="1124"/>
      <c r="E13" s="1149">
        <v>1</v>
      </c>
      <c r="F13" s="1150" t="s">
        <v>19</v>
      </c>
      <c r="G13" s="710"/>
      <c r="H13" s="711">
        <f>H59</f>
        <v>41182</v>
      </c>
      <c r="I13" s="712"/>
      <c r="J13" s="711">
        <f>J59</f>
        <v>17680</v>
      </c>
      <c r="K13" s="1129">
        <f t="shared" ref="K13:K18" si="0">SUM(H13:J13)</f>
        <v>58862</v>
      </c>
      <c r="L13" s="1024"/>
    </row>
    <row r="14" spans="1:12" s="714" customFormat="1" ht="24" customHeight="1">
      <c r="A14" s="1147">
        <f>A60</f>
        <v>6.2</v>
      </c>
      <c r="B14" s="1148" t="str">
        <f>B60</f>
        <v>วาล์วและอุปกรณ์ (Valve &amp; Pipe Accessories)</v>
      </c>
      <c r="C14" s="1123"/>
      <c r="D14" s="1124"/>
      <c r="E14" s="1149">
        <v>1</v>
      </c>
      <c r="F14" s="1150" t="s">
        <v>19</v>
      </c>
      <c r="G14" s="710"/>
      <c r="H14" s="711">
        <f>H76</f>
        <v>57331</v>
      </c>
      <c r="I14" s="712"/>
      <c r="J14" s="711">
        <f>J76</f>
        <v>4500</v>
      </c>
      <c r="K14" s="1129">
        <f t="shared" si="0"/>
        <v>61831</v>
      </c>
      <c r="L14" s="1024"/>
    </row>
    <row r="15" spans="1:12" s="714" customFormat="1" ht="24" customHeight="1">
      <c r="A15" s="1147">
        <f>A77</f>
        <v>6.3</v>
      </c>
      <c r="B15" s="1148" t="str">
        <f>B77</f>
        <v>ระบบหัวกระจายน้ำดับเพลิง (Sprinkler System)</v>
      </c>
      <c r="C15" s="1123"/>
      <c r="D15" s="1124"/>
      <c r="E15" s="1149">
        <v>1</v>
      </c>
      <c r="F15" s="1150" t="s">
        <v>19</v>
      </c>
      <c r="G15" s="710"/>
      <c r="H15" s="711">
        <f>H84</f>
        <v>8424</v>
      </c>
      <c r="I15" s="712"/>
      <c r="J15" s="711">
        <f>J84</f>
        <v>1940</v>
      </c>
      <c r="K15" s="1129">
        <f t="shared" si="0"/>
        <v>10364</v>
      </c>
      <c r="L15" s="1024"/>
    </row>
    <row r="16" spans="1:12" s="714" customFormat="1" ht="24" customHeight="1">
      <c r="A16" s="1230">
        <f>A85</f>
        <v>6.4</v>
      </c>
      <c r="B16" s="1231" t="str">
        <f>B85</f>
        <v>ตู้ดับเพลิงและถังดับเพลิงชนิดมือถือ (Fire Hose Cabinet &amp; Portable Fire Extinguisher)</v>
      </c>
      <c r="C16" s="1197"/>
      <c r="D16" s="1198"/>
      <c r="E16" s="1149">
        <v>1</v>
      </c>
      <c r="F16" s="1200" t="s">
        <v>19</v>
      </c>
      <c r="G16" s="1263"/>
      <c r="H16" s="1264">
        <f>H109</f>
        <v>27230</v>
      </c>
      <c r="I16" s="1265"/>
      <c r="J16" s="1264">
        <f>J109</f>
        <v>2145</v>
      </c>
      <c r="K16" s="1129">
        <f t="shared" si="0"/>
        <v>29375</v>
      </c>
      <c r="L16" s="1266"/>
    </row>
    <row r="17" spans="1:12" s="714" customFormat="1" ht="24" customHeight="1">
      <c r="A17" s="1304">
        <f>A110</f>
        <v>6.5</v>
      </c>
      <c r="B17" s="1160" t="str">
        <f>B110</f>
        <v>ระบบไฟฟ้าและควบคุม (Electrical &amp; Control System) สำหรับระบบป้องกันอัคคีภัย</v>
      </c>
      <c r="C17" s="1161"/>
      <c r="D17" s="1162"/>
      <c r="E17" s="1149">
        <v>1</v>
      </c>
      <c r="F17" s="1163" t="s">
        <v>19</v>
      </c>
      <c r="G17" s="1164"/>
      <c r="H17" s="957">
        <f>H117</f>
        <v>5700</v>
      </c>
      <c r="I17" s="1165"/>
      <c r="J17" s="957">
        <f>J117</f>
        <v>570</v>
      </c>
      <c r="K17" s="1129">
        <f t="shared" si="0"/>
        <v>6270</v>
      </c>
      <c r="L17" s="954"/>
    </row>
    <row r="18" spans="1:12" s="714" customFormat="1" ht="24" customHeight="1">
      <c r="A18" s="1147">
        <f>A118</f>
        <v>6.6</v>
      </c>
      <c r="B18" s="1148" t="str">
        <f>B118</f>
        <v>ระบบป้องกันไฟและควันลาม (Fire Barrier System)</v>
      </c>
      <c r="C18" s="1123"/>
      <c r="D18" s="1124"/>
      <c r="E18" s="1149">
        <v>1</v>
      </c>
      <c r="F18" s="1150" t="s">
        <v>19</v>
      </c>
      <c r="G18" s="710"/>
      <c r="H18" s="711">
        <f>H134</f>
        <v>0</v>
      </c>
      <c r="I18" s="712"/>
      <c r="J18" s="711">
        <f>J134</f>
        <v>0</v>
      </c>
      <c r="K18" s="1129">
        <f t="shared" si="0"/>
        <v>0</v>
      </c>
      <c r="L18" s="1024"/>
    </row>
    <row r="19" spans="1:12" s="714" customFormat="1" ht="24" customHeight="1">
      <c r="A19" s="1147"/>
      <c r="B19" s="1148"/>
      <c r="C19" s="1123"/>
      <c r="D19" s="1124"/>
      <c r="E19" s="1149"/>
      <c r="F19" s="1150"/>
      <c r="G19" s="710"/>
      <c r="H19" s="711"/>
      <c r="I19" s="712"/>
      <c r="J19" s="711"/>
      <c r="K19" s="1129"/>
      <c r="L19" s="1024"/>
    </row>
    <row r="20" spans="1:12" s="714" customFormat="1" ht="24" customHeight="1">
      <c r="A20" s="1147"/>
      <c r="B20" s="1148"/>
      <c r="C20" s="1123"/>
      <c r="D20" s="1124"/>
      <c r="E20" s="1149"/>
      <c r="F20" s="1150"/>
      <c r="G20" s="710"/>
      <c r="H20" s="711"/>
      <c r="I20" s="712"/>
      <c r="J20" s="711"/>
      <c r="K20" s="1129"/>
      <c r="L20" s="1024"/>
    </row>
    <row r="21" spans="1:12" s="714" customFormat="1" ht="24" customHeight="1">
      <c r="A21" s="1147"/>
      <c r="B21" s="1148"/>
      <c r="C21" s="1123"/>
      <c r="D21" s="1124"/>
      <c r="E21" s="1149"/>
      <c r="F21" s="1150"/>
      <c r="G21" s="710"/>
      <c r="H21" s="711"/>
      <c r="I21" s="712"/>
      <c r="J21" s="711"/>
      <c r="K21" s="1129"/>
      <c r="L21" s="1024"/>
    </row>
    <row r="22" spans="1:12" s="714" customFormat="1" ht="24" customHeight="1">
      <c r="A22" s="1147"/>
      <c r="B22" s="1148"/>
      <c r="C22" s="1123"/>
      <c r="D22" s="1124"/>
      <c r="E22" s="1149"/>
      <c r="F22" s="1150"/>
      <c r="G22" s="710"/>
      <c r="H22" s="711"/>
      <c r="I22" s="712"/>
      <c r="J22" s="711"/>
      <c r="K22" s="1129"/>
      <c r="L22" s="1024"/>
    </row>
    <row r="23" spans="1:12" s="714" customFormat="1" ht="24" customHeight="1">
      <c r="A23" s="1147"/>
      <c r="B23" s="1148"/>
      <c r="C23" s="1123"/>
      <c r="D23" s="1124"/>
      <c r="E23" s="1149"/>
      <c r="F23" s="1150"/>
      <c r="G23" s="710"/>
      <c r="H23" s="711"/>
      <c r="I23" s="712"/>
      <c r="J23" s="711"/>
      <c r="K23" s="1129"/>
      <c r="L23" s="1024"/>
    </row>
    <row r="24" spans="1:12" s="714" customFormat="1" ht="24" customHeight="1">
      <c r="A24" s="1147"/>
      <c r="B24" s="1148"/>
      <c r="C24" s="1123"/>
      <c r="D24" s="1124"/>
      <c r="E24" s="1149"/>
      <c r="F24" s="1150"/>
      <c r="G24" s="710"/>
      <c r="H24" s="711"/>
      <c r="I24" s="712"/>
      <c r="J24" s="711"/>
      <c r="K24" s="1129"/>
      <c r="L24" s="1024"/>
    </row>
    <row r="25" spans="1:12" s="714" customFormat="1" ht="24" customHeight="1">
      <c r="A25" s="1147"/>
      <c r="B25" s="1148"/>
      <c r="C25" s="1123"/>
      <c r="D25" s="1124"/>
      <c r="E25" s="1149"/>
      <c r="F25" s="1150"/>
      <c r="G25" s="710"/>
      <c r="H25" s="711"/>
      <c r="I25" s="712"/>
      <c r="J25" s="711"/>
      <c r="K25" s="1129"/>
      <c r="L25" s="1024"/>
    </row>
    <row r="26" spans="1:12" s="714" customFormat="1" ht="24" customHeight="1">
      <c r="A26" s="1147"/>
      <c r="B26" s="1148"/>
      <c r="C26" s="1123"/>
      <c r="D26" s="1124"/>
      <c r="E26" s="1149"/>
      <c r="F26" s="1150"/>
      <c r="G26" s="710"/>
      <c r="H26" s="711"/>
      <c r="I26" s="712"/>
      <c r="J26" s="711"/>
      <c r="K26" s="1129"/>
      <c r="L26" s="1024"/>
    </row>
    <row r="27" spans="1:12" s="714" customFormat="1" ht="24" customHeight="1">
      <c r="A27" s="1147"/>
      <c r="B27" s="1148"/>
      <c r="C27" s="1123"/>
      <c r="D27" s="1124"/>
      <c r="E27" s="1149"/>
      <c r="F27" s="1150"/>
      <c r="G27" s="710"/>
      <c r="H27" s="711"/>
      <c r="I27" s="712"/>
      <c r="J27" s="711"/>
      <c r="K27" s="1129"/>
      <c r="L27" s="1024"/>
    </row>
    <row r="28" spans="1:12" s="714" customFormat="1" ht="24" customHeight="1">
      <c r="A28" s="1147"/>
      <c r="B28" s="1148"/>
      <c r="C28" s="1123"/>
      <c r="D28" s="1124"/>
      <c r="E28" s="1149"/>
      <c r="F28" s="1150"/>
      <c r="G28" s="710"/>
      <c r="H28" s="711"/>
      <c r="I28" s="712"/>
      <c r="J28" s="711"/>
      <c r="K28" s="1129"/>
      <c r="L28" s="1024"/>
    </row>
    <row r="29" spans="1:12" s="714" customFormat="1" ht="24" customHeight="1">
      <c r="A29" s="1147"/>
      <c r="B29" s="1148"/>
      <c r="C29" s="1123"/>
      <c r="D29" s="1124"/>
      <c r="E29" s="1149"/>
      <c r="F29" s="1150"/>
      <c r="G29" s="710"/>
      <c r="H29" s="711"/>
      <c r="I29" s="712"/>
      <c r="J29" s="711"/>
      <c r="K29" s="1129"/>
      <c r="L29" s="1024"/>
    </row>
    <row r="30" spans="1:12" s="714" customFormat="1" ht="24" customHeight="1">
      <c r="A30" s="1147"/>
      <c r="B30" s="1148"/>
      <c r="C30" s="1123"/>
      <c r="D30" s="1124"/>
      <c r="E30" s="1149"/>
      <c r="F30" s="1150"/>
      <c r="G30" s="710"/>
      <c r="H30" s="711"/>
      <c r="I30" s="712"/>
      <c r="J30" s="711"/>
      <c r="K30" s="1129"/>
      <c r="L30" s="1024"/>
    </row>
    <row r="31" spans="1:12" s="714" customFormat="1" ht="24" customHeight="1">
      <c r="A31" s="1147"/>
      <c r="B31" s="1148"/>
      <c r="C31" s="1123"/>
      <c r="D31" s="1124"/>
      <c r="E31" s="1149"/>
      <c r="F31" s="1150"/>
      <c r="G31" s="710"/>
      <c r="H31" s="711"/>
      <c r="I31" s="712"/>
      <c r="J31" s="711"/>
      <c r="K31" s="1129"/>
      <c r="L31" s="1024"/>
    </row>
    <row r="32" spans="1:12" s="714" customFormat="1" ht="24" customHeight="1">
      <c r="A32" s="1147"/>
      <c r="B32" s="1148"/>
      <c r="C32" s="1123"/>
      <c r="D32" s="1124"/>
      <c r="E32" s="1149"/>
      <c r="F32" s="1150"/>
      <c r="G32" s="710"/>
      <c r="H32" s="711"/>
      <c r="I32" s="712"/>
      <c r="J32" s="711"/>
      <c r="K32" s="1129"/>
      <c r="L32" s="1024"/>
    </row>
    <row r="33" spans="1:12" s="714" customFormat="1" ht="24" customHeight="1">
      <c r="A33" s="1147"/>
      <c r="B33" s="1148"/>
      <c r="C33" s="1123"/>
      <c r="D33" s="1124"/>
      <c r="E33" s="1149"/>
      <c r="F33" s="1150"/>
      <c r="G33" s="710"/>
      <c r="H33" s="711"/>
      <c r="I33" s="712"/>
      <c r="J33" s="711"/>
      <c r="K33" s="1129"/>
      <c r="L33" s="1024"/>
    </row>
    <row r="34" spans="1:12" s="714" customFormat="1" ht="30" customHeight="1">
      <c r="A34" s="1166"/>
      <c r="B34" s="2475" t="str">
        <f>"รวมราคา"&amp;B11</f>
        <v>รวมราคางานระบบดับเพลิงและป้องกันอัคคีภัย ชั้น ดาดฟ้า</v>
      </c>
      <c r="C34" s="2476"/>
      <c r="D34" s="2477"/>
      <c r="E34" s="1167"/>
      <c r="F34" s="1167"/>
      <c r="G34" s="1168"/>
      <c r="H34" s="1169">
        <f>SUM(H12:H33)</f>
        <v>139867</v>
      </c>
      <c r="I34" s="1170"/>
      <c r="J34" s="1169">
        <f>SUM(J12:J33)</f>
        <v>26835</v>
      </c>
      <c r="K34" s="1171">
        <f>SUM(K12:K33)</f>
        <v>166702</v>
      </c>
      <c r="L34" s="1171"/>
    </row>
    <row r="35" spans="1:12" s="714" customFormat="1" ht="24" customHeight="1">
      <c r="A35" s="1011"/>
      <c r="B35" s="1173" t="s">
        <v>31</v>
      </c>
      <c r="C35" s="859"/>
      <c r="D35" s="859"/>
      <c r="E35" s="1216"/>
      <c r="F35" s="852"/>
      <c r="G35" s="874"/>
      <c r="H35" s="854"/>
      <c r="I35" s="855"/>
      <c r="J35" s="854"/>
      <c r="K35" s="912"/>
      <c r="L35" s="912"/>
    </row>
    <row r="36" spans="1:12" s="714" customFormat="1" ht="24" customHeight="1">
      <c r="A36" s="1207">
        <v>6.1</v>
      </c>
      <c r="B36" s="1208" t="s">
        <v>1782</v>
      </c>
      <c r="C36" s="1238"/>
      <c r="D36" s="1210"/>
      <c r="E36" s="1211"/>
      <c r="F36" s="1212"/>
      <c r="G36" s="874"/>
      <c r="H36" s="854"/>
      <c r="I36" s="855"/>
      <c r="J36" s="854"/>
      <c r="K36" s="912"/>
      <c r="L36" s="912"/>
    </row>
    <row r="37" spans="1:12" s="714" customFormat="1" ht="24" customHeight="1">
      <c r="A37" s="1159" t="s">
        <v>1783</v>
      </c>
      <c r="B37" s="1160" t="s">
        <v>1878</v>
      </c>
      <c r="C37" s="1161"/>
      <c r="D37" s="1162"/>
      <c r="E37" s="1211"/>
      <c r="F37" s="1163"/>
      <c r="G37" s="1205"/>
      <c r="H37" s="796"/>
      <c r="I37" s="797"/>
      <c r="J37" s="796"/>
      <c r="K37" s="914"/>
      <c r="L37" s="914"/>
    </row>
    <row r="38" spans="1:12" s="714" customFormat="1" ht="24" customHeight="1">
      <c r="A38" s="1147"/>
      <c r="B38" s="1148" t="s">
        <v>1822</v>
      </c>
      <c r="C38" s="1123"/>
      <c r="D38" s="1124"/>
      <c r="E38" s="1311">
        <v>35</v>
      </c>
      <c r="F38" s="1150" t="s">
        <v>438</v>
      </c>
      <c r="G38" s="1140">
        <v>78</v>
      </c>
      <c r="H38" s="796">
        <f t="shared" ref="H38:H51" si="1">ROUND(E38*G38,)</f>
        <v>2730</v>
      </c>
      <c r="I38" s="797">
        <v>45</v>
      </c>
      <c r="J38" s="796">
        <f t="shared" ref="J38:J51" si="2">ROUND(I38*E38,)</f>
        <v>1575</v>
      </c>
      <c r="K38" s="914">
        <f t="shared" ref="K38:K51" si="3">H38+J38</f>
        <v>4305</v>
      </c>
      <c r="L38" s="914"/>
    </row>
    <row r="39" spans="1:12" s="714" customFormat="1" ht="24" customHeight="1">
      <c r="A39" s="1147"/>
      <c r="B39" s="1148" t="s">
        <v>1186</v>
      </c>
      <c r="C39" s="1123"/>
      <c r="D39" s="1124"/>
      <c r="E39" s="1311">
        <v>15</v>
      </c>
      <c r="F39" s="1150" t="s">
        <v>438</v>
      </c>
      <c r="G39" s="1140">
        <v>105</v>
      </c>
      <c r="H39" s="796">
        <f t="shared" si="1"/>
        <v>1575</v>
      </c>
      <c r="I39" s="855">
        <v>60</v>
      </c>
      <c r="J39" s="796">
        <f t="shared" si="2"/>
        <v>900</v>
      </c>
      <c r="K39" s="914">
        <f t="shared" si="3"/>
        <v>2475</v>
      </c>
      <c r="L39" s="912"/>
    </row>
    <row r="40" spans="1:12" s="714" customFormat="1" ht="24" customHeight="1">
      <c r="A40" s="1147"/>
      <c r="B40" s="1148" t="s">
        <v>1187</v>
      </c>
      <c r="C40" s="1123"/>
      <c r="D40" s="1124"/>
      <c r="E40" s="1311">
        <v>25</v>
      </c>
      <c r="F40" s="1150" t="s">
        <v>438</v>
      </c>
      <c r="G40" s="1244">
        <v>126</v>
      </c>
      <c r="H40" s="796">
        <f t="shared" si="1"/>
        <v>3150</v>
      </c>
      <c r="I40" s="1176">
        <v>70</v>
      </c>
      <c r="J40" s="796">
        <f t="shared" si="2"/>
        <v>1750</v>
      </c>
      <c r="K40" s="914">
        <f t="shared" si="3"/>
        <v>4900</v>
      </c>
      <c r="L40" s="912"/>
    </row>
    <row r="41" spans="1:12" s="714" customFormat="1" ht="24" customHeight="1">
      <c r="A41" s="1147"/>
      <c r="B41" s="1148" t="s">
        <v>1188</v>
      </c>
      <c r="C41" s="1123"/>
      <c r="D41" s="1124"/>
      <c r="E41" s="1311">
        <v>15</v>
      </c>
      <c r="F41" s="1150" t="s">
        <v>438</v>
      </c>
      <c r="G41" s="1244">
        <v>169</v>
      </c>
      <c r="H41" s="796">
        <f t="shared" si="1"/>
        <v>2535</v>
      </c>
      <c r="I41" s="1176">
        <v>95</v>
      </c>
      <c r="J41" s="796">
        <f t="shared" si="2"/>
        <v>1425</v>
      </c>
      <c r="K41" s="914">
        <f t="shared" si="3"/>
        <v>3960</v>
      </c>
      <c r="L41" s="912"/>
    </row>
    <row r="42" spans="1:12" s="714" customFormat="1" ht="24" customHeight="1">
      <c r="A42" s="1147"/>
      <c r="B42" s="1148" t="s">
        <v>1189</v>
      </c>
      <c r="C42" s="1123"/>
      <c r="D42" s="1124"/>
      <c r="E42" s="1311">
        <v>30</v>
      </c>
      <c r="F42" s="1150" t="s">
        <v>438</v>
      </c>
      <c r="G42" s="1244">
        <v>268</v>
      </c>
      <c r="H42" s="796">
        <f t="shared" si="1"/>
        <v>8040</v>
      </c>
      <c r="I42" s="1176">
        <v>150</v>
      </c>
      <c r="J42" s="796">
        <f t="shared" si="2"/>
        <v>4500</v>
      </c>
      <c r="K42" s="914">
        <f t="shared" si="3"/>
        <v>12540</v>
      </c>
      <c r="L42" s="912"/>
    </row>
    <row r="43" spans="1:12" s="714" customFormat="1" ht="24" customHeight="1">
      <c r="A43" s="1147"/>
      <c r="B43" s="1148" t="s">
        <v>1190</v>
      </c>
      <c r="C43" s="1123"/>
      <c r="D43" s="1124"/>
      <c r="E43" s="1311">
        <v>5</v>
      </c>
      <c r="F43" s="1150" t="s">
        <v>438</v>
      </c>
      <c r="G43" s="1244">
        <v>350</v>
      </c>
      <c r="H43" s="796">
        <f t="shared" si="1"/>
        <v>1750</v>
      </c>
      <c r="I43" s="1176">
        <v>200</v>
      </c>
      <c r="J43" s="796">
        <f t="shared" si="2"/>
        <v>1000</v>
      </c>
      <c r="K43" s="914">
        <f t="shared" si="3"/>
        <v>2750</v>
      </c>
      <c r="L43" s="912"/>
    </row>
    <row r="44" spans="1:12" s="714" customFormat="1" ht="24" customHeight="1">
      <c r="A44" s="1147"/>
      <c r="B44" s="1148" t="s">
        <v>1674</v>
      </c>
      <c r="C44" s="1123"/>
      <c r="D44" s="1124"/>
      <c r="E44" s="1311"/>
      <c r="F44" s="1150" t="s">
        <v>438</v>
      </c>
      <c r="G44" s="1244">
        <v>499</v>
      </c>
      <c r="H44" s="796">
        <f t="shared" si="1"/>
        <v>0</v>
      </c>
      <c r="I44" s="1176">
        <v>280</v>
      </c>
      <c r="J44" s="796">
        <f t="shared" si="2"/>
        <v>0</v>
      </c>
      <c r="K44" s="914">
        <f t="shared" si="3"/>
        <v>0</v>
      </c>
      <c r="L44" s="912"/>
    </row>
    <row r="45" spans="1:12" s="714" customFormat="1" ht="24" customHeight="1">
      <c r="A45" s="1147"/>
      <c r="B45" s="1148" t="s">
        <v>1675</v>
      </c>
      <c r="C45" s="1123"/>
      <c r="D45" s="1124"/>
      <c r="E45" s="1311"/>
      <c r="F45" s="1150" t="s">
        <v>438</v>
      </c>
      <c r="G45" s="1244">
        <v>877</v>
      </c>
      <c r="H45" s="796">
        <f t="shared" si="1"/>
        <v>0</v>
      </c>
      <c r="I45" s="1176">
        <v>500</v>
      </c>
      <c r="J45" s="796">
        <f t="shared" si="2"/>
        <v>0</v>
      </c>
      <c r="K45" s="914">
        <f t="shared" si="3"/>
        <v>0</v>
      </c>
      <c r="L45" s="912"/>
    </row>
    <row r="46" spans="1:12" s="714" customFormat="1" ht="24" customHeight="1">
      <c r="A46" s="1147"/>
      <c r="B46" s="1148" t="s">
        <v>1676</v>
      </c>
      <c r="C46" s="1123"/>
      <c r="D46" s="1124"/>
      <c r="E46" s="1254"/>
      <c r="F46" s="1150" t="s">
        <v>438</v>
      </c>
      <c r="G46" s="1244">
        <v>1361</v>
      </c>
      <c r="H46" s="796">
        <f t="shared" si="1"/>
        <v>0</v>
      </c>
      <c r="I46" s="1176">
        <v>560</v>
      </c>
      <c r="J46" s="796">
        <f t="shared" si="2"/>
        <v>0</v>
      </c>
      <c r="K46" s="914">
        <f t="shared" si="3"/>
        <v>0</v>
      </c>
      <c r="L46" s="912"/>
    </row>
    <row r="47" spans="1:12" s="714" customFormat="1" ht="24" customHeight="1">
      <c r="A47" s="1147"/>
      <c r="B47" s="1148" t="s">
        <v>1790</v>
      </c>
      <c r="C47" s="1123"/>
      <c r="D47" s="1124"/>
      <c r="E47" s="1254"/>
      <c r="F47" s="1150" t="s">
        <v>438</v>
      </c>
      <c r="G47" s="1244">
        <v>2212</v>
      </c>
      <c r="H47" s="796">
        <f t="shared" si="1"/>
        <v>0</v>
      </c>
      <c r="I47" s="1176">
        <v>700</v>
      </c>
      <c r="J47" s="796">
        <f t="shared" si="2"/>
        <v>0</v>
      </c>
      <c r="K47" s="914">
        <f t="shared" si="3"/>
        <v>0</v>
      </c>
      <c r="L47" s="912"/>
    </row>
    <row r="48" spans="1:12" s="714" customFormat="1" ht="24" customHeight="1">
      <c r="A48" s="1147"/>
      <c r="B48" s="1148" t="s">
        <v>1645</v>
      </c>
      <c r="C48" s="1123"/>
      <c r="D48" s="1124"/>
      <c r="E48" s="1245">
        <v>1</v>
      </c>
      <c r="F48" s="935" t="s">
        <v>948</v>
      </c>
      <c r="G48" s="1244">
        <f>ROUND(SUM(H38:H47)*40%,)</f>
        <v>7912</v>
      </c>
      <c r="H48" s="796">
        <f t="shared" si="1"/>
        <v>7912</v>
      </c>
      <c r="I48" s="1176">
        <f>ROUND(G48*0.3,)</f>
        <v>2374</v>
      </c>
      <c r="J48" s="796">
        <f t="shared" si="2"/>
        <v>2374</v>
      </c>
      <c r="K48" s="914">
        <f t="shared" si="3"/>
        <v>10286</v>
      </c>
      <c r="L48" s="912"/>
    </row>
    <row r="49" spans="1:15" s="714" customFormat="1" ht="24" customHeight="1">
      <c r="A49" s="1147"/>
      <c r="B49" s="1148" t="s">
        <v>1646</v>
      </c>
      <c r="C49" s="1123"/>
      <c r="D49" s="1124"/>
      <c r="E49" s="1245">
        <v>1</v>
      </c>
      <c r="F49" s="935" t="s">
        <v>948</v>
      </c>
      <c r="G49" s="1244">
        <f>ROUND(SUM(H38:H47)*20%,)</f>
        <v>3956</v>
      </c>
      <c r="H49" s="796">
        <f t="shared" si="1"/>
        <v>3956</v>
      </c>
      <c r="I49" s="1176">
        <f t="shared" ref="I49:I51" si="4">ROUND(G49*0.3,)</f>
        <v>1187</v>
      </c>
      <c r="J49" s="796">
        <f t="shared" si="2"/>
        <v>1187</v>
      </c>
      <c r="K49" s="914">
        <f t="shared" si="3"/>
        <v>5143</v>
      </c>
      <c r="L49" s="912"/>
    </row>
    <row r="50" spans="1:15" s="714" customFormat="1" ht="24" customHeight="1">
      <c r="A50" s="1147"/>
      <c r="B50" s="1148" t="s">
        <v>1647</v>
      </c>
      <c r="C50" s="1123"/>
      <c r="D50" s="1124"/>
      <c r="E50" s="1245">
        <v>1</v>
      </c>
      <c r="F50" s="935" t="s">
        <v>948</v>
      </c>
      <c r="G50" s="1244">
        <f>ROUND(SUM(H38:H47)*10%,)</f>
        <v>1978</v>
      </c>
      <c r="H50" s="796">
        <f t="shared" si="1"/>
        <v>1978</v>
      </c>
      <c r="I50" s="1176">
        <f t="shared" si="4"/>
        <v>593</v>
      </c>
      <c r="J50" s="796">
        <f t="shared" si="2"/>
        <v>593</v>
      </c>
      <c r="K50" s="914">
        <f t="shared" si="3"/>
        <v>2571</v>
      </c>
      <c r="L50" s="912"/>
    </row>
    <row r="51" spans="1:15" s="714" customFormat="1" ht="24" customHeight="1">
      <c r="A51" s="1159"/>
      <c r="B51" s="1148" t="s">
        <v>1791</v>
      </c>
      <c r="C51" s="1123"/>
      <c r="D51" s="1124"/>
      <c r="E51" s="1245">
        <v>1</v>
      </c>
      <c r="F51" s="935" t="s">
        <v>948</v>
      </c>
      <c r="G51" s="1244">
        <f>ROUND(SUM(H38:H47)*30%,)</f>
        <v>5934</v>
      </c>
      <c r="H51" s="796">
        <f t="shared" si="1"/>
        <v>5934</v>
      </c>
      <c r="I51" s="1176">
        <f t="shared" si="4"/>
        <v>1780</v>
      </c>
      <c r="J51" s="796">
        <f t="shared" si="2"/>
        <v>1780</v>
      </c>
      <c r="K51" s="914">
        <f t="shared" si="3"/>
        <v>7714</v>
      </c>
      <c r="L51" s="912"/>
    </row>
    <row r="52" spans="1:15" s="714" customFormat="1" ht="24" customHeight="1">
      <c r="A52" s="1159" t="s">
        <v>1792</v>
      </c>
      <c r="B52" s="1160" t="s">
        <v>1793</v>
      </c>
      <c r="C52" s="1161"/>
      <c r="D52" s="1162"/>
      <c r="E52" s="1306"/>
      <c r="F52" s="1163"/>
      <c r="G52" s="1205"/>
      <c r="H52" s="796"/>
      <c r="I52" s="797"/>
      <c r="J52" s="796"/>
      <c r="K52" s="914"/>
      <c r="L52" s="914"/>
    </row>
    <row r="53" spans="1:15" s="714" customFormat="1" ht="24" customHeight="1">
      <c r="A53" s="1147"/>
      <c r="B53" s="1148" t="s">
        <v>1185</v>
      </c>
      <c r="C53" s="1123"/>
      <c r="D53" s="1124"/>
      <c r="E53" s="1313">
        <v>1</v>
      </c>
      <c r="F53" s="1150" t="s">
        <v>438</v>
      </c>
      <c r="G53" s="1140">
        <v>124</v>
      </c>
      <c r="H53" s="796">
        <f>ROUND(E53*G53,)</f>
        <v>124</v>
      </c>
      <c r="I53" s="797">
        <v>50</v>
      </c>
      <c r="J53" s="796">
        <f t="shared" ref="J53:J57" si="5">ROUND(I53*E53,)</f>
        <v>50</v>
      </c>
      <c r="K53" s="914">
        <f t="shared" ref="K53:K57" si="6">H53+J53</f>
        <v>174</v>
      </c>
      <c r="L53" s="2273" t="s">
        <v>2974</v>
      </c>
      <c r="N53" s="714">
        <v>745.96</v>
      </c>
      <c r="O53" s="714">
        <f>ROUND(N53/6,)</f>
        <v>124</v>
      </c>
    </row>
    <row r="54" spans="1:15" s="714" customFormat="1" ht="24" customHeight="1">
      <c r="A54" s="1147"/>
      <c r="B54" s="1148" t="s">
        <v>1188</v>
      </c>
      <c r="C54" s="1123"/>
      <c r="D54" s="1124"/>
      <c r="E54" s="1311">
        <v>3</v>
      </c>
      <c r="F54" s="1150" t="s">
        <v>438</v>
      </c>
      <c r="G54" s="1140">
        <v>259</v>
      </c>
      <c r="H54" s="796">
        <f t="shared" ref="H54:H57" si="7">ROUND(E54*G54,)</f>
        <v>777</v>
      </c>
      <c r="I54" s="855">
        <v>110</v>
      </c>
      <c r="J54" s="796">
        <f t="shared" si="5"/>
        <v>330</v>
      </c>
      <c r="K54" s="914">
        <f t="shared" si="6"/>
        <v>1107</v>
      </c>
      <c r="L54" s="2273" t="s">
        <v>2974</v>
      </c>
      <c r="N54" s="714">
        <v>1554.48</v>
      </c>
      <c r="O54" s="714">
        <f>ROUND(N54/6,)</f>
        <v>259</v>
      </c>
    </row>
    <row r="55" spans="1:15" s="714" customFormat="1" ht="24" customHeight="1">
      <c r="A55" s="1147"/>
      <c r="B55" s="1148" t="s">
        <v>1645</v>
      </c>
      <c r="C55" s="1123"/>
      <c r="D55" s="1124"/>
      <c r="E55" s="1254">
        <v>1</v>
      </c>
      <c r="F55" s="935" t="s">
        <v>948</v>
      </c>
      <c r="G55" s="1244">
        <f>ROUND(SUM(H53:H54)*50%,)</f>
        <v>451</v>
      </c>
      <c r="H55" s="796">
        <f t="shared" si="7"/>
        <v>451</v>
      </c>
      <c r="I55" s="1176">
        <f>ROUND(G55*0.3,)</f>
        <v>135</v>
      </c>
      <c r="J55" s="796">
        <f t="shared" si="5"/>
        <v>135</v>
      </c>
      <c r="K55" s="914">
        <f t="shared" si="6"/>
        <v>586</v>
      </c>
      <c r="L55" s="912"/>
    </row>
    <row r="56" spans="1:15" s="714" customFormat="1" ht="24" customHeight="1">
      <c r="A56" s="1147"/>
      <c r="B56" s="1148" t="s">
        <v>1646</v>
      </c>
      <c r="C56" s="1123"/>
      <c r="D56" s="1124"/>
      <c r="E56" s="1254">
        <v>1</v>
      </c>
      <c r="F56" s="935" t="s">
        <v>948</v>
      </c>
      <c r="G56" s="1244">
        <f>ROUND(SUM(H53:H54)*20%,)</f>
        <v>180</v>
      </c>
      <c r="H56" s="796">
        <f t="shared" si="7"/>
        <v>180</v>
      </c>
      <c r="I56" s="1176">
        <f t="shared" ref="I56:I57" si="8">ROUND(G56*0.3,)</f>
        <v>54</v>
      </c>
      <c r="J56" s="796">
        <f t="shared" si="5"/>
        <v>54</v>
      </c>
      <c r="K56" s="914">
        <f t="shared" si="6"/>
        <v>234</v>
      </c>
      <c r="L56" s="912"/>
    </row>
    <row r="57" spans="1:15" s="714" customFormat="1" ht="24" customHeight="1">
      <c r="A57" s="1147"/>
      <c r="B57" s="1148" t="s">
        <v>1647</v>
      </c>
      <c r="C57" s="1123"/>
      <c r="D57" s="1124"/>
      <c r="E57" s="1254">
        <v>1</v>
      </c>
      <c r="F57" s="935" t="s">
        <v>948</v>
      </c>
      <c r="G57" s="1244">
        <f>ROUND(SUM(H53:H54)*10%,)</f>
        <v>90</v>
      </c>
      <c r="H57" s="796">
        <f t="shared" si="7"/>
        <v>90</v>
      </c>
      <c r="I57" s="1176">
        <f t="shared" si="8"/>
        <v>27</v>
      </c>
      <c r="J57" s="796">
        <f t="shared" si="5"/>
        <v>27</v>
      </c>
      <c r="K57" s="914">
        <f t="shared" si="6"/>
        <v>117</v>
      </c>
      <c r="L57" s="912"/>
    </row>
    <row r="58" spans="1:15" s="714" customFormat="1" ht="24" customHeight="1">
      <c r="A58" s="1147"/>
      <c r="B58" s="1148" t="s">
        <v>957</v>
      </c>
      <c r="C58" s="1123"/>
      <c r="D58" s="1124"/>
      <c r="E58" s="1240"/>
      <c r="F58" s="1150"/>
      <c r="G58" s="1140"/>
      <c r="H58" s="854"/>
      <c r="I58" s="855"/>
      <c r="J58" s="854"/>
      <c r="K58" s="912"/>
      <c r="L58" s="912"/>
    </row>
    <row r="59" spans="1:15" s="714" customFormat="1" ht="24" customHeight="1">
      <c r="A59" s="1166"/>
      <c r="B59" s="2475" t="str">
        <f>"รวมราคารายการที่ "&amp;A36</f>
        <v>รวมราคารายการที่ 6.1</v>
      </c>
      <c r="C59" s="2476"/>
      <c r="D59" s="2477"/>
      <c r="E59" s="1248"/>
      <c r="F59" s="1167"/>
      <c r="G59" s="1168"/>
      <c r="H59" s="1169">
        <f>SUM(H37:H58)</f>
        <v>41182</v>
      </c>
      <c r="I59" s="1170"/>
      <c r="J59" s="1169">
        <f>SUM(J37:J58)</f>
        <v>17680</v>
      </c>
      <c r="K59" s="1171">
        <f>SUM(K37:K58)</f>
        <v>58862</v>
      </c>
      <c r="L59" s="1171"/>
    </row>
    <row r="60" spans="1:15" s="714" customFormat="1" ht="24" customHeight="1">
      <c r="A60" s="1207">
        <v>6.2</v>
      </c>
      <c r="B60" s="1208" t="s">
        <v>1794</v>
      </c>
      <c r="C60" s="1209"/>
      <c r="D60" s="1210"/>
      <c r="E60" s="1239"/>
      <c r="F60" s="1212"/>
      <c r="G60" s="874"/>
      <c r="H60" s="854"/>
      <c r="I60" s="855"/>
      <c r="J60" s="854"/>
      <c r="K60" s="912"/>
      <c r="L60" s="912"/>
    </row>
    <row r="61" spans="1:15" s="714" customFormat="1" ht="24" customHeight="1">
      <c r="A61" s="1147" t="s">
        <v>1795</v>
      </c>
      <c r="B61" s="1148" t="s">
        <v>1823</v>
      </c>
      <c r="C61" s="1123"/>
      <c r="D61" s="1124"/>
      <c r="E61" s="1240"/>
      <c r="F61" s="1150"/>
      <c r="G61" s="1140"/>
      <c r="H61" s="796">
        <f t="shared" ref="H61:H62" si="9">ROUND(E61*G61,)</f>
        <v>0</v>
      </c>
      <c r="I61" s="855"/>
      <c r="J61" s="796">
        <f t="shared" ref="J61:J62" si="10">ROUND(I61*E61,)</f>
        <v>0</v>
      </c>
      <c r="K61" s="912"/>
      <c r="L61" s="912"/>
    </row>
    <row r="62" spans="1:15" s="714" customFormat="1" ht="24" customHeight="1">
      <c r="A62" s="1147"/>
      <c r="B62" s="1148" t="s">
        <v>1185</v>
      </c>
      <c r="C62" s="1123"/>
      <c r="D62" s="1124"/>
      <c r="E62" s="1240">
        <v>2</v>
      </c>
      <c r="F62" s="1150" t="s">
        <v>240</v>
      </c>
      <c r="G62" s="1140">
        <v>400</v>
      </c>
      <c r="H62" s="796">
        <f t="shared" si="9"/>
        <v>800</v>
      </c>
      <c r="I62" s="855">
        <v>200</v>
      </c>
      <c r="J62" s="796">
        <f t="shared" si="10"/>
        <v>400</v>
      </c>
      <c r="K62" s="914">
        <f t="shared" ref="K62" si="11">H62+J62</f>
        <v>1200</v>
      </c>
      <c r="L62" s="912"/>
    </row>
    <row r="63" spans="1:15" s="714" customFormat="1" ht="24" customHeight="1">
      <c r="A63" s="1147" t="s">
        <v>1797</v>
      </c>
      <c r="B63" s="1148" t="s">
        <v>1824</v>
      </c>
      <c r="C63" s="1123"/>
      <c r="D63" s="1124"/>
      <c r="E63" s="1240"/>
      <c r="F63" s="1150"/>
      <c r="G63" s="1140"/>
      <c r="H63" s="854"/>
      <c r="I63" s="855"/>
      <c r="J63" s="854"/>
      <c r="K63" s="912"/>
      <c r="L63" s="912"/>
    </row>
    <row r="64" spans="1:15" s="714" customFormat="1" ht="24" customHeight="1">
      <c r="A64" s="1147"/>
      <c r="B64" s="1148" t="s">
        <v>1675</v>
      </c>
      <c r="C64" s="1123"/>
      <c r="D64" s="1124"/>
      <c r="E64" s="1240">
        <v>1</v>
      </c>
      <c r="F64" s="1150" t="s">
        <v>240</v>
      </c>
      <c r="G64" s="1140">
        <v>13100</v>
      </c>
      <c r="H64" s="796">
        <f t="shared" ref="H64:H67" si="12">ROUND(E64*G64,)</f>
        <v>13100</v>
      </c>
      <c r="I64" s="855">
        <v>1200</v>
      </c>
      <c r="J64" s="796">
        <f t="shared" ref="J64:J67" si="13">ROUND(I64*E64,)</f>
        <v>1200</v>
      </c>
      <c r="K64" s="914">
        <f t="shared" ref="K64:K67" si="14">H64+J64</f>
        <v>14300</v>
      </c>
      <c r="L64" s="912"/>
    </row>
    <row r="65" spans="1:12" s="714" customFormat="1" ht="24" customHeight="1">
      <c r="A65" s="1147" t="s">
        <v>1799</v>
      </c>
      <c r="B65" s="1148" t="s">
        <v>1825</v>
      </c>
      <c r="C65" s="1123"/>
      <c r="D65" s="1124"/>
      <c r="E65" s="1240"/>
      <c r="F65" s="1150"/>
      <c r="G65" s="1140"/>
      <c r="H65" s="796"/>
      <c r="I65" s="855"/>
      <c r="J65" s="796"/>
      <c r="K65" s="914"/>
      <c r="L65" s="912"/>
    </row>
    <row r="66" spans="1:12" s="714" customFormat="1" ht="24" customHeight="1">
      <c r="A66" s="1147"/>
      <c r="B66" s="1148" t="s">
        <v>1788</v>
      </c>
      <c r="C66" s="1123"/>
      <c r="D66" s="1124"/>
      <c r="E66" s="1240">
        <v>1</v>
      </c>
      <c r="F66" s="1150" t="s">
        <v>240</v>
      </c>
      <c r="G66" s="1140">
        <v>1963</v>
      </c>
      <c r="H66" s="796">
        <f t="shared" ref="H66" si="15">ROUND(E66*G66,)</f>
        <v>1963</v>
      </c>
      <c r="I66" s="855">
        <v>400</v>
      </c>
      <c r="J66" s="796">
        <f t="shared" ref="J66" si="16">ROUND(I66*E66,)</f>
        <v>400</v>
      </c>
      <c r="K66" s="914">
        <f t="shared" ref="K66" si="17">H66+J66</f>
        <v>2363</v>
      </c>
      <c r="L66" s="912"/>
    </row>
    <row r="67" spans="1:12" s="714" customFormat="1" ht="24" customHeight="1">
      <c r="A67" s="1147" t="s">
        <v>1801</v>
      </c>
      <c r="B67" s="1148" t="s">
        <v>1826</v>
      </c>
      <c r="C67" s="1123"/>
      <c r="D67" s="1124"/>
      <c r="E67" s="1240">
        <v>1</v>
      </c>
      <c r="F67" s="1150" t="s">
        <v>240</v>
      </c>
      <c r="G67" s="1140">
        <v>900</v>
      </c>
      <c r="H67" s="796">
        <f t="shared" si="12"/>
        <v>900</v>
      </c>
      <c r="I67" s="855">
        <v>100</v>
      </c>
      <c r="J67" s="796">
        <f t="shared" si="13"/>
        <v>100</v>
      </c>
      <c r="K67" s="914">
        <f t="shared" si="14"/>
        <v>1000</v>
      </c>
      <c r="L67" s="912"/>
    </row>
    <row r="68" spans="1:12" s="714" customFormat="1" ht="24" customHeight="1">
      <c r="A68" s="1147" t="s">
        <v>1803</v>
      </c>
      <c r="B68" s="1148" t="s">
        <v>1827</v>
      </c>
      <c r="C68" s="1123"/>
      <c r="D68" s="1124"/>
      <c r="E68" s="1240"/>
      <c r="F68" s="1150"/>
      <c r="G68" s="1140"/>
      <c r="H68" s="854"/>
      <c r="I68" s="855"/>
      <c r="J68" s="854"/>
      <c r="K68" s="912"/>
      <c r="L68" s="912"/>
    </row>
    <row r="69" spans="1:12" s="714" customFormat="1" ht="24" customHeight="1">
      <c r="A69" s="1147"/>
      <c r="B69" s="1148" t="s">
        <v>1675</v>
      </c>
      <c r="C69" s="1123"/>
      <c r="D69" s="1124"/>
      <c r="E69" s="1240">
        <v>1</v>
      </c>
      <c r="F69" s="1150" t="s">
        <v>240</v>
      </c>
      <c r="G69" s="1140">
        <v>17400</v>
      </c>
      <c r="H69" s="796">
        <f t="shared" ref="H69" si="18">ROUND(E69*G69,)</f>
        <v>17400</v>
      </c>
      <c r="I69" s="855">
        <v>1200</v>
      </c>
      <c r="J69" s="796">
        <f t="shared" ref="J69" si="19">ROUND(I69*E69,)</f>
        <v>1200</v>
      </c>
      <c r="K69" s="914">
        <f t="shared" ref="K69" si="20">H69+J69</f>
        <v>18600</v>
      </c>
      <c r="L69" s="912"/>
    </row>
    <row r="70" spans="1:12" s="714" customFormat="1" ht="24" customHeight="1">
      <c r="A70" s="1147" t="s">
        <v>1805</v>
      </c>
      <c r="B70" s="1148" t="s">
        <v>1717</v>
      </c>
      <c r="C70" s="1123"/>
      <c r="D70" s="1124"/>
      <c r="E70" s="1240"/>
      <c r="F70" s="1150"/>
      <c r="G70" s="1140"/>
      <c r="H70" s="854"/>
      <c r="I70" s="855"/>
      <c r="J70" s="854"/>
      <c r="K70" s="912"/>
      <c r="L70" s="912"/>
    </row>
    <row r="71" spans="1:12" s="714" customFormat="1" ht="24" customHeight="1">
      <c r="A71" s="1147"/>
      <c r="B71" s="1148" t="s">
        <v>1785</v>
      </c>
      <c r="C71" s="1123"/>
      <c r="D71" s="1124"/>
      <c r="E71" s="1240">
        <v>1</v>
      </c>
      <c r="F71" s="1150" t="s">
        <v>240</v>
      </c>
      <c r="G71" s="1140">
        <v>1010</v>
      </c>
      <c r="H71" s="796">
        <f t="shared" ref="H71" si="21">ROUND(E71*G71,)</f>
        <v>1010</v>
      </c>
      <c r="I71" s="855">
        <v>100</v>
      </c>
      <c r="J71" s="796">
        <f t="shared" ref="J71" si="22">ROUND(I71*E71,)</f>
        <v>100</v>
      </c>
      <c r="K71" s="914">
        <f t="shared" ref="K71" si="23">H71+J71</f>
        <v>1110</v>
      </c>
      <c r="L71" s="912"/>
    </row>
    <row r="72" spans="1:12" s="714" customFormat="1" ht="24" customHeight="1">
      <c r="A72" s="1147" t="s">
        <v>1807</v>
      </c>
      <c r="B72" s="1148" t="s">
        <v>1806</v>
      </c>
      <c r="C72" s="1123"/>
      <c r="D72" s="1124"/>
      <c r="E72" s="1240"/>
      <c r="F72" s="1150"/>
      <c r="G72" s="1140"/>
      <c r="H72" s="854"/>
      <c r="I72" s="855"/>
      <c r="J72" s="854"/>
      <c r="K72" s="912"/>
      <c r="L72" s="912"/>
    </row>
    <row r="73" spans="1:12" s="714" customFormat="1" ht="24" customHeight="1">
      <c r="A73" s="1147"/>
      <c r="B73" s="1148" t="s">
        <v>1785</v>
      </c>
      <c r="C73" s="1123"/>
      <c r="D73" s="1124"/>
      <c r="E73" s="1240">
        <v>1</v>
      </c>
      <c r="F73" s="1150" t="s">
        <v>240</v>
      </c>
      <c r="G73" s="1249">
        <v>18060</v>
      </c>
      <c r="H73" s="796">
        <f t="shared" ref="H73:H75" si="24">ROUND(E73*G73,)</f>
        <v>18060</v>
      </c>
      <c r="I73" s="855">
        <v>100</v>
      </c>
      <c r="J73" s="796">
        <f t="shared" ref="J73" si="25">ROUND(I73*E73,)</f>
        <v>100</v>
      </c>
      <c r="K73" s="914">
        <f t="shared" ref="K73" si="26">H73+J73</f>
        <v>18160</v>
      </c>
      <c r="L73" s="912"/>
    </row>
    <row r="74" spans="1:12" s="714" customFormat="1" ht="24" customHeight="1">
      <c r="A74" s="1147"/>
      <c r="B74" s="1148" t="s">
        <v>957</v>
      </c>
      <c r="C74" s="1123"/>
      <c r="D74" s="1124"/>
      <c r="E74" s="1240"/>
      <c r="F74" s="1150"/>
      <c r="G74" s="1140"/>
      <c r="H74" s="854"/>
      <c r="I74" s="855"/>
      <c r="J74" s="854"/>
      <c r="K74" s="912"/>
      <c r="L74" s="912"/>
    </row>
    <row r="75" spans="1:12" s="714" customFormat="1" ht="24" customHeight="1">
      <c r="A75" s="1147"/>
      <c r="B75" s="1148" t="s">
        <v>1899</v>
      </c>
      <c r="C75" s="1123"/>
      <c r="D75" s="1124"/>
      <c r="E75" s="1240">
        <v>1</v>
      </c>
      <c r="F75" s="1150" t="s">
        <v>240</v>
      </c>
      <c r="G75" s="1140">
        <f>1000+190+660+220+220+900+800+108</f>
        <v>4098</v>
      </c>
      <c r="H75" s="796">
        <f t="shared" si="24"/>
        <v>4098</v>
      </c>
      <c r="I75" s="855">
        <v>1000</v>
      </c>
      <c r="J75" s="796">
        <f t="shared" ref="J75" si="27">ROUND(I75*E75,)</f>
        <v>1000</v>
      </c>
      <c r="K75" s="914">
        <f t="shared" ref="K75" si="28">H75+J75</f>
        <v>5098</v>
      </c>
      <c r="L75" s="912"/>
    </row>
    <row r="76" spans="1:12" s="714" customFormat="1" ht="24" customHeight="1">
      <c r="A76" s="1166"/>
      <c r="B76" s="2475" t="str">
        <f>"รวมราคารายการที่ "&amp;A60</f>
        <v>รวมราคารายการที่ 6.2</v>
      </c>
      <c r="C76" s="2476"/>
      <c r="D76" s="2477"/>
      <c r="E76" s="1248"/>
      <c r="F76" s="1167"/>
      <c r="G76" s="1168"/>
      <c r="H76" s="1169">
        <f>SUM(H61:H75)</f>
        <v>57331</v>
      </c>
      <c r="I76" s="1170"/>
      <c r="J76" s="1169">
        <f>SUM(J61:J75)</f>
        <v>4500</v>
      </c>
      <c r="K76" s="1171">
        <f>SUM(K61:K75)</f>
        <v>61831</v>
      </c>
      <c r="L76" s="1171"/>
    </row>
    <row r="77" spans="1:12" s="714" customFormat="1" ht="24" customHeight="1">
      <c r="A77" s="1207">
        <v>6.3</v>
      </c>
      <c r="B77" s="1208" t="s">
        <v>1828</v>
      </c>
      <c r="C77" s="1209"/>
      <c r="D77" s="1210"/>
      <c r="E77" s="1239"/>
      <c r="F77" s="1221"/>
      <c r="G77" s="1140"/>
      <c r="H77" s="854"/>
      <c r="I77" s="855"/>
      <c r="J77" s="854"/>
      <c r="K77" s="912"/>
      <c r="L77" s="912"/>
    </row>
    <row r="78" spans="1:12" s="714" customFormat="1" ht="24" customHeight="1">
      <c r="A78" s="1147" t="s">
        <v>1829</v>
      </c>
      <c r="B78" s="1148" t="s">
        <v>1830</v>
      </c>
      <c r="C78" s="1123"/>
      <c r="D78" s="1124"/>
      <c r="E78" s="1240"/>
      <c r="F78" s="1147" t="s">
        <v>240</v>
      </c>
      <c r="G78" s="1140"/>
      <c r="H78" s="796"/>
      <c r="I78" s="855"/>
      <c r="J78" s="796"/>
      <c r="K78" s="914"/>
      <c r="L78" s="912"/>
    </row>
    <row r="79" spans="1:12" s="714" customFormat="1" ht="24" customHeight="1">
      <c r="A79" s="1147" t="s">
        <v>1831</v>
      </c>
      <c r="B79" s="1148" t="s">
        <v>1832</v>
      </c>
      <c r="C79" s="1123"/>
      <c r="D79" s="1124"/>
      <c r="E79" s="1240"/>
      <c r="F79" s="1147" t="s">
        <v>240</v>
      </c>
      <c r="G79" s="1140"/>
      <c r="H79" s="796"/>
      <c r="I79" s="855"/>
      <c r="J79" s="796"/>
      <c r="K79" s="914"/>
      <c r="L79" s="912"/>
    </row>
    <row r="80" spans="1:12" s="714" customFormat="1" ht="24" customHeight="1">
      <c r="A80" s="1147" t="s">
        <v>1833</v>
      </c>
      <c r="B80" s="1148" t="s">
        <v>1881</v>
      </c>
      <c r="C80" s="1123"/>
      <c r="D80" s="1124"/>
      <c r="E80" s="1240"/>
      <c r="F80" s="1147" t="s">
        <v>240</v>
      </c>
      <c r="G80" s="1140"/>
      <c r="H80" s="796"/>
      <c r="I80" s="855"/>
      <c r="J80" s="796"/>
      <c r="K80" s="914"/>
      <c r="L80" s="912"/>
    </row>
    <row r="81" spans="1:14" s="714" customFormat="1" ht="24" customHeight="1">
      <c r="A81" s="1147" t="s">
        <v>1835</v>
      </c>
      <c r="B81" s="1148" t="s">
        <v>1834</v>
      </c>
      <c r="C81" s="1123"/>
      <c r="D81" s="1124"/>
      <c r="E81" s="1240">
        <v>28</v>
      </c>
      <c r="F81" s="1147" t="s">
        <v>240</v>
      </c>
      <c r="G81" s="1140">
        <v>108</v>
      </c>
      <c r="H81" s="796">
        <f t="shared" ref="H81:H82" si="29">ROUND(E81*G81,)</f>
        <v>3024</v>
      </c>
      <c r="I81" s="855">
        <v>50</v>
      </c>
      <c r="J81" s="796">
        <f t="shared" ref="J81:J82" si="30">ROUND(I81*E81,)</f>
        <v>1400</v>
      </c>
      <c r="K81" s="914">
        <f>H81+J81</f>
        <v>4424</v>
      </c>
      <c r="L81" s="912"/>
    </row>
    <row r="82" spans="1:14" s="714" customFormat="1" ht="24" customHeight="1">
      <c r="A82" s="1147" t="s">
        <v>1837</v>
      </c>
      <c r="B82" s="1148" t="s">
        <v>1882</v>
      </c>
      <c r="C82" s="1123"/>
      <c r="D82" s="1124"/>
      <c r="E82" s="1240">
        <v>1</v>
      </c>
      <c r="F82" s="1147" t="s">
        <v>240</v>
      </c>
      <c r="G82" s="1140">
        <v>5400</v>
      </c>
      <c r="H82" s="796">
        <f t="shared" si="29"/>
        <v>5400</v>
      </c>
      <c r="I82" s="855">
        <f>G82*0.1</f>
        <v>540</v>
      </c>
      <c r="J82" s="796">
        <f t="shared" si="30"/>
        <v>540</v>
      </c>
      <c r="K82" s="914">
        <f>H82+J82</f>
        <v>5940</v>
      </c>
      <c r="L82" s="912"/>
    </row>
    <row r="83" spans="1:14" s="714" customFormat="1" ht="24" customHeight="1">
      <c r="A83" s="1147"/>
      <c r="B83" s="1148"/>
      <c r="C83" s="1123"/>
      <c r="D83" s="1124"/>
      <c r="E83" s="1240"/>
      <c r="F83" s="1147"/>
      <c r="G83" s="1140"/>
      <c r="H83" s="854"/>
      <c r="I83" s="855"/>
      <c r="J83" s="854"/>
      <c r="K83" s="912"/>
      <c r="L83" s="912"/>
    </row>
    <row r="84" spans="1:14" s="714" customFormat="1" ht="24" customHeight="1">
      <c r="A84" s="1166"/>
      <c r="B84" s="2475" t="str">
        <f>"รวมราคารายการที่ "&amp;A77</f>
        <v>รวมราคารายการที่ 6.3</v>
      </c>
      <c r="C84" s="2476"/>
      <c r="D84" s="2477"/>
      <c r="E84" s="1248"/>
      <c r="F84" s="1167"/>
      <c r="G84" s="1168"/>
      <c r="H84" s="1169">
        <f>SUM(H78:H83)</f>
        <v>8424</v>
      </c>
      <c r="I84" s="1169"/>
      <c r="J84" s="1169">
        <f>SUM(J78:J83)</f>
        <v>1940</v>
      </c>
      <c r="K84" s="1169">
        <f>SUM(K78:K83)</f>
        <v>10364</v>
      </c>
      <c r="L84" s="1169"/>
    </row>
    <row r="85" spans="1:14" s="714" customFormat="1" ht="24" customHeight="1">
      <c r="A85" s="1195">
        <v>6.4</v>
      </c>
      <c r="B85" s="1196" t="s">
        <v>1844</v>
      </c>
      <c r="C85" s="1197"/>
      <c r="D85" s="1198"/>
      <c r="E85" s="1305"/>
      <c r="F85" s="1230"/>
      <c r="G85" s="1255"/>
      <c r="H85" s="788"/>
      <c r="I85" s="789"/>
      <c r="J85" s="788"/>
      <c r="K85" s="1256"/>
      <c r="L85" s="1256"/>
    </row>
    <row r="86" spans="1:14" s="714" customFormat="1" ht="24" customHeight="1">
      <c r="A86" s="1147" t="s">
        <v>1845</v>
      </c>
      <c r="B86" s="1148" t="s">
        <v>1846</v>
      </c>
      <c r="C86" s="1123"/>
      <c r="D86" s="1124"/>
      <c r="E86" s="1240"/>
      <c r="F86" s="1147"/>
      <c r="G86" s="1257"/>
      <c r="H86" s="796"/>
      <c r="I86" s="797"/>
      <c r="J86" s="796"/>
      <c r="K86" s="914"/>
      <c r="L86" s="914"/>
    </row>
    <row r="87" spans="1:14" s="714" customFormat="1" ht="24" customHeight="1">
      <c r="A87" s="1147"/>
      <c r="B87" s="1148" t="s">
        <v>1847</v>
      </c>
      <c r="C87" s="1123"/>
      <c r="D87" s="1124"/>
      <c r="E87" s="1240"/>
      <c r="F87" s="1147" t="s">
        <v>240</v>
      </c>
      <c r="G87" s="1257">
        <v>3800</v>
      </c>
      <c r="H87" s="796">
        <f t="shared" ref="H87:H93" si="31">ROUND(E87*G87,)</f>
        <v>0</v>
      </c>
      <c r="I87" s="797">
        <f>G87*0.3</f>
        <v>1140</v>
      </c>
      <c r="J87" s="796">
        <f t="shared" ref="J87" si="32">ROUND(I87*E87,)</f>
        <v>0</v>
      </c>
      <c r="K87" s="914">
        <f>H87+J87</f>
        <v>0</v>
      </c>
      <c r="L87" s="914"/>
    </row>
    <row r="88" spans="1:14" s="714" customFormat="1" ht="24" customHeight="1">
      <c r="A88" s="1159"/>
      <c r="B88" s="1160" t="s">
        <v>1848</v>
      </c>
      <c r="C88" s="1161"/>
      <c r="D88" s="1162"/>
      <c r="E88" s="1240"/>
      <c r="F88" s="1159" t="s">
        <v>240</v>
      </c>
      <c r="G88" s="1258">
        <v>890</v>
      </c>
      <c r="H88" s="796">
        <f t="shared" si="31"/>
        <v>0</v>
      </c>
      <c r="I88" s="797" t="s">
        <v>974</v>
      </c>
      <c r="J88" s="796"/>
      <c r="K88" s="914">
        <f t="shared" ref="K88:K93" si="33">H88+J88</f>
        <v>0</v>
      </c>
      <c r="L88" s="914"/>
    </row>
    <row r="89" spans="1:14" s="714" customFormat="1" ht="24" customHeight="1">
      <c r="A89" s="1147"/>
      <c r="B89" s="1148" t="s">
        <v>1849</v>
      </c>
      <c r="C89" s="1123"/>
      <c r="D89" s="1124"/>
      <c r="E89" s="1240"/>
      <c r="F89" s="1147" t="s">
        <v>240</v>
      </c>
      <c r="G89" s="1257">
        <v>4200</v>
      </c>
      <c r="H89" s="796">
        <f t="shared" si="31"/>
        <v>0</v>
      </c>
      <c r="I89" s="797" t="s">
        <v>974</v>
      </c>
      <c r="J89" s="796"/>
      <c r="K89" s="914">
        <f t="shared" si="33"/>
        <v>0</v>
      </c>
      <c r="L89" s="914"/>
    </row>
    <row r="90" spans="1:14" s="714" customFormat="1" ht="24" customHeight="1">
      <c r="A90" s="1159"/>
      <c r="B90" s="1148" t="s">
        <v>1850</v>
      </c>
      <c r="C90" s="1123"/>
      <c r="D90" s="1124"/>
      <c r="E90" s="1149"/>
      <c r="F90" s="1147" t="s">
        <v>240</v>
      </c>
      <c r="G90" s="1257">
        <v>8000</v>
      </c>
      <c r="H90" s="796">
        <f t="shared" si="31"/>
        <v>0</v>
      </c>
      <c r="I90" s="797" t="s">
        <v>974</v>
      </c>
      <c r="J90" s="796"/>
      <c r="K90" s="914">
        <f t="shared" si="33"/>
        <v>0</v>
      </c>
      <c r="L90" s="1014"/>
    </row>
    <row r="91" spans="1:14" s="714" customFormat="1" ht="24" customHeight="1">
      <c r="A91" s="1147"/>
      <c r="B91" s="1148" t="s">
        <v>1851</v>
      </c>
      <c r="C91" s="1123"/>
      <c r="D91" s="1124"/>
      <c r="E91" s="1149"/>
      <c r="F91" s="1147" t="s">
        <v>240</v>
      </c>
      <c r="G91" s="1257">
        <v>5720</v>
      </c>
      <c r="H91" s="796">
        <f t="shared" si="31"/>
        <v>0</v>
      </c>
      <c r="I91" s="797" t="s">
        <v>974</v>
      </c>
      <c r="J91" s="796"/>
      <c r="K91" s="914">
        <f t="shared" si="33"/>
        <v>0</v>
      </c>
      <c r="L91" s="912"/>
    </row>
    <row r="92" spans="1:14" s="714" customFormat="1" ht="24" customHeight="1">
      <c r="A92" s="1147"/>
      <c r="B92" s="1148" t="s">
        <v>1852</v>
      </c>
      <c r="C92" s="1123"/>
      <c r="D92" s="1124"/>
      <c r="E92" s="1240"/>
      <c r="F92" s="1147" t="s">
        <v>240</v>
      </c>
      <c r="G92" s="1257">
        <v>820</v>
      </c>
      <c r="H92" s="796">
        <f t="shared" si="31"/>
        <v>0</v>
      </c>
      <c r="I92" s="797" t="s">
        <v>974</v>
      </c>
      <c r="J92" s="796"/>
      <c r="K92" s="914">
        <f t="shared" si="33"/>
        <v>0</v>
      </c>
      <c r="L92" s="912"/>
    </row>
    <row r="93" spans="1:14" s="714" customFormat="1" ht="24" customHeight="1">
      <c r="A93" s="1147"/>
      <c r="B93" s="1148" t="s">
        <v>1853</v>
      </c>
      <c r="C93" s="1123"/>
      <c r="D93" s="1124"/>
      <c r="E93" s="1240"/>
      <c r="F93" s="1147" t="s">
        <v>240</v>
      </c>
      <c r="G93" s="1257">
        <v>450</v>
      </c>
      <c r="H93" s="796">
        <f t="shared" si="31"/>
        <v>0</v>
      </c>
      <c r="I93" s="797" t="s">
        <v>974</v>
      </c>
      <c r="J93" s="796"/>
      <c r="K93" s="914">
        <f t="shared" si="33"/>
        <v>0</v>
      </c>
      <c r="L93" s="912"/>
    </row>
    <row r="94" spans="1:14" s="714" customFormat="1" ht="24" customHeight="1">
      <c r="A94" s="1147" t="s">
        <v>1854</v>
      </c>
      <c r="B94" s="1148" t="s">
        <v>1855</v>
      </c>
      <c r="C94" s="1123"/>
      <c r="D94" s="1124"/>
      <c r="E94" s="1240"/>
      <c r="F94" s="1147"/>
      <c r="G94" s="1257"/>
      <c r="H94" s="854"/>
      <c r="I94" s="855"/>
      <c r="J94" s="854"/>
      <c r="K94" s="912"/>
      <c r="L94" s="912"/>
      <c r="M94" s="914"/>
      <c r="N94" s="1014"/>
    </row>
    <row r="95" spans="1:14" s="714" customFormat="1" ht="24" customHeight="1">
      <c r="A95" s="1147"/>
      <c r="B95" s="1148" t="s">
        <v>1856</v>
      </c>
      <c r="C95" s="1123"/>
      <c r="D95" s="1124"/>
      <c r="E95" s="1149">
        <v>1</v>
      </c>
      <c r="F95" s="1147" t="s">
        <v>240</v>
      </c>
      <c r="G95" s="1257">
        <f>6500*1.1</f>
        <v>7150.0000000000009</v>
      </c>
      <c r="H95" s="796">
        <f t="shared" ref="H95:H101" si="34">ROUND(E95*G95,)</f>
        <v>7150</v>
      </c>
      <c r="I95" s="797">
        <f>G95*0.3</f>
        <v>2145</v>
      </c>
      <c r="J95" s="796">
        <f t="shared" ref="J95" si="35">ROUND(I95*E95,)</f>
        <v>2145</v>
      </c>
      <c r="K95" s="914">
        <f>H95+J95</f>
        <v>9295</v>
      </c>
      <c r="L95" s="1014"/>
      <c r="M95" s="914"/>
      <c r="N95" s="1014"/>
    </row>
    <row r="96" spans="1:14" s="714" customFormat="1" ht="24" customHeight="1">
      <c r="A96" s="1159"/>
      <c r="B96" s="1160" t="s">
        <v>1848</v>
      </c>
      <c r="C96" s="1161"/>
      <c r="D96" s="1162"/>
      <c r="E96" s="1149">
        <v>1</v>
      </c>
      <c r="F96" s="1159" t="s">
        <v>240</v>
      </c>
      <c r="G96" s="1258">
        <v>890</v>
      </c>
      <c r="H96" s="796">
        <f t="shared" si="34"/>
        <v>890</v>
      </c>
      <c r="I96" s="797" t="s">
        <v>974</v>
      </c>
      <c r="J96" s="796"/>
      <c r="K96" s="914">
        <f t="shared" ref="K96:K101" si="36">H96+J96</f>
        <v>890</v>
      </c>
      <c r="L96" s="1014"/>
      <c r="M96" s="914"/>
      <c r="N96" s="1014"/>
    </row>
    <row r="97" spans="1:14" s="714" customFormat="1" ht="24" customHeight="1">
      <c r="A97" s="1147"/>
      <c r="B97" s="1148" t="s">
        <v>1883</v>
      </c>
      <c r="C97" s="1123"/>
      <c r="D97" s="1124"/>
      <c r="E97" s="1149">
        <v>1</v>
      </c>
      <c r="F97" s="1147" t="s">
        <v>240</v>
      </c>
      <c r="G97" s="1257">
        <v>4200</v>
      </c>
      <c r="H97" s="796">
        <f t="shared" si="34"/>
        <v>4200</v>
      </c>
      <c r="I97" s="797" t="s">
        <v>974</v>
      </c>
      <c r="J97" s="796"/>
      <c r="K97" s="914">
        <f t="shared" si="36"/>
        <v>4200</v>
      </c>
      <c r="L97" s="1014"/>
      <c r="M97" s="914"/>
      <c r="N97" s="1014"/>
    </row>
    <row r="98" spans="1:14" s="714" customFormat="1" ht="24" customHeight="1">
      <c r="A98" s="1159"/>
      <c r="B98" s="1148" t="s">
        <v>1850</v>
      </c>
      <c r="C98" s="1123"/>
      <c r="D98" s="1124"/>
      <c r="E98" s="1149">
        <v>1</v>
      </c>
      <c r="F98" s="1147" t="s">
        <v>240</v>
      </c>
      <c r="G98" s="1257">
        <v>8000</v>
      </c>
      <c r="H98" s="796">
        <f t="shared" si="34"/>
        <v>8000</v>
      </c>
      <c r="I98" s="797" t="s">
        <v>974</v>
      </c>
      <c r="J98" s="796"/>
      <c r="K98" s="914">
        <f t="shared" si="36"/>
        <v>8000</v>
      </c>
      <c r="L98" s="1014"/>
      <c r="M98" s="914"/>
      <c r="N98" s="1014"/>
    </row>
    <row r="99" spans="1:14" s="714" customFormat="1" ht="24" customHeight="1">
      <c r="A99" s="1147"/>
      <c r="B99" s="1148" t="s">
        <v>1851</v>
      </c>
      <c r="C99" s="1123"/>
      <c r="D99" s="1124"/>
      <c r="E99" s="1149">
        <v>1</v>
      </c>
      <c r="F99" s="1147" t="s">
        <v>240</v>
      </c>
      <c r="G99" s="1257">
        <v>5720</v>
      </c>
      <c r="H99" s="796">
        <f t="shared" si="34"/>
        <v>5720</v>
      </c>
      <c r="I99" s="797" t="s">
        <v>974</v>
      </c>
      <c r="J99" s="796"/>
      <c r="K99" s="914">
        <f t="shared" si="36"/>
        <v>5720</v>
      </c>
      <c r="L99" s="912"/>
    </row>
    <row r="100" spans="1:14" s="714" customFormat="1" ht="24" customHeight="1">
      <c r="A100" s="1147"/>
      <c r="B100" s="1148" t="s">
        <v>1884</v>
      </c>
      <c r="C100" s="1123"/>
      <c r="D100" s="1124"/>
      <c r="E100" s="1149">
        <v>1</v>
      </c>
      <c r="F100" s="1147" t="s">
        <v>240</v>
      </c>
      <c r="G100" s="1257">
        <v>820</v>
      </c>
      <c r="H100" s="796">
        <f t="shared" si="34"/>
        <v>820</v>
      </c>
      <c r="I100" s="797" t="s">
        <v>974</v>
      </c>
      <c r="J100" s="796"/>
      <c r="K100" s="914">
        <f t="shared" si="36"/>
        <v>820</v>
      </c>
      <c r="L100" s="1014"/>
    </row>
    <row r="101" spans="1:14" s="714" customFormat="1" ht="24" customHeight="1">
      <c r="A101" s="1147"/>
      <c r="B101" s="1148" t="s">
        <v>1885</v>
      </c>
      <c r="C101" s="1123"/>
      <c r="D101" s="1124"/>
      <c r="E101" s="1149">
        <v>1</v>
      </c>
      <c r="F101" s="1147" t="s">
        <v>240</v>
      </c>
      <c r="G101" s="1257">
        <v>450</v>
      </c>
      <c r="H101" s="796">
        <f t="shared" si="34"/>
        <v>450</v>
      </c>
      <c r="I101" s="797" t="s">
        <v>974</v>
      </c>
      <c r="J101" s="796"/>
      <c r="K101" s="914">
        <f t="shared" si="36"/>
        <v>450</v>
      </c>
      <c r="L101" s="1014"/>
    </row>
    <row r="102" spans="1:14" s="714" customFormat="1" ht="24" customHeight="1">
      <c r="A102" s="1221" t="s">
        <v>1857</v>
      </c>
      <c r="B102" s="1219" t="s">
        <v>1858</v>
      </c>
      <c r="C102" s="1209"/>
      <c r="D102" s="1210"/>
      <c r="E102" s="1239"/>
      <c r="F102" s="1221"/>
      <c r="G102" s="1257"/>
      <c r="H102" s="796"/>
      <c r="I102" s="1259"/>
      <c r="J102" s="796"/>
      <c r="K102" s="1014"/>
      <c r="L102" s="1014"/>
    </row>
    <row r="103" spans="1:14" s="714" customFormat="1" ht="24" customHeight="1">
      <c r="A103" s="1147"/>
      <c r="B103" s="1148" t="s">
        <v>1859</v>
      </c>
      <c r="C103" s="1123"/>
      <c r="D103" s="1124"/>
      <c r="E103" s="1240"/>
      <c r="F103" s="1147" t="s">
        <v>240</v>
      </c>
      <c r="G103" s="1257">
        <v>1000</v>
      </c>
      <c r="H103" s="796">
        <f t="shared" ref="H103:H104" si="37">ROUND(E103*G103,)</f>
        <v>0</v>
      </c>
      <c r="I103" s="1259">
        <v>200</v>
      </c>
      <c r="J103" s="796">
        <f t="shared" ref="J103:J104" si="38">ROUND(I103*E103,)</f>
        <v>0</v>
      </c>
      <c r="K103" s="914">
        <f t="shared" ref="K103:K104" si="39">H103+J103</f>
        <v>0</v>
      </c>
      <c r="L103" s="1014"/>
    </row>
    <row r="104" spans="1:14" s="714" customFormat="1" ht="24" customHeight="1">
      <c r="A104" s="1159"/>
      <c r="B104" s="1160" t="s">
        <v>1860</v>
      </c>
      <c r="C104" s="1161"/>
      <c r="D104" s="1162"/>
      <c r="E104" s="1306"/>
      <c r="F104" s="1159" t="s">
        <v>240</v>
      </c>
      <c r="G104" s="1257">
        <v>6000</v>
      </c>
      <c r="H104" s="796">
        <f t="shared" si="37"/>
        <v>0</v>
      </c>
      <c r="I104" s="1259">
        <v>200</v>
      </c>
      <c r="J104" s="796">
        <f t="shared" si="38"/>
        <v>0</v>
      </c>
      <c r="K104" s="914">
        <f t="shared" si="39"/>
        <v>0</v>
      </c>
      <c r="L104" s="1014"/>
    </row>
    <row r="105" spans="1:14" s="714" customFormat="1" ht="24" customHeight="1">
      <c r="A105" s="1147"/>
      <c r="B105" s="1148" t="s">
        <v>1861</v>
      </c>
      <c r="C105" s="1123"/>
      <c r="D105" s="1124"/>
      <c r="E105" s="1240"/>
      <c r="F105" s="1147" t="s">
        <v>240</v>
      </c>
      <c r="G105" s="1257"/>
      <c r="H105" s="796"/>
      <c r="I105" s="1259"/>
      <c r="J105" s="796"/>
      <c r="K105" s="1014"/>
      <c r="L105" s="1014"/>
    </row>
    <row r="106" spans="1:14" s="714" customFormat="1" ht="24" customHeight="1">
      <c r="A106" s="1147"/>
      <c r="B106" s="1148" t="s">
        <v>957</v>
      </c>
      <c r="C106" s="1123"/>
      <c r="D106" s="1124"/>
      <c r="E106" s="1240"/>
      <c r="F106" s="1147"/>
      <c r="G106" s="1257"/>
      <c r="H106" s="796"/>
      <c r="I106" s="1259"/>
      <c r="J106" s="796"/>
      <c r="K106" s="1014"/>
      <c r="L106" s="1014"/>
    </row>
    <row r="107" spans="1:14" s="714" customFormat="1" ht="24" customHeight="1">
      <c r="A107" s="1147"/>
      <c r="B107" s="1148"/>
      <c r="C107" s="1123"/>
      <c r="D107" s="1124"/>
      <c r="E107" s="1240"/>
      <c r="F107" s="1147"/>
      <c r="G107" s="1257"/>
      <c r="H107" s="796"/>
      <c r="I107" s="1259"/>
      <c r="J107" s="796"/>
      <c r="K107" s="1014"/>
      <c r="L107" s="1014"/>
    </row>
    <row r="108" spans="1:14" s="714" customFormat="1" ht="24" customHeight="1">
      <c r="A108" s="1147"/>
      <c r="B108" s="1148" t="s">
        <v>1102</v>
      </c>
      <c r="C108" s="1123"/>
      <c r="D108" s="1124"/>
      <c r="E108" s="1240"/>
      <c r="F108" s="1147"/>
      <c r="G108" s="1257"/>
      <c r="H108" s="796"/>
      <c r="I108" s="1259"/>
      <c r="J108" s="796"/>
      <c r="K108" s="1014"/>
      <c r="L108" s="1014"/>
    </row>
    <row r="109" spans="1:14" s="714" customFormat="1" ht="24" customHeight="1">
      <c r="A109" s="1166"/>
      <c r="B109" s="2475" t="str">
        <f>"รวมราคารายการที่ "&amp;A85</f>
        <v>รวมราคารายการที่ 6.4</v>
      </c>
      <c r="C109" s="2476"/>
      <c r="D109" s="2477"/>
      <c r="E109" s="1248"/>
      <c r="F109" s="1167"/>
      <c r="G109" s="1168"/>
      <c r="H109" s="1169">
        <f>SUM(H86:H108)</f>
        <v>27230</v>
      </c>
      <c r="I109" s="1170"/>
      <c r="J109" s="1169">
        <f>SUM(J86:J108)</f>
        <v>2145</v>
      </c>
      <c r="K109" s="1171">
        <f>SUM(K86:K108)</f>
        <v>29375</v>
      </c>
      <c r="L109" s="1171"/>
    </row>
    <row r="110" spans="1:14" s="714" customFormat="1" ht="24" customHeight="1">
      <c r="A110" s="1195">
        <v>6.5</v>
      </c>
      <c r="B110" s="1196" t="s">
        <v>1862</v>
      </c>
      <c r="C110" s="1197"/>
      <c r="D110" s="1198"/>
      <c r="E110" s="1305"/>
      <c r="F110" s="1230"/>
      <c r="G110" s="1201"/>
      <c r="H110" s="788"/>
      <c r="I110" s="789"/>
      <c r="J110" s="788"/>
      <c r="K110" s="1256"/>
      <c r="L110" s="1256"/>
    </row>
    <row r="111" spans="1:14" s="714" customFormat="1" ht="24" customHeight="1">
      <c r="A111" s="1147" t="s">
        <v>1863</v>
      </c>
      <c r="B111" s="1148" t="s">
        <v>1864</v>
      </c>
      <c r="C111" s="1123"/>
      <c r="D111" s="1124"/>
      <c r="E111" s="1240">
        <v>1</v>
      </c>
      <c r="F111" s="1147" t="s">
        <v>240</v>
      </c>
      <c r="G111" s="1140">
        <v>2300</v>
      </c>
      <c r="H111" s="796">
        <f t="shared" ref="H111:H112" si="40">ROUND(E111*G111,)</f>
        <v>2300</v>
      </c>
      <c r="I111" s="797">
        <f>G111*0.1</f>
        <v>230</v>
      </c>
      <c r="J111" s="796">
        <f t="shared" ref="J111:J112" si="41">ROUND(I111*E111,)</f>
        <v>230</v>
      </c>
      <c r="K111" s="914">
        <f t="shared" ref="K111:K112" si="42">H111+J111</f>
        <v>2530</v>
      </c>
      <c r="L111" s="914"/>
    </row>
    <row r="112" spans="1:14" s="714" customFormat="1" ht="24" customHeight="1">
      <c r="A112" s="1147" t="s">
        <v>1865</v>
      </c>
      <c r="B112" s="1148" t="s">
        <v>1866</v>
      </c>
      <c r="C112" s="1123"/>
      <c r="D112" s="1124"/>
      <c r="E112" s="1240">
        <v>1</v>
      </c>
      <c r="F112" s="1147" t="s">
        <v>240</v>
      </c>
      <c r="G112" s="1140">
        <v>3400</v>
      </c>
      <c r="H112" s="796">
        <f t="shared" si="40"/>
        <v>3400</v>
      </c>
      <c r="I112" s="797">
        <f>G112*0.1</f>
        <v>340</v>
      </c>
      <c r="J112" s="796">
        <f t="shared" si="41"/>
        <v>340</v>
      </c>
      <c r="K112" s="914">
        <f t="shared" si="42"/>
        <v>3740</v>
      </c>
      <c r="L112" s="912"/>
    </row>
    <row r="113" spans="1:12" s="714" customFormat="1" ht="24" customHeight="1">
      <c r="A113" s="1147" t="s">
        <v>1867</v>
      </c>
      <c r="B113" s="1148" t="s">
        <v>1868</v>
      </c>
      <c r="C113" s="1123"/>
      <c r="D113" s="1124"/>
      <c r="E113" s="1240"/>
      <c r="F113" s="1147" t="s">
        <v>240</v>
      </c>
      <c r="G113" s="1140"/>
      <c r="H113" s="796"/>
      <c r="I113" s="797"/>
      <c r="J113" s="796"/>
      <c r="K113" s="914"/>
      <c r="L113" s="912"/>
    </row>
    <row r="114" spans="1:12" s="714" customFormat="1" ht="24" customHeight="1">
      <c r="A114" s="1147"/>
      <c r="B114" s="1148" t="s">
        <v>957</v>
      </c>
      <c r="C114" s="1123"/>
      <c r="D114" s="1124"/>
      <c r="E114" s="1240"/>
      <c r="F114" s="1147"/>
      <c r="G114" s="1140"/>
      <c r="H114" s="854"/>
      <c r="I114" s="855"/>
      <c r="J114" s="854"/>
      <c r="K114" s="912"/>
      <c r="L114" s="912"/>
    </row>
    <row r="115" spans="1:12" s="714" customFormat="1" ht="24" customHeight="1">
      <c r="A115" s="1147"/>
      <c r="B115" s="1148" t="s">
        <v>1102</v>
      </c>
      <c r="C115" s="1123"/>
      <c r="D115" s="1124"/>
      <c r="E115" s="1240"/>
      <c r="F115" s="1147"/>
      <c r="G115" s="1140"/>
      <c r="H115" s="854"/>
      <c r="I115" s="855"/>
      <c r="J115" s="854"/>
      <c r="K115" s="912"/>
      <c r="L115" s="912"/>
    </row>
    <row r="116" spans="1:12" s="714" customFormat="1" ht="24" customHeight="1">
      <c r="A116" s="1038"/>
      <c r="B116" s="1148" t="s">
        <v>1102</v>
      </c>
      <c r="C116" s="1233"/>
      <c r="D116" s="809"/>
      <c r="E116" s="1229"/>
      <c r="F116" s="852"/>
      <c r="G116" s="1140"/>
      <c r="H116" s="854"/>
      <c r="I116" s="855"/>
      <c r="J116" s="854"/>
      <c r="K116" s="912"/>
      <c r="L116" s="912"/>
    </row>
    <row r="117" spans="1:12" s="714" customFormat="1" ht="24" customHeight="1">
      <c r="A117" s="1166"/>
      <c r="B117" s="2475" t="str">
        <f>"รวมราคารายการที่ "&amp;A110</f>
        <v>รวมราคารายการที่ 6.5</v>
      </c>
      <c r="C117" s="2476"/>
      <c r="D117" s="2477"/>
      <c r="E117" s="1248"/>
      <c r="F117" s="1167"/>
      <c r="G117" s="1168"/>
      <c r="H117" s="1169">
        <f>SUM(H111:H116)</f>
        <v>5700</v>
      </c>
      <c r="I117" s="1170"/>
      <c r="J117" s="1169">
        <f>SUM(J111:J116)</f>
        <v>570</v>
      </c>
      <c r="K117" s="1171">
        <f>SUM(K111:K116)</f>
        <v>6270</v>
      </c>
      <c r="L117" s="1171"/>
    </row>
    <row r="118" spans="1:12" s="714" customFormat="1" ht="24" customHeight="1">
      <c r="A118" s="1177">
        <v>6.6</v>
      </c>
      <c r="B118" s="1151" t="s">
        <v>1264</v>
      </c>
      <c r="C118" s="1123"/>
      <c r="D118" s="1124"/>
      <c r="E118" s="1240">
        <v>1</v>
      </c>
      <c r="F118" s="1147" t="s">
        <v>948</v>
      </c>
      <c r="G118" s="1262" t="s">
        <v>1876</v>
      </c>
      <c r="H118" s="854"/>
      <c r="I118" s="855"/>
      <c r="J118" s="854"/>
      <c r="K118" s="912"/>
      <c r="L118" s="912"/>
    </row>
    <row r="119" spans="1:12" s="714" customFormat="1" ht="24" customHeight="1">
      <c r="A119" s="1147"/>
      <c r="B119" s="1148"/>
      <c r="C119" s="1123"/>
      <c r="D119" s="1124"/>
      <c r="E119" s="1240"/>
      <c r="F119" s="1147"/>
      <c r="G119" s="1140"/>
      <c r="H119" s="854"/>
      <c r="I119" s="855"/>
      <c r="J119" s="854"/>
      <c r="K119" s="912"/>
      <c r="L119" s="912"/>
    </row>
    <row r="120" spans="1:12" s="714" customFormat="1" ht="24" customHeight="1">
      <c r="A120" s="1147"/>
      <c r="B120" s="1148"/>
      <c r="C120" s="1123"/>
      <c r="D120" s="1124"/>
      <c r="E120" s="1240"/>
      <c r="F120" s="1147"/>
      <c r="G120" s="1140"/>
      <c r="H120" s="854"/>
      <c r="I120" s="855"/>
      <c r="J120" s="854"/>
      <c r="K120" s="912"/>
      <c r="L120" s="912"/>
    </row>
    <row r="121" spans="1:12" s="714" customFormat="1" ht="24" customHeight="1">
      <c r="A121" s="1147"/>
      <c r="B121" s="1148"/>
      <c r="C121" s="1123"/>
      <c r="D121" s="1124"/>
      <c r="E121" s="1240"/>
      <c r="F121" s="1147"/>
      <c r="G121" s="1140"/>
      <c r="H121" s="854"/>
      <c r="I121" s="855"/>
      <c r="J121" s="854"/>
      <c r="K121" s="912"/>
      <c r="L121" s="912"/>
    </row>
    <row r="122" spans="1:12" s="714" customFormat="1" ht="24" customHeight="1">
      <c r="A122" s="1147"/>
      <c r="B122" s="1148"/>
      <c r="C122" s="1123"/>
      <c r="D122" s="1124"/>
      <c r="E122" s="1240"/>
      <c r="F122" s="1147"/>
      <c r="G122" s="1140"/>
      <c r="H122" s="854"/>
      <c r="I122" s="855"/>
      <c r="J122" s="854"/>
      <c r="K122" s="912"/>
      <c r="L122" s="912"/>
    </row>
    <row r="123" spans="1:12" s="714" customFormat="1" ht="24" customHeight="1">
      <c r="A123" s="1147"/>
      <c r="B123" s="1148"/>
      <c r="C123" s="1123"/>
      <c r="D123" s="1124"/>
      <c r="E123" s="1240"/>
      <c r="F123" s="1147"/>
      <c r="G123" s="1140"/>
      <c r="H123" s="854"/>
      <c r="I123" s="855"/>
      <c r="J123" s="854"/>
      <c r="K123" s="912"/>
      <c r="L123" s="912"/>
    </row>
    <row r="124" spans="1:12" s="714" customFormat="1" ht="24" customHeight="1">
      <c r="A124" s="1147"/>
      <c r="B124" s="1148"/>
      <c r="C124" s="1123"/>
      <c r="D124" s="1124"/>
      <c r="E124" s="1240"/>
      <c r="F124" s="1147"/>
      <c r="G124" s="1140"/>
      <c r="H124" s="854"/>
      <c r="I124" s="855"/>
      <c r="J124" s="854"/>
      <c r="K124" s="912"/>
      <c r="L124" s="912"/>
    </row>
    <row r="125" spans="1:12" s="714" customFormat="1" ht="24" customHeight="1">
      <c r="A125" s="1147"/>
      <c r="B125" s="1148"/>
      <c r="C125" s="1123"/>
      <c r="D125" s="1124"/>
      <c r="E125" s="1240"/>
      <c r="F125" s="1147"/>
      <c r="G125" s="1140"/>
      <c r="H125" s="854"/>
      <c r="I125" s="855"/>
      <c r="J125" s="854"/>
      <c r="K125" s="912"/>
      <c r="L125" s="912"/>
    </row>
    <row r="126" spans="1:12" s="714" customFormat="1" ht="24" customHeight="1">
      <c r="A126" s="1147"/>
      <c r="B126" s="1148"/>
      <c r="C126" s="1123"/>
      <c r="D126" s="1124"/>
      <c r="E126" s="1240"/>
      <c r="F126" s="1147"/>
      <c r="G126" s="1140"/>
      <c r="H126" s="854"/>
      <c r="I126" s="855"/>
      <c r="J126" s="854"/>
      <c r="K126" s="912"/>
      <c r="L126" s="912"/>
    </row>
    <row r="127" spans="1:12" s="714" customFormat="1" ht="24" customHeight="1">
      <c r="A127" s="1147"/>
      <c r="B127" s="1148"/>
      <c r="C127" s="1123"/>
      <c r="D127" s="1124"/>
      <c r="E127" s="1240"/>
      <c r="F127" s="1147"/>
      <c r="G127" s="1140"/>
      <c r="H127" s="854"/>
      <c r="I127" s="855"/>
      <c r="J127" s="854"/>
      <c r="K127" s="912"/>
      <c r="L127" s="912"/>
    </row>
    <row r="128" spans="1:12" s="714" customFormat="1" ht="24" customHeight="1">
      <c r="A128" s="1147"/>
      <c r="B128" s="1148"/>
      <c r="C128" s="1123"/>
      <c r="D128" s="1124"/>
      <c r="E128" s="1240"/>
      <c r="F128" s="1147"/>
      <c r="G128" s="1140"/>
      <c r="H128" s="854"/>
      <c r="I128" s="855"/>
      <c r="J128" s="854"/>
      <c r="K128" s="912"/>
      <c r="L128" s="912"/>
    </row>
    <row r="129" spans="1:12" s="714" customFormat="1" ht="24" customHeight="1">
      <c r="A129" s="1147"/>
      <c r="B129" s="1148"/>
      <c r="C129" s="1123"/>
      <c r="D129" s="1124"/>
      <c r="E129" s="1240"/>
      <c r="F129" s="1147"/>
      <c r="G129" s="1140"/>
      <c r="H129" s="854"/>
      <c r="I129" s="855"/>
      <c r="J129" s="854"/>
      <c r="K129" s="912"/>
      <c r="L129" s="912"/>
    </row>
    <row r="130" spans="1:12" s="714" customFormat="1" ht="24" customHeight="1">
      <c r="A130" s="1147"/>
      <c r="B130" s="1148"/>
      <c r="C130" s="1123"/>
      <c r="D130" s="1124"/>
      <c r="E130" s="1240"/>
      <c r="F130" s="1147"/>
      <c r="G130" s="1140"/>
      <c r="H130" s="854"/>
      <c r="I130" s="855"/>
      <c r="J130" s="854"/>
      <c r="K130" s="912"/>
      <c r="L130" s="912"/>
    </row>
    <row r="131" spans="1:12" s="714" customFormat="1" ht="24" customHeight="1">
      <c r="A131" s="1147"/>
      <c r="B131" s="1148"/>
      <c r="C131" s="1123"/>
      <c r="D131" s="1124"/>
      <c r="E131" s="1240"/>
      <c r="F131" s="1147"/>
      <c r="G131" s="1140"/>
      <c r="H131" s="854"/>
      <c r="I131" s="855"/>
      <c r="J131" s="854"/>
      <c r="K131" s="912"/>
      <c r="L131" s="912"/>
    </row>
    <row r="132" spans="1:12" s="714" customFormat="1" ht="24" customHeight="1">
      <c r="A132" s="1147"/>
      <c r="B132" s="1148"/>
      <c r="C132" s="1123"/>
      <c r="D132" s="1124"/>
      <c r="E132" s="1240"/>
      <c r="F132" s="1147"/>
      <c r="G132" s="1140"/>
      <c r="H132" s="854"/>
      <c r="I132" s="855"/>
      <c r="J132" s="854"/>
      <c r="K132" s="912"/>
      <c r="L132" s="912"/>
    </row>
    <row r="133" spans="1:12" s="714" customFormat="1" ht="21.3">
      <c r="A133" s="1147"/>
      <c r="B133" s="1148"/>
      <c r="C133" s="1123"/>
      <c r="D133" s="1124"/>
      <c r="E133" s="1240"/>
      <c r="F133" s="1147"/>
      <c r="G133" s="1140"/>
      <c r="H133" s="854"/>
      <c r="I133" s="855"/>
      <c r="J133" s="854"/>
      <c r="K133" s="912"/>
      <c r="L133" s="912"/>
    </row>
    <row r="134" spans="1:12" s="714" customFormat="1" ht="21.3">
      <c r="A134" s="1166"/>
      <c r="B134" s="2475" t="str">
        <f>"รวมราคารายการที่ "&amp;A118</f>
        <v>รวมราคารายการที่ 6.6</v>
      </c>
      <c r="C134" s="2476"/>
      <c r="D134" s="2477"/>
      <c r="E134" s="1167"/>
      <c r="F134" s="1167"/>
      <c r="G134" s="1168"/>
      <c r="H134" s="1169">
        <f>SUM(H118:H133)</f>
        <v>0</v>
      </c>
      <c r="I134" s="1170"/>
      <c r="J134" s="1169">
        <f>SUM(J118:J133)</f>
        <v>0</v>
      </c>
      <c r="K134" s="1171">
        <f>SUM(K118:K133)</f>
        <v>0</v>
      </c>
      <c r="L134" s="1171"/>
    </row>
    <row r="135" spans="1:12" s="714" customFormat="1" ht="21.3">
      <c r="A135" s="950"/>
      <c r="E135" s="1234"/>
    </row>
    <row r="136" spans="1:12" s="714" customFormat="1" ht="21.3">
      <c r="A136" s="950"/>
      <c r="E136" s="1234"/>
    </row>
    <row r="137" spans="1:12" s="714" customFormat="1" ht="21.3">
      <c r="A137" s="950"/>
      <c r="E137" s="1234"/>
    </row>
    <row r="138" spans="1:12" s="714" customFormat="1" ht="21.3">
      <c r="A138" s="950"/>
      <c r="E138" s="1234"/>
    </row>
    <row r="139" spans="1:12" s="714" customFormat="1" ht="21.3">
      <c r="A139" s="950"/>
      <c r="E139" s="1234"/>
    </row>
    <row r="140" spans="1:12" s="714" customFormat="1" ht="21.3">
      <c r="A140" s="950"/>
      <c r="E140" s="1234"/>
    </row>
    <row r="141" spans="1:12" s="714" customFormat="1" ht="21.3">
      <c r="A141" s="950"/>
      <c r="E141" s="1234"/>
    </row>
    <row r="142" spans="1:12" s="714" customFormat="1" ht="21.3">
      <c r="A142" s="950"/>
      <c r="E142" s="1234"/>
    </row>
    <row r="143" spans="1:12" s="714" customFormat="1" ht="21.3">
      <c r="A143" s="950"/>
      <c r="E143" s="1234"/>
    </row>
    <row r="144" spans="1:12" s="714" customFormat="1" ht="21.3">
      <c r="A144" s="950"/>
      <c r="E144" s="1234"/>
    </row>
    <row r="145" spans="1:5" s="714" customFormat="1" ht="21.3">
      <c r="A145" s="950"/>
      <c r="E145" s="1234"/>
    </row>
    <row r="146" spans="1:5" s="714" customFormat="1" ht="21.3">
      <c r="A146" s="950"/>
      <c r="E146" s="1234"/>
    </row>
    <row r="147" spans="1:5" s="714" customFormat="1" ht="21.3">
      <c r="A147" s="950"/>
      <c r="E147" s="1234"/>
    </row>
    <row r="148" spans="1:5" s="714" customFormat="1" ht="21.3">
      <c r="A148" s="950"/>
      <c r="E148" s="1234"/>
    </row>
    <row r="149" spans="1:5" s="714" customFormat="1" ht="21.3">
      <c r="A149" s="950"/>
      <c r="E149" s="1234"/>
    </row>
    <row r="150" spans="1:5" s="714" customFormat="1" ht="21.3">
      <c r="A150" s="950"/>
      <c r="E150" s="1234"/>
    </row>
    <row r="151" spans="1:5" s="714" customFormat="1" ht="21.3">
      <c r="A151" s="950"/>
      <c r="E151" s="1234"/>
    </row>
    <row r="152" spans="1:5" s="714" customFormat="1" ht="21.3">
      <c r="A152" s="950"/>
      <c r="E152" s="1234"/>
    </row>
    <row r="153" spans="1:5" s="714" customFormat="1" ht="21.3">
      <c r="A153" s="950"/>
      <c r="E153" s="1234"/>
    </row>
    <row r="154" spans="1:5" s="714" customFormat="1" ht="21.3">
      <c r="A154" s="950"/>
      <c r="E154" s="1234"/>
    </row>
  </sheetData>
  <mergeCells count="15">
    <mergeCell ref="L7:L8"/>
    <mergeCell ref="A9:A10"/>
    <mergeCell ref="B9:D10"/>
    <mergeCell ref="E9:E10"/>
    <mergeCell ref="F9:F10"/>
    <mergeCell ref="G9:H9"/>
    <mergeCell ref="I9:J9"/>
    <mergeCell ref="L9:L10"/>
    <mergeCell ref="B134:D134"/>
    <mergeCell ref="B34:D34"/>
    <mergeCell ref="B59:D59"/>
    <mergeCell ref="B76:D76"/>
    <mergeCell ref="B84:D84"/>
    <mergeCell ref="B109:D109"/>
    <mergeCell ref="B117:D117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&amp;Rงานดับเพลิงและป้องกันอัคคีภัย ชั้น ดาดฟ้า-อาคารสนับนุน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D0B4D-8E1F-4BBF-9E92-47F043798BC7}">
  <sheetPr>
    <tabColor rgb="FF92D050"/>
  </sheetPr>
  <dimension ref="A1:U31"/>
  <sheetViews>
    <sheetView showGridLines="0" tabSelected="1" view="pageBreakPreview" topLeftCell="A16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" customWidth="1"/>
    <col min="6" max="6" width="10.703125" style="1" customWidth="1"/>
    <col min="7" max="7" width="14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15.703125" style="1" customWidth="1"/>
    <col min="13" max="14" width="7.703125" style="1" customWidth="1"/>
    <col min="15" max="15" width="15" style="1" bestFit="1" customWidth="1"/>
    <col min="16" max="99" width="7.703125" style="1" customWidth="1"/>
    <col min="100" max="16384" width="9" style="1"/>
  </cols>
  <sheetData>
    <row r="1" spans="1:13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3" ht="25.15" customHeight="1">
      <c r="A2" s="42" t="s">
        <v>2</v>
      </c>
      <c r="B2" s="33"/>
      <c r="C2" s="34"/>
      <c r="D2" s="11" t="s">
        <v>1900</v>
      </c>
      <c r="E2" s="34"/>
      <c r="F2" s="12"/>
      <c r="G2" s="12"/>
      <c r="H2" s="12"/>
      <c r="I2" s="12"/>
      <c r="J2" s="13"/>
      <c r="K2" s="12"/>
      <c r="L2" s="14"/>
    </row>
    <row r="3" spans="1:13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3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3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3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3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3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</row>
    <row r="9" spans="1:13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3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3" ht="24" customHeight="1">
      <c r="A11" s="1143" t="s">
        <v>244</v>
      </c>
      <c r="B11" s="1144" t="s">
        <v>33</v>
      </c>
      <c r="C11" s="1208"/>
      <c r="D11" s="1314"/>
      <c r="E11" s="1146"/>
      <c r="F11" s="1146"/>
      <c r="G11" s="696"/>
      <c r="H11" s="697"/>
      <c r="I11" s="698"/>
      <c r="J11" s="697"/>
      <c r="K11" s="699"/>
      <c r="L11" s="953"/>
    </row>
    <row r="12" spans="1:13" ht="24" customHeight="1">
      <c r="A12" s="1315"/>
      <c r="B12" s="1316"/>
      <c r="C12" s="1317"/>
      <c r="D12" s="1314"/>
      <c r="E12" s="1146"/>
      <c r="F12" s="1146"/>
      <c r="G12" s="696"/>
      <c r="H12" s="697"/>
      <c r="I12" s="698"/>
      <c r="J12" s="697"/>
      <c r="K12" s="699"/>
      <c r="L12" s="953"/>
    </row>
    <row r="13" spans="1:13" s="714" customFormat="1" ht="24" customHeight="1">
      <c r="A13" s="1147">
        <v>1</v>
      </c>
      <c r="B13" s="1127" t="str">
        <f>'06.AC ศูนย์ประชุม (Main)'!B11</f>
        <v>งานระบบปรับอากาศ และระบายอากาศ (Main Equipment)</v>
      </c>
      <c r="C13" s="1123"/>
      <c r="D13" s="1124"/>
      <c r="E13" s="1149">
        <v>1</v>
      </c>
      <c r="F13" s="1150" t="s">
        <v>19</v>
      </c>
      <c r="G13" s="710"/>
      <c r="H13" s="711">
        <f>'06.AC ศูนย์ประชุม (Main)'!H34</f>
        <v>13074386</v>
      </c>
      <c r="I13" s="712"/>
      <c r="J13" s="711">
        <f>'06.AC ศูนย์ประชุม (Main)'!J34</f>
        <v>3708302</v>
      </c>
      <c r="K13" s="711">
        <f>H13+J13</f>
        <v>16782688</v>
      </c>
      <c r="L13" s="1024"/>
      <c r="M13" s="715"/>
    </row>
    <row r="14" spans="1:13" s="714" customFormat="1" ht="24" customHeight="1">
      <c r="A14" s="1147">
        <v>2</v>
      </c>
      <c r="B14" s="1127" t="str">
        <f>'06.AC ศูนย์ประชุม (B2FL)'!B11</f>
        <v>งานระบบปรับอากาศ และระบายอากาศ ชั้น B2</v>
      </c>
      <c r="C14" s="1123"/>
      <c r="D14" s="1124"/>
      <c r="E14" s="1149">
        <v>1</v>
      </c>
      <c r="F14" s="1150" t="s">
        <v>19</v>
      </c>
      <c r="G14" s="710"/>
      <c r="H14" s="711">
        <f>'06.AC ศูนย์ประชุม (B2FL)'!H34</f>
        <v>8592232</v>
      </c>
      <c r="I14" s="712"/>
      <c r="J14" s="711">
        <f>'06.AC ศูนย์ประชุม (B2FL)'!J34</f>
        <v>1512686</v>
      </c>
      <c r="K14" s="711">
        <f t="shared" ref="K14:K24" si="0">H14+J14</f>
        <v>10104918</v>
      </c>
      <c r="L14" s="1024"/>
      <c r="M14" s="715"/>
    </row>
    <row r="15" spans="1:13" s="714" customFormat="1" ht="24" customHeight="1">
      <c r="A15" s="1147">
        <v>3</v>
      </c>
      <c r="B15" s="1127" t="str">
        <f>'06.AC ศูนย์ประชุม (B1FL)'!B11</f>
        <v>งานระบบปรับอากาศ และระบายอากาศ ชั้น B1</v>
      </c>
      <c r="C15" s="1123"/>
      <c r="D15" s="1124"/>
      <c r="E15" s="1149">
        <v>1</v>
      </c>
      <c r="F15" s="1150" t="s">
        <v>19</v>
      </c>
      <c r="G15" s="710"/>
      <c r="H15" s="711">
        <f>'06.AC ศูนย์ประชุม (B1FL)'!H34</f>
        <v>10265023</v>
      </c>
      <c r="I15" s="712"/>
      <c r="J15" s="711">
        <f>'06.AC ศูนย์ประชุม (B1FL)'!J34</f>
        <v>2132603</v>
      </c>
      <c r="K15" s="711">
        <f t="shared" si="0"/>
        <v>12397626</v>
      </c>
      <c r="L15" s="1024"/>
      <c r="M15" s="715"/>
    </row>
    <row r="16" spans="1:13" s="714" customFormat="1" ht="24" customHeight="1">
      <c r="A16" s="1147">
        <v>4</v>
      </c>
      <c r="B16" s="1127" t="str">
        <f>'06.AC ศูนย์ประชุม (1FL)'!B11</f>
        <v>งานระบบปรับอากาศ และระบายอากาศ ชั้น 1</v>
      </c>
      <c r="C16" s="1123"/>
      <c r="D16" s="1124"/>
      <c r="E16" s="1149">
        <v>1</v>
      </c>
      <c r="F16" s="1150" t="s">
        <v>19</v>
      </c>
      <c r="G16" s="710"/>
      <c r="H16" s="711">
        <f>'06.AC ศูนย์ประชุม (1FL)'!H35</f>
        <v>7790480</v>
      </c>
      <c r="I16" s="712"/>
      <c r="J16" s="711">
        <f>'06.AC ศูนย์ประชุม (1FL)'!J35</f>
        <v>1473576</v>
      </c>
      <c r="K16" s="711">
        <f t="shared" si="0"/>
        <v>9264056</v>
      </c>
      <c r="L16" s="1024"/>
      <c r="M16" s="715"/>
    </row>
    <row r="17" spans="1:21" s="714" customFormat="1" ht="24" customHeight="1">
      <c r="A17" s="1147">
        <v>5</v>
      </c>
      <c r="B17" s="1127" t="str">
        <f>'06.AC ศูนย์ประชุม (2FL)'!B11</f>
        <v>งานระบบปรับอากาศ และระบายอากาศ ชั้น 2</v>
      </c>
      <c r="C17" s="1123"/>
      <c r="D17" s="1124"/>
      <c r="E17" s="1149">
        <v>1</v>
      </c>
      <c r="F17" s="1150" t="s">
        <v>19</v>
      </c>
      <c r="G17" s="710"/>
      <c r="H17" s="711">
        <f>'06.AC ศูนย์ประชุม (2FL)'!H35</f>
        <v>8526652</v>
      </c>
      <c r="I17" s="712"/>
      <c r="J17" s="711">
        <f>'06.AC ศูนย์ประชุม (2FL)'!J35</f>
        <v>1615639</v>
      </c>
      <c r="K17" s="711">
        <f t="shared" si="0"/>
        <v>10142291</v>
      </c>
      <c r="L17" s="1024"/>
      <c r="M17" s="715"/>
    </row>
    <row r="18" spans="1:21" s="714" customFormat="1" ht="24" customHeight="1">
      <c r="A18" s="1147">
        <v>6</v>
      </c>
      <c r="B18" s="1127" t="str">
        <f>'06.AC ศูนย์ประชุม (3FL)'!B11</f>
        <v>งานระบบปรับอากาศ และระบายอากาศ ชั้น 3</v>
      </c>
      <c r="C18" s="1123"/>
      <c r="D18" s="1124"/>
      <c r="E18" s="1149">
        <v>1</v>
      </c>
      <c r="F18" s="1150" t="s">
        <v>19</v>
      </c>
      <c r="G18" s="710"/>
      <c r="H18" s="711">
        <f>'06.AC ศูนย์ประชุม (3FL)'!H35</f>
        <v>7403948</v>
      </c>
      <c r="I18" s="712"/>
      <c r="J18" s="711">
        <f>'06.AC ศูนย์ประชุม (3FL)'!J35</f>
        <v>1193603</v>
      </c>
      <c r="K18" s="711">
        <f t="shared" si="0"/>
        <v>8597551</v>
      </c>
      <c r="L18" s="1024"/>
      <c r="M18" s="715"/>
    </row>
    <row r="19" spans="1:21" s="714" customFormat="1" ht="24" customHeight="1">
      <c r="A19" s="1147">
        <v>7</v>
      </c>
      <c r="B19" s="1127" t="str">
        <f>'06.AC ศูนย์ประชุม (4FL)'!B11</f>
        <v>งานระบบปรับอากาศ และระบายอากาศ ชั้น 4</v>
      </c>
      <c r="C19" s="1123"/>
      <c r="D19" s="1124"/>
      <c r="E19" s="1149">
        <v>1</v>
      </c>
      <c r="F19" s="1150" t="s">
        <v>19</v>
      </c>
      <c r="G19" s="710"/>
      <c r="H19" s="711">
        <f>'06.AC ศูนย์ประชุม (4FL)'!H34</f>
        <v>6880959</v>
      </c>
      <c r="I19" s="712"/>
      <c r="J19" s="711">
        <f>'06.AC ศูนย์ประชุม (4FL)'!J34</f>
        <v>1007634</v>
      </c>
      <c r="K19" s="711">
        <f t="shared" si="0"/>
        <v>7888593</v>
      </c>
      <c r="L19" s="1024"/>
      <c r="M19" s="715"/>
    </row>
    <row r="20" spans="1:21" s="714" customFormat="1" ht="24" customHeight="1">
      <c r="A20" s="1147">
        <v>8</v>
      </c>
      <c r="B20" s="1127" t="str">
        <f>'06.AC ศูนย์ประชุม (5FL)'!B11</f>
        <v>งานระบบปรับอากาศ และระบายอากาศ ชั้น 5</v>
      </c>
      <c r="C20" s="1123"/>
      <c r="D20" s="1124"/>
      <c r="E20" s="1149">
        <v>1</v>
      </c>
      <c r="F20" s="1150" t="s">
        <v>19</v>
      </c>
      <c r="G20" s="710"/>
      <c r="H20" s="711">
        <f>'06.AC ศูนย์ประชุม (5FL)'!H34</f>
        <v>7069564</v>
      </c>
      <c r="I20" s="712"/>
      <c r="J20" s="711">
        <f>'06.AC ศูนย์ประชุม (5FL)'!J34</f>
        <v>999702</v>
      </c>
      <c r="K20" s="711">
        <f t="shared" si="0"/>
        <v>8069266</v>
      </c>
      <c r="L20" s="1024"/>
      <c r="M20" s="715"/>
    </row>
    <row r="21" spans="1:21" s="714" customFormat="1" ht="24" customHeight="1">
      <c r="A21" s="1147">
        <v>9</v>
      </c>
      <c r="B21" s="1127" t="str">
        <f>'06.AC ศูนย์ประชุม (6FL)'!B11</f>
        <v>งานระบบปรับอากาศ และระบายอากาศ ชั้น 6</v>
      </c>
      <c r="C21" s="1123"/>
      <c r="D21" s="1124"/>
      <c r="E21" s="1149">
        <v>1</v>
      </c>
      <c r="F21" s="1150" t="s">
        <v>19</v>
      </c>
      <c r="G21" s="710"/>
      <c r="H21" s="711">
        <f>'06.AC ศูนย์ประชุม (6FL)'!H34</f>
        <v>7238684</v>
      </c>
      <c r="I21" s="712"/>
      <c r="J21" s="711">
        <f>'06.AC ศูนย์ประชุม (6FL)'!J34</f>
        <v>1131495</v>
      </c>
      <c r="K21" s="711">
        <f t="shared" si="0"/>
        <v>8370179</v>
      </c>
      <c r="L21" s="1024"/>
      <c r="M21" s="715"/>
    </row>
    <row r="22" spans="1:21" s="714" customFormat="1" ht="24" customHeight="1">
      <c r="A22" s="1147">
        <v>10</v>
      </c>
      <c r="B22" s="1127" t="str">
        <f>'06.AC ศูนย์ประชุม (7FL)'!B11</f>
        <v>งานระบบปรับอากาศ และระบายอากาศ ชั้น 7</v>
      </c>
      <c r="C22" s="1123"/>
      <c r="D22" s="1124"/>
      <c r="E22" s="1149">
        <v>1</v>
      </c>
      <c r="F22" s="1150" t="s">
        <v>19</v>
      </c>
      <c r="G22" s="710"/>
      <c r="H22" s="711">
        <f>'06.AC ศูนย์ประชุม (7FL)'!H34</f>
        <v>2244611</v>
      </c>
      <c r="I22" s="712"/>
      <c r="J22" s="711">
        <f>'06.AC ศูนย์ประชุม (7FL)'!J34</f>
        <v>511966</v>
      </c>
      <c r="K22" s="711">
        <f t="shared" si="0"/>
        <v>2756577</v>
      </c>
      <c r="L22" s="1024"/>
      <c r="M22" s="715"/>
    </row>
    <row r="23" spans="1:21" s="714" customFormat="1" ht="24" customHeight="1">
      <c r="A23" s="1147">
        <v>11</v>
      </c>
      <c r="B23" s="1127" t="str">
        <f>'06.AC ศูนย์ประชุม (8FL)'!B11</f>
        <v>งานระบบปรับอากาศ และระบายอากาศ ชั้น 8</v>
      </c>
      <c r="C23" s="1123"/>
      <c r="D23" s="1124"/>
      <c r="E23" s="1149">
        <v>1</v>
      </c>
      <c r="F23" s="1150" t="s">
        <v>19</v>
      </c>
      <c r="G23" s="710"/>
      <c r="H23" s="711">
        <f>'06.AC ศูนย์ประชุม (8FL)'!H34</f>
        <v>18354702</v>
      </c>
      <c r="I23" s="712"/>
      <c r="J23" s="711">
        <f>'06.AC ศูนย์ประชุม (8FL)'!J34</f>
        <v>2556336</v>
      </c>
      <c r="K23" s="711">
        <f t="shared" si="0"/>
        <v>20911038</v>
      </c>
      <c r="L23" s="1024"/>
      <c r="M23" s="715"/>
    </row>
    <row r="24" spans="1:21" s="714" customFormat="1" ht="24" customHeight="1">
      <c r="A24" s="1147">
        <v>12</v>
      </c>
      <c r="B24" s="1127" t="str">
        <f>'06.AC ศูนย์ประชุม (RFL)'!B11</f>
        <v>งานระบบปรับอากาศ และระบายอากาศ ชั้น ดาดฟ้า</v>
      </c>
      <c r="C24" s="1123"/>
      <c r="D24" s="1124"/>
      <c r="E24" s="1149">
        <v>1</v>
      </c>
      <c r="F24" s="1150" t="s">
        <v>19</v>
      </c>
      <c r="G24" s="710"/>
      <c r="H24" s="711">
        <f>'06.AC ศูนย์ประชุม (RFL)'!H34</f>
        <v>862975</v>
      </c>
      <c r="I24" s="712"/>
      <c r="J24" s="711">
        <f>'06.AC ศูนย์ประชุม (RFL)'!J34</f>
        <v>153895</v>
      </c>
      <c r="K24" s="711">
        <f t="shared" si="0"/>
        <v>1016870</v>
      </c>
      <c r="L24" s="1024"/>
      <c r="M24" s="715"/>
      <c r="O24" s="715"/>
    </row>
    <row r="25" spans="1:21" s="714" customFormat="1" ht="24" customHeight="1">
      <c r="A25" s="1147"/>
      <c r="B25" s="1127"/>
      <c r="C25" s="1123"/>
      <c r="D25" s="1124"/>
      <c r="E25" s="1150"/>
      <c r="F25" s="1150"/>
      <c r="G25" s="710"/>
      <c r="H25" s="711"/>
      <c r="I25" s="712"/>
      <c r="J25" s="711"/>
      <c r="K25" s="711"/>
      <c r="L25" s="1024"/>
    </row>
    <row r="26" spans="1:21" s="714" customFormat="1" ht="24" customHeight="1">
      <c r="A26" s="1147"/>
      <c r="B26" s="1127"/>
      <c r="C26" s="1123"/>
      <c r="D26" s="1124"/>
      <c r="E26" s="1150"/>
      <c r="F26" s="1150"/>
      <c r="G26" s="710"/>
      <c r="H26" s="711"/>
      <c r="I26" s="712"/>
      <c r="J26" s="711"/>
      <c r="K26" s="711"/>
      <c r="L26" s="1024"/>
      <c r="O26" s="715"/>
    </row>
    <row r="27" spans="1:21" s="714" customFormat="1" ht="24" customHeight="1">
      <c r="A27" s="1147"/>
      <c r="B27" s="1127"/>
      <c r="C27" s="1123"/>
      <c r="D27" s="1124"/>
      <c r="E27" s="1150"/>
      <c r="F27" s="1150"/>
      <c r="G27" s="710"/>
      <c r="H27" s="711"/>
      <c r="I27" s="712"/>
      <c r="J27" s="711"/>
      <c r="K27" s="711"/>
      <c r="L27" s="1024"/>
    </row>
    <row r="28" spans="1:21" s="714" customFormat="1" ht="24" customHeight="1">
      <c r="A28" s="1147"/>
      <c r="B28" s="1127"/>
      <c r="C28" s="1123"/>
      <c r="D28" s="1124"/>
      <c r="E28" s="1150"/>
      <c r="F28" s="1150"/>
      <c r="G28" s="710"/>
      <c r="H28" s="711"/>
      <c r="I28" s="712"/>
      <c r="J28" s="711"/>
      <c r="K28" s="711"/>
      <c r="L28" s="1024"/>
    </row>
    <row r="29" spans="1:21" s="714" customFormat="1" ht="24" customHeight="1">
      <c r="A29" s="1147"/>
      <c r="B29" s="1127"/>
      <c r="C29" s="1123"/>
      <c r="D29" s="1124"/>
      <c r="E29" s="1150"/>
      <c r="F29" s="1150"/>
      <c r="G29" s="710"/>
      <c r="H29" s="711"/>
      <c r="I29" s="712"/>
      <c r="J29" s="711"/>
      <c r="K29" s="711"/>
      <c r="L29" s="1024"/>
    </row>
    <row r="30" spans="1:21" s="714" customFormat="1" ht="24" customHeight="1">
      <c r="A30" s="1147"/>
      <c r="B30" s="1127"/>
      <c r="C30" s="1123"/>
      <c r="D30" s="1124"/>
      <c r="E30" s="1150"/>
      <c r="F30" s="1150"/>
      <c r="G30" s="710"/>
      <c r="H30" s="711"/>
      <c r="I30" s="712"/>
      <c r="J30" s="711"/>
      <c r="K30" s="711"/>
      <c r="L30" s="1024"/>
    </row>
    <row r="31" spans="1:21" s="714" customFormat="1" ht="30" customHeight="1">
      <c r="A31" s="724"/>
      <c r="B31" s="2475" t="str">
        <f>"รวมราคา"&amp;B11</f>
        <v>รวมราคางานระบบปรับอากาศ และระบายอากาศ</v>
      </c>
      <c r="C31" s="2476"/>
      <c r="D31" s="2477"/>
      <c r="E31" s="1167"/>
      <c r="F31" s="1167"/>
      <c r="G31" s="1168"/>
      <c r="H31" s="1169">
        <f>SUM(H13:H30)</f>
        <v>98304216</v>
      </c>
      <c r="I31" s="1168"/>
      <c r="J31" s="1169">
        <f>SUM(J13:J30)</f>
        <v>17997437</v>
      </c>
      <c r="K31" s="1169">
        <f>SUM(K13:K30)</f>
        <v>116301653</v>
      </c>
      <c r="L31" s="1318"/>
      <c r="M31" s="729"/>
      <c r="N31" s="729"/>
      <c r="O31" s="729"/>
      <c r="P31" s="729"/>
      <c r="Q31" s="729"/>
      <c r="R31" s="729"/>
      <c r="S31" s="729"/>
      <c r="T31" s="729"/>
      <c r="U31" s="729"/>
    </row>
  </sheetData>
  <mergeCells count="9">
    <mergeCell ref="B31:D31"/>
    <mergeCell ref="L7:L8"/>
    <mergeCell ref="A9:A10"/>
    <mergeCell ref="B9:D10"/>
    <mergeCell ref="E9:E10"/>
    <mergeCell ref="F9:F10"/>
    <mergeCell ref="G9:H9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&amp;Rหน้าสรุปงานระบบปรับอากาศและระบายอากาศ-อาคารสนับนุน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88447-E199-41E3-AFF8-57005CBE6A64}">
  <sheetPr>
    <tabColor rgb="FF92D050"/>
  </sheetPr>
  <dimension ref="A1:P168"/>
  <sheetViews>
    <sheetView showGridLines="0" tabSelected="1" view="pageBreakPreview" topLeftCell="A145" zoomScale="70" zoomScaleNormal="60" zoomScaleSheetLayoutView="7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4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6.5859375" style="1" customWidth="1"/>
    <col min="13" max="13" width="7.703125" style="1319" customWidth="1"/>
    <col min="14" max="14" width="8.41015625" style="1321" customWidth="1"/>
    <col min="15" max="15" width="7.87890625" style="1321" customWidth="1"/>
    <col min="16" max="16" width="12.29296875" style="1321" customWidth="1"/>
    <col min="17" max="18" width="7.703125" style="1" customWidth="1"/>
    <col min="19" max="16384" width="9" style="1"/>
  </cols>
  <sheetData>
    <row r="1" spans="1:16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  <c r="N1" s="1"/>
      <c r="O1" s="1"/>
      <c r="P1" s="1"/>
    </row>
    <row r="2" spans="1:16" ht="25.15" customHeight="1">
      <c r="A2" s="42" t="s">
        <v>2</v>
      </c>
      <c r="B2" s="33"/>
      <c r="C2" s="34"/>
      <c r="D2" s="11" t="s">
        <v>1900</v>
      </c>
      <c r="E2" s="34"/>
      <c r="F2" s="12"/>
      <c r="G2" s="12"/>
      <c r="H2" s="12"/>
      <c r="I2" s="12"/>
      <c r="J2" s="13"/>
      <c r="K2" s="12"/>
      <c r="L2" s="14"/>
      <c r="N2" s="1"/>
      <c r="O2" s="1"/>
      <c r="P2" s="1"/>
    </row>
    <row r="3" spans="1:16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  <c r="N3" s="1"/>
      <c r="O3" s="1"/>
      <c r="P3" s="1"/>
    </row>
    <row r="4" spans="1:16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  <c r="N4" s="1"/>
      <c r="O4" s="1"/>
      <c r="P4" s="1"/>
    </row>
    <row r="5" spans="1:16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  <c r="N5" s="1"/>
      <c r="O5" s="1"/>
      <c r="P5" s="1"/>
    </row>
    <row r="6" spans="1:16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  <c r="N6" s="1"/>
      <c r="O6" s="1"/>
      <c r="P6" s="1"/>
    </row>
    <row r="7" spans="1:16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  <c r="N7" s="1"/>
      <c r="O7" s="1"/>
      <c r="P7" s="1"/>
    </row>
    <row r="8" spans="1:16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  <c r="N8" s="1"/>
      <c r="O8" s="1"/>
      <c r="P8" s="1"/>
    </row>
    <row r="9" spans="1:16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  <c r="M9" s="1320"/>
    </row>
    <row r="10" spans="1:16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  <c r="M10" s="1320"/>
    </row>
    <row r="11" spans="1:16" ht="24" customHeight="1">
      <c r="A11" s="1143" t="s">
        <v>244</v>
      </c>
      <c r="B11" s="1144" t="s">
        <v>1901</v>
      </c>
      <c r="C11" s="1208"/>
      <c r="D11" s="1314"/>
      <c r="E11" s="1146"/>
      <c r="F11" s="1146"/>
      <c r="G11" s="696"/>
      <c r="H11" s="697"/>
      <c r="I11" s="698"/>
      <c r="J11" s="697"/>
      <c r="K11" s="699"/>
      <c r="L11" s="953"/>
    </row>
    <row r="12" spans="1:16" s="714" customFormat="1" ht="24" customHeight="1">
      <c r="A12" s="1147">
        <f>A35</f>
        <v>7.1</v>
      </c>
      <c r="B12" s="1127" t="str">
        <f>B35</f>
        <v>อุปกรณ์ควบคุมอัตโนมัติ (Automatic Control Equipment)</v>
      </c>
      <c r="C12" s="1123"/>
      <c r="D12" s="1124"/>
      <c r="E12" s="1150">
        <v>1</v>
      </c>
      <c r="F12" s="1163" t="s">
        <v>19</v>
      </c>
      <c r="G12" s="710"/>
      <c r="H12" s="711">
        <f>H46</f>
        <v>700000</v>
      </c>
      <c r="I12" s="712"/>
      <c r="J12" s="711">
        <f>J46</f>
        <v>3000</v>
      </c>
      <c r="K12" s="711">
        <f t="shared" ref="K12:K18" si="0">SUM(H12:J12)</f>
        <v>703000</v>
      </c>
      <c r="L12" s="1024"/>
      <c r="M12" s="1322"/>
      <c r="N12" s="714" t="str">
        <f t="shared" ref="N12:N20" si="1">"รวมราคารายการที่ "&amp;A12</f>
        <v>รวมราคารายการที่ 7.1</v>
      </c>
      <c r="O12" s="1323">
        <f t="array" ref="O12">MAX(IF($B$35:$B$168=N12,ROW($B$35:$B$168)))</f>
        <v>46</v>
      </c>
      <c r="P12" s="729"/>
    </row>
    <row r="13" spans="1:16" s="714" customFormat="1" ht="24" customHeight="1">
      <c r="A13" s="1147">
        <f>A47</f>
        <v>7.2</v>
      </c>
      <c r="B13" s="1127" t="str">
        <f>B47</f>
        <v>งานท่อ (Piping Work)</v>
      </c>
      <c r="C13" s="1123"/>
      <c r="D13" s="1124"/>
      <c r="E13" s="1150">
        <v>1</v>
      </c>
      <c r="F13" s="1163" t="s">
        <v>19</v>
      </c>
      <c r="G13" s="710"/>
      <c r="H13" s="711">
        <f>H67</f>
        <v>1218859</v>
      </c>
      <c r="I13" s="712"/>
      <c r="J13" s="711">
        <f>J67</f>
        <v>384195</v>
      </c>
      <c r="K13" s="711">
        <f t="shared" si="0"/>
        <v>1603054</v>
      </c>
      <c r="L13" s="1024"/>
      <c r="M13" s="1322"/>
      <c r="N13" s="714" t="str">
        <f t="shared" si="1"/>
        <v>รวมราคารายการที่ 7.2</v>
      </c>
      <c r="O13" s="1323">
        <f t="array" ref="O13">MAX(IF($B$35:$B$168=N13,ROW($B$35:$B$168)))</f>
        <v>67</v>
      </c>
      <c r="P13" s="729"/>
    </row>
    <row r="14" spans="1:16" s="714" customFormat="1" ht="24" customHeight="1">
      <c r="A14" s="1324" t="str">
        <f>A68</f>
        <v>7.3</v>
      </c>
      <c r="B14" s="1127" t="str">
        <f>B68</f>
        <v>ฉนวนหุ้มท่อ (Pipe Insulation)</v>
      </c>
      <c r="C14" s="1209"/>
      <c r="D14" s="1210"/>
      <c r="E14" s="1150">
        <v>1</v>
      </c>
      <c r="F14" s="1163" t="s">
        <v>19</v>
      </c>
      <c r="G14" s="1000"/>
      <c r="H14" s="711">
        <f>H78</f>
        <v>1221272</v>
      </c>
      <c r="I14" s="712"/>
      <c r="J14" s="711">
        <f>J78</f>
        <v>492128</v>
      </c>
      <c r="K14" s="711">
        <f t="shared" si="0"/>
        <v>1713400</v>
      </c>
      <c r="L14" s="1024"/>
      <c r="M14" s="1322"/>
      <c r="N14" s="714" t="str">
        <f t="shared" si="1"/>
        <v>รวมราคารายการที่ 7.3</v>
      </c>
      <c r="O14" s="1323">
        <f t="array" ref="O14">MAX(IF($B$35:$B$168=N14,ROW($B$35:$B$168)))</f>
        <v>78</v>
      </c>
      <c r="P14" s="729"/>
    </row>
    <row r="15" spans="1:16" s="714" customFormat="1" ht="24" customHeight="1">
      <c r="A15" s="1147">
        <f>A79</f>
        <v>7.4</v>
      </c>
      <c r="B15" s="1127" t="str">
        <f>B79</f>
        <v>วาล์วและอุปกรณ์ประกอบ  (Valve &amp; Pipe Accessories)</v>
      </c>
      <c r="C15" s="1123"/>
      <c r="D15" s="1124"/>
      <c r="E15" s="1150">
        <v>1</v>
      </c>
      <c r="F15" s="1163" t="s">
        <v>19</v>
      </c>
      <c r="G15" s="710"/>
      <c r="H15" s="711">
        <f>H127</f>
        <v>2998075</v>
      </c>
      <c r="I15" s="712"/>
      <c r="J15" s="711">
        <f>J127</f>
        <v>235695</v>
      </c>
      <c r="K15" s="711">
        <f t="shared" si="0"/>
        <v>3233770</v>
      </c>
      <c r="L15" s="1024"/>
      <c r="M15" s="1322"/>
      <c r="N15" s="714" t="str">
        <f t="shared" si="1"/>
        <v>รวมราคารายการที่ 7.4</v>
      </c>
      <c r="O15" s="1323">
        <f t="array" ref="O15">MAX(IF($B$35:$B$168=N15,ROW($B$35:$B$168)))</f>
        <v>127</v>
      </c>
      <c r="P15" s="729"/>
    </row>
    <row r="16" spans="1:16" s="714" customFormat="1" ht="24" customHeight="1">
      <c r="A16" s="1221">
        <f>A128</f>
        <v>7.5</v>
      </c>
      <c r="B16" s="1127" t="str">
        <f>B128</f>
        <v>ระบบท่อลม (Duct Work)</v>
      </c>
      <c r="C16" s="1209"/>
      <c r="D16" s="1210"/>
      <c r="E16" s="1150">
        <v>1</v>
      </c>
      <c r="F16" s="1163" t="s">
        <v>19</v>
      </c>
      <c r="G16" s="1000"/>
      <c r="H16" s="711">
        <f>H139</f>
        <v>3380228</v>
      </c>
      <c r="I16" s="712"/>
      <c r="J16" s="711">
        <f>J139</f>
        <v>2242209</v>
      </c>
      <c r="K16" s="711">
        <f t="shared" si="0"/>
        <v>5622437</v>
      </c>
      <c r="L16" s="1024"/>
      <c r="M16" s="1322"/>
      <c r="N16" s="714" t="str">
        <f t="shared" si="1"/>
        <v>รวมราคารายการที่ 7.5</v>
      </c>
      <c r="O16" s="1323">
        <f t="array" ref="O16">MAX(IF($B$35:$B$168=N16,ROW($B$35:$B$168)))</f>
        <v>139</v>
      </c>
      <c r="P16" s="729"/>
    </row>
    <row r="17" spans="1:16" s="714" customFormat="1" ht="24" customHeight="1">
      <c r="A17" s="1150">
        <f>A140</f>
        <v>7.6</v>
      </c>
      <c r="B17" s="1127" t="str">
        <f>B140</f>
        <v>ฉนวนหุ้มท่อลม (Duct Insulation)</v>
      </c>
      <c r="C17" s="1123"/>
      <c r="D17" s="1124"/>
      <c r="E17" s="1150">
        <v>1</v>
      </c>
      <c r="F17" s="1163" t="s">
        <v>19</v>
      </c>
      <c r="G17" s="710"/>
      <c r="H17" s="711">
        <f>H145</f>
        <v>964592</v>
      </c>
      <c r="I17" s="712"/>
      <c r="J17" s="711">
        <f>J145</f>
        <v>309075</v>
      </c>
      <c r="K17" s="711">
        <f t="shared" si="0"/>
        <v>1273667</v>
      </c>
      <c r="L17" s="1024"/>
      <c r="M17" s="1322"/>
      <c r="N17" s="714" t="str">
        <f t="shared" si="1"/>
        <v>รวมราคารายการที่ 7.6</v>
      </c>
      <c r="O17" s="1323">
        <f t="array" ref="O17">MAX(IF($B$35:$B$168=N17,ROW($B$35:$B$168)))</f>
        <v>145</v>
      </c>
      <c r="P17" s="729"/>
    </row>
    <row r="18" spans="1:16" s="714" customFormat="1" ht="24" customHeight="1">
      <c r="A18" s="1147" t="str">
        <f>A146</f>
        <v>7.7</v>
      </c>
      <c r="B18" s="1127" t="str">
        <f>B146</f>
        <v>หน้ากากลม (Air Diffuser, Grille &amp; Register)</v>
      </c>
      <c r="C18" s="1123"/>
      <c r="D18" s="1124"/>
      <c r="E18" s="1150">
        <v>1</v>
      </c>
      <c r="F18" s="1163" t="s">
        <v>19</v>
      </c>
      <c r="G18" s="710"/>
      <c r="H18" s="711">
        <f>H155</f>
        <v>483200</v>
      </c>
      <c r="I18" s="712"/>
      <c r="J18" s="711">
        <f>J155</f>
        <v>42000</v>
      </c>
      <c r="K18" s="711">
        <f t="shared" si="0"/>
        <v>525200</v>
      </c>
      <c r="L18" s="1024"/>
      <c r="M18" s="1322"/>
      <c r="N18" s="714" t="str">
        <f t="shared" si="1"/>
        <v>รวมราคารายการที่ 7.7</v>
      </c>
      <c r="O18" s="1323">
        <f t="array" ref="O18">MAX(IF($B$35:$B$168=N18,ROW($B$35:$B$168)))</f>
        <v>155</v>
      </c>
      <c r="P18" s="729"/>
    </row>
    <row r="19" spans="1:16" s="714" customFormat="1" ht="24" customHeight="1">
      <c r="A19" s="1150">
        <f>A156</f>
        <v>7.8</v>
      </c>
      <c r="B19" s="1127" t="str">
        <f>B156</f>
        <v>ระบบป้องกันไฟและควันลาม (Fire Barrier System)</v>
      </c>
      <c r="C19" s="1123"/>
      <c r="D19" s="1124"/>
      <c r="E19" s="1150">
        <v>1</v>
      </c>
      <c r="F19" s="1163" t="s">
        <v>19</v>
      </c>
      <c r="G19" s="710"/>
      <c r="H19" s="1607">
        <f>H159</f>
        <v>2108160</v>
      </c>
      <c r="I19" s="712"/>
      <c r="J19" s="1607" t="str">
        <f>J159</f>
        <v>Included</v>
      </c>
      <c r="K19" s="1607">
        <f>SUM(H19:J19)</f>
        <v>2108160</v>
      </c>
      <c r="L19" s="1024"/>
      <c r="M19" s="1322"/>
      <c r="N19" s="714" t="str">
        <f t="shared" si="1"/>
        <v>รวมราคารายการที่ 7.8</v>
      </c>
      <c r="O19" s="1323">
        <f t="array" ref="O19">MAX(IF($B$35:$B$168=N19,ROW($B$35:$B$168)))</f>
        <v>159</v>
      </c>
      <c r="P19" s="729"/>
    </row>
    <row r="20" spans="1:16" s="714" customFormat="1" ht="24" customHeight="1">
      <c r="A20" s="1150"/>
      <c r="B20" s="1127"/>
      <c r="C20" s="1123"/>
      <c r="D20" s="1124"/>
      <c r="E20" s="1150"/>
      <c r="F20" s="1163"/>
      <c r="G20" s="710"/>
      <c r="H20" s="1607"/>
      <c r="I20" s="712"/>
      <c r="J20" s="1607"/>
      <c r="K20" s="1607"/>
      <c r="L20" s="1024"/>
      <c r="M20" s="1322"/>
      <c r="N20" s="714" t="str">
        <f t="shared" si="1"/>
        <v xml:space="preserve">รวมราคารายการที่ </v>
      </c>
      <c r="O20" s="1323">
        <f t="array" ref="O20">MAX(IF($B$35:$B$168=N20,ROW($B$35:$B$168)))</f>
        <v>0</v>
      </c>
      <c r="P20" s="729"/>
    </row>
    <row r="21" spans="1:16" s="714" customFormat="1" ht="24" customHeight="1">
      <c r="A21" s="1150"/>
      <c r="B21" s="1127"/>
      <c r="C21" s="1123"/>
      <c r="D21" s="1124"/>
      <c r="E21" s="1150"/>
      <c r="F21" s="1150"/>
      <c r="G21" s="710"/>
      <c r="H21" s="711"/>
      <c r="I21" s="712"/>
      <c r="J21" s="711"/>
      <c r="K21" s="1129"/>
      <c r="L21" s="1024"/>
      <c r="M21" s="1322"/>
      <c r="N21" s="729"/>
      <c r="O21" s="729"/>
      <c r="P21" s="729"/>
    </row>
    <row r="22" spans="1:16" s="714" customFormat="1" ht="24" customHeight="1">
      <c r="A22" s="1150"/>
      <c r="B22" s="1127"/>
      <c r="C22" s="1123"/>
      <c r="D22" s="1124"/>
      <c r="E22" s="1150"/>
      <c r="F22" s="1150"/>
      <c r="G22" s="710"/>
      <c r="H22" s="711"/>
      <c r="I22" s="712"/>
      <c r="J22" s="711"/>
      <c r="K22" s="1129"/>
      <c r="L22" s="1024"/>
      <c r="M22" s="1322"/>
      <c r="N22" s="729"/>
      <c r="O22" s="729"/>
      <c r="P22" s="729"/>
    </row>
    <row r="23" spans="1:16" s="714" customFormat="1" ht="24" customHeight="1">
      <c r="A23" s="1150"/>
      <c r="B23" s="1127"/>
      <c r="C23" s="1123"/>
      <c r="D23" s="1124"/>
      <c r="E23" s="1150"/>
      <c r="F23" s="1150"/>
      <c r="G23" s="710"/>
      <c r="H23" s="711"/>
      <c r="I23" s="712"/>
      <c r="J23" s="711"/>
      <c r="K23" s="1129"/>
      <c r="L23" s="1024"/>
      <c r="M23" s="1322"/>
      <c r="N23" s="729"/>
      <c r="O23" s="729"/>
      <c r="P23" s="729"/>
    </row>
    <row r="24" spans="1:16" s="714" customFormat="1" ht="24" customHeight="1">
      <c r="A24" s="1150"/>
      <c r="B24" s="1127"/>
      <c r="C24" s="1123"/>
      <c r="D24" s="1124"/>
      <c r="E24" s="1150"/>
      <c r="F24" s="1150"/>
      <c r="G24" s="710"/>
      <c r="H24" s="711"/>
      <c r="I24" s="712"/>
      <c r="J24" s="711"/>
      <c r="K24" s="1129"/>
      <c r="L24" s="1024"/>
      <c r="M24" s="1322"/>
      <c r="N24" s="729"/>
      <c r="O24" s="729"/>
      <c r="P24" s="729"/>
    </row>
    <row r="25" spans="1:16" s="714" customFormat="1" ht="24" customHeight="1">
      <c r="A25" s="1150"/>
      <c r="B25" s="1127"/>
      <c r="C25" s="1123"/>
      <c r="D25" s="1124"/>
      <c r="E25" s="1150"/>
      <c r="F25" s="1150"/>
      <c r="G25" s="710"/>
      <c r="H25" s="711"/>
      <c r="I25" s="712"/>
      <c r="J25" s="711"/>
      <c r="K25" s="1129"/>
      <c r="L25" s="1024"/>
      <c r="M25" s="1322"/>
      <c r="N25" s="729"/>
      <c r="O25" s="729"/>
      <c r="P25" s="729"/>
    </row>
    <row r="26" spans="1:16" s="714" customFormat="1" ht="24" customHeight="1">
      <c r="A26" s="1150"/>
      <c r="B26" s="1127"/>
      <c r="C26" s="1123"/>
      <c r="D26" s="1124"/>
      <c r="E26" s="1150"/>
      <c r="F26" s="1150"/>
      <c r="G26" s="710"/>
      <c r="H26" s="711"/>
      <c r="I26" s="712"/>
      <c r="J26" s="711"/>
      <c r="K26" s="1129"/>
      <c r="L26" s="1024"/>
      <c r="M26" s="1322"/>
      <c r="N26" s="729"/>
      <c r="O26" s="729"/>
      <c r="P26" s="729"/>
    </row>
    <row r="27" spans="1:16" s="714" customFormat="1" ht="24" customHeight="1">
      <c r="A27" s="1150"/>
      <c r="B27" s="1127"/>
      <c r="C27" s="1123"/>
      <c r="D27" s="1124"/>
      <c r="E27" s="1150"/>
      <c r="F27" s="1150"/>
      <c r="G27" s="710"/>
      <c r="H27" s="711"/>
      <c r="I27" s="712"/>
      <c r="J27" s="711"/>
      <c r="K27" s="1129"/>
      <c r="L27" s="1024"/>
      <c r="M27" s="1322"/>
      <c r="N27" s="729"/>
      <c r="O27" s="729"/>
      <c r="P27" s="729"/>
    </row>
    <row r="28" spans="1:16" s="714" customFormat="1" ht="24" customHeight="1">
      <c r="A28" s="1150"/>
      <c r="B28" s="1127"/>
      <c r="C28" s="1123"/>
      <c r="D28" s="1124"/>
      <c r="E28" s="1150"/>
      <c r="F28" s="1150"/>
      <c r="G28" s="710"/>
      <c r="H28" s="711"/>
      <c r="I28" s="712"/>
      <c r="J28" s="711"/>
      <c r="K28" s="1129"/>
      <c r="L28" s="1024"/>
      <c r="M28" s="1322"/>
      <c r="N28" s="729"/>
      <c r="O28" s="729"/>
      <c r="P28" s="729"/>
    </row>
    <row r="29" spans="1:16" s="714" customFormat="1" ht="24" customHeight="1">
      <c r="A29" s="1150"/>
      <c r="B29" s="1127"/>
      <c r="C29" s="1123"/>
      <c r="D29" s="1124"/>
      <c r="E29" s="1150"/>
      <c r="F29" s="1150"/>
      <c r="G29" s="710"/>
      <c r="H29" s="711"/>
      <c r="I29" s="712"/>
      <c r="J29" s="711"/>
      <c r="K29" s="1129"/>
      <c r="L29" s="1024"/>
      <c r="M29" s="1322"/>
      <c r="N29" s="729"/>
      <c r="O29" s="729"/>
      <c r="P29" s="729"/>
    </row>
    <row r="30" spans="1:16" s="714" customFormat="1" ht="24" customHeight="1">
      <c r="A30" s="1150"/>
      <c r="B30" s="1127"/>
      <c r="C30" s="1123"/>
      <c r="D30" s="1124"/>
      <c r="E30" s="1150"/>
      <c r="F30" s="1150"/>
      <c r="G30" s="710"/>
      <c r="H30" s="711"/>
      <c r="I30" s="712"/>
      <c r="J30" s="711"/>
      <c r="K30" s="1129"/>
      <c r="L30" s="1024"/>
      <c r="M30" s="1322"/>
      <c r="N30" s="729"/>
      <c r="O30" s="729"/>
      <c r="P30" s="729"/>
    </row>
    <row r="31" spans="1:16" s="714" customFormat="1" ht="24" customHeight="1">
      <c r="A31" s="1150"/>
      <c r="B31" s="1127"/>
      <c r="C31" s="1123"/>
      <c r="D31" s="1124"/>
      <c r="E31" s="1150"/>
      <c r="F31" s="1150"/>
      <c r="G31" s="710"/>
      <c r="H31" s="711"/>
      <c r="I31" s="712"/>
      <c r="J31" s="711"/>
      <c r="K31" s="1129"/>
      <c r="L31" s="1024"/>
      <c r="M31" s="1322"/>
      <c r="N31" s="729"/>
      <c r="O31" s="729"/>
      <c r="P31" s="729"/>
    </row>
    <row r="32" spans="1:16" s="714" customFormat="1" ht="24" customHeight="1">
      <c r="A32" s="1150"/>
      <c r="B32" s="1127"/>
      <c r="C32" s="1123"/>
      <c r="D32" s="1124"/>
      <c r="E32" s="1150"/>
      <c r="F32" s="1150"/>
      <c r="G32" s="710"/>
      <c r="H32" s="711"/>
      <c r="I32" s="712"/>
      <c r="J32" s="711"/>
      <c r="K32" s="1129"/>
      <c r="L32" s="1024"/>
      <c r="M32" s="1322"/>
      <c r="N32" s="729"/>
      <c r="O32" s="729"/>
      <c r="P32" s="729"/>
    </row>
    <row r="33" spans="1:16" s="714" customFormat="1" ht="24" customHeight="1">
      <c r="A33" s="1150"/>
      <c r="B33" s="1127"/>
      <c r="C33" s="1123"/>
      <c r="D33" s="1124"/>
      <c r="E33" s="1150"/>
      <c r="F33" s="1150"/>
      <c r="G33" s="710"/>
      <c r="H33" s="711"/>
      <c r="I33" s="712"/>
      <c r="J33" s="711"/>
      <c r="K33" s="1129"/>
      <c r="L33" s="1024"/>
      <c r="M33" s="1322"/>
      <c r="N33" s="729"/>
      <c r="O33" s="729"/>
      <c r="P33" s="729"/>
    </row>
    <row r="34" spans="1:16" s="714" customFormat="1" ht="30" customHeight="1">
      <c r="A34" s="1166"/>
      <c r="B34" s="2475" t="s">
        <v>1902</v>
      </c>
      <c r="C34" s="2476"/>
      <c r="D34" s="2477"/>
      <c r="E34" s="1167"/>
      <c r="F34" s="1167"/>
      <c r="G34" s="1168"/>
      <c r="H34" s="1169">
        <f>SUM(H11:H33)</f>
        <v>13074386</v>
      </c>
      <c r="I34" s="1170"/>
      <c r="J34" s="1169">
        <f>SUM(J11:J33)</f>
        <v>3708302</v>
      </c>
      <c r="K34" s="1171">
        <f>SUM(K11:K33)</f>
        <v>16782688</v>
      </c>
      <c r="L34" s="1171"/>
      <c r="M34" s="1322"/>
    </row>
    <row r="35" spans="1:16" s="1329" customFormat="1" ht="24" customHeight="1">
      <c r="A35" s="1325">
        <v>7.1</v>
      </c>
      <c r="B35" s="1326" t="s">
        <v>1903</v>
      </c>
      <c r="C35" s="901"/>
      <c r="D35" s="1327"/>
      <c r="E35" s="1019"/>
      <c r="F35" s="947"/>
      <c r="G35" s="1310"/>
      <c r="H35" s="773"/>
      <c r="I35" s="774"/>
      <c r="J35" s="773"/>
      <c r="K35" s="947"/>
      <c r="L35" s="947"/>
      <c r="M35" s="1328"/>
    </row>
    <row r="36" spans="1:16" s="1329" customFormat="1" ht="24" customHeight="1">
      <c r="A36" s="1330" t="s">
        <v>1904</v>
      </c>
      <c r="B36" s="1331" t="s">
        <v>1905</v>
      </c>
      <c r="C36" s="801"/>
      <c r="D36" s="1332"/>
      <c r="E36" s="966"/>
      <c r="F36" s="973" t="s">
        <v>240</v>
      </c>
      <c r="G36" s="1333">
        <v>6900</v>
      </c>
      <c r="H36" s="864">
        <f t="shared" ref="H36" si="2">ROUND(E36*G36,)</f>
        <v>0</v>
      </c>
      <c r="I36" s="1333">
        <v>500</v>
      </c>
      <c r="J36" s="864">
        <f t="shared" ref="J36" si="3">ROUND(E36*I36,)</f>
        <v>0</v>
      </c>
      <c r="K36" s="867">
        <f t="shared" ref="K36" si="4">H36+J36</f>
        <v>0</v>
      </c>
      <c r="L36" s="973"/>
      <c r="M36" s="1328"/>
    </row>
    <row r="37" spans="1:16" s="1329" customFormat="1" ht="24" customHeight="1">
      <c r="A37" s="1330" t="s">
        <v>1906</v>
      </c>
      <c r="B37" s="1331" t="s">
        <v>1907</v>
      </c>
      <c r="C37" s="801"/>
      <c r="D37" s="1332"/>
      <c r="E37" s="1022"/>
      <c r="F37" s="973"/>
      <c r="G37" s="1333"/>
      <c r="H37" s="864"/>
      <c r="I37" s="752"/>
      <c r="J37" s="864"/>
      <c r="K37" s="966"/>
      <c r="L37" s="973"/>
      <c r="M37" s="1328"/>
    </row>
    <row r="38" spans="1:16" s="1329" customFormat="1" ht="24" customHeight="1">
      <c r="A38" s="1330"/>
      <c r="B38" s="1331" t="s">
        <v>1676</v>
      </c>
      <c r="C38" s="801"/>
      <c r="D38" s="1332"/>
      <c r="E38" s="966"/>
      <c r="F38" s="973" t="s">
        <v>240</v>
      </c>
      <c r="G38" s="1333">
        <v>111100</v>
      </c>
      <c r="H38" s="864">
        <f t="shared" ref="H38:H40" si="5">ROUND(E38*G38,)</f>
        <v>0</v>
      </c>
      <c r="I38" s="1333">
        <v>1500</v>
      </c>
      <c r="J38" s="864">
        <f t="shared" ref="J38:J40" si="6">ROUND(E38*I38,)</f>
        <v>0</v>
      </c>
      <c r="K38" s="867">
        <f t="shared" ref="K38:K40" si="7">H38+J38</f>
        <v>0</v>
      </c>
      <c r="L38" s="973"/>
      <c r="M38" s="1328"/>
    </row>
    <row r="39" spans="1:16" s="1329" customFormat="1" ht="24" customHeight="1">
      <c r="A39" s="1330"/>
      <c r="B39" s="1331" t="s">
        <v>1790</v>
      </c>
      <c r="C39" s="801"/>
      <c r="D39" s="1332"/>
      <c r="E39" s="966">
        <v>1</v>
      </c>
      <c r="F39" s="973" t="s">
        <v>240</v>
      </c>
      <c r="G39" s="1333">
        <v>300000</v>
      </c>
      <c r="H39" s="864">
        <f t="shared" si="5"/>
        <v>300000</v>
      </c>
      <c r="I39" s="1333">
        <v>1500</v>
      </c>
      <c r="J39" s="864">
        <f t="shared" si="6"/>
        <v>1500</v>
      </c>
      <c r="K39" s="867">
        <f t="shared" si="7"/>
        <v>301500</v>
      </c>
      <c r="L39" s="973"/>
      <c r="M39" s="1328"/>
    </row>
    <row r="40" spans="1:16" s="1329" customFormat="1" ht="24" customHeight="1">
      <c r="A40" s="1330"/>
      <c r="B40" s="1331" t="s">
        <v>2651</v>
      </c>
      <c r="C40" s="801"/>
      <c r="D40" s="1332"/>
      <c r="E40" s="966">
        <v>1</v>
      </c>
      <c r="F40" s="973" t="s">
        <v>240</v>
      </c>
      <c r="G40" s="1333">
        <v>400000</v>
      </c>
      <c r="H40" s="864">
        <f t="shared" si="5"/>
        <v>400000</v>
      </c>
      <c r="I40" s="1333">
        <v>1500</v>
      </c>
      <c r="J40" s="864">
        <f t="shared" si="6"/>
        <v>1500</v>
      </c>
      <c r="K40" s="867">
        <f t="shared" si="7"/>
        <v>401500</v>
      </c>
      <c r="L40" s="973"/>
      <c r="M40" s="1328"/>
    </row>
    <row r="41" spans="1:16" s="1329" customFormat="1" ht="24" customHeight="1">
      <c r="A41" s="1330"/>
      <c r="B41" s="1331"/>
      <c r="C41" s="801"/>
      <c r="D41" s="1332"/>
      <c r="E41" s="966"/>
      <c r="F41" s="973"/>
      <c r="G41" s="1333"/>
      <c r="H41" s="864"/>
      <c r="I41" s="1333"/>
      <c r="J41" s="864"/>
      <c r="K41" s="867"/>
      <c r="L41" s="973"/>
      <c r="M41" s="1328"/>
    </row>
    <row r="42" spans="1:16" s="1329" customFormat="1" ht="24" customHeight="1">
      <c r="A42" s="1330"/>
      <c r="B42" s="1331"/>
      <c r="C42" s="801"/>
      <c r="D42" s="1332"/>
      <c r="E42" s="966"/>
      <c r="F42" s="973"/>
      <c r="G42" s="1333"/>
      <c r="H42" s="864"/>
      <c r="I42" s="1333"/>
      <c r="J42" s="864"/>
      <c r="K42" s="867"/>
      <c r="L42" s="973"/>
      <c r="M42" s="1328"/>
    </row>
    <row r="43" spans="1:16" s="1329" customFormat="1" ht="24" customHeight="1">
      <c r="A43" s="1330"/>
      <c r="B43" s="1331"/>
      <c r="C43" s="801"/>
      <c r="D43" s="1332"/>
      <c r="E43" s="966"/>
      <c r="F43" s="973"/>
      <c r="G43" s="1333"/>
      <c r="H43" s="864"/>
      <c r="I43" s="1333"/>
      <c r="J43" s="864"/>
      <c r="K43" s="867"/>
      <c r="L43" s="973"/>
      <c r="M43" s="1328"/>
    </row>
    <row r="44" spans="1:16" s="1329" customFormat="1" ht="24" customHeight="1">
      <c r="A44" s="1330"/>
      <c r="B44" s="1331"/>
      <c r="C44" s="801"/>
      <c r="D44" s="1332"/>
      <c r="E44" s="966"/>
      <c r="F44" s="973"/>
      <c r="G44" s="1333"/>
      <c r="H44" s="864"/>
      <c r="I44" s="1333"/>
      <c r="J44" s="864"/>
      <c r="K44" s="867"/>
      <c r="L44" s="973"/>
      <c r="M44" s="1328"/>
    </row>
    <row r="45" spans="1:16" s="1329" customFormat="1" ht="24" customHeight="1">
      <c r="A45" s="1334"/>
      <c r="B45" s="1335"/>
      <c r="C45" s="890"/>
      <c r="D45" s="1336"/>
      <c r="E45" s="1337"/>
      <c r="F45" s="1042"/>
      <c r="G45" s="1338"/>
      <c r="H45" s="891"/>
      <c r="I45" s="1338"/>
      <c r="J45" s="891"/>
      <c r="K45" s="910"/>
      <c r="L45" s="1042"/>
      <c r="M45" s="1328"/>
    </row>
    <row r="46" spans="1:16" s="714" customFormat="1" ht="24" customHeight="1">
      <c r="A46" s="1166"/>
      <c r="B46" s="2475" t="s">
        <v>1908</v>
      </c>
      <c r="C46" s="2476"/>
      <c r="D46" s="2477"/>
      <c r="E46" s="1167"/>
      <c r="F46" s="1167"/>
      <c r="G46" s="1168"/>
      <c r="H46" s="1169">
        <f>SUM(H35:H45)</f>
        <v>700000</v>
      </c>
      <c r="I46" s="1170"/>
      <c r="J46" s="1169">
        <f>SUM(J35:J45)</f>
        <v>3000</v>
      </c>
      <c r="K46" s="1169">
        <f>SUM(K35:K45)</f>
        <v>703000</v>
      </c>
      <c r="L46" s="1171"/>
      <c r="M46" s="1322"/>
    </row>
    <row r="47" spans="1:16" s="1329" customFormat="1" ht="24" customHeight="1">
      <c r="A47" s="1325">
        <v>7.2</v>
      </c>
      <c r="B47" s="1339" t="s">
        <v>1909</v>
      </c>
      <c r="C47" s="901"/>
      <c r="D47" s="1327"/>
      <c r="E47" s="1019"/>
      <c r="F47" s="947"/>
      <c r="G47" s="1310"/>
      <c r="H47" s="773"/>
      <c r="I47" s="774"/>
      <c r="J47" s="773"/>
      <c r="K47" s="947"/>
      <c r="L47" s="947"/>
      <c r="M47" s="1328"/>
    </row>
    <row r="48" spans="1:16" s="1329" customFormat="1" ht="24" customHeight="1">
      <c r="A48" s="1330" t="s">
        <v>1910</v>
      </c>
      <c r="B48" s="1331" t="s">
        <v>1911</v>
      </c>
      <c r="C48" s="801"/>
      <c r="D48" s="1332"/>
      <c r="E48" s="1022"/>
      <c r="F48" s="973"/>
      <c r="G48" s="1333"/>
      <c r="H48" s="751"/>
      <c r="I48" s="752"/>
      <c r="J48" s="751"/>
      <c r="K48" s="973"/>
      <c r="L48" s="973"/>
      <c r="M48" s="1328"/>
    </row>
    <row r="49" spans="1:15" s="1329" customFormat="1" ht="24" customHeight="1">
      <c r="A49" s="1340" t="s">
        <v>1912</v>
      </c>
      <c r="B49" s="1331" t="s">
        <v>1913</v>
      </c>
      <c r="C49" s="801"/>
      <c r="D49" s="801"/>
      <c r="E49" s="966"/>
      <c r="F49" s="867"/>
      <c r="G49" s="858"/>
      <c r="H49" s="864"/>
      <c r="I49" s="865"/>
      <c r="J49" s="864"/>
      <c r="K49" s="867"/>
      <c r="L49" s="867"/>
      <c r="M49" s="1328"/>
    </row>
    <row r="50" spans="1:15" s="1329" customFormat="1" ht="24" customHeight="1">
      <c r="A50" s="1330"/>
      <c r="B50" s="1331" t="s">
        <v>1675</v>
      </c>
      <c r="C50" s="801"/>
      <c r="D50" s="1332"/>
      <c r="E50" s="966"/>
      <c r="F50" s="867" t="s">
        <v>438</v>
      </c>
      <c r="G50" s="1333">
        <v>1168</v>
      </c>
      <c r="H50" s="864">
        <f t="shared" ref="H50:H57" si="8">ROUND(E50*G50,)</f>
        <v>0</v>
      </c>
      <c r="I50" s="752">
        <v>420</v>
      </c>
      <c r="J50" s="864">
        <f t="shared" ref="J50:J57" si="9">ROUND(E50*I50,)</f>
        <v>0</v>
      </c>
      <c r="K50" s="867">
        <f t="shared" ref="K50:K57" si="10">H50+J50</f>
        <v>0</v>
      </c>
      <c r="L50" s="973"/>
      <c r="M50" s="1328"/>
    </row>
    <row r="51" spans="1:15" s="1329" customFormat="1" ht="24" customHeight="1">
      <c r="A51" s="1330"/>
      <c r="B51" s="1331" t="s">
        <v>1676</v>
      </c>
      <c r="C51" s="801"/>
      <c r="D51" s="1332"/>
      <c r="E51" s="966">
        <v>168</v>
      </c>
      <c r="F51" s="867" t="s">
        <v>438</v>
      </c>
      <c r="G51" s="1333">
        <v>1361</v>
      </c>
      <c r="H51" s="864">
        <f t="shared" si="8"/>
        <v>228648</v>
      </c>
      <c r="I51" s="752">
        <v>560</v>
      </c>
      <c r="J51" s="864">
        <f t="shared" si="9"/>
        <v>94080</v>
      </c>
      <c r="K51" s="867">
        <f t="shared" si="10"/>
        <v>322728</v>
      </c>
      <c r="L51" s="973"/>
      <c r="M51" s="1328"/>
    </row>
    <row r="52" spans="1:15" s="1329" customFormat="1" ht="24" customHeight="1">
      <c r="A52" s="1330"/>
      <c r="B52" s="1331" t="s">
        <v>1790</v>
      </c>
      <c r="C52" s="801"/>
      <c r="D52" s="1332"/>
      <c r="E52" s="966">
        <v>168</v>
      </c>
      <c r="F52" s="867" t="s">
        <v>438</v>
      </c>
      <c r="G52" s="1333">
        <v>2654</v>
      </c>
      <c r="H52" s="864">
        <f>ROUND(E52*G52,)</f>
        <v>445872</v>
      </c>
      <c r="I52" s="752">
        <v>750</v>
      </c>
      <c r="J52" s="864">
        <f t="shared" si="9"/>
        <v>126000</v>
      </c>
      <c r="K52" s="867">
        <f t="shared" si="10"/>
        <v>571872</v>
      </c>
      <c r="L52" s="973"/>
      <c r="M52" s="1328"/>
    </row>
    <row r="53" spans="1:15" s="1329" customFormat="1" ht="24" customHeight="1">
      <c r="A53" s="1330"/>
      <c r="B53" s="1331" t="s">
        <v>1914</v>
      </c>
      <c r="C53" s="801"/>
      <c r="D53" s="1332"/>
      <c r="E53" s="966"/>
      <c r="F53" s="867" t="s">
        <v>438</v>
      </c>
      <c r="G53" s="1333">
        <v>4742</v>
      </c>
      <c r="H53" s="864">
        <f t="shared" si="8"/>
        <v>0</v>
      </c>
      <c r="I53" s="752">
        <v>1350</v>
      </c>
      <c r="J53" s="864">
        <f t="shared" si="9"/>
        <v>0</v>
      </c>
      <c r="K53" s="867">
        <f t="shared" si="10"/>
        <v>0</v>
      </c>
      <c r="L53" s="973"/>
      <c r="M53" s="1328"/>
    </row>
    <row r="54" spans="1:15" s="1329" customFormat="1" ht="24" customHeight="1">
      <c r="A54" s="1330"/>
      <c r="B54" s="1331" t="s">
        <v>1915</v>
      </c>
      <c r="C54" s="801"/>
      <c r="D54" s="1332"/>
      <c r="E54" s="966"/>
      <c r="F54" s="867" t="s">
        <v>438</v>
      </c>
      <c r="G54" s="1333">
        <v>15522</v>
      </c>
      <c r="H54" s="864">
        <f t="shared" si="8"/>
        <v>0</v>
      </c>
      <c r="I54" s="752">
        <v>2400</v>
      </c>
      <c r="J54" s="864">
        <f t="shared" si="9"/>
        <v>0</v>
      </c>
      <c r="K54" s="867">
        <f t="shared" si="10"/>
        <v>0</v>
      </c>
      <c r="L54" s="973"/>
      <c r="M54" s="1328"/>
    </row>
    <row r="55" spans="1:15" s="1329" customFormat="1" ht="24" customHeight="1">
      <c r="A55" s="1330"/>
      <c r="B55" s="1331" t="s">
        <v>1645</v>
      </c>
      <c r="C55" s="801"/>
      <c r="D55" s="1332"/>
      <c r="E55" s="1022">
        <v>1</v>
      </c>
      <c r="F55" s="973" t="s">
        <v>948</v>
      </c>
      <c r="G55" s="1341">
        <f>SUM(H50:H54)*50%</f>
        <v>337260</v>
      </c>
      <c r="H55" s="864">
        <f t="shared" si="8"/>
        <v>337260</v>
      </c>
      <c r="I55" s="1341">
        <f>ROUND(G55*0.3,)</f>
        <v>101178</v>
      </c>
      <c r="J55" s="864">
        <f t="shared" si="9"/>
        <v>101178</v>
      </c>
      <c r="K55" s="804">
        <f t="shared" si="10"/>
        <v>438438</v>
      </c>
      <c r="L55" s="973"/>
      <c r="M55" s="1328"/>
    </row>
    <row r="56" spans="1:15" s="1329" customFormat="1" ht="24" customHeight="1">
      <c r="A56" s="1330"/>
      <c r="B56" s="1331" t="s">
        <v>1646</v>
      </c>
      <c r="C56" s="801"/>
      <c r="D56" s="1332"/>
      <c r="E56" s="1022">
        <v>1</v>
      </c>
      <c r="F56" s="973" t="s">
        <v>948</v>
      </c>
      <c r="G56" s="1341">
        <f>ROUND(SUM(H50:H54)*20%,)</f>
        <v>134904</v>
      </c>
      <c r="H56" s="864">
        <f t="shared" si="8"/>
        <v>134904</v>
      </c>
      <c r="I56" s="1341">
        <f>ROUND(G56*0.3,)</f>
        <v>40471</v>
      </c>
      <c r="J56" s="864">
        <f t="shared" si="9"/>
        <v>40471</v>
      </c>
      <c r="K56" s="804">
        <f t="shared" si="10"/>
        <v>175375</v>
      </c>
      <c r="L56" s="973"/>
      <c r="M56" s="1328"/>
    </row>
    <row r="57" spans="1:15" s="1329" customFormat="1" ht="24" customHeight="1">
      <c r="A57" s="1330"/>
      <c r="B57" s="1331" t="s">
        <v>1647</v>
      </c>
      <c r="C57" s="801"/>
      <c r="D57" s="1332"/>
      <c r="E57" s="1022">
        <v>1</v>
      </c>
      <c r="F57" s="973" t="s">
        <v>948</v>
      </c>
      <c r="G57" s="1341">
        <f>ROUND(SUM(H50:H54)*10%,)</f>
        <v>67452</v>
      </c>
      <c r="H57" s="864">
        <f t="shared" si="8"/>
        <v>67452</v>
      </c>
      <c r="I57" s="1341">
        <f>ROUND(G57*0.3,)</f>
        <v>20236</v>
      </c>
      <c r="J57" s="864">
        <f t="shared" si="9"/>
        <v>20236</v>
      </c>
      <c r="K57" s="804">
        <f t="shared" si="10"/>
        <v>87688</v>
      </c>
      <c r="L57" s="973"/>
      <c r="M57" s="1328"/>
    </row>
    <row r="58" spans="1:15" s="1329" customFormat="1" ht="24" customHeight="1">
      <c r="A58" s="1330"/>
      <c r="B58" s="1331"/>
      <c r="C58" s="801"/>
      <c r="D58" s="1332"/>
      <c r="E58" s="1022"/>
      <c r="F58" s="973"/>
      <c r="G58" s="1333"/>
      <c r="H58" s="864"/>
      <c r="I58" s="752"/>
      <c r="J58" s="864"/>
      <c r="K58" s="867"/>
      <c r="L58" s="973"/>
      <c r="M58" s="1328"/>
    </row>
    <row r="59" spans="1:15" s="1329" customFormat="1" ht="24" customHeight="1">
      <c r="A59" s="1330"/>
      <c r="B59" s="1331"/>
      <c r="C59" s="801"/>
      <c r="D59" s="1332"/>
      <c r="E59" s="1022"/>
      <c r="F59" s="973"/>
      <c r="G59" s="1333"/>
      <c r="H59" s="864"/>
      <c r="I59" s="752"/>
      <c r="J59" s="864"/>
      <c r="K59" s="867"/>
      <c r="L59" s="973"/>
      <c r="M59" s="1328"/>
    </row>
    <row r="60" spans="1:15" s="1329" customFormat="1" ht="24" customHeight="1">
      <c r="A60" s="1330" t="s">
        <v>1916</v>
      </c>
      <c r="B60" s="1331" t="s">
        <v>1917</v>
      </c>
      <c r="C60" s="801"/>
      <c r="D60" s="1332"/>
      <c r="E60" s="1022"/>
      <c r="F60" s="973"/>
      <c r="G60" s="1333"/>
      <c r="H60" s="751"/>
      <c r="I60" s="752"/>
      <c r="J60" s="751"/>
      <c r="K60" s="973"/>
      <c r="L60" s="973"/>
      <c r="M60" s="1328"/>
    </row>
    <row r="61" spans="1:15" s="1329" customFormat="1" ht="24" customHeight="1">
      <c r="A61" s="1330"/>
      <c r="B61" s="1331" t="s">
        <v>1918</v>
      </c>
      <c r="C61" s="801"/>
      <c r="D61" s="1332"/>
      <c r="E61" s="1022">
        <v>64</v>
      </c>
      <c r="F61" s="867" t="s">
        <v>438</v>
      </c>
      <c r="G61" s="1333">
        <v>41</v>
      </c>
      <c r="H61" s="864">
        <f t="shared" ref="H61:H64" si="11">ROUND(E61*G61,)</f>
        <v>2624</v>
      </c>
      <c r="I61" s="752">
        <v>25</v>
      </c>
      <c r="J61" s="864">
        <f t="shared" ref="J61:J62" si="12">ROUND(E61*I61,)</f>
        <v>1600</v>
      </c>
      <c r="K61" s="867">
        <f t="shared" ref="K61:K64" si="13">H61+J61</f>
        <v>4224</v>
      </c>
      <c r="L61" s="2273" t="s">
        <v>2974</v>
      </c>
      <c r="M61" s="1328"/>
      <c r="N61" s="1719">
        <v>163.80000000000001</v>
      </c>
      <c r="O61" s="714">
        <f>ROUND(N61/4,)</f>
        <v>41</v>
      </c>
    </row>
    <row r="62" spans="1:15" s="1329" customFormat="1" ht="24" customHeight="1">
      <c r="A62" s="1330"/>
      <c r="B62" s="1331" t="s">
        <v>1645</v>
      </c>
      <c r="C62" s="801"/>
      <c r="D62" s="1332"/>
      <c r="E62" s="1022">
        <v>1</v>
      </c>
      <c r="F62" s="973" t="s">
        <v>948</v>
      </c>
      <c r="G62" s="1341">
        <f>ROUND(SUM(H61)*40%,)</f>
        <v>1050</v>
      </c>
      <c r="H62" s="864">
        <f t="shared" si="11"/>
        <v>1050</v>
      </c>
      <c r="I62" s="1341">
        <f>ROUND(G62*0.3,)</f>
        <v>315</v>
      </c>
      <c r="J62" s="864">
        <f t="shared" si="12"/>
        <v>315</v>
      </c>
      <c r="K62" s="867">
        <f t="shared" si="13"/>
        <v>1365</v>
      </c>
      <c r="L62" s="973"/>
      <c r="M62" s="1328"/>
    </row>
    <row r="63" spans="1:15" s="1329" customFormat="1" ht="24" customHeight="1">
      <c r="A63" s="1330"/>
      <c r="B63" s="1331" t="s">
        <v>1646</v>
      </c>
      <c r="C63" s="801"/>
      <c r="D63" s="1332"/>
      <c r="E63" s="1022">
        <v>1</v>
      </c>
      <c r="F63" s="973" t="s">
        <v>948</v>
      </c>
      <c r="G63" s="1341">
        <f>ROUND(SUM(H61)*30%,)</f>
        <v>787</v>
      </c>
      <c r="H63" s="864">
        <f t="shared" si="11"/>
        <v>787</v>
      </c>
      <c r="I63" s="1341">
        <f>ROUND(G63*0.3,)</f>
        <v>236</v>
      </c>
      <c r="J63" s="864">
        <f>ROUND(E63*I63,)</f>
        <v>236</v>
      </c>
      <c r="K63" s="867">
        <f t="shared" si="13"/>
        <v>1023</v>
      </c>
      <c r="L63" s="973"/>
      <c r="M63" s="1328"/>
    </row>
    <row r="64" spans="1:15" s="1329" customFormat="1" ht="24" customHeight="1">
      <c r="A64" s="1330"/>
      <c r="B64" s="1331" t="s">
        <v>1647</v>
      </c>
      <c r="C64" s="801"/>
      <c r="D64" s="1332"/>
      <c r="E64" s="1022">
        <v>1</v>
      </c>
      <c r="F64" s="973" t="s">
        <v>948</v>
      </c>
      <c r="G64" s="1341">
        <f>ROUND(SUM(H61)*10%,)</f>
        <v>262</v>
      </c>
      <c r="H64" s="864">
        <f t="shared" si="11"/>
        <v>262</v>
      </c>
      <c r="I64" s="1341">
        <f>ROUND(G64*0.3,)</f>
        <v>79</v>
      </c>
      <c r="J64" s="864">
        <f>ROUND(E64*I64,)</f>
        <v>79</v>
      </c>
      <c r="K64" s="867">
        <f t="shared" si="13"/>
        <v>341</v>
      </c>
      <c r="L64" s="973"/>
      <c r="M64" s="1328"/>
    </row>
    <row r="65" spans="1:13" s="1329" customFormat="1" ht="24" customHeight="1">
      <c r="A65" s="1330"/>
      <c r="B65" s="1331" t="s">
        <v>957</v>
      </c>
      <c r="C65" s="801"/>
      <c r="D65" s="1332"/>
      <c r="E65" s="1022"/>
      <c r="F65" s="973"/>
      <c r="G65" s="1333"/>
      <c r="H65" s="751"/>
      <c r="I65" s="752"/>
      <c r="J65" s="751"/>
      <c r="K65" s="973"/>
      <c r="L65" s="973"/>
      <c r="M65" s="1328"/>
    </row>
    <row r="66" spans="1:13" s="886" customFormat="1" ht="24" customHeight="1">
      <c r="A66" s="1330"/>
      <c r="B66" s="1331" t="s">
        <v>958</v>
      </c>
      <c r="C66" s="801"/>
      <c r="D66" s="1332"/>
      <c r="E66" s="1022"/>
      <c r="F66" s="973"/>
      <c r="G66" s="1333"/>
      <c r="H66" s="751"/>
      <c r="I66" s="752"/>
      <c r="J66" s="751"/>
      <c r="K66" s="973"/>
      <c r="L66" s="973"/>
      <c r="M66" s="1342"/>
    </row>
    <row r="67" spans="1:13" s="1329" customFormat="1" ht="24" customHeight="1">
      <c r="A67" s="1166"/>
      <c r="B67" s="2475" t="s">
        <v>1919</v>
      </c>
      <c r="C67" s="2476"/>
      <c r="D67" s="2477"/>
      <c r="E67" s="1167"/>
      <c r="F67" s="1167"/>
      <c r="G67" s="1168"/>
      <c r="H67" s="1169">
        <f>SUM(H48:H66)</f>
        <v>1218859</v>
      </c>
      <c r="I67" s="1170"/>
      <c r="J67" s="1169">
        <f>SUM(J48:J66)</f>
        <v>384195</v>
      </c>
      <c r="K67" s="1169">
        <f>SUM(K48:K66)</f>
        <v>1603054</v>
      </c>
      <c r="L67" s="1171"/>
      <c r="M67" s="1328"/>
    </row>
    <row r="68" spans="1:13" s="1329" customFormat="1" ht="24" customHeight="1">
      <c r="A68" s="1343" t="s">
        <v>1920</v>
      </c>
      <c r="B68" s="1326" t="s">
        <v>1921</v>
      </c>
      <c r="C68" s="850"/>
      <c r="D68" s="859"/>
      <c r="E68" s="1344"/>
      <c r="F68" s="852"/>
      <c r="G68" s="874"/>
      <c r="H68" s="854"/>
      <c r="I68" s="855"/>
      <c r="J68" s="854"/>
      <c r="K68" s="912"/>
      <c r="L68" s="912"/>
      <c r="M68" s="1328"/>
    </row>
    <row r="69" spans="1:13" s="1329" customFormat="1" ht="24" customHeight="1">
      <c r="A69" s="791" t="s">
        <v>1922</v>
      </c>
      <c r="B69" s="1331" t="s">
        <v>1923</v>
      </c>
      <c r="C69" s="1233"/>
      <c r="D69" s="792"/>
      <c r="E69" s="1345"/>
      <c r="F69" s="794"/>
      <c r="G69" s="1140"/>
      <c r="H69" s="796"/>
      <c r="I69" s="797"/>
      <c r="J69" s="796"/>
      <c r="K69" s="914"/>
      <c r="L69" s="914"/>
      <c r="M69" s="1328"/>
    </row>
    <row r="70" spans="1:13" s="1329" customFormat="1" ht="24" customHeight="1">
      <c r="A70" s="791"/>
      <c r="B70" s="1331" t="s">
        <v>1188</v>
      </c>
      <c r="C70" s="1233"/>
      <c r="D70" s="792"/>
      <c r="E70" s="968">
        <f>E61</f>
        <v>64</v>
      </c>
      <c r="F70" s="794" t="s">
        <v>438</v>
      </c>
      <c r="G70" s="1140">
        <v>148</v>
      </c>
      <c r="H70" s="796">
        <f t="shared" ref="H70" si="14">ROUND(E70*G70,)</f>
        <v>9472</v>
      </c>
      <c r="I70" s="797">
        <v>52</v>
      </c>
      <c r="J70" s="796">
        <f t="shared" ref="J70" si="15">ROUND(E70*I70,)</f>
        <v>3328</v>
      </c>
      <c r="K70" s="914">
        <f t="shared" ref="K70" si="16">H70+J70</f>
        <v>12800</v>
      </c>
      <c r="L70" s="914"/>
      <c r="M70" s="1328"/>
    </row>
    <row r="71" spans="1:13" s="1329" customFormat="1" ht="24" customHeight="1">
      <c r="A71" s="791" t="s">
        <v>1924</v>
      </c>
      <c r="B71" s="1331" t="s">
        <v>1925</v>
      </c>
      <c r="C71" s="1233"/>
      <c r="D71" s="792"/>
      <c r="E71" s="1345"/>
      <c r="F71" s="794"/>
      <c r="G71" s="1140"/>
      <c r="H71" s="796"/>
      <c r="I71" s="797"/>
      <c r="J71" s="796"/>
      <c r="K71" s="914"/>
      <c r="L71" s="914"/>
      <c r="M71" s="1328"/>
    </row>
    <row r="72" spans="1:13" s="1329" customFormat="1" ht="24" customHeight="1">
      <c r="A72" s="791"/>
      <c r="B72" s="1331" t="s">
        <v>1809</v>
      </c>
      <c r="C72" s="792"/>
      <c r="D72" s="1346"/>
      <c r="E72" s="968"/>
      <c r="F72" s="794" t="s">
        <v>438</v>
      </c>
      <c r="G72" s="1333">
        <v>465</v>
      </c>
      <c r="H72" s="796">
        <f t="shared" ref="H72:H74" si="17">ROUND(E72*G72,)</f>
        <v>0</v>
      </c>
      <c r="I72" s="797">
        <v>156</v>
      </c>
      <c r="J72" s="796">
        <f t="shared" ref="J72:J74" si="18">ROUND(E72*I72,)</f>
        <v>0</v>
      </c>
      <c r="K72" s="914">
        <f t="shared" ref="K72:K74" si="19">H72+J72</f>
        <v>0</v>
      </c>
      <c r="L72" s="1189"/>
      <c r="M72" s="1328"/>
    </row>
    <row r="73" spans="1:13" s="1329" customFormat="1" ht="24" customHeight="1">
      <c r="A73" s="791"/>
      <c r="B73" s="1331" t="s">
        <v>1790</v>
      </c>
      <c r="C73" s="801"/>
      <c r="D73" s="1332"/>
      <c r="E73" s="966">
        <v>80</v>
      </c>
      <c r="F73" s="867" t="s">
        <v>438</v>
      </c>
      <c r="G73" s="1333">
        <v>685</v>
      </c>
      <c r="H73" s="864">
        <f t="shared" si="17"/>
        <v>54800</v>
      </c>
      <c r="I73" s="1333">
        <v>260</v>
      </c>
      <c r="J73" s="796">
        <f t="shared" si="18"/>
        <v>20800</v>
      </c>
      <c r="K73" s="914">
        <f t="shared" si="19"/>
        <v>75600</v>
      </c>
      <c r="L73" s="1189"/>
      <c r="M73" s="1328"/>
    </row>
    <row r="74" spans="1:13" s="1329" customFormat="1" ht="24" customHeight="1">
      <c r="A74" s="791"/>
      <c r="B74" s="1331" t="s">
        <v>1914</v>
      </c>
      <c r="C74" s="801"/>
      <c r="D74" s="1332"/>
      <c r="E74" s="966">
        <v>1000</v>
      </c>
      <c r="F74" s="867" t="s">
        <v>438</v>
      </c>
      <c r="G74" s="1333">
        <v>1157</v>
      </c>
      <c r="H74" s="864">
        <f t="shared" si="17"/>
        <v>1157000</v>
      </c>
      <c r="I74" s="1333">
        <v>468</v>
      </c>
      <c r="J74" s="796">
        <f t="shared" si="18"/>
        <v>468000</v>
      </c>
      <c r="K74" s="914">
        <f t="shared" si="19"/>
        <v>1625000</v>
      </c>
      <c r="L74" s="1189"/>
      <c r="M74" s="1328"/>
    </row>
    <row r="75" spans="1:13" s="1329" customFormat="1" ht="24" customHeight="1">
      <c r="A75" s="791"/>
      <c r="B75" s="1331" t="s">
        <v>957</v>
      </c>
      <c r="C75" s="1233"/>
      <c r="D75" s="792"/>
      <c r="E75" s="1345"/>
      <c r="F75" s="794"/>
      <c r="G75" s="1140"/>
      <c r="H75" s="796"/>
      <c r="I75" s="797"/>
      <c r="J75" s="796"/>
      <c r="K75" s="914"/>
      <c r="L75" s="914"/>
      <c r="M75" s="1328"/>
    </row>
    <row r="76" spans="1:13" s="1329" customFormat="1" ht="24" customHeight="1">
      <c r="A76" s="791"/>
      <c r="B76" s="1331" t="s">
        <v>958</v>
      </c>
      <c r="C76" s="1233"/>
      <c r="D76" s="792"/>
      <c r="E76" s="1345"/>
      <c r="F76" s="794"/>
      <c r="G76" s="1140"/>
      <c r="H76" s="796"/>
      <c r="I76" s="797"/>
      <c r="J76" s="796"/>
      <c r="K76" s="914"/>
      <c r="L76" s="914"/>
      <c r="M76" s="1328"/>
    </row>
    <row r="77" spans="1:13" s="1329" customFormat="1" ht="24" customHeight="1">
      <c r="A77" s="791"/>
      <c r="B77" s="1331" t="s">
        <v>958</v>
      </c>
      <c r="C77" s="1233"/>
      <c r="D77" s="792"/>
      <c r="E77" s="1345"/>
      <c r="F77" s="794"/>
      <c r="G77" s="1140"/>
      <c r="H77" s="796"/>
      <c r="I77" s="797"/>
      <c r="J77" s="796"/>
      <c r="K77" s="914"/>
      <c r="L77" s="914"/>
      <c r="M77" s="1328"/>
    </row>
    <row r="78" spans="1:13" s="1329" customFormat="1" ht="24" customHeight="1">
      <c r="A78" s="1166"/>
      <c r="B78" s="2475" t="s">
        <v>1926</v>
      </c>
      <c r="C78" s="2476"/>
      <c r="D78" s="2477"/>
      <c r="E78" s="1167"/>
      <c r="F78" s="1167"/>
      <c r="G78" s="1168"/>
      <c r="H78" s="1169">
        <f>SUM(H68:H77)</f>
        <v>1221272</v>
      </c>
      <c r="I78" s="1170"/>
      <c r="J78" s="1169">
        <f>SUM(J68:J77)</f>
        <v>492128</v>
      </c>
      <c r="K78" s="1171">
        <f>SUM(K68:K77)</f>
        <v>1713400</v>
      </c>
      <c r="L78" s="1171"/>
      <c r="M78" s="1328"/>
    </row>
    <row r="79" spans="1:13" s="1329" customFormat="1" ht="24" customHeight="1">
      <c r="A79" s="1325">
        <v>7.4</v>
      </c>
      <c r="B79" s="1326" t="s">
        <v>1927</v>
      </c>
      <c r="C79" s="1347"/>
      <c r="D79" s="901"/>
      <c r="E79" s="1030"/>
      <c r="F79" s="903"/>
      <c r="G79" s="1348"/>
      <c r="H79" s="905"/>
      <c r="I79" s="906"/>
      <c r="J79" s="905"/>
      <c r="K79" s="903"/>
      <c r="L79" s="903"/>
      <c r="M79" s="1328"/>
    </row>
    <row r="80" spans="1:13" s="1329" customFormat="1" ht="24" customHeight="1">
      <c r="A80" s="1330" t="s">
        <v>1928</v>
      </c>
      <c r="B80" s="1331" t="s">
        <v>1929</v>
      </c>
      <c r="C80" s="1349"/>
      <c r="D80" s="801"/>
      <c r="E80" s="966"/>
      <c r="F80" s="867"/>
      <c r="G80" s="1249"/>
      <c r="H80" s="864"/>
      <c r="I80" s="865"/>
      <c r="J80" s="864"/>
      <c r="K80" s="867"/>
      <c r="L80" s="867"/>
      <c r="M80" s="1328"/>
    </row>
    <row r="81" spans="1:13" s="1329" customFormat="1" ht="24" customHeight="1">
      <c r="A81" s="1330"/>
      <c r="B81" s="1331" t="s">
        <v>1185</v>
      </c>
      <c r="C81" s="1349"/>
      <c r="D81" s="801"/>
      <c r="E81" s="1350">
        <v>0.91040821118304094</v>
      </c>
      <c r="F81" s="867" t="s">
        <v>240</v>
      </c>
      <c r="G81" s="1351">
        <v>1316</v>
      </c>
      <c r="H81" s="864">
        <f t="shared" ref="H81:H125" si="20">ROUND(E81*G81,)</f>
        <v>1198</v>
      </c>
      <c r="I81" s="865">
        <v>200</v>
      </c>
      <c r="J81" s="864">
        <f t="shared" ref="J81:J84" si="21">ROUND(E81*I81,)</f>
        <v>182</v>
      </c>
      <c r="K81" s="867">
        <f t="shared" ref="K81:K84" si="22">H81+J81</f>
        <v>1380</v>
      </c>
      <c r="L81" s="2273" t="s">
        <v>2974</v>
      </c>
      <c r="M81" s="1328"/>
    </row>
    <row r="82" spans="1:13" s="1329" customFormat="1" ht="24" customHeight="1">
      <c r="A82" s="1330"/>
      <c r="B82" s="1331" t="s">
        <v>1186</v>
      </c>
      <c r="C82" s="1349"/>
      <c r="D82" s="801"/>
      <c r="E82" s="1350">
        <v>10.92489853419649</v>
      </c>
      <c r="F82" s="867" t="s">
        <v>240</v>
      </c>
      <c r="G82" s="1351">
        <v>1985</v>
      </c>
      <c r="H82" s="864">
        <f t="shared" si="20"/>
        <v>21686</v>
      </c>
      <c r="I82" s="865">
        <v>250</v>
      </c>
      <c r="J82" s="864">
        <f t="shared" si="21"/>
        <v>2731</v>
      </c>
      <c r="K82" s="867">
        <f t="shared" si="22"/>
        <v>24417</v>
      </c>
      <c r="L82" s="2273" t="s">
        <v>2974</v>
      </c>
      <c r="M82" s="1328"/>
    </row>
    <row r="83" spans="1:13" s="1329" customFormat="1" ht="24" customHeight="1">
      <c r="A83" s="1330"/>
      <c r="B83" s="1331" t="s">
        <v>1187</v>
      </c>
      <c r="C83" s="1349"/>
      <c r="D83" s="801"/>
      <c r="E83" s="1350">
        <v>0.91040821118304094</v>
      </c>
      <c r="F83" s="867" t="s">
        <v>240</v>
      </c>
      <c r="G83" s="1351">
        <v>2610</v>
      </c>
      <c r="H83" s="864">
        <f t="shared" si="20"/>
        <v>2376</v>
      </c>
      <c r="I83" s="865">
        <v>300</v>
      </c>
      <c r="J83" s="864">
        <f t="shared" si="21"/>
        <v>273</v>
      </c>
      <c r="K83" s="867">
        <f t="shared" si="22"/>
        <v>2649</v>
      </c>
      <c r="L83" s="2273" t="s">
        <v>2974</v>
      </c>
      <c r="M83" s="1328"/>
    </row>
    <row r="84" spans="1:13" s="1329" customFormat="1" ht="24" customHeight="1">
      <c r="A84" s="1330"/>
      <c r="B84" s="1331" t="s">
        <v>1188</v>
      </c>
      <c r="C84" s="1349"/>
      <c r="D84" s="801"/>
      <c r="E84" s="1350">
        <v>2.7312246335491226</v>
      </c>
      <c r="F84" s="867" t="s">
        <v>240</v>
      </c>
      <c r="G84" s="1351">
        <v>4040</v>
      </c>
      <c r="H84" s="864">
        <f t="shared" si="20"/>
        <v>11034</v>
      </c>
      <c r="I84" s="865">
        <v>350</v>
      </c>
      <c r="J84" s="864">
        <f t="shared" si="21"/>
        <v>956</v>
      </c>
      <c r="K84" s="867">
        <f t="shared" si="22"/>
        <v>11990</v>
      </c>
      <c r="L84" s="2273" t="s">
        <v>2974</v>
      </c>
      <c r="M84" s="1328"/>
    </row>
    <row r="85" spans="1:13" s="1329" customFormat="1" ht="24" customHeight="1">
      <c r="A85" s="1330" t="s">
        <v>1930</v>
      </c>
      <c r="B85" s="1331" t="s">
        <v>1931</v>
      </c>
      <c r="C85" s="1349"/>
      <c r="D85" s="801"/>
      <c r="E85" s="1350"/>
      <c r="F85" s="867"/>
      <c r="G85" s="1249"/>
      <c r="H85" s="864"/>
      <c r="I85" s="865"/>
      <c r="J85" s="864"/>
      <c r="K85" s="867"/>
      <c r="L85" s="867"/>
      <c r="M85" s="1328"/>
    </row>
    <row r="86" spans="1:13" s="1329" customFormat="1" ht="24" customHeight="1">
      <c r="A86" s="1330"/>
      <c r="B86" s="1331" t="s">
        <v>1189</v>
      </c>
      <c r="C86" s="1349"/>
      <c r="D86" s="801"/>
      <c r="E86" s="1350">
        <v>17.297756012477777</v>
      </c>
      <c r="F86" s="867" t="s">
        <v>240</v>
      </c>
      <c r="G86" s="1351">
        <v>1862</v>
      </c>
      <c r="H86" s="864">
        <f t="shared" si="20"/>
        <v>32208</v>
      </c>
      <c r="I86" s="865">
        <v>500</v>
      </c>
      <c r="J86" s="864">
        <f t="shared" ref="J86:J93" si="23">ROUND(E86*I86,)</f>
        <v>8649</v>
      </c>
      <c r="K86" s="867">
        <f t="shared" ref="K86:K93" si="24">H86+J86</f>
        <v>40857</v>
      </c>
      <c r="L86" s="867"/>
      <c r="M86" s="1328"/>
    </row>
    <row r="87" spans="1:13" s="1329" customFormat="1" ht="24" customHeight="1">
      <c r="A87" s="1330"/>
      <c r="B87" s="1331" t="s">
        <v>1190</v>
      </c>
      <c r="C87" s="1349"/>
      <c r="D87" s="801"/>
      <c r="E87" s="1350">
        <v>30.043470969040349</v>
      </c>
      <c r="F87" s="867" t="s">
        <v>240</v>
      </c>
      <c r="G87" s="1351">
        <v>2159</v>
      </c>
      <c r="H87" s="864">
        <f t="shared" si="20"/>
        <v>64864</v>
      </c>
      <c r="I87" s="865">
        <v>600</v>
      </c>
      <c r="J87" s="864">
        <f t="shared" si="23"/>
        <v>18026</v>
      </c>
      <c r="K87" s="867">
        <f t="shared" si="24"/>
        <v>82890</v>
      </c>
      <c r="L87" s="867"/>
      <c r="M87" s="1328"/>
    </row>
    <row r="88" spans="1:13" s="1329" customFormat="1" ht="24" customHeight="1">
      <c r="A88" s="1330"/>
      <c r="B88" s="1331" t="s">
        <v>1674</v>
      </c>
      <c r="C88" s="1349"/>
      <c r="D88" s="801"/>
      <c r="E88" s="1350">
        <v>64.63898299399591</v>
      </c>
      <c r="F88" s="867" t="s">
        <v>240</v>
      </c>
      <c r="G88" s="1351">
        <v>2657</v>
      </c>
      <c r="H88" s="864">
        <f t="shared" si="20"/>
        <v>171746</v>
      </c>
      <c r="I88" s="865">
        <v>800</v>
      </c>
      <c r="J88" s="864">
        <f t="shared" si="23"/>
        <v>51711</v>
      </c>
      <c r="K88" s="867">
        <f t="shared" si="24"/>
        <v>223457</v>
      </c>
      <c r="L88" s="973"/>
      <c r="M88" s="1328"/>
    </row>
    <row r="89" spans="1:13" s="1329" customFormat="1" ht="24" customHeight="1">
      <c r="A89" s="1330"/>
      <c r="B89" s="1331" t="s">
        <v>1675</v>
      </c>
      <c r="C89" s="1349"/>
      <c r="D89" s="801"/>
      <c r="E89" s="1350">
        <v>6.8280615838728078</v>
      </c>
      <c r="F89" s="867" t="s">
        <v>240</v>
      </c>
      <c r="G89" s="1351">
        <v>4205</v>
      </c>
      <c r="H89" s="864">
        <f t="shared" si="20"/>
        <v>28712</v>
      </c>
      <c r="I89" s="865">
        <v>1200</v>
      </c>
      <c r="J89" s="864">
        <f t="shared" si="23"/>
        <v>8194</v>
      </c>
      <c r="K89" s="867">
        <f t="shared" si="24"/>
        <v>36906</v>
      </c>
      <c r="L89" s="867"/>
      <c r="M89" s="1328"/>
    </row>
    <row r="90" spans="1:13" s="1329" customFormat="1" ht="24" customHeight="1">
      <c r="A90" s="1330"/>
      <c r="B90" s="1331" t="s">
        <v>1676</v>
      </c>
      <c r="C90" s="1349"/>
      <c r="D90" s="801"/>
      <c r="E90" s="1350">
        <v>5.4624492670982452</v>
      </c>
      <c r="F90" s="867" t="s">
        <v>240</v>
      </c>
      <c r="G90" s="1351">
        <v>7871</v>
      </c>
      <c r="H90" s="864">
        <f t="shared" si="20"/>
        <v>42995</v>
      </c>
      <c r="I90" s="865">
        <v>1600</v>
      </c>
      <c r="J90" s="864">
        <f t="shared" si="23"/>
        <v>8740</v>
      </c>
      <c r="K90" s="867">
        <f t="shared" si="24"/>
        <v>51735</v>
      </c>
      <c r="L90" s="973"/>
      <c r="M90" s="1328"/>
    </row>
    <row r="91" spans="1:13" s="1329" customFormat="1" ht="24" customHeight="1">
      <c r="A91" s="1330"/>
      <c r="B91" s="1331" t="s">
        <v>1790</v>
      </c>
      <c r="C91" s="1349"/>
      <c r="D91" s="801"/>
      <c r="E91" s="1350">
        <v>10.92489853419649</v>
      </c>
      <c r="F91" s="867" t="s">
        <v>240</v>
      </c>
      <c r="G91" s="1351">
        <v>15255</v>
      </c>
      <c r="H91" s="864">
        <f t="shared" si="20"/>
        <v>166659</v>
      </c>
      <c r="I91" s="865">
        <v>2000</v>
      </c>
      <c r="J91" s="864">
        <f t="shared" si="23"/>
        <v>21850</v>
      </c>
      <c r="K91" s="867">
        <f t="shared" si="24"/>
        <v>188509</v>
      </c>
      <c r="L91" s="867"/>
      <c r="M91" s="1328"/>
    </row>
    <row r="92" spans="1:13" s="1329" customFormat="1" ht="24" customHeight="1">
      <c r="A92" s="1330"/>
      <c r="B92" s="1331" t="s">
        <v>1932</v>
      </c>
      <c r="C92" s="1349"/>
      <c r="D92" s="801"/>
      <c r="E92" s="1350"/>
      <c r="F92" s="867" t="s">
        <v>240</v>
      </c>
      <c r="G92" s="1249">
        <v>35044</v>
      </c>
      <c r="H92" s="864">
        <f t="shared" si="20"/>
        <v>0</v>
      </c>
      <c r="I92" s="865">
        <v>2800</v>
      </c>
      <c r="J92" s="864">
        <f t="shared" si="23"/>
        <v>0</v>
      </c>
      <c r="K92" s="867">
        <f t="shared" si="24"/>
        <v>0</v>
      </c>
      <c r="L92" s="867"/>
      <c r="M92" s="1328"/>
    </row>
    <row r="93" spans="1:13" s="1329" customFormat="1" ht="24" customHeight="1">
      <c r="A93" s="1330"/>
      <c r="B93" s="1331" t="s">
        <v>1914</v>
      </c>
      <c r="C93" s="1349"/>
      <c r="D93" s="801"/>
      <c r="E93" s="1350">
        <v>6.3728574782812872</v>
      </c>
      <c r="F93" s="867" t="s">
        <v>240</v>
      </c>
      <c r="G93" s="1249">
        <v>61110</v>
      </c>
      <c r="H93" s="864">
        <f t="shared" si="20"/>
        <v>389445</v>
      </c>
      <c r="I93" s="865">
        <v>3200</v>
      </c>
      <c r="J93" s="864">
        <f t="shared" si="23"/>
        <v>20393</v>
      </c>
      <c r="K93" s="867">
        <f t="shared" si="24"/>
        <v>409838</v>
      </c>
      <c r="L93" s="867"/>
      <c r="M93" s="1328"/>
    </row>
    <row r="94" spans="1:13" s="1329" customFormat="1" ht="24" customHeight="1">
      <c r="A94" s="1330" t="s">
        <v>1933</v>
      </c>
      <c r="B94" s="1331" t="s">
        <v>1934</v>
      </c>
      <c r="C94" s="1349"/>
      <c r="D94" s="801"/>
      <c r="E94" s="1350"/>
      <c r="F94" s="867"/>
      <c r="G94" s="1249"/>
      <c r="H94" s="864"/>
      <c r="I94" s="865"/>
      <c r="J94" s="864"/>
      <c r="K94" s="867"/>
      <c r="L94" s="867"/>
      <c r="M94" s="1328"/>
    </row>
    <row r="95" spans="1:13" s="1329" customFormat="1" ht="24" customHeight="1">
      <c r="A95" s="1330"/>
      <c r="B95" s="1331" t="s">
        <v>1675</v>
      </c>
      <c r="C95" s="1349"/>
      <c r="D95" s="801"/>
      <c r="E95" s="1350"/>
      <c r="F95" s="867" t="s">
        <v>240</v>
      </c>
      <c r="G95" s="1351">
        <v>16435</v>
      </c>
      <c r="H95" s="864">
        <f t="shared" ref="H95:H96" si="25">ROUND(E95*G95,)</f>
        <v>0</v>
      </c>
      <c r="I95" s="865">
        <v>1200</v>
      </c>
      <c r="J95" s="864">
        <f t="shared" ref="J95:J96" si="26">ROUND(E95*I95,)</f>
        <v>0</v>
      </c>
      <c r="K95" s="867">
        <f t="shared" ref="K95:K96" si="27">H95+J95</f>
        <v>0</v>
      </c>
      <c r="L95" s="867"/>
      <c r="M95" s="1328"/>
    </row>
    <row r="96" spans="1:13" s="1329" customFormat="1" ht="24" customHeight="1">
      <c r="A96" s="1330"/>
      <c r="B96" s="1331" t="s">
        <v>1914</v>
      </c>
      <c r="C96" s="1349"/>
      <c r="D96" s="801"/>
      <c r="E96" s="1350">
        <v>12.745714956562574</v>
      </c>
      <c r="F96" s="867" t="s">
        <v>240</v>
      </c>
      <c r="G96" s="1249">
        <v>112665</v>
      </c>
      <c r="H96" s="864">
        <f t="shared" si="25"/>
        <v>1435996</v>
      </c>
      <c r="I96" s="865">
        <v>3600</v>
      </c>
      <c r="J96" s="864">
        <f t="shared" si="26"/>
        <v>45885</v>
      </c>
      <c r="K96" s="867">
        <f t="shared" si="27"/>
        <v>1481881</v>
      </c>
      <c r="L96" s="867"/>
      <c r="M96" s="1328"/>
    </row>
    <row r="97" spans="1:13" s="1329" customFormat="1" ht="24" customHeight="1">
      <c r="A97" s="1330" t="s">
        <v>1935</v>
      </c>
      <c r="B97" s="1331" t="s">
        <v>1936</v>
      </c>
      <c r="C97" s="1349"/>
      <c r="D97" s="801"/>
      <c r="E97" s="1350"/>
      <c r="F97" s="867"/>
      <c r="G97" s="1249"/>
      <c r="H97" s="864"/>
      <c r="I97" s="865"/>
      <c r="J97" s="864"/>
      <c r="K97" s="867"/>
      <c r="L97" s="867"/>
      <c r="M97" s="1328"/>
    </row>
    <row r="98" spans="1:13" s="1329" customFormat="1" ht="24" customHeight="1">
      <c r="A98" s="1330"/>
      <c r="B98" s="1331" t="s">
        <v>1186</v>
      </c>
      <c r="C98" s="1349"/>
      <c r="D98" s="801"/>
      <c r="E98" s="1350"/>
      <c r="F98" s="867" t="s">
        <v>240</v>
      </c>
      <c r="G98" s="1249">
        <v>2653</v>
      </c>
      <c r="H98" s="864">
        <f t="shared" si="20"/>
        <v>0</v>
      </c>
      <c r="I98" s="865">
        <v>250</v>
      </c>
      <c r="J98" s="864">
        <f t="shared" ref="J98:J106" si="28">ROUND(E98*I98,)</f>
        <v>0</v>
      </c>
      <c r="K98" s="867">
        <f t="shared" ref="K98:K106" si="29">H98+J98</f>
        <v>0</v>
      </c>
      <c r="L98" s="973"/>
      <c r="M98" s="1328"/>
    </row>
    <row r="99" spans="1:13" s="1329" customFormat="1" ht="24" customHeight="1">
      <c r="A99" s="1330"/>
      <c r="B99" s="1331" t="s">
        <v>1188</v>
      </c>
      <c r="C99" s="1349"/>
      <c r="D99" s="801"/>
      <c r="E99" s="1350"/>
      <c r="F99" s="867" t="s">
        <v>240</v>
      </c>
      <c r="G99" s="1351">
        <v>4403</v>
      </c>
      <c r="H99" s="864">
        <f t="shared" si="20"/>
        <v>0</v>
      </c>
      <c r="I99" s="865">
        <v>400</v>
      </c>
      <c r="J99" s="864">
        <f t="shared" si="28"/>
        <v>0</v>
      </c>
      <c r="K99" s="867">
        <f t="shared" si="29"/>
        <v>0</v>
      </c>
      <c r="L99" s="867"/>
      <c r="M99" s="1328"/>
    </row>
    <row r="100" spans="1:13" s="1329" customFormat="1" ht="24" customHeight="1">
      <c r="A100" s="1330"/>
      <c r="B100" s="1331" t="s">
        <v>1189</v>
      </c>
      <c r="C100" s="1349"/>
      <c r="D100" s="801"/>
      <c r="E100" s="1350"/>
      <c r="F100" s="867" t="s">
        <v>240</v>
      </c>
      <c r="G100" s="1351">
        <v>9996</v>
      </c>
      <c r="H100" s="864">
        <f t="shared" si="20"/>
        <v>0</v>
      </c>
      <c r="I100" s="865">
        <v>500</v>
      </c>
      <c r="J100" s="864">
        <f t="shared" si="28"/>
        <v>0</v>
      </c>
      <c r="K100" s="867">
        <f t="shared" si="29"/>
        <v>0</v>
      </c>
      <c r="L100" s="867"/>
      <c r="M100" s="1328"/>
    </row>
    <row r="101" spans="1:13" s="1329" customFormat="1" ht="24" customHeight="1">
      <c r="A101" s="1330"/>
      <c r="B101" s="1331" t="s">
        <v>1190</v>
      </c>
      <c r="C101" s="1349"/>
      <c r="D101" s="801"/>
      <c r="E101" s="1350"/>
      <c r="F101" s="867" t="s">
        <v>240</v>
      </c>
      <c r="G101" s="1249">
        <v>13874</v>
      </c>
      <c r="H101" s="864">
        <f t="shared" si="20"/>
        <v>0</v>
      </c>
      <c r="I101" s="865">
        <v>600</v>
      </c>
      <c r="J101" s="864">
        <f t="shared" si="28"/>
        <v>0</v>
      </c>
      <c r="K101" s="867">
        <f t="shared" si="29"/>
        <v>0</v>
      </c>
      <c r="L101" s="867"/>
      <c r="M101" s="1328"/>
    </row>
    <row r="102" spans="1:13" s="1329" customFormat="1" ht="24" customHeight="1">
      <c r="A102" s="1330"/>
      <c r="B102" s="1331" t="s">
        <v>951</v>
      </c>
      <c r="C102" s="1349"/>
      <c r="D102" s="801"/>
      <c r="E102" s="1350"/>
      <c r="F102" s="867" t="s">
        <v>240</v>
      </c>
      <c r="G102" s="1351">
        <v>17829</v>
      </c>
      <c r="H102" s="864">
        <f t="shared" si="20"/>
        <v>0</v>
      </c>
      <c r="I102" s="865">
        <v>800</v>
      </c>
      <c r="J102" s="864">
        <f t="shared" si="28"/>
        <v>0</v>
      </c>
      <c r="K102" s="867">
        <f t="shared" si="29"/>
        <v>0</v>
      </c>
      <c r="L102" s="867"/>
      <c r="M102" s="1328"/>
    </row>
    <row r="103" spans="1:13" s="1329" customFormat="1" ht="24" customHeight="1">
      <c r="A103" s="1330"/>
      <c r="B103" s="1331" t="s">
        <v>1675</v>
      </c>
      <c r="C103" s="1349"/>
      <c r="D103" s="801"/>
      <c r="E103" s="1350"/>
      <c r="F103" s="867" t="s">
        <v>240</v>
      </c>
      <c r="G103" s="1249">
        <v>24556</v>
      </c>
      <c r="H103" s="864">
        <f t="shared" si="20"/>
        <v>0</v>
      </c>
      <c r="I103" s="865">
        <v>1200</v>
      </c>
      <c r="J103" s="864">
        <f t="shared" si="28"/>
        <v>0</v>
      </c>
      <c r="K103" s="867">
        <f t="shared" si="29"/>
        <v>0</v>
      </c>
      <c r="L103" s="867"/>
      <c r="M103" s="1328"/>
    </row>
    <row r="104" spans="1:13" s="1329" customFormat="1" ht="24" customHeight="1">
      <c r="A104" s="1330"/>
      <c r="B104" s="1331" t="s">
        <v>1676</v>
      </c>
      <c r="C104" s="1349"/>
      <c r="D104" s="801"/>
      <c r="E104" s="1350"/>
      <c r="F104" s="867" t="s">
        <v>240</v>
      </c>
      <c r="G104" s="1249">
        <v>61754</v>
      </c>
      <c r="H104" s="864">
        <f t="shared" si="20"/>
        <v>0</v>
      </c>
      <c r="I104" s="865">
        <v>1600</v>
      </c>
      <c r="J104" s="864">
        <f t="shared" si="28"/>
        <v>0</v>
      </c>
      <c r="K104" s="867">
        <f t="shared" si="29"/>
        <v>0</v>
      </c>
      <c r="L104" s="867"/>
      <c r="M104" s="1328"/>
    </row>
    <row r="105" spans="1:13" s="1329" customFormat="1" ht="24" customHeight="1">
      <c r="A105" s="1330"/>
      <c r="B105" s="1331" t="s">
        <v>1790</v>
      </c>
      <c r="C105" s="1349"/>
      <c r="D105" s="801"/>
      <c r="E105" s="1350"/>
      <c r="F105" s="867" t="s">
        <v>240</v>
      </c>
      <c r="G105" s="1249">
        <v>95186</v>
      </c>
      <c r="H105" s="864">
        <f t="shared" si="20"/>
        <v>0</v>
      </c>
      <c r="I105" s="865">
        <v>2000</v>
      </c>
      <c r="J105" s="864">
        <f t="shared" si="28"/>
        <v>0</v>
      </c>
      <c r="K105" s="867">
        <f t="shared" si="29"/>
        <v>0</v>
      </c>
      <c r="L105" s="867"/>
      <c r="M105" s="1328"/>
    </row>
    <row r="106" spans="1:13" s="1329" customFormat="1" ht="24" customHeight="1">
      <c r="A106" s="1330"/>
      <c r="B106" s="1331" t="s">
        <v>1914</v>
      </c>
      <c r="C106" s="1349"/>
      <c r="D106" s="801"/>
      <c r="E106" s="1350"/>
      <c r="F106" s="867" t="s">
        <v>240</v>
      </c>
      <c r="G106" s="1249">
        <v>230000</v>
      </c>
      <c r="H106" s="864">
        <f t="shared" si="20"/>
        <v>0</v>
      </c>
      <c r="I106" s="865">
        <v>3600</v>
      </c>
      <c r="J106" s="864">
        <f t="shared" si="28"/>
        <v>0</v>
      </c>
      <c r="K106" s="867">
        <f t="shared" si="29"/>
        <v>0</v>
      </c>
      <c r="L106" s="867"/>
      <c r="M106" s="1328"/>
    </row>
    <row r="107" spans="1:13" s="1329" customFormat="1" ht="24" customHeight="1">
      <c r="A107" s="1330" t="s">
        <v>1937</v>
      </c>
      <c r="B107" s="1331" t="s">
        <v>1938</v>
      </c>
      <c r="C107" s="1349"/>
      <c r="D107" s="801"/>
      <c r="E107" s="1350"/>
      <c r="F107" s="867"/>
      <c r="G107" s="1249"/>
      <c r="H107" s="864"/>
      <c r="I107" s="865"/>
      <c r="J107" s="864"/>
      <c r="K107" s="867"/>
      <c r="L107" s="867"/>
      <c r="M107" s="1328"/>
    </row>
    <row r="108" spans="1:13" s="1329" customFormat="1" ht="24" customHeight="1">
      <c r="A108" s="1330"/>
      <c r="B108" s="1331" t="s">
        <v>1676</v>
      </c>
      <c r="C108" s="1349"/>
      <c r="D108" s="801"/>
      <c r="E108" s="1350"/>
      <c r="F108" s="867" t="s">
        <v>240</v>
      </c>
      <c r="G108" s="1249">
        <v>13020</v>
      </c>
      <c r="H108" s="864">
        <f t="shared" ref="H108" si="30">ROUND(E108*G108,)</f>
        <v>0</v>
      </c>
      <c r="I108" s="865">
        <v>1600</v>
      </c>
      <c r="J108" s="864">
        <f t="shared" ref="J108" si="31">ROUND(E108*I108,)</f>
        <v>0</v>
      </c>
      <c r="K108" s="867">
        <f t="shared" ref="K108" si="32">H108+J108</f>
        <v>0</v>
      </c>
      <c r="L108" s="867"/>
      <c r="M108" s="1328"/>
    </row>
    <row r="109" spans="1:13" s="1329" customFormat="1" ht="24" customHeight="1">
      <c r="A109" s="1330"/>
      <c r="B109" s="1331"/>
      <c r="C109" s="1349"/>
      <c r="D109" s="801"/>
      <c r="E109" s="1350"/>
      <c r="F109" s="867"/>
      <c r="G109" s="1249"/>
      <c r="H109" s="864"/>
      <c r="I109" s="865"/>
      <c r="J109" s="864"/>
      <c r="K109" s="867"/>
      <c r="L109" s="867"/>
      <c r="M109" s="1328"/>
    </row>
    <row r="110" spans="1:13" s="1329" customFormat="1" ht="24" customHeight="1">
      <c r="A110" s="1330" t="s">
        <v>1939</v>
      </c>
      <c r="B110" s="1331" t="s">
        <v>1940</v>
      </c>
      <c r="C110" s="1349"/>
      <c r="D110" s="801"/>
      <c r="E110" s="1350"/>
      <c r="F110" s="867"/>
      <c r="G110" s="1249"/>
      <c r="H110" s="864"/>
      <c r="I110" s="865"/>
      <c r="J110" s="864"/>
      <c r="K110" s="867"/>
      <c r="L110" s="867"/>
      <c r="M110" s="1328"/>
    </row>
    <row r="111" spans="1:13" s="1329" customFormat="1" ht="24" customHeight="1">
      <c r="A111" s="1330"/>
      <c r="B111" s="1331" t="s">
        <v>1674</v>
      </c>
      <c r="C111" s="1349"/>
      <c r="D111" s="801"/>
      <c r="E111" s="1350">
        <v>0.91040821118304094</v>
      </c>
      <c r="F111" s="867" t="s">
        <v>240</v>
      </c>
      <c r="G111" s="1351">
        <v>7706</v>
      </c>
      <c r="H111" s="864">
        <f t="shared" si="20"/>
        <v>7016</v>
      </c>
      <c r="I111" s="865">
        <v>800</v>
      </c>
      <c r="J111" s="864">
        <f t="shared" ref="J111:J113" si="33">ROUND(E111*I111,)</f>
        <v>728</v>
      </c>
      <c r="K111" s="867">
        <f t="shared" ref="K111:K113" si="34">H111+J111</f>
        <v>7744</v>
      </c>
      <c r="L111" s="867"/>
      <c r="M111" s="1328"/>
    </row>
    <row r="112" spans="1:13" s="1329" customFormat="1" ht="24" customHeight="1">
      <c r="A112" s="1330"/>
      <c r="B112" s="1331" t="s">
        <v>1675</v>
      </c>
      <c r="C112" s="1349"/>
      <c r="D112" s="801"/>
      <c r="E112" s="1350"/>
      <c r="F112" s="867" t="s">
        <v>240</v>
      </c>
      <c r="G112" s="1351">
        <v>16269</v>
      </c>
      <c r="H112" s="864">
        <f t="shared" si="20"/>
        <v>0</v>
      </c>
      <c r="I112" s="865">
        <v>1200</v>
      </c>
      <c r="J112" s="864">
        <f t="shared" si="33"/>
        <v>0</v>
      </c>
      <c r="K112" s="867">
        <f t="shared" si="34"/>
        <v>0</v>
      </c>
      <c r="L112" s="867"/>
      <c r="M112" s="1328"/>
    </row>
    <row r="113" spans="1:13" s="1329" customFormat="1" ht="24" customHeight="1">
      <c r="A113" s="1330"/>
      <c r="B113" s="1331" t="s">
        <v>1676</v>
      </c>
      <c r="C113" s="1349"/>
      <c r="D113" s="801"/>
      <c r="E113" s="1350">
        <v>1.3656123167745613</v>
      </c>
      <c r="F113" s="867" t="s">
        <v>240</v>
      </c>
      <c r="G113" s="1351">
        <v>24181</v>
      </c>
      <c r="H113" s="864">
        <f t="shared" si="20"/>
        <v>33022</v>
      </c>
      <c r="I113" s="865">
        <v>1600</v>
      </c>
      <c r="J113" s="864">
        <f t="shared" si="33"/>
        <v>2185</v>
      </c>
      <c r="K113" s="867">
        <f t="shared" si="34"/>
        <v>35207</v>
      </c>
      <c r="L113" s="867"/>
      <c r="M113" s="1328"/>
    </row>
    <row r="114" spans="1:13" s="1329" customFormat="1" ht="24" customHeight="1">
      <c r="A114" s="1330" t="s">
        <v>1941</v>
      </c>
      <c r="B114" s="1331" t="s">
        <v>1942</v>
      </c>
      <c r="C114" s="1349"/>
      <c r="D114" s="801"/>
      <c r="E114" s="1350"/>
      <c r="F114" s="867"/>
      <c r="G114" s="1249"/>
      <c r="H114" s="864"/>
      <c r="I114" s="865"/>
      <c r="J114" s="864"/>
      <c r="K114" s="867"/>
      <c r="L114" s="867"/>
      <c r="M114" s="1328"/>
    </row>
    <row r="115" spans="1:13" s="1329" customFormat="1" ht="24" customHeight="1">
      <c r="A115" s="1330"/>
      <c r="B115" s="1331" t="s">
        <v>1676</v>
      </c>
      <c r="C115" s="1349"/>
      <c r="D115" s="801"/>
      <c r="E115" s="1350">
        <v>2.7312246335491226</v>
      </c>
      <c r="F115" s="867" t="s">
        <v>240</v>
      </c>
      <c r="G115" s="1249">
        <v>7730</v>
      </c>
      <c r="H115" s="864">
        <f t="shared" si="20"/>
        <v>21112</v>
      </c>
      <c r="I115" s="865">
        <v>1400</v>
      </c>
      <c r="J115" s="864">
        <f t="shared" ref="J115:J116" si="35">ROUND(E115*I115,)</f>
        <v>3824</v>
      </c>
      <c r="K115" s="867">
        <f t="shared" ref="K115:K116" si="36">H115+J115</f>
        <v>24936</v>
      </c>
      <c r="L115" s="867"/>
      <c r="M115" s="1328"/>
    </row>
    <row r="116" spans="1:13" s="1329" customFormat="1" ht="24" customHeight="1">
      <c r="A116" s="1330"/>
      <c r="B116" s="1331" t="s">
        <v>1914</v>
      </c>
      <c r="C116" s="1349"/>
      <c r="D116" s="801"/>
      <c r="E116" s="1350">
        <v>12.745714956562574</v>
      </c>
      <c r="F116" s="867" t="s">
        <v>240</v>
      </c>
      <c r="G116" s="1249">
        <v>30500</v>
      </c>
      <c r="H116" s="864">
        <f t="shared" si="20"/>
        <v>388744</v>
      </c>
      <c r="I116" s="865">
        <v>2500</v>
      </c>
      <c r="J116" s="864">
        <f t="shared" si="35"/>
        <v>31864</v>
      </c>
      <c r="K116" s="867">
        <f t="shared" si="36"/>
        <v>420608</v>
      </c>
      <c r="L116" s="867"/>
      <c r="M116" s="1328"/>
    </row>
    <row r="117" spans="1:13" s="1329" customFormat="1" ht="24" customHeight="1">
      <c r="A117" s="1330"/>
      <c r="B117" s="1331"/>
      <c r="C117" s="1349"/>
      <c r="D117" s="801"/>
      <c r="E117" s="1350"/>
      <c r="F117" s="867"/>
      <c r="G117" s="1249"/>
      <c r="H117" s="864"/>
      <c r="I117" s="865"/>
      <c r="J117" s="864"/>
      <c r="K117" s="867"/>
      <c r="L117" s="867"/>
      <c r="M117" s="1328"/>
    </row>
    <row r="118" spans="1:13" s="1329" customFormat="1" ht="24" customHeight="1">
      <c r="A118" s="1330" t="s">
        <v>1943</v>
      </c>
      <c r="B118" s="1331" t="s">
        <v>1765</v>
      </c>
      <c r="C118" s="1349"/>
      <c r="D118" s="801"/>
      <c r="E118" s="1350"/>
      <c r="F118" s="867"/>
      <c r="G118" s="1249"/>
      <c r="H118" s="864"/>
      <c r="I118" s="865"/>
      <c r="J118" s="864"/>
      <c r="K118" s="867"/>
      <c r="L118" s="867"/>
      <c r="M118" s="1328"/>
    </row>
    <row r="119" spans="1:13" s="1329" customFormat="1" ht="24" customHeight="1">
      <c r="A119" s="1330"/>
      <c r="B119" s="1331" t="s">
        <v>951</v>
      </c>
      <c r="C119" s="1349"/>
      <c r="D119" s="801"/>
      <c r="E119" s="1350">
        <v>2.7312246335491226</v>
      </c>
      <c r="F119" s="867" t="s">
        <v>240</v>
      </c>
      <c r="G119" s="1249">
        <v>20200</v>
      </c>
      <c r="H119" s="864">
        <f t="shared" ref="H119:H120" si="37">ROUND(E119*G119,)</f>
        <v>55171</v>
      </c>
      <c r="I119" s="865">
        <v>800</v>
      </c>
      <c r="J119" s="864">
        <f t="shared" ref="J119:J120" si="38">ROUND(E119*I119,)</f>
        <v>2185</v>
      </c>
      <c r="K119" s="867">
        <f t="shared" ref="K119:K120" si="39">H119+J119</f>
        <v>57356</v>
      </c>
      <c r="L119" s="973"/>
      <c r="M119" s="1328"/>
    </row>
    <row r="120" spans="1:13" s="1329" customFormat="1" ht="24" customHeight="1">
      <c r="A120" s="1330"/>
      <c r="B120" s="1331" t="s">
        <v>1809</v>
      </c>
      <c r="C120" s="1349"/>
      <c r="D120" s="801"/>
      <c r="E120" s="1350">
        <v>3.1864287391406436</v>
      </c>
      <c r="F120" s="867" t="s">
        <v>240</v>
      </c>
      <c r="G120" s="1249">
        <v>35300</v>
      </c>
      <c r="H120" s="864">
        <f t="shared" si="37"/>
        <v>112481</v>
      </c>
      <c r="I120" s="865">
        <v>1200</v>
      </c>
      <c r="J120" s="864">
        <f t="shared" si="38"/>
        <v>3824</v>
      </c>
      <c r="K120" s="867">
        <f t="shared" si="39"/>
        <v>116305</v>
      </c>
      <c r="L120" s="973"/>
      <c r="M120" s="1328"/>
    </row>
    <row r="121" spans="1:13" s="1329" customFormat="1" ht="24" customHeight="1">
      <c r="A121" s="1330" t="s">
        <v>1944</v>
      </c>
      <c r="B121" s="1331" t="s">
        <v>1656</v>
      </c>
      <c r="C121" s="1349"/>
      <c r="D121" s="801"/>
      <c r="E121" s="1350"/>
      <c r="F121" s="867"/>
      <c r="G121" s="1249"/>
      <c r="H121" s="864"/>
      <c r="I121" s="865"/>
      <c r="J121" s="864"/>
      <c r="K121" s="867"/>
      <c r="L121" s="867"/>
      <c r="M121" s="1328"/>
    </row>
    <row r="122" spans="1:13" s="1329" customFormat="1" ht="24" customHeight="1">
      <c r="A122" s="1330"/>
      <c r="B122" s="1331" t="s">
        <v>1185</v>
      </c>
      <c r="C122" s="1349"/>
      <c r="D122" s="801"/>
      <c r="E122" s="1350">
        <v>2</v>
      </c>
      <c r="F122" s="867" t="s">
        <v>240</v>
      </c>
      <c r="G122" s="1249">
        <v>2400</v>
      </c>
      <c r="H122" s="864">
        <f t="shared" si="20"/>
        <v>4800</v>
      </c>
      <c r="I122" s="865">
        <v>200</v>
      </c>
      <c r="J122" s="864">
        <f t="shared" ref="J122" si="40">ROUND(E122*I122,)</f>
        <v>400</v>
      </c>
      <c r="K122" s="867">
        <f t="shared" ref="K122" si="41">H122+J122</f>
        <v>5200</v>
      </c>
      <c r="L122" s="973"/>
      <c r="M122" s="1328"/>
    </row>
    <row r="123" spans="1:13" s="1329" customFormat="1" ht="24" customHeight="1">
      <c r="A123" s="1330" t="s">
        <v>1945</v>
      </c>
      <c r="B123" s="1331" t="s">
        <v>1658</v>
      </c>
      <c r="C123" s="1349"/>
      <c r="D123" s="801"/>
      <c r="E123" s="1350"/>
      <c r="F123" s="867" t="s">
        <v>240</v>
      </c>
      <c r="G123" s="1249"/>
      <c r="H123" s="864"/>
      <c r="I123" s="865"/>
      <c r="J123" s="864"/>
      <c r="K123" s="867"/>
      <c r="L123" s="867"/>
      <c r="M123" s="1328"/>
    </row>
    <row r="124" spans="1:13" s="1329" customFormat="1" ht="24" customHeight="1">
      <c r="A124" s="1330"/>
      <c r="B124" s="1331" t="s">
        <v>1185</v>
      </c>
      <c r="C124" s="1349"/>
      <c r="D124" s="801"/>
      <c r="E124" s="1350">
        <v>15.476939590111698</v>
      </c>
      <c r="F124" s="867" t="s">
        <v>240</v>
      </c>
      <c r="G124" s="1249">
        <v>440</v>
      </c>
      <c r="H124" s="864">
        <f t="shared" si="20"/>
        <v>6810</v>
      </c>
      <c r="I124" s="865">
        <v>200</v>
      </c>
      <c r="J124" s="864">
        <f t="shared" ref="J124:J125" si="42">ROUND(E124*I124,)</f>
        <v>3095</v>
      </c>
      <c r="K124" s="867">
        <f t="shared" ref="K124:K125" si="43">H124+J124</f>
        <v>9905</v>
      </c>
      <c r="L124" s="867"/>
      <c r="M124" s="1328"/>
    </row>
    <row r="125" spans="1:13" s="1329" customFormat="1" ht="24" customHeight="1">
      <c r="A125" s="1330" t="s">
        <v>1946</v>
      </c>
      <c r="B125" s="1331" t="s">
        <v>1717</v>
      </c>
      <c r="C125" s="1349"/>
      <c r="D125" s="801"/>
      <c r="E125" s="1350"/>
      <c r="F125" s="867" t="s">
        <v>240</v>
      </c>
      <c r="G125" s="1249">
        <v>1452</v>
      </c>
      <c r="H125" s="864">
        <f t="shared" si="20"/>
        <v>0</v>
      </c>
      <c r="I125" s="865">
        <v>100</v>
      </c>
      <c r="J125" s="864">
        <f t="shared" si="42"/>
        <v>0</v>
      </c>
      <c r="K125" s="867">
        <f t="shared" si="43"/>
        <v>0</v>
      </c>
      <c r="L125" s="867"/>
      <c r="M125" s="1328"/>
    </row>
    <row r="126" spans="1:13" s="1329" customFormat="1" ht="24" customHeight="1">
      <c r="A126" s="1330"/>
      <c r="B126" s="1331" t="s">
        <v>957</v>
      </c>
      <c r="C126" s="1349"/>
      <c r="D126" s="801"/>
      <c r="E126" s="966"/>
      <c r="F126" s="867"/>
      <c r="G126" s="1249"/>
      <c r="H126" s="864"/>
      <c r="I126" s="865"/>
      <c r="J126" s="864"/>
      <c r="K126" s="867"/>
      <c r="L126" s="867"/>
      <c r="M126" s="1328"/>
    </row>
    <row r="127" spans="1:13" s="1329" customFormat="1" ht="24" customHeight="1">
      <c r="A127" s="1166"/>
      <c r="B127" s="2475" t="s">
        <v>1947</v>
      </c>
      <c r="C127" s="2476"/>
      <c r="D127" s="2477"/>
      <c r="E127" s="1167"/>
      <c r="F127" s="1167"/>
      <c r="G127" s="1168"/>
      <c r="H127" s="1169">
        <f>SUM(H80:H126)</f>
        <v>2998075</v>
      </c>
      <c r="I127" s="1170"/>
      <c r="J127" s="1169">
        <f>SUM(J80:J126)</f>
        <v>235695</v>
      </c>
      <c r="K127" s="1171">
        <f>SUM(K80:K126)</f>
        <v>3233770</v>
      </c>
      <c r="L127" s="1171"/>
      <c r="M127" s="1328"/>
    </row>
    <row r="128" spans="1:13" s="1329" customFormat="1" ht="24" customHeight="1">
      <c r="A128" s="969">
        <v>7.5</v>
      </c>
      <c r="B128" s="1354" t="s">
        <v>1948</v>
      </c>
      <c r="C128" s="850"/>
      <c r="D128" s="859"/>
      <c r="E128" s="1344"/>
      <c r="F128" s="1344"/>
      <c r="G128" s="874"/>
      <c r="H128" s="854"/>
      <c r="I128" s="855"/>
      <c r="J128" s="854"/>
      <c r="K128" s="912"/>
      <c r="L128" s="912"/>
      <c r="M128" s="1328"/>
    </row>
    <row r="129" spans="1:13" s="1329" customFormat="1" ht="24" customHeight="1">
      <c r="A129" s="791" t="s">
        <v>1949</v>
      </c>
      <c r="B129" s="1127" t="s">
        <v>1950</v>
      </c>
      <c r="C129" s="1233"/>
      <c r="D129" s="792"/>
      <c r="E129" s="1345"/>
      <c r="F129" s="1345"/>
      <c r="G129" s="1140"/>
      <c r="H129" s="796"/>
      <c r="I129" s="797"/>
      <c r="J129" s="796"/>
      <c r="K129" s="914"/>
      <c r="L129" s="914"/>
      <c r="M129" s="1328"/>
    </row>
    <row r="130" spans="1:13" s="1329" customFormat="1" ht="24" customHeight="1">
      <c r="A130" s="791"/>
      <c r="B130" s="1127" t="s">
        <v>1951</v>
      </c>
      <c r="C130" s="1233"/>
      <c r="D130" s="792"/>
      <c r="E130" s="1345">
        <f>273+241</f>
        <v>514</v>
      </c>
      <c r="F130" s="794" t="s">
        <v>1952</v>
      </c>
      <c r="G130" s="1140">
        <v>314</v>
      </c>
      <c r="H130" s="796">
        <f t="shared" ref="H130:H134" si="44">ROUND(E130*G130,)</f>
        <v>161396</v>
      </c>
      <c r="I130" s="1140">
        <v>269</v>
      </c>
      <c r="J130" s="796">
        <f t="shared" ref="J130:J134" si="45">ROUND(E130*I130,)</f>
        <v>138266</v>
      </c>
      <c r="K130" s="914">
        <f t="shared" ref="K130:K134" si="46">H130+J130</f>
        <v>299662</v>
      </c>
      <c r="L130" s="914"/>
      <c r="M130" s="1328"/>
    </row>
    <row r="131" spans="1:13" s="1329" customFormat="1" ht="24" customHeight="1">
      <c r="A131" s="791"/>
      <c r="B131" s="1127" t="s">
        <v>1953</v>
      </c>
      <c r="C131" s="1233"/>
      <c r="D131" s="792"/>
      <c r="E131" s="1345">
        <v>603</v>
      </c>
      <c r="F131" s="794" t="s">
        <v>1952</v>
      </c>
      <c r="G131" s="1140">
        <v>381</v>
      </c>
      <c r="H131" s="796">
        <f t="shared" si="44"/>
        <v>229743</v>
      </c>
      <c r="I131" s="1140">
        <v>323</v>
      </c>
      <c r="J131" s="796">
        <f t="shared" si="45"/>
        <v>194769</v>
      </c>
      <c r="K131" s="914">
        <f t="shared" si="46"/>
        <v>424512</v>
      </c>
      <c r="L131" s="914"/>
      <c r="M131" s="1328"/>
    </row>
    <row r="132" spans="1:13" s="1329" customFormat="1" ht="24" customHeight="1">
      <c r="A132" s="791"/>
      <c r="B132" s="1127" t="s">
        <v>1954</v>
      </c>
      <c r="C132" s="1233"/>
      <c r="D132" s="792"/>
      <c r="E132" s="1345">
        <v>3897</v>
      </c>
      <c r="F132" s="794" t="s">
        <v>1952</v>
      </c>
      <c r="G132" s="1140">
        <v>443</v>
      </c>
      <c r="H132" s="796">
        <f t="shared" si="44"/>
        <v>1726371</v>
      </c>
      <c r="I132" s="1140">
        <v>377</v>
      </c>
      <c r="J132" s="796">
        <f t="shared" si="45"/>
        <v>1469169</v>
      </c>
      <c r="K132" s="914">
        <f t="shared" si="46"/>
        <v>3195540</v>
      </c>
      <c r="L132" s="914"/>
      <c r="M132" s="1328"/>
    </row>
    <row r="133" spans="1:13" s="1329" customFormat="1" ht="24" customHeight="1">
      <c r="A133" s="791"/>
      <c r="B133" s="1331" t="s">
        <v>1645</v>
      </c>
      <c r="C133" s="1349"/>
      <c r="D133" s="801"/>
      <c r="E133" s="966">
        <v>1</v>
      </c>
      <c r="F133" s="867" t="s">
        <v>948</v>
      </c>
      <c r="G133" s="1348">
        <f>ROUND(SUM(H130:H132)*40%,)</f>
        <v>847004</v>
      </c>
      <c r="H133" s="864">
        <f t="shared" si="44"/>
        <v>847004</v>
      </c>
      <c r="I133" s="906">
        <f>ROUND(G133*30%,)</f>
        <v>254101</v>
      </c>
      <c r="J133" s="864">
        <f t="shared" si="45"/>
        <v>254101</v>
      </c>
      <c r="K133" s="867">
        <f t="shared" si="46"/>
        <v>1101105</v>
      </c>
      <c r="L133" s="914"/>
      <c r="M133" s="1328"/>
    </row>
    <row r="134" spans="1:13" s="1329" customFormat="1" ht="24" customHeight="1">
      <c r="A134" s="791"/>
      <c r="B134" s="1331" t="s">
        <v>1646</v>
      </c>
      <c r="C134" s="1349"/>
      <c r="D134" s="801"/>
      <c r="E134" s="966">
        <v>1</v>
      </c>
      <c r="F134" s="966" t="s">
        <v>948</v>
      </c>
      <c r="G134" s="1348">
        <f>ROUND(SUM(H130:H132)*15%,)</f>
        <v>317627</v>
      </c>
      <c r="H134" s="864">
        <f t="shared" si="44"/>
        <v>317627</v>
      </c>
      <c r="I134" s="906">
        <f>ROUND(G134*30%,)</f>
        <v>95288</v>
      </c>
      <c r="J134" s="864">
        <f t="shared" si="45"/>
        <v>95288</v>
      </c>
      <c r="K134" s="867">
        <f t="shared" si="46"/>
        <v>412915</v>
      </c>
      <c r="L134" s="914"/>
      <c r="M134" s="1328"/>
    </row>
    <row r="135" spans="1:13" s="1329" customFormat="1" ht="24" customHeight="1">
      <c r="A135" s="791" t="s">
        <v>1955</v>
      </c>
      <c r="B135" s="1331" t="s">
        <v>1956</v>
      </c>
      <c r="C135" s="1349"/>
      <c r="D135" s="890"/>
      <c r="E135" s="966"/>
      <c r="F135" s="903"/>
      <c r="G135" s="1249"/>
      <c r="H135" s="905"/>
      <c r="I135" s="906"/>
      <c r="J135" s="864"/>
      <c r="K135" s="867"/>
      <c r="L135" s="903"/>
      <c r="M135" s="1328"/>
    </row>
    <row r="136" spans="1:13" s="1329" customFormat="1" ht="24" customHeight="1">
      <c r="A136" s="1355"/>
      <c r="B136" s="1331" t="s">
        <v>1957</v>
      </c>
      <c r="C136" s="1349"/>
      <c r="D136" s="890"/>
      <c r="E136" s="966">
        <v>241</v>
      </c>
      <c r="F136" s="903" t="s">
        <v>438</v>
      </c>
      <c r="G136" s="1249">
        <v>407</v>
      </c>
      <c r="H136" s="864">
        <f t="shared" ref="H136" si="47">ROUND(E136*G136,)</f>
        <v>98087</v>
      </c>
      <c r="I136" s="1249">
        <v>376</v>
      </c>
      <c r="J136" s="864">
        <f t="shared" ref="J136" si="48">ROUND(E136*I136,)</f>
        <v>90616</v>
      </c>
      <c r="K136" s="867">
        <f t="shared" ref="K136" si="49">H136+J136</f>
        <v>188703</v>
      </c>
      <c r="L136" s="867"/>
      <c r="M136" s="1328"/>
    </row>
    <row r="137" spans="1:13" s="1329" customFormat="1" ht="24" customHeight="1">
      <c r="A137" s="1038"/>
      <c r="B137" s="1127" t="s">
        <v>957</v>
      </c>
      <c r="C137" s="1233"/>
      <c r="D137" s="792"/>
      <c r="E137" s="1345"/>
      <c r="F137" s="794"/>
      <c r="G137" s="1140"/>
      <c r="H137" s="796"/>
      <c r="I137" s="797"/>
      <c r="J137" s="796"/>
      <c r="K137" s="914"/>
      <c r="L137" s="914"/>
      <c r="M137" s="1328"/>
    </row>
    <row r="138" spans="1:13" s="1329" customFormat="1" ht="24" customHeight="1">
      <c r="A138" s="1038"/>
      <c r="B138" s="1127" t="s">
        <v>958</v>
      </c>
      <c r="C138" s="1233"/>
      <c r="D138" s="792"/>
      <c r="E138" s="1345"/>
      <c r="F138" s="794"/>
      <c r="G138" s="1140"/>
      <c r="H138" s="796"/>
      <c r="I138" s="797"/>
      <c r="J138" s="796"/>
      <c r="K138" s="914"/>
      <c r="L138" s="914"/>
      <c r="M138" s="1328"/>
    </row>
    <row r="139" spans="1:13" s="714" customFormat="1" ht="24" customHeight="1">
      <c r="A139" s="1166"/>
      <c r="B139" s="2475" t="s">
        <v>1958</v>
      </c>
      <c r="C139" s="2476"/>
      <c r="D139" s="2477"/>
      <c r="E139" s="1167"/>
      <c r="F139" s="1167"/>
      <c r="G139" s="1168"/>
      <c r="H139" s="1169">
        <f>SUM(H129:H138)</f>
        <v>3380228</v>
      </c>
      <c r="I139" s="1170"/>
      <c r="J139" s="1169">
        <f>SUM(J129:J138)</f>
        <v>2242209</v>
      </c>
      <c r="K139" s="1171">
        <f>SUM(K129:K138)</f>
        <v>5622437</v>
      </c>
      <c r="L139" s="1171"/>
      <c r="M139" s="1322"/>
    </row>
    <row r="140" spans="1:13" s="1329" customFormat="1" ht="24" customHeight="1">
      <c r="A140" s="969">
        <v>7.6</v>
      </c>
      <c r="B140" s="1354" t="s">
        <v>1959</v>
      </c>
      <c r="C140" s="850"/>
      <c r="D140" s="859"/>
      <c r="E140" s="1344"/>
      <c r="F140" s="852"/>
      <c r="G140" s="874"/>
      <c r="H140" s="854"/>
      <c r="I140" s="855"/>
      <c r="J140" s="854"/>
      <c r="K140" s="912"/>
      <c r="L140" s="912"/>
      <c r="M140" s="1328"/>
    </row>
    <row r="141" spans="1:13" s="1329" customFormat="1" ht="24" customHeight="1">
      <c r="A141" s="791" t="s">
        <v>1960</v>
      </c>
      <c r="B141" s="1127" t="s">
        <v>1961</v>
      </c>
      <c r="C141" s="1233"/>
      <c r="D141" s="792"/>
      <c r="E141" s="1345"/>
      <c r="F141" s="794"/>
      <c r="G141" s="1140"/>
      <c r="H141" s="796"/>
      <c r="I141" s="797"/>
      <c r="J141" s="796"/>
      <c r="K141" s="914"/>
      <c r="L141" s="914"/>
      <c r="M141" s="1328"/>
    </row>
    <row r="142" spans="1:13" s="1329" customFormat="1" ht="24" customHeight="1">
      <c r="A142" s="1038"/>
      <c r="B142" s="1127" t="s">
        <v>1962</v>
      </c>
      <c r="C142" s="1233"/>
      <c r="D142" s="792" t="s">
        <v>1963</v>
      </c>
      <c r="E142" s="1345">
        <f>SUM(E130:E132)</f>
        <v>5014</v>
      </c>
      <c r="F142" s="794" t="s">
        <v>1952</v>
      </c>
      <c r="G142" s="1140">
        <v>148</v>
      </c>
      <c r="H142" s="796">
        <f t="shared" ref="H142:H143" si="50">ROUND(E142*G142,)</f>
        <v>742072</v>
      </c>
      <c r="I142" s="797">
        <v>45</v>
      </c>
      <c r="J142" s="796">
        <f t="shared" ref="J142:J143" si="51">ROUND(E142*I142,)</f>
        <v>225630</v>
      </c>
      <c r="K142" s="914">
        <f t="shared" ref="K142:K143" si="52">H142+J142</f>
        <v>967702</v>
      </c>
      <c r="L142" s="914"/>
      <c r="M142" s="1328"/>
    </row>
    <row r="143" spans="1:13" s="1329" customFormat="1" ht="24" customHeight="1">
      <c r="A143" s="791" t="s">
        <v>1964</v>
      </c>
      <c r="B143" s="1127" t="s">
        <v>1965</v>
      </c>
      <c r="C143" s="1233"/>
      <c r="D143" s="792"/>
      <c r="E143" s="1345">
        <v>1</v>
      </c>
      <c r="F143" s="794" t="s">
        <v>948</v>
      </c>
      <c r="G143" s="1140">
        <v>222520</v>
      </c>
      <c r="H143" s="796">
        <f t="shared" si="50"/>
        <v>222520</v>
      </c>
      <c r="I143" s="797">
        <v>83445</v>
      </c>
      <c r="J143" s="796">
        <f t="shared" si="51"/>
        <v>83445</v>
      </c>
      <c r="K143" s="914">
        <f t="shared" si="52"/>
        <v>305965</v>
      </c>
      <c r="L143" s="914"/>
      <c r="M143" s="1328"/>
    </row>
    <row r="144" spans="1:13" s="1329" customFormat="1" ht="24" customHeight="1">
      <c r="A144" s="1038"/>
      <c r="B144" s="1127" t="s">
        <v>957</v>
      </c>
      <c r="C144" s="1233"/>
      <c r="D144" s="792"/>
      <c r="E144" s="1345"/>
      <c r="F144" s="794"/>
      <c r="G144" s="1140"/>
      <c r="H144" s="796"/>
      <c r="I144" s="797"/>
      <c r="J144" s="796"/>
      <c r="K144" s="914"/>
      <c r="L144" s="914"/>
      <c r="M144" s="1328"/>
    </row>
    <row r="145" spans="1:13" s="1329" customFormat="1" ht="24" customHeight="1">
      <c r="A145" s="1166"/>
      <c r="B145" s="2475" t="s">
        <v>1966</v>
      </c>
      <c r="C145" s="2476"/>
      <c r="D145" s="2477"/>
      <c r="E145" s="1167"/>
      <c r="F145" s="1167"/>
      <c r="G145" s="1168"/>
      <c r="H145" s="1169">
        <f>SUM(H141:H144)</f>
        <v>964592</v>
      </c>
      <c r="I145" s="1170"/>
      <c r="J145" s="1169">
        <f>SUM(J141:J144)</f>
        <v>309075</v>
      </c>
      <c r="K145" s="1171">
        <f>SUM(K141:K144)</f>
        <v>1273667</v>
      </c>
      <c r="L145" s="1171"/>
      <c r="M145" s="1328"/>
    </row>
    <row r="146" spans="1:13" s="1329" customFormat="1" ht="24" customHeight="1">
      <c r="A146" s="969" t="s">
        <v>1967</v>
      </c>
      <c r="B146" s="1354" t="s">
        <v>1968</v>
      </c>
      <c r="C146" s="850"/>
      <c r="D146" s="859"/>
      <c r="E146" s="1344"/>
      <c r="F146" s="852"/>
      <c r="G146" s="874"/>
      <c r="H146" s="854"/>
      <c r="I146" s="855"/>
      <c r="J146" s="854"/>
      <c r="K146" s="912"/>
      <c r="L146" s="912"/>
      <c r="M146" s="1328"/>
    </row>
    <row r="147" spans="1:13" s="1329" customFormat="1" ht="24" customHeight="1">
      <c r="A147" s="791" t="s">
        <v>1969</v>
      </c>
      <c r="B147" s="1127" t="s">
        <v>1970</v>
      </c>
      <c r="C147" s="1233"/>
      <c r="D147" s="792"/>
      <c r="E147" s="1345"/>
      <c r="F147" s="794"/>
      <c r="G147" s="1140"/>
      <c r="H147" s="796"/>
      <c r="I147" s="797"/>
      <c r="J147" s="796"/>
      <c r="K147" s="914"/>
      <c r="L147" s="914"/>
      <c r="M147" s="1328"/>
    </row>
    <row r="148" spans="1:13" s="1329" customFormat="1" ht="24" customHeight="1">
      <c r="A148" s="791"/>
      <c r="B148" s="1127" t="s">
        <v>1971</v>
      </c>
      <c r="C148" s="1233"/>
      <c r="D148" s="792"/>
      <c r="E148" s="1345">
        <v>20</v>
      </c>
      <c r="F148" s="794" t="str">
        <f t="shared" ref="F148:F150" si="53">IF(E148="","","ชุด")</f>
        <v>ชุด</v>
      </c>
      <c r="G148" s="1250">
        <v>6050</v>
      </c>
      <c r="H148" s="796">
        <f t="shared" ref="H148:H150" si="54">ROUND(E148*G148,)</f>
        <v>121000</v>
      </c>
      <c r="I148" s="797">
        <v>500</v>
      </c>
      <c r="J148" s="796">
        <f t="shared" ref="J148:J150" si="55">ROUND(E148*I148,)</f>
        <v>10000</v>
      </c>
      <c r="K148" s="914">
        <f t="shared" ref="K148:K150" si="56">H148+J148</f>
        <v>131000</v>
      </c>
      <c r="L148" s="914"/>
      <c r="M148" s="1328"/>
    </row>
    <row r="149" spans="1:13" s="1329" customFormat="1" ht="24" customHeight="1">
      <c r="A149" s="791"/>
      <c r="B149" s="1127" t="s">
        <v>1972</v>
      </c>
      <c r="C149" s="1233"/>
      <c r="D149" s="792"/>
      <c r="E149" s="1345">
        <v>10</v>
      </c>
      <c r="F149" s="794" t="str">
        <f t="shared" si="53"/>
        <v>ชุด</v>
      </c>
      <c r="G149" s="1250">
        <v>6250</v>
      </c>
      <c r="H149" s="796">
        <f t="shared" si="54"/>
        <v>62500</v>
      </c>
      <c r="I149" s="797">
        <v>500</v>
      </c>
      <c r="J149" s="796">
        <f t="shared" si="55"/>
        <v>5000</v>
      </c>
      <c r="K149" s="914">
        <f t="shared" si="56"/>
        <v>67500</v>
      </c>
      <c r="L149" s="914"/>
      <c r="M149" s="1328"/>
    </row>
    <row r="150" spans="1:13" s="1329" customFormat="1" ht="24" customHeight="1">
      <c r="A150" s="791"/>
      <c r="B150" s="1127" t="s">
        <v>1973</v>
      </c>
      <c r="C150" s="1233"/>
      <c r="D150" s="792"/>
      <c r="E150" s="1345">
        <v>18</v>
      </c>
      <c r="F150" s="794" t="str">
        <f t="shared" si="53"/>
        <v>ชุด</v>
      </c>
      <c r="G150" s="1250">
        <v>13610</v>
      </c>
      <c r="H150" s="796">
        <f t="shared" si="54"/>
        <v>244980</v>
      </c>
      <c r="I150" s="797">
        <v>500</v>
      </c>
      <c r="J150" s="796">
        <f t="shared" si="55"/>
        <v>9000</v>
      </c>
      <c r="K150" s="914">
        <f t="shared" si="56"/>
        <v>253980</v>
      </c>
      <c r="L150" s="914"/>
      <c r="M150" s="1328"/>
    </row>
    <row r="151" spans="1:13" s="1329" customFormat="1" ht="24" customHeight="1">
      <c r="A151" s="791" t="s">
        <v>1974</v>
      </c>
      <c r="B151" s="1127" t="s">
        <v>1975</v>
      </c>
      <c r="C151" s="1233"/>
      <c r="D151" s="792"/>
      <c r="E151" s="1345"/>
      <c r="F151" s="794"/>
      <c r="G151" s="1250"/>
      <c r="H151" s="796"/>
      <c r="I151" s="797"/>
      <c r="J151" s="796"/>
      <c r="K151" s="914"/>
      <c r="L151" s="914"/>
      <c r="M151" s="1328"/>
    </row>
    <row r="152" spans="1:13" s="1329" customFormat="1" ht="24" customHeight="1">
      <c r="A152" s="791"/>
      <c r="B152" s="1127" t="s">
        <v>1976</v>
      </c>
      <c r="C152" s="1233"/>
      <c r="D152" s="792"/>
      <c r="E152" s="1345">
        <v>18</v>
      </c>
      <c r="F152" s="794" t="str">
        <f t="shared" ref="F152:F153" si="57">IF(E152="","","ชุด")</f>
        <v>ชุด</v>
      </c>
      <c r="G152" s="1250">
        <v>2290</v>
      </c>
      <c r="H152" s="796">
        <f t="shared" ref="H152:H153" si="58">ROUND(E152*G152,)</f>
        <v>41220</v>
      </c>
      <c r="I152" s="797">
        <v>500</v>
      </c>
      <c r="J152" s="796">
        <f t="shared" ref="J152:J153" si="59">ROUND(E152*I152,)</f>
        <v>9000</v>
      </c>
      <c r="K152" s="914">
        <f t="shared" ref="K152:K153" si="60">H152+J152</f>
        <v>50220</v>
      </c>
      <c r="L152" s="914"/>
      <c r="M152" s="1328"/>
    </row>
    <row r="153" spans="1:13" s="1329" customFormat="1" ht="24" customHeight="1">
      <c r="A153" s="791"/>
      <c r="B153" s="1127" t="s">
        <v>1977</v>
      </c>
      <c r="C153" s="1233"/>
      <c r="D153" s="792"/>
      <c r="E153" s="1345">
        <v>18</v>
      </c>
      <c r="F153" s="794" t="str">
        <f t="shared" si="57"/>
        <v>ชุด</v>
      </c>
      <c r="G153" s="1250">
        <v>750</v>
      </c>
      <c r="H153" s="796">
        <f t="shared" si="58"/>
        <v>13500</v>
      </c>
      <c r="I153" s="797">
        <v>500</v>
      </c>
      <c r="J153" s="796">
        <f t="shared" si="59"/>
        <v>9000</v>
      </c>
      <c r="K153" s="914">
        <f t="shared" si="60"/>
        <v>22500</v>
      </c>
      <c r="L153" s="914"/>
      <c r="M153" s="1328"/>
    </row>
    <row r="154" spans="1:13" s="1329" customFormat="1" ht="24" customHeight="1">
      <c r="A154" s="791"/>
      <c r="B154" s="1127" t="s">
        <v>957</v>
      </c>
      <c r="C154" s="1233"/>
      <c r="D154" s="792"/>
      <c r="E154" s="1345"/>
      <c r="F154" s="794"/>
      <c r="G154" s="1140"/>
      <c r="H154" s="796"/>
      <c r="I154" s="797"/>
      <c r="J154" s="796"/>
      <c r="K154" s="914"/>
      <c r="L154" s="914"/>
      <c r="M154" s="1328"/>
    </row>
    <row r="155" spans="1:13" s="1329" customFormat="1" ht="24" customHeight="1">
      <c r="A155" s="1166"/>
      <c r="B155" s="2475" t="s">
        <v>1978</v>
      </c>
      <c r="C155" s="2476"/>
      <c r="D155" s="2477"/>
      <c r="E155" s="1167"/>
      <c r="F155" s="1167"/>
      <c r="G155" s="1168"/>
      <c r="H155" s="1169">
        <f>SUM(H146:H154)</f>
        <v>483200</v>
      </c>
      <c r="I155" s="1170"/>
      <c r="J155" s="1169">
        <f>SUM(J146:J154)</f>
        <v>42000</v>
      </c>
      <c r="K155" s="1171">
        <f>SUM(K146:K154)</f>
        <v>525200</v>
      </c>
      <c r="L155" s="1171"/>
      <c r="M155" s="1328"/>
    </row>
    <row r="156" spans="1:13" s="714" customFormat="1" ht="24" customHeight="1">
      <c r="A156" s="1016">
        <v>7.8</v>
      </c>
      <c r="B156" s="1356" t="s">
        <v>1264</v>
      </c>
      <c r="C156" s="850"/>
      <c r="D156" s="859"/>
      <c r="E156" s="1344">
        <v>1</v>
      </c>
      <c r="F156" s="852" t="s">
        <v>948</v>
      </c>
      <c r="G156" s="874"/>
      <c r="H156" s="854">
        <f>ROUND(((6.58+9.02+1.4+4.45+1.6+1.4+4.5+1.6+1.4+1.4+1.16)*10+((0.65+2.66+5.75)*5))*1.2*4500,)</f>
        <v>2108160</v>
      </c>
      <c r="I156" s="855"/>
      <c r="J156" s="854" t="s">
        <v>974</v>
      </c>
      <c r="K156" s="912">
        <f>H156</f>
        <v>2108160</v>
      </c>
      <c r="L156" s="912"/>
      <c r="M156" s="1322"/>
    </row>
    <row r="157" spans="1:13" s="714" customFormat="1" ht="24" customHeight="1">
      <c r="A157" s="1016"/>
      <c r="B157" s="1356"/>
      <c r="C157" s="850"/>
      <c r="D157" s="859"/>
      <c r="E157" s="1344"/>
      <c r="F157" s="852"/>
      <c r="G157" s="874"/>
      <c r="H157" s="854"/>
      <c r="I157" s="855"/>
      <c r="J157" s="854"/>
      <c r="K157" s="912"/>
      <c r="L157" s="912"/>
      <c r="M157" s="1322"/>
    </row>
    <row r="158" spans="1:13" s="714" customFormat="1" ht="24" customHeight="1">
      <c r="A158" s="1016"/>
      <c r="B158" s="1356"/>
      <c r="C158" s="850"/>
      <c r="D158" s="859"/>
      <c r="E158" s="1344"/>
      <c r="F158" s="852"/>
      <c r="G158" s="874"/>
      <c r="H158" s="854"/>
      <c r="I158" s="855"/>
      <c r="J158" s="854"/>
      <c r="K158" s="912"/>
      <c r="L158" s="912"/>
      <c r="M158" s="1322"/>
    </row>
    <row r="159" spans="1:13" s="714" customFormat="1" ht="24" customHeight="1">
      <c r="A159" s="1166"/>
      <c r="B159" s="2475" t="s">
        <v>1983</v>
      </c>
      <c r="C159" s="2476"/>
      <c r="D159" s="2477"/>
      <c r="E159" s="1167"/>
      <c r="F159" s="1167"/>
      <c r="G159" s="1168"/>
      <c r="H159" s="1169">
        <f>SUM(H156:H158)</f>
        <v>2108160</v>
      </c>
      <c r="I159" s="1170"/>
      <c r="J159" s="1169" t="s">
        <v>974</v>
      </c>
      <c r="K159" s="1171">
        <f>SUM(K156:K158)</f>
        <v>2108160</v>
      </c>
      <c r="L159" s="1171"/>
      <c r="M159" s="1322"/>
    </row>
    <row r="160" spans="1:13" s="714" customFormat="1" ht="22.15" customHeight="1">
      <c r="A160" s="950"/>
      <c r="M160" s="1322"/>
    </row>
    <row r="161" spans="1:13" s="714" customFormat="1" ht="22.15" customHeight="1">
      <c r="A161" s="950"/>
      <c r="M161" s="1322"/>
    </row>
    <row r="162" spans="1:13" s="714" customFormat="1" ht="22.15" customHeight="1">
      <c r="A162" s="950"/>
      <c r="M162" s="1322"/>
    </row>
    <row r="163" spans="1:13" s="714" customFormat="1" ht="22.15" customHeight="1">
      <c r="A163" s="950"/>
      <c r="M163" s="1322"/>
    </row>
    <row r="164" spans="1:13" s="714" customFormat="1" ht="22.15" customHeight="1">
      <c r="A164" s="950"/>
      <c r="M164" s="1322"/>
    </row>
    <row r="165" spans="1:13" s="714" customFormat="1" ht="22.15" customHeight="1">
      <c r="A165" s="950"/>
      <c r="M165" s="1322"/>
    </row>
    <row r="166" spans="1:13" s="714" customFormat="1" ht="22.15" customHeight="1">
      <c r="A166" s="950"/>
      <c r="M166" s="1322"/>
    </row>
    <row r="167" spans="1:13" s="714" customFormat="1" ht="22.15" customHeight="1">
      <c r="A167" s="950"/>
      <c r="M167" s="1322"/>
    </row>
    <row r="168" spans="1:13" s="714" customFormat="1" ht="22.15" customHeight="1">
      <c r="A168" s="950"/>
      <c r="M168" s="1322"/>
    </row>
  </sheetData>
  <mergeCells count="17">
    <mergeCell ref="L7:L8"/>
    <mergeCell ref="A9:A10"/>
    <mergeCell ref="B9:D10"/>
    <mergeCell ref="E9:E10"/>
    <mergeCell ref="F9:F10"/>
    <mergeCell ref="G9:H9"/>
    <mergeCell ref="I9:J9"/>
    <mergeCell ref="L9:L10"/>
    <mergeCell ref="B145:D145"/>
    <mergeCell ref="B155:D155"/>
    <mergeCell ref="B159:D159"/>
    <mergeCell ref="B34:D34"/>
    <mergeCell ref="B46:D46"/>
    <mergeCell ref="B67:D67"/>
    <mergeCell ref="B78:D78"/>
    <mergeCell ref="B127:D127"/>
    <mergeCell ref="B139:D139"/>
  </mergeCells>
  <conditionalFormatting sqref="A136:G136 I136 L136">
    <cfRule type="expression" dxfId="1294" priority="2">
      <formula>SUMPRODUCT(--(ROW()=$O$12:$O$22))&gt;0</formula>
    </cfRule>
  </conditionalFormatting>
  <conditionalFormatting sqref="B135:L135">
    <cfRule type="expression" dxfId="1293" priority="1">
      <formula>SUMPRODUCT(--(ROW()=$O$12:$O$22))&gt;0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&amp;Rงานระบบปรับอากาศและระบายอากาศ(Main Equipment)-อาคารสนับนุน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66210-980E-4EF5-AA02-5C1CD1E39182}">
  <sheetPr>
    <tabColor rgb="FFFF00FF"/>
  </sheetPr>
  <dimension ref="A1:AC245"/>
  <sheetViews>
    <sheetView showGridLines="0" tabSelected="1" view="pageBreakPreview" topLeftCell="A196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6.703125" style="1" customWidth="1"/>
    <col min="5" max="5" width="14.703125" style="1" customWidth="1"/>
    <col min="6" max="6" width="10.703125" style="1" customWidth="1"/>
    <col min="7" max="7" width="14.703125" style="1" customWidth="1"/>
    <col min="8" max="8" width="18.703125" style="1" customWidth="1"/>
    <col min="9" max="9" width="14.703125" style="1" customWidth="1"/>
    <col min="10" max="10" width="18.703125" style="1" customWidth="1"/>
    <col min="11" max="11" width="20.703125" style="1" customWidth="1"/>
    <col min="12" max="12" width="25.703125" style="1" customWidth="1"/>
    <col min="13" max="13" width="16.1171875" style="1319" customWidth="1"/>
    <col min="14" max="14" width="8.41015625" style="1" customWidth="1"/>
    <col min="15" max="15" width="7.703125" style="1" customWidth="1"/>
    <col min="16" max="16" width="17" style="1" customWidth="1"/>
    <col min="17" max="81" width="7.703125" style="1" customWidth="1"/>
    <col min="82" max="16384" width="9" style="1"/>
  </cols>
  <sheetData>
    <row r="1" spans="1:15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5" ht="25.15" customHeight="1">
      <c r="A2" s="42" t="s">
        <v>2</v>
      </c>
      <c r="B2" s="33"/>
      <c r="C2" s="34"/>
      <c r="D2" s="11" t="s">
        <v>1900</v>
      </c>
      <c r="E2" s="34"/>
      <c r="F2" s="12"/>
      <c r="G2" s="12"/>
      <c r="H2" s="12"/>
      <c r="I2" s="12"/>
      <c r="J2" s="13"/>
      <c r="K2" s="12"/>
      <c r="L2" s="14"/>
    </row>
    <row r="3" spans="1:15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5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5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5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5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5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</row>
    <row r="9" spans="1:15" s="3" customFormat="1" ht="24" customHeight="1">
      <c r="A9" s="2430" t="s">
        <v>8</v>
      </c>
      <c r="B9" s="2432" t="s">
        <v>9</v>
      </c>
      <c r="C9" s="2433"/>
      <c r="D9" s="2433"/>
      <c r="E9" s="2438" t="s">
        <v>10</v>
      </c>
      <c r="F9" s="2487" t="s">
        <v>11</v>
      </c>
      <c r="G9" s="2489" t="s">
        <v>12</v>
      </c>
      <c r="H9" s="2490"/>
      <c r="I9" s="2491" t="s">
        <v>13</v>
      </c>
      <c r="J9" s="2441"/>
      <c r="K9" s="2259" t="s">
        <v>14</v>
      </c>
      <c r="L9" s="2442" t="s">
        <v>15</v>
      </c>
      <c r="M9" s="1320"/>
    </row>
    <row r="10" spans="1:15" s="3" customFormat="1" ht="24" customHeight="1">
      <c r="A10" s="2431"/>
      <c r="B10" s="2435"/>
      <c r="C10" s="2436"/>
      <c r="D10" s="2436"/>
      <c r="E10" s="2439"/>
      <c r="F10" s="2488"/>
      <c r="G10" s="1357" t="s">
        <v>16</v>
      </c>
      <c r="H10" s="2261" t="s">
        <v>17</v>
      </c>
      <c r="I10" s="1358" t="s">
        <v>16</v>
      </c>
      <c r="J10" s="2261" t="s">
        <v>17</v>
      </c>
      <c r="K10" s="1359" t="s">
        <v>18</v>
      </c>
      <c r="L10" s="2443"/>
      <c r="M10" s="1320"/>
    </row>
    <row r="11" spans="1:15" ht="24" customHeight="1">
      <c r="A11" s="1143" t="s">
        <v>244</v>
      </c>
      <c r="B11" s="1144" t="s">
        <v>1984</v>
      </c>
      <c r="C11" s="1208"/>
      <c r="D11" s="1360"/>
      <c r="E11" s="1146"/>
      <c r="F11" s="1361"/>
      <c r="G11" s="1362"/>
      <c r="H11" s="697"/>
      <c r="I11" s="1363"/>
      <c r="J11" s="1364"/>
      <c r="K11" s="1365"/>
      <c r="L11" s="1366"/>
    </row>
    <row r="12" spans="1:15" s="714" customFormat="1" ht="24" customHeight="1">
      <c r="A12" s="1147" t="str">
        <f>A35</f>
        <v>7.1</v>
      </c>
      <c r="B12" s="1127" t="str">
        <f>B35</f>
        <v>เครื่องส่งลมเย็นขนาดเล็ก (Fan Coil Unit)</v>
      </c>
      <c r="C12" s="1123"/>
      <c r="D12" s="1213"/>
      <c r="E12" s="1150">
        <v>1</v>
      </c>
      <c r="F12" s="1367" t="s">
        <v>19</v>
      </c>
      <c r="G12" s="1368"/>
      <c r="H12" s="711">
        <f>H45</f>
        <v>29212</v>
      </c>
      <c r="I12" s="1369"/>
      <c r="J12" s="1370">
        <f>J45</f>
        <v>3242</v>
      </c>
      <c r="K12" s="999">
        <f t="shared" ref="K12:K21" si="0">SUM(H12:J12)</f>
        <v>32454</v>
      </c>
      <c r="L12" s="830"/>
      <c r="M12" s="1322"/>
      <c r="N12" s="714" t="str">
        <f>"รวมราคารายการที่ "&amp;A12</f>
        <v>รวมราคารายการที่ 7.1</v>
      </c>
      <c r="O12" s="1323">
        <f t="array" ref="O12">MAX(IF($B$36:$B$925=N12,ROW($B$36:$B$925)))</f>
        <v>45</v>
      </c>
    </row>
    <row r="13" spans="1:15" s="714" customFormat="1" ht="24" customHeight="1">
      <c r="A13" s="1159" t="str">
        <f>A46</f>
        <v>7.2</v>
      </c>
      <c r="B13" s="1127" t="str">
        <f>B46</f>
        <v>อุปกรณ์ควบคุมอัตโนมัติ (Automatic Control Equipment)</v>
      </c>
      <c r="C13" s="1161"/>
      <c r="D13" s="1190"/>
      <c r="E13" s="1150">
        <v>1</v>
      </c>
      <c r="F13" s="1371" t="s">
        <v>19</v>
      </c>
      <c r="G13" s="1372"/>
      <c r="H13" s="711">
        <f>H59</f>
        <v>300600</v>
      </c>
      <c r="I13" s="1369"/>
      <c r="J13" s="1370">
        <f>J59</f>
        <v>4500</v>
      </c>
      <c r="K13" s="999">
        <f t="shared" si="0"/>
        <v>305100</v>
      </c>
      <c r="L13" s="830"/>
      <c r="M13" s="1322"/>
      <c r="N13" s="714" t="str">
        <f t="shared" ref="N13:N22" si="1">"รวมราคารายการที่ "&amp;A13</f>
        <v>รวมราคารายการที่ 7.2</v>
      </c>
      <c r="O13" s="1323">
        <f t="array" ref="O13">MAX(IF($B$36:$B$925=N13,ROW($B$36:$B$925)))</f>
        <v>59</v>
      </c>
    </row>
    <row r="14" spans="1:15" s="714" customFormat="1" ht="24" customHeight="1">
      <c r="A14" s="1147" t="str">
        <f>A60</f>
        <v>7.3</v>
      </c>
      <c r="B14" s="1127" t="str">
        <f>B60</f>
        <v>พัดลมระบายอากาศ (Ventilating Fan)</v>
      </c>
      <c r="C14" s="1123"/>
      <c r="D14" s="1213"/>
      <c r="E14" s="1150">
        <v>1</v>
      </c>
      <c r="F14" s="1367" t="s">
        <v>19</v>
      </c>
      <c r="G14" s="1368"/>
      <c r="H14" s="711">
        <f>H84</f>
        <v>4118110</v>
      </c>
      <c r="I14" s="1369"/>
      <c r="J14" s="1370">
        <f>J84</f>
        <v>357580</v>
      </c>
      <c r="K14" s="999">
        <f t="shared" si="0"/>
        <v>4475690</v>
      </c>
      <c r="L14" s="830"/>
      <c r="M14" s="1322"/>
      <c r="N14" s="714" t="str">
        <f t="shared" si="1"/>
        <v>รวมราคารายการที่ 7.3</v>
      </c>
      <c r="O14" s="1323">
        <f t="array" ref="O14">MAX(IF($B$36:$B$925=N14,ROW($B$36:$B$925)))</f>
        <v>84</v>
      </c>
    </row>
    <row r="15" spans="1:15" s="714" customFormat="1" ht="24" customHeight="1">
      <c r="A15" s="1147" t="str">
        <f>A85</f>
        <v>7.4</v>
      </c>
      <c r="B15" s="1127" t="str">
        <f>B85</f>
        <v>งานท่อ (Piping Work)</v>
      </c>
      <c r="C15" s="1123"/>
      <c r="D15" s="1213"/>
      <c r="E15" s="1150">
        <v>1</v>
      </c>
      <c r="F15" s="1367" t="s">
        <v>19</v>
      </c>
      <c r="G15" s="1368"/>
      <c r="H15" s="711">
        <f>H99</f>
        <v>24000</v>
      </c>
      <c r="I15" s="1369"/>
      <c r="J15" s="1370">
        <f>J99</f>
        <v>10085</v>
      </c>
      <c r="K15" s="999">
        <f t="shared" si="0"/>
        <v>34085</v>
      </c>
      <c r="L15" s="830"/>
      <c r="M15" s="1322"/>
      <c r="N15" s="714" t="str">
        <f t="shared" si="1"/>
        <v>รวมราคารายการที่ 7.4</v>
      </c>
      <c r="O15" s="1323">
        <f t="array" ref="O15">MAX(IF($B$36:$B$925=N15,ROW($B$36:$B$925)))</f>
        <v>99</v>
      </c>
    </row>
    <row r="16" spans="1:15" s="714" customFormat="1" ht="24" customHeight="1">
      <c r="A16" s="1373" t="str">
        <f>A100</f>
        <v>7.5</v>
      </c>
      <c r="B16" s="1127" t="str">
        <f>B100</f>
        <v>ฉนวนหุ้มท่อ (Pipe Insulation)</v>
      </c>
      <c r="C16" s="1123"/>
      <c r="D16" s="1213"/>
      <c r="E16" s="1150">
        <v>1</v>
      </c>
      <c r="F16" s="1367" t="s">
        <v>19</v>
      </c>
      <c r="G16" s="1368"/>
      <c r="H16" s="711">
        <f>H109</f>
        <v>15921</v>
      </c>
      <c r="I16" s="1369"/>
      <c r="J16" s="1370">
        <f>J109</f>
        <v>4780</v>
      </c>
      <c r="K16" s="999">
        <f t="shared" si="0"/>
        <v>20701</v>
      </c>
      <c r="L16" s="830"/>
      <c r="M16" s="1322"/>
      <c r="N16" s="714" t="str">
        <f t="shared" si="1"/>
        <v>รวมราคารายการที่ 7.5</v>
      </c>
      <c r="O16" s="1323">
        <f t="array" ref="O16">MAX(IF($B$36:$B$925=N16,ROW($B$36:$B$925)))</f>
        <v>109</v>
      </c>
    </row>
    <row r="17" spans="1:15" s="714" customFormat="1" ht="24" customHeight="1">
      <c r="A17" s="1147" t="str">
        <f>A110</f>
        <v>7.6</v>
      </c>
      <c r="B17" s="1127" t="str">
        <f>B110</f>
        <v>วาล์วและอุปกรณ์ประกอบ  (Valve &amp; Pipe Accessories)</v>
      </c>
      <c r="C17" s="1123"/>
      <c r="D17" s="1213"/>
      <c r="E17" s="1150">
        <v>1</v>
      </c>
      <c r="F17" s="1367" t="s">
        <v>19</v>
      </c>
      <c r="G17" s="1368"/>
      <c r="H17" s="711">
        <f>H119</f>
        <v>3520</v>
      </c>
      <c r="I17" s="1369"/>
      <c r="J17" s="1370">
        <f>J119</f>
        <v>600</v>
      </c>
      <c r="K17" s="999">
        <f t="shared" si="0"/>
        <v>4120</v>
      </c>
      <c r="L17" s="830"/>
      <c r="M17" s="1322"/>
      <c r="N17" s="714" t="str">
        <f t="shared" si="1"/>
        <v>รวมราคารายการที่ 7.6</v>
      </c>
      <c r="O17" s="1323">
        <f t="array" ref="O17">MAX(IF($B$36:$B$925=N17,ROW($B$36:$B$925)))</f>
        <v>119</v>
      </c>
    </row>
    <row r="18" spans="1:15" s="714" customFormat="1" ht="24" customHeight="1">
      <c r="A18" s="1147" t="str">
        <f>A120</f>
        <v>7.7</v>
      </c>
      <c r="B18" s="1127" t="str">
        <f>B120</f>
        <v>ระบบท่อลม (Duct Work)</v>
      </c>
      <c r="C18" s="1123"/>
      <c r="D18" s="1213"/>
      <c r="E18" s="1150">
        <v>1</v>
      </c>
      <c r="F18" s="1367" t="s">
        <v>19</v>
      </c>
      <c r="G18" s="1368"/>
      <c r="H18" s="711">
        <f>H134</f>
        <v>1437396</v>
      </c>
      <c r="I18" s="1369"/>
      <c r="J18" s="1370">
        <f>J134</f>
        <v>943799</v>
      </c>
      <c r="K18" s="999">
        <f t="shared" si="0"/>
        <v>2381195</v>
      </c>
      <c r="L18" s="830"/>
      <c r="M18" s="1322"/>
      <c r="N18" s="714" t="str">
        <f t="shared" si="1"/>
        <v>รวมราคารายการที่ 7.7</v>
      </c>
      <c r="O18" s="1323">
        <f t="array" ref="O18">MAX(IF($B$36:$B$925=N18,ROW($B$36:$B$925)))</f>
        <v>134</v>
      </c>
    </row>
    <row r="19" spans="1:15" s="714" customFormat="1" ht="24" customHeight="1">
      <c r="A19" s="1147" t="str">
        <f>A135</f>
        <v>7.8</v>
      </c>
      <c r="B19" s="1127" t="str">
        <f>B135</f>
        <v>ฉนวนหุ้มท่อลม (Duct Insulation)</v>
      </c>
      <c r="C19" s="1123"/>
      <c r="D19" s="1213"/>
      <c r="E19" s="1150">
        <v>1</v>
      </c>
      <c r="F19" s="1367" t="s">
        <v>19</v>
      </c>
      <c r="G19" s="1368"/>
      <c r="H19" s="711">
        <f>H143</f>
        <v>0</v>
      </c>
      <c r="I19" s="1369"/>
      <c r="J19" s="1370">
        <f>J143</f>
        <v>0</v>
      </c>
      <c r="K19" s="999">
        <f t="shared" si="0"/>
        <v>0</v>
      </c>
      <c r="L19" s="830"/>
      <c r="M19" s="1322"/>
      <c r="N19" s="714" t="str">
        <f t="shared" si="1"/>
        <v>รวมราคารายการที่ 7.8</v>
      </c>
      <c r="O19" s="1323">
        <f t="array" ref="O19">MAX(IF($B$36:$B$925=N19,ROW($B$36:$B$925)))</f>
        <v>143</v>
      </c>
    </row>
    <row r="20" spans="1:15" s="714" customFormat="1" ht="24" customHeight="1">
      <c r="A20" s="1147" t="str">
        <f>A144</f>
        <v>7.9</v>
      </c>
      <c r="B20" s="1127" t="str">
        <f>B144</f>
        <v>หน้ากากลม (Air Diffuser, Grille &amp; Register)</v>
      </c>
      <c r="C20" s="1123"/>
      <c r="D20" s="1213"/>
      <c r="E20" s="1150">
        <v>1</v>
      </c>
      <c r="F20" s="1367" t="s">
        <v>19</v>
      </c>
      <c r="G20" s="1368"/>
      <c r="H20" s="711">
        <f>H178</f>
        <v>934270</v>
      </c>
      <c r="I20" s="1369"/>
      <c r="J20" s="1370">
        <f>J178</f>
        <v>53650</v>
      </c>
      <c r="K20" s="999">
        <f t="shared" si="0"/>
        <v>987920</v>
      </c>
      <c r="L20" s="830"/>
      <c r="M20" s="1322"/>
      <c r="N20" s="714" t="str">
        <f t="shared" si="1"/>
        <v>รวมราคารายการที่ 7.9</v>
      </c>
      <c r="O20" s="1323">
        <f t="array" ref="O20">MAX(IF($B$36:$B$925=N20,ROW($B$36:$B$925)))</f>
        <v>178</v>
      </c>
    </row>
    <row r="21" spans="1:15" s="714" customFormat="1" ht="24" customHeight="1">
      <c r="A21" s="1147" t="str">
        <f>A179</f>
        <v>7.10</v>
      </c>
      <c r="B21" s="1127" t="str">
        <f>B179</f>
        <v>ระบบไฟฟ้าและควบคุม (Electrical &amp; Control System)</v>
      </c>
      <c r="C21" s="1123"/>
      <c r="D21" s="1213"/>
      <c r="E21" s="1150">
        <v>1</v>
      </c>
      <c r="F21" s="1367" t="s">
        <v>19</v>
      </c>
      <c r="G21" s="1368"/>
      <c r="H21" s="711">
        <f>H199</f>
        <v>1729203</v>
      </c>
      <c r="I21" s="1369"/>
      <c r="J21" s="1370">
        <f>J199</f>
        <v>134450</v>
      </c>
      <c r="K21" s="999">
        <f t="shared" si="0"/>
        <v>1863653</v>
      </c>
      <c r="L21" s="830"/>
      <c r="M21" s="1322"/>
      <c r="N21" s="714" t="str">
        <f t="shared" si="1"/>
        <v>รวมราคารายการที่ 7.10</v>
      </c>
      <c r="O21" s="1323">
        <f t="array" ref="O21">MAX(IF($B$36:$B$925=N21,ROW($B$36:$B$925)))</f>
        <v>199</v>
      </c>
    </row>
    <row r="22" spans="1:15" s="714" customFormat="1" ht="24" customHeight="1">
      <c r="A22" s="1147" t="str">
        <f>A200</f>
        <v>7.11</v>
      </c>
      <c r="B22" s="1127" t="str">
        <f>B200</f>
        <v>Variable Speed Controller</v>
      </c>
      <c r="C22" s="1123"/>
      <c r="D22" s="1213"/>
      <c r="E22" s="1150">
        <v>1</v>
      </c>
      <c r="F22" s="1367" t="s">
        <v>19</v>
      </c>
      <c r="G22" s="1368" t="s">
        <v>974</v>
      </c>
      <c r="H22" s="1721">
        <f>H209</f>
        <v>0</v>
      </c>
      <c r="I22" s="1722"/>
      <c r="J22" s="1723">
        <f>J209</f>
        <v>0</v>
      </c>
      <c r="K22" s="1374" t="s">
        <v>1985</v>
      </c>
      <c r="L22" s="830"/>
      <c r="M22" s="1322"/>
      <c r="N22" s="714" t="str">
        <f t="shared" si="1"/>
        <v>รวมราคารายการที่ 7.11</v>
      </c>
      <c r="O22" s="1323">
        <f t="array" ref="O22">MAX(IF($B$36:$B$925=N22,ROW($B$36:$B$925)))</f>
        <v>209</v>
      </c>
    </row>
    <row r="23" spans="1:15" s="714" customFormat="1" ht="24" customHeight="1">
      <c r="A23" s="1375"/>
      <c r="B23" s="1356"/>
      <c r="C23" s="1209"/>
      <c r="D23" s="1376"/>
      <c r="E23" s="1150"/>
      <c r="F23" s="1377"/>
      <c r="G23" s="1378"/>
      <c r="H23" s="1001"/>
      <c r="I23" s="1379"/>
      <c r="J23" s="1380"/>
      <c r="K23" s="999"/>
      <c r="L23" s="988"/>
      <c r="M23" s="1322"/>
      <c r="O23" s="1323"/>
    </row>
    <row r="24" spans="1:15" s="714" customFormat="1" ht="24" customHeight="1">
      <c r="A24" s="1375"/>
      <c r="B24" s="1356"/>
      <c r="C24" s="1209"/>
      <c r="D24" s="1376"/>
      <c r="E24" s="1150"/>
      <c r="F24" s="1377"/>
      <c r="G24" s="1378"/>
      <c r="H24" s="1001"/>
      <c r="I24" s="1379"/>
      <c r="J24" s="1380"/>
      <c r="K24" s="999"/>
      <c r="L24" s="988"/>
      <c r="M24" s="1322"/>
    </row>
    <row r="25" spans="1:15" s="714" customFormat="1" ht="24" customHeight="1">
      <c r="A25" s="1126"/>
      <c r="B25" s="1127"/>
      <c r="C25" s="1123"/>
      <c r="D25" s="1213"/>
      <c r="E25" s="1150"/>
      <c r="F25" s="1367"/>
      <c r="G25" s="1368"/>
      <c r="H25" s="711"/>
      <c r="I25" s="1369"/>
      <c r="J25" s="1370"/>
      <c r="K25" s="999"/>
      <c r="L25" s="830"/>
      <c r="M25" s="1322"/>
    </row>
    <row r="26" spans="1:15" s="714" customFormat="1" ht="24" customHeight="1">
      <c r="A26" s="1126"/>
      <c r="B26" s="1127"/>
      <c r="C26" s="1123"/>
      <c r="D26" s="1213"/>
      <c r="E26" s="1150"/>
      <c r="F26" s="1367"/>
      <c r="G26" s="1368"/>
      <c r="H26" s="711"/>
      <c r="I26" s="1369"/>
      <c r="J26" s="1370"/>
      <c r="K26" s="999"/>
      <c r="L26" s="830"/>
      <c r="M26" s="1322"/>
    </row>
    <row r="27" spans="1:15" s="714" customFormat="1" ht="24" customHeight="1">
      <c r="A27" s="1126"/>
      <c r="B27" s="1127"/>
      <c r="C27" s="1123"/>
      <c r="D27" s="1213"/>
      <c r="E27" s="1150"/>
      <c r="F27" s="1367"/>
      <c r="G27" s="1368"/>
      <c r="H27" s="711"/>
      <c r="I27" s="1369"/>
      <c r="J27" s="1370"/>
      <c r="K27" s="999"/>
      <c r="L27" s="830"/>
      <c r="M27" s="1322"/>
    </row>
    <row r="28" spans="1:15" s="714" customFormat="1" ht="24" customHeight="1">
      <c r="A28" s="1126"/>
      <c r="B28" s="1127"/>
      <c r="C28" s="1123"/>
      <c r="D28" s="1213"/>
      <c r="E28" s="1150"/>
      <c r="F28" s="1367"/>
      <c r="G28" s="1368"/>
      <c r="H28" s="711"/>
      <c r="I28" s="1369"/>
      <c r="J28" s="1370"/>
      <c r="K28" s="999"/>
      <c r="L28" s="830"/>
      <c r="M28" s="1322"/>
    </row>
    <row r="29" spans="1:15" s="714" customFormat="1" ht="24" customHeight="1">
      <c r="A29" s="1126"/>
      <c r="B29" s="1127"/>
      <c r="C29" s="1123"/>
      <c r="D29" s="1213"/>
      <c r="E29" s="1150"/>
      <c r="F29" s="1367"/>
      <c r="G29" s="1368"/>
      <c r="H29" s="711"/>
      <c r="I29" s="1369"/>
      <c r="J29" s="1370"/>
      <c r="K29" s="999"/>
      <c r="L29" s="830"/>
      <c r="M29" s="1322"/>
    </row>
    <row r="30" spans="1:15" s="714" customFormat="1" ht="24" customHeight="1">
      <c r="A30" s="1126"/>
      <c r="B30" s="1127"/>
      <c r="C30" s="1123"/>
      <c r="D30" s="1213"/>
      <c r="E30" s="1150"/>
      <c r="F30" s="1367"/>
      <c r="G30" s="1368"/>
      <c r="H30" s="711"/>
      <c r="I30" s="1369"/>
      <c r="J30" s="1370"/>
      <c r="K30" s="999"/>
      <c r="L30" s="830"/>
      <c r="M30" s="1322"/>
    </row>
    <row r="31" spans="1:15" s="714" customFormat="1" ht="24" customHeight="1">
      <c r="A31" s="1126"/>
      <c r="B31" s="1127"/>
      <c r="C31" s="1123"/>
      <c r="D31" s="1213"/>
      <c r="E31" s="1150"/>
      <c r="F31" s="1367"/>
      <c r="G31" s="1368"/>
      <c r="H31" s="711"/>
      <c r="I31" s="1369"/>
      <c r="J31" s="1370"/>
      <c r="K31" s="999"/>
      <c r="L31" s="830"/>
      <c r="M31" s="1322"/>
    </row>
    <row r="32" spans="1:15" s="714" customFormat="1" ht="24" customHeight="1">
      <c r="A32" s="1126"/>
      <c r="B32" s="1127"/>
      <c r="C32" s="1123"/>
      <c r="D32" s="1213"/>
      <c r="E32" s="1150"/>
      <c r="F32" s="1367"/>
      <c r="G32" s="1368"/>
      <c r="H32" s="711"/>
      <c r="I32" s="1369"/>
      <c r="J32" s="1370"/>
      <c r="K32" s="999"/>
      <c r="L32" s="830"/>
      <c r="M32" s="1322"/>
    </row>
    <row r="33" spans="1:16" s="714" customFormat="1" ht="24" customHeight="1">
      <c r="A33" s="1126"/>
      <c r="B33" s="1127"/>
      <c r="C33" s="1123"/>
      <c r="D33" s="1213"/>
      <c r="E33" s="1150"/>
      <c r="F33" s="1367"/>
      <c r="G33" s="1368"/>
      <c r="H33" s="711"/>
      <c r="I33" s="1369"/>
      <c r="J33" s="1370"/>
      <c r="K33" s="999"/>
      <c r="L33" s="830"/>
      <c r="M33" s="1322"/>
    </row>
    <row r="34" spans="1:16" s="714" customFormat="1" ht="30" customHeight="1">
      <c r="A34" s="1166"/>
      <c r="B34" s="2475" t="s">
        <v>1986</v>
      </c>
      <c r="C34" s="2476"/>
      <c r="D34" s="2476"/>
      <c r="E34" s="1167"/>
      <c r="F34" s="1381"/>
      <c r="G34" s="1168"/>
      <c r="H34" s="1169">
        <f>SUM(H11:H33)</f>
        <v>8592232</v>
      </c>
      <c r="I34" s="1170"/>
      <c r="J34" s="1382">
        <f>SUM(J11:J33)</f>
        <v>1512686</v>
      </c>
      <c r="K34" s="1171">
        <f>SUM(K11:K33)</f>
        <v>10104918</v>
      </c>
      <c r="L34" s="1171"/>
      <c r="M34" s="1322"/>
    </row>
    <row r="35" spans="1:16" s="1329" customFormat="1" ht="24" customHeight="1">
      <c r="A35" s="1383" t="s">
        <v>1987</v>
      </c>
      <c r="B35" s="1384" t="s">
        <v>1988</v>
      </c>
      <c r="C35" s="1385"/>
      <c r="D35" s="1386"/>
      <c r="E35" s="1387"/>
      <c r="F35" s="1388"/>
      <c r="G35" s="1389"/>
      <c r="H35" s="1390"/>
      <c r="I35" s="1389"/>
      <c r="J35" s="1391"/>
      <c r="K35" s="1387"/>
      <c r="L35" s="1387"/>
      <c r="M35" s="1328"/>
    </row>
    <row r="36" spans="1:16" s="1329" customFormat="1" ht="24" customHeight="1">
      <c r="A36" s="1330" t="s">
        <v>1904</v>
      </c>
      <c r="B36" s="1127" t="s">
        <v>1989</v>
      </c>
      <c r="C36" s="801"/>
      <c r="D36" s="801"/>
      <c r="E36" s="1022"/>
      <c r="F36" s="1333"/>
      <c r="G36" s="1392"/>
      <c r="H36" s="864"/>
      <c r="I36" s="1392"/>
      <c r="J36" s="1393"/>
      <c r="K36" s="1022"/>
      <c r="L36" s="1022"/>
      <c r="M36" s="1328"/>
    </row>
    <row r="37" spans="1:16" s="1329" customFormat="1" ht="24" customHeight="1">
      <c r="A37" s="1340"/>
      <c r="B37" s="1127" t="s">
        <v>1990</v>
      </c>
      <c r="C37" s="801"/>
      <c r="D37" s="801"/>
      <c r="E37" s="1022">
        <f>O37</f>
        <v>1</v>
      </c>
      <c r="F37" s="1333" t="s">
        <v>240</v>
      </c>
      <c r="G37" s="1394">
        <v>13806</v>
      </c>
      <c r="H37" s="864">
        <f t="shared" ref="H37:H40" si="2">ROUND(E37*G37,)</f>
        <v>13806</v>
      </c>
      <c r="I37" s="1392">
        <f>ROUND(G37*0.1,)</f>
        <v>1381</v>
      </c>
      <c r="J37" s="1395">
        <f t="shared" ref="J37:J38" si="3">ROUND(E37*I37,)</f>
        <v>1381</v>
      </c>
      <c r="K37" s="966">
        <f t="shared" ref="K37:K40" si="4">H37+J37</f>
        <v>15187</v>
      </c>
      <c r="L37" s="1022"/>
      <c r="M37" s="1328" t="s">
        <v>1991</v>
      </c>
      <c r="N37" s="1329">
        <v>350</v>
      </c>
      <c r="O37" s="1329">
        <v>1</v>
      </c>
      <c r="P37" s="1329">
        <v>5.2</v>
      </c>
    </row>
    <row r="38" spans="1:16" s="1329" customFormat="1" ht="24" customHeight="1">
      <c r="A38" s="1340"/>
      <c r="B38" s="1127" t="s">
        <v>1992</v>
      </c>
      <c r="C38" s="801"/>
      <c r="D38" s="801"/>
      <c r="E38" s="1022">
        <f>O38</f>
        <v>1</v>
      </c>
      <c r="F38" s="1333" t="s">
        <v>240</v>
      </c>
      <c r="G38" s="1394">
        <v>13806</v>
      </c>
      <c r="H38" s="864">
        <f t="shared" si="2"/>
        <v>13806</v>
      </c>
      <c r="I38" s="1392">
        <f>ROUND(G38*0.1,)</f>
        <v>1381</v>
      </c>
      <c r="J38" s="1395">
        <f t="shared" si="3"/>
        <v>1381</v>
      </c>
      <c r="K38" s="966">
        <f t="shared" si="4"/>
        <v>15187</v>
      </c>
      <c r="L38" s="1022"/>
      <c r="M38" s="1328" t="s">
        <v>1993</v>
      </c>
      <c r="N38" s="1329">
        <v>350</v>
      </c>
      <c r="O38" s="1329">
        <v>1</v>
      </c>
      <c r="P38" s="1329">
        <v>5.2</v>
      </c>
    </row>
    <row r="39" spans="1:16" s="1329" customFormat="1" ht="24" customHeight="1">
      <c r="A39" s="1340" t="s">
        <v>1906</v>
      </c>
      <c r="B39" s="1331" t="s">
        <v>1994</v>
      </c>
      <c r="C39" s="801"/>
      <c r="D39" s="801"/>
      <c r="E39" s="1022"/>
      <c r="F39" s="1333" t="s">
        <v>240</v>
      </c>
      <c r="G39" s="1392">
        <v>3000</v>
      </c>
      <c r="H39" s="864">
        <f t="shared" si="2"/>
        <v>0</v>
      </c>
      <c r="I39" s="1396" t="s">
        <v>974</v>
      </c>
      <c r="J39" s="1395"/>
      <c r="K39" s="966">
        <f t="shared" si="4"/>
        <v>0</v>
      </c>
      <c r="L39" s="1022"/>
      <c r="M39" s="1328"/>
    </row>
    <row r="40" spans="1:16" s="1329" customFormat="1" ht="24" customHeight="1">
      <c r="A40" s="1340" t="s">
        <v>1995</v>
      </c>
      <c r="B40" s="1331" t="s">
        <v>1996</v>
      </c>
      <c r="C40" s="801"/>
      <c r="D40" s="801"/>
      <c r="E40" s="1022">
        <v>2</v>
      </c>
      <c r="F40" s="1333" t="s">
        <v>240</v>
      </c>
      <c r="G40" s="1392">
        <v>800</v>
      </c>
      <c r="H40" s="864">
        <f t="shared" si="2"/>
        <v>1600</v>
      </c>
      <c r="I40" s="1392">
        <f>G40*0.3</f>
        <v>240</v>
      </c>
      <c r="J40" s="1395">
        <f t="shared" ref="J40" si="5">ROUND(E40*I40,)</f>
        <v>480</v>
      </c>
      <c r="K40" s="966">
        <f t="shared" si="4"/>
        <v>2080</v>
      </c>
      <c r="L40" s="1022"/>
      <c r="M40" s="1328"/>
    </row>
    <row r="41" spans="1:16" s="1329" customFormat="1" ht="24" customHeight="1">
      <c r="A41" s="1340"/>
      <c r="B41" s="1331" t="s">
        <v>957</v>
      </c>
      <c r="C41" s="801"/>
      <c r="D41" s="801"/>
      <c r="E41" s="1022"/>
      <c r="F41" s="1333"/>
      <c r="G41" s="1392"/>
      <c r="H41" s="751"/>
      <c r="I41" s="1392"/>
      <c r="J41" s="1393"/>
      <c r="K41" s="1022"/>
      <c r="L41" s="1022"/>
      <c r="M41" s="1328"/>
    </row>
    <row r="42" spans="1:16" s="1329" customFormat="1" ht="24" customHeight="1">
      <c r="A42" s="1340"/>
      <c r="B42" s="1331" t="s">
        <v>958</v>
      </c>
      <c r="C42" s="801"/>
      <c r="D42" s="801"/>
      <c r="E42" s="1022"/>
      <c r="F42" s="1333"/>
      <c r="G42" s="1392"/>
      <c r="H42" s="751"/>
      <c r="I42" s="1392"/>
      <c r="J42" s="1393"/>
      <c r="K42" s="1022"/>
      <c r="L42" s="1022"/>
      <c r="M42" s="1328"/>
    </row>
    <row r="43" spans="1:16" s="1329" customFormat="1" ht="24" customHeight="1">
      <c r="A43" s="1340"/>
      <c r="B43" s="1331" t="s">
        <v>958</v>
      </c>
      <c r="C43" s="801"/>
      <c r="D43" s="801"/>
      <c r="E43" s="1022"/>
      <c r="F43" s="1333"/>
      <c r="G43" s="1392"/>
      <c r="H43" s="751"/>
      <c r="I43" s="1392"/>
      <c r="J43" s="1393"/>
      <c r="K43" s="1022"/>
      <c r="L43" s="1022"/>
      <c r="M43" s="1328"/>
    </row>
    <row r="44" spans="1:16" s="1329" customFormat="1" ht="24" customHeight="1">
      <c r="A44" s="1397"/>
      <c r="B44" s="1191"/>
      <c r="C44" s="890"/>
      <c r="D44" s="890"/>
      <c r="E44" s="1080"/>
      <c r="F44" s="1338"/>
      <c r="G44" s="1398"/>
      <c r="H44" s="765"/>
      <c r="I44" s="1398"/>
      <c r="J44" s="1399"/>
      <c r="K44" s="1080"/>
      <c r="L44" s="1080"/>
      <c r="M44" s="1328"/>
    </row>
    <row r="45" spans="1:16" s="714" customFormat="1" ht="24" customHeight="1">
      <c r="A45" s="1166"/>
      <c r="B45" s="2475" t="str">
        <f>"รวมราคารายการที่ "&amp;A35</f>
        <v>รวมราคารายการที่ 7.1</v>
      </c>
      <c r="C45" s="2476"/>
      <c r="D45" s="2476"/>
      <c r="E45" s="1167"/>
      <c r="F45" s="1381"/>
      <c r="G45" s="1168"/>
      <c r="H45" s="1169">
        <f>SUM(H36:H44)</f>
        <v>29212</v>
      </c>
      <c r="I45" s="1170"/>
      <c r="J45" s="1382">
        <f>SUM(J36:J44)</f>
        <v>3242</v>
      </c>
      <c r="K45" s="1171">
        <f>SUM(K36:K44)</f>
        <v>32454</v>
      </c>
      <c r="L45" s="1171"/>
      <c r="M45" s="1322"/>
    </row>
    <row r="46" spans="1:16" s="1329" customFormat="1" ht="24" customHeight="1">
      <c r="A46" s="1325" t="s">
        <v>1997</v>
      </c>
      <c r="B46" s="1326" t="s">
        <v>1903</v>
      </c>
      <c r="C46" s="901"/>
      <c r="D46" s="901"/>
      <c r="E46" s="1019"/>
      <c r="F46" s="1310"/>
      <c r="G46" s="1400"/>
      <c r="H46" s="773"/>
      <c r="I46" s="1400"/>
      <c r="J46" s="1401"/>
      <c r="K46" s="1019"/>
      <c r="L46" s="1019"/>
      <c r="M46" s="1328"/>
    </row>
    <row r="47" spans="1:16" s="1329" customFormat="1" ht="24" customHeight="1">
      <c r="A47" s="1330" t="s">
        <v>1910</v>
      </c>
      <c r="B47" s="1331" t="s">
        <v>1998</v>
      </c>
      <c r="C47" s="801"/>
      <c r="D47" s="801"/>
      <c r="E47" s="1022"/>
      <c r="F47" s="1333"/>
      <c r="G47" s="1392"/>
      <c r="H47" s="751"/>
      <c r="I47" s="1392"/>
      <c r="J47" s="1393"/>
      <c r="K47" s="1022"/>
      <c r="L47" s="1022"/>
      <c r="M47" s="1328"/>
    </row>
    <row r="48" spans="1:16" s="1329" customFormat="1" ht="24" customHeight="1">
      <c r="A48" s="1330" t="s">
        <v>1912</v>
      </c>
      <c r="B48" s="1331" t="s">
        <v>1999</v>
      </c>
      <c r="C48" s="801"/>
      <c r="D48" s="801"/>
      <c r="E48" s="1022"/>
      <c r="F48" s="1333"/>
      <c r="G48" s="1392"/>
      <c r="H48" s="751"/>
      <c r="I48" s="1392"/>
      <c r="J48" s="1393"/>
      <c r="K48" s="1022"/>
      <c r="L48" s="1022"/>
      <c r="M48" s="1328"/>
    </row>
    <row r="49" spans="1:15" s="1329" customFormat="1" ht="24" customHeight="1">
      <c r="A49" s="1330"/>
      <c r="B49" s="1331" t="s">
        <v>1715</v>
      </c>
      <c r="C49" s="801"/>
      <c r="D49" s="801"/>
      <c r="E49" s="1022">
        <f>E40</f>
        <v>2</v>
      </c>
      <c r="F49" s="1333" t="s">
        <v>240</v>
      </c>
      <c r="G49" s="1392">
        <v>3300</v>
      </c>
      <c r="H49" s="864">
        <f t="shared" ref="H49:H51" si="6">ROUND(E49*G49,)</f>
        <v>6600</v>
      </c>
      <c r="I49" s="1392">
        <v>150</v>
      </c>
      <c r="J49" s="1395">
        <f t="shared" ref="J49:J50" si="7">ROUND(E49*I49,)</f>
        <v>300</v>
      </c>
      <c r="K49" s="966">
        <f t="shared" ref="K49:K51" si="8">H49+J49</f>
        <v>6900</v>
      </c>
      <c r="L49" s="1022"/>
      <c r="M49" s="1328"/>
    </row>
    <row r="50" spans="1:15" s="1329" customFormat="1" ht="24" customHeight="1">
      <c r="A50" s="1330" t="s">
        <v>2000</v>
      </c>
      <c r="B50" s="1331" t="s">
        <v>2001</v>
      </c>
      <c r="C50" s="801"/>
      <c r="D50" s="801"/>
      <c r="E50" s="1022">
        <v>14</v>
      </c>
      <c r="F50" s="1333" t="s">
        <v>240</v>
      </c>
      <c r="G50" s="1392">
        <v>18000</v>
      </c>
      <c r="H50" s="864">
        <f t="shared" si="6"/>
        <v>252000</v>
      </c>
      <c r="I50" s="1392">
        <v>150</v>
      </c>
      <c r="J50" s="1395">
        <f t="shared" si="7"/>
        <v>2100</v>
      </c>
      <c r="K50" s="966">
        <f t="shared" si="8"/>
        <v>254100</v>
      </c>
      <c r="L50" s="1022"/>
      <c r="M50" s="1328"/>
    </row>
    <row r="51" spans="1:15" s="1329" customFormat="1" ht="24" customHeight="1">
      <c r="A51" s="704"/>
      <c r="B51" s="1127" t="s">
        <v>2002</v>
      </c>
      <c r="C51" s="792"/>
      <c r="D51" s="792"/>
      <c r="E51" s="968">
        <f>E50</f>
        <v>14</v>
      </c>
      <c r="F51" s="1333" t="s">
        <v>240</v>
      </c>
      <c r="G51" s="1392">
        <v>3000</v>
      </c>
      <c r="H51" s="864">
        <f t="shared" si="6"/>
        <v>42000</v>
      </c>
      <c r="I51" s="1392">
        <v>150</v>
      </c>
      <c r="J51" s="1395">
        <f>ROUND(E51*I51,)</f>
        <v>2100</v>
      </c>
      <c r="K51" s="966">
        <f t="shared" si="8"/>
        <v>44100</v>
      </c>
      <c r="L51" s="1182"/>
      <c r="M51" s="1328"/>
    </row>
    <row r="52" spans="1:15" s="1329" customFormat="1" ht="24" customHeight="1">
      <c r="A52" s="1340"/>
      <c r="B52" s="1331" t="s">
        <v>957</v>
      </c>
      <c r="C52" s="801"/>
      <c r="D52" s="801"/>
      <c r="E52" s="1022"/>
      <c r="F52" s="1333"/>
      <c r="G52" s="1392"/>
      <c r="H52" s="751"/>
      <c r="I52" s="1392"/>
      <c r="J52" s="1393"/>
      <c r="K52" s="1022"/>
      <c r="L52" s="1022"/>
      <c r="M52" s="1328"/>
    </row>
    <row r="53" spans="1:15" s="1329" customFormat="1" ht="24" customHeight="1">
      <c r="A53" s="1340"/>
      <c r="B53" s="1331" t="s">
        <v>958</v>
      </c>
      <c r="C53" s="801"/>
      <c r="D53" s="801"/>
      <c r="E53" s="1022"/>
      <c r="F53" s="1333"/>
      <c r="G53" s="1392"/>
      <c r="H53" s="751"/>
      <c r="I53" s="1392"/>
      <c r="J53" s="1393"/>
      <c r="K53" s="1022"/>
      <c r="L53" s="1022"/>
      <c r="M53" s="1328"/>
    </row>
    <row r="54" spans="1:15" s="1329" customFormat="1" ht="24" customHeight="1">
      <c r="A54" s="1340"/>
      <c r="B54" s="1331" t="s">
        <v>958</v>
      </c>
      <c r="C54" s="801"/>
      <c r="D54" s="801"/>
      <c r="E54" s="1022"/>
      <c r="F54" s="1333"/>
      <c r="G54" s="1392"/>
      <c r="H54" s="751"/>
      <c r="I54" s="1392"/>
      <c r="J54" s="1393"/>
      <c r="K54" s="1022"/>
      <c r="L54" s="1022"/>
      <c r="M54" s="1328"/>
    </row>
    <row r="55" spans="1:15" s="1329" customFormat="1" ht="24" customHeight="1">
      <c r="A55" s="1397"/>
      <c r="B55" s="1335"/>
      <c r="C55" s="890"/>
      <c r="D55" s="890"/>
      <c r="E55" s="1080"/>
      <c r="F55" s="1338"/>
      <c r="G55" s="1398"/>
      <c r="H55" s="765"/>
      <c r="I55" s="1398"/>
      <c r="J55" s="1399"/>
      <c r="K55" s="1080"/>
      <c r="L55" s="1080"/>
      <c r="M55" s="1328"/>
    </row>
    <row r="56" spans="1:15" s="1329" customFormat="1" ht="24" customHeight="1">
      <c r="A56" s="1397"/>
      <c r="B56" s="1335"/>
      <c r="C56" s="890"/>
      <c r="D56" s="890"/>
      <c r="E56" s="1080"/>
      <c r="F56" s="1338"/>
      <c r="G56" s="1398"/>
      <c r="H56" s="765"/>
      <c r="I56" s="1398"/>
      <c r="J56" s="1399"/>
      <c r="K56" s="1080"/>
      <c r="L56" s="1080"/>
      <c r="M56" s="1328"/>
    </row>
    <row r="57" spans="1:15" s="1329" customFormat="1" ht="24" customHeight="1">
      <c r="A57" s="1397"/>
      <c r="B57" s="1335"/>
      <c r="C57" s="890"/>
      <c r="D57" s="890"/>
      <c r="E57" s="1080"/>
      <c r="F57" s="1338"/>
      <c r="G57" s="1398"/>
      <c r="H57" s="765"/>
      <c r="I57" s="1398"/>
      <c r="J57" s="1399"/>
      <c r="K57" s="1080"/>
      <c r="L57" s="1080"/>
      <c r="M57" s="1328"/>
    </row>
    <row r="58" spans="1:15" s="1329" customFormat="1" ht="24" customHeight="1">
      <c r="A58" s="1397"/>
      <c r="B58" s="1335"/>
      <c r="C58" s="890"/>
      <c r="D58" s="890"/>
      <c r="E58" s="1080"/>
      <c r="F58" s="1338"/>
      <c r="G58" s="1398"/>
      <c r="H58" s="765"/>
      <c r="I58" s="1398"/>
      <c r="J58" s="1399"/>
      <c r="K58" s="1080"/>
      <c r="L58" s="1080"/>
      <c r="M58" s="1328"/>
    </row>
    <row r="59" spans="1:15" s="714" customFormat="1" ht="24" customHeight="1">
      <c r="A59" s="1166"/>
      <c r="B59" s="2475" t="str">
        <f>"รวมราคารายการที่ "&amp;A46</f>
        <v>รวมราคารายการที่ 7.2</v>
      </c>
      <c r="C59" s="2476"/>
      <c r="D59" s="2476"/>
      <c r="E59" s="1167"/>
      <c r="F59" s="1381"/>
      <c r="G59" s="1168"/>
      <c r="H59" s="1169">
        <f>SUM(H47:H58)</f>
        <v>300600</v>
      </c>
      <c r="I59" s="1170"/>
      <c r="J59" s="1382">
        <f>SUM(J47:J58)</f>
        <v>4500</v>
      </c>
      <c r="K59" s="1171">
        <f>SUM(K47:K58)</f>
        <v>305100</v>
      </c>
      <c r="L59" s="1171"/>
      <c r="M59" s="1322"/>
    </row>
    <row r="60" spans="1:15" s="1329" customFormat="1" ht="24" customHeight="1">
      <c r="A60" s="1325" t="s">
        <v>1920</v>
      </c>
      <c r="B60" s="1326" t="s">
        <v>2003</v>
      </c>
      <c r="C60" s="1347"/>
      <c r="D60" s="901"/>
      <c r="E60" s="1019"/>
      <c r="F60" s="1310"/>
      <c r="G60" s="1400"/>
      <c r="H60" s="773"/>
      <c r="I60" s="1400"/>
      <c r="J60" s="1401"/>
      <c r="K60" s="1019"/>
      <c r="L60" s="1019"/>
      <c r="M60" s="1328"/>
    </row>
    <row r="61" spans="1:15" s="1329" customFormat="1" ht="24" customHeight="1">
      <c r="A61" s="1340" t="s">
        <v>1922</v>
      </c>
      <c r="B61" s="1331" t="s">
        <v>2004</v>
      </c>
      <c r="C61" s="801"/>
      <c r="D61" s="801"/>
      <c r="E61" s="1022"/>
      <c r="F61" s="1333"/>
      <c r="G61" s="1392"/>
      <c r="H61" s="751"/>
      <c r="I61" s="1394"/>
      <c r="J61" s="1395"/>
      <c r="K61" s="966"/>
      <c r="L61" s="1022"/>
      <c r="M61" s="1328"/>
    </row>
    <row r="62" spans="1:15" s="1329" customFormat="1" ht="24" customHeight="1">
      <c r="A62" s="1340"/>
      <c r="B62" s="1331" t="str">
        <f t="shared" ref="B62:B71" si="9">"  -  "&amp;M62&amp;", ("&amp;N62&amp;" L/s)"</f>
        <v xml:space="preserve">  -  C1-B2MAF-01, (11,950 / 19,900 L/s)</v>
      </c>
      <c r="C62" s="801"/>
      <c r="D62" s="801"/>
      <c r="E62" s="1022">
        <f>O62</f>
        <v>1</v>
      </c>
      <c r="F62" s="1333" t="s">
        <v>240</v>
      </c>
      <c r="G62" s="1392">
        <v>265135</v>
      </c>
      <c r="H62" s="751">
        <f t="shared" ref="H62:H71" si="10">ROUND(E62*G62,)</f>
        <v>265135</v>
      </c>
      <c r="I62" s="1394">
        <v>28750</v>
      </c>
      <c r="J62" s="1395">
        <f t="shared" ref="J62:J71" si="11">ROUND(E62*I62,)</f>
        <v>28750</v>
      </c>
      <c r="K62" s="966">
        <f t="shared" ref="K62:K71" si="12">H62+J62</f>
        <v>293885</v>
      </c>
      <c r="L62" s="1022"/>
      <c r="M62" s="1328" t="s">
        <v>2005</v>
      </c>
      <c r="N62" s="1329" t="s">
        <v>2006</v>
      </c>
      <c r="O62" s="1329">
        <v>1</v>
      </c>
    </row>
    <row r="63" spans="1:15" s="1329" customFormat="1" ht="24" customHeight="1">
      <c r="A63" s="1340"/>
      <c r="B63" s="1331" t="str">
        <f t="shared" si="9"/>
        <v xml:space="preserve">  -  C1-B2MAF-02, (11,950 / 19,900 L/s)</v>
      </c>
      <c r="C63" s="801"/>
      <c r="D63" s="801"/>
      <c r="E63" s="1022">
        <f t="shared" ref="E63:E70" si="13">O63</f>
        <v>1</v>
      </c>
      <c r="F63" s="1333" t="s">
        <v>240</v>
      </c>
      <c r="G63" s="1392">
        <v>265135</v>
      </c>
      <c r="H63" s="751">
        <f t="shared" si="10"/>
        <v>265135</v>
      </c>
      <c r="I63" s="1394">
        <v>28750</v>
      </c>
      <c r="J63" s="1395">
        <f t="shared" si="11"/>
        <v>28750</v>
      </c>
      <c r="K63" s="966">
        <f t="shared" si="12"/>
        <v>293885</v>
      </c>
      <c r="L63" s="1022"/>
      <c r="M63" s="1328" t="s">
        <v>2007</v>
      </c>
      <c r="N63" s="1329" t="s">
        <v>2006</v>
      </c>
      <c r="O63" s="1329">
        <v>1</v>
      </c>
    </row>
    <row r="64" spans="1:15" s="1329" customFormat="1" ht="24" customHeight="1">
      <c r="A64" s="1340"/>
      <c r="B64" s="1331" t="str">
        <f t="shared" si="9"/>
        <v xml:space="preserve">  -  C1-B2EAF-01, (14,900 / 24,850 L/s)</v>
      </c>
      <c r="C64" s="801"/>
      <c r="D64" s="801"/>
      <c r="E64" s="1022">
        <f t="shared" si="13"/>
        <v>1</v>
      </c>
      <c r="F64" s="1333" t="s">
        <v>240</v>
      </c>
      <c r="G64" s="1392">
        <v>302315</v>
      </c>
      <c r="H64" s="751">
        <f t="shared" si="10"/>
        <v>302315</v>
      </c>
      <c r="I64" s="1394">
        <v>28750</v>
      </c>
      <c r="J64" s="1395">
        <f t="shared" si="11"/>
        <v>28750</v>
      </c>
      <c r="K64" s="966">
        <f t="shared" si="12"/>
        <v>331065</v>
      </c>
      <c r="L64" s="1022"/>
      <c r="M64" s="1328" t="s">
        <v>2008</v>
      </c>
      <c r="N64" s="1329" t="s">
        <v>2009</v>
      </c>
      <c r="O64" s="1329">
        <v>1</v>
      </c>
    </row>
    <row r="65" spans="1:15" s="1329" customFormat="1" ht="24" customHeight="1">
      <c r="A65" s="1340"/>
      <c r="B65" s="1331" t="str">
        <f t="shared" si="9"/>
        <v xml:space="preserve">  -  C1-B2EAF-02, (14,900 / 24,850 L/s)</v>
      </c>
      <c r="C65" s="801"/>
      <c r="D65" s="801"/>
      <c r="E65" s="1022">
        <f t="shared" si="13"/>
        <v>1</v>
      </c>
      <c r="F65" s="1333" t="s">
        <v>240</v>
      </c>
      <c r="G65" s="1392">
        <v>302315</v>
      </c>
      <c r="H65" s="751">
        <f t="shared" si="10"/>
        <v>302315</v>
      </c>
      <c r="I65" s="1394">
        <v>28750</v>
      </c>
      <c r="J65" s="1395">
        <f t="shared" si="11"/>
        <v>28750</v>
      </c>
      <c r="K65" s="966">
        <f t="shared" si="12"/>
        <v>331065</v>
      </c>
      <c r="L65" s="1022"/>
      <c r="M65" s="1328" t="s">
        <v>2010</v>
      </c>
      <c r="N65" s="1329" t="s">
        <v>2009</v>
      </c>
      <c r="O65" s="1329">
        <v>1</v>
      </c>
    </row>
    <row r="66" spans="1:15" s="1329" customFormat="1" ht="24" customHeight="1">
      <c r="A66" s="1340"/>
      <c r="B66" s="1331" t="str">
        <f t="shared" si="9"/>
        <v xml:space="preserve">  -  C1-B2EAF-03, (14,900 / 24,850 L/s)</v>
      </c>
      <c r="C66" s="801"/>
      <c r="D66" s="801"/>
      <c r="E66" s="1022">
        <f t="shared" si="13"/>
        <v>1</v>
      </c>
      <c r="F66" s="1333" t="s">
        <v>240</v>
      </c>
      <c r="G66" s="1392">
        <v>302315</v>
      </c>
      <c r="H66" s="751">
        <f t="shared" si="10"/>
        <v>302315</v>
      </c>
      <c r="I66" s="1394">
        <v>28750</v>
      </c>
      <c r="J66" s="1395">
        <f t="shared" si="11"/>
        <v>28750</v>
      </c>
      <c r="K66" s="966">
        <f t="shared" si="12"/>
        <v>331065</v>
      </c>
      <c r="L66" s="1022"/>
      <c r="M66" s="1328" t="s">
        <v>2011</v>
      </c>
      <c r="N66" s="1329" t="s">
        <v>2009</v>
      </c>
      <c r="O66" s="1329">
        <v>1</v>
      </c>
    </row>
    <row r="67" spans="1:15" s="1329" customFormat="1" ht="24" customHeight="1">
      <c r="A67" s="1340"/>
      <c r="B67" s="1331" t="str">
        <f t="shared" si="9"/>
        <v xml:space="preserve">  -  C2-B2MAF-01, (11,950 / 19,900 L/s)</v>
      </c>
      <c r="C67" s="801"/>
      <c r="D67" s="801"/>
      <c r="E67" s="1022">
        <f t="shared" si="13"/>
        <v>1</v>
      </c>
      <c r="F67" s="1333" t="s">
        <v>240</v>
      </c>
      <c r="G67" s="1392">
        <v>265135</v>
      </c>
      <c r="H67" s="751">
        <f t="shared" si="10"/>
        <v>265135</v>
      </c>
      <c r="I67" s="1394">
        <v>28750</v>
      </c>
      <c r="J67" s="1395">
        <f t="shared" si="11"/>
        <v>28750</v>
      </c>
      <c r="K67" s="966">
        <f t="shared" si="12"/>
        <v>293885</v>
      </c>
      <c r="L67" s="1022"/>
      <c r="M67" s="1328" t="s">
        <v>2012</v>
      </c>
      <c r="N67" s="1329" t="s">
        <v>2006</v>
      </c>
      <c r="O67" s="1329">
        <v>1</v>
      </c>
    </row>
    <row r="68" spans="1:15" s="1329" customFormat="1" ht="24" customHeight="1">
      <c r="A68" s="1340"/>
      <c r="B68" s="1331" t="str">
        <f t="shared" si="9"/>
        <v xml:space="preserve">  -  C2-B2MAF-02, (11,950 / 19,900 L/s)</v>
      </c>
      <c r="C68" s="801"/>
      <c r="D68" s="801"/>
      <c r="E68" s="1022">
        <f t="shared" si="13"/>
        <v>1</v>
      </c>
      <c r="F68" s="1333" t="s">
        <v>240</v>
      </c>
      <c r="G68" s="1392">
        <v>265135</v>
      </c>
      <c r="H68" s="751">
        <f t="shared" si="10"/>
        <v>265135</v>
      </c>
      <c r="I68" s="1394">
        <v>28750</v>
      </c>
      <c r="J68" s="1395">
        <f t="shared" si="11"/>
        <v>28750</v>
      </c>
      <c r="K68" s="966">
        <f t="shared" si="12"/>
        <v>293885</v>
      </c>
      <c r="L68" s="1022"/>
      <c r="M68" s="1328" t="s">
        <v>2013</v>
      </c>
      <c r="N68" s="1329" t="s">
        <v>2006</v>
      </c>
      <c r="O68" s="1329">
        <v>1</v>
      </c>
    </row>
    <row r="69" spans="1:15" s="1329" customFormat="1" ht="24" customHeight="1">
      <c r="A69" s="1340"/>
      <c r="B69" s="1331" t="str">
        <f t="shared" si="9"/>
        <v xml:space="preserve">  -  C2-B2EAF-01, (14,900 / 24,850 L/s)</v>
      </c>
      <c r="C69" s="801"/>
      <c r="D69" s="801"/>
      <c r="E69" s="1022">
        <f t="shared" si="13"/>
        <v>1</v>
      </c>
      <c r="F69" s="1333" t="s">
        <v>240</v>
      </c>
      <c r="G69" s="1392">
        <v>302315</v>
      </c>
      <c r="H69" s="751">
        <f t="shared" si="10"/>
        <v>302315</v>
      </c>
      <c r="I69" s="1394">
        <v>28750</v>
      </c>
      <c r="J69" s="1395">
        <f t="shared" si="11"/>
        <v>28750</v>
      </c>
      <c r="K69" s="966">
        <f t="shared" si="12"/>
        <v>331065</v>
      </c>
      <c r="L69" s="1022"/>
      <c r="M69" s="1328" t="s">
        <v>2014</v>
      </c>
      <c r="N69" s="1329" t="s">
        <v>2009</v>
      </c>
      <c r="O69" s="1329">
        <v>1</v>
      </c>
    </row>
    <row r="70" spans="1:15" s="1329" customFormat="1" ht="24" customHeight="1">
      <c r="A70" s="1340"/>
      <c r="B70" s="1331" t="str">
        <f t="shared" si="9"/>
        <v xml:space="preserve">  -  C2-B2EAF-02, (14,900 / 24,850 L/s)</v>
      </c>
      <c r="C70" s="801"/>
      <c r="D70" s="801"/>
      <c r="E70" s="1022">
        <f t="shared" si="13"/>
        <v>1</v>
      </c>
      <c r="F70" s="1333" t="s">
        <v>240</v>
      </c>
      <c r="G70" s="1392">
        <v>302315</v>
      </c>
      <c r="H70" s="751">
        <f t="shared" si="10"/>
        <v>302315</v>
      </c>
      <c r="I70" s="1394">
        <v>28750</v>
      </c>
      <c r="J70" s="1395">
        <f t="shared" si="11"/>
        <v>28750</v>
      </c>
      <c r="K70" s="966">
        <f t="shared" si="12"/>
        <v>331065</v>
      </c>
      <c r="L70" s="1022"/>
      <c r="M70" s="1328" t="s">
        <v>2015</v>
      </c>
      <c r="N70" s="1329" t="s">
        <v>2009</v>
      </c>
      <c r="O70" s="1329">
        <v>1</v>
      </c>
    </row>
    <row r="71" spans="1:15" s="1329" customFormat="1" ht="24" customHeight="1">
      <c r="A71" s="1340"/>
      <c r="B71" s="1331" t="str">
        <f t="shared" si="9"/>
        <v xml:space="preserve">  -  C2-B2EAF-03, (14,900 / 24,850 L/s)</v>
      </c>
      <c r="C71" s="801"/>
      <c r="D71" s="801"/>
      <c r="E71" s="1022">
        <f>O71</f>
        <v>1</v>
      </c>
      <c r="F71" s="1333" t="s">
        <v>240</v>
      </c>
      <c r="G71" s="1392">
        <v>302315</v>
      </c>
      <c r="H71" s="751">
        <f t="shared" si="10"/>
        <v>302315</v>
      </c>
      <c r="I71" s="1394">
        <v>28750</v>
      </c>
      <c r="J71" s="1395">
        <f t="shared" si="11"/>
        <v>28750</v>
      </c>
      <c r="K71" s="966">
        <f t="shared" si="12"/>
        <v>331065</v>
      </c>
      <c r="L71" s="1022"/>
      <c r="M71" s="1328" t="s">
        <v>2016</v>
      </c>
      <c r="N71" s="1329" t="s">
        <v>2009</v>
      </c>
      <c r="O71" s="1329">
        <v>1</v>
      </c>
    </row>
    <row r="72" spans="1:15" s="1329" customFormat="1" ht="24" customHeight="1">
      <c r="A72" s="1340" t="s">
        <v>1924</v>
      </c>
      <c r="B72" s="1331" t="s">
        <v>2017</v>
      </c>
      <c r="C72" s="801"/>
      <c r="D72" s="801"/>
      <c r="E72" s="1022"/>
      <c r="F72" s="1333"/>
      <c r="G72" s="1392"/>
      <c r="H72" s="751"/>
      <c r="I72" s="1392"/>
      <c r="J72" s="1393"/>
      <c r="K72" s="1022"/>
      <c r="L72" s="1022"/>
      <c r="M72" s="1328"/>
    </row>
    <row r="73" spans="1:15" s="1329" customFormat="1" ht="24" customHeight="1">
      <c r="A73" s="1340"/>
      <c r="B73" s="1331" t="s">
        <v>2018</v>
      </c>
      <c r="C73" s="801"/>
      <c r="D73" s="801"/>
      <c r="E73" s="1022">
        <v>15</v>
      </c>
      <c r="F73" s="1333" t="s">
        <v>240</v>
      </c>
      <c r="G73" s="1392">
        <v>42640</v>
      </c>
      <c r="H73" s="751">
        <f t="shared" ref="H73:H74" si="14">ROUND(E73*G73,)</f>
        <v>639600</v>
      </c>
      <c r="I73" s="1392">
        <v>1950</v>
      </c>
      <c r="J73" s="1393">
        <f t="shared" ref="J73:J74" si="15">ROUND(E73*I73,)</f>
        <v>29250</v>
      </c>
      <c r="K73" s="1022">
        <f t="shared" ref="K73:K74" si="16">H73+J73</f>
        <v>668850</v>
      </c>
      <c r="L73" s="1022"/>
      <c r="M73" s="1328"/>
    </row>
    <row r="74" spans="1:15" s="1329" customFormat="1" ht="24" customHeight="1">
      <c r="A74" s="1340"/>
      <c r="B74" s="1331" t="s">
        <v>2019</v>
      </c>
      <c r="C74" s="801"/>
      <c r="D74" s="801"/>
      <c r="E74" s="1022">
        <v>13</v>
      </c>
      <c r="F74" s="1333" t="s">
        <v>240</v>
      </c>
      <c r="G74" s="1392">
        <v>42640</v>
      </c>
      <c r="H74" s="751">
        <f t="shared" si="14"/>
        <v>554320</v>
      </c>
      <c r="I74" s="1392">
        <v>1950</v>
      </c>
      <c r="J74" s="1393">
        <f t="shared" si="15"/>
        <v>25350</v>
      </c>
      <c r="K74" s="1022">
        <f t="shared" si="16"/>
        <v>579670</v>
      </c>
      <c r="L74" s="1022"/>
      <c r="M74" s="1328"/>
    </row>
    <row r="75" spans="1:15" s="1329" customFormat="1" ht="24" customHeight="1">
      <c r="A75" s="1340" t="s">
        <v>2020</v>
      </c>
      <c r="B75" s="1331" t="s">
        <v>2021</v>
      </c>
      <c r="C75" s="801"/>
      <c r="D75" s="801"/>
      <c r="E75" s="1022"/>
      <c r="F75" s="1333"/>
      <c r="G75" s="1392"/>
      <c r="H75" s="751"/>
      <c r="I75" s="1392"/>
      <c r="J75" s="1393"/>
      <c r="K75" s="1022"/>
      <c r="L75" s="1022"/>
      <c r="M75" s="1328"/>
    </row>
    <row r="76" spans="1:15" s="1329" customFormat="1" ht="24" customHeight="1">
      <c r="A76" s="1340"/>
      <c r="B76" s="1331" t="str">
        <f t="shared" ref="B76:B79" si="17">"  -  "&amp;M76&amp;", ("&amp;N76&amp;" L/s)"</f>
        <v xml:space="preserve">  -  C1C-B2EAF-01, (115 L/s)</v>
      </c>
      <c r="C76" s="801"/>
      <c r="D76" s="801"/>
      <c r="E76" s="1022">
        <f t="shared" ref="E76:E79" si="18">O76</f>
        <v>1</v>
      </c>
      <c r="F76" s="1333" t="s">
        <v>240</v>
      </c>
      <c r="G76" s="1400">
        <v>1040</v>
      </c>
      <c r="H76" s="751">
        <f>ROUND(E76*G76,)</f>
        <v>1040</v>
      </c>
      <c r="I76" s="1392">
        <v>450</v>
      </c>
      <c r="J76" s="1393">
        <f>ROUND(E76*I76,)</f>
        <v>450</v>
      </c>
      <c r="K76" s="1022">
        <f>H76+J76</f>
        <v>1490</v>
      </c>
      <c r="L76" s="1022"/>
      <c r="M76" s="1328" t="s">
        <v>2022</v>
      </c>
      <c r="N76" s="1329">
        <v>115</v>
      </c>
      <c r="O76" s="1329">
        <v>1</v>
      </c>
    </row>
    <row r="77" spans="1:15" s="1329" customFormat="1" ht="24" customHeight="1">
      <c r="A77" s="1340"/>
      <c r="B77" s="1331" t="str">
        <f t="shared" si="17"/>
        <v xml:space="preserve">  -  C1C-B2EAF-02, (115 L/s)</v>
      </c>
      <c r="C77" s="801"/>
      <c r="D77" s="801"/>
      <c r="E77" s="1022">
        <f t="shared" si="18"/>
        <v>1</v>
      </c>
      <c r="F77" s="1333" t="s">
        <v>240</v>
      </c>
      <c r="G77" s="1400">
        <v>1040</v>
      </c>
      <c r="H77" s="751">
        <f t="shared" ref="H77:H80" si="19">ROUND(E77*G77,)</f>
        <v>1040</v>
      </c>
      <c r="I77" s="1392">
        <v>450</v>
      </c>
      <c r="J77" s="1393">
        <f t="shared" ref="J77:J80" si="20">ROUND(E77*I77,)</f>
        <v>450</v>
      </c>
      <c r="K77" s="1022">
        <f t="shared" ref="K77:K80" si="21">H77+J77</f>
        <v>1490</v>
      </c>
      <c r="L77" s="1022"/>
      <c r="M77" s="1328" t="s">
        <v>2023</v>
      </c>
      <c r="N77" s="1329">
        <v>115</v>
      </c>
      <c r="O77" s="1329">
        <v>1</v>
      </c>
    </row>
    <row r="78" spans="1:15" s="1329" customFormat="1" ht="24" customHeight="1">
      <c r="A78" s="1340"/>
      <c r="B78" s="1331" t="str">
        <f t="shared" si="17"/>
        <v xml:space="preserve">  -  C2C-B2EAF-01, (115 L/s)</v>
      </c>
      <c r="C78" s="801"/>
      <c r="D78" s="801"/>
      <c r="E78" s="1022">
        <f t="shared" si="18"/>
        <v>1</v>
      </c>
      <c r="F78" s="1333" t="s">
        <v>240</v>
      </c>
      <c r="G78" s="1400">
        <v>1040</v>
      </c>
      <c r="H78" s="751">
        <f t="shared" si="19"/>
        <v>1040</v>
      </c>
      <c r="I78" s="1392">
        <v>450</v>
      </c>
      <c r="J78" s="1393">
        <f t="shared" si="20"/>
        <v>450</v>
      </c>
      <c r="K78" s="1022">
        <f t="shared" si="21"/>
        <v>1490</v>
      </c>
      <c r="L78" s="1022"/>
      <c r="M78" s="1328" t="s">
        <v>2024</v>
      </c>
      <c r="N78" s="1329">
        <v>115</v>
      </c>
      <c r="O78" s="1329">
        <v>1</v>
      </c>
    </row>
    <row r="79" spans="1:15" s="1329" customFormat="1" ht="24" customHeight="1">
      <c r="A79" s="1340"/>
      <c r="B79" s="1331" t="str">
        <f t="shared" si="17"/>
        <v xml:space="preserve">  -  C2C-B2EAF-02, (115 L/s)</v>
      </c>
      <c r="C79" s="801"/>
      <c r="D79" s="801"/>
      <c r="E79" s="1022">
        <f t="shared" si="18"/>
        <v>1</v>
      </c>
      <c r="F79" s="1333" t="s">
        <v>240</v>
      </c>
      <c r="G79" s="1400">
        <v>1040</v>
      </c>
      <c r="H79" s="751">
        <f t="shared" si="19"/>
        <v>1040</v>
      </c>
      <c r="I79" s="1392">
        <v>450</v>
      </c>
      <c r="J79" s="1393">
        <f t="shared" si="20"/>
        <v>450</v>
      </c>
      <c r="K79" s="1022">
        <f t="shared" si="21"/>
        <v>1490</v>
      </c>
      <c r="L79" s="1022"/>
      <c r="M79" s="1328" t="s">
        <v>2025</v>
      </c>
      <c r="N79" s="1329">
        <v>115</v>
      </c>
      <c r="O79" s="1329">
        <v>1</v>
      </c>
    </row>
    <row r="80" spans="1:15" s="1329" customFormat="1" ht="24" customHeight="1">
      <c r="A80" s="1340" t="s">
        <v>2026</v>
      </c>
      <c r="B80" s="1331" t="s">
        <v>1996</v>
      </c>
      <c r="C80" s="801"/>
      <c r="D80" s="801"/>
      <c r="E80" s="1022">
        <f>SUM(,E73:E74,E62:E71)</f>
        <v>38</v>
      </c>
      <c r="F80" s="1333" t="s">
        <v>240</v>
      </c>
      <c r="G80" s="1392">
        <v>1200</v>
      </c>
      <c r="H80" s="751">
        <f t="shared" si="19"/>
        <v>45600</v>
      </c>
      <c r="I80" s="1392">
        <v>360</v>
      </c>
      <c r="J80" s="1393">
        <f t="shared" si="20"/>
        <v>13680</v>
      </c>
      <c r="K80" s="1022">
        <f t="shared" si="21"/>
        <v>59280</v>
      </c>
      <c r="L80" s="1022"/>
      <c r="M80" s="1328"/>
    </row>
    <row r="81" spans="1:16" s="1329" customFormat="1" ht="24" customHeight="1">
      <c r="A81" s="1340"/>
      <c r="B81" s="1331" t="s">
        <v>957</v>
      </c>
      <c r="C81" s="801"/>
      <c r="D81" s="801"/>
      <c r="E81" s="1022"/>
      <c r="F81" s="1333"/>
      <c r="G81" s="1392"/>
      <c r="H81" s="751"/>
      <c r="I81" s="1392"/>
      <c r="J81" s="1393"/>
      <c r="K81" s="1022"/>
      <c r="L81" s="1022"/>
      <c r="M81" s="1328"/>
    </row>
    <row r="82" spans="1:16" s="1329" customFormat="1" ht="24" customHeight="1">
      <c r="A82" s="1340"/>
      <c r="B82" s="1331"/>
      <c r="C82" s="801"/>
      <c r="D82" s="801"/>
      <c r="E82" s="1022"/>
      <c r="F82" s="1333"/>
      <c r="G82" s="1392"/>
      <c r="H82" s="751"/>
      <c r="I82" s="1392"/>
      <c r="J82" s="1393"/>
      <c r="K82" s="1022"/>
      <c r="L82" s="1022"/>
      <c r="M82" s="1328"/>
    </row>
    <row r="83" spans="1:16" s="1329" customFormat="1" ht="24" customHeight="1">
      <c r="A83" s="1340"/>
      <c r="B83" s="1331"/>
      <c r="C83" s="801"/>
      <c r="D83" s="801"/>
      <c r="E83" s="1022"/>
      <c r="F83" s="1333"/>
      <c r="G83" s="1392"/>
      <c r="H83" s="751"/>
      <c r="I83" s="1392"/>
      <c r="J83" s="1393"/>
      <c r="K83" s="1022"/>
      <c r="L83" s="1022"/>
      <c r="M83" s="1328"/>
    </row>
    <row r="84" spans="1:16" s="714" customFormat="1" ht="24" customHeight="1">
      <c r="A84" s="1166"/>
      <c r="B84" s="2475" t="str">
        <f>"รวมราคารายการที่ "&amp;A60</f>
        <v>รวมราคารายการที่ 7.3</v>
      </c>
      <c r="C84" s="2476"/>
      <c r="D84" s="2476"/>
      <c r="E84" s="1167"/>
      <c r="F84" s="1381"/>
      <c r="G84" s="1168"/>
      <c r="H84" s="1169">
        <f>SUM(H61:H81)</f>
        <v>4118110</v>
      </c>
      <c r="I84" s="1170"/>
      <c r="J84" s="1382">
        <f>SUM(J61:J81)</f>
        <v>357580</v>
      </c>
      <c r="K84" s="1171">
        <f>SUM(K61:K81)</f>
        <v>4475690</v>
      </c>
      <c r="L84" s="1171"/>
      <c r="M84" s="1322"/>
    </row>
    <row r="85" spans="1:16" s="1329" customFormat="1" ht="24" customHeight="1">
      <c r="A85" s="1325" t="s">
        <v>2027</v>
      </c>
      <c r="B85" s="1339" t="s">
        <v>1909</v>
      </c>
      <c r="C85" s="901"/>
      <c r="D85" s="901"/>
      <c r="E85" s="1019"/>
      <c r="F85" s="1310"/>
      <c r="G85" s="1400"/>
      <c r="H85" s="773"/>
      <c r="I85" s="1400"/>
      <c r="J85" s="1401"/>
      <c r="K85" s="1019"/>
      <c r="L85" s="1019"/>
      <c r="M85" s="1328"/>
    </row>
    <row r="86" spans="1:16" s="1329" customFormat="1" ht="24" customHeight="1">
      <c r="A86" s="1330" t="s">
        <v>1928</v>
      </c>
      <c r="B86" s="1331" t="s">
        <v>1911</v>
      </c>
      <c r="C86" s="801"/>
      <c r="D86" s="801"/>
      <c r="E86" s="1022"/>
      <c r="F86" s="1333"/>
      <c r="G86" s="1392"/>
      <c r="H86" s="751"/>
      <c r="I86" s="1392"/>
      <c r="J86" s="1393"/>
      <c r="K86" s="1022"/>
      <c r="L86" s="1022"/>
      <c r="M86" s="1328"/>
    </row>
    <row r="87" spans="1:16" s="1329" customFormat="1" ht="24" customHeight="1">
      <c r="A87" s="1330"/>
      <c r="B87" s="1331" t="s">
        <v>2028</v>
      </c>
      <c r="C87" s="801"/>
      <c r="D87" s="801"/>
      <c r="E87" s="1022">
        <v>182</v>
      </c>
      <c r="F87" s="1249" t="s">
        <v>438</v>
      </c>
      <c r="G87" s="1392">
        <v>69.5</v>
      </c>
      <c r="H87" s="864">
        <f t="shared" ref="H87:H91" si="22">ROUND(E87*G87,)</f>
        <v>12649</v>
      </c>
      <c r="I87" s="1394">
        <v>30</v>
      </c>
      <c r="J87" s="1395">
        <f t="shared" ref="J87:J91" si="23">ROUND(E87*I87,)</f>
        <v>5460</v>
      </c>
      <c r="K87" s="966">
        <f t="shared" ref="K87:K91" si="24">H87+J87</f>
        <v>18109</v>
      </c>
      <c r="L87" s="1022"/>
      <c r="M87" s="1328"/>
    </row>
    <row r="88" spans="1:16" s="1329" customFormat="1" ht="24" customHeight="1">
      <c r="A88" s="1330"/>
      <c r="B88" s="1331" t="s">
        <v>1822</v>
      </c>
      <c r="C88" s="801"/>
      <c r="D88" s="801"/>
      <c r="E88" s="1022"/>
      <c r="F88" s="1249" t="s">
        <v>438</v>
      </c>
      <c r="G88" s="1392">
        <v>103.5</v>
      </c>
      <c r="H88" s="864">
        <f t="shared" si="22"/>
        <v>0</v>
      </c>
      <c r="I88" s="1394">
        <v>45</v>
      </c>
      <c r="J88" s="1395">
        <f t="shared" si="23"/>
        <v>0</v>
      </c>
      <c r="K88" s="966">
        <f t="shared" si="24"/>
        <v>0</v>
      </c>
      <c r="L88" s="1022"/>
      <c r="M88" s="1328"/>
    </row>
    <row r="89" spans="1:16" s="1329" customFormat="1" ht="24" customHeight="1">
      <c r="A89" s="1330"/>
      <c r="B89" s="1331" t="s">
        <v>1645</v>
      </c>
      <c r="C89" s="801"/>
      <c r="D89" s="801"/>
      <c r="E89" s="1022">
        <v>1</v>
      </c>
      <c r="F89" s="1333" t="s">
        <v>948</v>
      </c>
      <c r="G89" s="1402">
        <f>SUM(H87:H88)*50%</f>
        <v>6324.5</v>
      </c>
      <c r="H89" s="864">
        <f>ROUND(E89*G89,)</f>
        <v>6325</v>
      </c>
      <c r="I89" s="1402">
        <f>G89*0.3</f>
        <v>1897.35</v>
      </c>
      <c r="J89" s="1395">
        <f t="shared" si="23"/>
        <v>1897</v>
      </c>
      <c r="K89" s="1403">
        <f t="shared" si="24"/>
        <v>8222</v>
      </c>
      <c r="L89" s="1022"/>
      <c r="M89" s="1328"/>
    </row>
    <row r="90" spans="1:16" s="1329" customFormat="1" ht="24" customHeight="1">
      <c r="A90" s="1330"/>
      <c r="B90" s="1331" t="s">
        <v>1646</v>
      </c>
      <c r="C90" s="801"/>
      <c r="D90" s="801"/>
      <c r="E90" s="1022">
        <v>1</v>
      </c>
      <c r="F90" s="1333" t="s">
        <v>948</v>
      </c>
      <c r="G90" s="1402">
        <f>ROUND(SUM(H87:H88)*20%,)</f>
        <v>2530</v>
      </c>
      <c r="H90" s="864">
        <f t="shared" si="22"/>
        <v>2530</v>
      </c>
      <c r="I90" s="1402">
        <f>G90*0.3</f>
        <v>759</v>
      </c>
      <c r="J90" s="1395">
        <f t="shared" si="23"/>
        <v>759</v>
      </c>
      <c r="K90" s="1403">
        <f t="shared" si="24"/>
        <v>3289</v>
      </c>
      <c r="L90" s="1022"/>
      <c r="M90" s="1328"/>
    </row>
    <row r="91" spans="1:16" s="1329" customFormat="1" ht="24" customHeight="1">
      <c r="A91" s="1330"/>
      <c r="B91" s="1331" t="s">
        <v>1647</v>
      </c>
      <c r="C91" s="801"/>
      <c r="D91" s="801"/>
      <c r="E91" s="1022">
        <v>1</v>
      </c>
      <c r="F91" s="1333" t="s">
        <v>948</v>
      </c>
      <c r="G91" s="1402">
        <f>ROUND(SUM(H87:H88)*10%,)</f>
        <v>1265</v>
      </c>
      <c r="H91" s="864">
        <f t="shared" si="22"/>
        <v>1265</v>
      </c>
      <c r="I91" s="1402">
        <f>ROUND(G91*0.3,)</f>
        <v>380</v>
      </c>
      <c r="J91" s="1395">
        <f t="shared" si="23"/>
        <v>380</v>
      </c>
      <c r="K91" s="1403">
        <f t="shared" si="24"/>
        <v>1645</v>
      </c>
      <c r="L91" s="1022"/>
      <c r="M91" s="1328"/>
    </row>
    <row r="92" spans="1:16" s="1329" customFormat="1" ht="24" customHeight="1">
      <c r="A92" s="1330" t="s">
        <v>1930</v>
      </c>
      <c r="B92" s="1331" t="s">
        <v>1917</v>
      </c>
      <c r="C92" s="801"/>
      <c r="D92" s="801"/>
      <c r="E92" s="1022"/>
      <c r="F92" s="1333"/>
      <c r="G92" s="1392"/>
      <c r="H92" s="751"/>
      <c r="I92" s="1392"/>
      <c r="J92" s="1393"/>
      <c r="K92" s="1022"/>
      <c r="L92" s="1022"/>
      <c r="M92" s="1328"/>
    </row>
    <row r="93" spans="1:16" s="1329" customFormat="1" ht="24" customHeight="1">
      <c r="A93" s="1330"/>
      <c r="B93" s="1331" t="s">
        <v>2028</v>
      </c>
      <c r="C93" s="801"/>
      <c r="D93" s="801"/>
      <c r="E93" s="1022">
        <v>57</v>
      </c>
      <c r="F93" s="966" t="s">
        <v>438</v>
      </c>
      <c r="G93" s="2352">
        <v>12</v>
      </c>
      <c r="H93" s="864">
        <f t="shared" ref="H93:H97" si="25">ROUND(E93*G93,)</f>
        <v>684</v>
      </c>
      <c r="I93" s="1392">
        <v>25</v>
      </c>
      <c r="J93" s="1395">
        <f t="shared" ref="J93:J95" si="26">ROUND(E93*I93,)</f>
        <v>1425</v>
      </c>
      <c r="K93" s="966">
        <f t="shared" ref="K93:K97" si="27">H93+J93</f>
        <v>2109</v>
      </c>
      <c r="L93" s="2273" t="s">
        <v>2974</v>
      </c>
      <c r="M93" s="1328"/>
      <c r="N93" s="1720">
        <v>48.23</v>
      </c>
      <c r="O93" s="714">
        <f>ROUND(N93/4,)</f>
        <v>12</v>
      </c>
      <c r="P93" s="1404"/>
    </row>
    <row r="94" spans="1:16" s="1329" customFormat="1" ht="24" customHeight="1">
      <c r="A94" s="1330"/>
      <c r="B94" s="1331" t="s">
        <v>2029</v>
      </c>
      <c r="C94" s="801"/>
      <c r="D94" s="801"/>
      <c r="E94" s="1022"/>
      <c r="F94" s="966" t="s">
        <v>438</v>
      </c>
      <c r="G94" s="714">
        <v>20</v>
      </c>
      <c r="H94" s="864">
        <f t="shared" si="25"/>
        <v>0</v>
      </c>
      <c r="I94" s="1392">
        <v>25</v>
      </c>
      <c r="J94" s="1395">
        <f t="shared" si="26"/>
        <v>0</v>
      </c>
      <c r="K94" s="966">
        <f t="shared" si="27"/>
        <v>0</v>
      </c>
      <c r="L94" s="2273" t="s">
        <v>2974</v>
      </c>
      <c r="M94" s="1328"/>
      <c r="N94" s="1719">
        <v>79.17</v>
      </c>
      <c r="O94" s="714">
        <f>ROUND(N94/4,)</f>
        <v>20</v>
      </c>
      <c r="P94" s="1404"/>
    </row>
    <row r="95" spans="1:16" s="1329" customFormat="1" ht="24" customHeight="1">
      <c r="A95" s="1330"/>
      <c r="B95" s="1331" t="s">
        <v>1645</v>
      </c>
      <c r="C95" s="801"/>
      <c r="D95" s="801"/>
      <c r="E95" s="1022">
        <v>1</v>
      </c>
      <c r="F95" s="1333" t="s">
        <v>948</v>
      </c>
      <c r="G95" s="1402">
        <f>ROUND(SUM(H93:H94)*40%,)</f>
        <v>274</v>
      </c>
      <c r="H95" s="864">
        <f t="shared" si="25"/>
        <v>274</v>
      </c>
      <c r="I95" s="1402">
        <f>G95*0.3</f>
        <v>82.2</v>
      </c>
      <c r="J95" s="1395">
        <f t="shared" si="26"/>
        <v>82</v>
      </c>
      <c r="K95" s="966">
        <f t="shared" si="27"/>
        <v>356</v>
      </c>
      <c r="L95" s="1022"/>
      <c r="M95" s="1328"/>
    </row>
    <row r="96" spans="1:16" s="1329" customFormat="1" ht="24" customHeight="1">
      <c r="A96" s="1330"/>
      <c r="B96" s="1331" t="s">
        <v>1646</v>
      </c>
      <c r="C96" s="801"/>
      <c r="D96" s="801"/>
      <c r="E96" s="1022">
        <v>1</v>
      </c>
      <c r="F96" s="1333" t="s">
        <v>948</v>
      </c>
      <c r="G96" s="1402">
        <f>ROUND(SUM(H93:H94)*30%,)</f>
        <v>205</v>
      </c>
      <c r="H96" s="864">
        <f t="shared" si="25"/>
        <v>205</v>
      </c>
      <c r="I96" s="1402">
        <f>G96*0.3</f>
        <v>61.5</v>
      </c>
      <c r="J96" s="1395">
        <f>ROUND(E96*I96,)</f>
        <v>62</v>
      </c>
      <c r="K96" s="966">
        <f t="shared" si="27"/>
        <v>267</v>
      </c>
      <c r="L96" s="1022"/>
      <c r="M96" s="1328"/>
    </row>
    <row r="97" spans="1:13" s="1329" customFormat="1" ht="24" customHeight="1">
      <c r="A97" s="1330"/>
      <c r="B97" s="1331" t="s">
        <v>1647</v>
      </c>
      <c r="C97" s="801"/>
      <c r="D97" s="801"/>
      <c r="E97" s="1022">
        <v>1</v>
      </c>
      <c r="F97" s="1333" t="s">
        <v>948</v>
      </c>
      <c r="G97" s="1402">
        <f>ROUND(SUM(H93:H94)*10%,)</f>
        <v>68</v>
      </c>
      <c r="H97" s="864">
        <f t="shared" si="25"/>
        <v>68</v>
      </c>
      <c r="I97" s="1402">
        <f>G97*0.3</f>
        <v>20.399999999999999</v>
      </c>
      <c r="J97" s="1395">
        <f>ROUND(E97*I97,)</f>
        <v>20</v>
      </c>
      <c r="K97" s="966">
        <f t="shared" si="27"/>
        <v>88</v>
      </c>
      <c r="L97" s="1022"/>
      <c r="M97" s="1328"/>
    </row>
    <row r="98" spans="1:13" s="1329" customFormat="1" ht="24" customHeight="1">
      <c r="A98" s="1334"/>
      <c r="B98" s="1335" t="s">
        <v>957</v>
      </c>
      <c r="C98" s="890"/>
      <c r="D98" s="890"/>
      <c r="E98" s="1080"/>
      <c r="F98" s="1338"/>
      <c r="G98" s="1398"/>
      <c r="H98" s="765"/>
      <c r="I98" s="1398"/>
      <c r="J98" s="1399"/>
      <c r="K98" s="1080"/>
      <c r="L98" s="1080"/>
      <c r="M98" s="1328"/>
    </row>
    <row r="99" spans="1:13" s="1329" customFormat="1" ht="24" customHeight="1">
      <c r="A99" s="1166"/>
      <c r="B99" s="2475" t="str">
        <f>"รวมราคารายการที่ "&amp;A85</f>
        <v>รวมราคารายการที่ 7.4</v>
      </c>
      <c r="C99" s="2476"/>
      <c r="D99" s="2476"/>
      <c r="E99" s="1167"/>
      <c r="F99" s="1381"/>
      <c r="G99" s="1168"/>
      <c r="H99" s="1169">
        <f>SUM(H86:H98)</f>
        <v>24000</v>
      </c>
      <c r="I99" s="1170"/>
      <c r="J99" s="1382">
        <f>SUM(J86:J98)</f>
        <v>10085</v>
      </c>
      <c r="K99" s="1171">
        <f>SUM(K86:K98)</f>
        <v>34085</v>
      </c>
      <c r="L99" s="1171"/>
      <c r="M99" s="1328"/>
    </row>
    <row r="100" spans="1:13" s="1329" customFormat="1" ht="24" customHeight="1">
      <c r="A100" s="1405" t="s">
        <v>2030</v>
      </c>
      <c r="B100" s="1326" t="s">
        <v>1921</v>
      </c>
      <c r="C100" s="1347"/>
      <c r="D100" s="901"/>
      <c r="E100" s="1030"/>
      <c r="F100" s="1348"/>
      <c r="G100" s="1406"/>
      <c r="H100" s="905"/>
      <c r="I100" s="1406"/>
      <c r="J100" s="1407"/>
      <c r="K100" s="1030"/>
      <c r="L100" s="1030"/>
      <c r="M100" s="1328"/>
    </row>
    <row r="101" spans="1:13" s="1329" customFormat="1" ht="24" customHeight="1">
      <c r="A101" s="1330" t="s">
        <v>1949</v>
      </c>
      <c r="B101" s="1331" t="s">
        <v>1923</v>
      </c>
      <c r="C101" s="1349"/>
      <c r="D101" s="801"/>
      <c r="E101" s="966"/>
      <c r="F101" s="1249"/>
      <c r="G101" s="1394"/>
      <c r="H101" s="864"/>
      <c r="I101" s="1394"/>
      <c r="J101" s="1395"/>
      <c r="K101" s="966"/>
      <c r="L101" s="966"/>
      <c r="M101" s="1328"/>
    </row>
    <row r="102" spans="1:13" s="1329" customFormat="1" ht="24" customHeight="1">
      <c r="A102" s="1330"/>
      <c r="B102" s="1331" t="s">
        <v>2028</v>
      </c>
      <c r="C102" s="1349"/>
      <c r="D102" s="801"/>
      <c r="E102" s="1022">
        <f>E93</f>
        <v>57</v>
      </c>
      <c r="F102" s="1249" t="s">
        <v>438</v>
      </c>
      <c r="G102" s="1394">
        <v>59</v>
      </c>
      <c r="H102" s="864">
        <f t="shared" ref="H102:H103" si="28">ROUND(E102*G102,)</f>
        <v>3363</v>
      </c>
      <c r="I102" s="1394">
        <v>20</v>
      </c>
      <c r="J102" s="1395">
        <f t="shared" ref="J102:J103" si="29">ROUND(E102*I102,)</f>
        <v>1140</v>
      </c>
      <c r="K102" s="966">
        <f t="shared" ref="K102:K103" si="30">H102+J102</f>
        <v>4503</v>
      </c>
      <c r="L102" s="966"/>
      <c r="M102" s="1328"/>
    </row>
    <row r="103" spans="1:13" s="1329" customFormat="1" ht="24" customHeight="1">
      <c r="A103" s="1330"/>
      <c r="B103" s="1331" t="s">
        <v>2029</v>
      </c>
      <c r="C103" s="1349"/>
      <c r="D103" s="801"/>
      <c r="E103" s="1022"/>
      <c r="F103" s="1249" t="s">
        <v>438</v>
      </c>
      <c r="G103" s="1394">
        <v>92</v>
      </c>
      <c r="H103" s="864">
        <f t="shared" si="28"/>
        <v>0</v>
      </c>
      <c r="I103" s="1394">
        <v>33</v>
      </c>
      <c r="J103" s="1395">
        <f t="shared" si="29"/>
        <v>0</v>
      </c>
      <c r="K103" s="966">
        <f t="shared" si="30"/>
        <v>0</v>
      </c>
      <c r="L103" s="966"/>
      <c r="M103" s="1328"/>
    </row>
    <row r="104" spans="1:13" s="1329" customFormat="1" ht="24" customHeight="1">
      <c r="A104" s="1330" t="s">
        <v>1955</v>
      </c>
      <c r="B104" s="1331" t="s">
        <v>2031</v>
      </c>
      <c r="C104" s="1349"/>
      <c r="D104" s="801"/>
      <c r="E104" s="966"/>
      <c r="F104" s="1249"/>
      <c r="G104" s="1394"/>
      <c r="H104" s="864"/>
      <c r="I104" s="1394"/>
      <c r="J104" s="1395"/>
      <c r="K104" s="966"/>
      <c r="L104" s="966"/>
      <c r="M104" s="1328"/>
    </row>
    <row r="105" spans="1:13" s="1329" customFormat="1" ht="24" customHeight="1">
      <c r="A105" s="1330"/>
      <c r="B105" s="1331" t="s">
        <v>2028</v>
      </c>
      <c r="C105" s="1349"/>
      <c r="D105" s="801"/>
      <c r="E105" s="1022">
        <f>E87</f>
        <v>182</v>
      </c>
      <c r="F105" s="1249" t="s">
        <v>438</v>
      </c>
      <c r="G105" s="1394">
        <v>69</v>
      </c>
      <c r="H105" s="864">
        <f t="shared" ref="H105:H106" si="31">ROUND(E105*G105,)</f>
        <v>12558</v>
      </c>
      <c r="I105" s="1394">
        <v>20</v>
      </c>
      <c r="J105" s="1395">
        <f t="shared" ref="J105:J106" si="32">ROUND(E105*I105,)</f>
        <v>3640</v>
      </c>
      <c r="K105" s="966">
        <f t="shared" ref="K105:K106" si="33">H105+J105</f>
        <v>16198</v>
      </c>
      <c r="L105" s="966"/>
      <c r="M105" s="1328"/>
    </row>
    <row r="106" spans="1:13" s="1329" customFormat="1" ht="24" customHeight="1">
      <c r="A106" s="1330"/>
      <c r="B106" s="1331" t="s">
        <v>1822</v>
      </c>
      <c r="C106" s="1349"/>
      <c r="D106" s="801"/>
      <c r="E106" s="1022"/>
      <c r="F106" s="1249" t="s">
        <v>438</v>
      </c>
      <c r="G106" s="1394">
        <v>85</v>
      </c>
      <c r="H106" s="864">
        <f t="shared" si="31"/>
        <v>0</v>
      </c>
      <c r="I106" s="1394">
        <v>26</v>
      </c>
      <c r="J106" s="1395">
        <f t="shared" si="32"/>
        <v>0</v>
      </c>
      <c r="K106" s="966">
        <f t="shared" si="33"/>
        <v>0</v>
      </c>
      <c r="L106" s="966"/>
      <c r="M106" s="1328"/>
    </row>
    <row r="107" spans="1:13" s="1329" customFormat="1" ht="24" customHeight="1">
      <c r="A107" s="1330"/>
      <c r="B107" s="1331" t="s">
        <v>957</v>
      </c>
      <c r="C107" s="1349"/>
      <c r="D107" s="801"/>
      <c r="E107" s="966"/>
      <c r="F107" s="1249"/>
      <c r="G107" s="1394"/>
      <c r="H107" s="864"/>
      <c r="I107" s="1394"/>
      <c r="J107" s="1395"/>
      <c r="K107" s="966"/>
      <c r="L107" s="966"/>
      <c r="M107" s="1328"/>
    </row>
    <row r="108" spans="1:13" s="1329" customFormat="1" ht="24" customHeight="1">
      <c r="A108" s="1330"/>
      <c r="B108" s="1331" t="s">
        <v>958</v>
      </c>
      <c r="C108" s="1349"/>
      <c r="D108" s="801"/>
      <c r="E108" s="966"/>
      <c r="F108" s="1249"/>
      <c r="G108" s="1394"/>
      <c r="H108" s="864"/>
      <c r="I108" s="1394"/>
      <c r="J108" s="1395"/>
      <c r="K108" s="966"/>
      <c r="L108" s="966"/>
      <c r="M108" s="1328"/>
    </row>
    <row r="109" spans="1:13" s="1329" customFormat="1" ht="24" customHeight="1">
      <c r="A109" s="1166"/>
      <c r="B109" s="2475" t="str">
        <f>"รวมราคารายการที่ "&amp;A100</f>
        <v>รวมราคารายการที่ 7.5</v>
      </c>
      <c r="C109" s="2476"/>
      <c r="D109" s="2476"/>
      <c r="E109" s="1167"/>
      <c r="F109" s="1381"/>
      <c r="G109" s="1168"/>
      <c r="H109" s="1169">
        <f>SUM(H101:H108)</f>
        <v>15921</v>
      </c>
      <c r="I109" s="1170"/>
      <c r="J109" s="1382">
        <f>SUM(J101:J108)</f>
        <v>4780</v>
      </c>
      <c r="K109" s="1171">
        <f>SUM(K101:K108)</f>
        <v>20701</v>
      </c>
      <c r="L109" s="1171"/>
      <c r="M109" s="1328"/>
    </row>
    <row r="110" spans="1:13" s="1329" customFormat="1" ht="24" customHeight="1">
      <c r="A110" s="1325" t="s">
        <v>2032</v>
      </c>
      <c r="B110" s="1326" t="s">
        <v>1927</v>
      </c>
      <c r="C110" s="1347"/>
      <c r="D110" s="901"/>
      <c r="E110" s="1030"/>
      <c r="F110" s="1348"/>
      <c r="G110" s="1406"/>
      <c r="H110" s="905"/>
      <c r="I110" s="1406"/>
      <c r="J110" s="1407"/>
      <c r="K110" s="1030"/>
      <c r="L110" s="1030"/>
      <c r="M110" s="1328"/>
    </row>
    <row r="111" spans="1:13" s="1329" customFormat="1" ht="24" customHeight="1">
      <c r="A111" s="1330" t="s">
        <v>1960</v>
      </c>
      <c r="B111" s="1331" t="s">
        <v>1929</v>
      </c>
      <c r="C111" s="1349"/>
      <c r="D111" s="801"/>
      <c r="E111" s="966"/>
      <c r="F111" s="1249"/>
      <c r="G111" s="1394"/>
      <c r="H111" s="864"/>
      <c r="I111" s="1394"/>
      <c r="J111" s="1395"/>
      <c r="K111" s="966"/>
      <c r="L111" s="966"/>
      <c r="M111" s="1328"/>
    </row>
    <row r="112" spans="1:13" s="1329" customFormat="1" ht="24" customHeight="1">
      <c r="A112" s="1330"/>
      <c r="B112" s="1331" t="s">
        <v>1184</v>
      </c>
      <c r="C112" s="1349"/>
      <c r="D112" s="801"/>
      <c r="E112" s="966">
        <f>E49*2</f>
        <v>4</v>
      </c>
      <c r="F112" s="1249" t="s">
        <v>240</v>
      </c>
      <c r="G112" s="1408">
        <v>880</v>
      </c>
      <c r="H112" s="864">
        <f t="shared" ref="H112:H116" si="34">ROUND(E112*G112,)</f>
        <v>3520</v>
      </c>
      <c r="I112" s="1394">
        <v>150</v>
      </c>
      <c r="J112" s="1395">
        <f t="shared" ref="J112" si="35">ROUND(E112*I112,)</f>
        <v>600</v>
      </c>
      <c r="K112" s="966">
        <f t="shared" ref="K112" si="36">H112+J112</f>
        <v>4120</v>
      </c>
      <c r="L112" s="2273" t="s">
        <v>2974</v>
      </c>
      <c r="M112" s="1328"/>
    </row>
    <row r="113" spans="1:16" s="1329" customFormat="1" ht="24" customHeight="1">
      <c r="A113" s="1330" t="s">
        <v>1964</v>
      </c>
      <c r="B113" s="1331" t="s">
        <v>1942</v>
      </c>
      <c r="C113" s="1349"/>
      <c r="D113" s="801"/>
      <c r="E113" s="966"/>
      <c r="F113" s="1249"/>
      <c r="G113" s="1394"/>
      <c r="H113" s="864"/>
      <c r="I113" s="1394"/>
      <c r="J113" s="1395"/>
      <c r="K113" s="966"/>
      <c r="L113" s="966"/>
      <c r="M113" s="1328"/>
      <c r="P113" s="1404"/>
    </row>
    <row r="114" spans="1:16" s="1329" customFormat="1" ht="24" customHeight="1">
      <c r="A114" s="1330"/>
      <c r="B114" s="1331" t="s">
        <v>1184</v>
      </c>
      <c r="C114" s="1349"/>
      <c r="D114" s="801"/>
      <c r="E114" s="966"/>
      <c r="F114" s="1249" t="s">
        <v>240</v>
      </c>
      <c r="G114" s="1394">
        <v>1470</v>
      </c>
      <c r="H114" s="864">
        <f t="shared" ref="H114" si="37">ROUND(E114*G114,)</f>
        <v>0</v>
      </c>
      <c r="I114" s="1394">
        <v>200</v>
      </c>
      <c r="J114" s="1395">
        <f t="shared" ref="J114" si="38">ROUND(E114*I114,)</f>
        <v>0</v>
      </c>
      <c r="K114" s="966">
        <f t="shared" ref="K114" si="39">H114+J114</f>
        <v>0</v>
      </c>
      <c r="L114" s="966"/>
      <c r="M114" s="1328"/>
      <c r="P114" s="1404"/>
    </row>
    <row r="115" spans="1:16" s="1329" customFormat="1" ht="24" customHeight="1">
      <c r="A115" s="1330" t="s">
        <v>2033</v>
      </c>
      <c r="B115" s="1331" t="s">
        <v>1940</v>
      </c>
      <c r="C115" s="1349"/>
      <c r="D115" s="801"/>
      <c r="E115" s="966"/>
      <c r="F115" s="1249"/>
      <c r="G115" s="1394"/>
      <c r="H115" s="864"/>
      <c r="I115" s="1394"/>
      <c r="J115" s="1395"/>
      <c r="K115" s="966"/>
      <c r="L115" s="966"/>
      <c r="M115" s="1328"/>
    </row>
    <row r="116" spans="1:16" s="1329" customFormat="1" ht="24" customHeight="1">
      <c r="A116" s="1330"/>
      <c r="B116" s="1331" t="s">
        <v>1184</v>
      </c>
      <c r="C116" s="1349"/>
      <c r="D116" s="801"/>
      <c r="E116" s="966">
        <f>E114/2</f>
        <v>0</v>
      </c>
      <c r="F116" s="1249" t="s">
        <v>240</v>
      </c>
      <c r="G116" s="1394">
        <v>350</v>
      </c>
      <c r="H116" s="864">
        <f t="shared" si="34"/>
        <v>0</v>
      </c>
      <c r="I116" s="1394">
        <v>150</v>
      </c>
      <c r="J116" s="1395">
        <f t="shared" ref="J116" si="40">ROUND(E116*I116,)</f>
        <v>0</v>
      </c>
      <c r="K116" s="966">
        <f t="shared" ref="K116" si="41">H116+J116</f>
        <v>0</v>
      </c>
      <c r="L116" s="966"/>
      <c r="M116" s="1328"/>
    </row>
    <row r="117" spans="1:16" s="1329" customFormat="1" ht="24" customHeight="1">
      <c r="A117" s="1330"/>
      <c r="B117" s="1331" t="s">
        <v>957</v>
      </c>
      <c r="C117" s="1349"/>
      <c r="D117" s="801"/>
      <c r="E117" s="966"/>
      <c r="F117" s="1249"/>
      <c r="G117" s="1394"/>
      <c r="H117" s="864"/>
      <c r="I117" s="1394"/>
      <c r="J117" s="1395"/>
      <c r="K117" s="966"/>
      <c r="L117" s="966"/>
      <c r="M117" s="1328"/>
    </row>
    <row r="118" spans="1:16" s="1329" customFormat="1" ht="24" customHeight="1">
      <c r="A118" s="1330"/>
      <c r="B118" s="1331" t="s">
        <v>958</v>
      </c>
      <c r="C118" s="1349"/>
      <c r="D118" s="801"/>
      <c r="E118" s="966"/>
      <c r="F118" s="1249"/>
      <c r="G118" s="1394"/>
      <c r="H118" s="864"/>
      <c r="I118" s="1394"/>
      <c r="J118" s="1395"/>
      <c r="K118" s="966"/>
      <c r="L118" s="966"/>
      <c r="M118" s="1328"/>
    </row>
    <row r="119" spans="1:16" s="1329" customFormat="1" ht="24" customHeight="1">
      <c r="A119" s="1166"/>
      <c r="B119" s="2475" t="str">
        <f>"รวมราคารายการที่ "&amp;A110</f>
        <v>รวมราคารายการที่ 7.6</v>
      </c>
      <c r="C119" s="2476"/>
      <c r="D119" s="2476"/>
      <c r="E119" s="1167"/>
      <c r="F119" s="1381"/>
      <c r="G119" s="1168"/>
      <c r="H119" s="1169">
        <f>SUM(H111:H118)</f>
        <v>3520</v>
      </c>
      <c r="I119" s="1170"/>
      <c r="J119" s="1382">
        <f>SUM(J111:J118)</f>
        <v>600</v>
      </c>
      <c r="K119" s="1171">
        <f>SUM(K111:K118)</f>
        <v>4120</v>
      </c>
      <c r="L119" s="1171"/>
      <c r="M119" s="1328"/>
    </row>
    <row r="120" spans="1:16" s="1329" customFormat="1" ht="24" customHeight="1">
      <c r="A120" s="1325" t="s">
        <v>1967</v>
      </c>
      <c r="B120" s="1326" t="s">
        <v>1948</v>
      </c>
      <c r="C120" s="1347"/>
      <c r="D120" s="901"/>
      <c r="E120" s="1030"/>
      <c r="F120" s="1348"/>
      <c r="G120" s="1406"/>
      <c r="H120" s="905"/>
      <c r="I120" s="1406"/>
      <c r="J120" s="1407"/>
      <c r="K120" s="1030"/>
      <c r="L120" s="1030"/>
      <c r="M120" s="1328"/>
    </row>
    <row r="121" spans="1:16" s="1329" customFormat="1" ht="24" customHeight="1">
      <c r="A121" s="1330" t="s">
        <v>1969</v>
      </c>
      <c r="B121" s="1331" t="s">
        <v>2034</v>
      </c>
      <c r="C121" s="1349"/>
      <c r="D121" s="801"/>
      <c r="E121" s="966"/>
      <c r="F121" s="1249"/>
      <c r="G121" s="1394"/>
      <c r="H121" s="864"/>
      <c r="I121" s="1394"/>
      <c r="J121" s="1395"/>
      <c r="K121" s="966"/>
      <c r="L121" s="966"/>
      <c r="M121" s="1328"/>
    </row>
    <row r="122" spans="1:16" s="1329" customFormat="1" ht="24" customHeight="1">
      <c r="A122" s="1330"/>
      <c r="B122" s="1331" t="s">
        <v>2035</v>
      </c>
      <c r="C122" s="1349"/>
      <c r="D122" s="801"/>
      <c r="E122" s="966">
        <v>7</v>
      </c>
      <c r="F122" s="1249" t="s">
        <v>1952</v>
      </c>
      <c r="G122" s="1406">
        <v>218</v>
      </c>
      <c r="H122" s="864">
        <f t="shared" ref="H122:H128" si="42">ROUND(E122*G122,)</f>
        <v>1526</v>
      </c>
      <c r="I122" s="1406">
        <v>194</v>
      </c>
      <c r="J122" s="1395">
        <f t="shared" ref="J122:J128" si="43">ROUND(E122*I122,)</f>
        <v>1358</v>
      </c>
      <c r="K122" s="966">
        <f t="shared" ref="K122:K128" si="44">H122+J122</f>
        <v>2884</v>
      </c>
      <c r="L122" s="966"/>
      <c r="M122" s="1328"/>
    </row>
    <row r="123" spans="1:16" s="1329" customFormat="1" ht="24" customHeight="1">
      <c r="A123" s="1330"/>
      <c r="B123" s="1331" t="s">
        <v>2036</v>
      </c>
      <c r="C123" s="1349"/>
      <c r="D123" s="801"/>
      <c r="E123" s="966">
        <v>52</v>
      </c>
      <c r="F123" s="1249" t="s">
        <v>1952</v>
      </c>
      <c r="G123" s="1406">
        <v>263</v>
      </c>
      <c r="H123" s="864">
        <f t="shared" si="42"/>
        <v>13676</v>
      </c>
      <c r="I123" s="1406">
        <v>259</v>
      </c>
      <c r="J123" s="1395">
        <f t="shared" si="43"/>
        <v>13468</v>
      </c>
      <c r="K123" s="966">
        <f t="shared" si="44"/>
        <v>27144</v>
      </c>
      <c r="L123" s="966"/>
      <c r="M123" s="1328"/>
    </row>
    <row r="124" spans="1:16" s="1329" customFormat="1" ht="24" customHeight="1">
      <c r="A124" s="1330"/>
      <c r="B124" s="1331" t="s">
        <v>1951</v>
      </c>
      <c r="C124" s="1349"/>
      <c r="D124" s="801"/>
      <c r="E124" s="966">
        <v>178</v>
      </c>
      <c r="F124" s="1249" t="s">
        <v>1952</v>
      </c>
      <c r="G124" s="1406">
        <v>314</v>
      </c>
      <c r="H124" s="864">
        <f t="shared" si="42"/>
        <v>55892</v>
      </c>
      <c r="I124" s="1406">
        <v>269</v>
      </c>
      <c r="J124" s="1395">
        <f t="shared" si="43"/>
        <v>47882</v>
      </c>
      <c r="K124" s="966">
        <f t="shared" si="44"/>
        <v>103774</v>
      </c>
      <c r="L124" s="966"/>
      <c r="M124" s="1328"/>
    </row>
    <row r="125" spans="1:16" s="1329" customFormat="1" ht="24" customHeight="1">
      <c r="A125" s="1330"/>
      <c r="B125" s="1331" t="s">
        <v>1953</v>
      </c>
      <c r="C125" s="1349"/>
      <c r="D125" s="801"/>
      <c r="E125" s="966">
        <v>494</v>
      </c>
      <c r="F125" s="1249" t="s">
        <v>1952</v>
      </c>
      <c r="G125" s="1406">
        <v>381</v>
      </c>
      <c r="H125" s="864">
        <f t="shared" si="42"/>
        <v>188214</v>
      </c>
      <c r="I125" s="1406">
        <v>323</v>
      </c>
      <c r="J125" s="1395">
        <f t="shared" si="43"/>
        <v>159562</v>
      </c>
      <c r="K125" s="966">
        <f t="shared" si="44"/>
        <v>347776</v>
      </c>
      <c r="L125" s="966"/>
      <c r="M125" s="1328"/>
    </row>
    <row r="126" spans="1:16" s="1329" customFormat="1" ht="24" customHeight="1">
      <c r="A126" s="1330"/>
      <c r="B126" s="1331" t="s">
        <v>1954</v>
      </c>
      <c r="C126" s="1349"/>
      <c r="D126" s="801"/>
      <c r="E126" s="966">
        <v>1508</v>
      </c>
      <c r="F126" s="1249" t="s">
        <v>1952</v>
      </c>
      <c r="G126" s="1406">
        <v>443</v>
      </c>
      <c r="H126" s="864">
        <f t="shared" si="42"/>
        <v>668044</v>
      </c>
      <c r="I126" s="1406">
        <v>377</v>
      </c>
      <c r="J126" s="1395">
        <f t="shared" si="43"/>
        <v>568516</v>
      </c>
      <c r="K126" s="966">
        <f t="shared" si="44"/>
        <v>1236560</v>
      </c>
      <c r="L126" s="966"/>
      <c r="M126" s="1328"/>
    </row>
    <row r="127" spans="1:16" s="1329" customFormat="1" ht="24" customHeight="1">
      <c r="A127" s="1330"/>
      <c r="B127" s="1331" t="s">
        <v>1645</v>
      </c>
      <c r="C127" s="1349"/>
      <c r="D127" s="801"/>
      <c r="E127" s="966">
        <v>1</v>
      </c>
      <c r="F127" s="1249" t="s">
        <v>948</v>
      </c>
      <c r="G127" s="1406">
        <f>ROUND(SUM(H122:H126)*40%,)</f>
        <v>370941</v>
      </c>
      <c r="H127" s="864">
        <f t="shared" si="42"/>
        <v>370941</v>
      </c>
      <c r="I127" s="1406">
        <f>ROUND(G127*30%,)</f>
        <v>111282</v>
      </c>
      <c r="J127" s="1395">
        <f t="shared" si="43"/>
        <v>111282</v>
      </c>
      <c r="K127" s="966">
        <f t="shared" si="44"/>
        <v>482223</v>
      </c>
      <c r="L127" s="966"/>
      <c r="M127" s="1328"/>
    </row>
    <row r="128" spans="1:16" s="1329" customFormat="1" ht="24" customHeight="1">
      <c r="A128" s="1330"/>
      <c r="B128" s="1331" t="s">
        <v>1646</v>
      </c>
      <c r="C128" s="1349"/>
      <c r="D128" s="801"/>
      <c r="E128" s="966">
        <v>1</v>
      </c>
      <c r="F128" s="1249" t="s">
        <v>948</v>
      </c>
      <c r="G128" s="1406">
        <f>ROUND(SUM(H122:H126)*15%,)</f>
        <v>139103</v>
      </c>
      <c r="H128" s="864">
        <f t="shared" si="42"/>
        <v>139103</v>
      </c>
      <c r="I128" s="1406">
        <f>ROUND(G128*30%,)</f>
        <v>41731</v>
      </c>
      <c r="J128" s="1395">
        <f t="shared" si="43"/>
        <v>41731</v>
      </c>
      <c r="K128" s="966">
        <f t="shared" si="44"/>
        <v>180834</v>
      </c>
      <c r="L128" s="966"/>
      <c r="M128" s="1328"/>
    </row>
    <row r="129" spans="1:18" s="1329" customFormat="1" ht="24" customHeight="1">
      <c r="A129" s="1330" t="s">
        <v>1974</v>
      </c>
      <c r="B129" s="1331" t="s">
        <v>2037</v>
      </c>
      <c r="C129" s="1349"/>
      <c r="D129" s="801"/>
      <c r="E129" s="966"/>
      <c r="F129" s="1249" t="s">
        <v>1952</v>
      </c>
      <c r="G129" s="1394"/>
      <c r="H129" s="864">
        <f>ROUND(E129*G129,)</f>
        <v>0</v>
      </c>
      <c r="I129" s="1394"/>
      <c r="J129" s="1395">
        <f>ROUND(E129*I129,)</f>
        <v>0</v>
      </c>
      <c r="K129" s="966">
        <f>H129+J129</f>
        <v>0</v>
      </c>
      <c r="L129" s="966"/>
      <c r="M129" s="1328"/>
      <c r="N129" s="1404"/>
      <c r="O129" s="1404"/>
      <c r="P129" s="1404"/>
      <c r="Q129" s="1404"/>
      <c r="R129" s="1404"/>
    </row>
    <row r="130" spans="1:18" s="1329" customFormat="1" ht="24" customHeight="1">
      <c r="A130" s="1330"/>
      <c r="B130" s="1331" t="s">
        <v>1645</v>
      </c>
      <c r="C130" s="1349"/>
      <c r="D130" s="801"/>
      <c r="E130" s="966"/>
      <c r="F130" s="1249" t="s">
        <v>948</v>
      </c>
      <c r="G130" s="1394"/>
      <c r="H130" s="864">
        <f t="shared" ref="H130:H131" si="45">ROUND(E130*G130,)</f>
        <v>0</v>
      </c>
      <c r="I130" s="1394"/>
      <c r="J130" s="1395">
        <f t="shared" ref="J130:J131" si="46">ROUND(E130*I130,)</f>
        <v>0</v>
      </c>
      <c r="K130" s="966">
        <f t="shared" ref="K130:K131" si="47">H130+J130</f>
        <v>0</v>
      </c>
      <c r="L130" s="966"/>
      <c r="M130" s="1328"/>
      <c r="N130" s="1404"/>
      <c r="O130" s="1404"/>
      <c r="P130" s="1404"/>
      <c r="Q130" s="1404"/>
      <c r="R130" s="1404"/>
    </row>
    <row r="131" spans="1:18" s="1329" customFormat="1" ht="24" customHeight="1">
      <c r="A131" s="1330"/>
      <c r="B131" s="1331" t="s">
        <v>1646</v>
      </c>
      <c r="C131" s="1349"/>
      <c r="D131" s="801"/>
      <c r="E131" s="966"/>
      <c r="F131" s="1249" t="s">
        <v>948</v>
      </c>
      <c r="G131" s="1394"/>
      <c r="H131" s="864">
        <f t="shared" si="45"/>
        <v>0</v>
      </c>
      <c r="I131" s="1394"/>
      <c r="J131" s="1395">
        <f t="shared" si="46"/>
        <v>0</v>
      </c>
      <c r="K131" s="966">
        <f t="shared" si="47"/>
        <v>0</v>
      </c>
      <c r="L131" s="966"/>
      <c r="M131" s="1328"/>
      <c r="N131" s="1404"/>
      <c r="O131" s="1404"/>
      <c r="P131" s="1404"/>
      <c r="Q131" s="1404"/>
      <c r="R131" s="1404"/>
    </row>
    <row r="132" spans="1:18" s="1329" customFormat="1" ht="24" customHeight="1">
      <c r="A132" s="1355"/>
      <c r="B132" s="1331" t="s">
        <v>957</v>
      </c>
      <c r="C132" s="1349"/>
      <c r="D132" s="801"/>
      <c r="E132" s="966"/>
      <c r="F132" s="1249"/>
      <c r="G132" s="1394"/>
      <c r="H132" s="864"/>
      <c r="I132" s="1394"/>
      <c r="J132" s="1395"/>
      <c r="K132" s="966"/>
      <c r="L132" s="966"/>
      <c r="M132" s="1328"/>
      <c r="N132" s="1404"/>
      <c r="O132" s="1404"/>
      <c r="P132" s="1404"/>
    </row>
    <row r="133" spans="1:18" s="1329" customFormat="1" ht="24" customHeight="1">
      <c r="A133" s="1409"/>
      <c r="B133" s="1410"/>
      <c r="C133" s="1411"/>
      <c r="D133" s="1412"/>
      <c r="E133" s="1082"/>
      <c r="F133" s="1413"/>
      <c r="G133" s="1414"/>
      <c r="H133" s="1415"/>
      <c r="I133" s="1414"/>
      <c r="J133" s="1416"/>
      <c r="K133" s="1082"/>
      <c r="L133" s="1082"/>
      <c r="M133" s="1328"/>
      <c r="N133" s="1404"/>
      <c r="O133" s="1404"/>
      <c r="P133" s="1404"/>
    </row>
    <row r="134" spans="1:18" s="1329" customFormat="1" ht="24" customHeight="1">
      <c r="A134" s="1166"/>
      <c r="B134" s="2475" t="str">
        <f>"รวมราคารายการที่ "&amp;A120</f>
        <v>รวมราคารายการที่ 7.7</v>
      </c>
      <c r="C134" s="2476"/>
      <c r="D134" s="2476"/>
      <c r="E134" s="1167"/>
      <c r="F134" s="1381"/>
      <c r="G134" s="1168"/>
      <c r="H134" s="1169">
        <f>SUM(H120:H132)</f>
        <v>1437396</v>
      </c>
      <c r="I134" s="1170"/>
      <c r="J134" s="1382">
        <f>SUM(J120:J132)</f>
        <v>943799</v>
      </c>
      <c r="K134" s="1171">
        <f>SUM(K120:K132)</f>
        <v>2381195</v>
      </c>
      <c r="L134" s="1171"/>
      <c r="M134" s="1328"/>
    </row>
    <row r="135" spans="1:18" s="1329" customFormat="1" ht="24" customHeight="1">
      <c r="A135" s="1325" t="s">
        <v>2038</v>
      </c>
      <c r="B135" s="1326" t="s">
        <v>1959</v>
      </c>
      <c r="C135" s="1347"/>
      <c r="D135" s="901"/>
      <c r="E135" s="1030"/>
      <c r="F135" s="1348"/>
      <c r="G135" s="1406"/>
      <c r="H135" s="905"/>
      <c r="I135" s="1406"/>
      <c r="J135" s="1407"/>
      <c r="K135" s="1030"/>
      <c r="L135" s="1030"/>
      <c r="M135" s="1328"/>
    </row>
    <row r="136" spans="1:18" s="1329" customFormat="1" ht="24" customHeight="1">
      <c r="A136" s="1330" t="s">
        <v>1979</v>
      </c>
      <c r="B136" s="1331" t="s">
        <v>1961</v>
      </c>
      <c r="C136" s="1349"/>
      <c r="D136" s="801"/>
      <c r="E136" s="966"/>
      <c r="F136" s="1249"/>
      <c r="G136" s="1394"/>
      <c r="H136" s="864"/>
      <c r="I136" s="1394"/>
      <c r="J136" s="1395"/>
      <c r="K136" s="966"/>
      <c r="L136" s="966"/>
      <c r="M136" s="1328"/>
    </row>
    <row r="137" spans="1:18" s="1329" customFormat="1" ht="24" customHeight="1">
      <c r="A137" s="1355"/>
      <c r="B137" s="1331" t="s">
        <v>1962</v>
      </c>
      <c r="C137" s="1349"/>
      <c r="D137" s="801"/>
      <c r="E137" s="1345"/>
      <c r="F137" s="1249" t="s">
        <v>1952</v>
      </c>
      <c r="G137" s="1394">
        <v>148</v>
      </c>
      <c r="H137" s="864">
        <f t="shared" ref="H137:H138" si="48">ROUND(E137*G137,)</f>
        <v>0</v>
      </c>
      <c r="I137" s="1394">
        <v>45</v>
      </c>
      <c r="J137" s="1395">
        <f t="shared" ref="J137:J138" si="49">ROUND(E137*I137,)</f>
        <v>0</v>
      </c>
      <c r="K137" s="966">
        <f t="shared" ref="K137:K138" si="50">H137+J137</f>
        <v>0</v>
      </c>
      <c r="L137" s="966"/>
      <c r="M137" s="1328"/>
    </row>
    <row r="138" spans="1:18" s="1329" customFormat="1" ht="24" customHeight="1">
      <c r="A138" s="1330" t="s">
        <v>1980</v>
      </c>
      <c r="B138" s="1331" t="s">
        <v>1965</v>
      </c>
      <c r="C138" s="1349"/>
      <c r="D138" s="801"/>
      <c r="E138" s="966"/>
      <c r="F138" s="1249" t="s">
        <v>948</v>
      </c>
      <c r="G138" s="1394">
        <f>E137*40</f>
        <v>0</v>
      </c>
      <c r="H138" s="864">
        <f t="shared" si="48"/>
        <v>0</v>
      </c>
      <c r="I138" s="1394">
        <f>E137*15</f>
        <v>0</v>
      </c>
      <c r="J138" s="1395">
        <f t="shared" si="49"/>
        <v>0</v>
      </c>
      <c r="K138" s="966">
        <f t="shared" si="50"/>
        <v>0</v>
      </c>
      <c r="L138" s="966"/>
      <c r="M138" s="1328"/>
    </row>
    <row r="139" spans="1:18" s="1329" customFormat="1" ht="24" customHeight="1">
      <c r="A139" s="1355"/>
      <c r="B139" s="1331" t="s">
        <v>957</v>
      </c>
      <c r="C139" s="1349"/>
      <c r="D139" s="801"/>
      <c r="E139" s="966"/>
      <c r="F139" s="1249"/>
      <c r="G139" s="1394"/>
      <c r="H139" s="864"/>
      <c r="I139" s="1394"/>
      <c r="J139" s="1395"/>
      <c r="K139" s="966"/>
      <c r="L139" s="966"/>
      <c r="M139" s="1328"/>
    </row>
    <row r="140" spans="1:18" s="1329" customFormat="1" ht="24" customHeight="1">
      <c r="A140" s="1355"/>
      <c r="B140" s="1331" t="s">
        <v>958</v>
      </c>
      <c r="C140" s="1349"/>
      <c r="D140" s="801"/>
      <c r="E140" s="966"/>
      <c r="F140" s="1249"/>
      <c r="G140" s="1394"/>
      <c r="H140" s="864"/>
      <c r="I140" s="1394"/>
      <c r="J140" s="1395"/>
      <c r="K140" s="966"/>
      <c r="L140" s="966"/>
      <c r="M140" s="1328"/>
    </row>
    <row r="141" spans="1:18" s="1329" customFormat="1" ht="24" customHeight="1">
      <c r="A141" s="1355"/>
      <c r="B141" s="1331" t="s">
        <v>958</v>
      </c>
      <c r="C141" s="1349"/>
      <c r="D141" s="801"/>
      <c r="E141" s="966"/>
      <c r="F141" s="1249"/>
      <c r="G141" s="1394"/>
      <c r="H141" s="864"/>
      <c r="I141" s="1394"/>
      <c r="J141" s="1395"/>
      <c r="K141" s="966"/>
      <c r="L141" s="966"/>
      <c r="M141" s="1328"/>
    </row>
    <row r="142" spans="1:18" s="1329" customFormat="1" ht="24" customHeight="1">
      <c r="A142" s="1417"/>
      <c r="B142" s="1335"/>
      <c r="C142" s="1352"/>
      <c r="D142" s="890"/>
      <c r="E142" s="1337"/>
      <c r="F142" s="1353"/>
      <c r="G142" s="1418"/>
      <c r="H142" s="891"/>
      <c r="I142" s="1418"/>
      <c r="J142" s="1419"/>
      <c r="K142" s="1337"/>
      <c r="L142" s="1337"/>
      <c r="M142" s="1328"/>
    </row>
    <row r="143" spans="1:18" s="1329" customFormat="1" ht="24" customHeight="1">
      <c r="A143" s="1166"/>
      <c r="B143" s="2475" t="str">
        <f>"รวมราคารายการที่ "&amp;A135</f>
        <v>รวมราคารายการที่ 7.8</v>
      </c>
      <c r="C143" s="2476"/>
      <c r="D143" s="2476"/>
      <c r="E143" s="1167"/>
      <c r="F143" s="1381"/>
      <c r="G143" s="1168"/>
      <c r="H143" s="1169">
        <f>SUM(H136:H142)</f>
        <v>0</v>
      </c>
      <c r="I143" s="1170"/>
      <c r="J143" s="1382">
        <f>SUM(J136:J142)</f>
        <v>0</v>
      </c>
      <c r="K143" s="1171">
        <f>SUM(K136:K142)</f>
        <v>0</v>
      </c>
      <c r="L143" s="1171"/>
      <c r="M143" s="1328"/>
    </row>
    <row r="144" spans="1:18" s="1329" customFormat="1" ht="24" customHeight="1">
      <c r="A144" s="1325" t="s">
        <v>2039</v>
      </c>
      <c r="B144" s="1326" t="s">
        <v>1968</v>
      </c>
      <c r="C144" s="1347"/>
      <c r="D144" s="901"/>
      <c r="E144" s="1030"/>
      <c r="F144" s="1348"/>
      <c r="G144" s="1406"/>
      <c r="H144" s="905"/>
      <c r="I144" s="1406"/>
      <c r="J144" s="1407"/>
      <c r="K144" s="1030"/>
      <c r="L144" s="1030"/>
      <c r="M144" s="1328"/>
    </row>
    <row r="145" spans="1:16" s="1329" customFormat="1" ht="24" customHeight="1">
      <c r="A145" s="1330" t="s">
        <v>2040</v>
      </c>
      <c r="B145" s="1331" t="s">
        <v>2041</v>
      </c>
      <c r="C145" s="1349"/>
      <c r="D145" s="801"/>
      <c r="E145" s="966"/>
      <c r="F145" s="1249"/>
      <c r="G145" s="1394"/>
      <c r="H145" s="864"/>
      <c r="I145" s="1394"/>
      <c r="J145" s="1395"/>
      <c r="K145" s="966"/>
      <c r="L145" s="966"/>
      <c r="M145" s="1328"/>
      <c r="P145" s="1404"/>
    </row>
    <row r="146" spans="1:16" s="1329" customFormat="1" ht="24" customHeight="1">
      <c r="A146" s="1330"/>
      <c r="B146" s="1331" t="str">
        <f>"  -  "&amp;M146&amp;" มม."</f>
        <v xml:space="preserve">  -  200x200 มม.</v>
      </c>
      <c r="C146" s="1349"/>
      <c r="D146" s="801"/>
      <c r="E146" s="1350">
        <f>N146</f>
        <v>4</v>
      </c>
      <c r="F146" s="1348" t="s">
        <v>240</v>
      </c>
      <c r="G146" s="849">
        <v>500</v>
      </c>
      <c r="H146" s="796">
        <f t="shared" ref="H146:H157" si="51">ROUND(E146*G146,)</f>
        <v>2000</v>
      </c>
      <c r="I146" s="849">
        <v>100</v>
      </c>
      <c r="J146" s="1395">
        <f t="shared" ref="J146:J157" si="52">ROUND(E146*I146,)</f>
        <v>400</v>
      </c>
      <c r="K146" s="966">
        <f t="shared" ref="K146:K157" si="53">H146+J146</f>
        <v>2400</v>
      </c>
      <c r="L146" s="966"/>
      <c r="M146" s="1420" t="s">
        <v>2042</v>
      </c>
      <c r="N146" s="1404">
        <v>4</v>
      </c>
      <c r="O146" s="1404"/>
      <c r="P146" s="1404"/>
    </row>
    <row r="147" spans="1:16" s="1329" customFormat="1" ht="24" customHeight="1">
      <c r="A147" s="1330"/>
      <c r="B147" s="1331" t="str">
        <f t="shared" ref="B147:B157" si="54">"  -  "&amp;M147&amp;" มม."</f>
        <v xml:space="preserve">  -  500x500 มม.</v>
      </c>
      <c r="C147" s="1349"/>
      <c r="D147" s="801"/>
      <c r="E147" s="1350">
        <f t="shared" ref="E147:E157" si="55">N147</f>
        <v>2</v>
      </c>
      <c r="F147" s="1348" t="s">
        <v>240</v>
      </c>
      <c r="G147" s="849">
        <v>1000</v>
      </c>
      <c r="H147" s="796">
        <f t="shared" si="51"/>
        <v>2000</v>
      </c>
      <c r="I147" s="849">
        <v>100</v>
      </c>
      <c r="J147" s="1395">
        <f t="shared" si="52"/>
        <v>200</v>
      </c>
      <c r="K147" s="966">
        <f t="shared" si="53"/>
        <v>2200</v>
      </c>
      <c r="L147" s="966"/>
      <c r="M147" s="1420" t="s">
        <v>2043</v>
      </c>
      <c r="N147">
        <v>2</v>
      </c>
      <c r="O147" s="1404"/>
      <c r="P147" s="1404"/>
    </row>
    <row r="148" spans="1:16" s="1329" customFormat="1" ht="24" customHeight="1">
      <c r="A148" s="1330"/>
      <c r="B148" s="1331" t="str">
        <f t="shared" si="54"/>
        <v xml:space="preserve">  -  600x550 มม.</v>
      </c>
      <c r="C148" s="1349"/>
      <c r="D148" s="801"/>
      <c r="E148" s="1350">
        <f t="shared" si="55"/>
        <v>4</v>
      </c>
      <c r="F148" s="1348" t="s">
        <v>240</v>
      </c>
      <c r="G148" s="849">
        <v>1100</v>
      </c>
      <c r="H148" s="796">
        <f t="shared" si="51"/>
        <v>4400</v>
      </c>
      <c r="I148" s="849">
        <v>100</v>
      </c>
      <c r="J148" s="1395">
        <f t="shared" si="52"/>
        <v>400</v>
      </c>
      <c r="K148" s="966">
        <f t="shared" si="53"/>
        <v>4800</v>
      </c>
      <c r="L148" s="966"/>
      <c r="M148" s="1420" t="s">
        <v>2044</v>
      </c>
      <c r="N148">
        <v>4</v>
      </c>
      <c r="O148" s="1404"/>
      <c r="P148" s="1404"/>
    </row>
    <row r="149" spans="1:16" s="1329" customFormat="1" ht="24" customHeight="1">
      <c r="A149" s="1330"/>
      <c r="B149" s="1331" t="str">
        <f t="shared" si="54"/>
        <v xml:space="preserve">  -  650x650 มม.</v>
      </c>
      <c r="C149" s="1349"/>
      <c r="D149" s="801"/>
      <c r="E149" s="1350">
        <f t="shared" si="55"/>
        <v>4</v>
      </c>
      <c r="F149" s="1348" t="s">
        <v>240</v>
      </c>
      <c r="G149" s="849">
        <v>1300</v>
      </c>
      <c r="H149" s="796">
        <f t="shared" si="51"/>
        <v>5200</v>
      </c>
      <c r="I149" s="849">
        <v>100</v>
      </c>
      <c r="J149" s="1395">
        <f t="shared" si="52"/>
        <v>400</v>
      </c>
      <c r="K149" s="966">
        <f t="shared" si="53"/>
        <v>5600</v>
      </c>
      <c r="L149" s="966"/>
      <c r="M149" s="1420" t="s">
        <v>2045</v>
      </c>
      <c r="N149">
        <v>4</v>
      </c>
      <c r="O149" s="1404"/>
      <c r="P149" s="1404"/>
    </row>
    <row r="150" spans="1:16" s="1329" customFormat="1" ht="24" customHeight="1">
      <c r="A150" s="1330"/>
      <c r="B150" s="1331" t="str">
        <f t="shared" si="54"/>
        <v xml:space="preserve">  -  800x350 มม.</v>
      </c>
      <c r="C150" s="1349"/>
      <c r="D150" s="801"/>
      <c r="E150" s="1350">
        <f t="shared" si="55"/>
        <v>2</v>
      </c>
      <c r="F150" s="1348" t="s">
        <v>240</v>
      </c>
      <c r="G150" s="849">
        <v>1120</v>
      </c>
      <c r="H150" s="796">
        <f t="shared" si="51"/>
        <v>2240</v>
      </c>
      <c r="I150" s="849">
        <v>100</v>
      </c>
      <c r="J150" s="1395">
        <f t="shared" si="52"/>
        <v>200</v>
      </c>
      <c r="K150" s="966">
        <f t="shared" si="53"/>
        <v>2440</v>
      </c>
      <c r="L150" s="966"/>
      <c r="M150" s="1420" t="s">
        <v>2046</v>
      </c>
      <c r="N150">
        <v>2</v>
      </c>
      <c r="O150" s="1404"/>
      <c r="P150" s="1404"/>
    </row>
    <row r="151" spans="1:16" s="1329" customFormat="1" ht="24" customHeight="1">
      <c r="A151" s="1330"/>
      <c r="B151" s="1331" t="str">
        <f t="shared" si="54"/>
        <v xml:space="preserve">  -  900x850 มม.</v>
      </c>
      <c r="C151" s="1349"/>
      <c r="D151" s="801"/>
      <c r="E151" s="1350">
        <f t="shared" si="55"/>
        <v>6</v>
      </c>
      <c r="F151" s="1348" t="s">
        <v>240</v>
      </c>
      <c r="G151" s="849">
        <v>3030</v>
      </c>
      <c r="H151" s="796">
        <f t="shared" si="51"/>
        <v>18180</v>
      </c>
      <c r="I151" s="849">
        <v>100</v>
      </c>
      <c r="J151" s="1395">
        <f t="shared" si="52"/>
        <v>600</v>
      </c>
      <c r="K151" s="966">
        <f t="shared" si="53"/>
        <v>18780</v>
      </c>
      <c r="L151" s="966"/>
      <c r="M151" s="1420" t="s">
        <v>2047</v>
      </c>
      <c r="N151">
        <v>6</v>
      </c>
      <c r="O151" s="1404"/>
      <c r="P151" s="1404"/>
    </row>
    <row r="152" spans="1:16" s="1329" customFormat="1" ht="24" customHeight="1">
      <c r="A152" s="1330" t="s">
        <v>2048</v>
      </c>
      <c r="B152" s="1331" t="s">
        <v>2049</v>
      </c>
      <c r="C152" s="1349"/>
      <c r="D152" s="801"/>
      <c r="E152" s="1350"/>
      <c r="F152" s="1348"/>
      <c r="G152" s="849"/>
      <c r="H152" s="796"/>
      <c r="I152" s="849"/>
      <c r="J152" s="1395"/>
      <c r="K152" s="966"/>
      <c r="L152" s="966"/>
      <c r="M152" s="1328"/>
    </row>
    <row r="153" spans="1:16" s="1329" customFormat="1" ht="24" customHeight="1">
      <c r="A153" s="1330"/>
      <c r="B153" s="1331" t="str">
        <f t="shared" si="54"/>
        <v xml:space="preserve">  -  300x200 มม.</v>
      </c>
      <c r="C153" s="1349"/>
      <c r="D153" s="801"/>
      <c r="E153" s="1350">
        <f t="shared" si="55"/>
        <v>8</v>
      </c>
      <c r="F153" s="1348" t="s">
        <v>240</v>
      </c>
      <c r="G153" s="849">
        <v>500</v>
      </c>
      <c r="H153" s="796">
        <f t="shared" si="51"/>
        <v>4000</v>
      </c>
      <c r="I153" s="849">
        <v>100</v>
      </c>
      <c r="J153" s="1395">
        <f t="shared" si="52"/>
        <v>800</v>
      </c>
      <c r="K153" s="966">
        <f t="shared" si="53"/>
        <v>4800</v>
      </c>
      <c r="L153" s="966"/>
      <c r="M153" s="1420" t="s">
        <v>2050</v>
      </c>
      <c r="N153">
        <v>8</v>
      </c>
      <c r="O153" s="1404"/>
      <c r="P153" s="1404"/>
    </row>
    <row r="154" spans="1:16" s="1329" customFormat="1" ht="24" customHeight="1">
      <c r="A154" s="1330"/>
      <c r="B154" s="1331" t="str">
        <f t="shared" si="54"/>
        <v xml:space="preserve">  -  450x450 มม.</v>
      </c>
      <c r="C154" s="1349"/>
      <c r="D154" s="801"/>
      <c r="E154" s="1350">
        <f t="shared" si="55"/>
        <v>8</v>
      </c>
      <c r="F154" s="1348" t="s">
        <v>240</v>
      </c>
      <c r="G154" s="849">
        <v>1000</v>
      </c>
      <c r="H154" s="796">
        <f t="shared" si="51"/>
        <v>8000</v>
      </c>
      <c r="I154" s="849">
        <v>100</v>
      </c>
      <c r="J154" s="1395">
        <f t="shared" si="52"/>
        <v>800</v>
      </c>
      <c r="K154" s="966">
        <f t="shared" si="53"/>
        <v>8800</v>
      </c>
      <c r="L154" s="966"/>
      <c r="M154" s="1420" t="s">
        <v>2051</v>
      </c>
      <c r="N154">
        <v>8</v>
      </c>
      <c r="O154" s="1404"/>
      <c r="P154" s="1404"/>
    </row>
    <row r="155" spans="1:16" s="1329" customFormat="1" ht="24" customHeight="1">
      <c r="A155" s="1330" t="s">
        <v>2048</v>
      </c>
      <c r="B155" t="s">
        <v>2052</v>
      </c>
      <c r="C155" s="1349"/>
      <c r="D155" s="801"/>
      <c r="E155" s="1350"/>
      <c r="F155" s="1348"/>
      <c r="G155" s="849"/>
      <c r="H155" s="796"/>
      <c r="I155" s="849"/>
      <c r="J155" s="1395"/>
      <c r="K155" s="966"/>
      <c r="L155" s="966"/>
      <c r="M155" s="1328"/>
    </row>
    <row r="156" spans="1:16" s="1329" customFormat="1" ht="24" customHeight="1">
      <c r="A156" s="1330"/>
      <c r="B156" s="1331" t="str">
        <f t="shared" si="54"/>
        <v xml:space="preserve">  -  2200x650 มม.</v>
      </c>
      <c r="C156" s="1349"/>
      <c r="D156" s="801"/>
      <c r="E156" s="1350">
        <f t="shared" si="55"/>
        <v>24</v>
      </c>
      <c r="F156" s="1348" t="s">
        <v>240</v>
      </c>
      <c r="G156" s="849">
        <v>10500</v>
      </c>
      <c r="H156" s="796">
        <f t="shared" si="51"/>
        <v>252000</v>
      </c>
      <c r="I156" s="849">
        <v>500</v>
      </c>
      <c r="J156" s="1395">
        <f t="shared" si="52"/>
        <v>12000</v>
      </c>
      <c r="K156" s="966">
        <f t="shared" si="53"/>
        <v>264000</v>
      </c>
      <c r="L156" s="966"/>
      <c r="M156" s="1420" t="s">
        <v>2053</v>
      </c>
      <c r="N156">
        <v>24</v>
      </c>
      <c r="O156" s="1404"/>
      <c r="P156" s="1404"/>
    </row>
    <row r="157" spans="1:16" s="1329" customFormat="1" ht="24" customHeight="1">
      <c r="A157" s="1330"/>
      <c r="B157" s="1331" t="str">
        <f t="shared" si="54"/>
        <v xml:space="preserve">  -  2300x650 มม.</v>
      </c>
      <c r="C157" s="1349"/>
      <c r="D157" s="801"/>
      <c r="E157" s="1350">
        <f t="shared" si="55"/>
        <v>32</v>
      </c>
      <c r="F157" s="1348" t="s">
        <v>240</v>
      </c>
      <c r="G157" s="849">
        <v>10500</v>
      </c>
      <c r="H157" s="796">
        <f t="shared" si="51"/>
        <v>336000</v>
      </c>
      <c r="I157" s="849">
        <v>500</v>
      </c>
      <c r="J157" s="1395">
        <f t="shared" si="52"/>
        <v>16000</v>
      </c>
      <c r="K157" s="966">
        <f t="shared" si="53"/>
        <v>352000</v>
      </c>
      <c r="L157" s="966"/>
      <c r="M157" s="1420" t="s">
        <v>2054</v>
      </c>
      <c r="N157">
        <v>32</v>
      </c>
      <c r="O157" s="1404"/>
      <c r="P157" s="1404"/>
    </row>
    <row r="158" spans="1:16" s="1329" customFormat="1" ht="24" customHeight="1">
      <c r="A158" s="1330"/>
      <c r="B158" s="1331"/>
      <c r="C158" s="1349"/>
      <c r="D158" s="801"/>
      <c r="E158" s="1350"/>
      <c r="F158" s="1348"/>
      <c r="G158" s="849"/>
      <c r="H158" s="796"/>
      <c r="I158" s="849"/>
      <c r="J158" s="1395"/>
      <c r="K158" s="966"/>
      <c r="L158" s="966"/>
      <c r="M158" s="1420"/>
      <c r="N158"/>
      <c r="O158" s="1404"/>
      <c r="P158" s="1404"/>
    </row>
    <row r="159" spans="1:16" s="1329" customFormat="1" ht="24" customHeight="1">
      <c r="A159" s="1330"/>
      <c r="B159" s="1331"/>
      <c r="C159" s="1349"/>
      <c r="D159" s="801"/>
      <c r="E159" s="1350"/>
      <c r="F159" s="1348"/>
      <c r="G159" s="849"/>
      <c r="H159" s="796"/>
      <c r="I159" s="849"/>
      <c r="J159" s="1395"/>
      <c r="K159" s="966"/>
      <c r="L159" s="966"/>
      <c r="M159" s="1420"/>
      <c r="N159"/>
      <c r="O159" s="1404"/>
      <c r="P159" s="1404"/>
    </row>
    <row r="160" spans="1:16" s="1329" customFormat="1" ht="24" customHeight="1">
      <c r="A160" s="1330" t="s">
        <v>2048</v>
      </c>
      <c r="B160" s="1331" t="s">
        <v>2055</v>
      </c>
      <c r="C160" s="1349"/>
      <c r="D160" s="801"/>
      <c r="E160" s="1350"/>
      <c r="F160" s="1348"/>
      <c r="G160" s="849"/>
      <c r="H160" s="796"/>
      <c r="I160" s="849"/>
      <c r="J160" s="1395"/>
      <c r="K160" s="966"/>
      <c r="L160" s="966"/>
      <c r="M160" s="1328"/>
    </row>
    <row r="161" spans="1:29" s="1329" customFormat="1" ht="24" customHeight="1">
      <c r="A161" s="1330"/>
      <c r="B161" s="1331" t="str">
        <f t="shared" ref="B161:B170" si="56">"  -  "&amp;M161&amp;" มม."</f>
        <v xml:space="preserve">  -  250x200 มม.</v>
      </c>
      <c r="C161" s="1349"/>
      <c r="D161" s="801"/>
      <c r="E161" s="1350">
        <f t="shared" ref="E161:E170" si="57">N161</f>
        <v>4</v>
      </c>
      <c r="F161" s="1348" t="s">
        <v>240</v>
      </c>
      <c r="G161" s="1394">
        <v>1100</v>
      </c>
      <c r="H161" s="864">
        <f t="shared" ref="H161:H170" si="58">ROUND(E161*G161,)</f>
        <v>4400</v>
      </c>
      <c r="I161" s="1394">
        <v>300</v>
      </c>
      <c r="J161" s="1395">
        <f t="shared" ref="J161:J170" si="59">ROUND(E161*I161,)</f>
        <v>1200</v>
      </c>
      <c r="K161" s="966">
        <f t="shared" ref="K161:K170" si="60">H161+J161</f>
        <v>5600</v>
      </c>
      <c r="L161" s="966"/>
      <c r="M161" s="1328" t="s">
        <v>2056</v>
      </c>
      <c r="N161">
        <v>4</v>
      </c>
      <c r="O161" s="1404"/>
      <c r="P161" s="1404"/>
      <c r="W161" s="1404"/>
      <c r="X161" s="1404"/>
      <c r="Y161" s="1404"/>
      <c r="Z161" s="1404"/>
      <c r="AB161" s="1404"/>
      <c r="AC161" s="1404"/>
    </row>
    <row r="162" spans="1:29" s="1329" customFormat="1" ht="24" customHeight="1">
      <c r="A162" s="1330"/>
      <c r="B162" s="1331" t="str">
        <f t="shared" si="56"/>
        <v xml:space="preserve">  -  500x500 มม.</v>
      </c>
      <c r="C162" s="1349"/>
      <c r="D162" s="801"/>
      <c r="E162" s="1350">
        <f t="shared" si="57"/>
        <v>2</v>
      </c>
      <c r="F162" s="1348" t="s">
        <v>240</v>
      </c>
      <c r="G162" s="1394">
        <v>2500</v>
      </c>
      <c r="H162" s="864">
        <f t="shared" si="58"/>
        <v>5000</v>
      </c>
      <c r="I162" s="1394">
        <v>300</v>
      </c>
      <c r="J162" s="1395">
        <f t="shared" si="59"/>
        <v>600</v>
      </c>
      <c r="K162" s="966">
        <f t="shared" si="60"/>
        <v>5600</v>
      </c>
      <c r="L162" s="966"/>
      <c r="M162" s="1328" t="s">
        <v>2043</v>
      </c>
      <c r="N162">
        <v>2</v>
      </c>
      <c r="O162" s="1404"/>
      <c r="P162" s="1404"/>
      <c r="W162" s="1404"/>
      <c r="X162" s="1404"/>
      <c r="Y162" s="1404"/>
      <c r="Z162" s="1404"/>
      <c r="AB162" s="1404"/>
      <c r="AC162" s="1404"/>
    </row>
    <row r="163" spans="1:29" s="1329" customFormat="1" ht="24" customHeight="1">
      <c r="A163" s="1330"/>
      <c r="B163" s="1331" t="str">
        <f t="shared" si="56"/>
        <v xml:space="preserve">  -  650x650 มม.</v>
      </c>
      <c r="C163" s="1349"/>
      <c r="D163" s="801"/>
      <c r="E163" s="1350">
        <f t="shared" si="57"/>
        <v>4</v>
      </c>
      <c r="F163" s="1348" t="s">
        <v>240</v>
      </c>
      <c r="G163" s="1394">
        <v>3250</v>
      </c>
      <c r="H163" s="864">
        <f t="shared" si="58"/>
        <v>13000</v>
      </c>
      <c r="I163" s="1394">
        <v>300</v>
      </c>
      <c r="J163" s="1395">
        <f t="shared" si="59"/>
        <v>1200</v>
      </c>
      <c r="K163" s="966">
        <f t="shared" si="60"/>
        <v>14200</v>
      </c>
      <c r="L163" s="966"/>
      <c r="M163" s="1328" t="s">
        <v>2045</v>
      </c>
      <c r="N163">
        <v>4</v>
      </c>
      <c r="O163" s="1404"/>
      <c r="P163" s="1404"/>
      <c r="W163" s="1404"/>
      <c r="X163" s="1404"/>
      <c r="Y163" s="1404"/>
      <c r="Z163" s="1404"/>
      <c r="AB163" s="1404"/>
      <c r="AC163" s="1404"/>
    </row>
    <row r="164" spans="1:29" s="1329" customFormat="1" ht="24" customHeight="1">
      <c r="A164" s="1330"/>
      <c r="B164" s="1331" t="str">
        <f t="shared" si="56"/>
        <v xml:space="preserve">  -  900x850 มม.</v>
      </c>
      <c r="C164" s="1349"/>
      <c r="D164" s="801"/>
      <c r="E164" s="1350">
        <f t="shared" si="57"/>
        <v>6</v>
      </c>
      <c r="F164" s="1348" t="s">
        <v>240</v>
      </c>
      <c r="G164" s="1394">
        <v>4375</v>
      </c>
      <c r="H164" s="864">
        <f t="shared" si="58"/>
        <v>26250</v>
      </c>
      <c r="I164" s="1394">
        <v>300</v>
      </c>
      <c r="J164" s="1395">
        <f t="shared" si="59"/>
        <v>1800</v>
      </c>
      <c r="K164" s="966">
        <f t="shared" si="60"/>
        <v>28050</v>
      </c>
      <c r="L164" s="966"/>
      <c r="M164" s="1328" t="s">
        <v>2047</v>
      </c>
      <c r="N164">
        <v>6</v>
      </c>
      <c r="O164" s="1404"/>
      <c r="P164" s="1404"/>
      <c r="W164" s="1404"/>
      <c r="X164" s="1404"/>
      <c r="Y164" s="1404"/>
      <c r="Z164" s="1404"/>
      <c r="AB164" s="1404"/>
      <c r="AC164" s="1404"/>
    </row>
    <row r="165" spans="1:29" s="1329" customFormat="1" ht="24" customHeight="1">
      <c r="A165" s="1330"/>
      <c r="B165" s="1331" t="str">
        <f t="shared" si="56"/>
        <v xml:space="preserve">  -  1150x1950 มม.</v>
      </c>
      <c r="C165" s="1349"/>
      <c r="D165" s="801"/>
      <c r="E165" s="1350">
        <f t="shared" si="57"/>
        <v>1</v>
      </c>
      <c r="F165" s="1348" t="s">
        <v>240</v>
      </c>
      <c r="G165" s="1394">
        <v>7750</v>
      </c>
      <c r="H165" s="864">
        <f t="shared" si="58"/>
        <v>7750</v>
      </c>
      <c r="I165" s="1394">
        <v>325</v>
      </c>
      <c r="J165" s="1395">
        <f t="shared" si="59"/>
        <v>325</v>
      </c>
      <c r="K165" s="966">
        <f t="shared" si="60"/>
        <v>8075</v>
      </c>
      <c r="L165" s="966"/>
      <c r="M165" s="1328" t="s">
        <v>2057</v>
      </c>
      <c r="N165">
        <v>1</v>
      </c>
      <c r="O165" s="1404"/>
      <c r="P165" s="1404"/>
      <c r="W165" s="1404"/>
      <c r="X165" s="1404"/>
      <c r="Y165" s="1404"/>
      <c r="Z165" s="1404"/>
      <c r="AB165" s="1404"/>
      <c r="AC165" s="1404"/>
    </row>
    <row r="166" spans="1:29" s="1329" customFormat="1" ht="24" customHeight="1">
      <c r="A166" s="1330"/>
      <c r="B166" s="1331" t="str">
        <f t="shared" si="56"/>
        <v xml:space="preserve">  -  1300x1950 มม.</v>
      </c>
      <c r="C166" s="1349"/>
      <c r="D166" s="801"/>
      <c r="E166" s="1350">
        <f t="shared" si="57"/>
        <v>1</v>
      </c>
      <c r="F166" s="1348" t="s">
        <v>240</v>
      </c>
      <c r="G166" s="1394">
        <v>8125</v>
      </c>
      <c r="H166" s="864">
        <f t="shared" si="58"/>
        <v>8125</v>
      </c>
      <c r="I166" s="1394">
        <v>325</v>
      </c>
      <c r="J166" s="1395">
        <f t="shared" si="59"/>
        <v>325</v>
      </c>
      <c r="K166" s="966">
        <f t="shared" si="60"/>
        <v>8450</v>
      </c>
      <c r="L166" s="966"/>
      <c r="M166" s="1328" t="s">
        <v>2058</v>
      </c>
      <c r="N166">
        <v>1</v>
      </c>
      <c r="O166" s="1404"/>
      <c r="P166" s="1404"/>
      <c r="W166" s="1404"/>
      <c r="X166" s="1404"/>
      <c r="Y166" s="1404"/>
      <c r="Z166" s="1404"/>
      <c r="AB166" s="1404"/>
      <c r="AC166" s="1404"/>
    </row>
    <row r="167" spans="1:29" s="1329" customFormat="1" ht="24" customHeight="1">
      <c r="A167" s="1330"/>
      <c r="B167" s="1331" t="str">
        <f t="shared" si="56"/>
        <v xml:space="preserve">  -  1600x1200 มม.</v>
      </c>
      <c r="C167" s="1349"/>
      <c r="D167" s="801"/>
      <c r="E167" s="1350">
        <f t="shared" si="57"/>
        <v>1</v>
      </c>
      <c r="F167" s="1348" t="s">
        <v>240</v>
      </c>
      <c r="G167" s="1394">
        <v>7000</v>
      </c>
      <c r="H167" s="864">
        <f t="shared" si="58"/>
        <v>7000</v>
      </c>
      <c r="I167" s="1394">
        <v>325</v>
      </c>
      <c r="J167" s="1395">
        <f t="shared" si="59"/>
        <v>325</v>
      </c>
      <c r="K167" s="966">
        <f t="shared" si="60"/>
        <v>7325</v>
      </c>
      <c r="L167" s="966"/>
      <c r="M167" s="1328" t="s">
        <v>2059</v>
      </c>
      <c r="N167">
        <v>1</v>
      </c>
      <c r="O167" s="1404"/>
      <c r="P167" s="1404"/>
      <c r="W167" s="1404"/>
      <c r="X167" s="1404"/>
      <c r="Y167" s="1404"/>
      <c r="Z167" s="1404"/>
      <c r="AB167" s="1404"/>
      <c r="AC167" s="1404"/>
    </row>
    <row r="168" spans="1:29" s="1329" customFormat="1" ht="24" customHeight="1">
      <c r="A168" s="1330"/>
      <c r="B168" s="1331" t="str">
        <f t="shared" si="56"/>
        <v xml:space="preserve">  -  1900x1200 มม.</v>
      </c>
      <c r="C168" s="1349"/>
      <c r="D168" s="801"/>
      <c r="E168" s="1350">
        <f t="shared" si="57"/>
        <v>3</v>
      </c>
      <c r="F168" s="1348" t="s">
        <v>240</v>
      </c>
      <c r="G168" s="1394">
        <v>7750</v>
      </c>
      <c r="H168" s="864">
        <f t="shared" si="58"/>
        <v>23250</v>
      </c>
      <c r="I168" s="1394">
        <v>325</v>
      </c>
      <c r="J168" s="1395">
        <f t="shared" si="59"/>
        <v>975</v>
      </c>
      <c r="K168" s="966">
        <f t="shared" si="60"/>
        <v>24225</v>
      </c>
      <c r="L168" s="966"/>
      <c r="M168" s="1328" t="s">
        <v>2060</v>
      </c>
      <c r="N168">
        <v>3</v>
      </c>
      <c r="O168" s="1404"/>
      <c r="P168" s="1404"/>
      <c r="W168" s="1404"/>
      <c r="X168" s="1404"/>
      <c r="Y168" s="1404"/>
      <c r="Z168" s="1404"/>
      <c r="AB168" s="1404"/>
      <c r="AC168" s="1404"/>
    </row>
    <row r="169" spans="1:29" s="1329" customFormat="1" ht="24" customHeight="1">
      <c r="A169" s="1330"/>
      <c r="B169" s="1331" t="str">
        <f t="shared" si="56"/>
        <v xml:space="preserve">  -  2200x650 มม.</v>
      </c>
      <c r="C169" s="1349"/>
      <c r="D169" s="801"/>
      <c r="E169" s="1350">
        <f t="shared" si="57"/>
        <v>1</v>
      </c>
      <c r="F169" s="1348" t="s">
        <v>240</v>
      </c>
      <c r="G169" s="1394">
        <v>7125</v>
      </c>
      <c r="H169" s="864">
        <f t="shared" si="58"/>
        <v>7125</v>
      </c>
      <c r="I169" s="1394">
        <v>325</v>
      </c>
      <c r="J169" s="1395">
        <f t="shared" si="59"/>
        <v>325</v>
      </c>
      <c r="K169" s="966">
        <f t="shared" si="60"/>
        <v>7450</v>
      </c>
      <c r="L169" s="966"/>
      <c r="M169" s="1328" t="s">
        <v>2053</v>
      </c>
      <c r="N169">
        <v>1</v>
      </c>
      <c r="O169" s="1404"/>
      <c r="P169" s="1404"/>
      <c r="W169" s="1404"/>
      <c r="X169" s="1404"/>
      <c r="Y169" s="1404"/>
      <c r="Z169" s="1404"/>
      <c r="AB169" s="1404"/>
      <c r="AC169" s="1404"/>
    </row>
    <row r="170" spans="1:29" s="1329" customFormat="1" ht="24" customHeight="1">
      <c r="A170" s="1330"/>
      <c r="B170" s="1331" t="str">
        <f t="shared" si="56"/>
        <v xml:space="preserve">  -  2500x650 มม.</v>
      </c>
      <c r="C170" s="1349"/>
      <c r="D170" s="801"/>
      <c r="E170" s="1350">
        <f t="shared" si="57"/>
        <v>11</v>
      </c>
      <c r="F170" s="1348" t="s">
        <v>240</v>
      </c>
      <c r="G170" s="1394">
        <v>7850</v>
      </c>
      <c r="H170" s="864">
        <f t="shared" si="58"/>
        <v>86350</v>
      </c>
      <c r="I170" s="1394">
        <v>325</v>
      </c>
      <c r="J170" s="1395">
        <f t="shared" si="59"/>
        <v>3575</v>
      </c>
      <c r="K170" s="966">
        <f t="shared" si="60"/>
        <v>89925</v>
      </c>
      <c r="L170" s="966"/>
      <c r="M170" s="1328" t="s">
        <v>2061</v>
      </c>
      <c r="N170">
        <v>11</v>
      </c>
      <c r="O170" s="1404"/>
      <c r="P170" s="1404"/>
      <c r="W170" s="1404"/>
      <c r="X170" s="1404"/>
      <c r="Y170" s="1404"/>
      <c r="Z170" s="1404"/>
      <c r="AB170" s="1404"/>
      <c r="AC170" s="1404"/>
    </row>
    <row r="171" spans="1:29" s="1329" customFormat="1" ht="24" customHeight="1">
      <c r="A171" s="1330" t="s">
        <v>2062</v>
      </c>
      <c r="B171" s="1331" t="s">
        <v>2063</v>
      </c>
      <c r="C171" s="1349"/>
      <c r="D171" s="801"/>
      <c r="E171" s="1350"/>
      <c r="F171" s="1348"/>
      <c r="G171" s="1394"/>
      <c r="H171" s="864"/>
      <c r="I171" s="1394"/>
      <c r="J171" s="1395"/>
      <c r="K171" s="966"/>
      <c r="L171" s="966"/>
      <c r="M171" s="1328"/>
      <c r="N171" s="1404"/>
      <c r="O171" s="1404"/>
      <c r="P171" s="1404"/>
      <c r="W171" s="1404"/>
      <c r="X171" s="1404"/>
      <c r="Y171" s="1404"/>
      <c r="Z171" s="1404"/>
      <c r="AB171" s="1404"/>
      <c r="AC171" s="1404"/>
    </row>
    <row r="172" spans="1:29" s="1329" customFormat="1" ht="24" customHeight="1">
      <c r="A172" s="1330"/>
      <c r="B172" s="1331" t="str">
        <f t="shared" ref="B172" si="61">"  -  "&amp;M172&amp;" มม."</f>
        <v xml:space="preserve">  -  800x500 มม.</v>
      </c>
      <c r="C172" s="1349"/>
      <c r="D172" s="801"/>
      <c r="E172" s="1350">
        <f t="shared" ref="E172" si="62">N172</f>
        <v>56</v>
      </c>
      <c r="F172" s="1348" t="s">
        <v>240</v>
      </c>
      <c r="G172" s="1394">
        <v>2000</v>
      </c>
      <c r="H172" s="864">
        <f t="shared" ref="H172" si="63">ROUND(E172*G172,)</f>
        <v>112000</v>
      </c>
      <c r="I172" s="1394">
        <v>200</v>
      </c>
      <c r="J172" s="1395">
        <f t="shared" ref="J172" si="64">ROUND(E172*I172,)</f>
        <v>11200</v>
      </c>
      <c r="K172" s="966">
        <f t="shared" ref="K172" si="65">H172+J172</f>
        <v>123200</v>
      </c>
      <c r="L172" s="966"/>
      <c r="M172" s="1328" t="s">
        <v>2064</v>
      </c>
      <c r="N172" s="1404">
        <v>56</v>
      </c>
      <c r="O172" s="1404"/>
      <c r="P172" s="1404"/>
      <c r="W172" s="1404"/>
      <c r="X172" s="1404"/>
      <c r="Y172" s="1404"/>
      <c r="Z172" s="1404"/>
      <c r="AB172" s="1404"/>
      <c r="AC172" s="1404"/>
    </row>
    <row r="173" spans="1:29" s="1329" customFormat="1" ht="24" customHeight="1">
      <c r="A173" s="1330"/>
      <c r="B173" s="1331" t="s">
        <v>957</v>
      </c>
      <c r="C173" s="1349"/>
      <c r="D173" s="801"/>
      <c r="E173" s="966"/>
      <c r="F173" s="1249"/>
      <c r="G173" s="1394"/>
      <c r="H173" s="864"/>
      <c r="I173" s="1394"/>
      <c r="J173" s="1395"/>
      <c r="K173" s="966"/>
      <c r="L173" s="966"/>
      <c r="M173" s="1328"/>
    </row>
    <row r="174" spans="1:29" s="1329" customFormat="1" ht="24" customHeight="1">
      <c r="A174" s="1330"/>
      <c r="B174" s="1331" t="s">
        <v>958</v>
      </c>
      <c r="C174" s="1349"/>
      <c r="D174" s="801"/>
      <c r="E174" s="966"/>
      <c r="F174" s="1249"/>
      <c r="G174" s="1394"/>
      <c r="H174" s="864"/>
      <c r="I174" s="1394"/>
      <c r="J174" s="1395"/>
      <c r="K174" s="966"/>
      <c r="L174" s="966"/>
      <c r="M174" s="1328"/>
    </row>
    <row r="175" spans="1:29" s="1329" customFormat="1" ht="24" customHeight="1">
      <c r="A175" s="1330"/>
      <c r="B175" s="1331" t="s">
        <v>958</v>
      </c>
      <c r="C175" s="1349"/>
      <c r="D175" s="801"/>
      <c r="E175" s="966"/>
      <c r="F175" s="1249"/>
      <c r="G175" s="1394"/>
      <c r="H175" s="864"/>
      <c r="I175" s="1394"/>
      <c r="J175" s="1395"/>
      <c r="K175" s="966"/>
      <c r="L175" s="966"/>
      <c r="M175" s="1328"/>
    </row>
    <row r="176" spans="1:29" s="1329" customFormat="1" ht="24" customHeight="1">
      <c r="A176" s="1334"/>
      <c r="B176" s="1335"/>
      <c r="C176" s="1352"/>
      <c r="D176" s="890"/>
      <c r="E176" s="1337"/>
      <c r="F176" s="1353"/>
      <c r="G176" s="1418"/>
      <c r="H176" s="891"/>
      <c r="I176" s="1418"/>
      <c r="J176" s="1419"/>
      <c r="K176" s="1337"/>
      <c r="L176" s="1337"/>
      <c r="M176" s="1328"/>
    </row>
    <row r="177" spans="1:18" s="1329" customFormat="1" ht="24" customHeight="1">
      <c r="A177" s="1334"/>
      <c r="B177" s="1335"/>
      <c r="C177" s="1352"/>
      <c r="D177" s="890"/>
      <c r="E177" s="1337"/>
      <c r="F177" s="1353"/>
      <c r="G177" s="1418"/>
      <c r="H177" s="891"/>
      <c r="I177" s="1418"/>
      <c r="J177" s="1419"/>
      <c r="K177" s="1337"/>
      <c r="L177" s="1337"/>
      <c r="M177" s="1328"/>
    </row>
    <row r="178" spans="1:18" s="1329" customFormat="1" ht="24" customHeight="1">
      <c r="A178" s="1166"/>
      <c r="B178" s="2475" t="str">
        <f>"รวมราคารายการที่ "&amp;A144</f>
        <v>รวมราคารายการที่ 7.9</v>
      </c>
      <c r="C178" s="2476"/>
      <c r="D178" s="2476"/>
      <c r="E178" s="1167"/>
      <c r="F178" s="1381"/>
      <c r="G178" s="1168"/>
      <c r="H178" s="1169">
        <f>SUM(H144:H177)</f>
        <v>934270</v>
      </c>
      <c r="I178" s="1170"/>
      <c r="J178" s="1382">
        <f>SUM(J144:J177)</f>
        <v>53650</v>
      </c>
      <c r="K178" s="1171">
        <f>SUM(K144:K177)</f>
        <v>987920</v>
      </c>
      <c r="L178" s="1171"/>
      <c r="M178" s="1328"/>
    </row>
    <row r="179" spans="1:18" s="1329" customFormat="1" ht="24" customHeight="1">
      <c r="A179" s="1325" t="s">
        <v>2065</v>
      </c>
      <c r="B179" s="1326" t="s">
        <v>2066</v>
      </c>
      <c r="C179" s="1347"/>
      <c r="D179" s="901"/>
      <c r="E179" s="1030"/>
      <c r="F179" s="1348"/>
      <c r="G179" s="1406"/>
      <c r="H179" s="905"/>
      <c r="I179" s="1406"/>
      <c r="J179" s="1407"/>
      <c r="K179" s="1030"/>
      <c r="L179" s="1030"/>
      <c r="M179" s="1328"/>
      <c r="P179" s="1404"/>
    </row>
    <row r="180" spans="1:18" s="1329" customFormat="1" ht="24" customHeight="1">
      <c r="A180" s="1330" t="s">
        <v>2067</v>
      </c>
      <c r="B180" s="1331" t="s">
        <v>2068</v>
      </c>
      <c r="C180" s="1349"/>
      <c r="D180" s="801"/>
      <c r="E180" s="966"/>
      <c r="F180" s="1249"/>
      <c r="G180" s="1394"/>
      <c r="H180" s="864"/>
      <c r="I180" s="1394"/>
      <c r="J180" s="1395"/>
      <c r="K180" s="966"/>
      <c r="L180" s="966"/>
      <c r="M180" s="1328"/>
      <c r="P180" s="1404"/>
    </row>
    <row r="181" spans="1:18" s="1329" customFormat="1" ht="24" customHeight="1">
      <c r="A181" s="1330"/>
      <c r="B181" s="1331" t="s">
        <v>2069</v>
      </c>
      <c r="C181" s="1349"/>
      <c r="D181" s="801"/>
      <c r="E181" s="966">
        <v>1</v>
      </c>
      <c r="F181" s="1249" t="s">
        <v>240</v>
      </c>
      <c r="G181" s="1394">
        <v>403974</v>
      </c>
      <c r="H181" s="751">
        <f t="shared" ref="H181:H184" si="66">ROUND(E181*G181,)</f>
        <v>403974</v>
      </c>
      <c r="I181" s="1394">
        <v>1500</v>
      </c>
      <c r="J181" s="1393">
        <f t="shared" ref="J181:J184" si="67">ROUND(E181*I181,)</f>
        <v>1500</v>
      </c>
      <c r="K181" s="1022">
        <f t="shared" ref="K181:K184" si="68">H181+J181</f>
        <v>405474</v>
      </c>
      <c r="L181" s="966"/>
      <c r="M181" s="1328"/>
      <c r="P181" s="1404"/>
    </row>
    <row r="182" spans="1:18" s="1329" customFormat="1" ht="24" customHeight="1">
      <c r="A182" s="1330"/>
      <c r="B182" s="1331" t="s">
        <v>2070</v>
      </c>
      <c r="C182" s="1349"/>
      <c r="D182" s="801"/>
      <c r="E182" s="966">
        <v>1</v>
      </c>
      <c r="F182" s="1249" t="s">
        <v>240</v>
      </c>
      <c r="G182" s="1394">
        <v>393694</v>
      </c>
      <c r="H182" s="751">
        <f t="shared" si="66"/>
        <v>393694</v>
      </c>
      <c r="I182" s="1394">
        <v>1500</v>
      </c>
      <c r="J182" s="1393">
        <f t="shared" si="67"/>
        <v>1500</v>
      </c>
      <c r="K182" s="1022">
        <f t="shared" si="68"/>
        <v>395194</v>
      </c>
      <c r="L182" s="966"/>
      <c r="M182" s="1328"/>
      <c r="P182" s="1404"/>
    </row>
    <row r="183" spans="1:18" s="1329" customFormat="1" ht="24" customHeight="1">
      <c r="A183" s="1330"/>
      <c r="B183" s="1331" t="s">
        <v>2071</v>
      </c>
      <c r="C183" s="1349"/>
      <c r="D183" s="801"/>
      <c r="E183" s="966">
        <v>1</v>
      </c>
      <c r="F183" s="1249" t="s">
        <v>240</v>
      </c>
      <c r="G183" s="1394">
        <v>174184</v>
      </c>
      <c r="H183" s="751">
        <f t="shared" si="66"/>
        <v>174184</v>
      </c>
      <c r="I183" s="1394">
        <v>1500</v>
      </c>
      <c r="J183" s="1393">
        <f t="shared" si="67"/>
        <v>1500</v>
      </c>
      <c r="K183" s="1022">
        <f t="shared" si="68"/>
        <v>175684</v>
      </c>
      <c r="L183" s="966"/>
      <c r="M183" s="1328"/>
      <c r="P183" s="1404"/>
    </row>
    <row r="184" spans="1:18" s="1329" customFormat="1" ht="24" customHeight="1">
      <c r="A184" s="1330"/>
      <c r="B184" s="1331" t="s">
        <v>2072</v>
      </c>
      <c r="C184" s="1349"/>
      <c r="D184" s="801"/>
      <c r="E184" s="966">
        <v>1</v>
      </c>
      <c r="F184" s="1249" t="s">
        <v>240</v>
      </c>
      <c r="G184" s="1394">
        <v>359728</v>
      </c>
      <c r="H184" s="751">
        <f t="shared" si="66"/>
        <v>359728</v>
      </c>
      <c r="I184" s="1394">
        <v>1500</v>
      </c>
      <c r="J184" s="1393">
        <f t="shared" si="67"/>
        <v>1500</v>
      </c>
      <c r="K184" s="1022">
        <f t="shared" si="68"/>
        <v>361228</v>
      </c>
      <c r="L184" s="966"/>
      <c r="M184" s="1328"/>
      <c r="P184" s="1404"/>
    </row>
    <row r="185" spans="1:18" s="1329" customFormat="1" ht="24" customHeight="1">
      <c r="A185" s="1330" t="s">
        <v>2073</v>
      </c>
      <c r="B185" s="1331" t="s">
        <v>1736</v>
      </c>
      <c r="C185" s="1349"/>
      <c r="D185" s="801"/>
      <c r="E185" s="966"/>
      <c r="F185" s="1249"/>
      <c r="G185" s="1394"/>
      <c r="H185" s="864"/>
      <c r="I185" s="1394"/>
      <c r="J185" s="1395"/>
      <c r="K185" s="966"/>
      <c r="L185" s="966"/>
      <c r="M185" s="1328"/>
      <c r="P185" s="1404"/>
    </row>
    <row r="186" spans="1:18" s="1329" customFormat="1" ht="24" customHeight="1">
      <c r="A186" s="1330"/>
      <c r="B186" s="1331" t="s">
        <v>1737</v>
      </c>
      <c r="C186" s="1349"/>
      <c r="D186" s="801"/>
      <c r="E186" s="1350">
        <v>68.793978212128877</v>
      </c>
      <c r="F186" s="1249" t="s">
        <v>438</v>
      </c>
      <c r="G186" s="1402">
        <v>30</v>
      </c>
      <c r="H186" s="751">
        <f t="shared" ref="H186:H196" si="69">ROUND(E186*G186,)</f>
        <v>2064</v>
      </c>
      <c r="I186" s="1402">
        <v>12</v>
      </c>
      <c r="J186" s="1393">
        <f t="shared" ref="J186" si="70">ROUND(E186*I186,)</f>
        <v>826</v>
      </c>
      <c r="K186" s="1022">
        <f t="shared" ref="K186" si="71">H186+J186</f>
        <v>2890</v>
      </c>
      <c r="L186" s="966"/>
      <c r="M186" s="1328"/>
      <c r="P186" s="1404"/>
    </row>
    <row r="187" spans="1:18" s="1329" customFormat="1" ht="24" customHeight="1">
      <c r="A187" s="1330"/>
      <c r="B187" s="1331" t="s">
        <v>1168</v>
      </c>
      <c r="C187" s="1349"/>
      <c r="D187" s="801"/>
      <c r="E187" s="1350">
        <v>114.38034931655164</v>
      </c>
      <c r="F187" s="1249" t="s">
        <v>438</v>
      </c>
      <c r="G187" s="1402">
        <v>78</v>
      </c>
      <c r="H187" s="751">
        <f>ROUND(E187*G187,)</f>
        <v>8922</v>
      </c>
      <c r="I187" s="1402">
        <v>25</v>
      </c>
      <c r="J187" s="1393">
        <f>ROUND(E187*I187,)</f>
        <v>2860</v>
      </c>
      <c r="K187" s="1022">
        <f>H187+J187</f>
        <v>11782</v>
      </c>
      <c r="L187" s="966"/>
      <c r="M187" s="1328"/>
      <c r="N187" s="1404"/>
      <c r="O187" s="1404"/>
      <c r="P187" s="1404"/>
      <c r="Q187" s="1404"/>
      <c r="R187" s="1404"/>
    </row>
    <row r="188" spans="1:18" s="1329" customFormat="1" ht="24" customHeight="1">
      <c r="A188" s="1330"/>
      <c r="B188" s="1331" t="s">
        <v>1169</v>
      </c>
      <c r="C188" s="1349"/>
      <c r="D188" s="801"/>
      <c r="E188" s="1350">
        <v>354.7448515035079</v>
      </c>
      <c r="F188" s="1249" t="s">
        <v>438</v>
      </c>
      <c r="G188" s="1402">
        <v>110</v>
      </c>
      <c r="H188" s="751">
        <f>ROUND(E188*G188,)</f>
        <v>39022</v>
      </c>
      <c r="I188" s="1402">
        <v>30</v>
      </c>
      <c r="J188" s="1393">
        <f>ROUND(E188*I188,)</f>
        <v>10642</v>
      </c>
      <c r="K188" s="1022">
        <f>H188+J188</f>
        <v>49664</v>
      </c>
      <c r="L188" s="966"/>
      <c r="M188" s="1328"/>
      <c r="N188" s="1404"/>
      <c r="O188" s="1404"/>
      <c r="P188" s="1404"/>
      <c r="Q188" s="1404"/>
      <c r="R188" s="1404"/>
    </row>
    <row r="189" spans="1:18" s="1329" customFormat="1" ht="24" customHeight="1">
      <c r="A189" s="1330"/>
      <c r="B189" s="1331" t="s">
        <v>1170</v>
      </c>
      <c r="C189" s="1349"/>
      <c r="D189" s="801"/>
      <c r="E189" s="1350">
        <v>34.396989106064439</v>
      </c>
      <c r="F189" s="1249" t="s">
        <v>438</v>
      </c>
      <c r="G189" s="1402">
        <v>165</v>
      </c>
      <c r="H189" s="751">
        <f>ROUND(E189*G189,)</f>
        <v>5676</v>
      </c>
      <c r="I189" s="1402">
        <v>35</v>
      </c>
      <c r="J189" s="1393">
        <f>ROUND(E189*I189,)</f>
        <v>1204</v>
      </c>
      <c r="K189" s="1022">
        <f>H189+J189</f>
        <v>6880</v>
      </c>
      <c r="L189" s="966"/>
      <c r="M189" s="1328"/>
      <c r="N189" s="1404"/>
      <c r="O189" s="1404"/>
      <c r="P189" s="1404"/>
      <c r="Q189" s="1404"/>
      <c r="R189" s="1404"/>
    </row>
    <row r="190" spans="1:18" s="1329" customFormat="1" ht="24" customHeight="1">
      <c r="A190" s="1330" t="s">
        <v>2074</v>
      </c>
      <c r="B190" s="1331" t="s">
        <v>2075</v>
      </c>
      <c r="C190" s="1349"/>
      <c r="D190" s="801"/>
      <c r="E190" s="1350"/>
      <c r="F190" s="1249"/>
      <c r="G190" s="1394"/>
      <c r="H190" s="864"/>
      <c r="I190" s="1394"/>
      <c r="J190" s="1395"/>
      <c r="K190" s="966"/>
      <c r="L190" s="966"/>
      <c r="M190" s="1328"/>
      <c r="P190" s="1404"/>
    </row>
    <row r="191" spans="1:18" s="1329" customFormat="1" ht="24" customHeight="1">
      <c r="A191" s="1330"/>
      <c r="B191" s="1331" t="s">
        <v>1277</v>
      </c>
      <c r="C191" s="1349"/>
      <c r="D191" s="801"/>
      <c r="E191" s="1350">
        <v>5130.1244354695382</v>
      </c>
      <c r="F191" s="1249" t="s">
        <v>438</v>
      </c>
      <c r="G191" s="1394">
        <v>41</v>
      </c>
      <c r="H191" s="751">
        <f t="shared" ref="H191" si="72">ROUND(E191*G191,)</f>
        <v>210335</v>
      </c>
      <c r="I191" s="1394">
        <v>12</v>
      </c>
      <c r="J191" s="1393">
        <f t="shared" ref="J191" si="73">ROUND(E191*I191,)</f>
        <v>61561</v>
      </c>
      <c r="K191" s="1022">
        <f t="shared" ref="K191" si="74">H191+J191</f>
        <v>271896</v>
      </c>
      <c r="L191" s="966"/>
      <c r="M191" s="1328"/>
      <c r="N191" s="1404"/>
      <c r="O191" s="1404"/>
      <c r="P191" s="1404"/>
      <c r="Q191" s="1404"/>
      <c r="R191" s="1404"/>
    </row>
    <row r="192" spans="1:18" s="1329" customFormat="1" ht="24" customHeight="1">
      <c r="A192" s="1330" t="s">
        <v>2076</v>
      </c>
      <c r="B192" s="1331" t="s">
        <v>950</v>
      </c>
      <c r="C192" s="1349"/>
      <c r="D192" s="801"/>
      <c r="E192" s="1350"/>
      <c r="F192" s="1249"/>
      <c r="G192" s="1394"/>
      <c r="H192" s="864"/>
      <c r="I192" s="1394"/>
      <c r="J192" s="1395"/>
      <c r="K192" s="966"/>
      <c r="L192" s="966"/>
      <c r="M192" s="1328"/>
      <c r="P192" s="1404"/>
    </row>
    <row r="193" spans="1:16" s="1329" customFormat="1" ht="24" customHeight="1">
      <c r="A193" s="1330"/>
      <c r="B193" s="1331" t="s">
        <v>1201</v>
      </c>
      <c r="C193" s="1349"/>
      <c r="D193" s="801"/>
      <c r="E193" s="1350">
        <v>23.00039632995875</v>
      </c>
      <c r="F193" s="1249" t="s">
        <v>438</v>
      </c>
      <c r="G193" s="1394">
        <v>56</v>
      </c>
      <c r="H193" s="751">
        <f t="shared" si="69"/>
        <v>1288</v>
      </c>
      <c r="I193" s="1402">
        <v>28</v>
      </c>
      <c r="J193" s="1393">
        <f t="shared" ref="J193:J196" si="75">ROUND(E193*I193,)</f>
        <v>644</v>
      </c>
      <c r="K193" s="1022">
        <f t="shared" ref="K193:K196" si="76">H193+J193</f>
        <v>1932</v>
      </c>
      <c r="L193" s="2273" t="s">
        <v>2974</v>
      </c>
      <c r="M193" s="1328"/>
      <c r="N193" s="714">
        <v>169.2</v>
      </c>
      <c r="O193" s="714">
        <f>ROUND(N193/3,)</f>
        <v>56</v>
      </c>
      <c r="P193" s="1404"/>
    </row>
    <row r="194" spans="1:16" s="1329" customFormat="1" ht="24" customHeight="1">
      <c r="A194" s="1330"/>
      <c r="B194" s="1331" t="s">
        <v>1184</v>
      </c>
      <c r="C194" s="1349"/>
      <c r="D194" s="801"/>
      <c r="E194" s="1350">
        <v>1288.2294052554373</v>
      </c>
      <c r="F194" s="1249" t="s">
        <v>438</v>
      </c>
      <c r="G194" s="1394">
        <v>75</v>
      </c>
      <c r="H194" s="751">
        <f t="shared" si="69"/>
        <v>96617</v>
      </c>
      <c r="I194" s="1402">
        <v>32</v>
      </c>
      <c r="J194" s="1393">
        <f t="shared" si="75"/>
        <v>41223</v>
      </c>
      <c r="K194" s="1022">
        <f t="shared" si="76"/>
        <v>137840</v>
      </c>
      <c r="L194" s="2273" t="s">
        <v>2974</v>
      </c>
      <c r="M194" s="1328"/>
      <c r="N194" s="714">
        <v>225</v>
      </c>
      <c r="O194" s="714">
        <f>ROUND(N194/3,)</f>
        <v>75</v>
      </c>
      <c r="P194" s="1404"/>
    </row>
    <row r="195" spans="1:16" s="1329" customFormat="1" ht="24" customHeight="1">
      <c r="A195" s="1330"/>
      <c r="B195" s="1331" t="s">
        <v>1187</v>
      </c>
      <c r="C195" s="1349"/>
      <c r="D195" s="801"/>
      <c r="E195" s="1350">
        <v>103.33133196927515</v>
      </c>
      <c r="F195" s="1249" t="s">
        <v>438</v>
      </c>
      <c r="G195" s="1402">
        <v>160</v>
      </c>
      <c r="H195" s="751">
        <f t="shared" si="69"/>
        <v>16533</v>
      </c>
      <c r="I195" s="1402">
        <v>42</v>
      </c>
      <c r="J195" s="1393">
        <f t="shared" si="75"/>
        <v>4340</v>
      </c>
      <c r="K195" s="1022">
        <f t="shared" si="76"/>
        <v>20873</v>
      </c>
      <c r="L195" s="2273" t="s">
        <v>2974</v>
      </c>
      <c r="M195" s="1328"/>
      <c r="N195" s="714">
        <v>481.2</v>
      </c>
      <c r="O195" s="714">
        <f>ROUND(N195/3,)</f>
        <v>160</v>
      </c>
      <c r="P195" s="1404"/>
    </row>
    <row r="196" spans="1:16" s="1329" customFormat="1" ht="24" customHeight="1">
      <c r="A196" s="1330"/>
      <c r="B196" s="1331" t="s">
        <v>1237</v>
      </c>
      <c r="C196" s="1349"/>
      <c r="D196" s="801"/>
      <c r="E196" s="966">
        <v>1</v>
      </c>
      <c r="F196" s="1249" t="s">
        <v>948</v>
      </c>
      <c r="G196" s="795">
        <f>ROUND(SUM(H193:H195)*15%,)</f>
        <v>17166</v>
      </c>
      <c r="H196" s="751">
        <f t="shared" si="69"/>
        <v>17166</v>
      </c>
      <c r="I196" s="865">
        <f>ROUND(G196*0.3,)</f>
        <v>5150</v>
      </c>
      <c r="J196" s="1393">
        <f t="shared" si="75"/>
        <v>5150</v>
      </c>
      <c r="K196" s="1022">
        <f t="shared" si="76"/>
        <v>22316</v>
      </c>
      <c r="L196" s="1718"/>
      <c r="M196" s="1328"/>
      <c r="N196" s="714"/>
      <c r="O196" s="714"/>
      <c r="P196" s="1404"/>
    </row>
    <row r="197" spans="1:16" s="1329" customFormat="1" ht="24" customHeight="1">
      <c r="A197" s="1330"/>
      <c r="B197" s="1331" t="s">
        <v>957</v>
      </c>
      <c r="C197" s="1349"/>
      <c r="D197" s="801"/>
      <c r="E197" s="966"/>
      <c r="F197" s="1249"/>
      <c r="G197" s="1394"/>
      <c r="H197" s="864"/>
      <c r="I197" s="1394"/>
      <c r="J197" s="1395"/>
      <c r="K197" s="966"/>
      <c r="L197" s="966"/>
      <c r="M197" s="1328"/>
      <c r="P197" s="1404"/>
    </row>
    <row r="198" spans="1:16" s="1329" customFormat="1" ht="24" customHeight="1">
      <c r="A198" s="1334"/>
      <c r="B198" s="1335" t="s">
        <v>958</v>
      </c>
      <c r="C198" s="1352"/>
      <c r="D198" s="890"/>
      <c r="E198" s="1337"/>
      <c r="F198" s="1353"/>
      <c r="G198" s="1418"/>
      <c r="H198" s="891"/>
      <c r="I198" s="1418"/>
      <c r="J198" s="1419"/>
      <c r="K198" s="1337"/>
      <c r="L198" s="1337"/>
      <c r="M198" s="1328"/>
      <c r="P198" s="1404"/>
    </row>
    <row r="199" spans="1:16" s="1329" customFormat="1" ht="24" customHeight="1">
      <c r="A199" s="1166"/>
      <c r="B199" s="2475" t="str">
        <f>"รวมราคารายการที่ "&amp;A179</f>
        <v>รวมราคารายการที่ 7.10</v>
      </c>
      <c r="C199" s="2476"/>
      <c r="D199" s="2476"/>
      <c r="E199" s="1167"/>
      <c r="F199" s="1381"/>
      <c r="G199" s="1168"/>
      <c r="H199" s="1169">
        <f>SUM(H180:H198)</f>
        <v>1729203</v>
      </c>
      <c r="I199" s="1170"/>
      <c r="J199" s="1382">
        <f>SUM(J180:J198)</f>
        <v>134450</v>
      </c>
      <c r="K199" s="1171">
        <f>SUM(K180:K198)</f>
        <v>1863653</v>
      </c>
      <c r="L199" s="1171"/>
      <c r="M199" s="1328"/>
      <c r="P199" s="1404"/>
    </row>
    <row r="200" spans="1:16" s="1329" customFormat="1" ht="24" customHeight="1">
      <c r="A200" s="1325" t="s">
        <v>2077</v>
      </c>
      <c r="B200" s="1326" t="s">
        <v>2078</v>
      </c>
      <c r="C200" s="1347"/>
      <c r="D200" s="901"/>
      <c r="E200" s="1030"/>
      <c r="F200" s="1348"/>
      <c r="G200" s="1406"/>
      <c r="H200" s="905"/>
      <c r="I200" s="1406"/>
      <c r="J200" s="1407"/>
      <c r="K200" s="1030"/>
      <c r="L200" s="1030"/>
      <c r="M200" s="1328"/>
    </row>
    <row r="201" spans="1:16" s="1329" customFormat="1" ht="24" customHeight="1">
      <c r="A201" s="1330" t="s">
        <v>2079</v>
      </c>
      <c r="B201" s="1331" t="s">
        <v>2080</v>
      </c>
      <c r="C201" s="1349"/>
      <c r="D201" s="801"/>
      <c r="E201" s="966"/>
      <c r="F201" s="1249"/>
      <c r="G201" s="1394"/>
      <c r="H201" s="864"/>
      <c r="I201" s="1394"/>
      <c r="J201" s="1395"/>
      <c r="K201" s="966"/>
      <c r="L201" s="966"/>
      <c r="M201" s="1328"/>
      <c r="N201" s="1404"/>
      <c r="O201" s="1404"/>
      <c r="P201" s="1404"/>
    </row>
    <row r="202" spans="1:16" s="1329" customFormat="1" ht="24" customHeight="1">
      <c r="A202" s="1330"/>
      <c r="B202" s="1331" t="s">
        <v>2081</v>
      </c>
      <c r="C202" s="1349"/>
      <c r="D202" s="801"/>
      <c r="E202" s="966"/>
      <c r="F202" s="1249" t="s">
        <v>240</v>
      </c>
      <c r="G202" s="1421" t="s">
        <v>2082</v>
      </c>
      <c r="H202" s="864"/>
      <c r="I202" s="1394"/>
      <c r="J202" s="1395">
        <f t="shared" ref="J202:J203" si="77">ROUND(E202*I202,)</f>
        <v>0</v>
      </c>
      <c r="K202" s="966">
        <f t="shared" ref="K202:K203" si="78">H202+J202</f>
        <v>0</v>
      </c>
      <c r="L202" s="966"/>
      <c r="M202" s="1328"/>
      <c r="N202" s="1404"/>
      <c r="O202" s="1404"/>
      <c r="P202" s="1404"/>
    </row>
    <row r="203" spans="1:16" s="1329" customFormat="1" ht="24" customHeight="1">
      <c r="A203" s="1330"/>
      <c r="B203" s="1331" t="s">
        <v>2083</v>
      </c>
      <c r="C203" s="1349"/>
      <c r="D203" s="801"/>
      <c r="E203" s="966"/>
      <c r="F203" s="1249" t="s">
        <v>240</v>
      </c>
      <c r="G203" s="1421" t="s">
        <v>2082</v>
      </c>
      <c r="H203" s="864"/>
      <c r="I203" s="1394"/>
      <c r="J203" s="1395">
        <f t="shared" si="77"/>
        <v>0</v>
      </c>
      <c r="K203" s="966">
        <f t="shared" si="78"/>
        <v>0</v>
      </c>
      <c r="L203" s="966"/>
      <c r="M203" s="1328"/>
      <c r="N203" s="1404"/>
      <c r="O203" s="1404"/>
      <c r="P203" s="1404"/>
    </row>
    <row r="204" spans="1:16" s="1329" customFormat="1" ht="24" customHeight="1">
      <c r="A204" s="1330"/>
      <c r="B204" s="1331" t="s">
        <v>957</v>
      </c>
      <c r="C204" s="1349"/>
      <c r="D204" s="801"/>
      <c r="E204" s="966"/>
      <c r="F204" s="1249"/>
      <c r="G204" s="1394"/>
      <c r="H204" s="864"/>
      <c r="I204" s="1394"/>
      <c r="J204" s="1395"/>
      <c r="K204" s="966"/>
      <c r="L204" s="966"/>
      <c r="M204" s="1328"/>
    </row>
    <row r="205" spans="1:16" s="1329" customFormat="1" ht="24" customHeight="1">
      <c r="A205" s="1330"/>
      <c r="B205" s="1331" t="s">
        <v>958</v>
      </c>
      <c r="C205" s="1349"/>
      <c r="D205" s="801"/>
      <c r="E205" s="966"/>
      <c r="F205" s="1249"/>
      <c r="G205" s="1394"/>
      <c r="H205" s="864"/>
      <c r="I205" s="1394"/>
      <c r="J205" s="1395"/>
      <c r="K205" s="966"/>
      <c r="L205" s="966"/>
      <c r="M205" s="1328"/>
    </row>
    <row r="206" spans="1:16" s="1329" customFormat="1" ht="24" customHeight="1">
      <c r="A206" s="1330"/>
      <c r="B206" s="1331" t="s">
        <v>958</v>
      </c>
      <c r="C206" s="1349"/>
      <c r="D206" s="801"/>
      <c r="E206" s="966"/>
      <c r="F206" s="1249"/>
      <c r="G206" s="1394"/>
      <c r="H206" s="864"/>
      <c r="I206" s="1394"/>
      <c r="J206" s="1395"/>
      <c r="K206" s="966"/>
      <c r="L206" s="966"/>
      <c r="M206" s="1328"/>
    </row>
    <row r="207" spans="1:16" s="1329" customFormat="1" ht="24" customHeight="1">
      <c r="A207" s="1334"/>
      <c r="B207" s="1335"/>
      <c r="C207" s="1352"/>
      <c r="D207" s="890"/>
      <c r="E207" s="1337"/>
      <c r="F207" s="1353"/>
      <c r="G207" s="1418"/>
      <c r="H207" s="891"/>
      <c r="I207" s="1418"/>
      <c r="J207" s="1419"/>
      <c r="K207" s="1337"/>
      <c r="L207" s="1337"/>
      <c r="M207" s="1328"/>
    </row>
    <row r="208" spans="1:16" s="1329" customFormat="1" ht="24" customHeight="1">
      <c r="A208" s="1334"/>
      <c r="B208" s="1335"/>
      <c r="C208" s="1352"/>
      <c r="D208" s="890"/>
      <c r="E208" s="1337"/>
      <c r="F208" s="1353"/>
      <c r="G208" s="1418"/>
      <c r="H208" s="891"/>
      <c r="I208" s="1418"/>
      <c r="J208" s="1419"/>
      <c r="K208" s="1337"/>
      <c r="L208" s="1337"/>
      <c r="M208" s="1328"/>
    </row>
    <row r="209" spans="1:13" s="1329" customFormat="1" ht="24" customHeight="1">
      <c r="A209" s="1166"/>
      <c r="B209" s="2475" t="str">
        <f>"รวมราคารายการที่ "&amp;A200</f>
        <v>รวมราคารายการที่ 7.11</v>
      </c>
      <c r="C209" s="2476"/>
      <c r="D209" s="2476"/>
      <c r="E209" s="1167"/>
      <c r="F209" s="1381"/>
      <c r="G209" s="1168"/>
      <c r="H209" s="1169">
        <f>SUM(H200:H208)</f>
        <v>0</v>
      </c>
      <c r="I209" s="1170"/>
      <c r="J209" s="1382">
        <f>SUM(J200:J208)</f>
        <v>0</v>
      </c>
      <c r="K209" s="1171">
        <f>SUM(K200:K208)</f>
        <v>0</v>
      </c>
      <c r="L209" s="1171"/>
      <c r="M209" s="1328"/>
    </row>
    <row r="210" spans="1:13" s="714" customFormat="1" ht="22.15" customHeight="1">
      <c r="A210" s="950"/>
      <c r="E210" s="1422"/>
      <c r="F210" s="1423"/>
      <c r="G210" s="1424"/>
      <c r="H210" s="1425"/>
      <c r="I210" s="1424"/>
      <c r="J210" s="1426"/>
      <c r="K210" s="1422"/>
      <c r="L210" s="1422"/>
      <c r="M210" s="1322"/>
    </row>
    <row r="211" spans="1:13" s="714" customFormat="1" ht="22.15" customHeight="1">
      <c r="A211" s="950"/>
      <c r="E211" s="1422"/>
      <c r="F211" s="1423"/>
      <c r="G211" s="1424"/>
      <c r="H211" s="1425"/>
      <c r="I211" s="1424"/>
      <c r="J211" s="1426"/>
      <c r="K211" s="1422"/>
      <c r="L211" s="1422"/>
      <c r="M211" s="1322"/>
    </row>
    <row r="212" spans="1:13" s="714" customFormat="1" ht="22.15" customHeight="1">
      <c r="A212" s="950"/>
      <c r="E212" s="1422"/>
      <c r="F212" s="1423"/>
      <c r="G212" s="1424"/>
      <c r="H212" s="1425"/>
      <c r="I212" s="1424"/>
      <c r="J212" s="1426"/>
      <c r="K212" s="1422"/>
      <c r="L212" s="1422"/>
      <c r="M212" s="1322"/>
    </row>
    <row r="213" spans="1:13" s="714" customFormat="1" ht="22.15" customHeight="1">
      <c r="A213" s="950"/>
      <c r="E213" s="1422"/>
      <c r="F213" s="1423"/>
      <c r="G213" s="1424"/>
      <c r="H213" s="1425"/>
      <c r="I213" s="1424"/>
      <c r="J213" s="1426"/>
      <c r="K213" s="1422"/>
      <c r="L213" s="1422"/>
      <c r="M213" s="1322"/>
    </row>
    <row r="214" spans="1:13" s="714" customFormat="1" ht="22.15" customHeight="1">
      <c r="A214" s="950"/>
      <c r="E214" s="1422"/>
      <c r="F214" s="1423"/>
      <c r="G214" s="1424"/>
      <c r="H214" s="1425"/>
      <c r="I214" s="1424"/>
      <c r="J214" s="1426"/>
      <c r="K214" s="1422"/>
      <c r="L214" s="1422"/>
      <c r="M214" s="1322"/>
    </row>
    <row r="215" spans="1:13" s="714" customFormat="1" ht="22.15" customHeight="1">
      <c r="A215" s="950"/>
      <c r="E215" s="1422"/>
      <c r="F215" s="1423"/>
      <c r="G215" s="1424"/>
      <c r="H215" s="1425"/>
      <c r="I215" s="1424"/>
      <c r="J215" s="1426"/>
      <c r="K215" s="1422"/>
      <c r="L215" s="1422"/>
      <c r="M215" s="1322"/>
    </row>
    <row r="216" spans="1:13" s="714" customFormat="1" ht="22.15" customHeight="1">
      <c r="A216" s="950"/>
      <c r="E216" s="1422"/>
      <c r="F216" s="1423"/>
      <c r="G216" s="1424"/>
      <c r="H216" s="1425"/>
      <c r="I216" s="1424"/>
      <c r="J216" s="1426"/>
      <c r="K216" s="1422"/>
      <c r="L216" s="1422"/>
      <c r="M216" s="1322"/>
    </row>
    <row r="217" spans="1:13" s="714" customFormat="1" ht="22.15" customHeight="1">
      <c r="A217" s="950"/>
      <c r="E217" s="1422"/>
      <c r="F217" s="1423"/>
      <c r="G217" s="1424"/>
      <c r="H217" s="1425"/>
      <c r="I217" s="1424"/>
      <c r="J217" s="1426"/>
      <c r="K217" s="1422"/>
      <c r="L217" s="1422"/>
      <c r="M217" s="1322"/>
    </row>
    <row r="218" spans="1:13" s="714" customFormat="1" ht="22.15" customHeight="1">
      <c r="A218" s="950"/>
      <c r="E218" s="1422"/>
      <c r="F218" s="1423"/>
      <c r="G218" s="1424"/>
      <c r="H218" s="1425"/>
      <c r="I218" s="1424"/>
      <c r="J218" s="1426"/>
      <c r="K218" s="1422"/>
      <c r="L218" s="1422"/>
      <c r="M218" s="1322"/>
    </row>
    <row r="219" spans="1:13" s="714" customFormat="1" ht="22.15" customHeight="1">
      <c r="A219" s="950"/>
      <c r="E219" s="1422"/>
      <c r="F219" s="1423"/>
      <c r="G219" s="1424"/>
      <c r="H219" s="1425"/>
      <c r="I219" s="1424"/>
      <c r="J219" s="1426"/>
      <c r="K219" s="1422"/>
      <c r="L219" s="1422"/>
      <c r="M219" s="1322"/>
    </row>
    <row r="220" spans="1:13" s="714" customFormat="1" ht="22.15" customHeight="1">
      <c r="A220" s="950"/>
      <c r="E220" s="1422"/>
      <c r="F220" s="1423"/>
      <c r="G220" s="1424"/>
      <c r="H220" s="1425"/>
      <c r="I220" s="1424"/>
      <c r="J220" s="1426"/>
      <c r="K220" s="1422"/>
      <c r="L220" s="1422"/>
      <c r="M220" s="1322"/>
    </row>
    <row r="221" spans="1:13" s="714" customFormat="1" ht="21.3">
      <c r="A221" s="950"/>
      <c r="E221" s="1422"/>
      <c r="F221" s="1423"/>
      <c r="G221" s="1424"/>
      <c r="H221" s="1425"/>
      <c r="I221" s="1424"/>
      <c r="J221" s="1426"/>
      <c r="K221" s="1422"/>
      <c r="L221" s="1422"/>
      <c r="M221" s="1322"/>
    </row>
    <row r="222" spans="1:13" s="714" customFormat="1" ht="21.3">
      <c r="A222" s="950"/>
      <c r="E222" s="1422"/>
      <c r="F222" s="1423"/>
      <c r="G222" s="1424"/>
      <c r="H222" s="1425"/>
      <c r="I222" s="1424"/>
      <c r="J222" s="1426"/>
      <c r="K222" s="1422"/>
      <c r="L222" s="1422"/>
      <c r="M222" s="1322"/>
    </row>
    <row r="223" spans="1:13" s="714" customFormat="1" ht="21.3">
      <c r="A223" s="950"/>
      <c r="E223" s="1422"/>
      <c r="F223" s="1423"/>
      <c r="G223" s="1424"/>
      <c r="H223" s="1425"/>
      <c r="I223" s="1424"/>
      <c r="J223" s="1426"/>
      <c r="K223" s="1422"/>
      <c r="L223" s="1422"/>
      <c r="M223" s="1322"/>
    </row>
    <row r="224" spans="1:13" s="714" customFormat="1" ht="21.3">
      <c r="A224" s="950"/>
      <c r="G224" s="1424"/>
      <c r="H224" s="1425"/>
      <c r="I224" s="1424"/>
      <c r="J224" s="1426"/>
      <c r="K224" s="1422"/>
      <c r="L224" s="1422"/>
      <c r="M224" s="1322"/>
    </row>
    <row r="225" spans="1:13" s="714" customFormat="1" ht="21.3">
      <c r="A225" s="950"/>
      <c r="G225" s="1424"/>
      <c r="H225" s="1425"/>
      <c r="I225" s="1424"/>
      <c r="J225" s="1426"/>
      <c r="K225" s="1422"/>
      <c r="L225" s="1422"/>
      <c r="M225" s="1322"/>
    </row>
    <row r="226" spans="1:13" s="714" customFormat="1" ht="21.3">
      <c r="A226" s="950"/>
      <c r="G226" s="1424"/>
      <c r="H226" s="1425"/>
      <c r="I226" s="1424"/>
      <c r="J226" s="1426"/>
      <c r="K226" s="1422"/>
      <c r="L226" s="1422"/>
      <c r="M226" s="1322"/>
    </row>
    <row r="227" spans="1:13" s="714" customFormat="1" ht="21.3">
      <c r="A227" s="950"/>
      <c r="G227" s="1424"/>
      <c r="H227" s="1425"/>
      <c r="K227" s="1422"/>
      <c r="L227" s="1422"/>
      <c r="M227" s="1322"/>
    </row>
    <row r="228" spans="1:13" s="714" customFormat="1" ht="21.3">
      <c r="A228" s="950"/>
      <c r="G228" s="1424"/>
      <c r="H228" s="1425"/>
      <c r="K228" s="1422"/>
      <c r="L228" s="1422"/>
      <c r="M228" s="1322"/>
    </row>
    <row r="229" spans="1:13" s="714" customFormat="1" ht="21.3">
      <c r="A229" s="950"/>
      <c r="G229" s="1424"/>
      <c r="H229" s="1425"/>
      <c r="K229" s="1422"/>
      <c r="L229" s="1422"/>
      <c r="M229" s="1322"/>
    </row>
    <row r="230" spans="1:13" s="714" customFormat="1" ht="21.3">
      <c r="A230" s="950"/>
      <c r="G230" s="1424"/>
      <c r="H230" s="1425"/>
      <c r="K230" s="1422"/>
      <c r="L230" s="1422"/>
      <c r="M230" s="1322"/>
    </row>
    <row r="231" spans="1:13" s="714" customFormat="1" ht="21.3">
      <c r="A231" s="950"/>
      <c r="G231" s="1424"/>
      <c r="H231" s="1425"/>
      <c r="K231" s="1422"/>
      <c r="L231" s="1422"/>
      <c r="M231" s="1322"/>
    </row>
    <row r="232" spans="1:13" s="714" customFormat="1" ht="21.3">
      <c r="A232" s="950"/>
      <c r="G232" s="1424"/>
      <c r="H232" s="1425"/>
      <c r="K232" s="1422"/>
      <c r="L232" s="1422"/>
      <c r="M232" s="1322"/>
    </row>
    <row r="233" spans="1:13" s="714" customFormat="1" ht="21.3">
      <c r="A233" s="950"/>
      <c r="G233" s="1424"/>
      <c r="H233" s="1425"/>
      <c r="K233" s="1422"/>
      <c r="L233" s="1422"/>
      <c r="M233" s="1322"/>
    </row>
    <row r="234" spans="1:13" s="714" customFormat="1" ht="21.3">
      <c r="A234" s="950"/>
      <c r="G234" s="1424"/>
      <c r="H234" s="1425"/>
      <c r="K234" s="1422"/>
      <c r="L234" s="1422"/>
      <c r="M234" s="1322"/>
    </row>
    <row r="235" spans="1:13">
      <c r="A235" s="950"/>
      <c r="B235" s="714"/>
      <c r="C235" s="714"/>
      <c r="D235" s="714"/>
      <c r="E235" s="714"/>
      <c r="F235" s="714"/>
      <c r="G235" s="1424"/>
      <c r="H235" s="1425"/>
      <c r="I235" s="714"/>
      <c r="J235" s="714"/>
      <c r="K235" s="1422"/>
      <c r="L235" s="1422"/>
    </row>
    <row r="236" spans="1:13">
      <c r="A236" s="950"/>
      <c r="B236" s="714"/>
      <c r="C236" s="714"/>
      <c r="D236" s="714"/>
      <c r="E236" s="714"/>
      <c r="F236" s="714"/>
      <c r="G236" s="1424"/>
      <c r="H236" s="1425"/>
      <c r="I236" s="714"/>
      <c r="J236" s="714"/>
      <c r="K236" s="1422"/>
      <c r="L236" s="1422"/>
    </row>
    <row r="237" spans="1:13">
      <c r="A237" s="950"/>
      <c r="B237" s="714"/>
      <c r="C237" s="714"/>
      <c r="D237" s="714"/>
      <c r="E237" s="714"/>
      <c r="F237" s="714"/>
      <c r="G237" s="1424"/>
      <c r="H237" s="1425"/>
      <c r="I237" s="714"/>
      <c r="J237" s="714"/>
      <c r="K237" s="1422"/>
      <c r="L237" s="1422"/>
    </row>
    <row r="244" spans="2:2">
      <c r="B244" s="1427"/>
    </row>
    <row r="245" spans="2:2">
      <c r="B245" s="1427"/>
    </row>
  </sheetData>
  <mergeCells count="20">
    <mergeCell ref="L7:L8"/>
    <mergeCell ref="A9:A10"/>
    <mergeCell ref="B9:D10"/>
    <mergeCell ref="E9:E10"/>
    <mergeCell ref="F9:F10"/>
    <mergeCell ref="G9:H9"/>
    <mergeCell ref="I9:J9"/>
    <mergeCell ref="L9:L10"/>
    <mergeCell ref="B209:D209"/>
    <mergeCell ref="B34:D34"/>
    <mergeCell ref="B45:D45"/>
    <mergeCell ref="B59:D59"/>
    <mergeCell ref="B84:D84"/>
    <mergeCell ref="B99:D99"/>
    <mergeCell ref="B109:D109"/>
    <mergeCell ref="B119:D119"/>
    <mergeCell ref="B134:D134"/>
    <mergeCell ref="B143:D143"/>
    <mergeCell ref="B178:D178"/>
    <mergeCell ref="B199:D199"/>
  </mergeCells>
  <conditionalFormatting sqref="N146:O146 N161:O161 N163:O164 N171:O171">
    <cfRule type="containsText" dxfId="1292" priority="60" operator="containsText" text="Diffus">
      <formula>NOT(ISERROR(SEARCH("Diffus",N146)))</formula>
    </cfRule>
    <cfRule type="containsText" dxfId="1291" priority="61" operator="containsText" text="Counter">
      <formula>NOT(ISERROR(SEARCH("Counter",N146)))</formula>
    </cfRule>
    <cfRule type="containsText" dxfId="1290" priority="62" operator="containsText" text="Damper">
      <formula>NOT(ISERROR(SEARCH("Damper",N146)))</formula>
    </cfRule>
    <cfRule type="containsText" dxfId="1289" priority="63" operator="containsText" text="Register">
      <formula>NOT(ISERROR(SEARCH("Register",N146)))</formula>
    </cfRule>
    <cfRule type="containsText" dxfId="1288" priority="64" operator="containsText" text="Grille">
      <formula>NOT(ISERROR(SEARCH("Grille",N146)))</formula>
    </cfRule>
    <cfRule type="containsText" dxfId="1287" priority="65" operator="containsText" text="FFL">
      <formula>NOT(ISERROR(SEARCH("FFL",N146)))</formula>
    </cfRule>
  </conditionalFormatting>
  <conditionalFormatting sqref="G76:G79">
    <cfRule type="expression" dxfId="1286" priority="59">
      <formula>SUMPRODUCT(--(ROW()=$O$12:$O$23))&gt;0</formula>
    </cfRule>
  </conditionalFormatting>
  <conditionalFormatting sqref="N147:O151 N153:O154 N156:O159">
    <cfRule type="containsText" dxfId="1285" priority="53" operator="containsText" text="Diffus">
      <formula>NOT(ISERROR(SEARCH("Diffus",N147)))</formula>
    </cfRule>
    <cfRule type="containsText" dxfId="1284" priority="54" operator="containsText" text="Counter">
      <formula>NOT(ISERROR(SEARCH("Counter",N147)))</formula>
    </cfRule>
    <cfRule type="containsText" dxfId="1283" priority="55" operator="containsText" text="Damper">
      <formula>NOT(ISERROR(SEARCH("Damper",N147)))</formula>
    </cfRule>
    <cfRule type="containsText" dxfId="1282" priority="56" operator="containsText" text="Register">
      <formula>NOT(ISERROR(SEARCH("Register",N147)))</formula>
    </cfRule>
    <cfRule type="containsText" dxfId="1281" priority="57" operator="containsText" text="Grille">
      <formula>NOT(ISERROR(SEARCH("Grille",N147)))</formula>
    </cfRule>
    <cfRule type="containsText" dxfId="1280" priority="58" operator="containsText" text="FFL">
      <formula>NOT(ISERROR(SEARCH("FFL",N147)))</formula>
    </cfRule>
  </conditionalFormatting>
  <conditionalFormatting sqref="B146:B151 B153:B154 B156:B159">
    <cfRule type="expression" dxfId="1279" priority="52">
      <formula>SUMPRODUCT(--(ROW()=$O$12:$O$22))&gt;0</formula>
    </cfRule>
  </conditionalFormatting>
  <conditionalFormatting sqref="N162:O162">
    <cfRule type="containsText" dxfId="1278" priority="46" operator="containsText" text="Diffus">
      <formula>NOT(ISERROR(SEARCH("Diffus",N162)))</formula>
    </cfRule>
    <cfRule type="containsText" dxfId="1277" priority="47" operator="containsText" text="Counter">
      <formula>NOT(ISERROR(SEARCH("Counter",N162)))</formula>
    </cfRule>
    <cfRule type="containsText" dxfId="1276" priority="48" operator="containsText" text="Damper">
      <formula>NOT(ISERROR(SEARCH("Damper",N162)))</formula>
    </cfRule>
    <cfRule type="containsText" dxfId="1275" priority="49" operator="containsText" text="Register">
      <formula>NOT(ISERROR(SEARCH("Register",N162)))</formula>
    </cfRule>
    <cfRule type="containsText" dxfId="1274" priority="50" operator="containsText" text="Grille">
      <formula>NOT(ISERROR(SEARCH("Grille",N162)))</formula>
    </cfRule>
    <cfRule type="containsText" dxfId="1273" priority="51" operator="containsText" text="FFL">
      <formula>NOT(ISERROR(SEARCH("FFL",N162)))</formula>
    </cfRule>
  </conditionalFormatting>
  <conditionalFormatting sqref="N165:O165">
    <cfRule type="containsText" dxfId="1272" priority="40" operator="containsText" text="Diffus">
      <formula>NOT(ISERROR(SEARCH("Diffus",N165)))</formula>
    </cfRule>
    <cfRule type="containsText" dxfId="1271" priority="41" operator="containsText" text="Counter">
      <formula>NOT(ISERROR(SEARCH("Counter",N165)))</formula>
    </cfRule>
    <cfRule type="containsText" dxfId="1270" priority="42" operator="containsText" text="Damper">
      <formula>NOT(ISERROR(SEARCH("Damper",N165)))</formula>
    </cfRule>
    <cfRule type="containsText" dxfId="1269" priority="43" operator="containsText" text="Register">
      <formula>NOT(ISERROR(SEARCH("Register",N165)))</formula>
    </cfRule>
    <cfRule type="containsText" dxfId="1268" priority="44" operator="containsText" text="Grille">
      <formula>NOT(ISERROR(SEARCH("Grille",N165)))</formula>
    </cfRule>
    <cfRule type="containsText" dxfId="1267" priority="45" operator="containsText" text="FFL">
      <formula>NOT(ISERROR(SEARCH("FFL",N165)))</formula>
    </cfRule>
  </conditionalFormatting>
  <conditionalFormatting sqref="N166:O166">
    <cfRule type="containsText" dxfId="1266" priority="34" operator="containsText" text="Diffus">
      <formula>NOT(ISERROR(SEARCH("Diffus",N166)))</formula>
    </cfRule>
    <cfRule type="containsText" dxfId="1265" priority="35" operator="containsText" text="Counter">
      <formula>NOT(ISERROR(SEARCH("Counter",N166)))</formula>
    </cfRule>
    <cfRule type="containsText" dxfId="1264" priority="36" operator="containsText" text="Damper">
      <formula>NOT(ISERROR(SEARCH("Damper",N166)))</formula>
    </cfRule>
    <cfRule type="containsText" dxfId="1263" priority="37" operator="containsText" text="Register">
      <formula>NOT(ISERROR(SEARCH("Register",N166)))</formula>
    </cfRule>
    <cfRule type="containsText" dxfId="1262" priority="38" operator="containsText" text="Grille">
      <formula>NOT(ISERROR(SEARCH("Grille",N166)))</formula>
    </cfRule>
    <cfRule type="containsText" dxfId="1261" priority="39" operator="containsText" text="FFL">
      <formula>NOT(ISERROR(SEARCH("FFL",N166)))</formula>
    </cfRule>
  </conditionalFormatting>
  <conditionalFormatting sqref="N167:O167">
    <cfRule type="containsText" dxfId="1260" priority="28" operator="containsText" text="Diffus">
      <formula>NOT(ISERROR(SEARCH("Diffus",N167)))</formula>
    </cfRule>
    <cfRule type="containsText" dxfId="1259" priority="29" operator="containsText" text="Counter">
      <formula>NOT(ISERROR(SEARCH("Counter",N167)))</formula>
    </cfRule>
    <cfRule type="containsText" dxfId="1258" priority="30" operator="containsText" text="Damper">
      <formula>NOT(ISERROR(SEARCH("Damper",N167)))</formula>
    </cfRule>
    <cfRule type="containsText" dxfId="1257" priority="31" operator="containsText" text="Register">
      <formula>NOT(ISERROR(SEARCH("Register",N167)))</formula>
    </cfRule>
    <cfRule type="containsText" dxfId="1256" priority="32" operator="containsText" text="Grille">
      <formula>NOT(ISERROR(SEARCH("Grille",N167)))</formula>
    </cfRule>
    <cfRule type="containsText" dxfId="1255" priority="33" operator="containsText" text="FFL">
      <formula>NOT(ISERROR(SEARCH("FFL",N167)))</formula>
    </cfRule>
  </conditionalFormatting>
  <conditionalFormatting sqref="N168:O168">
    <cfRule type="containsText" dxfId="1254" priority="22" operator="containsText" text="Diffus">
      <formula>NOT(ISERROR(SEARCH("Diffus",N168)))</formula>
    </cfRule>
    <cfRule type="containsText" dxfId="1253" priority="23" operator="containsText" text="Counter">
      <formula>NOT(ISERROR(SEARCH("Counter",N168)))</formula>
    </cfRule>
    <cfRule type="containsText" dxfId="1252" priority="24" operator="containsText" text="Damper">
      <formula>NOT(ISERROR(SEARCH("Damper",N168)))</formula>
    </cfRule>
    <cfRule type="containsText" dxfId="1251" priority="25" operator="containsText" text="Register">
      <formula>NOT(ISERROR(SEARCH("Register",N168)))</formula>
    </cfRule>
    <cfRule type="containsText" dxfId="1250" priority="26" operator="containsText" text="Grille">
      <formula>NOT(ISERROR(SEARCH("Grille",N168)))</formula>
    </cfRule>
    <cfRule type="containsText" dxfId="1249" priority="27" operator="containsText" text="FFL">
      <formula>NOT(ISERROR(SEARCH("FFL",N168)))</formula>
    </cfRule>
  </conditionalFormatting>
  <conditionalFormatting sqref="N169:O169">
    <cfRule type="containsText" dxfId="1248" priority="16" operator="containsText" text="Diffus">
      <formula>NOT(ISERROR(SEARCH("Diffus",N169)))</formula>
    </cfRule>
    <cfRule type="containsText" dxfId="1247" priority="17" operator="containsText" text="Counter">
      <formula>NOT(ISERROR(SEARCH("Counter",N169)))</formula>
    </cfRule>
    <cfRule type="containsText" dxfId="1246" priority="18" operator="containsText" text="Damper">
      <formula>NOT(ISERROR(SEARCH("Damper",N169)))</formula>
    </cfRule>
    <cfRule type="containsText" dxfId="1245" priority="19" operator="containsText" text="Register">
      <formula>NOT(ISERROR(SEARCH("Register",N169)))</formula>
    </cfRule>
    <cfRule type="containsText" dxfId="1244" priority="20" operator="containsText" text="Grille">
      <formula>NOT(ISERROR(SEARCH("Grille",N169)))</formula>
    </cfRule>
    <cfRule type="containsText" dxfId="1243" priority="21" operator="containsText" text="FFL">
      <formula>NOT(ISERROR(SEARCH("FFL",N169)))</formula>
    </cfRule>
  </conditionalFormatting>
  <conditionalFormatting sqref="N172:O172">
    <cfRule type="containsText" dxfId="1242" priority="10" operator="containsText" text="Diffus">
      <formula>NOT(ISERROR(SEARCH("Diffus",N172)))</formula>
    </cfRule>
    <cfRule type="containsText" dxfId="1241" priority="11" operator="containsText" text="Counter">
      <formula>NOT(ISERROR(SEARCH("Counter",N172)))</formula>
    </cfRule>
    <cfRule type="containsText" dxfId="1240" priority="12" operator="containsText" text="Damper">
      <formula>NOT(ISERROR(SEARCH("Damper",N172)))</formula>
    </cfRule>
    <cfRule type="containsText" dxfId="1239" priority="13" operator="containsText" text="Register">
      <formula>NOT(ISERROR(SEARCH("Register",N172)))</formula>
    </cfRule>
    <cfRule type="containsText" dxfId="1238" priority="14" operator="containsText" text="Grille">
      <formula>NOT(ISERROR(SEARCH("Grille",N172)))</formula>
    </cfRule>
    <cfRule type="containsText" dxfId="1237" priority="15" operator="containsText" text="FFL">
      <formula>NOT(ISERROR(SEARCH("FFL",N172)))</formula>
    </cfRule>
  </conditionalFormatting>
  <conditionalFormatting sqref="B161:B169">
    <cfRule type="expression" dxfId="1236" priority="9">
      <formula>SUMPRODUCT(--(ROW()=$O$12:$O$22))&gt;0</formula>
    </cfRule>
  </conditionalFormatting>
  <conditionalFormatting sqref="B172">
    <cfRule type="expression" dxfId="1235" priority="8">
      <formula>SUMPRODUCT(--(ROW()=$O$12:$O$22))&gt;0</formula>
    </cfRule>
  </conditionalFormatting>
  <conditionalFormatting sqref="N170:O170">
    <cfRule type="containsText" dxfId="1234" priority="2" operator="containsText" text="Diffus">
      <formula>NOT(ISERROR(SEARCH("Diffus",N170)))</formula>
    </cfRule>
    <cfRule type="containsText" dxfId="1233" priority="3" operator="containsText" text="Counter">
      <formula>NOT(ISERROR(SEARCH("Counter",N170)))</formula>
    </cfRule>
    <cfRule type="containsText" dxfId="1232" priority="4" operator="containsText" text="Damper">
      <formula>NOT(ISERROR(SEARCH("Damper",N170)))</formula>
    </cfRule>
    <cfRule type="containsText" dxfId="1231" priority="5" operator="containsText" text="Register">
      <formula>NOT(ISERROR(SEARCH("Register",N170)))</formula>
    </cfRule>
    <cfRule type="containsText" dxfId="1230" priority="6" operator="containsText" text="Grille">
      <formula>NOT(ISERROR(SEARCH("Grille",N170)))</formula>
    </cfRule>
    <cfRule type="containsText" dxfId="1229" priority="7" operator="containsText" text="FFL">
      <formula>NOT(ISERROR(SEARCH("FFL",N170)))</formula>
    </cfRule>
  </conditionalFormatting>
  <conditionalFormatting sqref="B170">
    <cfRule type="expression" dxfId="1228" priority="1">
      <formula>SUMPRODUCT(--(ROW()=$O$12:$O$22))&gt;0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B2-อาคารสนับนุน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1D37F-2897-418D-B5ED-55BEB78884C4}">
  <sheetPr>
    <tabColor rgb="FF92D050"/>
  </sheetPr>
  <dimension ref="A1:U34"/>
  <sheetViews>
    <sheetView tabSelected="1" view="pageBreakPreview" topLeftCell="A16" zoomScale="85" zoomScaleNormal="100" zoomScaleSheetLayoutView="8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15.703125" style="732" customWidth="1"/>
    <col min="13" max="13" width="7.703125" style="1" customWidth="1"/>
    <col min="14" max="14" width="33.703125" style="1" customWidth="1"/>
    <col min="15" max="99" width="7.703125" style="1" customWidth="1"/>
    <col min="100" max="16384" width="9" style="1"/>
  </cols>
  <sheetData>
    <row r="1" spans="1:14" ht="35.200000000000003" customHeight="1">
      <c r="A1" s="681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682"/>
    </row>
    <row r="2" spans="1:14" ht="25.15" customHeight="1">
      <c r="A2" s="683" t="s">
        <v>2</v>
      </c>
      <c r="B2" s="33"/>
      <c r="C2" s="34"/>
      <c r="D2" s="11" t="s">
        <v>938</v>
      </c>
      <c r="E2" s="34"/>
      <c r="F2" s="12"/>
      <c r="G2" s="12"/>
      <c r="H2" s="12"/>
      <c r="I2" s="12"/>
      <c r="J2" s="13"/>
      <c r="K2" s="12"/>
      <c r="L2" s="684"/>
    </row>
    <row r="3" spans="1:14" ht="25.15" customHeight="1">
      <c r="A3" s="685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686"/>
    </row>
    <row r="4" spans="1:14" ht="25.15" customHeight="1">
      <c r="A4" s="687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686"/>
    </row>
    <row r="5" spans="1:14" ht="25.15" customHeight="1">
      <c r="A5" s="685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686"/>
    </row>
    <row r="6" spans="1:14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688"/>
    </row>
    <row r="7" spans="1:14" ht="26.2" customHeight="1">
      <c r="A7" s="6" t="s">
        <v>26</v>
      </c>
      <c r="B7" s="20"/>
      <c r="C7" s="20"/>
      <c r="D7" s="21"/>
      <c r="E7" s="20"/>
      <c r="F7" s="689" t="s">
        <v>5</v>
      </c>
      <c r="G7" s="22"/>
      <c r="H7" s="22" t="s">
        <v>6</v>
      </c>
      <c r="I7" s="23"/>
      <c r="J7" s="6" t="s">
        <v>23</v>
      </c>
      <c r="K7" s="20"/>
      <c r="L7" s="2469" t="s">
        <v>7</v>
      </c>
    </row>
    <row r="8" spans="1:14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70"/>
    </row>
    <row r="9" spans="1:14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362" t="s">
        <v>14</v>
      </c>
      <c r="L9" s="2471" t="s">
        <v>15</v>
      </c>
    </row>
    <row r="10" spans="1:14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364" t="s">
        <v>17</v>
      </c>
      <c r="I10" s="28" t="s">
        <v>16</v>
      </c>
      <c r="J10" s="2364" t="s">
        <v>17</v>
      </c>
      <c r="K10" s="2363" t="s">
        <v>18</v>
      </c>
      <c r="L10" s="2472"/>
    </row>
    <row r="11" spans="1:14" ht="24" customHeight="1">
      <c r="A11" s="690" t="s">
        <v>25</v>
      </c>
      <c r="B11" s="691" t="s">
        <v>24</v>
      </c>
      <c r="C11" s="692"/>
      <c r="D11" s="693"/>
      <c r="E11" s="694"/>
      <c r="F11" s="695"/>
      <c r="G11" s="696"/>
      <c r="H11" s="697"/>
      <c r="I11" s="698"/>
      <c r="J11" s="697"/>
      <c r="K11" s="699"/>
      <c r="L11" s="700"/>
    </row>
    <row r="12" spans="1:14" ht="24" customHeight="1">
      <c r="A12" s="701"/>
      <c r="B12" s="702"/>
      <c r="C12" s="703"/>
      <c r="D12" s="693"/>
      <c r="E12" s="694"/>
      <c r="F12" s="695"/>
      <c r="G12" s="696"/>
      <c r="H12" s="697"/>
      <c r="I12" s="698"/>
      <c r="J12" s="697"/>
      <c r="K12" s="699"/>
      <c r="L12" s="700"/>
    </row>
    <row r="13" spans="1:14" s="714" customFormat="1" ht="24" customHeight="1">
      <c r="A13" s="704">
        <v>1</v>
      </c>
      <c r="B13" s="705" t="str">
        <f>'03.EE-ศูนย์ประชุม (Main)'!B11</f>
        <v>งานระบบไฟฟ้าและสื่อสาร (Main Equipment)</v>
      </c>
      <c r="C13" s="706"/>
      <c r="D13" s="707"/>
      <c r="E13" s="708">
        <v>1</v>
      </c>
      <c r="F13" s="709" t="s">
        <v>19</v>
      </c>
      <c r="G13" s="710"/>
      <c r="H13" s="711">
        <f>'03.EE-ศูนย์ประชุม (Main)'!H34</f>
        <v>61744908</v>
      </c>
      <c r="I13" s="712"/>
      <c r="J13" s="711">
        <f>'03.EE-ศูนย์ประชุม (Main)'!J34</f>
        <v>6641754</v>
      </c>
      <c r="K13" s="711">
        <f>'03.EE-ศูนย์ประชุม (Main)'!K34</f>
        <v>68386542</v>
      </c>
      <c r="L13" s="713"/>
      <c r="N13" s="715"/>
    </row>
    <row r="14" spans="1:14" s="714" customFormat="1" ht="24" customHeight="1">
      <c r="A14" s="704">
        <v>2</v>
      </c>
      <c r="B14" s="705" t="str">
        <f>'03.EE-ศูนย์ประชุม (B2)'!B11</f>
        <v>งานระบบไฟฟ้าและสื่อสาร ชั้น B2</v>
      </c>
      <c r="C14" s="716"/>
      <c r="D14" s="707"/>
      <c r="E14" s="708">
        <v>1</v>
      </c>
      <c r="F14" s="709" t="s">
        <v>19</v>
      </c>
      <c r="G14" s="710"/>
      <c r="H14" s="711">
        <f>'03.EE-ศูนย์ประชุม (B2)'!H34</f>
        <v>4672344</v>
      </c>
      <c r="I14" s="712"/>
      <c r="J14" s="711">
        <f>'03.EE-ศูนย์ประชุม (B2)'!J34</f>
        <v>1134294</v>
      </c>
      <c r="K14" s="711">
        <f>'03.EE-ศูนย์ประชุม (B2)'!K34</f>
        <v>5806638</v>
      </c>
      <c r="L14" s="713"/>
      <c r="N14" s="715"/>
    </row>
    <row r="15" spans="1:14" s="714" customFormat="1" ht="24" customHeight="1">
      <c r="A15" s="704">
        <v>3</v>
      </c>
      <c r="B15" s="705" t="str">
        <f>'03.EE-ศูนย์ประชุม (B1)'!B11</f>
        <v>งานระบบไฟฟ้าและสื่อสาร ชั้น B1</v>
      </c>
      <c r="C15" s="717"/>
      <c r="D15" s="718"/>
      <c r="E15" s="708">
        <v>1</v>
      </c>
      <c r="F15" s="709" t="s">
        <v>19</v>
      </c>
      <c r="G15" s="710"/>
      <c r="H15" s="711">
        <f>'03.EE-ศูนย์ประชุม (B1)'!H34</f>
        <v>4990140</v>
      </c>
      <c r="I15" s="712"/>
      <c r="J15" s="711">
        <f>'03.EE-ศูนย์ประชุม (B1)'!J34</f>
        <v>1186124</v>
      </c>
      <c r="K15" s="711">
        <f>'03.EE-ศูนย์ประชุม (B1)'!K34</f>
        <v>6176264</v>
      </c>
      <c r="L15" s="713"/>
      <c r="N15" s="715"/>
    </row>
    <row r="16" spans="1:14" s="714" customFormat="1" ht="24" customHeight="1">
      <c r="A16" s="704">
        <v>4</v>
      </c>
      <c r="B16" s="705" t="str">
        <f>'03.EE-ศูนย์ประชุม (1FL)'!B11</f>
        <v>งานระบบไฟฟ้าและสื่อสาร ชั้น 1</v>
      </c>
      <c r="C16" s="717"/>
      <c r="D16" s="718"/>
      <c r="E16" s="708">
        <v>1</v>
      </c>
      <c r="F16" s="709" t="s">
        <v>19</v>
      </c>
      <c r="G16" s="710"/>
      <c r="H16" s="711">
        <f>'03.EE-ศูนย์ประชุม (1FL)'!H34</f>
        <v>6338863</v>
      </c>
      <c r="I16" s="712"/>
      <c r="J16" s="711">
        <f>'03.EE-ศูนย์ประชุม (1FL)'!J34</f>
        <v>1595376</v>
      </c>
      <c r="K16" s="711">
        <f>'03.EE-ศูนย์ประชุม (1FL)'!K34</f>
        <v>7934239</v>
      </c>
      <c r="L16" s="713"/>
      <c r="N16" s="715"/>
    </row>
    <row r="17" spans="1:14" s="714" customFormat="1" ht="24" customHeight="1">
      <c r="A17" s="704">
        <v>5</v>
      </c>
      <c r="B17" s="705" t="str">
        <f>'03.EE-ศูนย์ประชุม (2FL)'!B11</f>
        <v>งานระบบไฟฟ้าและสื่อสาร ชั้น 2</v>
      </c>
      <c r="C17" s="717"/>
      <c r="D17" s="718"/>
      <c r="E17" s="708">
        <v>1</v>
      </c>
      <c r="F17" s="709" t="s">
        <v>19</v>
      </c>
      <c r="G17" s="710"/>
      <c r="H17" s="711">
        <f>'03.EE-ศูนย์ประชุม (2FL)'!H34</f>
        <v>5692105</v>
      </c>
      <c r="I17" s="712"/>
      <c r="J17" s="711">
        <f>'03.EE-ศูนย์ประชุม (2FL)'!J34</f>
        <v>1448683</v>
      </c>
      <c r="K17" s="711">
        <f>'03.EE-ศูนย์ประชุม (2FL)'!K34</f>
        <v>7140788</v>
      </c>
      <c r="L17" s="713"/>
      <c r="N17" s="715"/>
    </row>
    <row r="18" spans="1:14" s="714" customFormat="1" ht="24" customHeight="1">
      <c r="A18" s="704">
        <v>6</v>
      </c>
      <c r="B18" s="705" t="str">
        <f>'03.EE-ศูนย์ประชุม (3FL)'!B11</f>
        <v>งานระบบไฟฟ้าและสื่อสาร ชั้น 3</v>
      </c>
      <c r="C18" s="717"/>
      <c r="D18" s="718"/>
      <c r="E18" s="708">
        <v>1</v>
      </c>
      <c r="F18" s="709" t="s">
        <v>19</v>
      </c>
      <c r="G18" s="710"/>
      <c r="H18" s="711">
        <f>'03.EE-ศูนย์ประชุม (3FL)'!H34</f>
        <v>4332187</v>
      </c>
      <c r="I18" s="712"/>
      <c r="J18" s="711">
        <f>'03.EE-ศูนย์ประชุม (3FL)'!J34</f>
        <v>782548</v>
      </c>
      <c r="K18" s="711">
        <f>'03.EE-ศูนย์ประชุม (3FL)'!K34</f>
        <v>5114735</v>
      </c>
      <c r="L18" s="713"/>
      <c r="N18" s="715"/>
    </row>
    <row r="19" spans="1:14" s="714" customFormat="1" ht="24" customHeight="1">
      <c r="A19" s="704">
        <v>7</v>
      </c>
      <c r="B19" s="705" t="str">
        <f>'03.EE-ศูนย์ประชุม (4FL)'!B11</f>
        <v>งานระบบไฟฟ้าและสื่อสาร ชั้น 4</v>
      </c>
      <c r="C19" s="717"/>
      <c r="D19" s="718"/>
      <c r="E19" s="708">
        <v>1</v>
      </c>
      <c r="F19" s="709" t="s">
        <v>19</v>
      </c>
      <c r="G19" s="710"/>
      <c r="H19" s="711">
        <f>'03.EE-ศูนย์ประชุม (4FL)'!H34</f>
        <v>4303612</v>
      </c>
      <c r="I19" s="712"/>
      <c r="J19" s="711">
        <f>'03.EE-ศูนย์ประชุม (4FL)'!J34</f>
        <v>781442</v>
      </c>
      <c r="K19" s="711">
        <f>'03.EE-ศูนย์ประชุม (4FL)'!K34</f>
        <v>5085054</v>
      </c>
      <c r="L19" s="713"/>
      <c r="N19" s="715"/>
    </row>
    <row r="20" spans="1:14" s="714" customFormat="1" ht="24" customHeight="1">
      <c r="A20" s="704">
        <v>8</v>
      </c>
      <c r="B20" s="705" t="str">
        <f>'03.EE-ศูนย์ประชุม (5FL)'!B11</f>
        <v>งานระบบไฟฟ้าและสื่อสาร ชั้น 5</v>
      </c>
      <c r="C20" s="717"/>
      <c r="D20" s="718"/>
      <c r="E20" s="708">
        <v>1</v>
      </c>
      <c r="F20" s="709" t="s">
        <v>19</v>
      </c>
      <c r="G20" s="710"/>
      <c r="H20" s="711">
        <f>'03.EE-ศูนย์ประชุม (5FL)'!H34</f>
        <v>3865187</v>
      </c>
      <c r="I20" s="712"/>
      <c r="J20" s="711">
        <f>'03.EE-ศูนย์ประชุม (5FL)'!J34</f>
        <v>706536</v>
      </c>
      <c r="K20" s="711">
        <f>'03.EE-ศูนย์ประชุม (5FL)'!K34</f>
        <v>4571723</v>
      </c>
      <c r="L20" s="713"/>
      <c r="N20" s="715"/>
    </row>
    <row r="21" spans="1:14" s="714" customFormat="1" ht="24" customHeight="1">
      <c r="A21" s="704">
        <v>9</v>
      </c>
      <c r="B21" s="705" t="str">
        <f>'03.EE-ศูนย์ประชุม (6FL)'!B11</f>
        <v>งานระบบไฟฟ้าและสื่อสาร ชั้น 6</v>
      </c>
      <c r="C21" s="717"/>
      <c r="D21" s="718"/>
      <c r="E21" s="708">
        <v>1</v>
      </c>
      <c r="F21" s="709" t="s">
        <v>19</v>
      </c>
      <c r="G21" s="710"/>
      <c r="H21" s="711">
        <f>'03.EE-ศูนย์ประชุม (6FL)'!H34</f>
        <v>4974314</v>
      </c>
      <c r="I21" s="712"/>
      <c r="J21" s="711">
        <f>'03.EE-ศูนย์ประชุม (6FL)'!J34</f>
        <v>978864</v>
      </c>
      <c r="K21" s="711">
        <f>'03.EE-ศูนย์ประชุม (6FL)'!K34</f>
        <v>5953178</v>
      </c>
      <c r="L21" s="713"/>
      <c r="N21" s="715"/>
    </row>
    <row r="22" spans="1:14" s="714" customFormat="1" ht="24" customHeight="1">
      <c r="A22" s="704">
        <v>10</v>
      </c>
      <c r="B22" s="705" t="str">
        <f>'03.EE-ศูนย์ประชุม (7FL)'!B11</f>
        <v>งานระบบไฟฟ้าและสื่อสาร ชั้น 7</v>
      </c>
      <c r="C22" s="717"/>
      <c r="D22" s="718"/>
      <c r="E22" s="708">
        <v>1</v>
      </c>
      <c r="F22" s="709" t="s">
        <v>19</v>
      </c>
      <c r="G22" s="710"/>
      <c r="H22" s="711">
        <f>'03.EE-ศูนย์ประชุม (7FL)'!H34</f>
        <v>4472705</v>
      </c>
      <c r="I22" s="712"/>
      <c r="J22" s="711">
        <f>'03.EE-ศูนย์ประชุม (7FL)'!J34</f>
        <v>918723</v>
      </c>
      <c r="K22" s="711">
        <f>'03.EE-ศูนย์ประชุม (7FL)'!K34</f>
        <v>5391428</v>
      </c>
      <c r="L22" s="713"/>
      <c r="N22" s="715"/>
    </row>
    <row r="23" spans="1:14" s="714" customFormat="1" ht="24" customHeight="1">
      <c r="A23" s="704">
        <v>11</v>
      </c>
      <c r="B23" s="705" t="str">
        <f>'03.EE-ศูนย์ประชุม (8FL)'!B11</f>
        <v>งานระบบไฟฟ้าและสื่อสาร ชั้น 8</v>
      </c>
      <c r="C23" s="717"/>
      <c r="D23" s="718"/>
      <c r="E23" s="708">
        <v>1</v>
      </c>
      <c r="F23" s="709" t="s">
        <v>19</v>
      </c>
      <c r="G23" s="710"/>
      <c r="H23" s="711">
        <f>'03.EE-ศูนย์ประชุม (8FL)'!H34</f>
        <v>3897624</v>
      </c>
      <c r="I23" s="712"/>
      <c r="J23" s="711">
        <f>'03.EE-ศูนย์ประชุม (8FL)'!J34</f>
        <v>769574</v>
      </c>
      <c r="K23" s="711">
        <f>'03.EE-ศูนย์ประชุม (8FL)'!K34</f>
        <v>4667198</v>
      </c>
      <c r="L23" s="713"/>
      <c r="N23" s="715"/>
    </row>
    <row r="24" spans="1:14" s="714" customFormat="1" ht="24" customHeight="1">
      <c r="A24" s="704">
        <v>12</v>
      </c>
      <c r="B24" s="705" t="str">
        <f>'03.EE-ศูนย์ประชุม (RFL)'!B11</f>
        <v>งานระบบไฟฟ้าและสื่อสาร ชั้น ดาดฟ้า</v>
      </c>
      <c r="C24" s="717"/>
      <c r="D24" s="718"/>
      <c r="E24" s="708">
        <v>1</v>
      </c>
      <c r="F24" s="709" t="s">
        <v>19</v>
      </c>
      <c r="G24" s="710"/>
      <c r="H24" s="711">
        <f>'03.EE-ศูนย์ประชุม (RFL)'!H34</f>
        <v>324352</v>
      </c>
      <c r="I24" s="712"/>
      <c r="J24" s="711">
        <f>'03.EE-ศูนย์ประชุม (RFL)'!J34</f>
        <v>55212</v>
      </c>
      <c r="K24" s="711">
        <f>'03.EE-ศูนย์ประชุม (RFL)'!K34</f>
        <v>379564</v>
      </c>
      <c r="L24" s="713"/>
      <c r="N24" s="715"/>
    </row>
    <row r="25" spans="1:14" s="714" customFormat="1" ht="24" customHeight="1">
      <c r="A25" s="719"/>
      <c r="B25" s="705"/>
      <c r="C25" s="717"/>
      <c r="D25" s="718"/>
      <c r="E25" s="708"/>
      <c r="F25" s="709"/>
      <c r="G25" s="710"/>
      <c r="H25" s="711"/>
      <c r="I25" s="712"/>
      <c r="J25" s="711"/>
      <c r="K25" s="711"/>
      <c r="L25" s="713"/>
    </row>
    <row r="26" spans="1:14" s="714" customFormat="1" ht="24" customHeight="1">
      <c r="A26" s="719"/>
      <c r="B26" s="705"/>
      <c r="C26" s="717"/>
      <c r="D26" s="718"/>
      <c r="E26" s="708"/>
      <c r="F26" s="709"/>
      <c r="G26" s="710"/>
      <c r="H26" s="711"/>
      <c r="I26" s="712"/>
      <c r="J26" s="711"/>
      <c r="K26" s="711"/>
      <c r="L26" s="713"/>
    </row>
    <row r="27" spans="1:14" s="714" customFormat="1" ht="24" customHeight="1">
      <c r="A27" s="719"/>
      <c r="B27" s="705"/>
      <c r="C27" s="717"/>
      <c r="D27" s="718"/>
      <c r="E27" s="708"/>
      <c r="F27" s="709"/>
      <c r="G27" s="710"/>
      <c r="H27" s="711"/>
      <c r="I27" s="712"/>
      <c r="J27" s="711"/>
      <c r="K27" s="711"/>
      <c r="L27" s="713"/>
    </row>
    <row r="28" spans="1:14" s="714" customFormat="1" ht="24" customHeight="1">
      <c r="A28" s="719"/>
      <c r="B28" s="705"/>
      <c r="C28" s="717"/>
      <c r="D28" s="718"/>
      <c r="E28" s="708"/>
      <c r="F28" s="709"/>
      <c r="G28" s="710"/>
      <c r="H28" s="711"/>
      <c r="I28" s="712"/>
      <c r="J28" s="711"/>
      <c r="K28" s="711"/>
      <c r="L28" s="713"/>
    </row>
    <row r="29" spans="1:14" s="714" customFormat="1" ht="24" customHeight="1">
      <c r="A29" s="719"/>
      <c r="B29" s="705"/>
      <c r="C29" s="717"/>
      <c r="D29" s="718"/>
      <c r="E29" s="708"/>
      <c r="F29" s="709"/>
      <c r="G29" s="710"/>
      <c r="H29" s="711"/>
      <c r="I29" s="712"/>
      <c r="J29" s="711"/>
      <c r="K29" s="711"/>
      <c r="L29" s="713"/>
    </row>
    <row r="30" spans="1:14" s="714" customFormat="1" ht="24" customHeight="1">
      <c r="A30" s="719"/>
      <c r="B30" s="705"/>
      <c r="C30" s="717"/>
      <c r="D30" s="718"/>
      <c r="E30" s="708"/>
      <c r="F30" s="709"/>
      <c r="G30" s="710"/>
      <c r="H30" s="711"/>
      <c r="I30" s="712"/>
      <c r="J30" s="711"/>
      <c r="K30" s="711"/>
      <c r="L30" s="713"/>
    </row>
    <row r="31" spans="1:14" s="714" customFormat="1" ht="24" customHeight="1">
      <c r="A31" s="719"/>
      <c r="B31" s="720"/>
      <c r="C31" s="717"/>
      <c r="D31" s="718"/>
      <c r="E31" s="721"/>
      <c r="F31" s="722"/>
      <c r="G31" s="723"/>
      <c r="H31" s="711"/>
      <c r="I31" s="712"/>
      <c r="J31" s="711"/>
      <c r="K31" s="711"/>
      <c r="L31" s="713"/>
    </row>
    <row r="32" spans="1:14" s="714" customFormat="1" ht="24" customHeight="1">
      <c r="A32" s="719"/>
      <c r="B32" s="720"/>
      <c r="C32" s="717"/>
      <c r="D32" s="718"/>
      <c r="E32" s="721"/>
      <c r="F32" s="722"/>
      <c r="G32" s="723"/>
      <c r="H32" s="711"/>
      <c r="I32" s="712"/>
      <c r="J32" s="711"/>
      <c r="K32" s="711"/>
      <c r="L32" s="713"/>
    </row>
    <row r="33" spans="1:21" s="714" customFormat="1" ht="24" customHeight="1">
      <c r="A33" s="724"/>
      <c r="B33" s="2468" t="str">
        <f>"รวมราคา"&amp;B11</f>
        <v>รวมราคางานระบบไฟฟ้าและสื่อสาร</v>
      </c>
      <c r="C33" s="2468"/>
      <c r="D33" s="2468"/>
      <c r="E33" s="725"/>
      <c r="F33" s="726"/>
      <c r="G33" s="727"/>
      <c r="H33" s="728">
        <f>SUM(H11:H32)</f>
        <v>109608341</v>
      </c>
      <c r="I33" s="728"/>
      <c r="J33" s="728">
        <f>SUM(J11:J32)</f>
        <v>16999130</v>
      </c>
      <c r="K33" s="728">
        <f>SUM(K11:K32)</f>
        <v>126607351</v>
      </c>
      <c r="L33" s="728">
        <f>SUM(L13:L32)</f>
        <v>0</v>
      </c>
      <c r="M33" s="729"/>
      <c r="N33" s="729"/>
      <c r="O33" s="729"/>
      <c r="P33" s="729"/>
      <c r="Q33" s="729"/>
      <c r="R33" s="729"/>
      <c r="S33" s="729"/>
      <c r="T33" s="729"/>
      <c r="U33" s="729"/>
    </row>
    <row r="34" spans="1:21">
      <c r="J34" s="731"/>
      <c r="K34" s="731"/>
    </row>
  </sheetData>
  <mergeCells count="9">
    <mergeCell ref="B33:D33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70866141732283505" right="0.196850393700787" top="0.74803149606299202" bottom="0.59055118110236204" header="0.31496062992126" footer="0.31496062992126"/>
  <pageSetup paperSize="9" scale="65" orientation="landscape" r:id="rId1"/>
  <headerFooter>
    <oddHeader xml:space="preserve">&amp;Rแผ่นที่ &amp;P ใน &amp;N แผ่น  </oddHeader>
    <oddFooter>&amp;Rหน้าสรุปงานระบบไฟฟ้าและสื่อสาร-อาคารสนับนุน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1514C-57B4-4FA5-803F-78C1EC29BC00}">
  <sheetPr>
    <tabColor rgb="FFFF00FF"/>
  </sheetPr>
  <dimension ref="A1:AC258"/>
  <sheetViews>
    <sheetView showGridLines="0" tabSelected="1" view="pageBreakPreview" topLeftCell="A214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1489" customWidth="1"/>
    <col min="2" max="3" width="7.29296875" style="952" customWidth="1"/>
    <col min="4" max="4" width="56.703125" style="952" customWidth="1"/>
    <col min="5" max="5" width="14.703125" style="952" customWidth="1"/>
    <col min="6" max="6" width="10.703125" style="952" customWidth="1"/>
    <col min="7" max="7" width="14.703125" style="952" customWidth="1"/>
    <col min="8" max="8" width="18.703125" style="952" customWidth="1"/>
    <col min="9" max="9" width="14.703125" style="952" customWidth="1"/>
    <col min="10" max="10" width="18.703125" style="952" customWidth="1"/>
    <col min="11" max="11" width="20.703125" style="952" customWidth="1"/>
    <col min="12" max="12" width="25.5859375" style="952" customWidth="1"/>
    <col min="13" max="13" width="13.1171875" style="1430" customWidth="1"/>
    <col min="14" max="14" width="16.1171875" style="952" customWidth="1"/>
    <col min="15" max="84" width="7.703125" style="952" customWidth="1"/>
    <col min="85" max="16384" width="9" style="952"/>
  </cols>
  <sheetData>
    <row r="1" spans="1:15" ht="35.1" customHeight="1">
      <c r="A1" s="1428"/>
      <c r="B1" s="1428"/>
      <c r="C1" s="46"/>
      <c r="D1" s="46"/>
      <c r="E1" s="46"/>
      <c r="F1" s="1429" t="s">
        <v>0</v>
      </c>
      <c r="G1" s="733"/>
      <c r="H1" s="733"/>
      <c r="I1" s="733"/>
      <c r="J1" s="735" t="s">
        <v>1</v>
      </c>
      <c r="K1" s="736"/>
      <c r="L1" s="733"/>
    </row>
    <row r="2" spans="1:15" ht="25.15" customHeight="1">
      <c r="A2" s="1431" t="s">
        <v>2</v>
      </c>
      <c r="B2" s="1432"/>
      <c r="C2" s="11"/>
      <c r="D2" s="11" t="s">
        <v>1900</v>
      </c>
      <c r="E2" s="11"/>
      <c r="F2" s="737"/>
      <c r="G2" s="737"/>
      <c r="H2" s="737"/>
      <c r="I2" s="737"/>
      <c r="J2" s="737"/>
      <c r="K2" s="737"/>
      <c r="L2" s="1433"/>
    </row>
    <row r="3" spans="1:15" ht="25.15" customHeight="1">
      <c r="A3" s="1434" t="s">
        <v>22</v>
      </c>
      <c r="B3" s="5"/>
      <c r="C3" s="47"/>
      <c r="D3" s="1435"/>
      <c r="E3" s="47"/>
      <c r="F3" s="739"/>
      <c r="G3" s="739"/>
      <c r="H3" s="739"/>
      <c r="I3" s="739"/>
      <c r="J3" s="740"/>
      <c r="K3" s="739"/>
      <c r="L3" s="1436"/>
    </row>
    <row r="4" spans="1:15" ht="25.15" customHeight="1">
      <c r="A4" s="1434"/>
      <c r="B4" s="5"/>
      <c r="C4" s="47"/>
      <c r="D4" s="41" t="s">
        <v>2970</v>
      </c>
      <c r="E4" s="47"/>
      <c r="F4" s="739"/>
      <c r="G4" s="739"/>
      <c r="H4" s="739"/>
      <c r="I4" s="739"/>
      <c r="J4" s="740"/>
      <c r="K4" s="739"/>
      <c r="L4" s="1436"/>
    </row>
    <row r="5" spans="1:15" ht="25.15" customHeight="1">
      <c r="A5" s="1434" t="s">
        <v>3</v>
      </c>
      <c r="B5" s="1432"/>
      <c r="C5" s="11"/>
      <c r="D5" s="1435" t="s">
        <v>21</v>
      </c>
      <c r="E5" s="736"/>
      <c r="F5" s="737"/>
      <c r="G5" s="741" t="s">
        <v>4</v>
      </c>
      <c r="H5" s="742"/>
      <c r="I5" s="739"/>
      <c r="J5" s="740"/>
      <c r="K5" s="743"/>
      <c r="L5" s="1436"/>
    </row>
    <row r="6" spans="1:15" ht="25.15" customHeight="1">
      <c r="A6" s="5" t="s">
        <v>20</v>
      </c>
      <c r="B6" s="5"/>
      <c r="C6" s="47"/>
      <c r="D6" s="49"/>
      <c r="E6" s="47"/>
      <c r="F6" s="739"/>
      <c r="G6" s="744"/>
      <c r="H6" s="739"/>
      <c r="I6" s="739"/>
      <c r="J6" s="739"/>
      <c r="K6" s="739"/>
      <c r="L6" s="743"/>
    </row>
    <row r="7" spans="1:15" ht="25.15" customHeight="1">
      <c r="A7" s="744" t="s">
        <v>26</v>
      </c>
      <c r="B7" s="20"/>
      <c r="C7" s="20"/>
      <c r="D7" s="21"/>
      <c r="E7" s="20"/>
      <c r="F7" s="1437" t="s">
        <v>5</v>
      </c>
      <c r="G7" s="1438"/>
      <c r="H7" s="1438" t="s">
        <v>6</v>
      </c>
      <c r="I7" s="1439"/>
      <c r="J7" s="744" t="s">
        <v>23</v>
      </c>
      <c r="K7" s="20"/>
      <c r="L7" s="2492" t="s">
        <v>7</v>
      </c>
    </row>
    <row r="8" spans="1:15" ht="10.15" customHeight="1">
      <c r="A8" s="4"/>
      <c r="B8" s="1440"/>
      <c r="C8" s="1440"/>
      <c r="D8" s="25"/>
      <c r="E8" s="25"/>
      <c r="F8" s="1441"/>
      <c r="G8" s="1441"/>
      <c r="H8" s="1442"/>
      <c r="I8" s="1442"/>
      <c r="J8" s="1442"/>
      <c r="K8" s="1441"/>
      <c r="L8" s="2493"/>
    </row>
    <row r="9" spans="1:15" s="1444" customFormat="1" ht="24" customHeight="1">
      <c r="A9" s="2494" t="s">
        <v>8</v>
      </c>
      <c r="B9" s="2496" t="s">
        <v>9</v>
      </c>
      <c r="C9" s="2497"/>
      <c r="D9" s="2497"/>
      <c r="E9" s="2500" t="s">
        <v>10</v>
      </c>
      <c r="F9" s="2502" t="s">
        <v>11</v>
      </c>
      <c r="G9" s="2504" t="s">
        <v>12</v>
      </c>
      <c r="H9" s="2505"/>
      <c r="I9" s="2506" t="s">
        <v>13</v>
      </c>
      <c r="J9" s="2474"/>
      <c r="K9" s="2263" t="s">
        <v>14</v>
      </c>
      <c r="L9" s="2507" t="s">
        <v>15</v>
      </c>
      <c r="M9" s="1443"/>
    </row>
    <row r="10" spans="1:15" s="1444" customFormat="1" ht="24" customHeight="1">
      <c r="A10" s="2495"/>
      <c r="B10" s="2498"/>
      <c r="C10" s="2499"/>
      <c r="D10" s="2499"/>
      <c r="E10" s="2501"/>
      <c r="F10" s="2503"/>
      <c r="G10" s="1445" t="s">
        <v>16</v>
      </c>
      <c r="H10" s="2262" t="s">
        <v>17</v>
      </c>
      <c r="I10" s="1446" t="s">
        <v>16</v>
      </c>
      <c r="J10" s="2262" t="s">
        <v>17</v>
      </c>
      <c r="K10" s="1447" t="s">
        <v>18</v>
      </c>
      <c r="L10" s="2508"/>
      <c r="M10" s="1443"/>
    </row>
    <row r="11" spans="1:15" ht="24" customHeight="1">
      <c r="A11" s="1143" t="s">
        <v>244</v>
      </c>
      <c r="B11" s="1144" t="s">
        <v>2084</v>
      </c>
      <c r="C11" s="1448"/>
      <c r="D11" s="1449"/>
      <c r="E11" s="1450"/>
      <c r="F11" s="1451"/>
      <c r="G11" s="1452"/>
      <c r="H11" s="1453"/>
      <c r="I11" s="1454"/>
      <c r="J11" s="1455"/>
      <c r="K11" s="1456"/>
      <c r="L11" s="1456"/>
    </row>
    <row r="12" spans="1:15" s="886" customFormat="1" ht="24" customHeight="1">
      <c r="A12" s="1285">
        <f>A35</f>
        <v>7.1</v>
      </c>
      <c r="B12" s="1331" t="str">
        <f>B35</f>
        <v>เครื่องส่งลมเย็นขนาดเล็ก (Fan Coil Unit)</v>
      </c>
      <c r="C12" s="1282"/>
      <c r="D12" s="1457"/>
      <c r="E12" s="1458">
        <v>1</v>
      </c>
      <c r="F12" s="1459" t="s">
        <v>19</v>
      </c>
      <c r="G12" s="1460"/>
      <c r="H12" s="751">
        <f>H45</f>
        <v>29212</v>
      </c>
      <c r="I12" s="1392"/>
      <c r="J12" s="1393">
        <f>J45</f>
        <v>3242</v>
      </c>
      <c r="K12" s="1022">
        <f t="shared" ref="K12:K21" si="0">SUM(H12:J12)</f>
        <v>32454</v>
      </c>
      <c r="L12" s="885"/>
      <c r="M12" s="1342"/>
      <c r="N12" s="886" t="str">
        <f>"รวมราคารายการที่ "&amp;A12</f>
        <v>รวมราคารายการที่ 7.1</v>
      </c>
      <c r="O12" s="1461">
        <f t="array" ref="O12">MAX(IF($B$36:$B$939=N12,ROW($B$36:$B$939)))</f>
        <v>45</v>
      </c>
    </row>
    <row r="13" spans="1:15" s="886" customFormat="1" ht="24" customHeight="1">
      <c r="A13" s="1462">
        <f>A46</f>
        <v>7.2</v>
      </c>
      <c r="B13" s="1331" t="str">
        <f>B46</f>
        <v>อุปกรณ์ควบคุมอัตโนมัติ (Automatic Control Equipment)</v>
      </c>
      <c r="C13" s="1463"/>
      <c r="D13" s="1464"/>
      <c r="E13" s="1458">
        <v>1</v>
      </c>
      <c r="F13" s="1465" t="s">
        <v>19</v>
      </c>
      <c r="G13" s="1466"/>
      <c r="H13" s="751">
        <f>H58</f>
        <v>279600</v>
      </c>
      <c r="I13" s="1392"/>
      <c r="J13" s="1393">
        <f>J58</f>
        <v>4200</v>
      </c>
      <c r="K13" s="1022">
        <f t="shared" si="0"/>
        <v>283800</v>
      </c>
      <c r="L13" s="885"/>
      <c r="M13" s="1342"/>
      <c r="N13" s="886" t="str">
        <f t="shared" ref="N13:N22" si="1">"รวมราคารายการที่ "&amp;A13</f>
        <v>รวมราคารายการที่ 7.2</v>
      </c>
      <c r="O13" s="1461">
        <f t="array" ref="O13">MAX(IF($B$36:$B$939=N13,ROW($B$36:$B$939)))</f>
        <v>58</v>
      </c>
    </row>
    <row r="14" spans="1:15" s="886" customFormat="1" ht="24" customHeight="1">
      <c r="A14" s="1285">
        <f>A59</f>
        <v>7.3</v>
      </c>
      <c r="B14" s="1331" t="str">
        <f>B59</f>
        <v>พัดลมระบายอากาศ (Ventilating Fan)</v>
      </c>
      <c r="C14" s="1282"/>
      <c r="D14" s="1457"/>
      <c r="E14" s="1458">
        <v>1</v>
      </c>
      <c r="F14" s="1459" t="s">
        <v>19</v>
      </c>
      <c r="G14" s="1460"/>
      <c r="H14" s="751">
        <f>H82</f>
        <v>3859240</v>
      </c>
      <c r="I14" s="1392"/>
      <c r="J14" s="1393">
        <f>J82</f>
        <v>310910</v>
      </c>
      <c r="K14" s="1022">
        <f t="shared" si="0"/>
        <v>4170150</v>
      </c>
      <c r="L14" s="885"/>
      <c r="M14" s="1342"/>
      <c r="N14" s="886" t="str">
        <f t="shared" si="1"/>
        <v>รวมราคารายการที่ 7.3</v>
      </c>
      <c r="O14" s="1461">
        <f t="array" ref="O14">MAX(IF($B$36:$B$939=N14,ROW($B$36:$B$939)))</f>
        <v>82</v>
      </c>
    </row>
    <row r="15" spans="1:15" s="886" customFormat="1" ht="24" customHeight="1">
      <c r="A15" s="1285">
        <f>A83</f>
        <v>7.4</v>
      </c>
      <c r="B15" s="1331" t="str">
        <f>B83</f>
        <v>งานท่อ (Piping Work)</v>
      </c>
      <c r="C15" s="1282"/>
      <c r="D15" s="1457"/>
      <c r="E15" s="1458">
        <v>1</v>
      </c>
      <c r="F15" s="1459" t="s">
        <v>19</v>
      </c>
      <c r="G15" s="1460"/>
      <c r="H15" s="751">
        <f>H106</f>
        <v>2268676</v>
      </c>
      <c r="I15" s="1392"/>
      <c r="J15" s="1393">
        <f>J106</f>
        <v>657670</v>
      </c>
      <c r="K15" s="1022">
        <f t="shared" si="0"/>
        <v>2926346</v>
      </c>
      <c r="L15" s="885"/>
      <c r="M15" s="1342"/>
      <c r="N15" s="886" t="str">
        <f t="shared" si="1"/>
        <v>รวมราคารายการที่ 7.4</v>
      </c>
      <c r="O15" s="1461">
        <f t="array" ref="O15">MAX(IF($B$36:$B$939=N15,ROW($B$36:$B$939)))</f>
        <v>106</v>
      </c>
    </row>
    <row r="16" spans="1:15" s="886" customFormat="1" ht="24" customHeight="1">
      <c r="A16" s="1467">
        <f>A107</f>
        <v>7.5</v>
      </c>
      <c r="B16" s="1331" t="str">
        <f>B107</f>
        <v>ฉนวนหุ้มท่อ (Pipe Insulation)</v>
      </c>
      <c r="C16" s="1282"/>
      <c r="D16" s="1457"/>
      <c r="E16" s="1458">
        <v>1</v>
      </c>
      <c r="F16" s="1459" t="s">
        <v>19</v>
      </c>
      <c r="G16" s="1460"/>
      <c r="H16" s="751">
        <f>H130</f>
        <v>265387</v>
      </c>
      <c r="I16" s="1392"/>
      <c r="J16" s="1393">
        <f>J130</f>
        <v>243904</v>
      </c>
      <c r="K16" s="1022">
        <f t="shared" si="0"/>
        <v>509291</v>
      </c>
      <c r="L16" s="885"/>
      <c r="M16" s="1342"/>
      <c r="N16" s="886" t="str">
        <f t="shared" si="1"/>
        <v>รวมราคารายการที่ 7.5</v>
      </c>
      <c r="O16" s="1461">
        <f t="array" ref="O16">MAX(IF($B$36:$B$939=N16,ROW($B$36:$B$939)))</f>
        <v>130</v>
      </c>
    </row>
    <row r="17" spans="1:15" s="886" customFormat="1" ht="24" customHeight="1">
      <c r="A17" s="1285">
        <f>A131</f>
        <v>7.6</v>
      </c>
      <c r="B17" s="1331" t="str">
        <f>B131</f>
        <v>วาล์วและอุปกรณ์ประกอบ  (Valve &amp; Pipe Accessories)</v>
      </c>
      <c r="C17" s="1282"/>
      <c r="D17" s="1457"/>
      <c r="E17" s="1458">
        <v>1</v>
      </c>
      <c r="F17" s="1459" t="s">
        <v>19</v>
      </c>
      <c r="G17" s="1460"/>
      <c r="H17" s="751">
        <f>H140</f>
        <v>3520</v>
      </c>
      <c r="I17" s="1392"/>
      <c r="J17" s="1393">
        <f>J140</f>
        <v>600</v>
      </c>
      <c r="K17" s="1022">
        <f t="shared" si="0"/>
        <v>4120</v>
      </c>
      <c r="L17" s="885"/>
      <c r="M17" s="1342"/>
      <c r="N17" s="886" t="str">
        <f t="shared" si="1"/>
        <v>รวมราคารายการที่ 7.6</v>
      </c>
      <c r="O17" s="1461">
        <f t="array" ref="O17">MAX(IF($B$36:$B$939=N17,ROW($B$36:$B$939)))</f>
        <v>140</v>
      </c>
    </row>
    <row r="18" spans="1:15" s="886" customFormat="1" ht="24" customHeight="1">
      <c r="A18" s="1285">
        <f>A141</f>
        <v>7.7</v>
      </c>
      <c r="B18" s="1331" t="str">
        <f>B141</f>
        <v>ระบบท่อลม (Duct Work)</v>
      </c>
      <c r="C18" s="1282"/>
      <c r="D18" s="1457"/>
      <c r="E18" s="1458">
        <v>1</v>
      </c>
      <c r="F18" s="1459" t="s">
        <v>19</v>
      </c>
      <c r="G18" s="1460"/>
      <c r="H18" s="751">
        <f>H154</f>
        <v>1134639</v>
      </c>
      <c r="I18" s="1392"/>
      <c r="J18" s="1393">
        <f>J154</f>
        <v>743699</v>
      </c>
      <c r="K18" s="1022">
        <f t="shared" si="0"/>
        <v>1878338</v>
      </c>
      <c r="L18" s="885"/>
      <c r="M18" s="1342"/>
      <c r="N18" s="886" t="str">
        <f t="shared" si="1"/>
        <v>รวมราคารายการที่ 7.7</v>
      </c>
      <c r="O18" s="1461">
        <f t="array" ref="O18">MAX(IF($B$36:$B$939=N18,ROW($B$36:$B$939)))</f>
        <v>154</v>
      </c>
    </row>
    <row r="19" spans="1:15" s="886" customFormat="1" ht="24" customHeight="1">
      <c r="A19" s="1467">
        <f>A155</f>
        <v>7.8</v>
      </c>
      <c r="B19" s="1331" t="str">
        <f>B155</f>
        <v>ฉนวนหุ้มท่อลม (Duct Insulation)</v>
      </c>
      <c r="C19" s="1282"/>
      <c r="D19" s="1457"/>
      <c r="E19" s="1458">
        <v>1</v>
      </c>
      <c r="F19" s="1459" t="s">
        <v>19</v>
      </c>
      <c r="G19" s="1460"/>
      <c r="H19" s="751">
        <f>H163</f>
        <v>0</v>
      </c>
      <c r="I19" s="1392"/>
      <c r="J19" s="1393">
        <f>J163</f>
        <v>0</v>
      </c>
      <c r="K19" s="1022">
        <f t="shared" si="0"/>
        <v>0</v>
      </c>
      <c r="L19" s="885"/>
      <c r="M19" s="1342"/>
      <c r="N19" s="886" t="str">
        <f t="shared" si="1"/>
        <v>รวมราคารายการที่ 7.8</v>
      </c>
      <c r="O19" s="1461">
        <f t="array" ref="O19">MAX(IF($B$36:$B$939=N19,ROW($B$36:$B$939)))</f>
        <v>163</v>
      </c>
    </row>
    <row r="20" spans="1:15" s="886" customFormat="1" ht="24" customHeight="1">
      <c r="A20" s="1285">
        <f>A164</f>
        <v>7.9</v>
      </c>
      <c r="B20" s="1331" t="str">
        <f>B164</f>
        <v>หน้ากากลม (Air Diffuser, Grille &amp; Register)</v>
      </c>
      <c r="C20" s="1282"/>
      <c r="D20" s="1457"/>
      <c r="E20" s="1458">
        <v>1</v>
      </c>
      <c r="F20" s="1459" t="s">
        <v>19</v>
      </c>
      <c r="G20" s="1460"/>
      <c r="H20" s="751">
        <f>H189</f>
        <v>714525</v>
      </c>
      <c r="I20" s="1392"/>
      <c r="J20" s="1393">
        <f>J189</f>
        <v>42650</v>
      </c>
      <c r="K20" s="1022">
        <f t="shared" si="0"/>
        <v>757175</v>
      </c>
      <c r="L20" s="885"/>
      <c r="M20" s="1342"/>
      <c r="N20" s="886" t="str">
        <f t="shared" si="1"/>
        <v>รวมราคารายการที่ 7.9</v>
      </c>
      <c r="O20" s="1461">
        <f t="array" ref="O20">MAX(IF($B$36:$B$939=N20,ROW($B$36:$B$939)))</f>
        <v>189</v>
      </c>
    </row>
    <row r="21" spans="1:15" s="886" customFormat="1" ht="24" customHeight="1">
      <c r="A21" s="1285" t="str">
        <f>A190</f>
        <v>7.10</v>
      </c>
      <c r="B21" s="1331" t="str">
        <f>B190</f>
        <v>ระบบไฟฟ้าและควบคุม (Electrical &amp; Control System)</v>
      </c>
      <c r="C21" s="1282"/>
      <c r="D21" s="1457"/>
      <c r="E21" s="1458">
        <v>1</v>
      </c>
      <c r="F21" s="1459" t="s">
        <v>19</v>
      </c>
      <c r="G21" s="1460"/>
      <c r="H21" s="751">
        <f>H213</f>
        <v>1710224</v>
      </c>
      <c r="I21" s="1392"/>
      <c r="J21" s="1393">
        <f>J213</f>
        <v>125728</v>
      </c>
      <c r="K21" s="1022">
        <f t="shared" si="0"/>
        <v>1835952</v>
      </c>
      <c r="L21" s="885"/>
      <c r="M21" s="1342"/>
      <c r="N21" s="886" t="str">
        <f t="shared" si="1"/>
        <v>รวมราคารายการที่ 7.10</v>
      </c>
      <c r="O21" s="1461">
        <f t="array" ref="O21">MAX(IF($B$36:$B$939=N21,ROW($B$36:$B$939)))</f>
        <v>213</v>
      </c>
    </row>
    <row r="22" spans="1:15" s="886" customFormat="1" ht="24" customHeight="1">
      <c r="A22" s="1468">
        <f>A214</f>
        <v>7.11</v>
      </c>
      <c r="B22" s="1331" t="str">
        <f>B214</f>
        <v>Variable Speed Controller</v>
      </c>
      <c r="C22" s="1469"/>
      <c r="D22" s="1470"/>
      <c r="E22" s="1458">
        <v>1</v>
      </c>
      <c r="F22" s="1471" t="s">
        <v>19</v>
      </c>
      <c r="G22" s="1472" t="s">
        <v>974</v>
      </c>
      <c r="H22" s="1724">
        <f>H222</f>
        <v>0</v>
      </c>
      <c r="I22" s="1725"/>
      <c r="J22" s="1726">
        <f>J222</f>
        <v>0</v>
      </c>
      <c r="K22" s="1313" t="s">
        <v>1985</v>
      </c>
      <c r="L22" s="885"/>
      <c r="M22" s="1342"/>
      <c r="N22" s="886" t="str">
        <f t="shared" si="1"/>
        <v>รวมราคารายการที่ 7.11</v>
      </c>
      <c r="O22" s="1461">
        <f t="array" ref="O22">MAX(IF($B$36:$B$939=N22,ROW($B$36:$B$939)))</f>
        <v>222</v>
      </c>
    </row>
    <row r="23" spans="1:15" s="886" customFormat="1" ht="24" customHeight="1">
      <c r="A23" s="1468"/>
      <c r="B23" s="1339"/>
      <c r="C23" s="1469"/>
      <c r="D23" s="1470"/>
      <c r="E23" s="1458"/>
      <c r="F23" s="1471"/>
      <c r="G23" s="1472"/>
      <c r="H23" s="773"/>
      <c r="I23" s="1400"/>
      <c r="J23" s="1401"/>
      <c r="K23" s="1022"/>
      <c r="L23" s="1473"/>
      <c r="M23" s="1342"/>
    </row>
    <row r="24" spans="1:15" s="886" customFormat="1" ht="24" customHeight="1">
      <c r="A24" s="1468"/>
      <c r="B24" s="1339"/>
      <c r="C24" s="1469"/>
      <c r="D24" s="1470"/>
      <c r="E24" s="1458"/>
      <c r="F24" s="1471"/>
      <c r="G24" s="1472"/>
      <c r="H24" s="773"/>
      <c r="I24" s="1400"/>
      <c r="J24" s="1401"/>
      <c r="K24" s="1022"/>
      <c r="L24" s="1473"/>
      <c r="M24" s="1342"/>
    </row>
    <row r="25" spans="1:15" s="886" customFormat="1" ht="24" customHeight="1">
      <c r="A25" s="1468"/>
      <c r="B25" s="1339"/>
      <c r="C25" s="1469"/>
      <c r="D25" s="1470"/>
      <c r="E25" s="1458"/>
      <c r="F25" s="1471"/>
      <c r="G25" s="1472"/>
      <c r="H25" s="773"/>
      <c r="I25" s="1400"/>
      <c r="J25" s="1401"/>
      <c r="K25" s="1022"/>
      <c r="L25" s="1473"/>
      <c r="M25" s="1342"/>
    </row>
    <row r="26" spans="1:15" s="886" customFormat="1" ht="24" customHeight="1">
      <c r="A26" s="1474"/>
      <c r="B26" s="1331"/>
      <c r="C26" s="1282"/>
      <c r="D26" s="1457"/>
      <c r="E26" s="1458"/>
      <c r="F26" s="1459"/>
      <c r="G26" s="1460"/>
      <c r="H26" s="751"/>
      <c r="I26" s="1392"/>
      <c r="J26" s="1393"/>
      <c r="K26" s="1022"/>
      <c r="L26" s="885"/>
      <c r="M26" s="1342"/>
    </row>
    <row r="27" spans="1:15" s="886" customFormat="1" ht="24" customHeight="1">
      <c r="A27" s="1474"/>
      <c r="B27" s="1331"/>
      <c r="C27" s="1282"/>
      <c r="D27" s="1457"/>
      <c r="E27" s="1458"/>
      <c r="F27" s="1459"/>
      <c r="G27" s="1460"/>
      <c r="H27" s="751"/>
      <c r="I27" s="1392"/>
      <c r="J27" s="1393"/>
      <c r="K27" s="1022"/>
      <c r="L27" s="885"/>
      <c r="M27" s="1342"/>
    </row>
    <row r="28" spans="1:15" s="886" customFormat="1" ht="24" customHeight="1">
      <c r="A28" s="1474"/>
      <c r="B28" s="1331"/>
      <c r="C28" s="1282"/>
      <c r="D28" s="1457"/>
      <c r="E28" s="1458"/>
      <c r="F28" s="1459"/>
      <c r="G28" s="1460"/>
      <c r="H28" s="751"/>
      <c r="I28" s="1392"/>
      <c r="J28" s="1393"/>
      <c r="K28" s="1022"/>
      <c r="L28" s="885"/>
      <c r="M28" s="1342"/>
    </row>
    <row r="29" spans="1:15" s="886" customFormat="1" ht="24" customHeight="1">
      <c r="A29" s="1474"/>
      <c r="B29" s="1331"/>
      <c r="C29" s="1282"/>
      <c r="D29" s="1457"/>
      <c r="E29" s="1458"/>
      <c r="F29" s="1459"/>
      <c r="G29" s="1460"/>
      <c r="H29" s="751"/>
      <c r="I29" s="1392"/>
      <c r="J29" s="1393"/>
      <c r="K29" s="1022"/>
      <c r="L29" s="885"/>
      <c r="M29" s="1342"/>
    </row>
    <row r="30" spans="1:15" s="886" customFormat="1" ht="24" customHeight="1">
      <c r="A30" s="1474"/>
      <c r="B30" s="1331"/>
      <c r="C30" s="1282"/>
      <c r="D30" s="1457"/>
      <c r="E30" s="1458"/>
      <c r="F30" s="1459"/>
      <c r="G30" s="1460"/>
      <c r="H30" s="751"/>
      <c r="I30" s="1392"/>
      <c r="J30" s="1393"/>
      <c r="K30" s="1022"/>
      <c r="L30" s="885"/>
      <c r="M30" s="1342"/>
    </row>
    <row r="31" spans="1:15" s="886" customFormat="1" ht="24" customHeight="1">
      <c r="A31" s="1474"/>
      <c r="B31" s="1331"/>
      <c r="C31" s="1282"/>
      <c r="D31" s="1457"/>
      <c r="E31" s="1458"/>
      <c r="F31" s="1459"/>
      <c r="G31" s="1460"/>
      <c r="H31" s="751"/>
      <c r="I31" s="1392"/>
      <c r="J31" s="1393"/>
      <c r="K31" s="1022"/>
      <c r="L31" s="885"/>
      <c r="M31" s="1342"/>
    </row>
    <row r="32" spans="1:15" s="886" customFormat="1" ht="24" customHeight="1">
      <c r="A32" s="1474"/>
      <c r="B32" s="1331"/>
      <c r="C32" s="1282"/>
      <c r="D32" s="1457"/>
      <c r="E32" s="1458"/>
      <c r="F32" s="1459"/>
      <c r="G32" s="1460"/>
      <c r="H32" s="751"/>
      <c r="I32" s="1392"/>
      <c r="J32" s="1393"/>
      <c r="K32" s="1022"/>
      <c r="L32" s="885"/>
      <c r="M32" s="1342"/>
    </row>
    <row r="33" spans="1:16" s="886" customFormat="1" ht="24" customHeight="1">
      <c r="A33" s="1474"/>
      <c r="B33" s="1331"/>
      <c r="C33" s="1282"/>
      <c r="D33" s="1457"/>
      <c r="E33" s="1458"/>
      <c r="F33" s="1459"/>
      <c r="G33" s="1460"/>
      <c r="H33" s="751"/>
      <c r="I33" s="1392"/>
      <c r="J33" s="1393"/>
      <c r="K33" s="1022"/>
      <c r="L33" s="885"/>
      <c r="M33" s="1342"/>
    </row>
    <row r="34" spans="1:16" s="714" customFormat="1" ht="30" customHeight="1">
      <c r="A34" s="1166"/>
      <c r="B34" s="2475" t="s">
        <v>2085</v>
      </c>
      <c r="C34" s="2476"/>
      <c r="D34" s="2476"/>
      <c r="E34" s="1167"/>
      <c r="F34" s="1381"/>
      <c r="G34" s="1168"/>
      <c r="H34" s="1169">
        <f>SUM(H11:H33)</f>
        <v>10265023</v>
      </c>
      <c r="I34" s="1170"/>
      <c r="J34" s="1382">
        <f>SUM(J11:J33)</f>
        <v>2132603</v>
      </c>
      <c r="K34" s="1171">
        <f>SUM(K11:K33)</f>
        <v>12397626</v>
      </c>
      <c r="L34" s="1475"/>
      <c r="M34" s="1322"/>
    </row>
    <row r="35" spans="1:16" s="1329" customFormat="1" ht="24" customHeight="1">
      <c r="A35" s="1383">
        <v>7.1</v>
      </c>
      <c r="B35" s="1384" t="s">
        <v>1988</v>
      </c>
      <c r="C35" s="1385"/>
      <c r="D35" s="1386"/>
      <c r="E35" s="1387"/>
      <c r="F35" s="1388"/>
      <c r="G35" s="1389"/>
      <c r="H35" s="1390"/>
      <c r="I35" s="1389"/>
      <c r="J35" s="1391"/>
      <c r="K35" s="1387"/>
      <c r="L35" s="1387"/>
      <c r="M35" s="1328"/>
    </row>
    <row r="36" spans="1:16" s="1329" customFormat="1" ht="24" customHeight="1">
      <c r="A36" s="1330" t="s">
        <v>1904</v>
      </c>
      <c r="B36" s="1331" t="s">
        <v>2086</v>
      </c>
      <c r="C36" s="801"/>
      <c r="D36" s="801"/>
      <c r="E36" s="1022"/>
      <c r="F36" s="1333"/>
      <c r="G36" s="1392"/>
      <c r="H36" s="864"/>
      <c r="I36" s="1392"/>
      <c r="J36" s="1393"/>
      <c r="K36" s="1022"/>
      <c r="L36" s="1022"/>
      <c r="M36" s="1328"/>
    </row>
    <row r="37" spans="1:16" s="1329" customFormat="1" ht="24" customHeight="1">
      <c r="A37" s="1340"/>
      <c r="B37" s="1127" t="s">
        <v>2087</v>
      </c>
      <c r="C37" s="801"/>
      <c r="D37" s="801"/>
      <c r="E37" s="1022">
        <f>O37</f>
        <v>1</v>
      </c>
      <c r="F37" s="1333" t="s">
        <v>240</v>
      </c>
      <c r="G37" s="1394">
        <v>13806</v>
      </c>
      <c r="H37" s="864">
        <f t="shared" ref="H37:H40" si="2">ROUND(E37*G37,)</f>
        <v>13806</v>
      </c>
      <c r="I37" s="1402">
        <f>ROUND(G37*0.1,)</f>
        <v>1381</v>
      </c>
      <c r="J37" s="1395">
        <f t="shared" ref="J37:J40" si="3">ROUND(E37*I37,)</f>
        <v>1381</v>
      </c>
      <c r="K37" s="966">
        <f t="shared" ref="K37:K40" si="4">H37+J37</f>
        <v>15187</v>
      </c>
      <c r="L37" s="1022"/>
      <c r="M37" s="1328" t="s">
        <v>2088</v>
      </c>
      <c r="N37" s="1329">
        <v>350</v>
      </c>
      <c r="O37" s="1329">
        <v>1</v>
      </c>
      <c r="P37" s="1329">
        <v>5.2</v>
      </c>
    </row>
    <row r="38" spans="1:16" s="1329" customFormat="1" ht="24" customHeight="1">
      <c r="A38" s="1340"/>
      <c r="B38" s="1127" t="s">
        <v>2089</v>
      </c>
      <c r="C38" s="801"/>
      <c r="D38" s="801"/>
      <c r="E38" s="1022">
        <f>O38</f>
        <v>1</v>
      </c>
      <c r="F38" s="1333" t="s">
        <v>240</v>
      </c>
      <c r="G38" s="1394">
        <v>13806</v>
      </c>
      <c r="H38" s="864">
        <f t="shared" si="2"/>
        <v>13806</v>
      </c>
      <c r="I38" s="1402">
        <f>ROUND(G38*0.1,)</f>
        <v>1381</v>
      </c>
      <c r="J38" s="1395">
        <f t="shared" si="3"/>
        <v>1381</v>
      </c>
      <c r="K38" s="966">
        <f t="shared" si="4"/>
        <v>15187</v>
      </c>
      <c r="L38" s="1022"/>
      <c r="M38" s="1328" t="s">
        <v>2090</v>
      </c>
      <c r="N38" s="1329">
        <v>350</v>
      </c>
      <c r="O38" s="1329">
        <v>1</v>
      </c>
      <c r="P38" s="1329">
        <v>5.2</v>
      </c>
    </row>
    <row r="39" spans="1:16" s="1329" customFormat="1" ht="24" customHeight="1">
      <c r="A39" s="1330" t="s">
        <v>1906</v>
      </c>
      <c r="B39" s="1331" t="s">
        <v>1994</v>
      </c>
      <c r="C39" s="801"/>
      <c r="D39" s="801"/>
      <c r="E39" s="1022"/>
      <c r="F39" s="1333" t="s">
        <v>240</v>
      </c>
      <c r="G39" s="1392">
        <v>3000</v>
      </c>
      <c r="H39" s="864">
        <f t="shared" si="2"/>
        <v>0</v>
      </c>
      <c r="I39" s="1392">
        <v>300</v>
      </c>
      <c r="J39" s="1395">
        <f t="shared" si="3"/>
        <v>0</v>
      </c>
      <c r="K39" s="966">
        <f t="shared" si="4"/>
        <v>0</v>
      </c>
      <c r="L39" s="1022"/>
      <c r="M39" s="1328"/>
    </row>
    <row r="40" spans="1:16" s="1329" customFormat="1" ht="24" customHeight="1">
      <c r="A40" s="1340" t="s">
        <v>2091</v>
      </c>
      <c r="B40" s="1331" t="s">
        <v>1996</v>
      </c>
      <c r="C40" s="801"/>
      <c r="D40" s="801"/>
      <c r="E40" s="1022">
        <v>2</v>
      </c>
      <c r="F40" s="1333" t="s">
        <v>240</v>
      </c>
      <c r="G40" s="1392">
        <v>800</v>
      </c>
      <c r="H40" s="864">
        <f t="shared" si="2"/>
        <v>1600</v>
      </c>
      <c r="I40" s="1392">
        <v>240</v>
      </c>
      <c r="J40" s="1395">
        <f t="shared" si="3"/>
        <v>480</v>
      </c>
      <c r="K40" s="966">
        <f t="shared" si="4"/>
        <v>2080</v>
      </c>
      <c r="L40" s="1022"/>
      <c r="M40" s="1328"/>
    </row>
    <row r="41" spans="1:16" s="1329" customFormat="1" ht="24" customHeight="1">
      <c r="A41" s="1340"/>
      <c r="B41" s="1331" t="s">
        <v>957</v>
      </c>
      <c r="C41" s="801"/>
      <c r="D41" s="801"/>
      <c r="E41" s="1022"/>
      <c r="F41" s="1333"/>
      <c r="G41" s="1392"/>
      <c r="H41" s="751"/>
      <c r="I41" s="1392"/>
      <c r="J41" s="1393"/>
      <c r="K41" s="1022"/>
      <c r="L41" s="1022"/>
      <c r="M41" s="1328"/>
    </row>
    <row r="42" spans="1:16" s="1329" customFormat="1" ht="24" customHeight="1">
      <c r="A42" s="1340"/>
      <c r="B42" s="1331" t="s">
        <v>958</v>
      </c>
      <c r="C42" s="801"/>
      <c r="D42" s="801"/>
      <c r="E42" s="1022"/>
      <c r="F42" s="1333"/>
      <c r="G42" s="1392"/>
      <c r="H42" s="751"/>
      <c r="I42" s="1392"/>
      <c r="J42" s="1393"/>
      <c r="K42" s="1022"/>
      <c r="L42" s="1022"/>
      <c r="M42" s="1328"/>
    </row>
    <row r="43" spans="1:16" s="1329" customFormat="1" ht="24" customHeight="1">
      <c r="A43" s="1340"/>
      <c r="B43" s="1331" t="s">
        <v>958</v>
      </c>
      <c r="C43" s="801"/>
      <c r="D43" s="801"/>
      <c r="E43" s="1022"/>
      <c r="F43" s="1333"/>
      <c r="G43" s="1392"/>
      <c r="H43" s="751"/>
      <c r="I43" s="1392"/>
      <c r="J43" s="1393"/>
      <c r="K43" s="1022"/>
      <c r="L43" s="1022"/>
      <c r="M43" s="1328"/>
    </row>
    <row r="44" spans="1:16" s="1329" customFormat="1" ht="24" customHeight="1">
      <c r="A44" s="1397"/>
      <c r="B44" s="1191"/>
      <c r="C44" s="890"/>
      <c r="D44" s="890"/>
      <c r="E44" s="1080"/>
      <c r="F44" s="1338"/>
      <c r="G44" s="1398"/>
      <c r="H44" s="765"/>
      <c r="I44" s="1398"/>
      <c r="J44" s="1399"/>
      <c r="K44" s="1080"/>
      <c r="L44" s="1080"/>
      <c r="M44" s="1328"/>
    </row>
    <row r="45" spans="1:16" s="714" customFormat="1" ht="30" customHeight="1">
      <c r="A45" s="1166"/>
      <c r="B45" s="2475" t="str">
        <f>"รวมราคารายการที่ "&amp;A35</f>
        <v>รวมราคารายการที่ 7.1</v>
      </c>
      <c r="C45" s="2476"/>
      <c r="D45" s="2476"/>
      <c r="E45" s="1167"/>
      <c r="F45" s="1381"/>
      <c r="G45" s="1168"/>
      <c r="H45" s="1169">
        <f>SUM(H36:H44)</f>
        <v>29212</v>
      </c>
      <c r="I45" s="1170"/>
      <c r="J45" s="1382">
        <f>SUM(J36:J44)</f>
        <v>3242</v>
      </c>
      <c r="K45" s="1171">
        <f>SUM(K36:K44)</f>
        <v>32454</v>
      </c>
      <c r="L45" s="1171"/>
      <c r="M45" s="1322"/>
    </row>
    <row r="46" spans="1:16" s="1329" customFormat="1" ht="24" customHeight="1">
      <c r="A46" s="1325">
        <v>7.2</v>
      </c>
      <c r="B46" s="1326" t="s">
        <v>1903</v>
      </c>
      <c r="C46" s="901"/>
      <c r="D46" s="901"/>
      <c r="E46" s="1019"/>
      <c r="F46" s="1310"/>
      <c r="G46" s="1400"/>
      <c r="H46" s="773"/>
      <c r="I46" s="1400"/>
      <c r="J46" s="1401"/>
      <c r="K46" s="1019"/>
      <c r="L46" s="1019"/>
      <c r="M46" s="1328"/>
    </row>
    <row r="47" spans="1:16" s="1329" customFormat="1" ht="24" customHeight="1">
      <c r="A47" s="1330" t="s">
        <v>1910</v>
      </c>
      <c r="B47" s="1331" t="s">
        <v>1998</v>
      </c>
      <c r="C47" s="801"/>
      <c r="D47" s="801"/>
      <c r="E47" s="1022"/>
      <c r="F47" s="1333"/>
      <c r="G47" s="1392"/>
      <c r="H47" s="751"/>
      <c r="I47" s="1392"/>
      <c r="J47" s="1393"/>
      <c r="K47" s="1022"/>
      <c r="L47" s="1022"/>
      <c r="M47" s="1328"/>
    </row>
    <row r="48" spans="1:16" s="1329" customFormat="1" ht="24" customHeight="1">
      <c r="A48" s="1330" t="s">
        <v>1912</v>
      </c>
      <c r="B48" s="1331" t="s">
        <v>1999</v>
      </c>
      <c r="C48" s="801"/>
      <c r="D48" s="801"/>
      <c r="E48" s="1022"/>
      <c r="F48" s="1333"/>
      <c r="G48" s="1392"/>
      <c r="H48" s="751"/>
      <c r="I48" s="1392"/>
      <c r="J48" s="1393"/>
      <c r="K48" s="1022"/>
      <c r="L48" s="1022"/>
      <c r="M48" s="1328"/>
    </row>
    <row r="49" spans="1:15" s="1329" customFormat="1" ht="24" customHeight="1">
      <c r="A49" s="1330"/>
      <c r="B49" s="1331" t="s">
        <v>1715</v>
      </c>
      <c r="C49" s="801"/>
      <c r="D49" s="801"/>
      <c r="E49" s="1022">
        <f>E40</f>
        <v>2</v>
      </c>
      <c r="F49" s="1333" t="s">
        <v>240</v>
      </c>
      <c r="G49" s="1392">
        <v>3300</v>
      </c>
      <c r="H49" s="864">
        <f t="shared" ref="H49" si="5">ROUND(E49*G49,)</f>
        <v>6600</v>
      </c>
      <c r="I49" s="1392">
        <v>150</v>
      </c>
      <c r="J49" s="1395">
        <f t="shared" ref="J49" si="6">ROUND(E49*I49,)</f>
        <v>300</v>
      </c>
      <c r="K49" s="966">
        <f t="shared" ref="K49" si="7">H49+J49</f>
        <v>6900</v>
      </c>
      <c r="L49" s="1022"/>
      <c r="M49" s="1328"/>
    </row>
    <row r="50" spans="1:15" s="1329" customFormat="1" ht="24" customHeight="1">
      <c r="A50" s="1340"/>
      <c r="B50" s="1331" t="s">
        <v>1650</v>
      </c>
      <c r="C50" s="801"/>
      <c r="D50" s="801"/>
      <c r="E50" s="1022"/>
      <c r="F50" s="1333" t="s">
        <v>240</v>
      </c>
      <c r="G50" s="1392"/>
      <c r="H50" s="864"/>
      <c r="I50" s="1392"/>
      <c r="J50" s="1395"/>
      <c r="K50" s="966"/>
      <c r="L50" s="1022"/>
      <c r="M50" s="1328"/>
    </row>
    <row r="51" spans="1:15" s="1329" customFormat="1" ht="24" customHeight="1">
      <c r="A51" s="1330" t="s">
        <v>2000</v>
      </c>
      <c r="B51" s="1331" t="s">
        <v>2001</v>
      </c>
      <c r="C51" s="801"/>
      <c r="D51" s="801"/>
      <c r="E51" s="1022">
        <v>13</v>
      </c>
      <c r="F51" s="1333" t="s">
        <v>240</v>
      </c>
      <c r="G51" s="1392">
        <v>18000</v>
      </c>
      <c r="H51" s="864">
        <f t="shared" ref="H51:H52" si="8">ROUND(E51*G51,)</f>
        <v>234000</v>
      </c>
      <c r="I51" s="1392">
        <v>150</v>
      </c>
      <c r="J51" s="1395">
        <f t="shared" ref="J51" si="9">ROUND(E51*I51,)</f>
        <v>1950</v>
      </c>
      <c r="K51" s="966">
        <f t="shared" ref="K51:K52" si="10">H51+J51</f>
        <v>235950</v>
      </c>
      <c r="L51" s="1022"/>
      <c r="M51" s="1328"/>
    </row>
    <row r="52" spans="1:15" s="1329" customFormat="1" ht="24" customHeight="1">
      <c r="A52" s="704"/>
      <c r="B52" s="1127" t="s">
        <v>2002</v>
      </c>
      <c r="C52" s="792"/>
      <c r="D52" s="792"/>
      <c r="E52" s="968">
        <f>E51</f>
        <v>13</v>
      </c>
      <c r="F52" s="1333" t="s">
        <v>240</v>
      </c>
      <c r="G52" s="1392">
        <v>3000</v>
      </c>
      <c r="H52" s="864">
        <f t="shared" si="8"/>
        <v>39000</v>
      </c>
      <c r="I52" s="1392">
        <v>150</v>
      </c>
      <c r="J52" s="1395">
        <f>ROUND(E52*I52,)</f>
        <v>1950</v>
      </c>
      <c r="K52" s="966">
        <f t="shared" si="10"/>
        <v>40950</v>
      </c>
      <c r="L52" s="1182"/>
      <c r="M52" s="1328"/>
    </row>
    <row r="53" spans="1:15" s="1329" customFormat="1" ht="24" customHeight="1">
      <c r="A53" s="1340"/>
      <c r="B53" s="1331" t="s">
        <v>957</v>
      </c>
      <c r="C53" s="801"/>
      <c r="D53" s="801"/>
      <c r="E53" s="1022"/>
      <c r="F53" s="1333"/>
      <c r="G53" s="1392"/>
      <c r="H53" s="751"/>
      <c r="I53" s="1392"/>
      <c r="J53" s="1393"/>
      <c r="K53" s="1022"/>
      <c r="L53" s="1022"/>
      <c r="M53" s="1328"/>
    </row>
    <row r="54" spans="1:15" s="1329" customFormat="1" ht="24" customHeight="1">
      <c r="A54" s="1397"/>
      <c r="B54" s="1335"/>
      <c r="C54" s="890"/>
      <c r="D54" s="890"/>
      <c r="E54" s="1080"/>
      <c r="F54" s="1338"/>
      <c r="G54" s="1398"/>
      <c r="H54" s="765"/>
      <c r="I54" s="1398"/>
      <c r="J54" s="1399"/>
      <c r="K54" s="1080"/>
      <c r="L54" s="1080"/>
      <c r="M54" s="1328"/>
    </row>
    <row r="55" spans="1:15" s="1329" customFormat="1" ht="24" customHeight="1">
      <c r="A55" s="1397"/>
      <c r="B55" s="1335"/>
      <c r="C55" s="890"/>
      <c r="D55" s="890"/>
      <c r="E55" s="1080"/>
      <c r="F55" s="1338"/>
      <c r="G55" s="1398"/>
      <c r="H55" s="765"/>
      <c r="I55" s="1398"/>
      <c r="J55" s="1399"/>
      <c r="K55" s="1080"/>
      <c r="L55" s="1080"/>
      <c r="M55" s="1328"/>
    </row>
    <row r="56" spans="1:15" s="1329" customFormat="1" ht="24" customHeight="1">
      <c r="A56" s="1397"/>
      <c r="B56" s="1335"/>
      <c r="C56" s="890"/>
      <c r="D56" s="890"/>
      <c r="E56" s="1080"/>
      <c r="F56" s="1338"/>
      <c r="G56" s="1398"/>
      <c r="H56" s="765"/>
      <c r="I56" s="1398"/>
      <c r="J56" s="1399"/>
      <c r="K56" s="1080"/>
      <c r="L56" s="1080"/>
      <c r="M56" s="1328"/>
    </row>
    <row r="57" spans="1:15" s="1329" customFormat="1" ht="24" customHeight="1">
      <c r="A57" s="1397"/>
      <c r="B57" s="1335" t="s">
        <v>958</v>
      </c>
      <c r="C57" s="890"/>
      <c r="D57" s="890"/>
      <c r="E57" s="1080"/>
      <c r="F57" s="1338"/>
      <c r="G57" s="1398"/>
      <c r="H57" s="765"/>
      <c r="I57" s="1398"/>
      <c r="J57" s="1399"/>
      <c r="K57" s="1080"/>
      <c r="L57" s="1080"/>
      <c r="M57" s="1328"/>
    </row>
    <row r="58" spans="1:15" s="714" customFormat="1" ht="30" customHeight="1">
      <c r="A58" s="1166"/>
      <c r="B58" s="2475" t="str">
        <f>"รวมราคารายการที่ "&amp;A46</f>
        <v>รวมราคารายการที่ 7.2</v>
      </c>
      <c r="C58" s="2476"/>
      <c r="D58" s="2476"/>
      <c r="E58" s="1167"/>
      <c r="F58" s="1381"/>
      <c r="G58" s="1168"/>
      <c r="H58" s="1169">
        <f>SUM(H47:H57)</f>
        <v>279600</v>
      </c>
      <c r="I58" s="1170"/>
      <c r="J58" s="1382">
        <f>SUM(J47:J57)</f>
        <v>4200</v>
      </c>
      <c r="K58" s="1171">
        <f>SUM(K47:K57)</f>
        <v>283800</v>
      </c>
      <c r="L58" s="1171"/>
      <c r="M58" s="1322"/>
    </row>
    <row r="59" spans="1:15" s="1329" customFormat="1" ht="24" customHeight="1">
      <c r="A59" s="1325">
        <v>7.3</v>
      </c>
      <c r="B59" s="1326" t="s">
        <v>2003</v>
      </c>
      <c r="C59" s="1347"/>
      <c r="D59" s="901"/>
      <c r="E59" s="1019"/>
      <c r="F59" s="1310"/>
      <c r="G59" s="1400"/>
      <c r="H59" s="773"/>
      <c r="I59" s="1400"/>
      <c r="J59" s="1401"/>
      <c r="K59" s="1019"/>
      <c r="L59" s="1019"/>
      <c r="M59" s="1328"/>
    </row>
    <row r="60" spans="1:15" s="1329" customFormat="1" ht="24" customHeight="1">
      <c r="A60" s="1340" t="s">
        <v>1922</v>
      </c>
      <c r="B60" s="1331" t="s">
        <v>2004</v>
      </c>
      <c r="C60" s="801"/>
      <c r="D60" s="801"/>
      <c r="E60" s="1022"/>
      <c r="F60" s="1333"/>
      <c r="G60" s="1392"/>
      <c r="H60" s="751"/>
      <c r="I60" s="1394"/>
      <c r="J60" s="1395"/>
      <c r="K60" s="966"/>
      <c r="L60" s="1022"/>
      <c r="M60" s="1328"/>
    </row>
    <row r="61" spans="1:15" s="1329" customFormat="1" ht="24" customHeight="1">
      <c r="A61" s="1340"/>
      <c r="B61" s="1331" t="str">
        <f t="shared" ref="B61:B68" si="11">"  -  "&amp;M61&amp;", ("&amp;N61&amp;" L/s)"</f>
        <v xml:space="preserve">  -  C1-B1MAF-01, (13,400 / 22,500 L/s)</v>
      </c>
      <c r="C61" s="801"/>
      <c r="D61" s="801"/>
      <c r="E61" s="1022">
        <f>O61</f>
        <v>1</v>
      </c>
      <c r="F61" s="1333" t="s">
        <v>240</v>
      </c>
      <c r="G61" s="1392">
        <v>297375</v>
      </c>
      <c r="H61" s="751">
        <f t="shared" ref="H61:H68" si="12">ROUND(E61*G61,)</f>
        <v>297375</v>
      </c>
      <c r="I61" s="1394">
        <v>28750</v>
      </c>
      <c r="J61" s="1395">
        <f t="shared" ref="J61:J68" si="13">ROUND(E61*I61,)</f>
        <v>28750</v>
      </c>
      <c r="K61" s="966">
        <f t="shared" ref="K61:K68" si="14">H61+J61</f>
        <v>326125</v>
      </c>
      <c r="L61" s="1022"/>
      <c r="M61" s="1328" t="s">
        <v>2092</v>
      </c>
      <c r="N61" s="1329" t="s">
        <v>2093</v>
      </c>
      <c r="O61" s="1329">
        <v>1</v>
      </c>
    </row>
    <row r="62" spans="1:15" s="1329" customFormat="1" ht="24" customHeight="1">
      <c r="A62" s="1340"/>
      <c r="B62" s="1331" t="str">
        <f t="shared" si="11"/>
        <v xml:space="preserve">  -  C1-B1MAF-01, (13,400 / 22,500 L/s)</v>
      </c>
      <c r="C62" s="801"/>
      <c r="D62" s="801"/>
      <c r="E62" s="1022">
        <f t="shared" ref="E62:E68" si="15">O62</f>
        <v>1</v>
      </c>
      <c r="F62" s="1333" t="s">
        <v>240</v>
      </c>
      <c r="G62" s="1392">
        <v>297375</v>
      </c>
      <c r="H62" s="751">
        <f t="shared" si="12"/>
        <v>297375</v>
      </c>
      <c r="I62" s="1394">
        <v>28750</v>
      </c>
      <c r="J62" s="1395">
        <f t="shared" si="13"/>
        <v>28750</v>
      </c>
      <c r="K62" s="966">
        <f t="shared" si="14"/>
        <v>326125</v>
      </c>
      <c r="L62" s="1022"/>
      <c r="M62" s="1328" t="s">
        <v>2092</v>
      </c>
      <c r="N62" s="1329" t="s">
        <v>2093</v>
      </c>
      <c r="O62" s="1329">
        <v>1</v>
      </c>
    </row>
    <row r="63" spans="1:15" s="1329" customFormat="1" ht="24" customHeight="1">
      <c r="A63" s="1340"/>
      <c r="B63" s="1331" t="str">
        <f t="shared" si="11"/>
        <v xml:space="preserve">  -  C1-B1EAF-01, (16,800 / 24,000 L/s)</v>
      </c>
      <c r="C63" s="801"/>
      <c r="D63" s="801"/>
      <c r="E63" s="1022">
        <f t="shared" si="15"/>
        <v>1</v>
      </c>
      <c r="F63" s="1333" t="s">
        <v>240</v>
      </c>
      <c r="G63" s="1392">
        <v>302315</v>
      </c>
      <c r="H63" s="751">
        <f t="shared" si="12"/>
        <v>302315</v>
      </c>
      <c r="I63" s="1394">
        <v>28750</v>
      </c>
      <c r="J63" s="1395">
        <f t="shared" si="13"/>
        <v>28750</v>
      </c>
      <c r="K63" s="966">
        <f t="shared" si="14"/>
        <v>331065</v>
      </c>
      <c r="L63" s="1022"/>
      <c r="M63" s="1328" t="s">
        <v>2094</v>
      </c>
      <c r="N63" s="1329" t="s">
        <v>2095</v>
      </c>
      <c r="O63" s="1329">
        <v>1</v>
      </c>
    </row>
    <row r="64" spans="1:15" s="1329" customFormat="1" ht="24" customHeight="1">
      <c r="A64" s="1340"/>
      <c r="B64" s="1331" t="str">
        <f t="shared" si="11"/>
        <v xml:space="preserve">  -  C1-B1EAF-02, (16,800 / 24,000 L/s)</v>
      </c>
      <c r="C64" s="801"/>
      <c r="D64" s="801"/>
      <c r="E64" s="1022">
        <f t="shared" si="15"/>
        <v>1</v>
      </c>
      <c r="F64" s="1333" t="s">
        <v>240</v>
      </c>
      <c r="G64" s="1392">
        <v>302315</v>
      </c>
      <c r="H64" s="751">
        <f t="shared" si="12"/>
        <v>302315</v>
      </c>
      <c r="I64" s="1394">
        <v>28750</v>
      </c>
      <c r="J64" s="1395">
        <f t="shared" si="13"/>
        <v>28750</v>
      </c>
      <c r="K64" s="966">
        <f t="shared" si="14"/>
        <v>331065</v>
      </c>
      <c r="L64" s="1022"/>
      <c r="M64" s="1328" t="s">
        <v>2096</v>
      </c>
      <c r="N64" s="1329" t="s">
        <v>2095</v>
      </c>
      <c r="O64" s="1329">
        <v>1</v>
      </c>
    </row>
    <row r="65" spans="1:15" s="1329" customFormat="1" ht="24" customHeight="1">
      <c r="A65" s="1340"/>
      <c r="B65" s="1331" t="str">
        <f t="shared" si="11"/>
        <v xml:space="preserve">  -  C2-B1MAF-01, (13,400 / 22,500 L/s)</v>
      </c>
      <c r="C65" s="801"/>
      <c r="D65" s="801"/>
      <c r="E65" s="1022">
        <f t="shared" si="15"/>
        <v>1</v>
      </c>
      <c r="F65" s="1333" t="s">
        <v>240</v>
      </c>
      <c r="G65" s="1392">
        <v>297375</v>
      </c>
      <c r="H65" s="751">
        <f t="shared" si="12"/>
        <v>297375</v>
      </c>
      <c r="I65" s="1394">
        <v>28750</v>
      </c>
      <c r="J65" s="1395">
        <f t="shared" si="13"/>
        <v>28750</v>
      </c>
      <c r="K65" s="966">
        <f t="shared" si="14"/>
        <v>326125</v>
      </c>
      <c r="L65" s="1022"/>
      <c r="M65" s="1328" t="s">
        <v>2097</v>
      </c>
      <c r="N65" s="1329" t="s">
        <v>2093</v>
      </c>
      <c r="O65" s="1329">
        <v>1</v>
      </c>
    </row>
    <row r="66" spans="1:15" s="1329" customFormat="1" ht="24" customHeight="1">
      <c r="A66" s="1340"/>
      <c r="B66" s="1331" t="str">
        <f t="shared" si="11"/>
        <v xml:space="preserve">  -  C2-B1MAF-02, (13,400 / 22,500 L/s)</v>
      </c>
      <c r="C66" s="801"/>
      <c r="D66" s="801"/>
      <c r="E66" s="1022">
        <f t="shared" si="15"/>
        <v>1</v>
      </c>
      <c r="F66" s="1333" t="s">
        <v>240</v>
      </c>
      <c r="G66" s="1392">
        <v>297375</v>
      </c>
      <c r="H66" s="751">
        <f t="shared" si="12"/>
        <v>297375</v>
      </c>
      <c r="I66" s="1394">
        <v>28750</v>
      </c>
      <c r="J66" s="1395">
        <f t="shared" si="13"/>
        <v>28750</v>
      </c>
      <c r="K66" s="966">
        <f t="shared" si="14"/>
        <v>326125</v>
      </c>
      <c r="L66" s="1022"/>
      <c r="M66" s="1328" t="s">
        <v>2098</v>
      </c>
      <c r="N66" s="1329" t="s">
        <v>2093</v>
      </c>
      <c r="O66" s="1329">
        <v>1</v>
      </c>
    </row>
    <row r="67" spans="1:15" s="1329" customFormat="1" ht="24" customHeight="1">
      <c r="A67" s="1340"/>
      <c r="B67" s="1331" t="str">
        <f t="shared" si="11"/>
        <v xml:space="preserve">  -  C2-B1EAF-01, (16,800 / 24,000 L/s)</v>
      </c>
      <c r="C67" s="801"/>
      <c r="D67" s="801"/>
      <c r="E67" s="1022">
        <f t="shared" si="15"/>
        <v>1</v>
      </c>
      <c r="F67" s="1333" t="s">
        <v>240</v>
      </c>
      <c r="G67" s="1392">
        <v>302315</v>
      </c>
      <c r="H67" s="751">
        <f t="shared" si="12"/>
        <v>302315</v>
      </c>
      <c r="I67" s="1394">
        <v>28750</v>
      </c>
      <c r="J67" s="1395">
        <f t="shared" si="13"/>
        <v>28750</v>
      </c>
      <c r="K67" s="966">
        <f t="shared" si="14"/>
        <v>331065</v>
      </c>
      <c r="L67" s="1022"/>
      <c r="M67" s="1328" t="s">
        <v>2099</v>
      </c>
      <c r="N67" s="1329" t="s">
        <v>2095</v>
      </c>
      <c r="O67" s="1329">
        <v>1</v>
      </c>
    </row>
    <row r="68" spans="1:15" s="1329" customFormat="1" ht="24" customHeight="1">
      <c r="A68" s="1340"/>
      <c r="B68" s="1331" t="str">
        <f t="shared" si="11"/>
        <v xml:space="preserve">  -  C2-B1EAF-02, (16,800 / 24,000 L/s)</v>
      </c>
      <c r="C68" s="801"/>
      <c r="D68" s="801"/>
      <c r="E68" s="1022">
        <f t="shared" si="15"/>
        <v>1</v>
      </c>
      <c r="F68" s="1333" t="s">
        <v>240</v>
      </c>
      <c r="G68" s="1392">
        <v>302315</v>
      </c>
      <c r="H68" s="751">
        <f t="shared" si="12"/>
        <v>302315</v>
      </c>
      <c r="I68" s="1394">
        <v>28750</v>
      </c>
      <c r="J68" s="1395">
        <f t="shared" si="13"/>
        <v>28750</v>
      </c>
      <c r="K68" s="966">
        <f t="shared" si="14"/>
        <v>331065</v>
      </c>
      <c r="L68" s="1022"/>
      <c r="M68" s="1328" t="s">
        <v>2100</v>
      </c>
      <c r="N68" s="1329" t="s">
        <v>2095</v>
      </c>
      <c r="O68" s="1329">
        <v>1</v>
      </c>
    </row>
    <row r="69" spans="1:15" s="1329" customFormat="1" ht="24" customHeight="1">
      <c r="A69" s="1340" t="s">
        <v>1924</v>
      </c>
      <c r="B69" s="1331" t="s">
        <v>2017</v>
      </c>
      <c r="C69" s="801"/>
      <c r="D69" s="801"/>
      <c r="E69" s="1022"/>
      <c r="F69" s="1333"/>
      <c r="G69" s="1392"/>
      <c r="H69" s="751"/>
      <c r="I69" s="1392"/>
      <c r="J69" s="1393"/>
      <c r="K69" s="1022"/>
      <c r="L69" s="1022"/>
      <c r="M69" s="1328"/>
    </row>
    <row r="70" spans="1:15" s="1329" customFormat="1" ht="24" customHeight="1">
      <c r="A70" s="1340"/>
      <c r="B70" s="1331" t="s">
        <v>2101</v>
      </c>
      <c r="C70" s="801"/>
      <c r="D70" s="801"/>
      <c r="E70" s="1022">
        <v>17</v>
      </c>
      <c r="F70" s="1333" t="s">
        <v>240</v>
      </c>
      <c r="G70" s="1392">
        <v>42640</v>
      </c>
      <c r="H70" s="751">
        <f t="shared" ref="H70:H71" si="16">ROUND(E70*G70,)</f>
        <v>724880</v>
      </c>
      <c r="I70" s="1392">
        <v>1950</v>
      </c>
      <c r="J70" s="1393">
        <f t="shared" ref="J70:J71" si="17">ROUND(E70*I70,)</f>
        <v>33150</v>
      </c>
      <c r="K70" s="1022">
        <f t="shared" ref="K70:K71" si="18">H70+J70</f>
        <v>758030</v>
      </c>
      <c r="L70" s="1022"/>
      <c r="M70" s="1328"/>
    </row>
    <row r="71" spans="1:15" s="1329" customFormat="1" ht="24" customHeight="1">
      <c r="A71" s="1340"/>
      <c r="B71" s="1331" t="s">
        <v>2102</v>
      </c>
      <c r="C71" s="801"/>
      <c r="D71" s="801"/>
      <c r="E71" s="1022">
        <v>16</v>
      </c>
      <c r="F71" s="1333" t="s">
        <v>240</v>
      </c>
      <c r="G71" s="1392">
        <v>42640</v>
      </c>
      <c r="H71" s="751">
        <f t="shared" si="16"/>
        <v>682240</v>
      </c>
      <c r="I71" s="1392">
        <v>1950</v>
      </c>
      <c r="J71" s="1393">
        <f t="shared" si="17"/>
        <v>31200</v>
      </c>
      <c r="K71" s="1022">
        <f t="shared" si="18"/>
        <v>713440</v>
      </c>
      <c r="L71" s="1022"/>
      <c r="M71" s="1328"/>
    </row>
    <row r="72" spans="1:15" s="1329" customFormat="1" ht="24" customHeight="1">
      <c r="A72" s="1340" t="s">
        <v>2020</v>
      </c>
      <c r="B72" s="1331" t="s">
        <v>2021</v>
      </c>
      <c r="C72" s="801"/>
      <c r="D72" s="801"/>
      <c r="E72" s="1022"/>
      <c r="F72" s="1333"/>
      <c r="G72" s="1392"/>
      <c r="H72" s="751"/>
      <c r="I72" s="1392"/>
      <c r="J72" s="1393"/>
      <c r="K72" s="1022"/>
      <c r="L72" s="1022"/>
      <c r="M72" s="1328"/>
    </row>
    <row r="73" spans="1:15" s="1329" customFormat="1" ht="24" customHeight="1">
      <c r="A73" s="1340"/>
      <c r="B73" s="1331" t="str">
        <f t="shared" ref="B73:B76" si="19">"  -  "&amp;M73&amp;", ("&amp;N73&amp;" L/s)"</f>
        <v xml:space="preserve">  -  C1C-B1EAF-01, (115 L/s)</v>
      </c>
      <c r="C73" s="801"/>
      <c r="D73" s="801"/>
      <c r="E73" s="1022">
        <f t="shared" ref="E73:E76" si="20">O73</f>
        <v>1</v>
      </c>
      <c r="F73" s="1333" t="s">
        <v>240</v>
      </c>
      <c r="G73" s="1400">
        <v>1040</v>
      </c>
      <c r="H73" s="751">
        <f>ROUND(E73*G73,)</f>
        <v>1040</v>
      </c>
      <c r="I73" s="1392">
        <v>450</v>
      </c>
      <c r="J73" s="1393">
        <f>ROUND(E73*I73,)</f>
        <v>450</v>
      </c>
      <c r="K73" s="1022">
        <f>H73+J73</f>
        <v>1490</v>
      </c>
      <c r="L73" s="1022"/>
      <c r="M73" s="1328" t="s">
        <v>2103</v>
      </c>
      <c r="N73" s="1329">
        <v>115</v>
      </c>
      <c r="O73" s="1329">
        <v>1</v>
      </c>
    </row>
    <row r="74" spans="1:15" s="1329" customFormat="1" ht="24" customHeight="1">
      <c r="A74" s="1340"/>
      <c r="B74" s="1331" t="str">
        <f t="shared" si="19"/>
        <v xml:space="preserve">  -  C1C-B1EAF-02, (115 L/s)</v>
      </c>
      <c r="C74" s="801"/>
      <c r="D74" s="801"/>
      <c r="E74" s="1022">
        <f t="shared" si="20"/>
        <v>1</v>
      </c>
      <c r="F74" s="1333" t="s">
        <v>240</v>
      </c>
      <c r="G74" s="1400">
        <v>1040</v>
      </c>
      <c r="H74" s="751">
        <f t="shared" ref="H74:H77" si="21">ROUND(E74*G74,)</f>
        <v>1040</v>
      </c>
      <c r="I74" s="1392">
        <v>450</v>
      </c>
      <c r="J74" s="1393">
        <f t="shared" ref="J74:J77" si="22">ROUND(E74*I74,)</f>
        <v>450</v>
      </c>
      <c r="K74" s="1022">
        <f t="shared" ref="K74:K77" si="23">H74+J74</f>
        <v>1490</v>
      </c>
      <c r="L74" s="1022"/>
      <c r="M74" s="1328" t="s">
        <v>2104</v>
      </c>
      <c r="N74" s="1329">
        <v>115</v>
      </c>
      <c r="O74" s="1329">
        <v>1</v>
      </c>
    </row>
    <row r="75" spans="1:15" s="1329" customFormat="1" ht="24" customHeight="1">
      <c r="A75" s="1340"/>
      <c r="B75" s="1331" t="str">
        <f t="shared" si="19"/>
        <v xml:space="preserve">  -  C2C-B1EAF-01, (115 L/s)</v>
      </c>
      <c r="C75" s="801"/>
      <c r="D75" s="801"/>
      <c r="E75" s="1022">
        <f t="shared" si="20"/>
        <v>1</v>
      </c>
      <c r="F75" s="1333" t="s">
        <v>240</v>
      </c>
      <c r="G75" s="1400">
        <v>1040</v>
      </c>
      <c r="H75" s="751">
        <f t="shared" si="21"/>
        <v>1040</v>
      </c>
      <c r="I75" s="1392">
        <v>450</v>
      </c>
      <c r="J75" s="1393">
        <f t="shared" si="22"/>
        <v>450</v>
      </c>
      <c r="K75" s="1022">
        <f t="shared" si="23"/>
        <v>1490</v>
      </c>
      <c r="L75" s="1022"/>
      <c r="M75" s="1328" t="s">
        <v>2105</v>
      </c>
      <c r="N75" s="1329">
        <v>115</v>
      </c>
      <c r="O75" s="1329">
        <v>1</v>
      </c>
    </row>
    <row r="76" spans="1:15" s="1329" customFormat="1" ht="24" customHeight="1">
      <c r="A76" s="1340"/>
      <c r="B76" s="1331" t="str">
        <f t="shared" si="19"/>
        <v xml:space="preserve">  -  C2C-B1EAF-02, (115 L/s)</v>
      </c>
      <c r="C76" s="801"/>
      <c r="D76" s="801"/>
      <c r="E76" s="1022">
        <f t="shared" si="20"/>
        <v>1</v>
      </c>
      <c r="F76" s="1333" t="s">
        <v>240</v>
      </c>
      <c r="G76" s="1400">
        <v>1040</v>
      </c>
      <c r="H76" s="751">
        <f t="shared" si="21"/>
        <v>1040</v>
      </c>
      <c r="I76" s="1392">
        <v>450</v>
      </c>
      <c r="J76" s="1393">
        <f t="shared" si="22"/>
        <v>450</v>
      </c>
      <c r="K76" s="1022">
        <f t="shared" si="23"/>
        <v>1490</v>
      </c>
      <c r="L76" s="1022"/>
      <c r="M76" s="1328" t="s">
        <v>2106</v>
      </c>
      <c r="N76" s="1329">
        <v>115</v>
      </c>
      <c r="O76" s="1329">
        <v>1</v>
      </c>
    </row>
    <row r="77" spans="1:15" s="1329" customFormat="1" ht="24" customHeight="1">
      <c r="A77" s="1340" t="s">
        <v>2026</v>
      </c>
      <c r="B77" s="1331" t="s">
        <v>1996</v>
      </c>
      <c r="C77" s="801"/>
      <c r="D77" s="801"/>
      <c r="E77" s="1022">
        <f>SUM(E70:E71,E61:E68)</f>
        <v>41</v>
      </c>
      <c r="F77" s="1333" t="s">
        <v>240</v>
      </c>
      <c r="G77" s="1392">
        <v>1200</v>
      </c>
      <c r="H77" s="751">
        <f t="shared" si="21"/>
        <v>49200</v>
      </c>
      <c r="I77" s="1392">
        <v>360</v>
      </c>
      <c r="J77" s="1393">
        <f t="shared" si="22"/>
        <v>14760</v>
      </c>
      <c r="K77" s="1022">
        <f t="shared" si="23"/>
        <v>63960</v>
      </c>
      <c r="L77" s="1022"/>
      <c r="M77" s="1328"/>
    </row>
    <row r="78" spans="1:15" s="1329" customFormat="1" ht="24" customHeight="1">
      <c r="A78" s="1340"/>
      <c r="B78" s="1331" t="s">
        <v>957</v>
      </c>
      <c r="C78" s="801"/>
      <c r="D78" s="801"/>
      <c r="E78" s="1022"/>
      <c r="F78" s="1333"/>
      <c r="G78" s="1392"/>
      <c r="H78" s="751"/>
      <c r="I78" s="1392"/>
      <c r="J78" s="1393"/>
      <c r="K78" s="1022"/>
      <c r="L78" s="1022"/>
      <c r="M78" s="1328"/>
    </row>
    <row r="79" spans="1:15" s="1329" customFormat="1" ht="24" customHeight="1">
      <c r="A79" s="1340"/>
      <c r="B79" s="1331"/>
      <c r="C79" s="801"/>
      <c r="D79" s="801"/>
      <c r="E79" s="1022"/>
      <c r="F79" s="1333"/>
      <c r="G79" s="1392"/>
      <c r="H79" s="751"/>
      <c r="I79" s="1392"/>
      <c r="J79" s="1393"/>
      <c r="K79" s="1022"/>
      <c r="L79" s="1022"/>
      <c r="M79" s="1328"/>
    </row>
    <row r="80" spans="1:15" s="1329" customFormat="1" ht="24" customHeight="1">
      <c r="A80" s="1340"/>
      <c r="B80" s="1331"/>
      <c r="C80" s="801"/>
      <c r="D80" s="801"/>
      <c r="E80" s="1022"/>
      <c r="F80" s="1333"/>
      <c r="G80" s="1392"/>
      <c r="H80" s="751"/>
      <c r="I80" s="1392"/>
      <c r="J80" s="1393"/>
      <c r="K80" s="1022"/>
      <c r="L80" s="1022"/>
      <c r="M80" s="1328"/>
    </row>
    <row r="81" spans="1:18" s="1329" customFormat="1" ht="24" customHeight="1">
      <c r="A81" s="1340"/>
      <c r="B81" s="1331"/>
      <c r="C81" s="801"/>
      <c r="D81" s="801"/>
      <c r="E81" s="1022"/>
      <c r="F81" s="1333"/>
      <c r="G81" s="1392"/>
      <c r="H81" s="751"/>
      <c r="I81" s="1392"/>
      <c r="J81" s="1393"/>
      <c r="K81" s="1022"/>
      <c r="L81" s="1022"/>
      <c r="M81" s="1328"/>
    </row>
    <row r="82" spans="1:18" s="714" customFormat="1" ht="30" customHeight="1">
      <c r="A82" s="1166"/>
      <c r="B82" s="2475" t="str">
        <f>"รวมราคารายการที่ "&amp;A59</f>
        <v>รวมราคารายการที่ 7.3</v>
      </c>
      <c r="C82" s="2476"/>
      <c r="D82" s="2476"/>
      <c r="E82" s="1167"/>
      <c r="F82" s="1381"/>
      <c r="G82" s="1168"/>
      <c r="H82" s="1169">
        <f>SUM(H60:H78)</f>
        <v>3859240</v>
      </c>
      <c r="I82" s="1170"/>
      <c r="J82" s="1382">
        <f>SUM(J60:J78)</f>
        <v>310910</v>
      </c>
      <c r="K82" s="1171">
        <f>SUM(K60:K78)</f>
        <v>4170150</v>
      </c>
      <c r="L82" s="1171"/>
      <c r="M82" s="1322"/>
    </row>
    <row r="83" spans="1:18" s="1329" customFormat="1" ht="24" customHeight="1">
      <c r="A83" s="1325">
        <v>7.4</v>
      </c>
      <c r="B83" s="1339" t="s">
        <v>1909</v>
      </c>
      <c r="C83" s="901"/>
      <c r="D83" s="901"/>
      <c r="E83" s="1019"/>
      <c r="F83" s="1310"/>
      <c r="G83" s="1400"/>
      <c r="H83" s="773"/>
      <c r="I83" s="1400"/>
      <c r="J83" s="1401"/>
      <c r="K83" s="1019"/>
      <c r="L83" s="1019"/>
      <c r="M83" s="1328"/>
    </row>
    <row r="84" spans="1:18" s="1329" customFormat="1" ht="24" customHeight="1">
      <c r="A84" s="1330" t="s">
        <v>1928</v>
      </c>
      <c r="B84" s="1331" t="s">
        <v>1911</v>
      </c>
      <c r="C84" s="801"/>
      <c r="D84" s="801"/>
      <c r="E84" s="1022"/>
      <c r="F84" s="1333"/>
      <c r="G84" s="1392"/>
      <c r="H84" s="751"/>
      <c r="I84" s="1392"/>
      <c r="J84" s="1393"/>
      <c r="K84" s="1022"/>
      <c r="L84" s="1022"/>
      <c r="M84" s="1328"/>
    </row>
    <row r="85" spans="1:18" s="1329" customFormat="1" ht="24" customHeight="1">
      <c r="A85" s="1330"/>
      <c r="B85" s="1331" t="s">
        <v>2028</v>
      </c>
      <c r="C85" s="801"/>
      <c r="D85" s="801"/>
      <c r="E85" s="1022">
        <v>173</v>
      </c>
      <c r="F85" s="1249" t="s">
        <v>438</v>
      </c>
      <c r="G85" s="1392">
        <v>69.5</v>
      </c>
      <c r="H85" s="864">
        <f t="shared" ref="H85:H91" si="24">ROUND(E85*G85,)</f>
        <v>12024</v>
      </c>
      <c r="I85" s="1394">
        <v>30</v>
      </c>
      <c r="J85" s="1395">
        <f t="shared" ref="J85:J94" si="25">ROUND(E85*I85,)</f>
        <v>5190</v>
      </c>
      <c r="K85" s="966">
        <f t="shared" ref="K85:K94" si="26">H85+J85</f>
        <v>17214</v>
      </c>
      <c r="L85" s="1022"/>
      <c r="M85" s="1328"/>
    </row>
    <row r="86" spans="1:18" s="1329" customFormat="1" ht="24" customHeight="1">
      <c r="A86" s="1330"/>
      <c r="B86" s="1331" t="s">
        <v>1822</v>
      </c>
      <c r="C86" s="801"/>
      <c r="D86" s="801"/>
      <c r="E86" s="1022">
        <v>184</v>
      </c>
      <c r="F86" s="1249" t="s">
        <v>438</v>
      </c>
      <c r="G86" s="1392">
        <v>103.5</v>
      </c>
      <c r="H86" s="864">
        <f t="shared" si="24"/>
        <v>19044</v>
      </c>
      <c r="I86" s="1394">
        <v>45</v>
      </c>
      <c r="J86" s="1395">
        <f t="shared" si="25"/>
        <v>8280</v>
      </c>
      <c r="K86" s="966">
        <f t="shared" si="26"/>
        <v>27324</v>
      </c>
      <c r="L86" s="1022"/>
      <c r="M86" s="1328"/>
    </row>
    <row r="87" spans="1:18" s="1329" customFormat="1" ht="24" customHeight="1">
      <c r="A87" s="1330"/>
      <c r="B87" s="1331" t="s">
        <v>1814</v>
      </c>
      <c r="C87" s="801"/>
      <c r="D87" s="801"/>
      <c r="E87" s="966">
        <v>191</v>
      </c>
      <c r="F87" s="1249" t="s">
        <v>438</v>
      </c>
      <c r="G87" s="1392">
        <v>1763</v>
      </c>
      <c r="H87" s="864">
        <f t="shared" si="24"/>
        <v>336733</v>
      </c>
      <c r="I87" s="1392">
        <v>560</v>
      </c>
      <c r="J87" s="1395">
        <f t="shared" si="25"/>
        <v>106960</v>
      </c>
      <c r="K87" s="966">
        <f t="shared" si="26"/>
        <v>443693</v>
      </c>
      <c r="L87" s="1022"/>
      <c r="M87" s="1328"/>
      <c r="N87" s="1404"/>
      <c r="O87" s="1404"/>
      <c r="P87" s="1404"/>
      <c r="Q87" s="1404"/>
      <c r="R87" s="1404"/>
    </row>
    <row r="88" spans="1:18" s="1329" customFormat="1" ht="24" customHeight="1">
      <c r="A88" s="1330"/>
      <c r="B88" s="1331" t="s">
        <v>2107</v>
      </c>
      <c r="C88" s="801"/>
      <c r="D88" s="801"/>
      <c r="E88" s="966">
        <v>241</v>
      </c>
      <c r="F88" s="1249" t="s">
        <v>438</v>
      </c>
      <c r="G88" s="1392">
        <v>2654</v>
      </c>
      <c r="H88" s="864">
        <f t="shared" si="24"/>
        <v>639614</v>
      </c>
      <c r="I88" s="1392">
        <v>700</v>
      </c>
      <c r="J88" s="1395">
        <f t="shared" si="25"/>
        <v>168700</v>
      </c>
      <c r="K88" s="966">
        <f t="shared" si="26"/>
        <v>808314</v>
      </c>
      <c r="L88" s="1022"/>
      <c r="M88" s="1328"/>
      <c r="N88" s="1404"/>
      <c r="O88" s="1404"/>
      <c r="P88" s="1404"/>
      <c r="Q88" s="1404"/>
      <c r="R88" s="1404"/>
    </row>
    <row r="89" spans="1:18" s="1329" customFormat="1" ht="24" customHeight="1">
      <c r="A89" s="1330"/>
      <c r="B89" s="1331" t="s">
        <v>2108</v>
      </c>
      <c r="C89" s="801"/>
      <c r="D89" s="801"/>
      <c r="E89" s="966">
        <v>72</v>
      </c>
      <c r="F89" s="1249" t="s">
        <v>438</v>
      </c>
      <c r="G89" s="1392">
        <v>3505</v>
      </c>
      <c r="H89" s="864">
        <f t="shared" si="24"/>
        <v>252360</v>
      </c>
      <c r="I89" s="1392">
        <v>900</v>
      </c>
      <c r="J89" s="1395">
        <f t="shared" si="25"/>
        <v>64800</v>
      </c>
      <c r="K89" s="966">
        <f t="shared" si="26"/>
        <v>317160</v>
      </c>
      <c r="L89" s="1022"/>
      <c r="M89" s="1328"/>
      <c r="N89" s="1404"/>
      <c r="O89" s="1404"/>
      <c r="P89" s="1404"/>
      <c r="Q89" s="1404"/>
      <c r="R89" s="1404"/>
    </row>
    <row r="90" spans="1:18" s="1329" customFormat="1" ht="24" customHeight="1">
      <c r="A90" s="1330"/>
      <c r="B90" s="1331" t="s">
        <v>2109</v>
      </c>
      <c r="C90" s="801"/>
      <c r="D90" s="801"/>
      <c r="E90" s="966"/>
      <c r="F90" s="1249" t="s">
        <v>438</v>
      </c>
      <c r="G90" s="1392">
        <v>5425</v>
      </c>
      <c r="H90" s="864">
        <f t="shared" si="24"/>
        <v>0</v>
      </c>
      <c r="I90" s="1392">
        <v>1200</v>
      </c>
      <c r="J90" s="1395">
        <f t="shared" si="25"/>
        <v>0</v>
      </c>
      <c r="K90" s="966">
        <f t="shared" si="26"/>
        <v>0</v>
      </c>
      <c r="L90" s="1022"/>
      <c r="M90" s="1328"/>
      <c r="N90" s="1404"/>
      <c r="O90" s="1404"/>
      <c r="P90" s="1404"/>
      <c r="Q90" s="1404"/>
      <c r="R90" s="1404"/>
    </row>
    <row r="91" spans="1:18" s="1329" customFormat="1" ht="24" customHeight="1">
      <c r="A91" s="1330"/>
      <c r="B91" s="1331" t="s">
        <v>2110</v>
      </c>
      <c r="C91" s="801"/>
      <c r="D91" s="801"/>
      <c r="E91" s="966"/>
      <c r="F91" s="1249" t="s">
        <v>438</v>
      </c>
      <c r="G91" s="1392">
        <v>6864</v>
      </c>
      <c r="H91" s="864">
        <f t="shared" si="24"/>
        <v>0</v>
      </c>
      <c r="I91" s="1392">
        <v>1350</v>
      </c>
      <c r="J91" s="1395">
        <f t="shared" si="25"/>
        <v>0</v>
      </c>
      <c r="K91" s="966">
        <f t="shared" si="26"/>
        <v>0</v>
      </c>
      <c r="L91" s="1022"/>
      <c r="M91" s="1328"/>
      <c r="N91" s="1404"/>
      <c r="O91" s="1404"/>
      <c r="P91" s="1404"/>
      <c r="Q91" s="1404"/>
      <c r="R91" s="1404"/>
    </row>
    <row r="92" spans="1:18" s="1329" customFormat="1" ht="24" customHeight="1">
      <c r="A92" s="1330"/>
      <c r="B92" s="1331" t="s">
        <v>1645</v>
      </c>
      <c r="C92" s="801"/>
      <c r="D92" s="801"/>
      <c r="E92" s="1022">
        <v>1</v>
      </c>
      <c r="F92" s="1333" t="s">
        <v>948</v>
      </c>
      <c r="G92" s="1402">
        <f>ROUND(SUM(H85:H91)*50%,)</f>
        <v>629888</v>
      </c>
      <c r="H92" s="864">
        <f>ROUND(E92*G92,)</f>
        <v>629888</v>
      </c>
      <c r="I92" s="1402">
        <f>ROUND(G92*0.3,)</f>
        <v>188966</v>
      </c>
      <c r="J92" s="1395">
        <f t="shared" si="25"/>
        <v>188966</v>
      </c>
      <c r="K92" s="1403">
        <f t="shared" si="26"/>
        <v>818854</v>
      </c>
      <c r="L92" s="1022"/>
      <c r="M92" s="1328"/>
    </row>
    <row r="93" spans="1:18" s="1329" customFormat="1" ht="24" customHeight="1">
      <c r="A93" s="1330"/>
      <c r="B93" s="1331" t="s">
        <v>1646</v>
      </c>
      <c r="C93" s="801"/>
      <c r="D93" s="801"/>
      <c r="E93" s="1022">
        <v>1</v>
      </c>
      <c r="F93" s="1333" t="s">
        <v>948</v>
      </c>
      <c r="G93" s="1402">
        <f>ROUND(SUM(H85:H91)*20%,)</f>
        <v>251955</v>
      </c>
      <c r="H93" s="864">
        <f t="shared" ref="H93:H94" si="27">ROUND(E93*G93,)</f>
        <v>251955</v>
      </c>
      <c r="I93" s="1402">
        <f>ROUND(G93*0.3,)</f>
        <v>75587</v>
      </c>
      <c r="J93" s="1395">
        <f t="shared" si="25"/>
        <v>75587</v>
      </c>
      <c r="K93" s="1403">
        <f t="shared" si="26"/>
        <v>327542</v>
      </c>
      <c r="L93" s="1022"/>
      <c r="M93" s="1328"/>
    </row>
    <row r="94" spans="1:18" s="1329" customFormat="1" ht="24" customHeight="1">
      <c r="A94" s="1330"/>
      <c r="B94" s="1331" t="s">
        <v>1647</v>
      </c>
      <c r="C94" s="801"/>
      <c r="D94" s="801"/>
      <c r="E94" s="1022">
        <v>1</v>
      </c>
      <c r="F94" s="1333" t="s">
        <v>948</v>
      </c>
      <c r="G94" s="1402">
        <f>ROUND(SUM(H85:H91)*10%,)</f>
        <v>125978</v>
      </c>
      <c r="H94" s="864">
        <f t="shared" si="27"/>
        <v>125978</v>
      </c>
      <c r="I94" s="1402">
        <f>ROUND(G94*0.3,)</f>
        <v>37793</v>
      </c>
      <c r="J94" s="1395">
        <f t="shared" si="25"/>
        <v>37793</v>
      </c>
      <c r="K94" s="1403">
        <f t="shared" si="26"/>
        <v>163771</v>
      </c>
      <c r="L94" s="1022"/>
      <c r="M94" s="1328"/>
      <c r="N94" s="1719"/>
    </row>
    <row r="95" spans="1:18" s="1329" customFormat="1" ht="24" customHeight="1">
      <c r="A95" s="1330" t="s">
        <v>1930</v>
      </c>
      <c r="B95" s="1331" t="s">
        <v>1917</v>
      </c>
      <c r="C95" s="801"/>
      <c r="D95" s="801"/>
      <c r="E95" s="1022"/>
      <c r="F95" s="1333"/>
      <c r="G95" s="1392"/>
      <c r="H95" s="751"/>
      <c r="I95" s="1392"/>
      <c r="J95" s="1393"/>
      <c r="K95" s="1022"/>
      <c r="L95" s="1022"/>
      <c r="M95" s="1328"/>
      <c r="N95" s="1719"/>
    </row>
    <row r="96" spans="1:18" s="1329" customFormat="1" ht="24" customHeight="1">
      <c r="A96" s="1330"/>
      <c r="B96" s="1331" t="s">
        <v>2028</v>
      </c>
      <c r="C96" s="801"/>
      <c r="D96" s="801"/>
      <c r="E96" s="1022">
        <v>50</v>
      </c>
      <c r="F96" s="1249" t="s">
        <v>438</v>
      </c>
      <c r="G96" s="1392">
        <v>12</v>
      </c>
      <c r="H96" s="864">
        <f t="shared" ref="H96:H102" si="28">ROUND(E96*G96,)</f>
        <v>600</v>
      </c>
      <c r="I96" s="1392">
        <v>25</v>
      </c>
      <c r="J96" s="1395">
        <f t="shared" ref="J96:J100" si="29">ROUND(E96*I96,)</f>
        <v>1250</v>
      </c>
      <c r="K96" s="966">
        <f t="shared" ref="K96:K102" si="30">H96+J96</f>
        <v>1850</v>
      </c>
      <c r="L96" s="2273" t="s">
        <v>2974</v>
      </c>
      <c r="M96" s="1328"/>
      <c r="N96" s="1720">
        <v>48.23</v>
      </c>
      <c r="O96" s="714">
        <f>ROUND(N96/4,)</f>
        <v>12</v>
      </c>
      <c r="P96" s="1404"/>
    </row>
    <row r="97" spans="1:18" s="1329" customFormat="1" ht="24" customHeight="1">
      <c r="A97" s="1330"/>
      <c r="B97" s="1331" t="s">
        <v>2029</v>
      </c>
      <c r="C97" s="801"/>
      <c r="D97" s="801"/>
      <c r="E97" s="1022"/>
      <c r="F97" s="1249" t="s">
        <v>438</v>
      </c>
      <c r="G97" s="1392">
        <v>20</v>
      </c>
      <c r="H97" s="864">
        <f t="shared" si="28"/>
        <v>0</v>
      </c>
      <c r="I97" s="1392">
        <v>25</v>
      </c>
      <c r="J97" s="1395">
        <f t="shared" si="29"/>
        <v>0</v>
      </c>
      <c r="K97" s="966">
        <f t="shared" si="30"/>
        <v>0</v>
      </c>
      <c r="L97" s="2273" t="s">
        <v>2974</v>
      </c>
      <c r="M97" s="714"/>
      <c r="N97" s="714">
        <v>79.17</v>
      </c>
      <c r="O97" s="714">
        <f>ROUND(N97/4,)</f>
        <v>20</v>
      </c>
      <c r="P97" s="1404"/>
    </row>
    <row r="98" spans="1:18" s="1329" customFormat="1" ht="24" customHeight="1">
      <c r="A98" s="1330"/>
      <c r="B98" s="1331" t="s">
        <v>1918</v>
      </c>
      <c r="C98" s="801"/>
      <c r="D98" s="801"/>
      <c r="E98" s="1022"/>
      <c r="F98" s="1249" t="s">
        <v>438</v>
      </c>
      <c r="G98" s="1392">
        <v>41</v>
      </c>
      <c r="H98" s="864">
        <f t="shared" si="28"/>
        <v>0</v>
      </c>
      <c r="I98" s="1392">
        <v>25</v>
      </c>
      <c r="J98" s="1395">
        <f t="shared" si="29"/>
        <v>0</v>
      </c>
      <c r="K98" s="966">
        <f t="shared" si="30"/>
        <v>0</v>
      </c>
      <c r="L98" s="2273" t="s">
        <v>2974</v>
      </c>
      <c r="M98" s="714"/>
      <c r="N98" s="714">
        <v>163.80000000000001</v>
      </c>
      <c r="O98" s="714">
        <f t="shared" ref="O98:O99" si="31">ROUND(N98/4,)</f>
        <v>41</v>
      </c>
      <c r="P98" s="1404"/>
      <c r="Q98" s="1404"/>
      <c r="R98" s="1404"/>
    </row>
    <row r="99" spans="1:18" s="1329" customFormat="1" ht="24" customHeight="1">
      <c r="A99" s="1330"/>
      <c r="B99" s="1331" t="s">
        <v>2111</v>
      </c>
      <c r="C99" s="801"/>
      <c r="D99" s="801"/>
      <c r="E99" s="1022"/>
      <c r="F99" s="1249" t="s">
        <v>438</v>
      </c>
      <c r="G99" s="1392">
        <v>90</v>
      </c>
      <c r="H99" s="864">
        <f t="shared" si="28"/>
        <v>0</v>
      </c>
      <c r="I99" s="1392">
        <v>33</v>
      </c>
      <c r="J99" s="1395">
        <f t="shared" si="29"/>
        <v>0</v>
      </c>
      <c r="K99" s="966">
        <f t="shared" si="30"/>
        <v>0</v>
      </c>
      <c r="L99" s="2273" t="s">
        <v>2974</v>
      </c>
      <c r="M99" s="714"/>
      <c r="N99" s="714">
        <v>359.45</v>
      </c>
      <c r="O99" s="714">
        <f t="shared" si="31"/>
        <v>90</v>
      </c>
      <c r="P99" s="1404"/>
      <c r="Q99" s="1404"/>
      <c r="R99" s="1404"/>
    </row>
    <row r="100" spans="1:18" s="1329" customFormat="1" ht="24" customHeight="1">
      <c r="A100" s="1330"/>
      <c r="B100" s="1331" t="s">
        <v>1645</v>
      </c>
      <c r="C100" s="801"/>
      <c r="D100" s="801"/>
      <c r="E100" s="1022">
        <v>1</v>
      </c>
      <c r="F100" s="1333" t="s">
        <v>948</v>
      </c>
      <c r="G100" s="1402">
        <f>SUM(H96:H99)*40%</f>
        <v>240</v>
      </c>
      <c r="H100" s="864">
        <f t="shared" si="28"/>
        <v>240</v>
      </c>
      <c r="I100" s="1402">
        <f>G100*0.3</f>
        <v>72</v>
      </c>
      <c r="J100" s="1395">
        <f t="shared" si="29"/>
        <v>72</v>
      </c>
      <c r="K100" s="966">
        <f t="shared" si="30"/>
        <v>312</v>
      </c>
      <c r="L100" s="1022"/>
      <c r="M100" s="1328"/>
    </row>
    <row r="101" spans="1:18" s="1329" customFormat="1" ht="24" customHeight="1">
      <c r="A101" s="1330"/>
      <c r="B101" s="1331" t="s">
        <v>1646</v>
      </c>
      <c r="C101" s="801"/>
      <c r="D101" s="801"/>
      <c r="E101" s="1022">
        <v>1</v>
      </c>
      <c r="F101" s="1333" t="s">
        <v>948</v>
      </c>
      <c r="G101" s="1402">
        <f>SUM(H96:H99)*30%</f>
        <v>180</v>
      </c>
      <c r="H101" s="864">
        <f t="shared" si="28"/>
        <v>180</v>
      </c>
      <c r="I101" s="1402">
        <f>G101*0.3</f>
        <v>54</v>
      </c>
      <c r="J101" s="1395">
        <f>ROUND(E101*I101,)</f>
        <v>54</v>
      </c>
      <c r="K101" s="966">
        <f t="shared" si="30"/>
        <v>234</v>
      </c>
      <c r="L101" s="1022"/>
      <c r="M101" s="1328"/>
    </row>
    <row r="102" spans="1:18" s="1329" customFormat="1" ht="24" customHeight="1">
      <c r="A102" s="1330"/>
      <c r="B102" s="1331" t="s">
        <v>1647</v>
      </c>
      <c r="C102" s="801"/>
      <c r="D102" s="801"/>
      <c r="E102" s="1022">
        <v>1</v>
      </c>
      <c r="F102" s="1333" t="s">
        <v>948</v>
      </c>
      <c r="G102" s="1402">
        <f>SUM(H96:H99)*10%</f>
        <v>60</v>
      </c>
      <c r="H102" s="864">
        <f t="shared" si="28"/>
        <v>60</v>
      </c>
      <c r="I102" s="1402">
        <f>G102*0.3</f>
        <v>18</v>
      </c>
      <c r="J102" s="1395">
        <f>ROUND(E102*I102,)</f>
        <v>18</v>
      </c>
      <c r="K102" s="966">
        <f t="shared" si="30"/>
        <v>78</v>
      </c>
      <c r="L102" s="1022"/>
      <c r="M102" s="1328"/>
    </row>
    <row r="103" spans="1:18" s="1329" customFormat="1" ht="24" customHeight="1">
      <c r="A103" s="1330"/>
      <c r="B103" s="1331" t="s">
        <v>957</v>
      </c>
      <c r="C103" s="801"/>
      <c r="D103" s="801"/>
      <c r="E103" s="1022"/>
      <c r="F103" s="1333"/>
      <c r="G103" s="1392"/>
      <c r="H103" s="751"/>
      <c r="I103" s="1392"/>
      <c r="J103" s="1393"/>
      <c r="K103" s="1022"/>
      <c r="L103" s="1022"/>
      <c r="M103" s="1328"/>
    </row>
    <row r="104" spans="1:18" s="886" customFormat="1" ht="24" customHeight="1">
      <c r="A104" s="1330"/>
      <c r="B104" s="1331" t="s">
        <v>958</v>
      </c>
      <c r="C104" s="801"/>
      <c r="D104" s="801"/>
      <c r="E104" s="1022"/>
      <c r="F104" s="1333"/>
      <c r="G104" s="1392"/>
      <c r="H104" s="751"/>
      <c r="I104" s="1392"/>
      <c r="J104" s="1393"/>
      <c r="K104" s="1022"/>
      <c r="L104" s="1022"/>
      <c r="M104" s="1342"/>
    </row>
    <row r="105" spans="1:18" s="1329" customFormat="1" ht="24" customHeight="1">
      <c r="A105" s="1334"/>
      <c r="B105" s="1335"/>
      <c r="C105" s="890"/>
      <c r="D105" s="890"/>
      <c r="E105" s="1080"/>
      <c r="F105" s="1338"/>
      <c r="G105" s="1398"/>
      <c r="H105" s="891"/>
      <c r="I105" s="1398"/>
      <c r="J105" s="1419"/>
      <c r="K105" s="1337"/>
      <c r="L105" s="1080"/>
      <c r="M105" s="1328"/>
    </row>
    <row r="106" spans="1:18" s="714" customFormat="1" ht="30" customHeight="1">
      <c r="A106" s="1166"/>
      <c r="B106" s="2475" t="str">
        <f>"รวมราคารายการที่ "&amp;A83</f>
        <v>รวมราคารายการที่ 7.4</v>
      </c>
      <c r="C106" s="2476"/>
      <c r="D106" s="2476"/>
      <c r="E106" s="1167"/>
      <c r="F106" s="1381"/>
      <c r="G106" s="1168"/>
      <c r="H106" s="1169">
        <f>SUM(H84:H105)</f>
        <v>2268676</v>
      </c>
      <c r="I106" s="1170"/>
      <c r="J106" s="1382">
        <f>SUM(J84:J105)</f>
        <v>657670</v>
      </c>
      <c r="K106" s="1171">
        <f>SUM(K84:K105)</f>
        <v>2926346</v>
      </c>
      <c r="L106" s="1171"/>
      <c r="M106" s="1322"/>
    </row>
    <row r="107" spans="1:18" s="1329" customFormat="1" ht="24" customHeight="1">
      <c r="A107" s="1405">
        <v>7.5</v>
      </c>
      <c r="B107" s="1326" t="s">
        <v>1921</v>
      </c>
      <c r="C107" s="1347"/>
      <c r="D107" s="901"/>
      <c r="E107" s="1030"/>
      <c r="F107" s="1348"/>
      <c r="G107" s="1406"/>
      <c r="H107" s="905"/>
      <c r="I107" s="1406"/>
      <c r="J107" s="1407"/>
      <c r="K107" s="1030"/>
      <c r="L107" s="1030"/>
      <c r="M107" s="1328"/>
      <c r="P107" s="1404"/>
    </row>
    <row r="108" spans="1:18" s="1329" customFormat="1" ht="24" customHeight="1">
      <c r="A108" s="1330" t="s">
        <v>1949</v>
      </c>
      <c r="B108" s="1331" t="s">
        <v>1923</v>
      </c>
      <c r="C108" s="1349"/>
      <c r="D108" s="801"/>
      <c r="E108" s="966"/>
      <c r="F108" s="1249"/>
      <c r="G108" s="1394"/>
      <c r="H108" s="864"/>
      <c r="I108" s="1394"/>
      <c r="J108" s="1395"/>
      <c r="K108" s="966"/>
      <c r="L108" s="966"/>
      <c r="M108" s="1328"/>
      <c r="P108" s="1404"/>
    </row>
    <row r="109" spans="1:18" s="1329" customFormat="1" ht="24" customHeight="1">
      <c r="A109" s="1330"/>
      <c r="B109" s="1331" t="s">
        <v>1822</v>
      </c>
      <c r="C109" s="1349"/>
      <c r="D109" s="890"/>
      <c r="E109" s="1019">
        <f>E96</f>
        <v>50</v>
      </c>
      <c r="F109" s="1348" t="s">
        <v>438</v>
      </c>
      <c r="G109" s="1257">
        <v>69</v>
      </c>
      <c r="H109" s="796">
        <f t="shared" ref="H109:H125" si="32">ROUND(E109*G109,)</f>
        <v>3450</v>
      </c>
      <c r="I109" s="849">
        <f>ROUND(20*1*1.3,)</f>
        <v>26</v>
      </c>
      <c r="J109" s="1476">
        <f t="shared" ref="J109:J125" si="33">ROUND(E109*I109,)</f>
        <v>1300</v>
      </c>
      <c r="K109" s="1014">
        <f t="shared" ref="K109:K126" si="34">H109+J109</f>
        <v>4750</v>
      </c>
      <c r="L109" s="1030"/>
      <c r="M109" s="1328"/>
    </row>
    <row r="110" spans="1:18" s="1329" customFormat="1" ht="24" customHeight="1">
      <c r="A110" s="1330"/>
      <c r="B110" s="1331" t="s">
        <v>2029</v>
      </c>
      <c r="C110" s="1349"/>
      <c r="D110" s="890"/>
      <c r="E110" s="1019"/>
      <c r="F110" s="1348" t="s">
        <v>438</v>
      </c>
      <c r="G110" s="1257">
        <v>92</v>
      </c>
      <c r="H110" s="796">
        <f t="shared" si="32"/>
        <v>0</v>
      </c>
      <c r="I110" s="849">
        <f>ROUND(20*1.25*1.3,)</f>
        <v>33</v>
      </c>
      <c r="J110" s="1476">
        <f t="shared" si="33"/>
        <v>0</v>
      </c>
      <c r="K110" s="1014">
        <f t="shared" si="34"/>
        <v>0</v>
      </c>
      <c r="L110" s="1030"/>
      <c r="M110" s="1328"/>
    </row>
    <row r="111" spans="1:18" s="1329" customFormat="1" ht="24" customHeight="1">
      <c r="A111" s="1330"/>
      <c r="B111" s="1331"/>
      <c r="C111" s="1349"/>
      <c r="D111" s="890"/>
      <c r="E111" s="1019"/>
      <c r="F111" s="1348"/>
      <c r="G111" s="1257"/>
      <c r="H111" s="854"/>
      <c r="I111" s="1477"/>
      <c r="J111" s="1478"/>
      <c r="K111" s="1007"/>
      <c r="L111" s="1030"/>
      <c r="M111" s="1328"/>
    </row>
    <row r="112" spans="1:18" s="1329" customFormat="1" ht="24" customHeight="1">
      <c r="A112" s="1330" t="s">
        <v>1974</v>
      </c>
      <c r="B112" s="1331" t="s">
        <v>2031</v>
      </c>
      <c r="C112" s="1349"/>
      <c r="D112" s="890"/>
      <c r="E112" s="966"/>
      <c r="F112" s="1348"/>
      <c r="G112" s="1394"/>
      <c r="H112" s="905"/>
      <c r="I112" s="1406"/>
      <c r="J112" s="1407"/>
      <c r="K112" s="1030"/>
      <c r="L112" s="1030"/>
      <c r="M112" s="1328"/>
    </row>
    <row r="113" spans="1:13" s="1329" customFormat="1" ht="24" customHeight="1">
      <c r="A113" s="1330"/>
      <c r="B113" s="1331" t="s">
        <v>2028</v>
      </c>
      <c r="C113" s="1349"/>
      <c r="D113" s="890"/>
      <c r="E113" s="1019">
        <f>E85</f>
        <v>173</v>
      </c>
      <c r="F113" s="1348" t="s">
        <v>438</v>
      </c>
      <c r="G113" s="1479">
        <v>69</v>
      </c>
      <c r="H113" s="796">
        <f t="shared" si="32"/>
        <v>11937</v>
      </c>
      <c r="I113" s="1480">
        <f>ROUND(20*0.75*1.3,)</f>
        <v>20</v>
      </c>
      <c r="J113" s="1476">
        <f t="shared" si="33"/>
        <v>3460</v>
      </c>
      <c r="K113" s="1014">
        <f t="shared" si="34"/>
        <v>15397</v>
      </c>
      <c r="L113" s="1030"/>
      <c r="M113" s="1328"/>
    </row>
    <row r="114" spans="1:13" s="1329" customFormat="1" ht="24" customHeight="1">
      <c r="A114" s="1330"/>
      <c r="B114" s="1331" t="s">
        <v>1822</v>
      </c>
      <c r="C114" s="1349"/>
      <c r="D114" s="801"/>
      <c r="E114" s="1019">
        <f>E86</f>
        <v>184</v>
      </c>
      <c r="F114" s="1249" t="s">
        <v>438</v>
      </c>
      <c r="G114" s="1257">
        <v>85</v>
      </c>
      <c r="H114" s="796">
        <f t="shared" si="32"/>
        <v>15640</v>
      </c>
      <c r="I114" s="849">
        <f>ROUND(20*1*1.3,)</f>
        <v>26</v>
      </c>
      <c r="J114" s="1476">
        <f t="shared" si="33"/>
        <v>4784</v>
      </c>
      <c r="K114" s="1014">
        <f t="shared" si="34"/>
        <v>20424</v>
      </c>
      <c r="L114" s="1030"/>
      <c r="M114" s="1328"/>
    </row>
    <row r="115" spans="1:13" s="1329" customFormat="1" ht="24" customHeight="1">
      <c r="A115" s="1330" t="s">
        <v>2112</v>
      </c>
      <c r="B115" s="1331" t="s">
        <v>2113</v>
      </c>
      <c r="C115" s="1349"/>
      <c r="D115" s="890"/>
      <c r="E115" s="1019"/>
      <c r="F115" s="1348"/>
      <c r="G115" s="1394"/>
      <c r="H115" s="905"/>
      <c r="I115" s="1406"/>
      <c r="J115" s="1407"/>
      <c r="K115" s="1030"/>
      <c r="L115" s="1030"/>
      <c r="M115" s="1328"/>
    </row>
    <row r="116" spans="1:13" s="1329" customFormat="1" ht="24" customHeight="1">
      <c r="A116" s="1330"/>
      <c r="B116" s="1331" t="s">
        <v>1186</v>
      </c>
      <c r="C116" s="1349"/>
      <c r="D116" s="801"/>
      <c r="E116" s="1019"/>
      <c r="F116" s="1249" t="s">
        <v>438</v>
      </c>
      <c r="G116" s="1394">
        <v>108</v>
      </c>
      <c r="H116" s="796">
        <f t="shared" si="32"/>
        <v>0</v>
      </c>
      <c r="I116" s="1406">
        <v>33</v>
      </c>
      <c r="J116" s="1476">
        <f t="shared" si="33"/>
        <v>0</v>
      </c>
      <c r="K116" s="1014">
        <f t="shared" si="34"/>
        <v>0</v>
      </c>
      <c r="L116" s="1030"/>
      <c r="M116" s="1328"/>
    </row>
    <row r="117" spans="1:13" s="1329" customFormat="1" ht="24" customHeight="1">
      <c r="A117" s="1481"/>
      <c r="B117" s="1331" t="s">
        <v>1187</v>
      </c>
      <c r="C117" s="801"/>
      <c r="D117" s="801"/>
      <c r="E117" s="1019"/>
      <c r="F117" s="1348" t="s">
        <v>438</v>
      </c>
      <c r="G117" s="1394">
        <v>164</v>
      </c>
      <c r="H117" s="796">
        <f t="shared" si="32"/>
        <v>0</v>
      </c>
      <c r="I117" s="1406">
        <v>39</v>
      </c>
      <c r="J117" s="1476">
        <f t="shared" si="33"/>
        <v>0</v>
      </c>
      <c r="K117" s="1014">
        <f t="shared" si="34"/>
        <v>0</v>
      </c>
      <c r="L117" s="1019"/>
      <c r="M117" s="1328"/>
    </row>
    <row r="118" spans="1:13" s="1329" customFormat="1" ht="24" customHeight="1">
      <c r="A118" s="1481"/>
      <c r="B118" s="1331" t="s">
        <v>1188</v>
      </c>
      <c r="C118" s="801"/>
      <c r="D118" s="801"/>
      <c r="E118" s="1019"/>
      <c r="F118" s="1348" t="s">
        <v>438</v>
      </c>
      <c r="G118" s="1394">
        <v>200</v>
      </c>
      <c r="H118" s="796">
        <f t="shared" si="32"/>
        <v>0</v>
      </c>
      <c r="I118" s="1406">
        <v>52</v>
      </c>
      <c r="J118" s="1476">
        <f t="shared" si="33"/>
        <v>0</v>
      </c>
      <c r="K118" s="1014">
        <f t="shared" si="34"/>
        <v>0</v>
      </c>
      <c r="L118" s="1019"/>
      <c r="M118" s="1328"/>
    </row>
    <row r="119" spans="1:13" s="1329" customFormat="1" ht="24" customHeight="1">
      <c r="A119" s="1481"/>
      <c r="B119" s="1331" t="s">
        <v>1189</v>
      </c>
      <c r="C119" s="801"/>
      <c r="D119" s="801"/>
      <c r="E119" s="1019"/>
      <c r="F119" s="1348" t="s">
        <v>438</v>
      </c>
      <c r="G119" s="1394">
        <v>256</v>
      </c>
      <c r="H119" s="796">
        <f t="shared" si="32"/>
        <v>0</v>
      </c>
      <c r="I119" s="1406">
        <v>65</v>
      </c>
      <c r="J119" s="1476">
        <f t="shared" si="33"/>
        <v>0</v>
      </c>
      <c r="K119" s="1014">
        <f t="shared" si="34"/>
        <v>0</v>
      </c>
      <c r="L119" s="1019"/>
      <c r="M119" s="1328"/>
    </row>
    <row r="120" spans="1:13" s="1329" customFormat="1" ht="24" customHeight="1">
      <c r="A120" s="1481"/>
      <c r="B120" s="1331" t="s">
        <v>1190</v>
      </c>
      <c r="C120" s="801"/>
      <c r="D120" s="801"/>
      <c r="E120" s="1019"/>
      <c r="F120" s="1348" t="s">
        <v>438</v>
      </c>
      <c r="G120" s="1394">
        <v>302</v>
      </c>
      <c r="H120" s="796">
        <f t="shared" si="32"/>
        <v>0</v>
      </c>
      <c r="I120" s="1406">
        <v>78</v>
      </c>
      <c r="J120" s="1476">
        <f t="shared" si="33"/>
        <v>0</v>
      </c>
      <c r="K120" s="1014">
        <f t="shared" si="34"/>
        <v>0</v>
      </c>
      <c r="L120" s="1019"/>
      <c r="M120" s="1328"/>
    </row>
    <row r="121" spans="1:13" s="1329" customFormat="1" ht="24" customHeight="1">
      <c r="A121" s="1481"/>
      <c r="B121" s="1331" t="s">
        <v>951</v>
      </c>
      <c r="C121" s="801"/>
      <c r="D121" s="801"/>
      <c r="E121" s="1019"/>
      <c r="F121" s="1348" t="s">
        <v>438</v>
      </c>
      <c r="G121" s="1394">
        <v>367</v>
      </c>
      <c r="H121" s="796">
        <f t="shared" si="32"/>
        <v>0</v>
      </c>
      <c r="I121" s="1406">
        <v>104</v>
      </c>
      <c r="J121" s="1476">
        <f t="shared" si="33"/>
        <v>0</v>
      </c>
      <c r="K121" s="1014">
        <f t="shared" si="34"/>
        <v>0</v>
      </c>
      <c r="L121" s="1019"/>
      <c r="M121" s="1328"/>
    </row>
    <row r="122" spans="1:13" s="1329" customFormat="1" ht="24" customHeight="1">
      <c r="A122" s="1330" t="s">
        <v>2114</v>
      </c>
      <c r="B122" s="1331" t="s">
        <v>1925</v>
      </c>
      <c r="C122" s="1349"/>
      <c r="D122" s="890"/>
      <c r="E122" s="966"/>
      <c r="F122" s="1348"/>
      <c r="G122" s="1394"/>
      <c r="H122" s="905"/>
      <c r="I122" s="1406"/>
      <c r="J122" s="1407"/>
      <c r="K122" s="1030"/>
      <c r="L122" s="1030"/>
      <c r="M122" s="1328"/>
    </row>
    <row r="123" spans="1:13" s="1329" customFormat="1" ht="24" customHeight="1">
      <c r="A123" s="1481"/>
      <c r="B123" s="1331" t="s">
        <v>1814</v>
      </c>
      <c r="C123" s="801"/>
      <c r="D123" s="801"/>
      <c r="E123" s="1019">
        <f>E87</f>
        <v>191</v>
      </c>
      <c r="F123" s="1348" t="s">
        <v>438</v>
      </c>
      <c r="G123" s="1400">
        <v>465</v>
      </c>
      <c r="H123" s="796">
        <f t="shared" si="32"/>
        <v>88815</v>
      </c>
      <c r="I123" s="1400">
        <v>465</v>
      </c>
      <c r="J123" s="1476">
        <f t="shared" si="33"/>
        <v>88815</v>
      </c>
      <c r="K123" s="1014">
        <f t="shared" si="34"/>
        <v>177630</v>
      </c>
      <c r="L123" s="1019"/>
      <c r="M123" s="1328"/>
    </row>
    <row r="124" spans="1:13" s="1329" customFormat="1" ht="24" customHeight="1">
      <c r="A124" s="1330"/>
      <c r="B124" s="1331" t="s">
        <v>2107</v>
      </c>
      <c r="C124" s="1349"/>
      <c r="D124" s="890"/>
      <c r="E124" s="966">
        <f t="shared" ref="E124:E125" si="35">E88</f>
        <v>241</v>
      </c>
      <c r="F124" s="1348" t="s">
        <v>438</v>
      </c>
      <c r="G124" s="1394">
        <v>465</v>
      </c>
      <c r="H124" s="905">
        <f t="shared" si="32"/>
        <v>112065</v>
      </c>
      <c r="I124" s="1406">
        <v>465</v>
      </c>
      <c r="J124" s="1407">
        <f t="shared" si="33"/>
        <v>112065</v>
      </c>
      <c r="K124" s="1030">
        <f t="shared" si="34"/>
        <v>224130</v>
      </c>
      <c r="L124" s="1030"/>
      <c r="M124" s="1328"/>
    </row>
    <row r="125" spans="1:13" s="1329" customFormat="1" ht="24" customHeight="1">
      <c r="A125" s="1481"/>
      <c r="B125" s="1331" t="s">
        <v>2108</v>
      </c>
      <c r="C125" s="801"/>
      <c r="D125" s="801"/>
      <c r="E125" s="1019">
        <f t="shared" si="35"/>
        <v>72</v>
      </c>
      <c r="F125" s="1348" t="s">
        <v>438</v>
      </c>
      <c r="G125" s="1400">
        <v>465</v>
      </c>
      <c r="H125" s="796">
        <f t="shared" si="32"/>
        <v>33480</v>
      </c>
      <c r="I125" s="1400">
        <v>465</v>
      </c>
      <c r="J125" s="1476">
        <f t="shared" si="33"/>
        <v>33480</v>
      </c>
      <c r="K125" s="1014">
        <f t="shared" si="34"/>
        <v>66960</v>
      </c>
      <c r="L125" s="1019"/>
      <c r="M125" s="1328"/>
    </row>
    <row r="126" spans="1:13" s="1329" customFormat="1" ht="24" customHeight="1">
      <c r="A126" s="1330"/>
      <c r="B126" s="1331" t="s">
        <v>957</v>
      </c>
      <c r="C126" s="1349"/>
      <c r="D126" s="890"/>
      <c r="E126" s="966"/>
      <c r="F126" s="1348"/>
      <c r="G126" s="1394"/>
      <c r="H126" s="905"/>
      <c r="I126" s="1406"/>
      <c r="J126" s="1407"/>
      <c r="K126" s="1030">
        <f t="shared" si="34"/>
        <v>0</v>
      </c>
      <c r="L126" s="1030"/>
      <c r="M126" s="1328"/>
    </row>
    <row r="127" spans="1:13" s="1329" customFormat="1" ht="24" customHeight="1">
      <c r="A127" s="1481"/>
      <c r="B127" s="1331"/>
      <c r="C127" s="1349"/>
      <c r="D127" s="890"/>
      <c r="E127" s="1030"/>
      <c r="F127" s="1348"/>
      <c r="G127" s="1406"/>
      <c r="H127" s="905"/>
      <c r="I127" s="1406"/>
      <c r="J127" s="1407"/>
      <c r="K127" s="1030"/>
      <c r="L127" s="1030"/>
      <c r="M127" s="1328"/>
    </row>
    <row r="128" spans="1:13" s="1329" customFormat="1" ht="24" customHeight="1">
      <c r="A128" s="1481"/>
      <c r="B128" s="1331"/>
      <c r="C128" s="801"/>
      <c r="D128" s="801"/>
      <c r="E128" s="1019"/>
      <c r="F128" s="1348"/>
      <c r="G128" s="1400"/>
      <c r="H128" s="796"/>
      <c r="I128" s="1400"/>
      <c r="J128" s="1476"/>
      <c r="K128" s="1014"/>
      <c r="L128" s="1019"/>
      <c r="M128" s="1328"/>
    </row>
    <row r="129" spans="1:16" s="1329" customFormat="1" ht="24" customHeight="1">
      <c r="A129" s="1330"/>
      <c r="B129" s="1331"/>
      <c r="C129" s="1349"/>
      <c r="D129" s="890"/>
      <c r="E129" s="966"/>
      <c r="F129" s="1348"/>
      <c r="G129" s="1394"/>
      <c r="H129" s="905"/>
      <c r="I129" s="1406"/>
      <c r="J129" s="1407"/>
      <c r="K129" s="1030"/>
      <c r="L129" s="1030"/>
      <c r="M129" s="1328"/>
    </row>
    <row r="130" spans="1:16" s="714" customFormat="1" ht="30" customHeight="1">
      <c r="A130" s="1166"/>
      <c r="B130" s="2475" t="str">
        <f>"รวมราคารายการที่ "&amp;A107</f>
        <v>รวมราคารายการที่ 7.5</v>
      </c>
      <c r="C130" s="2476"/>
      <c r="D130" s="2476"/>
      <c r="E130" s="1167"/>
      <c r="F130" s="1381"/>
      <c r="G130" s="1168"/>
      <c r="H130" s="1169">
        <f>SUM(H108:H126)</f>
        <v>265387</v>
      </c>
      <c r="I130" s="1170"/>
      <c r="J130" s="1382">
        <f>SUM(J108:J126)</f>
        <v>243904</v>
      </c>
      <c r="K130" s="1171">
        <f>SUM(K108:K126)</f>
        <v>509291</v>
      </c>
      <c r="L130" s="1171"/>
      <c r="M130" s="1322"/>
    </row>
    <row r="131" spans="1:16" s="1329" customFormat="1" ht="24" customHeight="1">
      <c r="A131" s="1325">
        <v>7.6</v>
      </c>
      <c r="B131" s="1326" t="s">
        <v>1927</v>
      </c>
      <c r="C131" s="1347"/>
      <c r="D131" s="901"/>
      <c r="E131" s="1030"/>
      <c r="F131" s="1348"/>
      <c r="G131" s="1406"/>
      <c r="H131" s="905"/>
      <c r="I131" s="1406"/>
      <c r="J131" s="1407"/>
      <c r="K131" s="1030"/>
      <c r="L131" s="1030"/>
      <c r="M131" s="1328"/>
    </row>
    <row r="132" spans="1:16" s="1329" customFormat="1" ht="24" customHeight="1">
      <c r="A132" s="1330" t="s">
        <v>1960</v>
      </c>
      <c r="B132" s="1331" t="s">
        <v>1929</v>
      </c>
      <c r="C132" s="1349"/>
      <c r="D132" s="801"/>
      <c r="E132" s="966"/>
      <c r="F132" s="1249"/>
      <c r="G132" s="1394"/>
      <c r="H132" s="864"/>
      <c r="I132" s="1394"/>
      <c r="J132" s="1395"/>
      <c r="K132" s="966"/>
      <c r="L132" s="966"/>
      <c r="M132" s="1328"/>
    </row>
    <row r="133" spans="1:16" s="1329" customFormat="1" ht="24" customHeight="1">
      <c r="A133" s="1330"/>
      <c r="B133" s="1331" t="s">
        <v>1184</v>
      </c>
      <c r="C133" s="1349"/>
      <c r="D133" s="801"/>
      <c r="E133" s="966">
        <f>E49*2</f>
        <v>4</v>
      </c>
      <c r="F133" s="1249" t="s">
        <v>240</v>
      </c>
      <c r="G133" s="1408">
        <v>880</v>
      </c>
      <c r="H133" s="864">
        <f t="shared" ref="H133:H137" si="36">ROUND(E133*G133,)</f>
        <v>3520</v>
      </c>
      <c r="I133" s="1394">
        <v>150</v>
      </c>
      <c r="J133" s="1395">
        <f t="shared" ref="J133" si="37">ROUND(E133*I133,)</f>
        <v>600</v>
      </c>
      <c r="K133" s="966">
        <f t="shared" ref="K133" si="38">H133+J133</f>
        <v>4120</v>
      </c>
      <c r="L133" s="2273" t="s">
        <v>2974</v>
      </c>
      <c r="M133" s="1328"/>
    </row>
    <row r="134" spans="1:16" s="1329" customFormat="1" ht="24" customHeight="1">
      <c r="A134" s="1330" t="s">
        <v>1964</v>
      </c>
      <c r="B134" s="1331" t="s">
        <v>1942</v>
      </c>
      <c r="C134" s="1349"/>
      <c r="D134" s="801"/>
      <c r="E134" s="966"/>
      <c r="F134" s="1249"/>
      <c r="G134" s="1394"/>
      <c r="H134" s="864"/>
      <c r="I134" s="1394"/>
      <c r="J134" s="1395"/>
      <c r="K134" s="966"/>
      <c r="L134" s="966"/>
      <c r="M134" s="1328"/>
      <c r="P134" s="1404"/>
    </row>
    <row r="135" spans="1:16" s="1329" customFormat="1" ht="24" customHeight="1">
      <c r="A135" s="1330"/>
      <c r="B135" s="1331" t="s">
        <v>1184</v>
      </c>
      <c r="C135" s="1349"/>
      <c r="D135" s="801"/>
      <c r="E135" s="966"/>
      <c r="F135" s="1249" t="s">
        <v>240</v>
      </c>
      <c r="G135" s="1394">
        <v>1470</v>
      </c>
      <c r="H135" s="864">
        <f t="shared" ref="H135" si="39">ROUND(E135*G135,)</f>
        <v>0</v>
      </c>
      <c r="I135" s="1394">
        <v>200</v>
      </c>
      <c r="J135" s="1395">
        <f t="shared" ref="J135" si="40">ROUND(E135*I135,)</f>
        <v>0</v>
      </c>
      <c r="K135" s="966">
        <f t="shared" ref="K135" si="41">H135+J135</f>
        <v>0</v>
      </c>
      <c r="L135" s="966"/>
      <c r="M135" s="1328"/>
      <c r="P135" s="1404"/>
    </row>
    <row r="136" spans="1:16" s="1329" customFormat="1" ht="24" customHeight="1">
      <c r="A136" s="1330" t="s">
        <v>2033</v>
      </c>
      <c r="B136" s="1331" t="s">
        <v>1940</v>
      </c>
      <c r="C136" s="1349"/>
      <c r="D136" s="801"/>
      <c r="E136" s="966"/>
      <c r="F136" s="1249"/>
      <c r="G136" s="1394"/>
      <c r="H136" s="864"/>
      <c r="I136" s="1394"/>
      <c r="J136" s="1395"/>
      <c r="K136" s="966"/>
      <c r="L136" s="966"/>
      <c r="M136" s="1328"/>
    </row>
    <row r="137" spans="1:16" s="1329" customFormat="1" ht="24" customHeight="1">
      <c r="A137" s="1330"/>
      <c r="B137" s="1331" t="s">
        <v>1184</v>
      </c>
      <c r="C137" s="1349"/>
      <c r="D137" s="801"/>
      <c r="E137" s="966"/>
      <c r="F137" s="1249" t="s">
        <v>240</v>
      </c>
      <c r="G137" s="1394">
        <v>350</v>
      </c>
      <c r="H137" s="864">
        <f t="shared" si="36"/>
        <v>0</v>
      </c>
      <c r="I137" s="1394">
        <v>150</v>
      </c>
      <c r="J137" s="1395">
        <f t="shared" ref="J137" si="42">ROUND(E137*I137,)</f>
        <v>0</v>
      </c>
      <c r="K137" s="966">
        <f t="shared" ref="K137" si="43">H137+J137</f>
        <v>0</v>
      </c>
      <c r="L137" s="966"/>
      <c r="M137" s="1328"/>
    </row>
    <row r="138" spans="1:16" s="1329" customFormat="1" ht="24" customHeight="1">
      <c r="A138" s="1330"/>
      <c r="B138" s="1331" t="s">
        <v>957</v>
      </c>
      <c r="C138" s="1349"/>
      <c r="D138" s="801"/>
      <c r="E138" s="966"/>
      <c r="F138" s="1249"/>
      <c r="G138" s="1394"/>
      <c r="H138" s="864"/>
      <c r="I138" s="1394"/>
      <c r="J138" s="1395"/>
      <c r="K138" s="966"/>
      <c r="L138" s="966"/>
      <c r="M138" s="1328"/>
    </row>
    <row r="139" spans="1:16" s="1329" customFormat="1" ht="24" customHeight="1">
      <c r="A139" s="1330"/>
      <c r="B139" s="1331" t="s">
        <v>958</v>
      </c>
      <c r="C139" s="1349"/>
      <c r="D139" s="801"/>
      <c r="E139" s="966"/>
      <c r="F139" s="1249"/>
      <c r="G139" s="1394"/>
      <c r="H139" s="864"/>
      <c r="I139" s="1394"/>
      <c r="J139" s="1395"/>
      <c r="K139" s="966"/>
      <c r="L139" s="966"/>
      <c r="M139" s="1328"/>
    </row>
    <row r="140" spans="1:16" s="714" customFormat="1" ht="30" customHeight="1">
      <c r="A140" s="1166"/>
      <c r="B140" s="2475" t="str">
        <f>"รวมราคารายการที่ "&amp;A131</f>
        <v>รวมราคารายการที่ 7.6</v>
      </c>
      <c r="C140" s="2476"/>
      <c r="D140" s="2476"/>
      <c r="E140" s="1167"/>
      <c r="F140" s="1381"/>
      <c r="G140" s="1168"/>
      <c r="H140" s="1169">
        <f>SUM(H132:H139)</f>
        <v>3520</v>
      </c>
      <c r="I140" s="1170"/>
      <c r="J140" s="1382">
        <f>SUM(J132:J139)</f>
        <v>600</v>
      </c>
      <c r="K140" s="1171">
        <f>SUM(K132:K139)</f>
        <v>4120</v>
      </c>
      <c r="L140" s="1171"/>
      <c r="M140" s="1322"/>
    </row>
    <row r="141" spans="1:16" s="1329" customFormat="1" ht="24" customHeight="1">
      <c r="A141" s="1325">
        <v>7.7</v>
      </c>
      <c r="B141" s="1326" t="s">
        <v>1948</v>
      </c>
      <c r="C141" s="1347"/>
      <c r="D141" s="901"/>
      <c r="E141" s="1030"/>
      <c r="F141" s="1348"/>
      <c r="G141" s="1406"/>
      <c r="H141" s="905"/>
      <c r="I141" s="1406"/>
      <c r="J141" s="1407"/>
      <c r="K141" s="1030"/>
      <c r="L141" s="1030"/>
      <c r="M141" s="1328"/>
    </row>
    <row r="142" spans="1:16" s="1329" customFormat="1" ht="24" customHeight="1">
      <c r="A142" s="1330" t="s">
        <v>1969</v>
      </c>
      <c r="B142" s="1331" t="s">
        <v>2034</v>
      </c>
      <c r="C142" s="1349"/>
      <c r="D142" s="801"/>
      <c r="E142" s="966"/>
      <c r="F142" s="1249"/>
      <c r="G142" s="1394"/>
      <c r="H142" s="864"/>
      <c r="I142" s="1394"/>
      <c r="J142" s="1395"/>
      <c r="K142" s="966"/>
      <c r="L142" s="966"/>
      <c r="M142" s="1328"/>
    </row>
    <row r="143" spans="1:16" s="1329" customFormat="1" ht="24" customHeight="1">
      <c r="A143" s="1330"/>
      <c r="B143" s="1331" t="s">
        <v>2035</v>
      </c>
      <c r="C143" s="1349"/>
      <c r="D143" s="801"/>
      <c r="E143" s="966">
        <v>26</v>
      </c>
      <c r="F143" s="1249" t="s">
        <v>1952</v>
      </c>
      <c r="G143" s="1406">
        <v>218</v>
      </c>
      <c r="H143" s="864">
        <f t="shared" ref="H143:H149" si="44">ROUND(E143*G143,)</f>
        <v>5668</v>
      </c>
      <c r="I143" s="1406">
        <v>194</v>
      </c>
      <c r="J143" s="1395">
        <f t="shared" ref="J143:J149" si="45">ROUND(E143*I143,)</f>
        <v>5044</v>
      </c>
      <c r="K143" s="966">
        <f t="shared" ref="K143:K149" si="46">H143+J143</f>
        <v>10712</v>
      </c>
      <c r="L143" s="966"/>
      <c r="M143" s="1328"/>
    </row>
    <row r="144" spans="1:16" s="1329" customFormat="1" ht="24" customHeight="1">
      <c r="A144" s="1330"/>
      <c r="B144" s="1331" t="s">
        <v>2036</v>
      </c>
      <c r="C144" s="1349"/>
      <c r="D144" s="801"/>
      <c r="E144" s="966">
        <v>4</v>
      </c>
      <c r="F144" s="1249" t="s">
        <v>1952</v>
      </c>
      <c r="G144" s="1406">
        <v>263</v>
      </c>
      <c r="H144" s="864">
        <f t="shared" si="44"/>
        <v>1052</v>
      </c>
      <c r="I144" s="1406">
        <v>259</v>
      </c>
      <c r="J144" s="1395">
        <f t="shared" si="45"/>
        <v>1036</v>
      </c>
      <c r="K144" s="966">
        <f t="shared" si="46"/>
        <v>2088</v>
      </c>
      <c r="L144" s="966"/>
      <c r="M144" s="1328"/>
    </row>
    <row r="145" spans="1:18" s="1329" customFormat="1" ht="24" customHeight="1">
      <c r="A145" s="1330"/>
      <c r="B145" s="1331" t="s">
        <v>1951</v>
      </c>
      <c r="C145" s="1349"/>
      <c r="D145" s="801"/>
      <c r="E145" s="966">
        <v>104</v>
      </c>
      <c r="F145" s="1249" t="s">
        <v>1952</v>
      </c>
      <c r="G145" s="1406">
        <v>314</v>
      </c>
      <c r="H145" s="864">
        <f t="shared" si="44"/>
        <v>32656</v>
      </c>
      <c r="I145" s="1406">
        <v>269</v>
      </c>
      <c r="J145" s="1395">
        <f t="shared" si="45"/>
        <v>27976</v>
      </c>
      <c r="K145" s="966">
        <f t="shared" si="46"/>
        <v>60632</v>
      </c>
      <c r="L145" s="966"/>
      <c r="M145" s="1328"/>
    </row>
    <row r="146" spans="1:18" s="1329" customFormat="1" ht="24" customHeight="1">
      <c r="A146" s="1330"/>
      <c r="B146" s="1331" t="s">
        <v>1953</v>
      </c>
      <c r="C146" s="1349"/>
      <c r="D146" s="801"/>
      <c r="E146" s="966">
        <v>482</v>
      </c>
      <c r="F146" s="1249" t="s">
        <v>1952</v>
      </c>
      <c r="G146" s="1406">
        <v>381</v>
      </c>
      <c r="H146" s="864">
        <f t="shared" si="44"/>
        <v>183642</v>
      </c>
      <c r="I146" s="1406">
        <v>323</v>
      </c>
      <c r="J146" s="1395">
        <f t="shared" si="45"/>
        <v>155686</v>
      </c>
      <c r="K146" s="966">
        <f t="shared" si="46"/>
        <v>339328</v>
      </c>
      <c r="L146" s="966"/>
      <c r="M146" s="1328"/>
    </row>
    <row r="147" spans="1:18" s="1329" customFormat="1" ht="24" customHeight="1">
      <c r="A147" s="1330"/>
      <c r="B147" s="1331" t="s">
        <v>1954</v>
      </c>
      <c r="C147" s="1349"/>
      <c r="D147" s="801"/>
      <c r="E147" s="966">
        <v>1149</v>
      </c>
      <c r="F147" s="1249" t="s">
        <v>1952</v>
      </c>
      <c r="G147" s="1406">
        <v>443</v>
      </c>
      <c r="H147" s="864">
        <f t="shared" si="44"/>
        <v>509007</v>
      </c>
      <c r="I147" s="1406">
        <v>377</v>
      </c>
      <c r="J147" s="1395">
        <f t="shared" si="45"/>
        <v>433173</v>
      </c>
      <c r="K147" s="966">
        <f t="shared" si="46"/>
        <v>942180</v>
      </c>
      <c r="L147" s="966"/>
      <c r="M147" s="1328"/>
    </row>
    <row r="148" spans="1:18" s="1329" customFormat="1" ht="24" customHeight="1">
      <c r="A148" s="1330"/>
      <c r="B148" s="1331" t="s">
        <v>1645</v>
      </c>
      <c r="C148" s="1349"/>
      <c r="D148" s="801"/>
      <c r="E148" s="966">
        <v>1</v>
      </c>
      <c r="F148" s="1249" t="s">
        <v>948</v>
      </c>
      <c r="G148" s="1406">
        <f>ROUND(SUM(H143:H147)*40%,)</f>
        <v>292810</v>
      </c>
      <c r="H148" s="864">
        <f t="shared" si="44"/>
        <v>292810</v>
      </c>
      <c r="I148" s="1406">
        <f>ROUND(G148*30%,)</f>
        <v>87843</v>
      </c>
      <c r="J148" s="1395">
        <f t="shared" si="45"/>
        <v>87843</v>
      </c>
      <c r="K148" s="966">
        <f t="shared" si="46"/>
        <v>380653</v>
      </c>
      <c r="L148" s="966"/>
      <c r="M148" s="1328"/>
    </row>
    <row r="149" spans="1:18" s="1329" customFormat="1" ht="24" customHeight="1">
      <c r="A149" s="1330"/>
      <c r="B149" s="1331" t="s">
        <v>1646</v>
      </c>
      <c r="C149" s="1349"/>
      <c r="D149" s="801"/>
      <c r="E149" s="966">
        <v>1</v>
      </c>
      <c r="F149" s="1249" t="s">
        <v>948</v>
      </c>
      <c r="G149" s="1406">
        <f>ROUND(SUM(H143:H147)*15%,)</f>
        <v>109804</v>
      </c>
      <c r="H149" s="864">
        <f t="shared" si="44"/>
        <v>109804</v>
      </c>
      <c r="I149" s="1406">
        <f>ROUND(G149*30%,)</f>
        <v>32941</v>
      </c>
      <c r="J149" s="1395">
        <f t="shared" si="45"/>
        <v>32941</v>
      </c>
      <c r="K149" s="966">
        <f t="shared" si="46"/>
        <v>142745</v>
      </c>
      <c r="L149" s="966"/>
      <c r="M149" s="1328"/>
    </row>
    <row r="150" spans="1:18" s="1329" customFormat="1" ht="24" customHeight="1">
      <c r="A150" s="1330" t="s">
        <v>1974</v>
      </c>
      <c r="B150" s="1331" t="s">
        <v>2037</v>
      </c>
      <c r="C150" s="1349"/>
      <c r="D150" s="801"/>
      <c r="E150" s="966"/>
      <c r="F150" s="1249" t="s">
        <v>1952</v>
      </c>
      <c r="G150" s="1394"/>
      <c r="H150" s="864">
        <f>ROUND(E150*G150,)</f>
        <v>0</v>
      </c>
      <c r="I150" s="1394"/>
      <c r="J150" s="1395">
        <f>ROUND(E150*I150,)</f>
        <v>0</v>
      </c>
      <c r="K150" s="966">
        <f>H150+J150</f>
        <v>0</v>
      </c>
      <c r="L150" s="966"/>
      <c r="M150" s="1328"/>
      <c r="N150" s="1404"/>
      <c r="O150" s="1404"/>
      <c r="P150" s="1404"/>
      <c r="Q150" s="1404"/>
      <c r="R150" s="1404"/>
    </row>
    <row r="151" spans="1:18" s="1329" customFormat="1" ht="24" customHeight="1">
      <c r="A151" s="1330"/>
      <c r="B151" s="1331" t="s">
        <v>1645</v>
      </c>
      <c r="C151" s="1349"/>
      <c r="D151" s="801"/>
      <c r="E151" s="966"/>
      <c r="F151" s="1249" t="s">
        <v>948</v>
      </c>
      <c r="G151" s="1394"/>
      <c r="H151" s="864">
        <f t="shared" ref="H151:H152" si="47">ROUND(E151*G151,)</f>
        <v>0</v>
      </c>
      <c r="I151" s="1394"/>
      <c r="J151" s="1395">
        <f t="shared" ref="J151:J152" si="48">ROUND(E151*I151,)</f>
        <v>0</v>
      </c>
      <c r="K151" s="966">
        <f t="shared" ref="K151:K152" si="49">H151+J151</f>
        <v>0</v>
      </c>
      <c r="L151" s="966"/>
      <c r="M151" s="1328"/>
      <c r="N151" s="1404"/>
      <c r="O151" s="1404"/>
      <c r="P151" s="1404"/>
      <c r="Q151" s="1404"/>
      <c r="R151" s="1404"/>
    </row>
    <row r="152" spans="1:18" s="1329" customFormat="1" ht="24" customHeight="1">
      <c r="A152" s="1330"/>
      <c r="B152" s="1331" t="s">
        <v>1646</v>
      </c>
      <c r="C152" s="1349"/>
      <c r="D152" s="801"/>
      <c r="E152" s="966"/>
      <c r="F152" s="1249" t="s">
        <v>948</v>
      </c>
      <c r="G152" s="1394"/>
      <c r="H152" s="864">
        <f t="shared" si="47"/>
        <v>0</v>
      </c>
      <c r="I152" s="1394"/>
      <c r="J152" s="1395">
        <f t="shared" si="48"/>
        <v>0</v>
      </c>
      <c r="K152" s="966">
        <f t="shared" si="49"/>
        <v>0</v>
      </c>
      <c r="L152" s="966"/>
      <c r="M152" s="1328"/>
      <c r="N152" s="1404"/>
      <c r="O152" s="1404"/>
      <c r="P152" s="1404"/>
      <c r="Q152" s="1404"/>
      <c r="R152" s="1404"/>
    </row>
    <row r="153" spans="1:18" s="1329" customFormat="1" ht="24" customHeight="1">
      <c r="A153" s="1355"/>
      <c r="B153" s="1331" t="s">
        <v>957</v>
      </c>
      <c r="C153" s="1349"/>
      <c r="D153" s="801"/>
      <c r="E153" s="966"/>
      <c r="F153" s="1249"/>
      <c r="G153" s="1394"/>
      <c r="H153" s="864"/>
      <c r="I153" s="1394"/>
      <c r="J153" s="1395"/>
      <c r="K153" s="966"/>
      <c r="L153" s="966"/>
      <c r="M153" s="1328"/>
    </row>
    <row r="154" spans="1:18" s="714" customFormat="1" ht="30" customHeight="1">
      <c r="A154" s="1166"/>
      <c r="B154" s="2475" t="str">
        <f>"รวมราคารายการที่ "&amp;A141</f>
        <v>รวมราคารายการที่ 7.7</v>
      </c>
      <c r="C154" s="2476"/>
      <c r="D154" s="2476"/>
      <c r="E154" s="1167"/>
      <c r="F154" s="1381"/>
      <c r="G154" s="1168"/>
      <c r="H154" s="1169">
        <f>SUM(H141:H153)</f>
        <v>1134639</v>
      </c>
      <c r="I154" s="1170"/>
      <c r="J154" s="1382">
        <f>SUM(J141:J153)</f>
        <v>743699</v>
      </c>
      <c r="K154" s="1171">
        <f>SUM(K141:K153)</f>
        <v>1878338</v>
      </c>
      <c r="L154" s="1171"/>
      <c r="M154" s="1322"/>
    </row>
    <row r="155" spans="1:18" s="1329" customFormat="1" ht="24" customHeight="1">
      <c r="A155" s="1325">
        <v>7.8</v>
      </c>
      <c r="B155" s="1326" t="s">
        <v>1959</v>
      </c>
      <c r="C155" s="1347"/>
      <c r="D155" s="901"/>
      <c r="E155" s="1030"/>
      <c r="F155" s="1348"/>
      <c r="G155" s="1406"/>
      <c r="H155" s="905"/>
      <c r="I155" s="1406"/>
      <c r="J155" s="1407"/>
      <c r="K155" s="1030"/>
      <c r="L155" s="1030"/>
      <c r="M155" s="1328"/>
    </row>
    <row r="156" spans="1:18" s="1329" customFormat="1" ht="24" customHeight="1">
      <c r="A156" s="1330" t="s">
        <v>1979</v>
      </c>
      <c r="B156" s="1331" t="s">
        <v>1961</v>
      </c>
      <c r="C156" s="1349"/>
      <c r="D156" s="801"/>
      <c r="E156" s="966"/>
      <c r="F156" s="1249"/>
      <c r="G156" s="1394"/>
      <c r="H156" s="864"/>
      <c r="I156" s="1394"/>
      <c r="J156" s="1395"/>
      <c r="K156" s="966"/>
      <c r="L156" s="966"/>
      <c r="M156" s="1328"/>
    </row>
    <row r="157" spans="1:18" s="1329" customFormat="1" ht="24" customHeight="1">
      <c r="A157" s="1038"/>
      <c r="B157" s="1127" t="s">
        <v>1962</v>
      </c>
      <c r="C157" s="1233"/>
      <c r="D157" s="809"/>
      <c r="E157" s="1345"/>
      <c r="F157" s="874" t="s">
        <v>1952</v>
      </c>
      <c r="G157" s="1257">
        <v>148</v>
      </c>
      <c r="H157" s="854">
        <f t="shared" ref="H157:H160" si="50">ROUND(E157*G157,)</f>
        <v>0</v>
      </c>
      <c r="I157" s="1477">
        <v>45</v>
      </c>
      <c r="J157" s="1476">
        <f t="shared" ref="J157:J160" si="51">ROUND(E157*I157,)</f>
        <v>0</v>
      </c>
      <c r="K157" s="1014">
        <f t="shared" ref="K157:K160" si="52">H157+J157</f>
        <v>0</v>
      </c>
      <c r="L157" s="1007"/>
      <c r="M157" s="1328"/>
    </row>
    <row r="158" spans="1:18" s="1329" customFormat="1" ht="24" customHeight="1">
      <c r="A158" s="1038"/>
      <c r="B158" s="1127" t="s">
        <v>2115</v>
      </c>
      <c r="C158" s="1233"/>
      <c r="D158" s="809"/>
      <c r="E158" s="1345"/>
      <c r="F158" s="874" t="s">
        <v>1952</v>
      </c>
      <c r="G158" s="1257">
        <v>212</v>
      </c>
      <c r="H158" s="854">
        <f t="shared" si="50"/>
        <v>0</v>
      </c>
      <c r="I158" s="1477">
        <v>45</v>
      </c>
      <c r="J158" s="1476">
        <f t="shared" si="51"/>
        <v>0</v>
      </c>
      <c r="K158" s="1014">
        <f t="shared" si="52"/>
        <v>0</v>
      </c>
      <c r="L158" s="1007"/>
      <c r="M158" s="1328"/>
    </row>
    <row r="159" spans="1:18" s="1329" customFormat="1" ht="24" customHeight="1">
      <c r="A159" s="1038"/>
      <c r="B159" s="1127" t="s">
        <v>2116</v>
      </c>
      <c r="C159" s="1233"/>
      <c r="D159" s="809"/>
      <c r="E159" s="1345"/>
      <c r="F159" s="874" t="s">
        <v>1952</v>
      </c>
      <c r="G159" s="1257">
        <v>454</v>
      </c>
      <c r="H159" s="854">
        <f t="shared" si="50"/>
        <v>0</v>
      </c>
      <c r="I159" s="1477">
        <f>G159*0.3</f>
        <v>136.19999999999999</v>
      </c>
      <c r="J159" s="1476">
        <f t="shared" si="51"/>
        <v>0</v>
      </c>
      <c r="K159" s="1014">
        <f t="shared" si="52"/>
        <v>0</v>
      </c>
      <c r="L159" s="1007"/>
      <c r="M159" s="1328"/>
    </row>
    <row r="160" spans="1:18" s="1329" customFormat="1" ht="24" customHeight="1">
      <c r="A160" s="1330" t="s">
        <v>2073</v>
      </c>
      <c r="B160" s="1331" t="s">
        <v>1965</v>
      </c>
      <c r="C160" s="1349"/>
      <c r="D160" s="890"/>
      <c r="E160" s="966"/>
      <c r="F160" s="1348" t="s">
        <v>948</v>
      </c>
      <c r="G160" s="1394">
        <f>E157*40</f>
        <v>0</v>
      </c>
      <c r="H160" s="854">
        <f t="shared" si="50"/>
        <v>0</v>
      </c>
      <c r="I160" s="1406">
        <f>E157*15</f>
        <v>0</v>
      </c>
      <c r="J160" s="1476">
        <f t="shared" si="51"/>
        <v>0</v>
      </c>
      <c r="K160" s="1014">
        <f t="shared" si="52"/>
        <v>0</v>
      </c>
      <c r="L160" s="1030"/>
      <c r="M160" s="1328"/>
    </row>
    <row r="161" spans="1:24" s="1329" customFormat="1" ht="24" customHeight="1">
      <c r="A161" s="1355"/>
      <c r="B161" s="1331" t="s">
        <v>957</v>
      </c>
      <c r="C161" s="1349"/>
      <c r="D161" s="890"/>
      <c r="E161" s="966"/>
      <c r="F161" s="1348"/>
      <c r="G161" s="1394"/>
      <c r="H161" s="905"/>
      <c r="I161" s="1406"/>
      <c r="J161" s="1407"/>
      <c r="K161" s="1030"/>
      <c r="L161" s="1030"/>
      <c r="M161" s="1328"/>
    </row>
    <row r="162" spans="1:24" s="1329" customFormat="1" ht="24" customHeight="1">
      <c r="A162" s="1417"/>
      <c r="B162" s="1335"/>
      <c r="C162" s="1352"/>
      <c r="D162" s="890"/>
      <c r="E162" s="1337"/>
      <c r="F162" s="1353"/>
      <c r="G162" s="1418"/>
      <c r="H162" s="891"/>
      <c r="I162" s="1418"/>
      <c r="J162" s="1419"/>
      <c r="K162" s="1337"/>
      <c r="L162" s="1337"/>
      <c r="M162" s="1328"/>
    </row>
    <row r="163" spans="1:24" s="714" customFormat="1" ht="30" customHeight="1">
      <c r="A163" s="1166"/>
      <c r="B163" s="2475" t="str">
        <f>"รวมราคารายการที่ "&amp;A155</f>
        <v>รวมราคารายการที่ 7.8</v>
      </c>
      <c r="C163" s="2476"/>
      <c r="D163" s="2476"/>
      <c r="E163" s="1167"/>
      <c r="F163" s="1381"/>
      <c r="G163" s="1168"/>
      <c r="H163" s="1169">
        <f>SUM(H156:H162)</f>
        <v>0</v>
      </c>
      <c r="I163" s="1170"/>
      <c r="J163" s="1382">
        <f>SUM(J156:J162)</f>
        <v>0</v>
      </c>
      <c r="K163" s="1171">
        <f>SUM(K156:K162)</f>
        <v>0</v>
      </c>
      <c r="L163" s="1171"/>
      <c r="M163" s="1322"/>
    </row>
    <row r="164" spans="1:24" s="1329" customFormat="1" ht="24" customHeight="1">
      <c r="A164" s="1325">
        <v>7.9</v>
      </c>
      <c r="B164" s="1326" t="s">
        <v>1968</v>
      </c>
      <c r="C164" s="1347"/>
      <c r="D164" s="901"/>
      <c r="E164" s="1030"/>
      <c r="F164" s="1348"/>
      <c r="G164" s="1406"/>
      <c r="H164" s="905"/>
      <c r="I164" s="1406"/>
      <c r="J164" s="1407"/>
      <c r="K164" s="1030"/>
      <c r="L164" s="1030"/>
      <c r="M164" s="1328"/>
    </row>
    <row r="165" spans="1:24" s="1329" customFormat="1" ht="24" customHeight="1">
      <c r="A165" s="1330" t="s">
        <v>2040</v>
      </c>
      <c r="B165" s="1331" t="s">
        <v>2041</v>
      </c>
      <c r="C165" s="1349"/>
      <c r="D165" s="801"/>
      <c r="E165" s="966"/>
      <c r="F165" s="1249"/>
      <c r="G165" s="1394"/>
      <c r="H165" s="864"/>
      <c r="I165" s="1394"/>
      <c r="J165" s="1395"/>
      <c r="K165" s="966"/>
      <c r="L165" s="966"/>
      <c r="M165" s="1328"/>
      <c r="P165" s="1404"/>
    </row>
    <row r="166" spans="1:24" s="1329" customFormat="1" ht="24" customHeight="1">
      <c r="A166" s="1330"/>
      <c r="B166" s="1331" t="str">
        <f t="shared" ref="B166:B175" si="53">"  -  "&amp;M166&amp;" มม."</f>
        <v xml:space="preserve">  -  650x650 มม.</v>
      </c>
      <c r="C166" s="1349"/>
      <c r="D166" s="801"/>
      <c r="E166" s="1350">
        <f t="shared" ref="E166:E170" si="54">N166</f>
        <v>4</v>
      </c>
      <c r="F166" s="1249" t="str">
        <f t="shared" ref="F166:F172" si="55">IF(E166="","","ชุด")</f>
        <v>ชุด</v>
      </c>
      <c r="G166" s="849">
        <v>1300</v>
      </c>
      <c r="H166" s="796">
        <f t="shared" ref="H166:H172" si="56">ROUND(E166*G166,)</f>
        <v>5200</v>
      </c>
      <c r="I166" s="849">
        <v>100</v>
      </c>
      <c r="J166" s="1395">
        <f t="shared" ref="J166:J170" si="57">ROUND(E166*I166,)</f>
        <v>400</v>
      </c>
      <c r="K166" s="966">
        <f t="shared" ref="K166:K170" si="58">H166+J166</f>
        <v>5600</v>
      </c>
      <c r="L166" s="966"/>
      <c r="M166" s="1420" t="s">
        <v>2045</v>
      </c>
      <c r="N166">
        <v>4</v>
      </c>
      <c r="O166" s="1404"/>
      <c r="P166" s="1404"/>
    </row>
    <row r="167" spans="1:24" s="1329" customFormat="1" ht="24" customHeight="1">
      <c r="A167" s="1330"/>
      <c r="B167" s="1331" t="str">
        <f t="shared" si="53"/>
        <v xml:space="preserve">  -  200x200 มม.</v>
      </c>
      <c r="C167" s="1349"/>
      <c r="D167" s="801"/>
      <c r="E167" s="1350">
        <f t="shared" si="54"/>
        <v>4</v>
      </c>
      <c r="F167" s="1249" t="str">
        <f t="shared" si="55"/>
        <v>ชุด</v>
      </c>
      <c r="G167" s="849">
        <v>500</v>
      </c>
      <c r="H167" s="796">
        <f t="shared" si="56"/>
        <v>2000</v>
      </c>
      <c r="I167" s="849">
        <v>100</v>
      </c>
      <c r="J167" s="1395">
        <f t="shared" si="57"/>
        <v>400</v>
      </c>
      <c r="K167" s="966">
        <f t="shared" si="58"/>
        <v>2400</v>
      </c>
      <c r="L167" s="966"/>
      <c r="M167" s="1420" t="s">
        <v>2042</v>
      </c>
      <c r="N167">
        <v>4</v>
      </c>
      <c r="P167" s="1404"/>
    </row>
    <row r="168" spans="1:24" s="1329" customFormat="1" ht="24" customHeight="1">
      <c r="A168" s="1330"/>
      <c r="B168" s="1331" t="str">
        <f t="shared" si="53"/>
        <v xml:space="preserve">  -  500x500 มม.</v>
      </c>
      <c r="C168" s="1349"/>
      <c r="D168" s="801"/>
      <c r="E168" s="1350">
        <f t="shared" si="54"/>
        <v>2</v>
      </c>
      <c r="F168" s="1249" t="str">
        <f t="shared" si="55"/>
        <v>ชุด</v>
      </c>
      <c r="G168" s="849">
        <v>1000</v>
      </c>
      <c r="H168" s="796">
        <f t="shared" si="56"/>
        <v>2000</v>
      </c>
      <c r="I168" s="849">
        <v>100</v>
      </c>
      <c r="J168" s="1395">
        <f t="shared" si="57"/>
        <v>200</v>
      </c>
      <c r="K168" s="966">
        <f t="shared" si="58"/>
        <v>2200</v>
      </c>
      <c r="L168" s="966"/>
      <c r="M168" s="1420" t="s">
        <v>2043</v>
      </c>
      <c r="N168">
        <v>2</v>
      </c>
      <c r="O168" s="1404"/>
      <c r="P168" s="1404"/>
      <c r="T168" s="1404"/>
      <c r="U168" s="1404"/>
      <c r="W168" s="1404"/>
      <c r="X168" s="1404"/>
    </row>
    <row r="169" spans="1:24" s="1329" customFormat="1" ht="24" customHeight="1">
      <c r="A169" s="1330"/>
      <c r="B169" s="1331" t="str">
        <f t="shared" si="53"/>
        <v xml:space="preserve">  -  900x850 มม.</v>
      </c>
      <c r="C169" s="1349"/>
      <c r="D169" s="801"/>
      <c r="E169" s="1350">
        <f t="shared" si="54"/>
        <v>5</v>
      </c>
      <c r="F169" s="1249" t="str">
        <f t="shared" si="55"/>
        <v>ชุด</v>
      </c>
      <c r="G169" s="849">
        <v>1750</v>
      </c>
      <c r="H169" s="796">
        <f t="shared" si="56"/>
        <v>8750</v>
      </c>
      <c r="I169" s="849">
        <v>100</v>
      </c>
      <c r="J169" s="1395">
        <f t="shared" si="57"/>
        <v>500</v>
      </c>
      <c r="K169" s="966">
        <f t="shared" si="58"/>
        <v>9250</v>
      </c>
      <c r="L169" s="966"/>
      <c r="M169" s="1420" t="s">
        <v>2047</v>
      </c>
      <c r="N169">
        <v>5</v>
      </c>
      <c r="O169" s="1404"/>
      <c r="P169" s="1404"/>
      <c r="T169" s="1404"/>
      <c r="U169" s="1404"/>
      <c r="W169" s="1404"/>
      <c r="X169" s="1404"/>
    </row>
    <row r="170" spans="1:24" s="1329" customFormat="1" ht="24" customHeight="1">
      <c r="A170" s="1330"/>
      <c r="B170" s="1331" t="str">
        <f t="shared" si="53"/>
        <v xml:space="preserve">  -  800x350 มม.</v>
      </c>
      <c r="C170" s="1349"/>
      <c r="D170" s="801"/>
      <c r="E170" s="1350">
        <f t="shared" si="54"/>
        <v>2</v>
      </c>
      <c r="F170" s="1249" t="str">
        <f t="shared" si="55"/>
        <v>ชุด</v>
      </c>
      <c r="G170" s="849">
        <v>1150</v>
      </c>
      <c r="H170" s="796">
        <f t="shared" si="56"/>
        <v>2300</v>
      </c>
      <c r="I170" s="849">
        <v>100</v>
      </c>
      <c r="J170" s="1395">
        <f t="shared" si="57"/>
        <v>200</v>
      </c>
      <c r="K170" s="966">
        <f t="shared" si="58"/>
        <v>2500</v>
      </c>
      <c r="L170" s="966"/>
      <c r="M170" s="1420" t="s">
        <v>2046</v>
      </c>
      <c r="N170">
        <v>2</v>
      </c>
      <c r="O170" s="1404"/>
      <c r="P170" s="1404"/>
      <c r="T170" s="1404"/>
      <c r="U170" s="1404"/>
      <c r="W170" s="1404"/>
      <c r="X170" s="1404"/>
    </row>
    <row r="171" spans="1:24" s="1329" customFormat="1" ht="24" customHeight="1">
      <c r="A171" s="1330" t="s">
        <v>2048</v>
      </c>
      <c r="B171" s="1331" t="s">
        <v>2049</v>
      </c>
      <c r="C171" s="1349"/>
      <c r="D171" s="801"/>
      <c r="E171" s="1350"/>
      <c r="F171" s="1348"/>
      <c r="G171" s="849"/>
      <c r="H171" s="796"/>
      <c r="I171" s="849"/>
      <c r="J171" s="1395"/>
      <c r="K171" s="966"/>
      <c r="L171" s="966"/>
      <c r="M171" s="1328"/>
    </row>
    <row r="172" spans="1:24" s="1329" customFormat="1" ht="24" customHeight="1">
      <c r="A172" s="1330"/>
      <c r="B172" s="1331" t="str">
        <f t="shared" si="53"/>
        <v xml:space="preserve">  -  300x200 มม.</v>
      </c>
      <c r="C172" s="1349"/>
      <c r="D172" s="801"/>
      <c r="E172" s="1350">
        <f t="shared" ref="E172" si="59">N172</f>
        <v>8</v>
      </c>
      <c r="F172" s="1249" t="str">
        <f t="shared" si="55"/>
        <v>ชุด</v>
      </c>
      <c r="G172" s="849">
        <v>500</v>
      </c>
      <c r="H172" s="796">
        <f t="shared" si="56"/>
        <v>4000</v>
      </c>
      <c r="I172" s="849">
        <v>100</v>
      </c>
      <c r="J172" s="1395">
        <f t="shared" ref="J172" si="60">ROUND(E172*I172,)</f>
        <v>800</v>
      </c>
      <c r="K172" s="966">
        <f t="shared" ref="K172" si="61">H172+J172</f>
        <v>4800</v>
      </c>
      <c r="L172" s="966"/>
      <c r="M172" s="1420" t="s">
        <v>2050</v>
      </c>
      <c r="N172">
        <v>8</v>
      </c>
    </row>
    <row r="173" spans="1:24" s="1329" customFormat="1" ht="24" customHeight="1">
      <c r="A173" s="1330" t="s">
        <v>2048</v>
      </c>
      <c r="B173" t="s">
        <v>2052</v>
      </c>
      <c r="C173" s="1349"/>
      <c r="D173" s="801"/>
      <c r="E173" s="1350"/>
      <c r="F173" s="1348"/>
      <c r="G173" s="849"/>
      <c r="H173" s="796"/>
      <c r="I173" s="849"/>
      <c r="J173" s="1395"/>
      <c r="K173" s="966"/>
      <c r="L173" s="966"/>
      <c r="M173" s="1328"/>
    </row>
    <row r="174" spans="1:24" s="1329" customFormat="1" ht="24" customHeight="1">
      <c r="A174" s="1330"/>
      <c r="B174" s="1331" t="str">
        <f t="shared" si="53"/>
        <v xml:space="preserve">  -  2200x650 มม.</v>
      </c>
      <c r="C174" s="1349"/>
      <c r="D174" s="801"/>
      <c r="E174" s="1350">
        <f t="shared" ref="E174:E175" si="62">N174</f>
        <v>18</v>
      </c>
      <c r="F174" s="1249" t="str">
        <f t="shared" ref="F174:F175" si="63">IF(E174="","","ชุด")</f>
        <v>ชุด</v>
      </c>
      <c r="G174" s="849">
        <v>10500</v>
      </c>
      <c r="H174" s="796">
        <f t="shared" ref="H174:H175" si="64">ROUND(E174*G174,)</f>
        <v>189000</v>
      </c>
      <c r="I174" s="849">
        <v>500</v>
      </c>
      <c r="J174" s="1395">
        <f t="shared" ref="J174:J175" si="65">ROUND(E174*I174,)</f>
        <v>9000</v>
      </c>
      <c r="K174" s="966">
        <f t="shared" ref="K174:K175" si="66">H174+J174</f>
        <v>198000</v>
      </c>
      <c r="L174" s="966"/>
      <c r="M174" s="1420" t="s">
        <v>2053</v>
      </c>
      <c r="N174">
        <v>18</v>
      </c>
      <c r="O174" s="1404"/>
      <c r="P174" s="1404"/>
      <c r="T174" s="1404"/>
      <c r="U174" s="1404"/>
      <c r="W174" s="1404"/>
      <c r="X174" s="1404"/>
    </row>
    <row r="175" spans="1:24" s="1329" customFormat="1" ht="24" customHeight="1">
      <c r="A175" s="1330"/>
      <c r="B175" s="1331" t="str">
        <f t="shared" si="53"/>
        <v xml:space="preserve">  -  2300x650 มม.</v>
      </c>
      <c r="C175" s="1349"/>
      <c r="D175" s="801"/>
      <c r="E175" s="1350">
        <f t="shared" si="62"/>
        <v>26</v>
      </c>
      <c r="F175" s="1249" t="str">
        <f t="shared" si="63"/>
        <v>ชุด</v>
      </c>
      <c r="G175" s="849">
        <v>10500</v>
      </c>
      <c r="H175" s="796">
        <f t="shared" si="64"/>
        <v>273000</v>
      </c>
      <c r="I175" s="849">
        <v>500</v>
      </c>
      <c r="J175" s="1395">
        <f t="shared" si="65"/>
        <v>13000</v>
      </c>
      <c r="K175" s="966">
        <f t="shared" si="66"/>
        <v>286000</v>
      </c>
      <c r="L175" s="966"/>
      <c r="M175" s="1420" t="s">
        <v>2054</v>
      </c>
      <c r="N175">
        <v>26</v>
      </c>
    </row>
    <row r="176" spans="1:24" s="1329" customFormat="1" ht="24" customHeight="1">
      <c r="A176" s="1330" t="s">
        <v>2048</v>
      </c>
      <c r="B176" s="1331" t="s">
        <v>2055</v>
      </c>
      <c r="C176" s="1349"/>
      <c r="D176" s="801"/>
      <c r="E176" s="1350"/>
      <c r="F176" s="1249"/>
      <c r="G176" s="849"/>
      <c r="H176" s="796"/>
      <c r="I176" s="849"/>
      <c r="J176" s="1395"/>
      <c r="K176" s="966"/>
      <c r="L176" s="966"/>
      <c r="M176" s="1328"/>
    </row>
    <row r="177" spans="1:29" s="1329" customFormat="1" ht="24" customHeight="1">
      <c r="A177" s="1330"/>
      <c r="B177" s="1331" t="str">
        <f t="shared" ref="B177:B186" si="67">"  -  "&amp;M177&amp;" มม."</f>
        <v xml:space="preserve">  -  250x200 มม.</v>
      </c>
      <c r="C177" s="1349"/>
      <c r="D177" s="801"/>
      <c r="E177" s="1350">
        <f t="shared" ref="E177:E186" si="68">N177</f>
        <v>4</v>
      </c>
      <c r="F177" s="1249" t="str">
        <f t="shared" ref="F177:F186" si="69">IF(E177="","","ชุด")</f>
        <v>ชุด</v>
      </c>
      <c r="G177" s="1394">
        <v>1200</v>
      </c>
      <c r="H177" s="864">
        <f t="shared" ref="H177:H186" si="70">ROUND(E177*G177,)</f>
        <v>4800</v>
      </c>
      <c r="I177" s="1394">
        <v>300</v>
      </c>
      <c r="J177" s="1395">
        <f t="shared" ref="J177:J186" si="71">ROUND(E177*I177,)</f>
        <v>1200</v>
      </c>
      <c r="K177" s="966">
        <f t="shared" ref="K177:K186" si="72">H177+J177</f>
        <v>6000</v>
      </c>
      <c r="L177" s="966"/>
      <c r="M177" s="1328" t="s">
        <v>2056</v>
      </c>
      <c r="N177" s="1404">
        <v>4</v>
      </c>
      <c r="O177" s="1404"/>
      <c r="P177" s="1404"/>
      <c r="W177" s="1404"/>
      <c r="X177" s="1404"/>
      <c r="Y177" s="1404"/>
      <c r="Z177" s="1404"/>
      <c r="AB177" s="1404"/>
      <c r="AC177" s="1404"/>
    </row>
    <row r="178" spans="1:29" s="1329" customFormat="1" ht="24" customHeight="1">
      <c r="A178" s="1330"/>
      <c r="B178" s="1331" t="str">
        <f t="shared" si="67"/>
        <v xml:space="preserve">  -  500x500 มม.</v>
      </c>
      <c r="C178" s="1349"/>
      <c r="D178" s="801"/>
      <c r="E178" s="1350">
        <f t="shared" si="68"/>
        <v>2</v>
      </c>
      <c r="F178" s="1249" t="str">
        <f t="shared" si="69"/>
        <v>ชุด</v>
      </c>
      <c r="G178" s="1394">
        <v>2500</v>
      </c>
      <c r="H178" s="864">
        <f t="shared" si="70"/>
        <v>5000</v>
      </c>
      <c r="I178" s="1394">
        <v>300</v>
      </c>
      <c r="J178" s="1395">
        <f t="shared" si="71"/>
        <v>600</v>
      </c>
      <c r="K178" s="966">
        <f t="shared" si="72"/>
        <v>5600</v>
      </c>
      <c r="L178" s="966"/>
      <c r="M178" s="1328" t="s">
        <v>2043</v>
      </c>
      <c r="N178" s="1404">
        <v>2</v>
      </c>
      <c r="O178" s="1404"/>
      <c r="P178" s="1404"/>
      <c r="W178" s="1404"/>
      <c r="X178" s="1404"/>
      <c r="Y178" s="1404"/>
      <c r="Z178" s="1404"/>
      <c r="AB178" s="1404"/>
      <c r="AC178" s="1404"/>
    </row>
    <row r="179" spans="1:29" s="1329" customFormat="1" ht="24" customHeight="1">
      <c r="A179" s="1330"/>
      <c r="B179" s="1331" t="str">
        <f t="shared" si="67"/>
        <v xml:space="preserve">  -  650x650 มม.</v>
      </c>
      <c r="C179" s="1349"/>
      <c r="D179" s="801"/>
      <c r="E179" s="1350">
        <f t="shared" si="68"/>
        <v>4</v>
      </c>
      <c r="F179" s="1249" t="str">
        <f t="shared" si="69"/>
        <v>ชุด</v>
      </c>
      <c r="G179" s="1394">
        <v>2800</v>
      </c>
      <c r="H179" s="864">
        <f t="shared" si="70"/>
        <v>11200</v>
      </c>
      <c r="I179" s="1394">
        <v>300</v>
      </c>
      <c r="J179" s="1395">
        <f t="shared" si="71"/>
        <v>1200</v>
      </c>
      <c r="K179" s="966">
        <f t="shared" si="72"/>
        <v>12400</v>
      </c>
      <c r="L179" s="966"/>
      <c r="M179" s="1328" t="s">
        <v>2045</v>
      </c>
      <c r="N179" s="1404">
        <v>4</v>
      </c>
      <c r="O179" s="1404"/>
      <c r="P179" s="1404"/>
      <c r="W179" s="1404"/>
      <c r="X179" s="1404"/>
      <c r="Y179" s="1404"/>
      <c r="Z179" s="1404"/>
      <c r="AB179" s="1404"/>
      <c r="AC179" s="1404"/>
    </row>
    <row r="180" spans="1:29" s="1329" customFormat="1" ht="24" customHeight="1">
      <c r="A180" s="1330"/>
      <c r="B180" s="1331" t="str">
        <f t="shared" si="67"/>
        <v xml:space="preserve">  -  900x850 มม.</v>
      </c>
      <c r="C180" s="1349"/>
      <c r="D180" s="801"/>
      <c r="E180" s="1350">
        <f t="shared" si="68"/>
        <v>6</v>
      </c>
      <c r="F180" s="1249" t="str">
        <f t="shared" si="69"/>
        <v>ชุด</v>
      </c>
      <c r="G180" s="1394">
        <v>4375</v>
      </c>
      <c r="H180" s="864">
        <f t="shared" si="70"/>
        <v>26250</v>
      </c>
      <c r="I180" s="1394">
        <v>300</v>
      </c>
      <c r="J180" s="1395">
        <f t="shared" si="71"/>
        <v>1800</v>
      </c>
      <c r="K180" s="966">
        <f t="shared" si="72"/>
        <v>28050</v>
      </c>
      <c r="L180" s="966"/>
      <c r="M180" s="1328" t="s">
        <v>2047</v>
      </c>
      <c r="N180" s="1404">
        <v>6</v>
      </c>
      <c r="O180" s="1404"/>
      <c r="P180" s="1404"/>
      <c r="W180" s="1404"/>
      <c r="X180" s="1404"/>
      <c r="Y180" s="1404"/>
      <c r="Z180" s="1404"/>
      <c r="AB180" s="1404"/>
      <c r="AC180" s="1404"/>
    </row>
    <row r="181" spans="1:29" s="1329" customFormat="1" ht="24" customHeight="1">
      <c r="A181" s="1330"/>
      <c r="B181" s="1331" t="str">
        <f t="shared" si="67"/>
        <v xml:space="preserve">  -  1150x1200 มม.</v>
      </c>
      <c r="C181" s="1349"/>
      <c r="D181" s="801"/>
      <c r="E181" s="1350">
        <f t="shared" si="68"/>
        <v>3</v>
      </c>
      <c r="F181" s="1249" t="str">
        <f t="shared" si="69"/>
        <v>ชุด</v>
      </c>
      <c r="G181" s="1394">
        <v>5875</v>
      </c>
      <c r="H181" s="864">
        <f t="shared" si="70"/>
        <v>17625</v>
      </c>
      <c r="I181" s="1394">
        <v>325</v>
      </c>
      <c r="J181" s="1395">
        <f t="shared" si="71"/>
        <v>975</v>
      </c>
      <c r="K181" s="966">
        <f t="shared" si="72"/>
        <v>18600</v>
      </c>
      <c r="L181" s="966"/>
      <c r="M181" s="1328" t="s">
        <v>2117</v>
      </c>
      <c r="N181" s="1404">
        <v>3</v>
      </c>
      <c r="O181" s="1404"/>
      <c r="P181" s="1404"/>
      <c r="W181" s="1404"/>
      <c r="X181" s="1404"/>
      <c r="Y181" s="1404"/>
      <c r="Z181" s="1404"/>
      <c r="AB181" s="1404"/>
      <c r="AC181" s="1404"/>
    </row>
    <row r="182" spans="1:29" s="1329" customFormat="1" ht="24" customHeight="1">
      <c r="A182" s="1330"/>
      <c r="B182" s="1331" t="str">
        <f t="shared" si="67"/>
        <v xml:space="preserve">  -  1700x1300 มม.</v>
      </c>
      <c r="C182" s="1349"/>
      <c r="D182" s="801"/>
      <c r="E182" s="1350">
        <f t="shared" si="68"/>
        <v>1</v>
      </c>
      <c r="F182" s="1249" t="str">
        <f t="shared" si="69"/>
        <v>ชุด</v>
      </c>
      <c r="G182" s="1394">
        <v>7500</v>
      </c>
      <c r="H182" s="864">
        <f t="shared" si="70"/>
        <v>7500</v>
      </c>
      <c r="I182" s="1394">
        <v>325</v>
      </c>
      <c r="J182" s="1395">
        <f t="shared" si="71"/>
        <v>325</v>
      </c>
      <c r="K182" s="966">
        <f t="shared" si="72"/>
        <v>7825</v>
      </c>
      <c r="L182" s="966"/>
      <c r="M182" s="1328" t="s">
        <v>2118</v>
      </c>
      <c r="N182" s="1404">
        <v>1</v>
      </c>
      <c r="O182" s="1404"/>
      <c r="P182" s="1404"/>
      <c r="W182" s="1404"/>
      <c r="X182" s="1404"/>
      <c r="Y182" s="1404"/>
      <c r="Z182" s="1404"/>
      <c r="AB182" s="1404"/>
      <c r="AC182" s="1404"/>
    </row>
    <row r="183" spans="1:29" s="1329" customFormat="1" ht="24" customHeight="1">
      <c r="A183" s="1330"/>
      <c r="B183" s="1331" t="str">
        <f t="shared" si="67"/>
        <v xml:space="preserve">  -  1700x1950 มม.</v>
      </c>
      <c r="C183" s="1349"/>
      <c r="D183" s="801"/>
      <c r="E183" s="1350">
        <f t="shared" si="68"/>
        <v>2</v>
      </c>
      <c r="F183" s="1249" t="str">
        <f t="shared" si="69"/>
        <v>ชุด</v>
      </c>
      <c r="G183" s="1394">
        <v>9125</v>
      </c>
      <c r="H183" s="864">
        <f t="shared" si="70"/>
        <v>18250</v>
      </c>
      <c r="I183" s="1394">
        <v>325</v>
      </c>
      <c r="J183" s="1395">
        <f t="shared" si="71"/>
        <v>650</v>
      </c>
      <c r="K183" s="966">
        <f t="shared" si="72"/>
        <v>18900</v>
      </c>
      <c r="L183" s="966"/>
      <c r="M183" s="1328" t="s">
        <v>2119</v>
      </c>
      <c r="N183" s="1404">
        <v>2</v>
      </c>
      <c r="O183" s="1404"/>
      <c r="P183" s="1404"/>
      <c r="W183" s="1404"/>
      <c r="X183" s="1404"/>
      <c r="Y183" s="1404"/>
      <c r="Z183" s="1404"/>
      <c r="AB183" s="1404"/>
      <c r="AC183" s="1404"/>
    </row>
    <row r="184" spans="1:29" s="1329" customFormat="1" ht="24" customHeight="1">
      <c r="A184" s="1330"/>
      <c r="B184" s="1331" t="str">
        <f t="shared" si="67"/>
        <v xml:space="preserve">  -  2500x650 มม.</v>
      </c>
      <c r="C184" s="1349"/>
      <c r="D184" s="801"/>
      <c r="E184" s="1350">
        <f t="shared" si="68"/>
        <v>2</v>
      </c>
      <c r="F184" s="1249" t="str">
        <f t="shared" si="69"/>
        <v>ชุด</v>
      </c>
      <c r="G184" s="1394">
        <v>7875</v>
      </c>
      <c r="H184" s="864">
        <f t="shared" si="70"/>
        <v>15750</v>
      </c>
      <c r="I184" s="1394">
        <v>325</v>
      </c>
      <c r="J184" s="1395">
        <f t="shared" si="71"/>
        <v>650</v>
      </c>
      <c r="K184" s="966">
        <f t="shared" si="72"/>
        <v>16400</v>
      </c>
      <c r="L184" s="966"/>
      <c r="M184" s="1328" t="s">
        <v>2061</v>
      </c>
      <c r="N184" s="1404">
        <v>2</v>
      </c>
      <c r="O184" s="1404"/>
      <c r="P184" s="1404"/>
      <c r="W184" s="1404"/>
      <c r="X184" s="1404"/>
      <c r="Y184" s="1404"/>
      <c r="Z184" s="1404"/>
      <c r="AB184" s="1404"/>
      <c r="AC184" s="1404"/>
    </row>
    <row r="185" spans="1:29" s="1329" customFormat="1" ht="24" customHeight="1">
      <c r="A185" s="1330"/>
      <c r="B185" s="1331" t="str">
        <f t="shared" si="67"/>
        <v xml:space="preserve">  -  2500x700 มม.</v>
      </c>
      <c r="C185" s="1349"/>
      <c r="D185" s="801"/>
      <c r="E185" s="1350">
        <f t="shared" si="68"/>
        <v>2</v>
      </c>
      <c r="F185" s="1249" t="str">
        <f t="shared" si="69"/>
        <v>ชุด</v>
      </c>
      <c r="G185" s="1394">
        <v>8000</v>
      </c>
      <c r="H185" s="864">
        <f t="shared" si="70"/>
        <v>16000</v>
      </c>
      <c r="I185" s="1394">
        <v>325</v>
      </c>
      <c r="J185" s="1395">
        <f t="shared" si="71"/>
        <v>650</v>
      </c>
      <c r="K185" s="966">
        <f t="shared" si="72"/>
        <v>16650</v>
      </c>
      <c r="L185" s="966"/>
      <c r="M185" s="1328" t="s">
        <v>2120</v>
      </c>
      <c r="N185" s="1404">
        <v>2</v>
      </c>
      <c r="O185" s="1404"/>
      <c r="P185" s="1404"/>
      <c r="W185" s="1404"/>
      <c r="X185" s="1404"/>
      <c r="Y185" s="1404"/>
      <c r="Z185" s="1404"/>
      <c r="AB185" s="1404"/>
      <c r="AC185" s="1404"/>
    </row>
    <row r="186" spans="1:29" s="1329" customFormat="1" ht="24" customHeight="1">
      <c r="A186" s="1330"/>
      <c r="B186" s="1331" t="str">
        <f t="shared" si="67"/>
        <v xml:space="preserve">  -  3000x550 มม.</v>
      </c>
      <c r="C186" s="1349"/>
      <c r="D186" s="801"/>
      <c r="E186" s="1350">
        <f t="shared" si="68"/>
        <v>4</v>
      </c>
      <c r="F186" s="1249" t="str">
        <f t="shared" si="69"/>
        <v>ชุด</v>
      </c>
      <c r="G186" s="1394">
        <v>8875</v>
      </c>
      <c r="H186" s="864">
        <f t="shared" si="70"/>
        <v>35500</v>
      </c>
      <c r="I186" s="1394">
        <v>325</v>
      </c>
      <c r="J186" s="1395">
        <f t="shared" si="71"/>
        <v>1300</v>
      </c>
      <c r="K186" s="966">
        <f t="shared" si="72"/>
        <v>36800</v>
      </c>
      <c r="L186" s="966"/>
      <c r="M186" s="1328" t="s">
        <v>2121</v>
      </c>
      <c r="N186" s="1404">
        <v>4</v>
      </c>
      <c r="O186" s="1404"/>
      <c r="P186" s="1404"/>
      <c r="W186" s="1404"/>
      <c r="X186" s="1404"/>
      <c r="Y186" s="1404"/>
      <c r="Z186" s="1404"/>
      <c r="AB186" s="1404"/>
      <c r="AC186" s="1404"/>
    </row>
    <row r="187" spans="1:29" s="1329" customFormat="1" ht="24" customHeight="1">
      <c r="A187" s="1330" t="s">
        <v>2062</v>
      </c>
      <c r="B187" s="1331" t="s">
        <v>2063</v>
      </c>
      <c r="C187" s="1349"/>
      <c r="D187" s="801"/>
      <c r="E187" s="1350"/>
      <c r="F187" s="1249"/>
      <c r="G187" s="1394"/>
      <c r="H187" s="864"/>
      <c r="I187" s="1394"/>
      <c r="J187" s="1395"/>
      <c r="K187" s="966"/>
      <c r="L187" s="966"/>
      <c r="M187" s="1328"/>
      <c r="N187" s="1404"/>
      <c r="O187" s="1404"/>
      <c r="P187" s="1404"/>
      <c r="W187" s="1404"/>
      <c r="X187" s="1404"/>
      <c r="Y187" s="1404"/>
      <c r="Z187" s="1404"/>
      <c r="AB187" s="1404"/>
      <c r="AC187" s="1404"/>
    </row>
    <row r="188" spans="1:29" s="1329" customFormat="1" ht="24" customHeight="1">
      <c r="A188" s="1330"/>
      <c r="B188" s="1331" t="str">
        <f t="shared" ref="B188" si="73">"  -  "&amp;M188&amp;" มม."</f>
        <v xml:space="preserve">  -  800x500 มม.</v>
      </c>
      <c r="C188" s="1349"/>
      <c r="D188" s="801"/>
      <c r="E188" s="1350">
        <f t="shared" ref="E188" si="74">N188</f>
        <v>44</v>
      </c>
      <c r="F188" s="1249" t="str">
        <f t="shared" ref="F188" si="75">IF(E188="","","ชุด")</f>
        <v>ชุด</v>
      </c>
      <c r="G188" s="1394">
        <v>1600</v>
      </c>
      <c r="H188" s="864">
        <f t="shared" ref="H188" si="76">ROUND(E188*G188,)</f>
        <v>70400</v>
      </c>
      <c r="I188" s="1394">
        <v>200</v>
      </c>
      <c r="J188" s="1395">
        <f t="shared" ref="J188" si="77">ROUND(E188*I188,)</f>
        <v>8800</v>
      </c>
      <c r="K188" s="966">
        <f t="shared" ref="K188" si="78">H188+J188</f>
        <v>79200</v>
      </c>
      <c r="L188" s="966"/>
      <c r="M188" s="1328" t="s">
        <v>2064</v>
      </c>
      <c r="N188" s="1404">
        <v>44</v>
      </c>
      <c r="O188" s="1404"/>
      <c r="P188" s="1404"/>
      <c r="W188" s="1404"/>
      <c r="X188" s="1404"/>
      <c r="Y188" s="1404"/>
      <c r="Z188" s="1404"/>
      <c r="AB188" s="1404"/>
      <c r="AC188" s="1404"/>
    </row>
    <row r="189" spans="1:29" s="714" customFormat="1" ht="24" customHeight="1">
      <c r="A189" s="1166"/>
      <c r="B189" s="2475" t="str">
        <f>"รวมราคารายการที่ "&amp;A164</f>
        <v>รวมราคารายการที่ 7.9</v>
      </c>
      <c r="C189" s="2476"/>
      <c r="D189" s="2476"/>
      <c r="E189" s="1167"/>
      <c r="F189" s="1381"/>
      <c r="G189" s="1168"/>
      <c r="H189" s="1169">
        <f>SUM(H164:H188)</f>
        <v>714525</v>
      </c>
      <c r="I189" s="1170"/>
      <c r="J189" s="1382">
        <f>SUM(J164:J188)</f>
        <v>42650</v>
      </c>
      <c r="K189" s="1171">
        <f>SUM(K164:K188)</f>
        <v>757175</v>
      </c>
      <c r="L189" s="1171"/>
      <c r="M189" s="1322"/>
    </row>
    <row r="190" spans="1:29" s="1329" customFormat="1" ht="24" customHeight="1">
      <c r="A190" s="1325" t="s">
        <v>2065</v>
      </c>
      <c r="B190" s="1326" t="s">
        <v>2066</v>
      </c>
      <c r="C190" s="1347"/>
      <c r="D190" s="901"/>
      <c r="E190" s="1030"/>
      <c r="F190" s="1348"/>
      <c r="G190" s="1406"/>
      <c r="H190" s="905"/>
      <c r="I190" s="1406"/>
      <c r="J190" s="1407"/>
      <c r="K190" s="1030"/>
      <c r="L190" s="1030"/>
      <c r="M190" s="1328"/>
      <c r="P190" s="1404"/>
    </row>
    <row r="191" spans="1:29" s="1329" customFormat="1" ht="24" customHeight="1">
      <c r="A191" s="1330" t="s">
        <v>2067</v>
      </c>
      <c r="B191" s="1331" t="s">
        <v>2068</v>
      </c>
      <c r="C191" s="1349"/>
      <c r="D191" s="801"/>
      <c r="E191" s="966"/>
      <c r="F191" s="1249"/>
      <c r="G191" s="1394"/>
      <c r="H191" s="864"/>
      <c r="I191" s="1394"/>
      <c r="J191" s="1395"/>
      <c r="K191" s="966"/>
      <c r="L191" s="966"/>
      <c r="M191" s="1328"/>
      <c r="P191" s="1404"/>
    </row>
    <row r="192" spans="1:29" s="1329" customFormat="1" ht="24" customHeight="1">
      <c r="A192" s="1330"/>
      <c r="B192" s="1331" t="s">
        <v>2122</v>
      </c>
      <c r="C192" s="1349"/>
      <c r="D192" s="801"/>
      <c r="E192" s="966">
        <v>1</v>
      </c>
      <c r="F192" s="1249" t="s">
        <v>240</v>
      </c>
      <c r="G192" s="1394">
        <v>403974</v>
      </c>
      <c r="H192" s="751">
        <f t="shared" ref="H192:H195" si="79">ROUND(E192*G192,)</f>
        <v>403974</v>
      </c>
      <c r="I192" s="1394">
        <v>1500</v>
      </c>
      <c r="J192" s="1393">
        <f t="shared" ref="J192:J195" si="80">ROUND(E192*I192,)</f>
        <v>1500</v>
      </c>
      <c r="K192" s="1022">
        <f t="shared" ref="K192:K195" si="81">H192+J192</f>
        <v>405474</v>
      </c>
      <c r="L192" s="966"/>
      <c r="M192" s="1328"/>
      <c r="P192" s="1404"/>
    </row>
    <row r="193" spans="1:18" s="1329" customFormat="1" ht="24" customHeight="1">
      <c r="A193" s="1330"/>
      <c r="B193" s="1331" t="s">
        <v>2123</v>
      </c>
      <c r="C193" s="1349"/>
      <c r="D193" s="801"/>
      <c r="E193" s="966">
        <v>1</v>
      </c>
      <c r="F193" s="1249" t="s">
        <v>240</v>
      </c>
      <c r="G193" s="1394">
        <v>393694</v>
      </c>
      <c r="H193" s="751">
        <f t="shared" si="79"/>
        <v>393694</v>
      </c>
      <c r="I193" s="1394">
        <v>1500</v>
      </c>
      <c r="J193" s="1393">
        <f t="shared" si="80"/>
        <v>1500</v>
      </c>
      <c r="K193" s="1022">
        <f t="shared" si="81"/>
        <v>395194</v>
      </c>
      <c r="L193" s="966"/>
      <c r="M193" s="1328"/>
      <c r="P193" s="1404"/>
    </row>
    <row r="194" spans="1:18" s="1329" customFormat="1" ht="24" customHeight="1">
      <c r="A194" s="1330"/>
      <c r="B194" s="1331" t="s">
        <v>2124</v>
      </c>
      <c r="C194" s="1349"/>
      <c r="D194" s="801"/>
      <c r="E194" s="966">
        <v>1</v>
      </c>
      <c r="F194" s="1249" t="s">
        <v>240</v>
      </c>
      <c r="G194" s="1394">
        <v>174184</v>
      </c>
      <c r="H194" s="751">
        <f t="shared" si="79"/>
        <v>174184</v>
      </c>
      <c r="I194" s="1394">
        <v>1500</v>
      </c>
      <c r="J194" s="1393">
        <f t="shared" si="80"/>
        <v>1500</v>
      </c>
      <c r="K194" s="1022">
        <f t="shared" si="81"/>
        <v>175684</v>
      </c>
      <c r="L194" s="966"/>
      <c r="M194" s="1328"/>
      <c r="P194" s="1404"/>
    </row>
    <row r="195" spans="1:18" s="1329" customFormat="1" ht="24" customHeight="1">
      <c r="A195" s="1330"/>
      <c r="B195" s="1331" t="s">
        <v>2125</v>
      </c>
      <c r="C195" s="1349"/>
      <c r="D195" s="801"/>
      <c r="E195" s="966">
        <v>1</v>
      </c>
      <c r="F195" s="1249" t="s">
        <v>240</v>
      </c>
      <c r="G195" s="1394">
        <v>359728</v>
      </c>
      <c r="H195" s="751">
        <f t="shared" si="79"/>
        <v>359728</v>
      </c>
      <c r="I195" s="1394">
        <v>1500</v>
      </c>
      <c r="J195" s="1393">
        <f t="shared" si="80"/>
        <v>1500</v>
      </c>
      <c r="K195" s="1022">
        <f t="shared" si="81"/>
        <v>361228</v>
      </c>
      <c r="L195" s="966"/>
      <c r="M195" s="1328"/>
      <c r="P195" s="1404"/>
    </row>
    <row r="196" spans="1:18" s="1329" customFormat="1" ht="24" customHeight="1">
      <c r="A196" s="1330" t="s">
        <v>2073</v>
      </c>
      <c r="B196" s="1331" t="s">
        <v>1736</v>
      </c>
      <c r="C196" s="1349"/>
      <c r="D196" s="801"/>
      <c r="E196" s="966"/>
      <c r="F196" s="1249"/>
      <c r="G196" s="1394"/>
      <c r="H196" s="864"/>
      <c r="I196" s="1394"/>
      <c r="J196" s="1395"/>
      <c r="K196" s="966"/>
      <c r="L196" s="966"/>
      <c r="M196" s="1328"/>
      <c r="P196" s="1404"/>
    </row>
    <row r="197" spans="1:18" s="1329" customFormat="1" ht="24" customHeight="1">
      <c r="A197" s="1330"/>
      <c r="B197" s="1331" t="s">
        <v>1737</v>
      </c>
      <c r="C197" s="1349"/>
      <c r="D197" s="801"/>
      <c r="E197" s="1350">
        <v>68.793978212128877</v>
      </c>
      <c r="F197" s="1249" t="s">
        <v>438</v>
      </c>
      <c r="G197" s="1402">
        <v>30</v>
      </c>
      <c r="H197" s="751">
        <f t="shared" ref="H197" si="82">ROUND(E197*G197,)</f>
        <v>2064</v>
      </c>
      <c r="I197" s="1402">
        <v>12</v>
      </c>
      <c r="J197" s="1393">
        <f t="shared" ref="J197" si="83">ROUND(E197*I197,)</f>
        <v>826</v>
      </c>
      <c r="K197" s="1022">
        <f t="shared" ref="K197" si="84">H197+J197</f>
        <v>2890</v>
      </c>
      <c r="L197" s="966"/>
      <c r="M197" s="1328"/>
      <c r="P197" s="1404"/>
    </row>
    <row r="198" spans="1:18" s="1329" customFormat="1" ht="24" customHeight="1">
      <c r="A198" s="1330"/>
      <c r="B198" s="1331" t="s">
        <v>1167</v>
      </c>
      <c r="C198" s="1349"/>
      <c r="D198" s="801"/>
      <c r="E198" s="1350">
        <v>114.38034931655164</v>
      </c>
      <c r="F198" s="1249" t="s">
        <v>438</v>
      </c>
      <c r="G198" s="1394">
        <v>58</v>
      </c>
      <c r="H198" s="751">
        <f>ROUND(E198*G198,)</f>
        <v>6634</v>
      </c>
      <c r="I198" s="1394">
        <v>16</v>
      </c>
      <c r="J198" s="1393">
        <f>ROUND(E198*I198,)</f>
        <v>1830</v>
      </c>
      <c r="K198" s="1022">
        <f>H198+J198</f>
        <v>8464</v>
      </c>
      <c r="L198" s="966"/>
      <c r="M198" s="1328"/>
      <c r="N198" s="1404"/>
      <c r="O198" s="1404"/>
      <c r="P198" s="1404"/>
      <c r="Q198" s="1404"/>
      <c r="R198" s="1404"/>
    </row>
    <row r="199" spans="1:18" s="1329" customFormat="1" ht="24" customHeight="1">
      <c r="A199" s="1330"/>
      <c r="B199" s="1331" t="s">
        <v>1168</v>
      </c>
      <c r="C199" s="1349"/>
      <c r="D199" s="801"/>
      <c r="E199" s="1350">
        <v>354.7448515035079</v>
      </c>
      <c r="F199" s="1249" t="s">
        <v>438</v>
      </c>
      <c r="G199" s="1402">
        <v>78</v>
      </c>
      <c r="H199" s="751">
        <f>ROUND(E199*G199,)</f>
        <v>27670</v>
      </c>
      <c r="I199" s="1402">
        <v>25</v>
      </c>
      <c r="J199" s="1393">
        <f>ROUND(E199*I199,)</f>
        <v>8869</v>
      </c>
      <c r="K199" s="1022">
        <f>H199+J199</f>
        <v>36539</v>
      </c>
      <c r="L199" s="966"/>
      <c r="M199" s="1328"/>
      <c r="N199" s="1404"/>
      <c r="O199" s="1404"/>
      <c r="P199" s="1404"/>
      <c r="Q199" s="1404"/>
      <c r="R199" s="1404"/>
    </row>
    <row r="200" spans="1:18" s="1329" customFormat="1" ht="24" customHeight="1">
      <c r="A200" s="1330"/>
      <c r="B200" s="1331" t="s">
        <v>1169</v>
      </c>
      <c r="C200" s="1349"/>
      <c r="D200" s="801"/>
      <c r="E200" s="1350">
        <v>34.396989106064439</v>
      </c>
      <c r="F200" s="1249" t="s">
        <v>438</v>
      </c>
      <c r="G200" s="1402">
        <v>110</v>
      </c>
      <c r="H200" s="751">
        <f>ROUND(E200*G200,)</f>
        <v>3784</v>
      </c>
      <c r="I200" s="1402">
        <v>30</v>
      </c>
      <c r="J200" s="1393">
        <f>ROUND(E200*I200,)</f>
        <v>1032</v>
      </c>
      <c r="K200" s="1022">
        <f>H200+J200</f>
        <v>4816</v>
      </c>
      <c r="L200" s="966"/>
      <c r="M200" s="1328"/>
      <c r="N200" s="1404"/>
      <c r="O200" s="1404"/>
      <c r="P200" s="1404"/>
      <c r="Q200" s="1404"/>
      <c r="R200" s="1404"/>
    </row>
    <row r="201" spans="1:18" s="1329" customFormat="1" ht="24" customHeight="1">
      <c r="A201" s="1330"/>
      <c r="B201" s="1331" t="s">
        <v>1170</v>
      </c>
      <c r="C201" s="1349"/>
      <c r="D201" s="801"/>
      <c r="E201" s="1350"/>
      <c r="F201" s="1249" t="s">
        <v>438</v>
      </c>
      <c r="G201" s="1402">
        <v>165</v>
      </c>
      <c r="H201" s="751">
        <f>ROUND(E201*G201,)</f>
        <v>0</v>
      </c>
      <c r="I201" s="1402">
        <v>35</v>
      </c>
      <c r="J201" s="1393">
        <f>ROUND(E201*I201,)</f>
        <v>0</v>
      </c>
      <c r="K201" s="1022">
        <f>H201+J201</f>
        <v>0</v>
      </c>
      <c r="L201" s="966"/>
      <c r="M201" s="1328"/>
      <c r="N201" s="1404"/>
      <c r="O201" s="1404"/>
      <c r="P201" s="1404"/>
      <c r="Q201" s="1404"/>
      <c r="R201" s="1404"/>
    </row>
    <row r="202" spans="1:18" s="1329" customFormat="1" ht="24" customHeight="1">
      <c r="A202" s="1330" t="s">
        <v>2074</v>
      </c>
      <c r="B202" s="1331" t="s">
        <v>2075</v>
      </c>
      <c r="C202" s="1349"/>
      <c r="D202" s="801"/>
      <c r="E202" s="1350"/>
      <c r="F202" s="1249"/>
      <c r="G202" s="1394"/>
      <c r="H202" s="864"/>
      <c r="I202" s="1394"/>
      <c r="J202" s="1395"/>
      <c r="K202" s="966"/>
      <c r="L202" s="966"/>
      <c r="M202" s="1328"/>
      <c r="P202" s="1404"/>
    </row>
    <row r="203" spans="1:18" s="1329" customFormat="1" ht="24" customHeight="1">
      <c r="A203" s="1330"/>
      <c r="B203" s="1331" t="s">
        <v>1277</v>
      </c>
      <c r="C203" s="1349"/>
      <c r="D203" s="801"/>
      <c r="E203" s="1350">
        <v>5130.1244354695382</v>
      </c>
      <c r="F203" s="1249" t="s">
        <v>438</v>
      </c>
      <c r="G203" s="1394">
        <v>41</v>
      </c>
      <c r="H203" s="751">
        <f t="shared" ref="H203" si="85">ROUND(E203*G203,)</f>
        <v>210335</v>
      </c>
      <c r="I203" s="1394">
        <v>12</v>
      </c>
      <c r="J203" s="1393">
        <f t="shared" ref="J203" si="86">ROUND(E203*I203,)</f>
        <v>61561</v>
      </c>
      <c r="K203" s="1022">
        <f t="shared" ref="K203" si="87">H203+J203</f>
        <v>271896</v>
      </c>
      <c r="L203" s="966"/>
      <c r="M203" s="1328"/>
      <c r="N203" s="1404"/>
      <c r="O203" s="1404"/>
      <c r="P203" s="1404"/>
      <c r="Q203" s="1404"/>
      <c r="R203" s="1404"/>
    </row>
    <row r="204" spans="1:18" s="1329" customFormat="1" ht="24" customHeight="1">
      <c r="A204" s="1330" t="s">
        <v>2076</v>
      </c>
      <c r="B204" s="1331" t="s">
        <v>950</v>
      </c>
      <c r="C204" s="1349"/>
      <c r="D204" s="801"/>
      <c r="E204" s="1350"/>
      <c r="F204" s="1249"/>
      <c r="G204" s="1394"/>
      <c r="H204" s="864"/>
      <c r="I204" s="1394"/>
      <c r="J204" s="1395"/>
      <c r="K204" s="966"/>
      <c r="L204" s="966"/>
      <c r="M204" s="1328"/>
      <c r="P204" s="1404"/>
    </row>
    <row r="205" spans="1:18" s="1329" customFormat="1" ht="24" customHeight="1">
      <c r="A205" s="1330"/>
      <c r="B205" s="1331" t="s">
        <v>1201</v>
      </c>
      <c r="C205" s="1349"/>
      <c r="D205" s="801"/>
      <c r="E205" s="1350">
        <v>23.00039632995875</v>
      </c>
      <c r="F205" s="1249" t="s">
        <v>438</v>
      </c>
      <c r="G205" s="1394">
        <v>56</v>
      </c>
      <c r="H205" s="751">
        <f t="shared" ref="H205:H209" si="88">ROUND(E205*G205,)</f>
        <v>1288</v>
      </c>
      <c r="I205" s="1394">
        <v>26</v>
      </c>
      <c r="J205" s="1393">
        <f t="shared" ref="J205:J209" si="89">ROUND(E205*I205,)</f>
        <v>598</v>
      </c>
      <c r="K205" s="1022">
        <f t="shared" ref="K205:K209" si="90">H205+J205</f>
        <v>1886</v>
      </c>
      <c r="L205" s="2273" t="s">
        <v>2974</v>
      </c>
      <c r="M205" s="1328"/>
      <c r="N205" s="714">
        <v>169.2</v>
      </c>
      <c r="O205" s="714">
        <f>ROUND(N205/3,)</f>
        <v>56</v>
      </c>
      <c r="P205" s="1404"/>
    </row>
    <row r="206" spans="1:18" s="1329" customFormat="1" ht="24" customHeight="1">
      <c r="A206" s="1330"/>
      <c r="B206" s="1331" t="s">
        <v>1184</v>
      </c>
      <c r="C206" s="1349"/>
      <c r="D206" s="801"/>
      <c r="E206" s="1350">
        <v>1288.2294052554373</v>
      </c>
      <c r="F206" s="1249" t="s">
        <v>438</v>
      </c>
      <c r="G206" s="1394">
        <v>75</v>
      </c>
      <c r="H206" s="751">
        <f t="shared" si="88"/>
        <v>96617</v>
      </c>
      <c r="I206" s="1394">
        <v>28</v>
      </c>
      <c r="J206" s="1393">
        <f t="shared" si="89"/>
        <v>36070</v>
      </c>
      <c r="K206" s="1022">
        <f t="shared" si="90"/>
        <v>132687</v>
      </c>
      <c r="L206" s="2273" t="s">
        <v>2974</v>
      </c>
      <c r="M206" s="1328"/>
      <c r="N206" s="714">
        <v>225</v>
      </c>
      <c r="O206" s="714">
        <f>ROUND(N206/3,)</f>
        <v>75</v>
      </c>
      <c r="P206" s="1404"/>
    </row>
    <row r="207" spans="1:18" s="1329" customFormat="1" ht="24" customHeight="1">
      <c r="A207" s="1330"/>
      <c r="B207" s="1331" t="s">
        <v>1186</v>
      </c>
      <c r="C207" s="1349"/>
      <c r="D207" s="801"/>
      <c r="E207" s="1350">
        <v>103.33133196927515</v>
      </c>
      <c r="F207" s="1249" t="s">
        <v>438</v>
      </c>
      <c r="G207" s="1394">
        <v>131</v>
      </c>
      <c r="H207" s="751">
        <f t="shared" si="88"/>
        <v>13536</v>
      </c>
      <c r="I207" s="1394">
        <v>38</v>
      </c>
      <c r="J207" s="1393">
        <f t="shared" si="89"/>
        <v>3927</v>
      </c>
      <c r="K207" s="1022">
        <f t="shared" si="90"/>
        <v>17463</v>
      </c>
      <c r="L207" s="2273" t="s">
        <v>2974</v>
      </c>
      <c r="M207" s="1328"/>
      <c r="N207" s="714">
        <v>391.8</v>
      </c>
      <c r="O207" s="714">
        <f>ROUND(N207/3,)</f>
        <v>131</v>
      </c>
      <c r="P207" s="1404"/>
    </row>
    <row r="208" spans="1:18" s="1329" customFormat="1" ht="24" customHeight="1">
      <c r="A208" s="1330"/>
      <c r="B208" s="1331" t="s">
        <v>1187</v>
      </c>
      <c r="C208" s="1349"/>
      <c r="D208" s="801"/>
      <c r="E208" s="966"/>
      <c r="F208" s="1249" t="s">
        <v>438</v>
      </c>
      <c r="G208" s="1394">
        <v>160</v>
      </c>
      <c r="H208" s="751">
        <f t="shared" si="88"/>
        <v>0</v>
      </c>
      <c r="I208" s="1394">
        <v>42</v>
      </c>
      <c r="J208" s="1393">
        <f t="shared" si="89"/>
        <v>0</v>
      </c>
      <c r="K208" s="1022">
        <f t="shared" si="90"/>
        <v>0</v>
      </c>
      <c r="L208" s="2273" t="s">
        <v>2974</v>
      </c>
      <c r="M208" s="1328"/>
      <c r="N208" s="714">
        <v>481.2</v>
      </c>
      <c r="O208" s="714">
        <f>ROUND(N208/3,)</f>
        <v>160</v>
      </c>
      <c r="P208" s="1404"/>
    </row>
    <row r="209" spans="1:16" s="1329" customFormat="1" ht="24" customHeight="1">
      <c r="A209" s="1330"/>
      <c r="B209" s="1331" t="s">
        <v>1237</v>
      </c>
      <c r="C209" s="1349"/>
      <c r="D209" s="801"/>
      <c r="E209" s="966">
        <v>1</v>
      </c>
      <c r="F209" s="1249" t="s">
        <v>948</v>
      </c>
      <c r="G209" s="795">
        <f>ROUND(SUM(H205:H208)*15%,)</f>
        <v>16716</v>
      </c>
      <c r="H209" s="751">
        <f t="shared" si="88"/>
        <v>16716</v>
      </c>
      <c r="I209" s="865">
        <f>ROUND(G209*0.3,)</f>
        <v>5015</v>
      </c>
      <c r="J209" s="1393">
        <f t="shared" si="89"/>
        <v>5015</v>
      </c>
      <c r="K209" s="1022">
        <f t="shared" si="90"/>
        <v>21731</v>
      </c>
      <c r="L209" s="966"/>
      <c r="M209" s="1328"/>
      <c r="P209" s="1404"/>
    </row>
    <row r="210" spans="1:16" s="1329" customFormat="1" ht="24" customHeight="1">
      <c r="A210" s="1330"/>
      <c r="B210" s="1331" t="s">
        <v>957</v>
      </c>
      <c r="C210" s="1349"/>
      <c r="D210" s="801"/>
      <c r="E210" s="966"/>
      <c r="F210" s="1249"/>
      <c r="G210" s="1394"/>
      <c r="H210" s="864"/>
      <c r="I210" s="1394"/>
      <c r="J210" s="1395"/>
      <c r="K210" s="966"/>
      <c r="L210" s="966"/>
      <c r="M210" s="1328"/>
      <c r="P210" s="1404"/>
    </row>
    <row r="211" spans="1:16" s="1329" customFormat="1" ht="24" customHeight="1">
      <c r="A211" s="1334"/>
      <c r="B211" s="1335"/>
      <c r="C211" s="1352"/>
      <c r="D211" s="890"/>
      <c r="E211" s="1337"/>
      <c r="F211" s="1353"/>
      <c r="G211" s="1418"/>
      <c r="H211" s="891"/>
      <c r="I211" s="1418"/>
      <c r="J211" s="1419"/>
      <c r="K211" s="1337"/>
      <c r="L211" s="1337"/>
      <c r="M211" s="1328"/>
      <c r="P211" s="1404"/>
    </row>
    <row r="212" spans="1:16" s="1329" customFormat="1" ht="24" customHeight="1">
      <c r="A212" s="1334"/>
      <c r="B212" s="1335" t="s">
        <v>958</v>
      </c>
      <c r="C212" s="1352"/>
      <c r="D212" s="890"/>
      <c r="E212" s="1337"/>
      <c r="F212" s="1353"/>
      <c r="G212" s="1418"/>
      <c r="H212" s="891"/>
      <c r="I212" s="1418"/>
      <c r="J212" s="1419"/>
      <c r="K212" s="1337"/>
      <c r="L212" s="1337"/>
      <c r="M212" s="1328"/>
      <c r="P212" s="1404"/>
    </row>
    <row r="213" spans="1:16" s="714" customFormat="1" ht="30" customHeight="1">
      <c r="A213" s="1166"/>
      <c r="B213" s="2475" t="str">
        <f>"รวมราคารายการที่ "&amp;A190</f>
        <v>รวมราคารายการที่ 7.10</v>
      </c>
      <c r="C213" s="2476"/>
      <c r="D213" s="2476"/>
      <c r="E213" s="1167"/>
      <c r="F213" s="1381"/>
      <c r="G213" s="1168"/>
      <c r="H213" s="1169">
        <f>SUM(H191:H212)</f>
        <v>1710224</v>
      </c>
      <c r="I213" s="1170"/>
      <c r="J213" s="1382">
        <f>SUM(J191:J212)</f>
        <v>125728</v>
      </c>
      <c r="K213" s="1171">
        <f>SUM(K191:K212)</f>
        <v>1835952</v>
      </c>
      <c r="L213" s="1171"/>
      <c r="M213" s="1322"/>
    </row>
    <row r="214" spans="1:16" s="1329" customFormat="1" ht="24" customHeight="1">
      <c r="A214" s="1325">
        <v>7.11</v>
      </c>
      <c r="B214" s="1326" t="s">
        <v>2078</v>
      </c>
      <c r="C214" s="1347"/>
      <c r="D214" s="901"/>
      <c r="E214" s="1030"/>
      <c r="F214" s="1348"/>
      <c r="G214" s="1406"/>
      <c r="H214" s="905"/>
      <c r="I214" s="1406"/>
      <c r="J214" s="1407"/>
      <c r="K214" s="1030"/>
      <c r="L214" s="1030"/>
      <c r="M214" s="1328"/>
    </row>
    <row r="215" spans="1:16" s="1329" customFormat="1" ht="24" customHeight="1">
      <c r="A215" s="1330" t="s">
        <v>2079</v>
      </c>
      <c r="B215" s="1331" t="s">
        <v>2080</v>
      </c>
      <c r="C215" s="1349"/>
      <c r="D215" s="801"/>
      <c r="E215" s="966"/>
      <c r="F215" s="1249"/>
      <c r="G215" s="1394"/>
      <c r="H215" s="864"/>
      <c r="I215" s="1394"/>
      <c r="J215" s="1395"/>
      <c r="K215" s="966"/>
      <c r="L215" s="966"/>
      <c r="M215" s="1328"/>
      <c r="N215" s="1404"/>
      <c r="O215" s="1404"/>
      <c r="P215" s="1404"/>
    </row>
    <row r="216" spans="1:16" s="1329" customFormat="1" ht="24" customHeight="1">
      <c r="A216" s="1330"/>
      <c r="B216" s="1331" t="s">
        <v>2126</v>
      </c>
      <c r="C216" s="1349"/>
      <c r="D216" s="801"/>
      <c r="E216" s="966"/>
      <c r="F216" s="1249" t="s">
        <v>240</v>
      </c>
      <c r="G216" s="1421" t="s">
        <v>1985</v>
      </c>
      <c r="H216" s="864"/>
      <c r="I216" s="1394"/>
      <c r="J216" s="1395">
        <f t="shared" ref="J216:J218" si="91">ROUND(E216*I216,)</f>
        <v>0</v>
      </c>
      <c r="K216" s="966">
        <f t="shared" ref="K216:K218" si="92">H216+J216</f>
        <v>0</v>
      </c>
      <c r="L216" s="966"/>
      <c r="M216" s="1328"/>
      <c r="N216" s="1404"/>
      <c r="O216" s="1404"/>
      <c r="P216" s="1404"/>
    </row>
    <row r="217" spans="1:16" s="1329" customFormat="1" ht="24" customHeight="1">
      <c r="A217" s="1330"/>
      <c r="B217" s="1331" t="s">
        <v>2081</v>
      </c>
      <c r="C217" s="1349"/>
      <c r="D217" s="801"/>
      <c r="E217" s="966"/>
      <c r="F217" s="1249" t="s">
        <v>240</v>
      </c>
      <c r="G217" s="1421" t="s">
        <v>1985</v>
      </c>
      <c r="H217" s="864"/>
      <c r="I217" s="1394"/>
      <c r="J217" s="1395">
        <f t="shared" si="91"/>
        <v>0</v>
      </c>
      <c r="K217" s="966">
        <f t="shared" si="92"/>
        <v>0</v>
      </c>
      <c r="L217" s="966"/>
      <c r="M217" s="1328"/>
      <c r="N217" s="1404"/>
      <c r="O217" s="1404"/>
      <c r="P217" s="1404"/>
    </row>
    <row r="218" spans="1:16" s="1329" customFormat="1" ht="24" customHeight="1">
      <c r="A218" s="1330"/>
      <c r="B218" s="1331" t="s">
        <v>2083</v>
      </c>
      <c r="C218" s="1349"/>
      <c r="D218" s="801"/>
      <c r="E218" s="966"/>
      <c r="F218" s="1249" t="s">
        <v>240</v>
      </c>
      <c r="G218" s="1421" t="s">
        <v>1985</v>
      </c>
      <c r="H218" s="864"/>
      <c r="I218" s="1394"/>
      <c r="J218" s="1395">
        <f t="shared" si="91"/>
        <v>0</v>
      </c>
      <c r="K218" s="966">
        <f t="shared" si="92"/>
        <v>0</v>
      </c>
      <c r="L218" s="966"/>
      <c r="M218" s="1328"/>
      <c r="N218" s="1404"/>
      <c r="O218" s="1404"/>
      <c r="P218" s="1404"/>
    </row>
    <row r="219" spans="1:16" s="1329" customFormat="1" ht="24" customHeight="1">
      <c r="A219" s="1330"/>
      <c r="B219" s="1331" t="s">
        <v>957</v>
      </c>
      <c r="C219" s="1349"/>
      <c r="D219" s="801"/>
      <c r="E219" s="966"/>
      <c r="F219" s="1249"/>
      <c r="G219" s="1394"/>
      <c r="H219" s="864"/>
      <c r="I219" s="1394"/>
      <c r="J219" s="1395"/>
      <c r="K219" s="966"/>
      <c r="L219" s="966"/>
      <c r="M219" s="1328"/>
    </row>
    <row r="220" spans="1:16" s="1329" customFormat="1" ht="24" customHeight="1">
      <c r="A220" s="1330"/>
      <c r="B220" s="1331"/>
      <c r="C220" s="1349"/>
      <c r="D220" s="801"/>
      <c r="E220" s="966"/>
      <c r="F220" s="1249"/>
      <c r="G220" s="1421"/>
      <c r="H220" s="864"/>
      <c r="I220" s="1394"/>
      <c r="J220" s="1395"/>
      <c r="K220" s="966"/>
      <c r="L220" s="966"/>
      <c r="M220" s="1328"/>
    </row>
    <row r="221" spans="1:16" s="1329" customFormat="1" ht="24" customHeight="1">
      <c r="A221" s="1330"/>
      <c r="B221" s="1331"/>
      <c r="C221" s="1349"/>
      <c r="D221" s="801"/>
      <c r="E221" s="966"/>
      <c r="F221" s="1249"/>
      <c r="G221" s="1421"/>
      <c r="H221" s="864"/>
      <c r="I221" s="1394"/>
      <c r="J221" s="1395"/>
      <c r="K221" s="966"/>
      <c r="L221" s="966"/>
      <c r="M221" s="1328"/>
    </row>
    <row r="222" spans="1:16" s="714" customFormat="1" ht="30" customHeight="1">
      <c r="A222" s="1166"/>
      <c r="B222" s="2475" t="str">
        <f>"รวมราคารายการที่ "&amp;A214</f>
        <v>รวมราคารายการที่ 7.11</v>
      </c>
      <c r="C222" s="2476"/>
      <c r="D222" s="2476"/>
      <c r="E222" s="1167"/>
      <c r="F222" s="1381"/>
      <c r="G222" s="1168"/>
      <c r="H222" s="1169">
        <f>SUM(H214:H219)</f>
        <v>0</v>
      </c>
      <c r="I222" s="1170"/>
      <c r="J222" s="1382">
        <f>SUM(J214:J219)</f>
        <v>0</v>
      </c>
      <c r="K222" s="1171">
        <f>SUM(K214:K219)</f>
        <v>0</v>
      </c>
      <c r="L222" s="1171"/>
      <c r="M222" s="1322"/>
    </row>
    <row r="223" spans="1:16" s="886" customFormat="1" ht="22.15" customHeight="1">
      <c r="A223" s="1482"/>
      <c r="E223" s="1483"/>
      <c r="F223" s="1484"/>
      <c r="G223" s="1485"/>
      <c r="H223" s="1486"/>
      <c r="I223" s="1485"/>
      <c r="J223" s="1487"/>
      <c r="K223" s="1483"/>
      <c r="L223" s="1483"/>
      <c r="M223" s="1342"/>
    </row>
    <row r="224" spans="1:16" s="886" customFormat="1" ht="22.15" customHeight="1">
      <c r="A224" s="1482"/>
      <c r="G224" s="1485"/>
      <c r="H224" s="1486"/>
      <c r="I224" s="1485"/>
      <c r="J224" s="1487"/>
      <c r="K224" s="1483"/>
      <c r="L224" s="1483"/>
      <c r="M224" s="1342"/>
    </row>
    <row r="225" spans="1:13" s="886" customFormat="1" ht="22.15" customHeight="1">
      <c r="A225" s="1482"/>
      <c r="G225" s="1485"/>
      <c r="H225" s="1486"/>
      <c r="I225" s="1485"/>
      <c r="J225" s="1487"/>
      <c r="K225" s="1483"/>
      <c r="L225" s="1483"/>
      <c r="M225" s="1342"/>
    </row>
    <row r="226" spans="1:13" s="886" customFormat="1" ht="22.15" customHeight="1">
      <c r="A226" s="1482"/>
      <c r="G226" s="1485"/>
      <c r="H226" s="1486"/>
      <c r="I226" s="1485"/>
      <c r="J226" s="1487"/>
      <c r="K226" s="1483"/>
      <c r="L226" s="1483"/>
      <c r="M226" s="1342"/>
    </row>
    <row r="227" spans="1:13" s="886" customFormat="1" ht="22.15" customHeight="1">
      <c r="A227" s="1482"/>
      <c r="G227" s="1485"/>
      <c r="H227" s="1486"/>
      <c r="K227" s="1483"/>
      <c r="L227" s="1483"/>
      <c r="M227" s="1342"/>
    </row>
    <row r="228" spans="1:13" s="886" customFormat="1" ht="22.15" customHeight="1">
      <c r="A228" s="1482"/>
      <c r="G228" s="1485"/>
      <c r="H228" s="1486"/>
      <c r="K228" s="1483"/>
      <c r="L228" s="1483"/>
      <c r="M228" s="1342"/>
    </row>
    <row r="229" spans="1:13" s="886" customFormat="1" ht="22.15" customHeight="1">
      <c r="A229" s="1482"/>
      <c r="G229" s="1485"/>
      <c r="H229" s="1486"/>
      <c r="K229" s="1483"/>
      <c r="L229" s="1483"/>
      <c r="M229" s="1342"/>
    </row>
    <row r="230" spans="1:13" s="886" customFormat="1" ht="22.15" customHeight="1">
      <c r="A230" s="1482"/>
      <c r="G230" s="1485"/>
      <c r="H230" s="1486"/>
      <c r="K230" s="1483"/>
      <c r="L230" s="1483"/>
      <c r="M230" s="1342"/>
    </row>
    <row r="231" spans="1:13" s="886" customFormat="1" ht="22.15" customHeight="1">
      <c r="A231" s="1482"/>
      <c r="G231" s="1485"/>
      <c r="H231" s="1486"/>
      <c r="K231" s="1483"/>
      <c r="L231" s="1483"/>
      <c r="M231" s="1342"/>
    </row>
    <row r="232" spans="1:13" s="886" customFormat="1" ht="22.15" customHeight="1">
      <c r="A232" s="1482"/>
      <c r="G232" s="1485"/>
      <c r="H232" s="1486"/>
      <c r="K232" s="1483"/>
      <c r="L232" s="1483"/>
      <c r="M232" s="1342"/>
    </row>
    <row r="233" spans="1:13" s="886" customFormat="1" ht="22.15" customHeight="1">
      <c r="A233" s="1482"/>
      <c r="G233" s="1485"/>
      <c r="H233" s="1486"/>
      <c r="K233" s="1483"/>
      <c r="L233" s="1483"/>
      <c r="M233" s="1342"/>
    </row>
    <row r="234" spans="1:13" s="886" customFormat="1" ht="21.3">
      <c r="A234" s="1482"/>
      <c r="G234" s="1485"/>
      <c r="H234" s="1486"/>
      <c r="K234" s="1483"/>
      <c r="L234" s="1483"/>
      <c r="M234" s="1342"/>
    </row>
    <row r="235" spans="1:13" s="886" customFormat="1" ht="21.3">
      <c r="A235" s="1482"/>
      <c r="G235" s="1485"/>
      <c r="H235" s="1486"/>
      <c r="K235" s="1483"/>
      <c r="L235" s="1483"/>
      <c r="M235" s="1342"/>
    </row>
    <row r="236" spans="1:13" s="886" customFormat="1" ht="21.3">
      <c r="A236" s="1482"/>
      <c r="G236" s="1485"/>
      <c r="H236" s="1486"/>
      <c r="K236" s="1483"/>
      <c r="L236" s="1483"/>
      <c r="M236" s="1342"/>
    </row>
    <row r="237" spans="1:13" s="886" customFormat="1" ht="21.3">
      <c r="A237" s="1482"/>
      <c r="G237" s="1485"/>
      <c r="H237" s="1486"/>
      <c r="K237" s="1483"/>
      <c r="L237" s="1483"/>
      <c r="M237" s="1342"/>
    </row>
    <row r="238" spans="1:13" s="886" customFormat="1" ht="21.3">
      <c r="A238" s="1482"/>
      <c r="M238" s="1342"/>
    </row>
    <row r="239" spans="1:13" s="886" customFormat="1" ht="21.3">
      <c r="A239" s="1482"/>
      <c r="M239" s="1342"/>
    </row>
    <row r="240" spans="1:13" s="886" customFormat="1" ht="21.3">
      <c r="A240" s="1482"/>
      <c r="M240" s="1342"/>
    </row>
    <row r="241" spans="1:13" s="886" customFormat="1" ht="21.3">
      <c r="A241" s="1482"/>
      <c r="M241" s="1342"/>
    </row>
    <row r="242" spans="1:13" s="886" customFormat="1" ht="21.3">
      <c r="A242" s="1482"/>
      <c r="M242" s="1342"/>
    </row>
    <row r="243" spans="1:13" s="886" customFormat="1" ht="21.3">
      <c r="A243" s="1482"/>
      <c r="M243" s="1342"/>
    </row>
    <row r="244" spans="1:13" s="886" customFormat="1" ht="21.3">
      <c r="A244" s="1482"/>
      <c r="M244" s="1342"/>
    </row>
    <row r="245" spans="1:13" s="886" customFormat="1" ht="21.3">
      <c r="A245" s="1482"/>
      <c r="M245" s="1342"/>
    </row>
    <row r="246" spans="1:13" s="886" customFormat="1" ht="21.3">
      <c r="A246" s="1482"/>
      <c r="M246" s="1342"/>
    </row>
    <row r="247" spans="1:13" s="886" customFormat="1" ht="21.3">
      <c r="A247" s="1482"/>
      <c r="M247" s="1342"/>
    </row>
    <row r="248" spans="1:13">
      <c r="A248" s="1482"/>
      <c r="B248" s="886"/>
      <c r="C248" s="886"/>
      <c r="D248" s="886"/>
      <c r="E248" s="886"/>
      <c r="F248" s="886"/>
      <c r="G248" s="886"/>
      <c r="H248" s="886"/>
      <c r="I248" s="886"/>
      <c r="J248" s="886"/>
      <c r="K248" s="886"/>
      <c r="L248" s="886"/>
    </row>
    <row r="249" spans="1:13">
      <c r="A249" s="1482"/>
      <c r="B249" s="886"/>
      <c r="C249" s="886"/>
      <c r="D249" s="886"/>
      <c r="E249" s="886"/>
      <c r="F249" s="886"/>
      <c r="G249" s="886"/>
      <c r="H249" s="886"/>
      <c r="I249" s="886"/>
      <c r="J249" s="886"/>
      <c r="K249" s="886"/>
      <c r="L249" s="886"/>
    </row>
    <row r="250" spans="1:13">
      <c r="A250" s="1482"/>
      <c r="B250" s="886"/>
      <c r="C250" s="886"/>
      <c r="D250" s="886"/>
      <c r="E250" s="886"/>
      <c r="F250" s="886"/>
      <c r="G250" s="886"/>
      <c r="H250" s="886"/>
      <c r="I250" s="886"/>
      <c r="J250" s="886"/>
      <c r="K250" s="886"/>
      <c r="L250" s="886"/>
    </row>
    <row r="257" spans="2:2">
      <c r="B257" s="1488"/>
    </row>
    <row r="258" spans="2:2">
      <c r="B258" s="1488"/>
    </row>
  </sheetData>
  <mergeCells count="20">
    <mergeCell ref="L7:L8"/>
    <mergeCell ref="A9:A10"/>
    <mergeCell ref="B9:D10"/>
    <mergeCell ref="E9:E10"/>
    <mergeCell ref="F9:F10"/>
    <mergeCell ref="G9:H9"/>
    <mergeCell ref="I9:J9"/>
    <mergeCell ref="L9:L10"/>
    <mergeCell ref="B222:D222"/>
    <mergeCell ref="B34:D34"/>
    <mergeCell ref="B45:D45"/>
    <mergeCell ref="B58:D58"/>
    <mergeCell ref="B82:D82"/>
    <mergeCell ref="B106:D106"/>
    <mergeCell ref="B130:D130"/>
    <mergeCell ref="B140:D140"/>
    <mergeCell ref="B154:D154"/>
    <mergeCell ref="B163:D163"/>
    <mergeCell ref="B189:D189"/>
    <mergeCell ref="B213:D213"/>
  </mergeCells>
  <conditionalFormatting sqref="N166:O166 N187:O187 N169:O169 O170">
    <cfRule type="containsText" dxfId="1227" priority="52" operator="containsText" text="Diffus">
      <formula>NOT(ISERROR(SEARCH("Diffus",N166)))</formula>
    </cfRule>
    <cfRule type="containsText" dxfId="1226" priority="53" operator="containsText" text="Counter">
      <formula>NOT(ISERROR(SEARCH("Counter",N166)))</formula>
    </cfRule>
    <cfRule type="containsText" dxfId="1225" priority="54" operator="containsText" text="Damper">
      <formula>NOT(ISERROR(SEARCH("Damper",N166)))</formula>
    </cfRule>
    <cfRule type="containsText" dxfId="1224" priority="55" operator="containsText" text="Register">
      <formula>NOT(ISERROR(SEARCH("Register",N166)))</formula>
    </cfRule>
    <cfRule type="containsText" dxfId="1223" priority="56" operator="containsText" text="Grille">
      <formula>NOT(ISERROR(SEARCH("Grille",N166)))</formula>
    </cfRule>
    <cfRule type="containsText" dxfId="1222" priority="57" operator="containsText" text="FFL">
      <formula>NOT(ISERROR(SEARCH("FFL",N166)))</formula>
    </cfRule>
  </conditionalFormatting>
  <conditionalFormatting sqref="O174">
    <cfRule type="containsText" dxfId="1221" priority="46" operator="containsText" text="Diffus">
      <formula>NOT(ISERROR(SEARCH("Diffus",O174)))</formula>
    </cfRule>
    <cfRule type="containsText" dxfId="1220" priority="47" operator="containsText" text="Counter">
      <formula>NOT(ISERROR(SEARCH("Counter",O174)))</formula>
    </cfRule>
    <cfRule type="containsText" dxfId="1219" priority="48" operator="containsText" text="Damper">
      <formula>NOT(ISERROR(SEARCH("Damper",O174)))</formula>
    </cfRule>
    <cfRule type="containsText" dxfId="1218" priority="49" operator="containsText" text="Register">
      <formula>NOT(ISERROR(SEARCH("Register",O174)))</formula>
    </cfRule>
    <cfRule type="containsText" dxfId="1217" priority="50" operator="containsText" text="Grille">
      <formula>NOT(ISERROR(SEARCH("Grille",O174)))</formula>
    </cfRule>
    <cfRule type="containsText" dxfId="1216" priority="51" operator="containsText" text="FFL">
      <formula>NOT(ISERROR(SEARCH("FFL",O174)))</formula>
    </cfRule>
  </conditionalFormatting>
  <conditionalFormatting sqref="N168:O168">
    <cfRule type="containsText" dxfId="1215" priority="58" operator="containsText" text="Diffus">
      <formula>NOT(ISERROR(SEARCH("Diffus",N168)))</formula>
    </cfRule>
    <cfRule type="containsText" dxfId="1214" priority="59" operator="containsText" text="Counter">
      <formula>NOT(ISERROR(SEARCH("Counter",N168)))</formula>
    </cfRule>
    <cfRule type="containsText" dxfId="1213" priority="60" operator="containsText" text="Damper">
      <formula>NOT(ISERROR(SEARCH("Damper",N168)))</formula>
    </cfRule>
    <cfRule type="containsText" dxfId="1212" priority="61" operator="containsText" text="Register">
      <formula>NOT(ISERROR(SEARCH("Register",N168)))</formula>
    </cfRule>
    <cfRule type="containsText" dxfId="1211" priority="62" operator="containsText" text="Grille">
      <formula>NOT(ISERROR(SEARCH("Grille",N168)))</formula>
    </cfRule>
    <cfRule type="containsText" dxfId="1210" priority="63" operator="containsText" text="FFL">
      <formula>NOT(ISERROR(SEARCH("FFL",N168)))</formula>
    </cfRule>
  </conditionalFormatting>
  <conditionalFormatting sqref="N177:O180 N185:O186">
    <cfRule type="containsText" dxfId="1209" priority="40" operator="containsText" text="Diffus">
      <formula>NOT(ISERROR(SEARCH("Diffus",N177)))</formula>
    </cfRule>
    <cfRule type="containsText" dxfId="1208" priority="41" operator="containsText" text="Counter">
      <formula>NOT(ISERROR(SEARCH("Counter",N177)))</formula>
    </cfRule>
    <cfRule type="containsText" dxfId="1207" priority="42" operator="containsText" text="Damper">
      <formula>NOT(ISERROR(SEARCH("Damper",N177)))</formula>
    </cfRule>
    <cfRule type="containsText" dxfId="1206" priority="43" operator="containsText" text="Register">
      <formula>NOT(ISERROR(SEARCH("Register",N177)))</formula>
    </cfRule>
    <cfRule type="containsText" dxfId="1205" priority="44" operator="containsText" text="Grille">
      <formula>NOT(ISERROR(SEARCH("Grille",N177)))</formula>
    </cfRule>
    <cfRule type="containsText" dxfId="1204" priority="45" operator="containsText" text="FFL">
      <formula>NOT(ISERROR(SEARCH("FFL",N177)))</formula>
    </cfRule>
  </conditionalFormatting>
  <conditionalFormatting sqref="N188:O188">
    <cfRule type="containsText" dxfId="1203" priority="34" operator="containsText" text="Diffus">
      <formula>NOT(ISERROR(SEARCH("Diffus",N188)))</formula>
    </cfRule>
    <cfRule type="containsText" dxfId="1202" priority="35" operator="containsText" text="Counter">
      <formula>NOT(ISERROR(SEARCH("Counter",N188)))</formula>
    </cfRule>
    <cfRule type="containsText" dxfId="1201" priority="36" operator="containsText" text="Damper">
      <formula>NOT(ISERROR(SEARCH("Damper",N188)))</formula>
    </cfRule>
    <cfRule type="containsText" dxfId="1200" priority="37" operator="containsText" text="Register">
      <formula>NOT(ISERROR(SEARCH("Register",N188)))</formula>
    </cfRule>
    <cfRule type="containsText" dxfId="1199" priority="38" operator="containsText" text="Grille">
      <formula>NOT(ISERROR(SEARCH("Grille",N188)))</formula>
    </cfRule>
    <cfRule type="containsText" dxfId="1198" priority="39" operator="containsText" text="FFL">
      <formula>NOT(ISERROR(SEARCH("FFL",N188)))</formula>
    </cfRule>
  </conditionalFormatting>
  <conditionalFormatting sqref="N170">
    <cfRule type="containsText" dxfId="1197" priority="28" operator="containsText" text="Diffus">
      <formula>NOT(ISERROR(SEARCH("Diffus",N170)))</formula>
    </cfRule>
    <cfRule type="containsText" dxfId="1196" priority="29" operator="containsText" text="Counter">
      <formula>NOT(ISERROR(SEARCH("Counter",N170)))</formula>
    </cfRule>
    <cfRule type="containsText" dxfId="1195" priority="30" operator="containsText" text="Damper">
      <formula>NOT(ISERROR(SEARCH("Damper",N170)))</formula>
    </cfRule>
    <cfRule type="containsText" dxfId="1194" priority="31" operator="containsText" text="Register">
      <formula>NOT(ISERROR(SEARCH("Register",N170)))</formula>
    </cfRule>
    <cfRule type="containsText" dxfId="1193" priority="32" operator="containsText" text="Grille">
      <formula>NOT(ISERROR(SEARCH("Grille",N170)))</formula>
    </cfRule>
    <cfRule type="containsText" dxfId="1192" priority="33" operator="containsText" text="FFL">
      <formula>NOT(ISERROR(SEARCH("FFL",N170)))</formula>
    </cfRule>
  </conditionalFormatting>
  <conditionalFormatting sqref="N174">
    <cfRule type="containsText" dxfId="1191" priority="22" operator="containsText" text="Diffus">
      <formula>NOT(ISERROR(SEARCH("Diffus",N174)))</formula>
    </cfRule>
    <cfRule type="containsText" dxfId="1190" priority="23" operator="containsText" text="Counter">
      <formula>NOT(ISERROR(SEARCH("Counter",N174)))</formula>
    </cfRule>
    <cfRule type="containsText" dxfId="1189" priority="24" operator="containsText" text="Damper">
      <formula>NOT(ISERROR(SEARCH("Damper",N174)))</formula>
    </cfRule>
    <cfRule type="containsText" dxfId="1188" priority="25" operator="containsText" text="Register">
      <formula>NOT(ISERROR(SEARCH("Register",N174)))</formula>
    </cfRule>
    <cfRule type="containsText" dxfId="1187" priority="26" operator="containsText" text="Grille">
      <formula>NOT(ISERROR(SEARCH("Grille",N174)))</formula>
    </cfRule>
    <cfRule type="containsText" dxfId="1186" priority="27" operator="containsText" text="FFL">
      <formula>NOT(ISERROR(SEARCH("FFL",N174)))</formula>
    </cfRule>
  </conditionalFormatting>
  <conditionalFormatting sqref="A161:L161 A160:G160 I160 L160">
    <cfRule type="expression" dxfId="1185" priority="21">
      <formula>SUMPRODUCT(--(ROW()=$O$12:$O$23))&gt;0</formula>
    </cfRule>
  </conditionalFormatting>
  <conditionalFormatting sqref="A112:L112 A109:F111 A122:L122 A116:F121 L113:L114 L116:L121 A123 L109:L111 L123 A113:F114 A115:L115 C123:F123">
    <cfRule type="expression" dxfId="1184" priority="20">
      <formula>SUMPRODUCT(--(ROW()=$O$12:$O$23))&gt;0</formula>
    </cfRule>
  </conditionalFormatting>
  <conditionalFormatting sqref="G116:G121">
    <cfRule type="expression" dxfId="1183" priority="19">
      <formula>SUMPRODUCT(--(ROW()=$O$12:$O$23))&gt;0</formula>
    </cfRule>
  </conditionalFormatting>
  <conditionalFormatting sqref="I116:I121">
    <cfRule type="expression" dxfId="1182" priority="18">
      <formula>SUMPRODUCT(--(ROW()=$O$12:$O$23))&gt;0</formula>
    </cfRule>
  </conditionalFormatting>
  <conditionalFormatting sqref="G123">
    <cfRule type="expression" dxfId="1181" priority="17">
      <formula>SUMPRODUCT(--(ROW()=$O$12:$O$23))&gt;0</formula>
    </cfRule>
  </conditionalFormatting>
  <conditionalFormatting sqref="I123">
    <cfRule type="expression" dxfId="1180" priority="16">
      <formula>SUMPRODUCT(--(ROW()=$O$12:$O$23))&gt;0</formula>
    </cfRule>
  </conditionalFormatting>
  <conditionalFormatting sqref="G73">
    <cfRule type="expression" dxfId="1179" priority="15">
      <formula>SUMPRODUCT(--(ROW()=$O$12:$O$23))&gt;0</formula>
    </cfRule>
  </conditionalFormatting>
  <conditionalFormatting sqref="G74:G76">
    <cfRule type="expression" dxfId="1178" priority="14">
      <formula>SUMPRODUCT(--(ROW()=$O$12:$O$23))&gt;0</formula>
    </cfRule>
  </conditionalFormatting>
  <conditionalFormatting sqref="B166:B170 B172 B174:B175">
    <cfRule type="expression" dxfId="1177" priority="13">
      <formula>SUMPRODUCT(--(ROW()=$O$12:$O$22))&gt;0</formula>
    </cfRule>
  </conditionalFormatting>
  <conditionalFormatting sqref="B177:B180 B185:B186">
    <cfRule type="expression" dxfId="1176" priority="12">
      <formula>SUMPRODUCT(--(ROW()=$O$12:$O$22))&gt;0</formula>
    </cfRule>
  </conditionalFormatting>
  <conditionalFormatting sqref="N181:O184">
    <cfRule type="containsText" dxfId="1175" priority="6" operator="containsText" text="Diffus">
      <formula>NOT(ISERROR(SEARCH("Diffus",N181)))</formula>
    </cfRule>
    <cfRule type="containsText" dxfId="1174" priority="7" operator="containsText" text="Counter">
      <formula>NOT(ISERROR(SEARCH("Counter",N181)))</formula>
    </cfRule>
    <cfRule type="containsText" dxfId="1173" priority="8" operator="containsText" text="Damper">
      <formula>NOT(ISERROR(SEARCH("Damper",N181)))</formula>
    </cfRule>
    <cfRule type="containsText" dxfId="1172" priority="9" operator="containsText" text="Register">
      <formula>NOT(ISERROR(SEARCH("Register",N181)))</formula>
    </cfRule>
    <cfRule type="containsText" dxfId="1171" priority="10" operator="containsText" text="Grille">
      <formula>NOT(ISERROR(SEARCH("Grille",N181)))</formula>
    </cfRule>
    <cfRule type="containsText" dxfId="1170" priority="11" operator="containsText" text="FFL">
      <formula>NOT(ISERROR(SEARCH("FFL",N181)))</formula>
    </cfRule>
  </conditionalFormatting>
  <conditionalFormatting sqref="B181:B184">
    <cfRule type="expression" dxfId="1169" priority="5">
      <formula>SUMPRODUCT(--(ROW()=$O$12:$O$22))&gt;0</formula>
    </cfRule>
  </conditionalFormatting>
  <conditionalFormatting sqref="B188">
    <cfRule type="expression" dxfId="1168" priority="4">
      <formula>SUMPRODUCT(--(ROW()=$O$12:$O$22))&gt;0</formula>
    </cfRule>
  </conditionalFormatting>
  <conditionalFormatting sqref="A124:L124 A126:L127 A129:L129 A125 A128 L125 L128 C125:F125 C128:F128">
    <cfRule type="expression" dxfId="1167" priority="3">
      <formula>SUMPRODUCT(--(ROW()=$O$12:$O$23))&gt;0</formula>
    </cfRule>
  </conditionalFormatting>
  <conditionalFormatting sqref="G125 G128">
    <cfRule type="expression" dxfId="1166" priority="2">
      <formula>SUMPRODUCT(--(ROW()=$O$12:$O$23))&gt;0</formula>
    </cfRule>
  </conditionalFormatting>
  <conditionalFormatting sqref="I125 I128">
    <cfRule type="expression" dxfId="1165" priority="1">
      <formula>SUMPRODUCT(--(ROW()=$O$12:$O$23))&gt;0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B1-อาคารสนับนุน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4F7F9-9212-4E01-9D4C-EF2B60B76EEB}">
  <sheetPr>
    <tabColor rgb="FFFF00FF"/>
  </sheetPr>
  <dimension ref="A1:P359"/>
  <sheetViews>
    <sheetView showGridLines="0" tabSelected="1" view="pageBreakPreview" topLeftCell="A94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1489" customWidth="1"/>
    <col min="2" max="3" width="7.29296875" style="952" customWidth="1"/>
    <col min="4" max="4" width="56.703125" style="952" customWidth="1"/>
    <col min="5" max="5" width="14.703125" style="952" customWidth="1"/>
    <col min="6" max="6" width="10.703125" style="952" customWidth="1"/>
    <col min="7" max="7" width="14.703125" style="952" customWidth="1"/>
    <col min="8" max="8" width="18.703125" style="952" customWidth="1"/>
    <col min="9" max="9" width="14.703125" style="952" customWidth="1"/>
    <col min="10" max="10" width="18.703125" style="952" customWidth="1"/>
    <col min="11" max="11" width="20.703125" style="952" customWidth="1"/>
    <col min="12" max="12" width="26.703125" style="952" customWidth="1"/>
    <col min="13" max="13" width="7.703125" style="1430" customWidth="1"/>
    <col min="14" max="14" width="13.5859375" style="952" customWidth="1"/>
    <col min="15" max="34" width="7.703125" style="952" customWidth="1"/>
    <col min="35" max="16384" width="9" style="952"/>
  </cols>
  <sheetData>
    <row r="1" spans="1:15" ht="35.1" customHeight="1">
      <c r="A1" s="1428"/>
      <c r="B1" s="1428"/>
      <c r="C1" s="46"/>
      <c r="D1" s="46"/>
      <c r="E1" s="46"/>
      <c r="F1" s="1429" t="s">
        <v>0</v>
      </c>
      <c r="G1" s="733"/>
      <c r="H1" s="733"/>
      <c r="I1" s="733"/>
      <c r="J1" s="735" t="s">
        <v>1</v>
      </c>
      <c r="K1" s="736"/>
      <c r="L1" s="733"/>
    </row>
    <row r="2" spans="1:15" ht="25.15" customHeight="1">
      <c r="A2" s="1431" t="s">
        <v>2</v>
      </c>
      <c r="B2" s="1432"/>
      <c r="C2" s="11"/>
      <c r="D2" s="11" t="s">
        <v>1900</v>
      </c>
      <c r="E2" s="11"/>
      <c r="F2" s="737"/>
      <c r="G2" s="737"/>
      <c r="H2" s="737"/>
      <c r="I2" s="737"/>
      <c r="J2" s="737"/>
      <c r="K2" s="737"/>
      <c r="L2" s="1433"/>
    </row>
    <row r="3" spans="1:15" ht="25.15" customHeight="1">
      <c r="A3" s="1434" t="s">
        <v>22</v>
      </c>
      <c r="B3" s="5"/>
      <c r="C3" s="47"/>
      <c r="D3" s="1435"/>
      <c r="E3" s="47"/>
      <c r="F3" s="739"/>
      <c r="G3" s="739"/>
      <c r="H3" s="739"/>
      <c r="I3" s="739"/>
      <c r="J3" s="740"/>
      <c r="K3" s="739"/>
      <c r="L3" s="1436"/>
    </row>
    <row r="4" spans="1:15" ht="25.15" customHeight="1">
      <c r="A4" s="1434"/>
      <c r="B4" s="5"/>
      <c r="C4" s="47"/>
      <c r="D4" s="41" t="s">
        <v>2970</v>
      </c>
      <c r="E4" s="47"/>
      <c r="F4" s="739"/>
      <c r="G4" s="739"/>
      <c r="H4" s="739"/>
      <c r="I4" s="739"/>
      <c r="J4" s="740"/>
      <c r="K4" s="739"/>
      <c r="L4" s="1436"/>
    </row>
    <row r="5" spans="1:15" ht="25.15" customHeight="1">
      <c r="A5" s="1434" t="s">
        <v>3</v>
      </c>
      <c r="B5" s="1432"/>
      <c r="C5" s="11"/>
      <c r="D5" s="1435" t="s">
        <v>21</v>
      </c>
      <c r="E5" s="736"/>
      <c r="F5" s="737"/>
      <c r="G5" s="741" t="s">
        <v>4</v>
      </c>
      <c r="H5" s="742"/>
      <c r="I5" s="739"/>
      <c r="J5" s="740"/>
      <c r="K5" s="743"/>
      <c r="L5" s="1436"/>
    </row>
    <row r="6" spans="1:15" ht="25.15" customHeight="1">
      <c r="A6" s="5" t="s">
        <v>20</v>
      </c>
      <c r="B6" s="5"/>
      <c r="C6" s="47"/>
      <c r="D6" s="49"/>
      <c r="E6" s="47"/>
      <c r="F6" s="739"/>
      <c r="G6" s="744"/>
      <c r="H6" s="739"/>
      <c r="I6" s="739"/>
      <c r="J6" s="739"/>
      <c r="K6" s="739"/>
      <c r="L6" s="743"/>
    </row>
    <row r="7" spans="1:15" ht="25.15" customHeight="1">
      <c r="A7" s="744" t="s">
        <v>26</v>
      </c>
      <c r="B7" s="20"/>
      <c r="C7" s="20"/>
      <c r="D7" s="21"/>
      <c r="E7" s="20"/>
      <c r="F7" s="1437" t="s">
        <v>5</v>
      </c>
      <c r="G7" s="1438"/>
      <c r="H7" s="1438" t="s">
        <v>6</v>
      </c>
      <c r="I7" s="1439"/>
      <c r="J7" s="744" t="s">
        <v>23</v>
      </c>
      <c r="K7" s="20"/>
      <c r="L7" s="2492" t="s">
        <v>7</v>
      </c>
    </row>
    <row r="8" spans="1:15" ht="10.15" customHeight="1">
      <c r="A8" s="4"/>
      <c r="B8" s="1440"/>
      <c r="C8" s="1440"/>
      <c r="D8" s="25"/>
      <c r="E8" s="25"/>
      <c r="F8" s="1441"/>
      <c r="G8" s="1441"/>
      <c r="H8" s="1442"/>
      <c r="I8" s="1442"/>
      <c r="J8" s="1442"/>
      <c r="K8" s="1441"/>
      <c r="L8" s="2493"/>
    </row>
    <row r="9" spans="1:15" s="1444" customFormat="1" ht="24" customHeight="1">
      <c r="A9" s="2494" t="s">
        <v>8</v>
      </c>
      <c r="B9" s="2496" t="s">
        <v>9</v>
      </c>
      <c r="C9" s="2497"/>
      <c r="D9" s="2497"/>
      <c r="E9" s="2500" t="s">
        <v>10</v>
      </c>
      <c r="F9" s="2502" t="s">
        <v>11</v>
      </c>
      <c r="G9" s="2504" t="s">
        <v>12</v>
      </c>
      <c r="H9" s="2505"/>
      <c r="I9" s="2506" t="s">
        <v>13</v>
      </c>
      <c r="J9" s="2474"/>
      <c r="K9" s="2263" t="s">
        <v>14</v>
      </c>
      <c r="L9" s="2507" t="s">
        <v>15</v>
      </c>
      <c r="M9" s="1443"/>
    </row>
    <row r="10" spans="1:15" s="1444" customFormat="1" ht="24" customHeight="1">
      <c r="A10" s="2495"/>
      <c r="B10" s="2498"/>
      <c r="C10" s="2499"/>
      <c r="D10" s="2499"/>
      <c r="E10" s="2501"/>
      <c r="F10" s="2503"/>
      <c r="G10" s="1445" t="s">
        <v>16</v>
      </c>
      <c r="H10" s="2262" t="s">
        <v>17</v>
      </c>
      <c r="I10" s="1446" t="s">
        <v>16</v>
      </c>
      <c r="J10" s="2262" t="s">
        <v>17</v>
      </c>
      <c r="K10" s="1447" t="s">
        <v>18</v>
      </c>
      <c r="L10" s="2508"/>
      <c r="M10" s="1443"/>
    </row>
    <row r="11" spans="1:15" ht="24" customHeight="1">
      <c r="A11" s="1143" t="s">
        <v>244</v>
      </c>
      <c r="B11" s="1144" t="s">
        <v>2127</v>
      </c>
      <c r="C11" s="1448"/>
      <c r="D11" s="1449"/>
      <c r="E11" s="1450"/>
      <c r="F11" s="1451"/>
      <c r="G11" s="1490"/>
      <c r="H11" s="746"/>
      <c r="I11" s="1454"/>
      <c r="J11" s="1455"/>
      <c r="K11" s="1456"/>
      <c r="L11" s="1456"/>
    </row>
    <row r="12" spans="1:15" s="886" customFormat="1" ht="24" customHeight="1">
      <c r="A12" s="1491" t="str">
        <f>A36</f>
        <v>7.1</v>
      </c>
      <c r="B12" s="1331" t="str">
        <f>B36</f>
        <v>เครื่องส่งลมเย็นแบบ Pre-Cooled Outdoor Air unit</v>
      </c>
      <c r="C12" s="1282"/>
      <c r="D12" s="1457"/>
      <c r="E12" s="1458">
        <v>1</v>
      </c>
      <c r="F12" s="1459" t="s">
        <v>19</v>
      </c>
      <c r="G12" s="1460"/>
      <c r="H12" s="751">
        <f>H44</f>
        <v>930500</v>
      </c>
      <c r="I12" s="1392"/>
      <c r="J12" s="1393">
        <f>J44</f>
        <v>12431</v>
      </c>
      <c r="K12" s="1022">
        <f t="shared" ref="K12:K24" si="0">SUM(H12:J12)</f>
        <v>942931</v>
      </c>
      <c r="L12" s="885"/>
      <c r="M12" s="1342"/>
      <c r="N12" s="886" t="str">
        <f t="shared" ref="N12:N24" si="1">"รวมราคารายการที่ "&amp;A12</f>
        <v>รวมราคารายการที่ 7.1</v>
      </c>
      <c r="O12" s="1461">
        <f t="array" ref="O12">MAX(IF($B$70:$B$907=N12,ROW($B$70:$B$907)))</f>
        <v>0</v>
      </c>
    </row>
    <row r="13" spans="1:15" s="886" customFormat="1" ht="24" customHeight="1">
      <c r="A13" s="1491" t="str">
        <f>A45</f>
        <v>7.2</v>
      </c>
      <c r="B13" s="1331" t="str">
        <f>B45</f>
        <v>เครื่องส่งลมเย็นขนาดใหญ่ (Air Handling Unit)</v>
      </c>
      <c r="C13" s="1282"/>
      <c r="D13" s="1457"/>
      <c r="E13" s="1458">
        <v>1</v>
      </c>
      <c r="F13" s="1459" t="s">
        <v>19</v>
      </c>
      <c r="G13" s="1460"/>
      <c r="H13" s="751">
        <f>H69</f>
        <v>3584100</v>
      </c>
      <c r="I13" s="1392"/>
      <c r="J13" s="1393">
        <f>J69</f>
        <v>389010</v>
      </c>
      <c r="K13" s="1022">
        <f t="shared" si="0"/>
        <v>3973110</v>
      </c>
      <c r="L13" s="885"/>
      <c r="M13" s="1342"/>
      <c r="N13" s="886" t="str">
        <f t="shared" si="1"/>
        <v>รวมราคารายการที่ 7.2</v>
      </c>
      <c r="O13" s="1461">
        <f t="array" ref="O13">MAX(IF($B$70:$B$907=N13,ROW($B$70:$B$907)))</f>
        <v>0</v>
      </c>
    </row>
    <row r="14" spans="1:15" s="886" customFormat="1" ht="24" customHeight="1">
      <c r="A14" s="1491" t="str">
        <f>A70</f>
        <v>7.3</v>
      </c>
      <c r="B14" s="1331" t="str">
        <f>B70</f>
        <v>เครื่องส่งลมเย็นขนาดเล็ก (Fan Coil Unit)</v>
      </c>
      <c r="C14" s="1282"/>
      <c r="D14" s="1457"/>
      <c r="E14" s="1458">
        <v>1</v>
      </c>
      <c r="F14" s="1459" t="s">
        <v>19</v>
      </c>
      <c r="G14" s="1460"/>
      <c r="H14" s="751">
        <f>H84</f>
        <v>84212</v>
      </c>
      <c r="I14" s="1392"/>
      <c r="J14" s="1393">
        <f>J84</f>
        <v>12320</v>
      </c>
      <c r="K14" s="1022">
        <f t="shared" si="0"/>
        <v>96532</v>
      </c>
      <c r="L14" s="885"/>
      <c r="M14" s="1342"/>
      <c r="N14" s="886" t="str">
        <f t="shared" si="1"/>
        <v>รวมราคารายการที่ 7.3</v>
      </c>
      <c r="O14" s="1461">
        <f t="array" ref="O14">MAX(IF($B$70:$B$907=N14,ROW($B$70:$B$907)))</f>
        <v>84</v>
      </c>
    </row>
    <row r="15" spans="1:15" s="886" customFormat="1" ht="24" customHeight="1">
      <c r="A15" s="1491" t="str">
        <f>A85</f>
        <v>7.4</v>
      </c>
      <c r="B15" s="1331" t="str">
        <f>B85</f>
        <v>อุปกรณ์ควบคุมอัตโนมัติ (Automatic Control Equipment)</v>
      </c>
      <c r="C15" s="1282"/>
      <c r="D15" s="1457"/>
      <c r="E15" s="1458">
        <v>1</v>
      </c>
      <c r="F15" s="1459" t="s">
        <v>19</v>
      </c>
      <c r="G15" s="1460"/>
      <c r="H15" s="751">
        <f>H96</f>
        <v>174924</v>
      </c>
      <c r="I15" s="1392"/>
      <c r="J15" s="1393">
        <f>J96</f>
        <v>4800</v>
      </c>
      <c r="K15" s="1022">
        <f t="shared" si="0"/>
        <v>179724</v>
      </c>
      <c r="L15" s="885"/>
      <c r="M15" s="1342"/>
      <c r="N15" s="886" t="str">
        <f t="shared" si="1"/>
        <v>รวมราคารายการที่ 7.4</v>
      </c>
      <c r="O15" s="1461">
        <f t="array" ref="O15">MAX(IF($B$70:$B$907=N15,ROW($B$70:$B$907)))</f>
        <v>96</v>
      </c>
    </row>
    <row r="16" spans="1:15" s="886" customFormat="1" ht="24" customHeight="1">
      <c r="A16" s="1491" t="str">
        <f>A97</f>
        <v>7.5</v>
      </c>
      <c r="B16" s="1331" t="str">
        <f>B97</f>
        <v>พัดลมระบายอากาศ (Ventilating Fan)</v>
      </c>
      <c r="C16" s="1282"/>
      <c r="D16" s="1457"/>
      <c r="E16" s="1458">
        <v>1</v>
      </c>
      <c r="F16" s="1459" t="s">
        <v>19</v>
      </c>
      <c r="G16" s="1460"/>
      <c r="H16" s="751">
        <f>H113</f>
        <v>69810</v>
      </c>
      <c r="I16" s="1392"/>
      <c r="J16" s="1393">
        <f>J113</f>
        <v>6300</v>
      </c>
      <c r="K16" s="1022">
        <f t="shared" si="0"/>
        <v>76110</v>
      </c>
      <c r="L16" s="885"/>
      <c r="M16" s="1342"/>
      <c r="N16" s="886" t="str">
        <f t="shared" si="1"/>
        <v>รวมราคารายการที่ 7.5</v>
      </c>
      <c r="O16" s="1461">
        <f t="array" ref="O16">MAX(IF($B$70:$B$907=N16,ROW($B$70:$B$907)))</f>
        <v>113</v>
      </c>
    </row>
    <row r="17" spans="1:15" s="886" customFormat="1" ht="24" customHeight="1">
      <c r="A17" s="1491" t="str">
        <f>A114</f>
        <v>7.6</v>
      </c>
      <c r="B17" s="1331" t="str">
        <f>B114</f>
        <v>ระบบกรองอากาศ (Air Filtration System)</v>
      </c>
      <c r="C17" s="1282"/>
      <c r="D17" s="1457"/>
      <c r="E17" s="1458">
        <v>1</v>
      </c>
      <c r="F17" s="1459" t="s">
        <v>19</v>
      </c>
      <c r="G17" s="1460"/>
      <c r="H17" s="751">
        <f>H122</f>
        <v>17800</v>
      </c>
      <c r="I17" s="1392"/>
      <c r="J17" s="1393">
        <f>J122</f>
        <v>3050</v>
      </c>
      <c r="K17" s="1022">
        <f t="shared" si="0"/>
        <v>20850</v>
      </c>
      <c r="L17" s="885"/>
      <c r="M17" s="1342"/>
      <c r="N17" s="886" t="str">
        <f t="shared" si="1"/>
        <v>รวมราคารายการที่ 7.6</v>
      </c>
      <c r="O17" s="1461">
        <f t="array" ref="O17">MAX(IF($B$70:$B$907=N17,ROW($B$70:$B$907)))</f>
        <v>122</v>
      </c>
    </row>
    <row r="18" spans="1:15" s="886" customFormat="1" ht="24" customHeight="1">
      <c r="A18" s="1491" t="str">
        <f>A123</f>
        <v>7.7</v>
      </c>
      <c r="B18" s="1331" t="str">
        <f>B123</f>
        <v>งานท่อ (Piping Work)</v>
      </c>
      <c r="C18" s="1282"/>
      <c r="D18" s="1457"/>
      <c r="E18" s="1458">
        <v>1</v>
      </c>
      <c r="F18" s="1459" t="s">
        <v>19</v>
      </c>
      <c r="G18" s="1460"/>
      <c r="H18" s="751">
        <f>H146</f>
        <v>316947</v>
      </c>
      <c r="I18" s="1392"/>
      <c r="J18" s="1393">
        <f>J146</f>
        <v>121986</v>
      </c>
      <c r="K18" s="1022">
        <f t="shared" si="0"/>
        <v>438933</v>
      </c>
      <c r="L18" s="885"/>
      <c r="M18" s="1342"/>
      <c r="N18" s="886" t="str">
        <f t="shared" si="1"/>
        <v>รวมราคารายการที่ 7.7</v>
      </c>
      <c r="O18" s="1461">
        <f t="array" ref="O18">MAX(IF($B$70:$B$907=N18,ROW($B$70:$B$907)))</f>
        <v>146</v>
      </c>
    </row>
    <row r="19" spans="1:15" s="886" customFormat="1" ht="24" customHeight="1">
      <c r="A19" s="1491" t="str">
        <f>A147</f>
        <v>7.8</v>
      </c>
      <c r="B19" s="1331" t="str">
        <f>B147</f>
        <v>ฉนวนหุ้มท่อ (Pipe Insulation)</v>
      </c>
      <c r="C19" s="1282"/>
      <c r="D19" s="1457"/>
      <c r="E19" s="1458">
        <v>1</v>
      </c>
      <c r="F19" s="1459" t="s">
        <v>19</v>
      </c>
      <c r="G19" s="1460"/>
      <c r="H19" s="751">
        <f>H164</f>
        <v>138568</v>
      </c>
      <c r="I19" s="1392"/>
      <c r="J19" s="1393">
        <f>J164</f>
        <v>39533</v>
      </c>
      <c r="K19" s="1022">
        <f t="shared" si="0"/>
        <v>178101</v>
      </c>
      <c r="L19" s="885"/>
      <c r="M19" s="1342"/>
      <c r="N19" s="886" t="str">
        <f t="shared" si="1"/>
        <v>รวมราคารายการที่ 7.8</v>
      </c>
      <c r="O19" s="1461">
        <f t="array" ref="O19">MAX(IF($B$70:$B$907=N19,ROW($B$70:$B$907)))</f>
        <v>164</v>
      </c>
    </row>
    <row r="20" spans="1:15" s="886" customFormat="1" ht="24" customHeight="1">
      <c r="A20" s="1491" t="str">
        <f>A165</f>
        <v>7.9</v>
      </c>
      <c r="B20" s="1331" t="str">
        <f>B165</f>
        <v>วาล์วและอุปกรณ์ประกอบ  (Valve &amp; Pipe Accessories)</v>
      </c>
      <c r="C20" s="1282"/>
      <c r="D20" s="1457"/>
      <c r="E20" s="1458">
        <v>1</v>
      </c>
      <c r="F20" s="1459" t="s">
        <v>19</v>
      </c>
      <c r="G20" s="1460"/>
      <c r="H20" s="751">
        <f>H189</f>
        <v>161056</v>
      </c>
      <c r="I20" s="1392"/>
      <c r="J20" s="1393">
        <f>J189</f>
        <v>23100</v>
      </c>
      <c r="K20" s="1022">
        <f t="shared" si="0"/>
        <v>184156</v>
      </c>
      <c r="L20" s="885"/>
      <c r="M20" s="1342"/>
      <c r="N20" s="886" t="str">
        <f t="shared" si="1"/>
        <v>รวมราคารายการที่ 7.9</v>
      </c>
      <c r="O20" s="1461">
        <f t="array" ref="O20">MAX(IF($B$70:$B$907=N20,ROW($B$70:$B$907)))</f>
        <v>189</v>
      </c>
    </row>
    <row r="21" spans="1:15" s="886" customFormat="1" ht="24" customHeight="1">
      <c r="A21" s="1491" t="str">
        <f>A190</f>
        <v>7.10</v>
      </c>
      <c r="B21" s="1331" t="str">
        <f>B190</f>
        <v>ระบบท่อลม (Duct Work)</v>
      </c>
      <c r="C21" s="1282"/>
      <c r="D21" s="1457"/>
      <c r="E21" s="1458">
        <v>1</v>
      </c>
      <c r="F21" s="1459" t="s">
        <v>19</v>
      </c>
      <c r="G21" s="1460"/>
      <c r="H21" s="751">
        <f>H214</f>
        <v>955985</v>
      </c>
      <c r="I21" s="1392"/>
      <c r="J21" s="1393">
        <f>J214</f>
        <v>607374</v>
      </c>
      <c r="K21" s="1022">
        <f t="shared" si="0"/>
        <v>1563359</v>
      </c>
      <c r="L21" s="885"/>
      <c r="M21" s="1342"/>
      <c r="N21" s="886" t="str">
        <f t="shared" si="1"/>
        <v>รวมราคารายการที่ 7.10</v>
      </c>
      <c r="O21" s="1461">
        <f t="array" ref="O21">MAX(IF($B$70:$B$907=N21,ROW($B$70:$B$907)))</f>
        <v>214</v>
      </c>
    </row>
    <row r="22" spans="1:15" s="886" customFormat="1" ht="24" customHeight="1">
      <c r="A22" s="1491" t="str">
        <f>A215</f>
        <v>7.11</v>
      </c>
      <c r="B22" s="1331" t="str">
        <f>B215</f>
        <v>ฉนวนหุ้มท่อลม (Duct Insulation)</v>
      </c>
      <c r="C22" s="1282"/>
      <c r="D22" s="1457"/>
      <c r="E22" s="1458">
        <v>1</v>
      </c>
      <c r="F22" s="1459" t="s">
        <v>19</v>
      </c>
      <c r="G22" s="1460"/>
      <c r="H22" s="751">
        <f>H222</f>
        <v>359080</v>
      </c>
      <c r="I22" s="1392"/>
      <c r="J22" s="1393">
        <f>J222</f>
        <v>114600</v>
      </c>
      <c r="K22" s="1022">
        <f t="shared" si="0"/>
        <v>473680</v>
      </c>
      <c r="L22" s="885"/>
      <c r="M22" s="1342"/>
      <c r="N22" s="886" t="str">
        <f t="shared" si="1"/>
        <v>รวมราคารายการที่ 7.11</v>
      </c>
      <c r="O22" s="1461">
        <f t="array" ref="O22">MAX(IF($B$70:$B$907=N22,ROW($B$70:$B$907)))</f>
        <v>222</v>
      </c>
    </row>
    <row r="23" spans="1:15" s="886" customFormat="1" ht="24" customHeight="1">
      <c r="A23" s="1491" t="str">
        <f>A223</f>
        <v>7.12</v>
      </c>
      <c r="B23" s="1331" t="str">
        <f>B223</f>
        <v>หน้ากากลม (Air Diffuser, Grille &amp; Register)</v>
      </c>
      <c r="C23" s="1282"/>
      <c r="D23" s="1457"/>
      <c r="E23" s="1458">
        <v>1</v>
      </c>
      <c r="F23" s="1459" t="s">
        <v>19</v>
      </c>
      <c r="G23" s="1460"/>
      <c r="H23" s="751">
        <f>H288</f>
        <v>683540</v>
      </c>
      <c r="I23" s="1392"/>
      <c r="J23" s="1393">
        <f>J288</f>
        <v>93500</v>
      </c>
      <c r="K23" s="1022">
        <f t="shared" si="0"/>
        <v>777040</v>
      </c>
      <c r="L23" s="885"/>
      <c r="M23" s="1342"/>
      <c r="N23" s="886" t="str">
        <f t="shared" si="1"/>
        <v>รวมราคารายการที่ 7.12</v>
      </c>
      <c r="O23" s="1461">
        <f t="array" ref="O23">MAX(IF($B$70:$B$907=N23,ROW($B$70:$B$907)))</f>
        <v>288</v>
      </c>
    </row>
    <row r="24" spans="1:15" s="886" customFormat="1" ht="24" customHeight="1">
      <c r="A24" s="1491" t="str">
        <f>A289</f>
        <v>7.13</v>
      </c>
      <c r="B24" s="1331" t="str">
        <f>B289</f>
        <v>ระบบไฟฟ้าและควบคุม (Electrical &amp; Control System)</v>
      </c>
      <c r="C24" s="1282"/>
      <c r="D24" s="1457"/>
      <c r="E24" s="1458">
        <v>1</v>
      </c>
      <c r="F24" s="1459" t="s">
        <v>19</v>
      </c>
      <c r="G24" s="1460"/>
      <c r="H24" s="751">
        <f>H323</f>
        <v>313958</v>
      </c>
      <c r="I24" s="1392"/>
      <c r="J24" s="1393">
        <f>J323</f>
        <v>45572</v>
      </c>
      <c r="K24" s="1022">
        <f t="shared" si="0"/>
        <v>359530</v>
      </c>
      <c r="L24" s="885"/>
      <c r="M24" s="1342"/>
      <c r="N24" s="886" t="str">
        <f t="shared" si="1"/>
        <v>รวมราคารายการที่ 7.13</v>
      </c>
      <c r="O24" s="1461">
        <f t="array" ref="O24">MAX(IF($B$70:$B$907=N24,ROW($B$70:$B$907)))</f>
        <v>323</v>
      </c>
    </row>
    <row r="25" spans="1:15" s="886" customFormat="1" ht="24" customHeight="1">
      <c r="A25" s="1491"/>
      <c r="B25" s="1339"/>
      <c r="C25" s="1469"/>
      <c r="D25" s="1470"/>
      <c r="E25" s="1458"/>
      <c r="F25" s="1471"/>
      <c r="G25" s="1472"/>
      <c r="H25" s="773"/>
      <c r="I25" s="1400"/>
      <c r="J25" s="1401"/>
      <c r="K25" s="1022"/>
      <c r="L25" s="1473"/>
      <c r="M25" s="1342"/>
    </row>
    <row r="26" spans="1:15" s="886" customFormat="1" ht="24" customHeight="1">
      <c r="A26" s="1474"/>
      <c r="B26" s="1331"/>
      <c r="C26" s="1282"/>
      <c r="D26" s="1457"/>
      <c r="E26" s="1458"/>
      <c r="F26" s="1459"/>
      <c r="G26" s="1460"/>
      <c r="H26" s="751"/>
      <c r="I26" s="1392"/>
      <c r="J26" s="1393"/>
      <c r="K26" s="1022"/>
      <c r="L26" s="885"/>
      <c r="M26" s="1342"/>
    </row>
    <row r="27" spans="1:15" s="886" customFormat="1" ht="24" customHeight="1">
      <c r="A27" s="1474"/>
      <c r="B27" s="1331"/>
      <c r="C27" s="1282"/>
      <c r="D27" s="1457"/>
      <c r="E27" s="1458"/>
      <c r="F27" s="1459"/>
      <c r="G27" s="1460"/>
      <c r="H27" s="751"/>
      <c r="I27" s="1392"/>
      <c r="J27" s="1393"/>
      <c r="K27" s="1022"/>
      <c r="L27" s="885"/>
      <c r="M27" s="1342"/>
    </row>
    <row r="28" spans="1:15" s="886" customFormat="1" ht="24" customHeight="1">
      <c r="A28" s="1474"/>
      <c r="B28" s="1331"/>
      <c r="C28" s="1282"/>
      <c r="D28" s="1457"/>
      <c r="E28" s="1458"/>
      <c r="F28" s="1459"/>
      <c r="G28" s="1460"/>
      <c r="H28" s="751"/>
      <c r="I28" s="1392"/>
      <c r="J28" s="1393"/>
      <c r="K28" s="1022"/>
      <c r="L28" s="885"/>
      <c r="M28" s="1342"/>
    </row>
    <row r="29" spans="1:15" s="886" customFormat="1" ht="24" customHeight="1">
      <c r="A29" s="1474"/>
      <c r="B29" s="1331"/>
      <c r="C29" s="1282"/>
      <c r="D29" s="1457"/>
      <c r="E29" s="1458"/>
      <c r="F29" s="1459"/>
      <c r="G29" s="1460"/>
      <c r="H29" s="751"/>
      <c r="I29" s="1392"/>
      <c r="J29" s="1393"/>
      <c r="K29" s="1022"/>
      <c r="L29" s="885"/>
      <c r="M29" s="1342"/>
    </row>
    <row r="30" spans="1:15" s="886" customFormat="1" ht="24" customHeight="1">
      <c r="A30" s="1474"/>
      <c r="B30" s="1331"/>
      <c r="C30" s="1282"/>
      <c r="D30" s="1457"/>
      <c r="E30" s="1458"/>
      <c r="F30" s="1459"/>
      <c r="G30" s="1460"/>
      <c r="H30" s="751"/>
      <c r="I30" s="1392"/>
      <c r="J30" s="1393"/>
      <c r="K30" s="1022"/>
      <c r="L30" s="885"/>
      <c r="M30" s="1342"/>
    </row>
    <row r="31" spans="1:15" s="886" customFormat="1" ht="24" customHeight="1">
      <c r="A31" s="1474"/>
      <c r="B31" s="1331"/>
      <c r="C31" s="1282"/>
      <c r="D31" s="1457"/>
      <c r="E31" s="1458"/>
      <c r="F31" s="1459"/>
      <c r="G31" s="1460"/>
      <c r="H31" s="751"/>
      <c r="I31" s="1392"/>
      <c r="J31" s="1393"/>
      <c r="K31" s="1022"/>
      <c r="L31" s="885"/>
      <c r="M31" s="1342"/>
    </row>
    <row r="32" spans="1:15" s="886" customFormat="1" ht="24" customHeight="1">
      <c r="A32" s="1474"/>
      <c r="B32" s="1331"/>
      <c r="C32" s="1282"/>
      <c r="D32" s="1457"/>
      <c r="E32" s="1458"/>
      <c r="F32" s="1459"/>
      <c r="G32" s="1460"/>
      <c r="H32" s="751"/>
      <c r="I32" s="1392"/>
      <c r="J32" s="1393"/>
      <c r="K32" s="1022"/>
      <c r="L32" s="885"/>
      <c r="M32" s="1342"/>
    </row>
    <row r="33" spans="1:16" s="886" customFormat="1" ht="24" customHeight="1">
      <c r="A33" s="1474"/>
      <c r="B33" s="1331"/>
      <c r="C33" s="1282"/>
      <c r="D33" s="1457"/>
      <c r="E33" s="1458"/>
      <c r="F33" s="1459"/>
      <c r="G33" s="1460"/>
      <c r="H33" s="751"/>
      <c r="I33" s="1392"/>
      <c r="J33" s="1393"/>
      <c r="K33" s="1022"/>
      <c r="L33" s="885"/>
      <c r="M33" s="1342"/>
    </row>
    <row r="34" spans="1:16" s="886" customFormat="1" ht="24" customHeight="1">
      <c r="A34" s="1474"/>
      <c r="B34" s="1331"/>
      <c r="C34" s="1282"/>
      <c r="D34" s="1457"/>
      <c r="E34" s="1458"/>
      <c r="F34" s="1459"/>
      <c r="G34" s="1460"/>
      <c r="H34" s="751"/>
      <c r="I34" s="1392"/>
      <c r="J34" s="1393"/>
      <c r="K34" s="1022"/>
      <c r="L34" s="885"/>
      <c r="M34" s="1342"/>
    </row>
    <row r="35" spans="1:16" s="886" customFormat="1" ht="24" customHeight="1">
      <c r="A35" s="1166"/>
      <c r="B35" s="2475" t="s">
        <v>2128</v>
      </c>
      <c r="C35" s="2476"/>
      <c r="D35" s="2476"/>
      <c r="E35" s="1167"/>
      <c r="F35" s="1381"/>
      <c r="G35" s="1168"/>
      <c r="H35" s="1169">
        <f>SUM(H12:H34)</f>
        <v>7790480</v>
      </c>
      <c r="I35" s="1170"/>
      <c r="J35" s="1382">
        <f>SUM(J12:J34)</f>
        <v>1473576</v>
      </c>
      <c r="K35" s="1171">
        <f>SUM(K12:K34)</f>
        <v>9264056</v>
      </c>
      <c r="L35" s="1475"/>
      <c r="M35" s="1342"/>
    </row>
    <row r="36" spans="1:16" s="886" customFormat="1" ht="24" customHeight="1">
      <c r="A36" s="1491" t="s">
        <v>1987</v>
      </c>
      <c r="B36" s="1331" t="s">
        <v>2129</v>
      </c>
      <c r="C36" s="1282"/>
      <c r="D36" s="1457"/>
      <c r="E36" s="1458"/>
      <c r="F36" s="1459"/>
      <c r="G36" s="1460"/>
      <c r="H36" s="751"/>
      <c r="I36" s="1392"/>
      <c r="J36" s="1393"/>
      <c r="K36" s="1022"/>
      <c r="L36" s="885"/>
      <c r="M36" s="1342"/>
    </row>
    <row r="37" spans="1:16" s="886" customFormat="1" ht="24" customHeight="1">
      <c r="A37" s="1474" t="s">
        <v>1904</v>
      </c>
      <c r="B37" s="1331" t="s">
        <v>2130</v>
      </c>
      <c r="C37" s="1282"/>
      <c r="D37" s="1457"/>
      <c r="E37" s="1458"/>
      <c r="F37" s="1459"/>
      <c r="G37" s="1460"/>
      <c r="H37" s="751"/>
      <c r="I37" s="1392"/>
      <c r="J37" s="1393"/>
      <c r="K37" s="1022"/>
      <c r="L37" s="885"/>
      <c r="M37" s="1342"/>
    </row>
    <row r="38" spans="1:16" s="886" customFormat="1" ht="24" customHeight="1">
      <c r="A38" s="1474"/>
      <c r="B38" s="1331" t="s">
        <v>2131</v>
      </c>
      <c r="C38" s="1282"/>
      <c r="D38" s="1457"/>
      <c r="E38" s="1022">
        <v>1</v>
      </c>
      <c r="F38" s="1459" t="s">
        <v>240</v>
      </c>
      <c r="G38" s="1392">
        <v>915100</v>
      </c>
      <c r="H38" s="1175">
        <f>E38*G38</f>
        <v>915100</v>
      </c>
      <c r="I38" s="1492">
        <f>G38*0.01</f>
        <v>9151</v>
      </c>
      <c r="J38" s="1493">
        <f>I38*E38</f>
        <v>9151</v>
      </c>
      <c r="K38" s="825">
        <f>H38+J38</f>
        <v>924251</v>
      </c>
      <c r="L38" s="885"/>
      <c r="M38" s="1342"/>
    </row>
    <row r="39" spans="1:16" s="886" customFormat="1" ht="24" customHeight="1">
      <c r="A39" s="1474" t="s">
        <v>1906</v>
      </c>
      <c r="B39" s="1331" t="s">
        <v>2132</v>
      </c>
      <c r="C39" s="1282"/>
      <c r="D39" s="1457"/>
      <c r="E39" s="1022">
        <v>1</v>
      </c>
      <c r="F39" s="1459" t="s">
        <v>240</v>
      </c>
      <c r="G39" s="1392">
        <v>1800</v>
      </c>
      <c r="H39" s="864">
        <f>ROUND(E39*G39,)</f>
        <v>1800</v>
      </c>
      <c r="I39" s="1396" t="s">
        <v>974</v>
      </c>
      <c r="J39" s="1395"/>
      <c r="K39" s="966">
        <f>H39+J39</f>
        <v>1800</v>
      </c>
      <c r="L39" s="885"/>
      <c r="M39" s="1342"/>
    </row>
    <row r="40" spans="1:16" s="886" customFormat="1" ht="24" customHeight="1">
      <c r="A40" s="1474" t="s">
        <v>1995</v>
      </c>
      <c r="B40" s="1331" t="s">
        <v>1996</v>
      </c>
      <c r="C40" s="1282"/>
      <c r="D40" s="1457"/>
      <c r="E40" s="1022">
        <v>4</v>
      </c>
      <c r="F40" s="1459" t="s">
        <v>240</v>
      </c>
      <c r="G40" s="1392">
        <v>2400</v>
      </c>
      <c r="H40" s="864">
        <f>ROUND(E40*G40,)</f>
        <v>9600</v>
      </c>
      <c r="I40" s="1392">
        <v>720</v>
      </c>
      <c r="J40" s="1395">
        <f>ROUND(E40*I40,)</f>
        <v>2880</v>
      </c>
      <c r="K40" s="966">
        <f>H40+J40</f>
        <v>12480</v>
      </c>
      <c r="L40" s="885"/>
      <c r="M40" s="1342"/>
    </row>
    <row r="41" spans="1:16" s="886" customFormat="1" ht="24" customHeight="1">
      <c r="A41" s="1474" t="s">
        <v>2133</v>
      </c>
      <c r="B41" s="1331" t="s">
        <v>2134</v>
      </c>
      <c r="C41" s="1282"/>
      <c r="D41" s="1457"/>
      <c r="E41" s="1022">
        <v>1</v>
      </c>
      <c r="F41" s="1459" t="s">
        <v>240</v>
      </c>
      <c r="G41" s="1460">
        <v>4000</v>
      </c>
      <c r="H41" s="864">
        <f>ROUND(E41*G41,)</f>
        <v>4000</v>
      </c>
      <c r="I41" s="1392">
        <v>400</v>
      </c>
      <c r="J41" s="1395">
        <f>ROUND(E41*I41,)</f>
        <v>400</v>
      </c>
      <c r="K41" s="966">
        <f>H41+J41</f>
        <v>4400</v>
      </c>
      <c r="L41" s="885"/>
      <c r="M41" s="1342"/>
    </row>
    <row r="42" spans="1:16" s="886" customFormat="1" ht="24" customHeight="1">
      <c r="A42" s="1474"/>
      <c r="B42" s="1331" t="s">
        <v>957</v>
      </c>
      <c r="C42" s="1282"/>
      <c r="D42" s="1457"/>
      <c r="E42" s="1022"/>
      <c r="F42" s="1459"/>
      <c r="G42" s="1460"/>
      <c r="H42" s="751"/>
      <c r="I42" s="1392"/>
      <c r="J42" s="1393"/>
      <c r="K42" s="1022"/>
      <c r="L42" s="885"/>
      <c r="M42" s="1342"/>
    </row>
    <row r="43" spans="1:16" s="886" customFormat="1" ht="24" customHeight="1">
      <c r="A43" s="1474"/>
      <c r="B43" s="1331"/>
      <c r="C43" s="1282"/>
      <c r="D43" s="1457"/>
      <c r="E43" s="1022"/>
      <c r="F43" s="1459"/>
      <c r="G43" s="1460"/>
      <c r="H43" s="751"/>
      <c r="I43" s="1392"/>
      <c r="J43" s="1393"/>
      <c r="K43" s="1022"/>
      <c r="L43" s="885"/>
      <c r="M43" s="1342"/>
    </row>
    <row r="44" spans="1:16" s="886" customFormat="1" ht="24" customHeight="1">
      <c r="A44" s="1166"/>
      <c r="B44" s="2475" t="str">
        <f>"รวมราคารายการที่ "&amp;A36</f>
        <v>รวมราคารายการที่ 7.1</v>
      </c>
      <c r="C44" s="2476"/>
      <c r="D44" s="2476"/>
      <c r="E44" s="1167"/>
      <c r="F44" s="1381"/>
      <c r="G44" s="1168"/>
      <c r="H44" s="1169">
        <f>SUM(H36:H43)</f>
        <v>930500</v>
      </c>
      <c r="I44" s="1170"/>
      <c r="J44" s="1382">
        <f>SUM(J36:J43)</f>
        <v>12431</v>
      </c>
      <c r="K44" s="1171">
        <f>SUM(K36:K43)</f>
        <v>942931</v>
      </c>
      <c r="L44" s="1171"/>
      <c r="M44" s="1342"/>
    </row>
    <row r="45" spans="1:16" s="1329" customFormat="1" ht="24" customHeight="1">
      <c r="A45" s="1383" t="s">
        <v>1997</v>
      </c>
      <c r="B45" s="1384" t="s">
        <v>2135</v>
      </c>
      <c r="C45" s="1385"/>
      <c r="D45" s="1386"/>
      <c r="E45" s="1387"/>
      <c r="F45" s="1388"/>
      <c r="G45" s="1389"/>
      <c r="H45" s="864"/>
      <c r="I45" s="1389"/>
      <c r="J45" s="1395"/>
      <c r="K45" s="966"/>
      <c r="L45" s="1387"/>
      <c r="M45" s="1328"/>
    </row>
    <row r="46" spans="1:16" s="1329" customFormat="1" ht="24" customHeight="1">
      <c r="A46" s="1330" t="s">
        <v>1910</v>
      </c>
      <c r="B46" s="1331" t="s">
        <v>2130</v>
      </c>
      <c r="C46" s="1349"/>
      <c r="D46" s="801"/>
      <c r="E46" s="1022"/>
      <c r="F46" s="1333"/>
      <c r="G46" s="1392"/>
      <c r="H46" s="751"/>
      <c r="I46" s="1392"/>
      <c r="J46" s="1393"/>
      <c r="K46" s="1022"/>
      <c r="L46" s="1022"/>
      <c r="M46" s="1328"/>
    </row>
    <row r="47" spans="1:16" s="1329" customFormat="1" ht="24" customHeight="1">
      <c r="A47" s="1330"/>
      <c r="B47" s="1331" t="str">
        <f t="shared" ref="B47:B63" si="2">"  -  "&amp;M47&amp;", ("&amp;P47&amp;" kW,"&amp;N47&amp;" L/s)"</f>
        <v xml:space="preserve">  -  C1-1A-01, (105 kW,6700 L/s)</v>
      </c>
      <c r="C47" s="1349"/>
      <c r="D47" s="801"/>
      <c r="E47" s="1022">
        <f t="shared" ref="E47:E63" si="3">O47</f>
        <v>1</v>
      </c>
      <c r="F47" s="1333" t="s">
        <v>240</v>
      </c>
      <c r="G47" s="1394">
        <v>366400</v>
      </c>
      <c r="H47" s="864">
        <f t="shared" ref="H47:H63" si="4">ROUND(E47*G47,)</f>
        <v>366400</v>
      </c>
      <c r="I47" s="1392">
        <f t="shared" ref="I47:I63" si="5">G47*0.1</f>
        <v>36640</v>
      </c>
      <c r="J47" s="1395">
        <f t="shared" ref="J47:J63" si="6">ROUND(E47*I47,)</f>
        <v>36640</v>
      </c>
      <c r="K47" s="966">
        <f t="shared" ref="K47:K63" si="7">H47+J47</f>
        <v>403040</v>
      </c>
      <c r="L47" s="1022"/>
      <c r="M47" s="1328" t="s">
        <v>2136</v>
      </c>
      <c r="N47" s="1329">
        <v>6700</v>
      </c>
      <c r="O47" s="1329">
        <v>1</v>
      </c>
      <c r="P47" s="1494">
        <v>105</v>
      </c>
    </row>
    <row r="48" spans="1:16" s="1329" customFormat="1" ht="24" customHeight="1">
      <c r="A48" s="1330"/>
      <c r="B48" s="1331" t="str">
        <f t="shared" si="2"/>
        <v xml:space="preserve">  -  C1-1A-02, (60 kW,3800 L/s)</v>
      </c>
      <c r="C48" s="1349"/>
      <c r="D48" s="801"/>
      <c r="E48" s="1022">
        <f t="shared" si="3"/>
        <v>1</v>
      </c>
      <c r="F48" s="1333" t="s">
        <v>240</v>
      </c>
      <c r="G48" s="1394">
        <v>215000</v>
      </c>
      <c r="H48" s="864">
        <f t="shared" si="4"/>
        <v>215000</v>
      </c>
      <c r="I48" s="1392">
        <f t="shared" si="5"/>
        <v>21500</v>
      </c>
      <c r="J48" s="1395">
        <f t="shared" si="6"/>
        <v>21500</v>
      </c>
      <c r="K48" s="966">
        <f t="shared" si="7"/>
        <v>236500</v>
      </c>
      <c r="L48" s="1022"/>
      <c r="M48" s="1328" t="s">
        <v>2137</v>
      </c>
      <c r="N48" s="1329">
        <v>3800</v>
      </c>
      <c r="O48" s="1329">
        <v>1</v>
      </c>
      <c r="P48" s="1495">
        <v>60</v>
      </c>
    </row>
    <row r="49" spans="1:16" s="1329" customFormat="1" ht="24" customHeight="1">
      <c r="A49" s="1330"/>
      <c r="B49" s="1331" t="str">
        <f t="shared" si="2"/>
        <v xml:space="preserve">  -  C1-1A-03, (32 kW,1800 L/s)</v>
      </c>
      <c r="C49" s="1349"/>
      <c r="D49" s="801"/>
      <c r="E49" s="1022">
        <f t="shared" si="3"/>
        <v>1</v>
      </c>
      <c r="F49" s="1333" t="s">
        <v>240</v>
      </c>
      <c r="G49" s="1394">
        <v>157400</v>
      </c>
      <c r="H49" s="864">
        <f t="shared" si="4"/>
        <v>157400</v>
      </c>
      <c r="I49" s="1392">
        <f t="shared" si="5"/>
        <v>15740</v>
      </c>
      <c r="J49" s="1395">
        <f t="shared" si="6"/>
        <v>15740</v>
      </c>
      <c r="K49" s="966">
        <f t="shared" si="7"/>
        <v>173140</v>
      </c>
      <c r="L49" s="1022"/>
      <c r="M49" s="1328" t="s">
        <v>2138</v>
      </c>
      <c r="N49" s="1329">
        <v>1800</v>
      </c>
      <c r="O49" s="1329">
        <v>1</v>
      </c>
      <c r="P49" s="1495">
        <v>32</v>
      </c>
    </row>
    <row r="50" spans="1:16" s="1329" customFormat="1" ht="24" customHeight="1">
      <c r="A50" s="1330"/>
      <c r="B50" s="1331" t="str">
        <f t="shared" si="2"/>
        <v xml:space="preserve">  -  C1-1A-04, (21 kW,1200 L/s)</v>
      </c>
      <c r="C50" s="1349"/>
      <c r="D50" s="801"/>
      <c r="E50" s="1022">
        <f t="shared" si="3"/>
        <v>1</v>
      </c>
      <c r="F50" s="1333" t="s">
        <v>240</v>
      </c>
      <c r="G50" s="1394">
        <v>157400</v>
      </c>
      <c r="H50" s="864">
        <f t="shared" si="4"/>
        <v>157400</v>
      </c>
      <c r="I50" s="1392">
        <f t="shared" si="5"/>
        <v>15740</v>
      </c>
      <c r="J50" s="1395">
        <f t="shared" si="6"/>
        <v>15740</v>
      </c>
      <c r="K50" s="966">
        <f t="shared" si="7"/>
        <v>173140</v>
      </c>
      <c r="L50" s="1022"/>
      <c r="M50" s="1328" t="s">
        <v>2139</v>
      </c>
      <c r="N50" s="1329">
        <v>1200</v>
      </c>
      <c r="O50" s="1329">
        <v>1</v>
      </c>
      <c r="P50" s="1495">
        <v>21</v>
      </c>
    </row>
    <row r="51" spans="1:16" s="1329" customFormat="1" ht="24" customHeight="1">
      <c r="A51" s="1330"/>
      <c r="B51" s="1331" t="str">
        <f t="shared" si="2"/>
        <v xml:space="preserve">  -  C1-1A-05, (21 kW,1200 L/s)</v>
      </c>
      <c r="C51" s="1349"/>
      <c r="D51" s="801"/>
      <c r="E51" s="1022">
        <f t="shared" si="3"/>
        <v>1</v>
      </c>
      <c r="F51" s="1333" t="s">
        <v>240</v>
      </c>
      <c r="G51" s="1394">
        <v>157400</v>
      </c>
      <c r="H51" s="864">
        <f t="shared" si="4"/>
        <v>157400</v>
      </c>
      <c r="I51" s="1392">
        <f t="shared" si="5"/>
        <v>15740</v>
      </c>
      <c r="J51" s="1395">
        <f t="shared" si="6"/>
        <v>15740</v>
      </c>
      <c r="K51" s="966">
        <f t="shared" si="7"/>
        <v>173140</v>
      </c>
      <c r="L51" s="1022"/>
      <c r="M51" s="1328" t="s">
        <v>2140</v>
      </c>
      <c r="N51" s="1329">
        <v>1200</v>
      </c>
      <c r="O51" s="1329">
        <v>1</v>
      </c>
      <c r="P51" s="1495">
        <v>21</v>
      </c>
    </row>
    <row r="52" spans="1:16" s="1329" customFormat="1" ht="24" customHeight="1">
      <c r="A52" s="1330"/>
      <c r="B52" s="1331" t="str">
        <f t="shared" si="2"/>
        <v xml:space="preserve">  -  C1-1A-06, (21 kW,1200 L/s)</v>
      </c>
      <c r="C52" s="1349"/>
      <c r="D52" s="801"/>
      <c r="E52" s="1022">
        <f t="shared" si="3"/>
        <v>1</v>
      </c>
      <c r="F52" s="1333" t="s">
        <v>240</v>
      </c>
      <c r="G52" s="1394">
        <v>157400</v>
      </c>
      <c r="H52" s="864">
        <f t="shared" si="4"/>
        <v>157400</v>
      </c>
      <c r="I52" s="1392">
        <f t="shared" si="5"/>
        <v>15740</v>
      </c>
      <c r="J52" s="1395">
        <f t="shared" si="6"/>
        <v>15740</v>
      </c>
      <c r="K52" s="966">
        <f t="shared" si="7"/>
        <v>173140</v>
      </c>
      <c r="L52" s="1022"/>
      <c r="M52" s="1328" t="s">
        <v>2141</v>
      </c>
      <c r="N52" s="1329">
        <v>1200</v>
      </c>
      <c r="O52" s="1329">
        <v>1</v>
      </c>
      <c r="P52" s="1495">
        <v>21</v>
      </c>
    </row>
    <row r="53" spans="1:16" s="1329" customFormat="1" ht="24" customHeight="1">
      <c r="A53" s="1330"/>
      <c r="B53" s="1331" t="str">
        <f t="shared" si="2"/>
        <v xml:space="preserve">  -  C1-1A-07, (21 kW,1200 L/s)</v>
      </c>
      <c r="C53" s="1349"/>
      <c r="D53" s="801"/>
      <c r="E53" s="1022">
        <f t="shared" si="3"/>
        <v>1</v>
      </c>
      <c r="F53" s="1333" t="s">
        <v>240</v>
      </c>
      <c r="G53" s="1394">
        <v>157400</v>
      </c>
      <c r="H53" s="864">
        <f t="shared" si="4"/>
        <v>157400</v>
      </c>
      <c r="I53" s="1392">
        <f t="shared" si="5"/>
        <v>15740</v>
      </c>
      <c r="J53" s="1395">
        <f t="shared" si="6"/>
        <v>15740</v>
      </c>
      <c r="K53" s="966">
        <f t="shared" si="7"/>
        <v>173140</v>
      </c>
      <c r="L53" s="1022"/>
      <c r="M53" s="1328" t="s">
        <v>2142</v>
      </c>
      <c r="N53" s="1329">
        <v>1200</v>
      </c>
      <c r="O53" s="1329">
        <v>1</v>
      </c>
      <c r="P53" s="1495">
        <v>21</v>
      </c>
    </row>
    <row r="54" spans="1:16" s="1329" customFormat="1" ht="24" customHeight="1">
      <c r="A54" s="1330"/>
      <c r="B54" s="1331" t="str">
        <f t="shared" si="2"/>
        <v xml:space="preserve">  -  C1-1A-08, (21 kW,1200 L/s)</v>
      </c>
      <c r="C54" s="1349"/>
      <c r="D54" s="801"/>
      <c r="E54" s="1022">
        <f t="shared" si="3"/>
        <v>1</v>
      </c>
      <c r="F54" s="1333" t="s">
        <v>240</v>
      </c>
      <c r="G54" s="1394">
        <v>157400</v>
      </c>
      <c r="H54" s="864">
        <f t="shared" si="4"/>
        <v>157400</v>
      </c>
      <c r="I54" s="1392">
        <f t="shared" si="5"/>
        <v>15740</v>
      </c>
      <c r="J54" s="1395">
        <f t="shared" si="6"/>
        <v>15740</v>
      </c>
      <c r="K54" s="966">
        <f t="shared" si="7"/>
        <v>173140</v>
      </c>
      <c r="L54" s="1022"/>
      <c r="M54" s="1328" t="s">
        <v>2143</v>
      </c>
      <c r="N54" s="1329">
        <v>1200</v>
      </c>
      <c r="O54" s="1329">
        <v>1</v>
      </c>
      <c r="P54" s="1495">
        <v>21</v>
      </c>
    </row>
    <row r="55" spans="1:16" s="1329" customFormat="1" ht="24" customHeight="1">
      <c r="A55" s="1330"/>
      <c r="B55" s="1331" t="str">
        <f t="shared" si="2"/>
        <v xml:space="preserve">  -  C1-1A-09, (21 kW,1200 L/s)</v>
      </c>
      <c r="C55" s="1349"/>
      <c r="D55" s="801"/>
      <c r="E55" s="1022">
        <f t="shared" si="3"/>
        <v>1</v>
      </c>
      <c r="F55" s="1333" t="s">
        <v>240</v>
      </c>
      <c r="G55" s="1394">
        <v>157400</v>
      </c>
      <c r="H55" s="864">
        <f t="shared" si="4"/>
        <v>157400</v>
      </c>
      <c r="I55" s="1392">
        <f t="shared" si="5"/>
        <v>15740</v>
      </c>
      <c r="J55" s="1395">
        <f t="shared" si="6"/>
        <v>15740</v>
      </c>
      <c r="K55" s="966">
        <f t="shared" si="7"/>
        <v>173140</v>
      </c>
      <c r="L55" s="1022"/>
      <c r="M55" s="1328" t="s">
        <v>2144</v>
      </c>
      <c r="N55" s="1329">
        <v>1200</v>
      </c>
      <c r="O55" s="1329">
        <v>1</v>
      </c>
      <c r="P55" s="1495">
        <v>21</v>
      </c>
    </row>
    <row r="56" spans="1:16" s="1329" customFormat="1" ht="24" customHeight="1">
      <c r="A56" s="1330"/>
      <c r="B56" s="1331" t="str">
        <f t="shared" si="2"/>
        <v xml:space="preserve">  -  C2-1A-01, (105 kW,6700 L/s)</v>
      </c>
      <c r="C56" s="1349"/>
      <c r="D56" s="801"/>
      <c r="E56" s="1022">
        <f t="shared" si="3"/>
        <v>1</v>
      </c>
      <c r="F56" s="1333" t="s">
        <v>240</v>
      </c>
      <c r="G56" s="1394">
        <v>366400</v>
      </c>
      <c r="H56" s="864">
        <f t="shared" si="4"/>
        <v>366400</v>
      </c>
      <c r="I56" s="1392">
        <f t="shared" si="5"/>
        <v>36640</v>
      </c>
      <c r="J56" s="1395">
        <f t="shared" si="6"/>
        <v>36640</v>
      </c>
      <c r="K56" s="966">
        <f t="shared" si="7"/>
        <v>403040</v>
      </c>
      <c r="L56" s="1022"/>
      <c r="M56" s="1328" t="s">
        <v>2145</v>
      </c>
      <c r="N56" s="1329">
        <v>6700</v>
      </c>
      <c r="O56" s="1329">
        <v>1</v>
      </c>
      <c r="P56" s="1495">
        <v>105</v>
      </c>
    </row>
    <row r="57" spans="1:16" s="1329" customFormat="1" ht="24" customHeight="1">
      <c r="A57" s="1330"/>
      <c r="B57" s="1331" t="str">
        <f t="shared" si="2"/>
        <v xml:space="preserve">  -  C2-1A-02, (42.2 kW,2700 L/s)</v>
      </c>
      <c r="C57" s="1349"/>
      <c r="D57" s="801"/>
      <c r="E57" s="1022">
        <f t="shared" si="3"/>
        <v>1</v>
      </c>
      <c r="F57" s="1333" t="s">
        <v>240</v>
      </c>
      <c r="G57" s="1394">
        <v>406500</v>
      </c>
      <c r="H57" s="864">
        <f t="shared" si="4"/>
        <v>406500</v>
      </c>
      <c r="I57" s="1392">
        <f t="shared" si="5"/>
        <v>40650</v>
      </c>
      <c r="J57" s="1395">
        <f t="shared" si="6"/>
        <v>40650</v>
      </c>
      <c r="K57" s="966">
        <f t="shared" si="7"/>
        <v>447150</v>
      </c>
      <c r="L57" s="1022"/>
      <c r="M57" s="1328" t="s">
        <v>2146</v>
      </c>
      <c r="N57" s="1329">
        <v>2700</v>
      </c>
      <c r="O57" s="1329">
        <v>1</v>
      </c>
      <c r="P57" s="1495">
        <v>42.2</v>
      </c>
    </row>
    <row r="58" spans="1:16" s="1329" customFormat="1" ht="24" customHeight="1">
      <c r="A58" s="1330"/>
      <c r="B58" s="1331" t="str">
        <f t="shared" si="2"/>
        <v xml:space="preserve">  -  C2-1A-03, (42.2 kW,2700 L/s)</v>
      </c>
      <c r="C58" s="1349"/>
      <c r="D58" s="801"/>
      <c r="E58" s="1022">
        <f t="shared" si="3"/>
        <v>1</v>
      </c>
      <c r="F58" s="1333" t="s">
        <v>240</v>
      </c>
      <c r="G58" s="1394">
        <v>157400</v>
      </c>
      <c r="H58" s="864">
        <f t="shared" si="4"/>
        <v>157400</v>
      </c>
      <c r="I58" s="1392">
        <f t="shared" si="5"/>
        <v>15740</v>
      </c>
      <c r="J58" s="1395">
        <f t="shared" si="6"/>
        <v>15740</v>
      </c>
      <c r="K58" s="966">
        <f t="shared" si="7"/>
        <v>173140</v>
      </c>
      <c r="L58" s="1022"/>
      <c r="M58" s="1328" t="s">
        <v>2147</v>
      </c>
      <c r="N58" s="1329">
        <v>2700</v>
      </c>
      <c r="O58" s="1329">
        <v>1</v>
      </c>
      <c r="P58" s="1495">
        <v>42.2</v>
      </c>
    </row>
    <row r="59" spans="1:16" s="1329" customFormat="1" ht="24" customHeight="1">
      <c r="A59" s="1330"/>
      <c r="B59" s="1331" t="str">
        <f t="shared" si="2"/>
        <v xml:space="preserve">  -  C2-1A-04, (32 kW,1800 L/s)</v>
      </c>
      <c r="C59" s="1349"/>
      <c r="D59" s="801"/>
      <c r="E59" s="1022">
        <f t="shared" si="3"/>
        <v>1</v>
      </c>
      <c r="F59" s="1333" t="s">
        <v>240</v>
      </c>
      <c r="G59" s="1394">
        <v>157400</v>
      </c>
      <c r="H59" s="864">
        <f t="shared" si="4"/>
        <v>157400</v>
      </c>
      <c r="I59" s="1392">
        <f t="shared" si="5"/>
        <v>15740</v>
      </c>
      <c r="J59" s="1395">
        <f t="shared" si="6"/>
        <v>15740</v>
      </c>
      <c r="K59" s="966">
        <f t="shared" si="7"/>
        <v>173140</v>
      </c>
      <c r="L59" s="1022"/>
      <c r="M59" s="1328" t="s">
        <v>2148</v>
      </c>
      <c r="N59" s="1329">
        <v>1800</v>
      </c>
      <c r="O59" s="1329">
        <v>1</v>
      </c>
      <c r="P59" s="1495">
        <v>32</v>
      </c>
    </row>
    <row r="60" spans="1:16" s="1329" customFormat="1" ht="24" customHeight="1">
      <c r="A60" s="1330"/>
      <c r="B60" s="1331" t="str">
        <f t="shared" si="2"/>
        <v xml:space="preserve">  -  C2-1A-05, (21 kW,1200 L/s)</v>
      </c>
      <c r="C60" s="1349"/>
      <c r="D60" s="801"/>
      <c r="E60" s="1022">
        <f t="shared" si="3"/>
        <v>1</v>
      </c>
      <c r="F60" s="1333" t="s">
        <v>240</v>
      </c>
      <c r="G60" s="1394">
        <v>157400</v>
      </c>
      <c r="H60" s="864">
        <f t="shared" si="4"/>
        <v>157400</v>
      </c>
      <c r="I60" s="1392">
        <f t="shared" si="5"/>
        <v>15740</v>
      </c>
      <c r="J60" s="1395">
        <f t="shared" si="6"/>
        <v>15740</v>
      </c>
      <c r="K60" s="966">
        <f t="shared" si="7"/>
        <v>173140</v>
      </c>
      <c r="L60" s="1022"/>
      <c r="M60" s="1328" t="s">
        <v>2149</v>
      </c>
      <c r="N60" s="1329">
        <v>1200</v>
      </c>
      <c r="O60" s="1329">
        <v>1</v>
      </c>
      <c r="P60" s="1495">
        <v>21</v>
      </c>
    </row>
    <row r="61" spans="1:16" s="1329" customFormat="1" ht="24" customHeight="1">
      <c r="A61" s="1330"/>
      <c r="B61" s="1331" t="str">
        <f t="shared" si="2"/>
        <v xml:space="preserve">  -  C2-1A-06, (21 kW,1200 L/s)</v>
      </c>
      <c r="C61" s="1349"/>
      <c r="D61" s="801"/>
      <c r="E61" s="1022">
        <f t="shared" si="3"/>
        <v>1</v>
      </c>
      <c r="F61" s="1333" t="s">
        <v>240</v>
      </c>
      <c r="G61" s="1394">
        <v>157400</v>
      </c>
      <c r="H61" s="864">
        <f t="shared" si="4"/>
        <v>157400</v>
      </c>
      <c r="I61" s="1392">
        <f t="shared" si="5"/>
        <v>15740</v>
      </c>
      <c r="J61" s="1395">
        <f t="shared" si="6"/>
        <v>15740</v>
      </c>
      <c r="K61" s="966">
        <f t="shared" si="7"/>
        <v>173140</v>
      </c>
      <c r="L61" s="1022"/>
      <c r="M61" s="1328" t="s">
        <v>2150</v>
      </c>
      <c r="N61" s="1329">
        <v>1200</v>
      </c>
      <c r="O61" s="1329">
        <v>1</v>
      </c>
      <c r="P61" s="1495">
        <v>21</v>
      </c>
    </row>
    <row r="62" spans="1:16" s="1329" customFormat="1" ht="24" customHeight="1">
      <c r="A62" s="1330"/>
      <c r="B62" s="1331" t="str">
        <f t="shared" si="2"/>
        <v xml:space="preserve">  -  C2-1A-07, (21 kW,1200 L/s)</v>
      </c>
      <c r="C62" s="1349"/>
      <c r="D62" s="801"/>
      <c r="E62" s="1022">
        <f t="shared" si="3"/>
        <v>1</v>
      </c>
      <c r="F62" s="1333" t="s">
        <v>240</v>
      </c>
      <c r="G62" s="1394">
        <v>157400</v>
      </c>
      <c r="H62" s="864">
        <f t="shared" si="4"/>
        <v>157400</v>
      </c>
      <c r="I62" s="1392">
        <f t="shared" si="5"/>
        <v>15740</v>
      </c>
      <c r="J62" s="1395">
        <f t="shared" si="6"/>
        <v>15740</v>
      </c>
      <c r="K62" s="966">
        <f t="shared" si="7"/>
        <v>173140</v>
      </c>
      <c r="L62" s="1022"/>
      <c r="M62" s="1328" t="s">
        <v>2151</v>
      </c>
      <c r="N62" s="1329">
        <v>1200</v>
      </c>
      <c r="O62" s="1329">
        <v>1</v>
      </c>
      <c r="P62" s="1495">
        <v>21</v>
      </c>
    </row>
    <row r="63" spans="1:16" s="1329" customFormat="1" ht="24" customHeight="1">
      <c r="A63" s="1330"/>
      <c r="B63" s="1331" t="str">
        <f t="shared" si="2"/>
        <v xml:space="preserve">  -  C2-1A-08, (21 kW,1200 L/s)</v>
      </c>
      <c r="C63" s="1349"/>
      <c r="D63" s="801"/>
      <c r="E63" s="1022">
        <f t="shared" si="3"/>
        <v>1</v>
      </c>
      <c r="F63" s="1333" t="s">
        <v>240</v>
      </c>
      <c r="G63" s="1394">
        <v>157400</v>
      </c>
      <c r="H63" s="864">
        <f t="shared" si="4"/>
        <v>157400</v>
      </c>
      <c r="I63" s="1392">
        <f t="shared" si="5"/>
        <v>15740</v>
      </c>
      <c r="J63" s="1395">
        <f t="shared" si="6"/>
        <v>15740</v>
      </c>
      <c r="K63" s="966">
        <f t="shared" si="7"/>
        <v>173140</v>
      </c>
      <c r="L63" s="1022"/>
      <c r="M63" s="1328" t="s">
        <v>2152</v>
      </c>
      <c r="N63" s="1329">
        <v>1200</v>
      </c>
      <c r="O63" s="1329">
        <v>1</v>
      </c>
      <c r="P63" s="1495">
        <v>21</v>
      </c>
    </row>
    <row r="64" spans="1:16" s="1329" customFormat="1" ht="24" customHeight="1">
      <c r="A64" s="1330" t="s">
        <v>2000</v>
      </c>
      <c r="B64" s="1331" t="s">
        <v>2153</v>
      </c>
      <c r="C64" s="1349"/>
      <c r="D64" s="801"/>
      <c r="E64" s="1022"/>
      <c r="F64" s="1333"/>
      <c r="G64" s="1392"/>
      <c r="H64" s="751"/>
      <c r="I64" s="1392"/>
      <c r="J64" s="1393"/>
      <c r="K64" s="1022"/>
      <c r="L64" s="1022"/>
      <c r="M64" s="1328"/>
    </row>
    <row r="65" spans="1:16" s="1329" customFormat="1" ht="24" customHeight="1">
      <c r="A65" s="1330"/>
      <c r="B65" s="1331" t="s">
        <v>2154</v>
      </c>
      <c r="C65" s="1349"/>
      <c r="D65" s="801"/>
      <c r="E65" s="1022">
        <f>SUM(E47:E63)</f>
        <v>17</v>
      </c>
      <c r="F65" s="1333" t="s">
        <v>240</v>
      </c>
      <c r="G65" s="1392">
        <v>1200</v>
      </c>
      <c r="H65" s="864">
        <f>ROUND(E65*G65,)</f>
        <v>20400</v>
      </c>
      <c r="I65" s="1396" t="s">
        <v>974</v>
      </c>
      <c r="J65" s="1395"/>
      <c r="K65" s="966">
        <f>H65+J65</f>
        <v>20400</v>
      </c>
      <c r="L65" s="1022"/>
      <c r="M65" s="1328"/>
    </row>
    <row r="66" spans="1:16" s="1329" customFormat="1" ht="24" customHeight="1">
      <c r="A66" s="1330" t="s">
        <v>2155</v>
      </c>
      <c r="B66" s="1331" t="s">
        <v>1996</v>
      </c>
      <c r="C66" s="1349"/>
      <c r="D66" s="801"/>
      <c r="E66" s="1022">
        <f>SUM(E47:E63)*4</f>
        <v>68</v>
      </c>
      <c r="F66" s="1333" t="s">
        <v>240</v>
      </c>
      <c r="G66" s="1392">
        <v>2400</v>
      </c>
      <c r="H66" s="864">
        <f>ROUND(E66*G66,)</f>
        <v>163200</v>
      </c>
      <c r="I66" s="1392">
        <v>720</v>
      </c>
      <c r="J66" s="1395">
        <f>ROUND(E66*I66,)</f>
        <v>48960</v>
      </c>
      <c r="K66" s="966">
        <f>H66+J66</f>
        <v>212160</v>
      </c>
      <c r="L66" s="1022"/>
      <c r="M66" s="1328"/>
    </row>
    <row r="67" spans="1:16" s="1329" customFormat="1" ht="24" customHeight="1">
      <c r="A67" s="1330"/>
      <c r="B67" s="1331" t="s">
        <v>957</v>
      </c>
      <c r="C67" s="1349"/>
      <c r="D67" s="801"/>
      <c r="E67" s="1022"/>
      <c r="F67" s="1333"/>
      <c r="G67" s="1392"/>
      <c r="H67" s="751"/>
      <c r="I67" s="1392"/>
      <c r="J67" s="1393"/>
      <c r="K67" s="1022"/>
      <c r="L67" s="1022"/>
      <c r="M67" s="1328"/>
    </row>
    <row r="68" spans="1:16" s="1329" customFormat="1" ht="24" customHeight="1">
      <c r="A68" s="1355"/>
      <c r="B68" s="1331" t="s">
        <v>1239</v>
      </c>
      <c r="C68" s="1349"/>
      <c r="D68" s="801"/>
      <c r="E68" s="1022"/>
      <c r="F68" s="1333"/>
      <c r="G68" s="1392"/>
      <c r="H68" s="751"/>
      <c r="I68" s="1392"/>
      <c r="J68" s="1393"/>
      <c r="K68" s="1022"/>
      <c r="L68" s="1022"/>
      <c r="M68" s="1328"/>
    </row>
    <row r="69" spans="1:16" s="714" customFormat="1" ht="30" customHeight="1">
      <c r="A69" s="1166"/>
      <c r="B69" s="2475" t="str">
        <f>"รวมราคารายการที่ "&amp;A45</f>
        <v>รวมราคารายการที่ 7.2</v>
      </c>
      <c r="C69" s="2476"/>
      <c r="D69" s="2476"/>
      <c r="E69" s="1167"/>
      <c r="F69" s="1381"/>
      <c r="G69" s="1168"/>
      <c r="H69" s="1169">
        <f>SUM(H45:H68)</f>
        <v>3584100</v>
      </c>
      <c r="I69" s="1170"/>
      <c r="J69" s="1382">
        <f>SUM(J45:J68)</f>
        <v>389010</v>
      </c>
      <c r="K69" s="1171">
        <f>SUM(K45:K68)</f>
        <v>3973110</v>
      </c>
      <c r="L69" s="1171"/>
      <c r="M69" s="1322"/>
    </row>
    <row r="70" spans="1:16" s="1329" customFormat="1" ht="24" customHeight="1">
      <c r="A70" s="1325" t="s">
        <v>1920</v>
      </c>
      <c r="B70" s="1326" t="s">
        <v>1988</v>
      </c>
      <c r="C70" s="1347"/>
      <c r="D70" s="901"/>
      <c r="E70" s="1019"/>
      <c r="F70" s="1310"/>
      <c r="G70" s="1400"/>
      <c r="H70" s="773"/>
      <c r="I70" s="1400"/>
      <c r="J70" s="1401"/>
      <c r="K70" s="1019"/>
      <c r="L70" s="1019"/>
      <c r="M70" s="1328"/>
    </row>
    <row r="71" spans="1:16" s="1329" customFormat="1" ht="24" customHeight="1">
      <c r="A71" s="1330" t="s">
        <v>1922</v>
      </c>
      <c r="B71" s="1331" t="s">
        <v>1989</v>
      </c>
      <c r="C71" s="801"/>
      <c r="D71" s="801"/>
      <c r="E71" s="1022"/>
      <c r="F71" s="1333"/>
      <c r="G71" s="1392"/>
      <c r="H71" s="864"/>
      <c r="I71" s="1392"/>
      <c r="J71" s="1393"/>
      <c r="K71" s="1022"/>
      <c r="L71" s="1022"/>
      <c r="M71" s="1328"/>
    </row>
    <row r="72" spans="1:16" s="1329" customFormat="1" ht="24" customHeight="1">
      <c r="A72" s="1340"/>
      <c r="B72" s="1331" t="str">
        <f>"  -  "&amp;M72&amp;", ("&amp;P72&amp;" kW,"&amp;N72&amp;" L/s)"</f>
        <v xml:space="preserve">  -  C2-1F-01, (13.4 kW,730 L/s)</v>
      </c>
      <c r="C72" s="801"/>
      <c r="D72" s="801"/>
      <c r="E72" s="1022">
        <f t="shared" ref="E72:E75" si="8">O72</f>
        <v>1</v>
      </c>
      <c r="F72" s="1333" t="s">
        <v>240</v>
      </c>
      <c r="G72" s="1392">
        <v>21200</v>
      </c>
      <c r="H72" s="864">
        <f t="shared" ref="H72:H75" si="9">ROUND(E72*G72,)</f>
        <v>21200</v>
      </c>
      <c r="I72" s="1392">
        <v>2120</v>
      </c>
      <c r="J72" s="1395">
        <f t="shared" ref="J72:J75" si="10">ROUND(E72*I72,)</f>
        <v>2120</v>
      </c>
      <c r="K72" s="966">
        <f t="shared" ref="K72:K75" si="11">H72+J72</f>
        <v>23320</v>
      </c>
      <c r="L72" s="1022"/>
      <c r="M72" s="1328" t="s">
        <v>2156</v>
      </c>
      <c r="N72" s="1329">
        <v>730</v>
      </c>
      <c r="O72" s="1329">
        <v>1</v>
      </c>
      <c r="P72" s="1329">
        <v>13.4</v>
      </c>
    </row>
    <row r="73" spans="1:16" s="1329" customFormat="1" ht="24" customHeight="1">
      <c r="A73" s="1340"/>
      <c r="B73" s="1331" t="str">
        <f>"  -  "&amp;M73&amp;", ("&amp;P73&amp;" kW,"&amp;N73&amp;" L/s)"</f>
        <v xml:space="preserve">  -  C2-1F-02 (ST.BY), (13.4 kW,730 L/s)</v>
      </c>
      <c r="C73" s="801"/>
      <c r="D73" s="801"/>
      <c r="E73" s="1022">
        <f t="shared" si="8"/>
        <v>1</v>
      </c>
      <c r="F73" s="1333" t="s">
        <v>240</v>
      </c>
      <c r="G73" s="1392">
        <v>21200</v>
      </c>
      <c r="H73" s="864">
        <f t="shared" si="9"/>
        <v>21200</v>
      </c>
      <c r="I73" s="1392">
        <v>2120</v>
      </c>
      <c r="J73" s="1395">
        <f t="shared" si="10"/>
        <v>2120</v>
      </c>
      <c r="K73" s="966">
        <f t="shared" si="11"/>
        <v>23320</v>
      </c>
      <c r="L73" s="1022"/>
      <c r="M73" s="1328" t="s">
        <v>2157</v>
      </c>
      <c r="N73" s="1329">
        <v>730</v>
      </c>
      <c r="O73" s="1329">
        <v>1</v>
      </c>
      <c r="P73" s="1329">
        <v>13.4</v>
      </c>
    </row>
    <row r="74" spans="1:16" s="1329" customFormat="1" ht="24" customHeight="1">
      <c r="A74" s="1340"/>
      <c r="B74" s="1331" t="str">
        <f>"  -  "&amp;M74&amp;", ("&amp;P74&amp;" kW,"&amp;N74&amp;" L/s)"</f>
        <v xml:space="preserve">  -  C2-1F-03, (3.5 kW,190 L/s)</v>
      </c>
      <c r="C74" s="801"/>
      <c r="D74" s="801"/>
      <c r="E74" s="1022">
        <f t="shared" si="8"/>
        <v>1</v>
      </c>
      <c r="F74" s="1333" t="s">
        <v>240</v>
      </c>
      <c r="G74" s="1333">
        <v>13806</v>
      </c>
      <c r="H74" s="864">
        <f t="shared" si="9"/>
        <v>13806</v>
      </c>
      <c r="I74" s="1392">
        <v>2120</v>
      </c>
      <c r="J74" s="1395">
        <f t="shared" si="10"/>
        <v>2120</v>
      </c>
      <c r="K74" s="966">
        <f t="shared" si="11"/>
        <v>15926</v>
      </c>
      <c r="L74" s="1022"/>
      <c r="M74" s="1328" t="s">
        <v>2968</v>
      </c>
      <c r="N74" s="1329">
        <v>190</v>
      </c>
      <c r="O74" s="1329">
        <v>1</v>
      </c>
      <c r="P74" s="1329">
        <v>3.5</v>
      </c>
    </row>
    <row r="75" spans="1:16" s="1329" customFormat="1" ht="24" customHeight="1">
      <c r="A75" s="1340"/>
      <c r="B75" s="1331" t="str">
        <f>"  -  "&amp;M75&amp;", ("&amp;P75&amp;" kW,"&amp;N75&amp;" L/s)"</f>
        <v xml:space="preserve">  -  C2-1F-04 (ST.BY), (3.5 kW,190 L/s)</v>
      </c>
      <c r="C75" s="801"/>
      <c r="D75" s="801"/>
      <c r="E75" s="1022">
        <f t="shared" si="8"/>
        <v>1</v>
      </c>
      <c r="F75" s="1333" t="s">
        <v>240</v>
      </c>
      <c r="G75" s="1333">
        <v>13806</v>
      </c>
      <c r="H75" s="864">
        <f t="shared" si="9"/>
        <v>13806</v>
      </c>
      <c r="I75" s="1392">
        <v>2120</v>
      </c>
      <c r="J75" s="1395">
        <f t="shared" si="10"/>
        <v>2120</v>
      </c>
      <c r="K75" s="966">
        <f t="shared" si="11"/>
        <v>15926</v>
      </c>
      <c r="L75" s="1022"/>
      <c r="M75" s="1328" t="s">
        <v>2969</v>
      </c>
      <c r="N75" s="1329">
        <v>190</v>
      </c>
      <c r="O75" s="1329">
        <v>1</v>
      </c>
      <c r="P75" s="1329">
        <v>3.5</v>
      </c>
    </row>
    <row r="76" spans="1:16" s="1329" customFormat="1" ht="24" customHeight="1">
      <c r="A76" s="1330" t="s">
        <v>1924</v>
      </c>
      <c r="B76" s="1331" t="s">
        <v>1994</v>
      </c>
      <c r="C76" s="801"/>
      <c r="D76" s="801"/>
      <c r="E76" s="1022"/>
      <c r="F76" s="1333" t="s">
        <v>240</v>
      </c>
      <c r="G76" s="1392"/>
      <c r="H76" s="864"/>
      <c r="I76" s="1392"/>
      <c r="J76" s="1395">
        <f>ROUND(E76*I76,)</f>
        <v>0</v>
      </c>
      <c r="K76" s="966">
        <f>H76+J76</f>
        <v>0</v>
      </c>
      <c r="L76" s="1022"/>
      <c r="M76" s="1328"/>
    </row>
    <row r="77" spans="1:16" s="1329" customFormat="1" ht="24" customHeight="1">
      <c r="A77" s="1330" t="s">
        <v>2020</v>
      </c>
      <c r="B77" s="1331" t="s">
        <v>2158</v>
      </c>
      <c r="C77" s="801"/>
      <c r="D77" s="801"/>
      <c r="E77" s="1022"/>
      <c r="F77" s="1333"/>
      <c r="G77" s="1392"/>
      <c r="H77" s="864"/>
      <c r="I77" s="1392"/>
      <c r="J77" s="1393"/>
      <c r="K77" s="1022"/>
      <c r="L77" s="1022"/>
      <c r="M77" s="1328"/>
    </row>
    <row r="78" spans="1:16" s="1329" customFormat="1" ht="24" customHeight="1">
      <c r="A78" s="1340"/>
      <c r="B78" s="1331" t="s">
        <v>2159</v>
      </c>
      <c r="C78" s="801"/>
      <c r="D78" s="801"/>
      <c r="E78" s="1022">
        <v>2</v>
      </c>
      <c r="F78" s="1333" t="s">
        <v>240</v>
      </c>
      <c r="G78" s="1333">
        <v>700</v>
      </c>
      <c r="H78" s="864">
        <f t="shared" ref="H78:H79" si="12">ROUND(E78*G78,)</f>
        <v>1400</v>
      </c>
      <c r="I78" s="1392"/>
      <c r="J78" s="1395">
        <f t="shared" ref="J78:J79" si="13">ROUND(E78*I78,)</f>
        <v>0</v>
      </c>
      <c r="K78" s="966">
        <f t="shared" ref="K78:K79" si="14">H78+J78</f>
        <v>1400</v>
      </c>
      <c r="L78" s="1022"/>
      <c r="M78" s="1328"/>
    </row>
    <row r="79" spans="1:16" s="1329" customFormat="1" ht="24" customHeight="1">
      <c r="A79" s="1340" t="s">
        <v>2026</v>
      </c>
      <c r="B79" s="1331" t="s">
        <v>1996</v>
      </c>
      <c r="C79" s="801"/>
      <c r="D79" s="801"/>
      <c r="E79" s="1022">
        <f>SUM(E72:E75)*4</f>
        <v>16</v>
      </c>
      <c r="F79" s="1333" t="s">
        <v>240</v>
      </c>
      <c r="G79" s="1333">
        <v>800</v>
      </c>
      <c r="H79" s="864">
        <f t="shared" si="12"/>
        <v>12800</v>
      </c>
      <c r="I79" s="1392">
        <v>240</v>
      </c>
      <c r="J79" s="1395">
        <f t="shared" si="13"/>
        <v>3840</v>
      </c>
      <c r="K79" s="966">
        <f t="shared" si="14"/>
        <v>16640</v>
      </c>
      <c r="L79" s="1022"/>
      <c r="M79" s="1328"/>
    </row>
    <row r="80" spans="1:16" s="1329" customFormat="1" ht="24" customHeight="1">
      <c r="A80" s="1330"/>
      <c r="B80" s="1331" t="s">
        <v>957</v>
      </c>
      <c r="C80" s="801"/>
      <c r="D80" s="801"/>
      <c r="E80" s="1022"/>
      <c r="F80" s="1333"/>
      <c r="G80" s="1392"/>
      <c r="H80" s="864"/>
      <c r="I80" s="1392"/>
      <c r="J80" s="1395"/>
      <c r="K80" s="966"/>
      <c r="L80" s="1022"/>
      <c r="M80" s="1328"/>
    </row>
    <row r="81" spans="1:13" s="1329" customFormat="1" ht="24" customHeight="1">
      <c r="A81" s="1330"/>
      <c r="B81" s="1331"/>
      <c r="C81" s="801"/>
      <c r="D81" s="801"/>
      <c r="E81" s="1022"/>
      <c r="F81" s="1333"/>
      <c r="G81" s="1392"/>
      <c r="H81" s="864"/>
      <c r="I81" s="1392"/>
      <c r="J81" s="1393"/>
      <c r="K81" s="1022"/>
      <c r="L81" s="1022"/>
      <c r="M81" s="1328"/>
    </row>
    <row r="82" spans="1:13" s="1329" customFormat="1" ht="24" customHeight="1">
      <c r="A82" s="1340"/>
      <c r="B82" s="1331"/>
      <c r="C82" s="801"/>
      <c r="D82" s="801"/>
      <c r="E82" s="1022"/>
      <c r="F82" s="1333"/>
      <c r="G82" s="1333"/>
      <c r="H82" s="864"/>
      <c r="I82" s="1392"/>
      <c r="J82" s="1395"/>
      <c r="K82" s="966"/>
      <c r="L82" s="1022"/>
      <c r="M82" s="1328"/>
    </row>
    <row r="83" spans="1:13" s="1329" customFormat="1" ht="24" customHeight="1">
      <c r="A83" s="1340"/>
      <c r="B83" s="1331"/>
      <c r="C83" s="801"/>
      <c r="D83" s="801"/>
      <c r="E83" s="1022"/>
      <c r="F83" s="1333"/>
      <c r="G83" s="1333"/>
      <c r="H83" s="864"/>
      <c r="I83" s="1392"/>
      <c r="J83" s="1395"/>
      <c r="K83" s="966"/>
      <c r="L83" s="1022"/>
      <c r="M83" s="1328"/>
    </row>
    <row r="84" spans="1:13" s="714" customFormat="1" ht="30" customHeight="1">
      <c r="A84" s="1166"/>
      <c r="B84" s="2475" t="str">
        <f>"รวมราคารายการที่ "&amp;A70</f>
        <v>รวมราคารายการที่ 7.3</v>
      </c>
      <c r="C84" s="2476"/>
      <c r="D84" s="2476"/>
      <c r="E84" s="1167"/>
      <c r="F84" s="1381"/>
      <c r="G84" s="1168"/>
      <c r="H84" s="1169">
        <f>SUM(H71:H80)</f>
        <v>84212</v>
      </c>
      <c r="I84" s="1170"/>
      <c r="J84" s="1382">
        <f>SUM(J71:J80)</f>
        <v>12320</v>
      </c>
      <c r="K84" s="1171">
        <f>SUM(K71:K80)</f>
        <v>96532</v>
      </c>
      <c r="L84" s="1171"/>
      <c r="M84" s="1322"/>
    </row>
    <row r="85" spans="1:13" s="1329" customFormat="1" ht="24" customHeight="1">
      <c r="A85" s="1325" t="s">
        <v>2027</v>
      </c>
      <c r="B85" s="1326" t="s">
        <v>1903</v>
      </c>
      <c r="C85" s="901"/>
      <c r="D85" s="901"/>
      <c r="E85" s="1019"/>
      <c r="F85" s="1310"/>
      <c r="G85" s="1400"/>
      <c r="H85" s="773"/>
      <c r="I85" s="1400"/>
      <c r="J85" s="1401"/>
      <c r="K85" s="1019"/>
      <c r="L85" s="1019"/>
      <c r="M85" s="1328"/>
    </row>
    <row r="86" spans="1:13" s="1329" customFormat="1" ht="24" customHeight="1">
      <c r="A86" s="1330" t="s">
        <v>1928</v>
      </c>
      <c r="B86" s="1331" t="s">
        <v>1998</v>
      </c>
      <c r="C86" s="801"/>
      <c r="D86" s="801"/>
      <c r="E86" s="1022"/>
      <c r="F86" s="1333"/>
      <c r="G86" s="1392"/>
      <c r="H86" s="751"/>
      <c r="I86" s="1392"/>
      <c r="J86" s="1393"/>
      <c r="K86" s="1022"/>
      <c r="L86" s="1022"/>
      <c r="M86" s="1328"/>
    </row>
    <row r="87" spans="1:13" s="1329" customFormat="1" ht="24" customHeight="1">
      <c r="A87" s="1330" t="s">
        <v>2160</v>
      </c>
      <c r="B87" s="1331" t="s">
        <v>1999</v>
      </c>
      <c r="C87" s="801"/>
      <c r="D87" s="801"/>
      <c r="E87" s="1022"/>
      <c r="F87" s="1333"/>
      <c r="G87" s="1392"/>
      <c r="H87" s="751"/>
      <c r="I87" s="1392"/>
      <c r="J87" s="1393"/>
      <c r="K87" s="1022"/>
      <c r="L87" s="1022"/>
      <c r="M87" s="1328"/>
    </row>
    <row r="88" spans="1:13" s="1329" customFormat="1" ht="24" customHeight="1">
      <c r="A88" s="1330"/>
      <c r="B88" s="1331" t="s">
        <v>1715</v>
      </c>
      <c r="C88" s="801"/>
      <c r="D88" s="801"/>
      <c r="E88" s="1022">
        <f>E78</f>
        <v>2</v>
      </c>
      <c r="F88" s="1333" t="s">
        <v>240</v>
      </c>
      <c r="G88" s="1392">
        <v>3672</v>
      </c>
      <c r="H88" s="864">
        <f t="shared" ref="H88:H91" si="15">ROUND(E88*G88,)</f>
        <v>7344</v>
      </c>
      <c r="I88" s="1392">
        <v>150</v>
      </c>
      <c r="J88" s="1395">
        <f t="shared" ref="J88" si="16">ROUND(E88*I88,)</f>
        <v>300</v>
      </c>
      <c r="K88" s="966">
        <f t="shared" ref="K88" si="17">H88+J88</f>
        <v>7644</v>
      </c>
      <c r="L88" s="1022"/>
      <c r="M88" s="1328"/>
    </row>
    <row r="89" spans="1:13" s="1329" customFormat="1" ht="24" customHeight="1">
      <c r="A89" s="1330"/>
      <c r="B89" s="1331"/>
      <c r="C89" s="801"/>
      <c r="D89" s="801"/>
      <c r="E89" s="1022"/>
      <c r="F89" s="1333"/>
      <c r="G89" s="1392"/>
      <c r="H89" s="864"/>
      <c r="I89" s="1392"/>
      <c r="J89" s="1395"/>
      <c r="K89" s="966"/>
      <c r="L89" s="1022"/>
      <c r="M89" s="1328"/>
    </row>
    <row r="90" spans="1:13" s="1329" customFormat="1" ht="24" customHeight="1">
      <c r="A90" s="1330" t="s">
        <v>2161</v>
      </c>
      <c r="B90" s="1331" t="s">
        <v>2162</v>
      </c>
      <c r="C90" s="801"/>
      <c r="D90" s="801"/>
      <c r="E90" s="1022"/>
      <c r="F90" s="1333"/>
      <c r="G90" s="1392"/>
      <c r="H90" s="864"/>
      <c r="I90" s="1392"/>
      <c r="J90" s="1395"/>
      <c r="K90" s="966"/>
      <c r="L90" s="1022"/>
      <c r="M90" s="1328"/>
    </row>
    <row r="91" spans="1:13" s="1329" customFormat="1" ht="24" customHeight="1">
      <c r="A91" s="1340"/>
      <c r="B91" s="1331" t="s">
        <v>1747</v>
      </c>
      <c r="C91" s="801"/>
      <c r="D91" s="801"/>
      <c r="E91" s="1022">
        <f>E65+E39</f>
        <v>18</v>
      </c>
      <c r="F91" s="1333" t="s">
        <v>240</v>
      </c>
      <c r="G91" s="1392">
        <v>9310</v>
      </c>
      <c r="H91" s="864">
        <f t="shared" si="15"/>
        <v>167580</v>
      </c>
      <c r="I91" s="1392">
        <v>250</v>
      </c>
      <c r="J91" s="1395">
        <f t="shared" ref="J91" si="18">ROUND(E91*I91,)</f>
        <v>4500</v>
      </c>
      <c r="K91" s="966">
        <f t="shared" ref="K91" si="19">H91+J91</f>
        <v>172080</v>
      </c>
      <c r="L91" s="1022"/>
      <c r="M91" s="1328"/>
    </row>
    <row r="92" spans="1:13" s="1329" customFormat="1" ht="24" customHeight="1">
      <c r="A92" s="1340"/>
      <c r="B92" s="1331" t="s">
        <v>957</v>
      </c>
      <c r="C92" s="801"/>
      <c r="D92" s="801"/>
      <c r="E92" s="1022"/>
      <c r="F92" s="1333"/>
      <c r="G92" s="1392"/>
      <c r="H92" s="751"/>
      <c r="I92" s="1392"/>
      <c r="J92" s="1393"/>
      <c r="K92" s="1022"/>
      <c r="L92" s="1022"/>
      <c r="M92" s="1328"/>
    </row>
    <row r="93" spans="1:13" s="1329" customFormat="1" ht="24" customHeight="1">
      <c r="A93" s="1340"/>
      <c r="B93" s="1331" t="s">
        <v>958</v>
      </c>
      <c r="C93" s="801"/>
      <c r="D93" s="801"/>
      <c r="E93" s="1022"/>
      <c r="F93" s="1333"/>
      <c r="G93" s="1392"/>
      <c r="H93" s="751"/>
      <c r="I93" s="1392"/>
      <c r="J93" s="1393"/>
      <c r="K93" s="1022"/>
      <c r="L93" s="1022"/>
      <c r="M93" s="1328"/>
    </row>
    <row r="94" spans="1:13" s="1329" customFormat="1" ht="24" customHeight="1">
      <c r="A94" s="1340"/>
      <c r="B94" s="1331" t="s">
        <v>958</v>
      </c>
      <c r="C94" s="801"/>
      <c r="D94" s="801"/>
      <c r="E94" s="1022"/>
      <c r="F94" s="1333"/>
      <c r="G94" s="1392"/>
      <c r="H94" s="751"/>
      <c r="I94" s="1392"/>
      <c r="J94" s="1393"/>
      <c r="K94" s="1022"/>
      <c r="L94" s="1022"/>
      <c r="M94" s="1328"/>
    </row>
    <row r="95" spans="1:13" s="1329" customFormat="1" ht="24" customHeight="1">
      <c r="A95" s="1397"/>
      <c r="B95" s="1335"/>
      <c r="C95" s="890"/>
      <c r="D95" s="890"/>
      <c r="E95" s="1080"/>
      <c r="F95" s="1338"/>
      <c r="G95" s="1398"/>
      <c r="H95" s="765"/>
      <c r="I95" s="1398"/>
      <c r="J95" s="1399"/>
      <c r="K95" s="1080"/>
      <c r="L95" s="1080"/>
      <c r="M95" s="1328"/>
    </row>
    <row r="96" spans="1:13" s="714" customFormat="1" ht="30" customHeight="1">
      <c r="A96" s="1166"/>
      <c r="B96" s="2475" t="str">
        <f>"รวมราคารายการที่ "&amp;A85</f>
        <v>รวมราคารายการที่ 7.4</v>
      </c>
      <c r="C96" s="2476"/>
      <c r="D96" s="2476"/>
      <c r="E96" s="1167"/>
      <c r="F96" s="1381"/>
      <c r="G96" s="1168"/>
      <c r="H96" s="1169">
        <f>SUM(H86:H95)</f>
        <v>174924</v>
      </c>
      <c r="I96" s="1170"/>
      <c r="J96" s="1382">
        <f>SUM(J86:J95)</f>
        <v>4800</v>
      </c>
      <c r="K96" s="1171">
        <f>SUM(K86:K95)</f>
        <v>179724</v>
      </c>
      <c r="L96" s="1171"/>
      <c r="M96" s="1322"/>
    </row>
    <row r="97" spans="1:15" s="1329" customFormat="1" ht="24" customHeight="1">
      <c r="A97" s="1325" t="s">
        <v>2030</v>
      </c>
      <c r="B97" s="1326" t="s">
        <v>2003</v>
      </c>
      <c r="C97" s="1347"/>
      <c r="D97" s="901"/>
      <c r="E97" s="1019"/>
      <c r="F97" s="1310"/>
      <c r="G97" s="1400"/>
      <c r="H97" s="864"/>
      <c r="I97" s="1400"/>
      <c r="J97" s="1395"/>
      <c r="K97" s="966"/>
      <c r="L97" s="1019"/>
      <c r="M97" s="1328"/>
    </row>
    <row r="98" spans="1:15" s="1329" customFormat="1" ht="24" customHeight="1">
      <c r="A98" s="1340" t="s">
        <v>1949</v>
      </c>
      <c r="B98" s="1331" t="s">
        <v>2021</v>
      </c>
      <c r="C98" s="801"/>
      <c r="D98" s="801"/>
      <c r="E98" s="1022"/>
      <c r="F98" s="1333"/>
      <c r="G98" s="1392"/>
      <c r="H98" s="751"/>
      <c r="I98" s="1392"/>
      <c r="J98" s="1393"/>
      <c r="K98" s="1022"/>
      <c r="L98" s="1022"/>
      <c r="M98" s="1328"/>
    </row>
    <row r="99" spans="1:15" s="1329" customFormat="1" ht="24" customHeight="1">
      <c r="A99" s="1340"/>
      <c r="B99" s="1331" t="str">
        <f t="shared" ref="B99:B103" si="20">"  -  "&amp;M99&amp;", ("&amp;N99&amp;" L/s)"</f>
        <v xml:space="preserve">  -  C1-1EAF-01, (115 L/s)</v>
      </c>
      <c r="C99" s="801"/>
      <c r="D99" s="801"/>
      <c r="E99" s="1022">
        <f t="shared" ref="E99:E103" si="21">O99</f>
        <v>1</v>
      </c>
      <c r="F99" s="1333" t="s">
        <v>240</v>
      </c>
      <c r="G99" s="1400">
        <v>1040</v>
      </c>
      <c r="H99" s="864">
        <f t="shared" ref="H99:H109" si="22">ROUND(E99*G99,)</f>
        <v>1040</v>
      </c>
      <c r="I99" s="1392">
        <f>500</f>
        <v>500</v>
      </c>
      <c r="J99" s="1393">
        <f t="shared" ref="J99:J109" si="23">ROUND(E99*I99,)</f>
        <v>500</v>
      </c>
      <c r="K99" s="1022">
        <f t="shared" ref="K99:K109" si="24">H99+J99</f>
        <v>1540</v>
      </c>
      <c r="L99" s="1022"/>
      <c r="M99" s="1328" t="s">
        <v>2163</v>
      </c>
      <c r="N99" s="1329">
        <v>115</v>
      </c>
      <c r="O99" s="1329">
        <v>1</v>
      </c>
    </row>
    <row r="100" spans="1:15" s="1329" customFormat="1" ht="24" customHeight="1">
      <c r="A100" s="1340"/>
      <c r="B100" s="1331" t="str">
        <f t="shared" si="20"/>
        <v xml:space="preserve">  -  C1-1EAF-02, (115 L/s)</v>
      </c>
      <c r="C100" s="801"/>
      <c r="D100" s="801"/>
      <c r="E100" s="1022">
        <f t="shared" si="21"/>
        <v>1</v>
      </c>
      <c r="F100" s="1333" t="s">
        <v>240</v>
      </c>
      <c r="G100" s="1400">
        <v>1040</v>
      </c>
      <c r="H100" s="864">
        <f t="shared" si="22"/>
        <v>1040</v>
      </c>
      <c r="I100" s="1392">
        <f>500</f>
        <v>500</v>
      </c>
      <c r="J100" s="1393">
        <f t="shared" si="23"/>
        <v>500</v>
      </c>
      <c r="K100" s="1022">
        <f t="shared" si="24"/>
        <v>1540</v>
      </c>
      <c r="L100" s="1022"/>
      <c r="M100" s="1328" t="s">
        <v>2164</v>
      </c>
      <c r="N100" s="1329">
        <v>115</v>
      </c>
      <c r="O100" s="1329">
        <v>1</v>
      </c>
    </row>
    <row r="101" spans="1:15" s="1329" customFormat="1" ht="24" customHeight="1">
      <c r="A101" s="1340"/>
      <c r="B101" s="1331" t="str">
        <f t="shared" si="20"/>
        <v xml:space="preserve">  -  C2-1EAF-01, (115 L/s)</v>
      </c>
      <c r="C101" s="801"/>
      <c r="D101" s="801"/>
      <c r="E101" s="1022">
        <f t="shared" si="21"/>
        <v>1</v>
      </c>
      <c r="F101" s="1333" t="s">
        <v>240</v>
      </c>
      <c r="G101" s="1400">
        <v>1040</v>
      </c>
      <c r="H101" s="864">
        <f t="shared" si="22"/>
        <v>1040</v>
      </c>
      <c r="I101" s="1392">
        <f>500</f>
        <v>500</v>
      </c>
      <c r="J101" s="1393">
        <f t="shared" si="23"/>
        <v>500</v>
      </c>
      <c r="K101" s="1022">
        <f t="shared" si="24"/>
        <v>1540</v>
      </c>
      <c r="L101" s="1022"/>
      <c r="M101" s="1328" t="s">
        <v>2165</v>
      </c>
      <c r="N101" s="1329">
        <v>115</v>
      </c>
      <c r="O101" s="1329">
        <v>1</v>
      </c>
    </row>
    <row r="102" spans="1:15" s="1329" customFormat="1" ht="24" customHeight="1">
      <c r="A102" s="1340"/>
      <c r="B102" s="1331" t="str">
        <f t="shared" si="20"/>
        <v xml:space="preserve">  -  C2-1EAF-02, (115 L/s)</v>
      </c>
      <c r="C102" s="801"/>
      <c r="D102" s="801"/>
      <c r="E102" s="1022">
        <f t="shared" si="21"/>
        <v>1</v>
      </c>
      <c r="F102" s="1333" t="s">
        <v>240</v>
      </c>
      <c r="G102" s="1400">
        <v>1040</v>
      </c>
      <c r="H102" s="864">
        <f t="shared" si="22"/>
        <v>1040</v>
      </c>
      <c r="I102" s="1392">
        <f>500</f>
        <v>500</v>
      </c>
      <c r="J102" s="1393">
        <f t="shared" si="23"/>
        <v>500</v>
      </c>
      <c r="K102" s="1022">
        <f t="shared" si="24"/>
        <v>1540</v>
      </c>
      <c r="L102" s="1022"/>
      <c r="M102" s="1328" t="s">
        <v>2166</v>
      </c>
      <c r="N102" s="1329">
        <v>115</v>
      </c>
      <c r="O102" s="1329">
        <v>1</v>
      </c>
    </row>
    <row r="103" spans="1:15" s="1329" customFormat="1" ht="24" customHeight="1">
      <c r="A103" s="1340"/>
      <c r="B103" s="1331" t="str">
        <f t="shared" si="20"/>
        <v xml:space="preserve">  -  C2-1EAF-05, (240 L/s)</v>
      </c>
      <c r="C103" s="801"/>
      <c r="D103" s="801"/>
      <c r="E103" s="1022">
        <f t="shared" si="21"/>
        <v>1</v>
      </c>
      <c r="F103" s="1333" t="s">
        <v>240</v>
      </c>
      <c r="G103" s="1496">
        <v>2550</v>
      </c>
      <c r="H103" s="864">
        <f t="shared" si="22"/>
        <v>2550</v>
      </c>
      <c r="I103" s="1392">
        <f>500</f>
        <v>500</v>
      </c>
      <c r="J103" s="1393">
        <f t="shared" si="23"/>
        <v>500</v>
      </c>
      <c r="K103" s="1022">
        <f t="shared" si="24"/>
        <v>3050</v>
      </c>
      <c r="L103" s="1022"/>
      <c r="M103" s="1328" t="s">
        <v>2167</v>
      </c>
      <c r="N103" s="1329">
        <v>240</v>
      </c>
      <c r="O103" s="1329">
        <v>1</v>
      </c>
    </row>
    <row r="104" spans="1:15" s="1329" customFormat="1" ht="24" customHeight="1">
      <c r="A104" s="1340" t="s">
        <v>1955</v>
      </c>
      <c r="B104" s="1331" t="s">
        <v>2168</v>
      </c>
      <c r="C104" s="801"/>
      <c r="D104" s="801"/>
      <c r="E104" s="1022"/>
      <c r="F104" s="1333"/>
      <c r="G104" s="1496"/>
      <c r="H104" s="751"/>
      <c r="I104" s="1392"/>
      <c r="J104" s="1393"/>
      <c r="K104" s="1022"/>
      <c r="L104" s="1022"/>
      <c r="M104" s="1328"/>
    </row>
    <row r="105" spans="1:15" s="1329" customFormat="1" ht="24" customHeight="1">
      <c r="A105" s="1340"/>
      <c r="B105" s="1331" t="str">
        <f t="shared" ref="B105:B108" si="25">"  -  "&amp;M105&amp;", ("&amp;N105&amp;" L/s)"</f>
        <v xml:space="preserve">  -  C1-1EAF-03, (775 L/s)</v>
      </c>
      <c r="C105" s="801"/>
      <c r="D105" s="801"/>
      <c r="E105" s="1022">
        <f t="shared" ref="E105:E108" si="26">O105</f>
        <v>1</v>
      </c>
      <c r="F105" s="1333" t="s">
        <v>240</v>
      </c>
      <c r="G105" s="1496">
        <v>17300</v>
      </c>
      <c r="H105" s="864">
        <f t="shared" ref="H105:H108" si="27">ROUND(E105*G105,)</f>
        <v>17300</v>
      </c>
      <c r="I105" s="1392">
        <v>710</v>
      </c>
      <c r="J105" s="1393">
        <f t="shared" ref="J105:J108" si="28">ROUND(E105*I105,)</f>
        <v>710</v>
      </c>
      <c r="K105" s="1022">
        <f t="shared" ref="K105:K108" si="29">H105+J105</f>
        <v>18010</v>
      </c>
      <c r="L105" s="1022"/>
      <c r="M105" s="1328" t="s">
        <v>2169</v>
      </c>
      <c r="N105" s="1329">
        <v>775</v>
      </c>
      <c r="O105" s="1329">
        <v>1</v>
      </c>
    </row>
    <row r="106" spans="1:15" s="1329" customFormat="1" ht="24" customHeight="1">
      <c r="A106" s="1340"/>
      <c r="B106" s="1331" t="str">
        <f t="shared" si="25"/>
        <v xml:space="preserve">  -  C1-1EAF-04, (595 L/s)</v>
      </c>
      <c r="C106" s="801"/>
      <c r="D106" s="801"/>
      <c r="E106" s="1022">
        <f t="shared" si="26"/>
        <v>1</v>
      </c>
      <c r="F106" s="1333" t="s">
        <v>240</v>
      </c>
      <c r="G106" s="1496">
        <v>14200</v>
      </c>
      <c r="H106" s="864">
        <f t="shared" si="27"/>
        <v>14200</v>
      </c>
      <c r="I106" s="1392">
        <v>710</v>
      </c>
      <c r="J106" s="1393">
        <f t="shared" si="28"/>
        <v>710</v>
      </c>
      <c r="K106" s="1022">
        <f t="shared" si="29"/>
        <v>14910</v>
      </c>
      <c r="L106" s="1022"/>
      <c r="M106" s="1328" t="s">
        <v>2170</v>
      </c>
      <c r="N106" s="1329">
        <v>595</v>
      </c>
      <c r="O106" s="1329">
        <v>1</v>
      </c>
    </row>
    <row r="107" spans="1:15" s="1329" customFormat="1" ht="24" customHeight="1">
      <c r="A107" s="1340"/>
      <c r="B107" s="1331" t="str">
        <f t="shared" si="25"/>
        <v xml:space="preserve">  -  C2-1EAF-03, (670 L/s)</v>
      </c>
      <c r="C107" s="801"/>
      <c r="D107" s="801"/>
      <c r="E107" s="1022">
        <f t="shared" si="26"/>
        <v>1</v>
      </c>
      <c r="F107" s="1333" t="s">
        <v>240</v>
      </c>
      <c r="G107" s="1496">
        <v>14200</v>
      </c>
      <c r="H107" s="864">
        <f t="shared" si="27"/>
        <v>14200</v>
      </c>
      <c r="I107" s="1392">
        <v>710</v>
      </c>
      <c r="J107" s="1393">
        <f t="shared" si="28"/>
        <v>710</v>
      </c>
      <c r="K107" s="1022">
        <f t="shared" si="29"/>
        <v>14910</v>
      </c>
      <c r="L107" s="1022"/>
      <c r="M107" s="1328" t="s">
        <v>2171</v>
      </c>
      <c r="N107" s="1329">
        <v>670</v>
      </c>
      <c r="O107" s="1329">
        <v>1</v>
      </c>
    </row>
    <row r="108" spans="1:15" s="1329" customFormat="1" ht="24" customHeight="1">
      <c r="A108" s="1340"/>
      <c r="B108" s="1331" t="str">
        <f t="shared" si="25"/>
        <v xml:space="preserve">  -  C2-1EAF-04, (490 L/s)</v>
      </c>
      <c r="C108" s="801"/>
      <c r="D108" s="801"/>
      <c r="E108" s="1022">
        <f t="shared" si="26"/>
        <v>1</v>
      </c>
      <c r="F108" s="1333" t="s">
        <v>240</v>
      </c>
      <c r="G108" s="1496">
        <v>14200</v>
      </c>
      <c r="H108" s="864">
        <f t="shared" si="27"/>
        <v>14200</v>
      </c>
      <c r="I108" s="1392">
        <v>710</v>
      </c>
      <c r="J108" s="1393">
        <f t="shared" si="28"/>
        <v>710</v>
      </c>
      <c r="K108" s="1022">
        <f t="shared" si="29"/>
        <v>14910</v>
      </c>
      <c r="L108" s="1022"/>
      <c r="M108" s="1328" t="s">
        <v>2172</v>
      </c>
      <c r="N108" s="1329">
        <v>490</v>
      </c>
      <c r="O108" s="1329">
        <v>1</v>
      </c>
    </row>
    <row r="109" spans="1:15" s="1329" customFormat="1" ht="24" customHeight="1">
      <c r="A109" s="1340" t="s">
        <v>2173</v>
      </c>
      <c r="B109" s="1331" t="s">
        <v>1996</v>
      </c>
      <c r="C109" s="801"/>
      <c r="D109" s="801"/>
      <c r="E109" s="1022">
        <f>SUM(E105:E108)</f>
        <v>4</v>
      </c>
      <c r="F109" s="1333" t="s">
        <v>240</v>
      </c>
      <c r="G109" s="1392">
        <v>800</v>
      </c>
      <c r="H109" s="864">
        <f t="shared" si="22"/>
        <v>3200</v>
      </c>
      <c r="I109" s="1392">
        <f>G109*0.3</f>
        <v>240</v>
      </c>
      <c r="J109" s="1393">
        <f t="shared" si="23"/>
        <v>960</v>
      </c>
      <c r="K109" s="1022">
        <f t="shared" si="24"/>
        <v>4160</v>
      </c>
      <c r="L109" s="1022"/>
      <c r="M109" s="1328"/>
    </row>
    <row r="110" spans="1:15" s="1329" customFormat="1" ht="24" customHeight="1">
      <c r="A110" s="1340"/>
      <c r="B110" s="1331" t="s">
        <v>957</v>
      </c>
      <c r="C110" s="801"/>
      <c r="D110" s="801"/>
      <c r="E110" s="1022"/>
      <c r="F110" s="1333"/>
      <c r="G110" s="1392"/>
      <c r="H110" s="751"/>
      <c r="I110" s="1392"/>
      <c r="J110" s="1393"/>
      <c r="K110" s="1022"/>
      <c r="L110" s="1022"/>
      <c r="M110" s="1328"/>
    </row>
    <row r="111" spans="1:15" s="1329" customFormat="1" ht="24" customHeight="1">
      <c r="A111" s="1397"/>
      <c r="B111" s="1335"/>
      <c r="C111" s="890"/>
      <c r="D111" s="890"/>
      <c r="E111" s="1080"/>
      <c r="F111" s="1338"/>
      <c r="G111" s="1398"/>
      <c r="H111" s="765"/>
      <c r="I111" s="1398"/>
      <c r="J111" s="1399"/>
      <c r="K111" s="1080"/>
      <c r="L111" s="1080"/>
      <c r="M111" s="1328"/>
    </row>
    <row r="112" spans="1:15" s="1329" customFormat="1" ht="24" customHeight="1">
      <c r="A112" s="1397"/>
      <c r="B112" s="1335" t="s">
        <v>958</v>
      </c>
      <c r="C112" s="890"/>
      <c r="D112" s="890"/>
      <c r="E112" s="1080"/>
      <c r="F112" s="1338"/>
      <c r="G112" s="1398"/>
      <c r="H112" s="765"/>
      <c r="I112" s="1398"/>
      <c r="J112" s="1399"/>
      <c r="K112" s="1080"/>
      <c r="L112" s="1080"/>
      <c r="M112" s="1328"/>
    </row>
    <row r="113" spans="1:13" s="714" customFormat="1" ht="30" customHeight="1">
      <c r="A113" s="1166"/>
      <c r="B113" s="2475" t="str">
        <f>"รวมราคารายการที่ "&amp;A97</f>
        <v>รวมราคารายการที่ 7.5</v>
      </c>
      <c r="C113" s="2476"/>
      <c r="D113" s="2476"/>
      <c r="E113" s="1167"/>
      <c r="F113" s="1381"/>
      <c r="G113" s="1168"/>
      <c r="H113" s="1169">
        <f>SUM(H97:H112)</f>
        <v>69810</v>
      </c>
      <c r="I113" s="1170"/>
      <c r="J113" s="1382">
        <f>SUM(J97:J112)</f>
        <v>6300</v>
      </c>
      <c r="K113" s="1171">
        <f>SUM(K97:K112)</f>
        <v>76110</v>
      </c>
      <c r="L113" s="1171"/>
      <c r="M113" s="1322"/>
    </row>
    <row r="114" spans="1:13" s="1329" customFormat="1" ht="24" customHeight="1">
      <c r="A114" s="1325" t="s">
        <v>2032</v>
      </c>
      <c r="B114" s="1326" t="s">
        <v>2174</v>
      </c>
      <c r="C114" s="1347"/>
      <c r="D114" s="901"/>
      <c r="E114" s="1019"/>
      <c r="F114" s="1310"/>
      <c r="G114" s="1400"/>
      <c r="H114" s="864"/>
      <c r="I114" s="1400"/>
      <c r="J114" s="1395"/>
      <c r="K114" s="966"/>
      <c r="L114" s="1019"/>
      <c r="M114" s="1328"/>
    </row>
    <row r="115" spans="1:13" s="1329" customFormat="1" ht="24" customHeight="1">
      <c r="A115" s="1330" t="s">
        <v>1960</v>
      </c>
      <c r="B115" s="1331" t="s">
        <v>2175</v>
      </c>
      <c r="C115" s="801"/>
      <c r="D115" s="801"/>
      <c r="E115" s="1022"/>
      <c r="F115" s="1333"/>
      <c r="G115" s="1392"/>
      <c r="H115" s="864">
        <f t="shared" ref="H115" si="30">ROUND(E115*G115,)</f>
        <v>0</v>
      </c>
      <c r="I115" s="1392">
        <v>0</v>
      </c>
      <c r="J115" s="1393">
        <f t="shared" ref="J115" si="31">ROUND(E115*I115,)</f>
        <v>0</v>
      </c>
      <c r="K115" s="1022">
        <f t="shared" ref="K115" si="32">H115+J115</f>
        <v>0</v>
      </c>
      <c r="L115" s="1022"/>
      <c r="M115" s="1328"/>
    </row>
    <row r="116" spans="1:13" s="1329" customFormat="1" ht="24" customHeight="1">
      <c r="A116" s="1330"/>
      <c r="B116" s="1331" t="s">
        <v>2176</v>
      </c>
      <c r="C116" s="801"/>
      <c r="D116" s="801"/>
      <c r="E116" s="1022">
        <f>E65+E78</f>
        <v>19</v>
      </c>
      <c r="F116" s="1333" t="s">
        <v>240</v>
      </c>
      <c r="G116" s="1497">
        <v>800</v>
      </c>
      <c r="H116" s="1180">
        <f>E116*G116</f>
        <v>15200</v>
      </c>
      <c r="I116" s="849">
        <v>150</v>
      </c>
      <c r="J116" s="1498">
        <f>I116*E116</f>
        <v>2850</v>
      </c>
      <c r="K116" s="1182">
        <f>H116+J116</f>
        <v>18050</v>
      </c>
      <c r="L116" s="1022"/>
      <c r="M116" s="1328"/>
    </row>
    <row r="117" spans="1:13" s="1329" customFormat="1" ht="24" customHeight="1">
      <c r="A117" s="1330" t="s">
        <v>1964</v>
      </c>
      <c r="B117" s="1331" t="s">
        <v>2177</v>
      </c>
      <c r="C117" s="801"/>
      <c r="D117" s="801"/>
      <c r="E117" s="1022"/>
      <c r="F117" s="1333"/>
      <c r="G117" s="1392"/>
      <c r="H117" s="751"/>
      <c r="I117" s="1392"/>
      <c r="J117" s="1393"/>
      <c r="K117" s="1022"/>
      <c r="L117" s="1022"/>
      <c r="M117" s="1328"/>
    </row>
    <row r="118" spans="1:13" s="1329" customFormat="1" ht="24" customHeight="1">
      <c r="A118" s="1330"/>
      <c r="B118" s="1331" t="s">
        <v>2178</v>
      </c>
      <c r="C118" s="801"/>
      <c r="D118" s="801"/>
      <c r="E118" s="1022">
        <f>E39</f>
        <v>1</v>
      </c>
      <c r="F118" s="1333" t="s">
        <v>240</v>
      </c>
      <c r="G118" s="1497">
        <v>2600</v>
      </c>
      <c r="H118" s="1180">
        <f>E118*G118</f>
        <v>2600</v>
      </c>
      <c r="I118" s="849">
        <v>200</v>
      </c>
      <c r="J118" s="1498">
        <f>I118*E118</f>
        <v>200</v>
      </c>
      <c r="K118" s="1182">
        <f>H118+J118</f>
        <v>2800</v>
      </c>
      <c r="L118" s="1022"/>
      <c r="M118" s="1328"/>
    </row>
    <row r="119" spans="1:13" s="1329" customFormat="1" ht="24" customHeight="1">
      <c r="A119" s="1330" t="s">
        <v>2033</v>
      </c>
      <c r="B119" s="1331" t="s">
        <v>2179</v>
      </c>
      <c r="C119" s="801"/>
      <c r="D119" s="801"/>
      <c r="E119" s="1022"/>
      <c r="F119" s="1333" t="s">
        <v>240</v>
      </c>
      <c r="G119" s="1392"/>
      <c r="H119" s="751">
        <f t="shared" ref="H119:H120" si="33">ROUND(E119*G119,)</f>
        <v>0</v>
      </c>
      <c r="I119" s="1392"/>
      <c r="J119" s="1393">
        <f t="shared" ref="J119:J120" si="34">ROUND(E119*I119,)</f>
        <v>0</v>
      </c>
      <c r="K119" s="1022">
        <f t="shared" ref="K119:K120" si="35">H119+J119</f>
        <v>0</v>
      </c>
      <c r="L119" s="1022"/>
      <c r="M119" s="1328"/>
    </row>
    <row r="120" spans="1:13" s="1329" customFormat="1" ht="24" customHeight="1">
      <c r="A120" s="1330" t="s">
        <v>2180</v>
      </c>
      <c r="B120" s="1331" t="s">
        <v>2181</v>
      </c>
      <c r="C120" s="801"/>
      <c r="D120" s="801"/>
      <c r="E120" s="1022"/>
      <c r="F120" s="1333" t="s">
        <v>240</v>
      </c>
      <c r="G120" s="1392"/>
      <c r="H120" s="751">
        <f t="shared" si="33"/>
        <v>0</v>
      </c>
      <c r="I120" s="1392"/>
      <c r="J120" s="1393">
        <f t="shared" si="34"/>
        <v>0</v>
      </c>
      <c r="K120" s="1022">
        <f t="shared" si="35"/>
        <v>0</v>
      </c>
      <c r="L120" s="1022"/>
      <c r="M120" s="1328"/>
    </row>
    <row r="121" spans="1:13" s="1329" customFormat="1" ht="24" customHeight="1">
      <c r="A121" s="1334"/>
      <c r="B121" s="1335" t="s">
        <v>957</v>
      </c>
      <c r="C121" s="890"/>
      <c r="D121" s="890"/>
      <c r="E121" s="1080"/>
      <c r="F121" s="1338"/>
      <c r="G121" s="1398"/>
      <c r="H121" s="765"/>
      <c r="I121" s="1398"/>
      <c r="J121" s="1399"/>
      <c r="K121" s="1080"/>
      <c r="L121" s="1080"/>
      <c r="M121" s="1328"/>
    </row>
    <row r="122" spans="1:13" s="714" customFormat="1" ht="30" customHeight="1">
      <c r="A122" s="1166"/>
      <c r="B122" s="2475" t="str">
        <f>"รวมราคารายการที่ "&amp;A114</f>
        <v>รวมราคารายการที่ 7.6</v>
      </c>
      <c r="C122" s="2476"/>
      <c r="D122" s="2476"/>
      <c r="E122" s="1167"/>
      <c r="F122" s="1381"/>
      <c r="G122" s="1168"/>
      <c r="H122" s="1169">
        <f>SUM(H114:H121)</f>
        <v>17800</v>
      </c>
      <c r="I122" s="1170"/>
      <c r="J122" s="1382">
        <f>SUM(J114:J121)</f>
        <v>3050</v>
      </c>
      <c r="K122" s="1171">
        <f>SUM(K114:K121)</f>
        <v>20850</v>
      </c>
      <c r="L122" s="1171"/>
      <c r="M122" s="1322"/>
    </row>
    <row r="123" spans="1:13" s="1329" customFormat="1" ht="24" customHeight="1">
      <c r="A123" s="1325" t="s">
        <v>1967</v>
      </c>
      <c r="B123" s="1326" t="s">
        <v>1909</v>
      </c>
      <c r="C123" s="901"/>
      <c r="D123" s="901"/>
      <c r="E123" s="1019"/>
      <c r="F123" s="1310"/>
      <c r="G123" s="1400"/>
      <c r="H123" s="773"/>
      <c r="I123" s="1400"/>
      <c r="J123" s="1401"/>
      <c r="K123" s="1019"/>
      <c r="L123" s="1019"/>
      <c r="M123" s="1328"/>
    </row>
    <row r="124" spans="1:13" s="1329" customFormat="1" ht="24" customHeight="1">
      <c r="A124" s="1330" t="s">
        <v>1969</v>
      </c>
      <c r="B124" s="1331" t="s">
        <v>1911</v>
      </c>
      <c r="C124" s="801"/>
      <c r="D124" s="801"/>
      <c r="E124" s="1019"/>
      <c r="F124" s="1310"/>
      <c r="G124" s="1392"/>
      <c r="H124" s="864"/>
      <c r="I124" s="1392"/>
      <c r="J124" s="1395"/>
      <c r="K124" s="966"/>
      <c r="L124" s="1022"/>
      <c r="M124" s="1328"/>
    </row>
    <row r="125" spans="1:13" s="1329" customFormat="1" ht="24" customHeight="1">
      <c r="A125" s="1330"/>
      <c r="B125" s="1331" t="s">
        <v>2028</v>
      </c>
      <c r="C125" s="801"/>
      <c r="D125" s="801"/>
      <c r="E125" s="1022">
        <v>7</v>
      </c>
      <c r="F125" s="1249" t="s">
        <v>438</v>
      </c>
      <c r="G125" s="1479">
        <v>69.5</v>
      </c>
      <c r="H125" s="1499">
        <f>ROUND(E125*G125,)</f>
        <v>487</v>
      </c>
      <c r="I125" s="1480">
        <v>30</v>
      </c>
      <c r="J125" s="1395">
        <f t="shared" ref="J125:J134" si="36">ROUND(E125*I125,)</f>
        <v>210</v>
      </c>
      <c r="K125" s="966">
        <f t="shared" ref="K125:K134" si="37">H125+J125</f>
        <v>697</v>
      </c>
      <c r="L125" s="1022"/>
      <c r="M125" s="1328"/>
    </row>
    <row r="126" spans="1:13" s="1329" customFormat="1" ht="24" customHeight="1">
      <c r="A126" s="1330"/>
      <c r="B126" s="1331" t="s">
        <v>1822</v>
      </c>
      <c r="C126" s="801"/>
      <c r="D126" s="801"/>
      <c r="E126" s="1022">
        <v>37</v>
      </c>
      <c r="F126" s="1249" t="s">
        <v>438</v>
      </c>
      <c r="G126" s="1257">
        <v>103.5</v>
      </c>
      <c r="H126" s="1499">
        <f t="shared" ref="H126:H131" si="38">ROUND(E126*G126,)</f>
        <v>3830</v>
      </c>
      <c r="I126" s="849">
        <v>45</v>
      </c>
      <c r="J126" s="1395">
        <f t="shared" si="36"/>
        <v>1665</v>
      </c>
      <c r="K126" s="966">
        <f t="shared" si="37"/>
        <v>5495</v>
      </c>
      <c r="L126" s="1022"/>
      <c r="M126" s="1328"/>
    </row>
    <row r="127" spans="1:13" s="1329" customFormat="1" ht="24" customHeight="1">
      <c r="A127" s="1481"/>
      <c r="B127" s="1331" t="s">
        <v>1186</v>
      </c>
      <c r="C127" s="801"/>
      <c r="D127" s="801"/>
      <c r="E127" s="1019">
        <v>178</v>
      </c>
      <c r="F127" s="1348" t="s">
        <v>438</v>
      </c>
      <c r="G127" s="1257">
        <v>140</v>
      </c>
      <c r="H127" s="1499">
        <f t="shared" si="38"/>
        <v>24920</v>
      </c>
      <c r="I127" s="849">
        <v>60</v>
      </c>
      <c r="J127" s="1500">
        <f t="shared" si="36"/>
        <v>10680</v>
      </c>
      <c r="K127" s="1403">
        <f t="shared" si="37"/>
        <v>35600</v>
      </c>
      <c r="L127" s="1022"/>
      <c r="M127" s="1328"/>
    </row>
    <row r="128" spans="1:13" s="1329" customFormat="1" ht="24" customHeight="1">
      <c r="A128" s="1481"/>
      <c r="B128" s="1331" t="s">
        <v>1188</v>
      </c>
      <c r="C128" s="801"/>
      <c r="D128" s="801"/>
      <c r="E128" s="1019">
        <v>126</v>
      </c>
      <c r="F128" s="1348" t="s">
        <v>438</v>
      </c>
      <c r="G128" s="1402">
        <v>225</v>
      </c>
      <c r="H128" s="1499">
        <f t="shared" si="38"/>
        <v>28350</v>
      </c>
      <c r="I128" s="1496">
        <v>95</v>
      </c>
      <c r="J128" s="1500">
        <f t="shared" si="36"/>
        <v>11970</v>
      </c>
      <c r="K128" s="1403">
        <f t="shared" si="37"/>
        <v>40320</v>
      </c>
      <c r="L128" s="1022"/>
      <c r="M128" s="1328"/>
    </row>
    <row r="129" spans="1:15" s="1329" customFormat="1" ht="24" customHeight="1">
      <c r="A129" s="1481"/>
      <c r="B129" s="1331" t="s">
        <v>1189</v>
      </c>
      <c r="C129" s="801"/>
      <c r="D129" s="801"/>
      <c r="E129" s="1019">
        <v>92</v>
      </c>
      <c r="F129" s="1348" t="s">
        <v>438</v>
      </c>
      <c r="G129" s="1400">
        <v>357</v>
      </c>
      <c r="H129" s="1499">
        <f t="shared" si="38"/>
        <v>32844</v>
      </c>
      <c r="I129" s="1400">
        <v>150</v>
      </c>
      <c r="J129" s="1500">
        <f t="shared" si="36"/>
        <v>13800</v>
      </c>
      <c r="K129" s="1403">
        <f t="shared" si="37"/>
        <v>46644</v>
      </c>
      <c r="L129" s="1022"/>
      <c r="M129" s="1328"/>
    </row>
    <row r="130" spans="1:15" s="1329" customFormat="1" ht="24" customHeight="1">
      <c r="A130" s="1481"/>
      <c r="B130" s="1331" t="s">
        <v>1190</v>
      </c>
      <c r="C130" s="801"/>
      <c r="D130" s="801"/>
      <c r="E130" s="1019">
        <v>34</v>
      </c>
      <c r="F130" s="1348" t="s">
        <v>438</v>
      </c>
      <c r="G130" s="1400">
        <v>467</v>
      </c>
      <c r="H130" s="1499">
        <f t="shared" si="38"/>
        <v>15878</v>
      </c>
      <c r="I130" s="1400">
        <v>200</v>
      </c>
      <c r="J130" s="1500">
        <f t="shared" si="36"/>
        <v>6800</v>
      </c>
      <c r="K130" s="1403">
        <f t="shared" si="37"/>
        <v>22678</v>
      </c>
      <c r="L130" s="1022"/>
      <c r="M130" s="1328"/>
    </row>
    <row r="131" spans="1:15" s="1329" customFormat="1" ht="24" customHeight="1">
      <c r="A131" s="1481"/>
      <c r="B131" s="1331" t="s">
        <v>951</v>
      </c>
      <c r="C131" s="801"/>
      <c r="D131" s="801"/>
      <c r="E131" s="1019">
        <v>101</v>
      </c>
      <c r="F131" s="1348" t="s">
        <v>438</v>
      </c>
      <c r="G131" s="1400">
        <v>650</v>
      </c>
      <c r="H131" s="1499">
        <f t="shared" si="38"/>
        <v>65650</v>
      </c>
      <c r="I131" s="1400">
        <v>280</v>
      </c>
      <c r="J131" s="1500">
        <f t="shared" si="36"/>
        <v>28280</v>
      </c>
      <c r="K131" s="1403">
        <f t="shared" si="37"/>
        <v>93930</v>
      </c>
      <c r="L131" s="1022"/>
      <c r="M131" s="1328"/>
    </row>
    <row r="132" spans="1:15" s="1329" customFormat="1" ht="24" customHeight="1">
      <c r="A132" s="1330"/>
      <c r="B132" s="1331" t="s">
        <v>1645</v>
      </c>
      <c r="C132" s="801"/>
      <c r="D132" s="801"/>
      <c r="E132" s="1022">
        <v>1</v>
      </c>
      <c r="F132" s="1333" t="s">
        <v>948</v>
      </c>
      <c r="G132" s="1402">
        <f>ROUND(SUM(H125:H131)*50%,)</f>
        <v>85980</v>
      </c>
      <c r="H132" s="864">
        <f>ROUND(E132*G132,)</f>
        <v>85980</v>
      </c>
      <c r="I132" s="949">
        <f>ROUND(G132*0.3,)</f>
        <v>25794</v>
      </c>
      <c r="J132" s="1395">
        <f t="shared" si="36"/>
        <v>25794</v>
      </c>
      <c r="K132" s="1403">
        <f t="shared" si="37"/>
        <v>111774</v>
      </c>
      <c r="L132" s="1022"/>
      <c r="M132" s="1328"/>
    </row>
    <row r="133" spans="1:15" s="1329" customFormat="1" ht="24" customHeight="1">
      <c r="A133" s="1330"/>
      <c r="B133" s="1331" t="s">
        <v>1646</v>
      </c>
      <c r="C133" s="801"/>
      <c r="D133" s="801"/>
      <c r="E133" s="1022">
        <v>1</v>
      </c>
      <c r="F133" s="1333" t="s">
        <v>948</v>
      </c>
      <c r="G133" s="1402">
        <f>ROUND(SUM(H125:H131)*20%,)</f>
        <v>34392</v>
      </c>
      <c r="H133" s="864">
        <f t="shared" ref="H133:H134" si="39">ROUND(E133*G133,)</f>
        <v>34392</v>
      </c>
      <c r="I133" s="949">
        <f>ROUND(G133*0.3,)</f>
        <v>10318</v>
      </c>
      <c r="J133" s="1395">
        <f t="shared" si="36"/>
        <v>10318</v>
      </c>
      <c r="K133" s="1403">
        <f t="shared" si="37"/>
        <v>44710</v>
      </c>
      <c r="L133" s="1022"/>
      <c r="M133" s="1328"/>
    </row>
    <row r="134" spans="1:15" s="1329" customFormat="1" ht="24" customHeight="1">
      <c r="A134" s="1330"/>
      <c r="B134" s="1331" t="s">
        <v>1647</v>
      </c>
      <c r="C134" s="801"/>
      <c r="D134" s="801"/>
      <c r="E134" s="1022">
        <v>1</v>
      </c>
      <c r="F134" s="1333" t="s">
        <v>948</v>
      </c>
      <c r="G134" s="1402">
        <f>ROUND(SUM(H125:H131)*10%,)</f>
        <v>17196</v>
      </c>
      <c r="H134" s="864">
        <f t="shared" si="39"/>
        <v>17196</v>
      </c>
      <c r="I134" s="949">
        <f>ROUND(G134*0.3,)</f>
        <v>5159</v>
      </c>
      <c r="J134" s="1395">
        <f t="shared" si="36"/>
        <v>5159</v>
      </c>
      <c r="K134" s="1403">
        <f t="shared" si="37"/>
        <v>22355</v>
      </c>
      <c r="L134" s="1022"/>
      <c r="M134" s="1328"/>
    </row>
    <row r="135" spans="1:15" s="1329" customFormat="1" ht="24" customHeight="1">
      <c r="A135" s="1330"/>
      <c r="B135" s="1331"/>
      <c r="C135" s="801"/>
      <c r="D135" s="801"/>
      <c r="E135" s="1022"/>
      <c r="F135" s="1333"/>
      <c r="G135" s="1402"/>
      <c r="H135" s="864"/>
      <c r="I135" s="1402"/>
      <c r="J135" s="1395"/>
      <c r="K135" s="1403"/>
      <c r="L135" s="1022"/>
      <c r="M135" s="1328"/>
    </row>
    <row r="136" spans="1:15" s="1329" customFormat="1" ht="24" customHeight="1">
      <c r="A136" s="1330" t="s">
        <v>1974</v>
      </c>
      <c r="B136" s="1331" t="s">
        <v>1917</v>
      </c>
      <c r="C136" s="801"/>
      <c r="D136" s="801"/>
      <c r="E136" s="1022"/>
      <c r="F136" s="1333"/>
      <c r="G136" s="1392"/>
      <c r="H136" s="751"/>
      <c r="I136" s="1392"/>
      <c r="J136" s="1393"/>
      <c r="K136" s="1022"/>
      <c r="L136" s="1022"/>
      <c r="M136" s="1328"/>
    </row>
    <row r="137" spans="1:15" s="1329" customFormat="1" ht="24" customHeight="1">
      <c r="A137" s="1330"/>
      <c r="B137" s="1331" t="s">
        <v>2028</v>
      </c>
      <c r="C137" s="801"/>
      <c r="D137" s="801"/>
      <c r="E137" s="1022">
        <v>21</v>
      </c>
      <c r="F137" s="1249" t="s">
        <v>438</v>
      </c>
      <c r="G137" s="1392">
        <v>12</v>
      </c>
      <c r="H137" s="864">
        <f t="shared" ref="H137:H144" si="40">ROUND(E137*G137,)</f>
        <v>252</v>
      </c>
      <c r="I137" s="1392">
        <v>30</v>
      </c>
      <c r="J137" s="1395">
        <f t="shared" ref="J137:J142" si="41">ROUND(E137*I137,)</f>
        <v>630</v>
      </c>
      <c r="K137" s="966">
        <f t="shared" ref="K137:K144" si="42">H137+J137</f>
        <v>882</v>
      </c>
      <c r="L137" s="2273" t="s">
        <v>2974</v>
      </c>
      <c r="M137" s="1328"/>
      <c r="N137" s="1720">
        <v>48.23</v>
      </c>
      <c r="O137" s="714">
        <f>ROUND(N137/4,)</f>
        <v>12</v>
      </c>
    </row>
    <row r="138" spans="1:15" s="1329" customFormat="1" ht="24" customHeight="1">
      <c r="A138" s="1330"/>
      <c r="B138" s="1127" t="s">
        <v>1822</v>
      </c>
      <c r="C138" s="801"/>
      <c r="D138" s="801"/>
      <c r="E138" s="968"/>
      <c r="F138" s="794" t="s">
        <v>438</v>
      </c>
      <c r="G138" s="1402">
        <v>16</v>
      </c>
      <c r="H138" s="905">
        <f t="shared" si="40"/>
        <v>0</v>
      </c>
      <c r="I138" s="1496">
        <v>30</v>
      </c>
      <c r="J138" s="1500">
        <f t="shared" si="41"/>
        <v>0</v>
      </c>
      <c r="K138" s="1403">
        <f t="shared" si="42"/>
        <v>0</v>
      </c>
      <c r="L138" s="2273" t="s">
        <v>2974</v>
      </c>
      <c r="M138" s="1328"/>
      <c r="N138" s="1329">
        <v>63.7</v>
      </c>
      <c r="O138" s="714">
        <f>ROUND(N138/4,)</f>
        <v>16</v>
      </c>
    </row>
    <row r="139" spans="1:15" s="1329" customFormat="1" ht="24" customHeight="1">
      <c r="A139" s="1330"/>
      <c r="B139" s="1331" t="s">
        <v>2029</v>
      </c>
      <c r="C139" s="801"/>
      <c r="D139" s="801"/>
      <c r="E139" s="1022">
        <v>179</v>
      </c>
      <c r="F139" s="1249" t="s">
        <v>438</v>
      </c>
      <c r="G139" s="1392">
        <v>20</v>
      </c>
      <c r="H139" s="864">
        <f t="shared" si="40"/>
        <v>3580</v>
      </c>
      <c r="I139" s="1392">
        <v>30</v>
      </c>
      <c r="J139" s="1395">
        <f t="shared" si="41"/>
        <v>5370</v>
      </c>
      <c r="K139" s="966">
        <f t="shared" si="42"/>
        <v>8950</v>
      </c>
      <c r="L139" s="2273" t="s">
        <v>2974</v>
      </c>
      <c r="M139" s="1328"/>
      <c r="N139" s="1719">
        <v>79.17</v>
      </c>
      <c r="O139" s="714">
        <f>ROUND(N139/4,)</f>
        <v>20</v>
      </c>
    </row>
    <row r="140" spans="1:15" s="1329" customFormat="1" ht="24" customHeight="1">
      <c r="A140" s="1330"/>
      <c r="B140" s="1331" t="s">
        <v>2182</v>
      </c>
      <c r="C140" s="801"/>
      <c r="D140" s="801"/>
      <c r="E140" s="1022">
        <v>8</v>
      </c>
      <c r="F140" s="1249" t="s">
        <v>438</v>
      </c>
      <c r="G140" s="1392">
        <v>26</v>
      </c>
      <c r="H140" s="864">
        <f t="shared" si="40"/>
        <v>208</v>
      </c>
      <c r="I140" s="1392">
        <v>30</v>
      </c>
      <c r="J140" s="1395">
        <f t="shared" si="41"/>
        <v>240</v>
      </c>
      <c r="K140" s="966">
        <f t="shared" si="42"/>
        <v>448</v>
      </c>
      <c r="L140" s="2273" t="s">
        <v>2974</v>
      </c>
      <c r="M140" s="1328"/>
      <c r="N140" s="1719">
        <v>103.74</v>
      </c>
      <c r="O140" s="714">
        <f>ROUND(N140/4,)</f>
        <v>26</v>
      </c>
    </row>
    <row r="141" spans="1:15" s="1329" customFormat="1" ht="24" customHeight="1">
      <c r="A141" s="1330"/>
      <c r="B141" s="1331" t="s">
        <v>1188</v>
      </c>
      <c r="C141" s="801"/>
      <c r="D141" s="801"/>
      <c r="E141" s="1022">
        <v>2</v>
      </c>
      <c r="F141" s="1249" t="s">
        <v>438</v>
      </c>
      <c r="G141" s="1392">
        <v>41</v>
      </c>
      <c r="H141" s="864">
        <f t="shared" si="40"/>
        <v>82</v>
      </c>
      <c r="I141" s="1392">
        <v>40</v>
      </c>
      <c r="J141" s="1395">
        <f t="shared" si="41"/>
        <v>80</v>
      </c>
      <c r="K141" s="966">
        <f t="shared" si="42"/>
        <v>162</v>
      </c>
      <c r="L141" s="2273" t="s">
        <v>2974</v>
      </c>
      <c r="M141" s="1328"/>
      <c r="N141" s="1719">
        <v>163.80000000000001</v>
      </c>
      <c r="O141" s="714">
        <f>ROUND(N141/4,)</f>
        <v>41</v>
      </c>
    </row>
    <row r="142" spans="1:15" s="1329" customFormat="1" ht="24" customHeight="1">
      <c r="A142" s="1330"/>
      <c r="B142" s="1331" t="s">
        <v>1645</v>
      </c>
      <c r="C142" s="801"/>
      <c r="D142" s="801"/>
      <c r="E142" s="1022">
        <v>1</v>
      </c>
      <c r="F142" s="1333" t="s">
        <v>948</v>
      </c>
      <c r="G142" s="1402">
        <f>ROUND(SUM(H137:H141)*40%,)</f>
        <v>1649</v>
      </c>
      <c r="H142" s="864">
        <f t="shared" si="40"/>
        <v>1649</v>
      </c>
      <c r="I142" s="949">
        <f>ROUND(G142*0.3,)</f>
        <v>495</v>
      </c>
      <c r="J142" s="1395">
        <f t="shared" si="41"/>
        <v>495</v>
      </c>
      <c r="K142" s="966">
        <f t="shared" si="42"/>
        <v>2144</v>
      </c>
      <c r="L142" s="1022"/>
      <c r="M142" s="1328"/>
    </row>
    <row r="143" spans="1:15" s="1329" customFormat="1" ht="24" customHeight="1">
      <c r="A143" s="1330"/>
      <c r="B143" s="1331" t="s">
        <v>1646</v>
      </c>
      <c r="C143" s="801"/>
      <c r="D143" s="801"/>
      <c r="E143" s="1022">
        <v>1</v>
      </c>
      <c r="F143" s="1333" t="s">
        <v>948</v>
      </c>
      <c r="G143" s="1402">
        <f>ROUND(SUM(H137:H141)*30%,)</f>
        <v>1237</v>
      </c>
      <c r="H143" s="864">
        <f t="shared" si="40"/>
        <v>1237</v>
      </c>
      <c r="I143" s="949">
        <f>ROUND(G143*0.3,)</f>
        <v>371</v>
      </c>
      <c r="J143" s="1395">
        <f>ROUND(E143*I143,)</f>
        <v>371</v>
      </c>
      <c r="K143" s="966">
        <f t="shared" si="42"/>
        <v>1608</v>
      </c>
      <c r="L143" s="1022"/>
      <c r="M143" s="1328"/>
    </row>
    <row r="144" spans="1:15" s="1329" customFormat="1" ht="24" customHeight="1">
      <c r="A144" s="1330"/>
      <c r="B144" s="1331" t="s">
        <v>1647</v>
      </c>
      <c r="C144" s="801"/>
      <c r="D144" s="801"/>
      <c r="E144" s="1022">
        <v>1</v>
      </c>
      <c r="F144" s="1333" t="s">
        <v>948</v>
      </c>
      <c r="G144" s="1402">
        <f>ROUND(SUM(H137:H141)*10%,)</f>
        <v>412</v>
      </c>
      <c r="H144" s="864">
        <f t="shared" si="40"/>
        <v>412</v>
      </c>
      <c r="I144" s="949">
        <f>ROUND(G144*0.3,)</f>
        <v>124</v>
      </c>
      <c r="J144" s="1395">
        <f>ROUND(E144*I144,)</f>
        <v>124</v>
      </c>
      <c r="K144" s="966">
        <f t="shared" si="42"/>
        <v>536</v>
      </c>
      <c r="L144" s="1022"/>
      <c r="M144" s="1328"/>
    </row>
    <row r="145" spans="1:13" s="1329" customFormat="1" ht="24" customHeight="1">
      <c r="A145" s="1334"/>
      <c r="B145" s="1335" t="s">
        <v>957</v>
      </c>
      <c r="C145" s="890"/>
      <c r="D145" s="890"/>
      <c r="E145" s="1080"/>
      <c r="F145" s="1338"/>
      <c r="G145" s="1398"/>
      <c r="H145" s="765"/>
      <c r="I145" s="1398"/>
      <c r="J145" s="1399"/>
      <c r="K145" s="1080"/>
      <c r="L145" s="1080"/>
      <c r="M145" s="1328"/>
    </row>
    <row r="146" spans="1:13" s="714" customFormat="1" ht="30" customHeight="1">
      <c r="A146" s="1166"/>
      <c r="B146" s="2475" t="str">
        <f>"รวมราคารายการที่ "&amp;A123</f>
        <v>รวมราคารายการที่ 7.7</v>
      </c>
      <c r="C146" s="2476"/>
      <c r="D146" s="2476"/>
      <c r="E146" s="1167"/>
      <c r="F146" s="1381"/>
      <c r="G146" s="1168"/>
      <c r="H146" s="1169">
        <f>SUM(H124:H145)</f>
        <v>316947</v>
      </c>
      <c r="I146" s="1170"/>
      <c r="J146" s="1382">
        <f>SUM(J124:J145)</f>
        <v>121986</v>
      </c>
      <c r="K146" s="1171">
        <f>SUM(K124:K145)</f>
        <v>438933</v>
      </c>
      <c r="L146" s="1171"/>
      <c r="M146" s="1322"/>
    </row>
    <row r="147" spans="1:13" s="1329" customFormat="1" ht="24" customHeight="1">
      <c r="A147" s="1405" t="s">
        <v>2038</v>
      </c>
      <c r="B147" s="1326" t="s">
        <v>1921</v>
      </c>
      <c r="C147" s="1347"/>
      <c r="D147" s="901"/>
      <c r="E147" s="1019"/>
      <c r="F147" s="1310"/>
      <c r="G147" s="1406"/>
      <c r="H147" s="864"/>
      <c r="I147" s="1406"/>
      <c r="J147" s="1395"/>
      <c r="K147" s="966"/>
      <c r="L147" s="1030"/>
      <c r="M147" s="1328"/>
    </row>
    <row r="148" spans="1:13" s="1329" customFormat="1" ht="24" customHeight="1">
      <c r="A148" s="1330" t="s">
        <v>1979</v>
      </c>
      <c r="B148" s="1331" t="s">
        <v>1923</v>
      </c>
      <c r="C148" s="1349"/>
      <c r="D148" s="801"/>
      <c r="E148" s="966"/>
      <c r="F148" s="1249"/>
      <c r="G148" s="1394"/>
      <c r="H148" s="864"/>
      <c r="I148" s="1394"/>
      <c r="J148" s="1395"/>
      <c r="K148" s="966"/>
      <c r="L148" s="966"/>
      <c r="M148" s="1328"/>
    </row>
    <row r="149" spans="1:13" s="1329" customFormat="1" ht="24" customHeight="1">
      <c r="A149" s="1330"/>
      <c r="B149" s="1331" t="s">
        <v>1822</v>
      </c>
      <c r="C149" s="1349"/>
      <c r="D149" s="890"/>
      <c r="E149" s="1019">
        <f>E137</f>
        <v>21</v>
      </c>
      <c r="F149" s="1348" t="s">
        <v>438</v>
      </c>
      <c r="G149" s="1257">
        <v>69</v>
      </c>
      <c r="H149" s="796">
        <f t="shared" ref="H149:H162" si="43">ROUND(E149*G149,)</f>
        <v>1449</v>
      </c>
      <c r="I149" s="849">
        <f>ROUND(20*1*1.3,)</f>
        <v>26</v>
      </c>
      <c r="J149" s="1476">
        <f t="shared" ref="J149:J162" si="44">ROUND(E149*I149,)</f>
        <v>546</v>
      </c>
      <c r="K149" s="1014">
        <f t="shared" ref="K149:K163" si="45">H149+J149</f>
        <v>1995</v>
      </c>
      <c r="L149" s="1030"/>
      <c r="M149" s="1328"/>
    </row>
    <row r="150" spans="1:13" s="1329" customFormat="1" ht="24" customHeight="1">
      <c r="A150" s="1330"/>
      <c r="B150" s="1331" t="s">
        <v>2029</v>
      </c>
      <c r="C150" s="1349"/>
      <c r="D150" s="890"/>
      <c r="E150" s="1019">
        <f>E139</f>
        <v>179</v>
      </c>
      <c r="F150" s="1348" t="s">
        <v>438</v>
      </c>
      <c r="G150" s="1257">
        <v>92</v>
      </c>
      <c r="H150" s="796">
        <f t="shared" si="43"/>
        <v>16468</v>
      </c>
      <c r="I150" s="849">
        <f>ROUND(20*1.25*1.3,)</f>
        <v>33</v>
      </c>
      <c r="J150" s="1476">
        <f t="shared" si="44"/>
        <v>5907</v>
      </c>
      <c r="K150" s="1014">
        <f t="shared" si="45"/>
        <v>22375</v>
      </c>
      <c r="L150" s="1030"/>
      <c r="M150" s="1328"/>
    </row>
    <row r="151" spans="1:13" s="1329" customFormat="1" ht="24" customHeight="1">
      <c r="A151" s="1330" t="s">
        <v>1980</v>
      </c>
      <c r="B151" s="1331" t="s">
        <v>2031</v>
      </c>
      <c r="C151" s="1349"/>
      <c r="D151" s="890"/>
      <c r="E151" s="966"/>
      <c r="F151" s="1348"/>
      <c r="G151" s="1394"/>
      <c r="H151" s="905"/>
      <c r="I151" s="1406"/>
      <c r="J151" s="1407"/>
      <c r="K151" s="1030"/>
      <c r="L151" s="1030"/>
      <c r="M151" s="1328"/>
    </row>
    <row r="152" spans="1:13" s="1329" customFormat="1" ht="24" customHeight="1">
      <c r="A152" s="1330"/>
      <c r="B152" s="1331" t="s">
        <v>2028</v>
      </c>
      <c r="C152" s="1349"/>
      <c r="D152" s="890"/>
      <c r="E152" s="1019">
        <f>E125</f>
        <v>7</v>
      </c>
      <c r="F152" s="1348" t="s">
        <v>438</v>
      </c>
      <c r="G152" s="1479">
        <v>69</v>
      </c>
      <c r="H152" s="796">
        <f t="shared" si="43"/>
        <v>483</v>
      </c>
      <c r="I152" s="1480">
        <f>ROUND(20*0.75*1.3,)</f>
        <v>20</v>
      </c>
      <c r="J152" s="1476">
        <f t="shared" si="44"/>
        <v>140</v>
      </c>
      <c r="K152" s="1014">
        <f t="shared" si="45"/>
        <v>623</v>
      </c>
      <c r="L152" s="1030"/>
      <c r="M152" s="1328"/>
    </row>
    <row r="153" spans="1:13" s="1329" customFormat="1" ht="24" customHeight="1">
      <c r="A153" s="1330"/>
      <c r="B153" s="1331" t="s">
        <v>1822</v>
      </c>
      <c r="C153" s="1349"/>
      <c r="D153" s="801"/>
      <c r="E153" s="1019">
        <f>E126</f>
        <v>37</v>
      </c>
      <c r="F153" s="1249" t="s">
        <v>438</v>
      </c>
      <c r="G153" s="1257">
        <v>85</v>
      </c>
      <c r="H153" s="796">
        <f t="shared" si="43"/>
        <v>3145</v>
      </c>
      <c r="I153" s="849">
        <f>ROUND(20*1*1.3,)</f>
        <v>26</v>
      </c>
      <c r="J153" s="1476">
        <f t="shared" si="44"/>
        <v>962</v>
      </c>
      <c r="K153" s="1014">
        <f t="shared" si="45"/>
        <v>4107</v>
      </c>
      <c r="L153" s="1030"/>
      <c r="M153" s="1328"/>
    </row>
    <row r="154" spans="1:13" s="1329" customFormat="1" ht="24" customHeight="1">
      <c r="A154" s="1330" t="s">
        <v>1981</v>
      </c>
      <c r="B154" s="1331" t="s">
        <v>2113</v>
      </c>
      <c r="C154" s="1349"/>
      <c r="D154" s="890"/>
      <c r="E154" s="966"/>
      <c r="F154" s="1348"/>
      <c r="G154" s="1394"/>
      <c r="H154" s="905"/>
      <c r="I154" s="1406"/>
      <c r="J154" s="1407"/>
      <c r="K154" s="1030"/>
      <c r="L154" s="1030"/>
      <c r="M154" s="1328"/>
    </row>
    <row r="155" spans="1:13" s="1329" customFormat="1" ht="24" customHeight="1">
      <c r="A155" s="1330"/>
      <c r="B155" s="1331" t="s">
        <v>1186</v>
      </c>
      <c r="C155" s="1349"/>
      <c r="D155" s="801"/>
      <c r="E155" s="1019">
        <f>E127</f>
        <v>178</v>
      </c>
      <c r="F155" s="1249" t="s">
        <v>438</v>
      </c>
      <c r="G155" s="1394">
        <v>108</v>
      </c>
      <c r="H155" s="796">
        <f t="shared" si="43"/>
        <v>19224</v>
      </c>
      <c r="I155" s="1406">
        <v>33</v>
      </c>
      <c r="J155" s="1476">
        <f t="shared" si="44"/>
        <v>5874</v>
      </c>
      <c r="K155" s="1014">
        <f t="shared" si="45"/>
        <v>25098</v>
      </c>
      <c r="L155" s="1030"/>
      <c r="M155" s="1328"/>
    </row>
    <row r="156" spans="1:13" s="1329" customFormat="1" ht="24" customHeight="1">
      <c r="A156" s="1481"/>
      <c r="B156" s="1331" t="s">
        <v>1187</v>
      </c>
      <c r="C156" s="801"/>
      <c r="D156" s="801"/>
      <c r="E156" s="1019">
        <f>E140</f>
        <v>8</v>
      </c>
      <c r="F156" s="1348" t="s">
        <v>438</v>
      </c>
      <c r="G156" s="1394">
        <v>164</v>
      </c>
      <c r="H156" s="796">
        <f t="shared" si="43"/>
        <v>1312</v>
      </c>
      <c r="I156" s="1406">
        <v>39</v>
      </c>
      <c r="J156" s="1476">
        <f t="shared" si="44"/>
        <v>312</v>
      </c>
      <c r="K156" s="1014">
        <f t="shared" si="45"/>
        <v>1624</v>
      </c>
      <c r="L156" s="1019"/>
      <c r="M156" s="1328"/>
    </row>
    <row r="157" spans="1:13" s="1329" customFormat="1" ht="24" customHeight="1">
      <c r="A157" s="1481"/>
      <c r="B157" s="1331" t="s">
        <v>1188</v>
      </c>
      <c r="C157" s="801"/>
      <c r="D157" s="801"/>
      <c r="E157" s="1019">
        <f>E128+E141</f>
        <v>128</v>
      </c>
      <c r="F157" s="1348" t="s">
        <v>438</v>
      </c>
      <c r="G157" s="1394">
        <v>200</v>
      </c>
      <c r="H157" s="796">
        <f t="shared" si="43"/>
        <v>25600</v>
      </c>
      <c r="I157" s="1406">
        <v>52</v>
      </c>
      <c r="J157" s="1476">
        <f t="shared" si="44"/>
        <v>6656</v>
      </c>
      <c r="K157" s="1014">
        <f t="shared" si="45"/>
        <v>32256</v>
      </c>
      <c r="L157" s="1019"/>
      <c r="M157" s="1328"/>
    </row>
    <row r="158" spans="1:13" s="1329" customFormat="1" ht="24" customHeight="1">
      <c r="A158" s="1481"/>
      <c r="B158" s="1331" t="s">
        <v>1189</v>
      </c>
      <c r="C158" s="801"/>
      <c r="D158" s="801"/>
      <c r="E158" s="1019">
        <f>E129</f>
        <v>92</v>
      </c>
      <c r="F158" s="1348" t="s">
        <v>438</v>
      </c>
      <c r="G158" s="1394">
        <v>256</v>
      </c>
      <c r="H158" s="796">
        <f t="shared" si="43"/>
        <v>23552</v>
      </c>
      <c r="I158" s="1406">
        <v>65</v>
      </c>
      <c r="J158" s="1476">
        <f t="shared" si="44"/>
        <v>5980</v>
      </c>
      <c r="K158" s="1014">
        <f t="shared" si="45"/>
        <v>29532</v>
      </c>
      <c r="L158" s="1019"/>
      <c r="M158" s="1328"/>
    </row>
    <row r="159" spans="1:13" s="1329" customFormat="1" ht="24" customHeight="1">
      <c r="A159" s="1481"/>
      <c r="B159" s="1331" t="s">
        <v>1190</v>
      </c>
      <c r="C159" s="801"/>
      <c r="D159" s="801"/>
      <c r="E159" s="1019">
        <f>E130</f>
        <v>34</v>
      </c>
      <c r="F159" s="1348" t="s">
        <v>438</v>
      </c>
      <c r="G159" s="1394">
        <v>302</v>
      </c>
      <c r="H159" s="796">
        <f t="shared" si="43"/>
        <v>10268</v>
      </c>
      <c r="I159" s="1406">
        <v>78</v>
      </c>
      <c r="J159" s="1476">
        <f t="shared" si="44"/>
        <v>2652</v>
      </c>
      <c r="K159" s="1014">
        <f t="shared" si="45"/>
        <v>12920</v>
      </c>
      <c r="L159" s="1019"/>
      <c r="M159" s="1328"/>
    </row>
    <row r="160" spans="1:13" s="1329" customFormat="1" ht="24" customHeight="1">
      <c r="A160" s="1481"/>
      <c r="B160" s="1331" t="s">
        <v>951</v>
      </c>
      <c r="C160" s="801"/>
      <c r="D160" s="801"/>
      <c r="E160" s="1019">
        <f>E131</f>
        <v>101</v>
      </c>
      <c r="F160" s="1348" t="s">
        <v>438</v>
      </c>
      <c r="G160" s="1394">
        <v>367</v>
      </c>
      <c r="H160" s="796">
        <f t="shared" si="43"/>
        <v>37067</v>
      </c>
      <c r="I160" s="1406">
        <v>104</v>
      </c>
      <c r="J160" s="1476">
        <f t="shared" si="44"/>
        <v>10504</v>
      </c>
      <c r="K160" s="1014">
        <f t="shared" si="45"/>
        <v>47571</v>
      </c>
      <c r="L160" s="1019"/>
      <c r="M160" s="1328"/>
    </row>
    <row r="161" spans="1:13" s="1329" customFormat="1" ht="24" customHeight="1">
      <c r="A161" s="1330" t="s">
        <v>1982</v>
      </c>
      <c r="B161" s="1331" t="s">
        <v>1925</v>
      </c>
      <c r="C161" s="1349"/>
      <c r="D161" s="890"/>
      <c r="E161" s="966"/>
      <c r="F161" s="1348"/>
      <c r="G161" s="1394"/>
      <c r="H161" s="905"/>
      <c r="I161" s="1406"/>
      <c r="J161" s="1407"/>
      <c r="K161" s="1030"/>
      <c r="L161" s="1030"/>
      <c r="M161" s="1328"/>
    </row>
    <row r="162" spans="1:13" s="1329" customFormat="1" ht="24" customHeight="1">
      <c r="A162" s="1481"/>
      <c r="B162" s="1331" t="s">
        <v>1809</v>
      </c>
      <c r="C162" s="801"/>
      <c r="D162" s="801"/>
      <c r="E162" s="1019"/>
      <c r="F162" s="1348" t="s">
        <v>438</v>
      </c>
      <c r="G162" s="1400">
        <v>465</v>
      </c>
      <c r="H162" s="796">
        <f t="shared" si="43"/>
        <v>0</v>
      </c>
      <c r="I162" s="1400">
        <v>465</v>
      </c>
      <c r="J162" s="1476">
        <f t="shared" si="44"/>
        <v>0</v>
      </c>
      <c r="K162" s="1014">
        <f t="shared" si="45"/>
        <v>0</v>
      </c>
      <c r="L162" s="1019"/>
      <c r="M162" s="1328"/>
    </row>
    <row r="163" spans="1:13" s="1329" customFormat="1" ht="24" customHeight="1">
      <c r="A163" s="1330"/>
      <c r="B163" s="1331" t="s">
        <v>957</v>
      </c>
      <c r="C163" s="1349"/>
      <c r="D163" s="890"/>
      <c r="E163" s="966"/>
      <c r="F163" s="1348"/>
      <c r="G163" s="1394"/>
      <c r="H163" s="905"/>
      <c r="I163" s="1406"/>
      <c r="J163" s="1407"/>
      <c r="K163" s="1014">
        <f t="shared" si="45"/>
        <v>0</v>
      </c>
      <c r="L163" s="1030"/>
      <c r="M163" s="1328"/>
    </row>
    <row r="164" spans="1:13" s="714" customFormat="1" ht="30" customHeight="1">
      <c r="A164" s="1166"/>
      <c r="B164" s="2475" t="str">
        <f>"รวมราคารายการที่ "&amp;A147</f>
        <v>รวมราคารายการที่ 7.8</v>
      </c>
      <c r="C164" s="2476"/>
      <c r="D164" s="2476"/>
      <c r="E164" s="1167"/>
      <c r="F164" s="1381"/>
      <c r="G164" s="1168"/>
      <c r="H164" s="1169">
        <f>SUM(H147:H163)</f>
        <v>138568</v>
      </c>
      <c r="I164" s="1170"/>
      <c r="J164" s="1382">
        <f>SUM(J147:J163)</f>
        <v>39533</v>
      </c>
      <c r="K164" s="1171">
        <f>SUM(K147:K163)</f>
        <v>178101</v>
      </c>
      <c r="L164" s="1171"/>
      <c r="M164" s="1322"/>
    </row>
    <row r="165" spans="1:13" s="1329" customFormat="1" ht="24" customHeight="1">
      <c r="A165" s="1325" t="s">
        <v>2039</v>
      </c>
      <c r="B165" s="1326" t="s">
        <v>1927</v>
      </c>
      <c r="C165" s="1347"/>
      <c r="D165" s="901"/>
      <c r="E165" s="1019"/>
      <c r="F165" s="1310"/>
      <c r="G165" s="1406"/>
      <c r="H165" s="864"/>
      <c r="I165" s="1406"/>
      <c r="J165" s="1395"/>
      <c r="K165" s="966"/>
      <c r="L165" s="1030"/>
      <c r="M165" s="1328"/>
    </row>
    <row r="166" spans="1:13" s="1329" customFormat="1" ht="24" customHeight="1">
      <c r="A166" s="1330" t="s">
        <v>2040</v>
      </c>
      <c r="B166" s="1331" t="s">
        <v>1929</v>
      </c>
      <c r="C166" s="1349"/>
      <c r="D166" s="801"/>
      <c r="E166" s="966"/>
      <c r="F166" s="1249"/>
      <c r="G166" s="1394"/>
      <c r="H166" s="864"/>
      <c r="I166" s="1394"/>
      <c r="J166" s="1395"/>
      <c r="K166" s="966"/>
      <c r="L166" s="966"/>
      <c r="M166" s="1328"/>
    </row>
    <row r="167" spans="1:13" s="1329" customFormat="1" ht="24" customHeight="1">
      <c r="A167" s="791"/>
      <c r="B167" s="1127" t="s">
        <v>1184</v>
      </c>
      <c r="C167" s="1233"/>
      <c r="D167" s="792"/>
      <c r="E167" s="1501">
        <f>E88*2</f>
        <v>4</v>
      </c>
      <c r="F167" s="1502" t="s">
        <v>240</v>
      </c>
      <c r="G167" s="1503">
        <v>880</v>
      </c>
      <c r="H167" s="1499">
        <f t="shared" ref="H167:H171" si="46">ROUND(E167*G167,)</f>
        <v>3520</v>
      </c>
      <c r="I167" s="1480">
        <v>150</v>
      </c>
      <c r="J167" s="1500">
        <f t="shared" ref="J167:J171" si="47">ROUND(E167*I167,)</f>
        <v>600</v>
      </c>
      <c r="K167" s="1403">
        <f t="shared" ref="K167:K171" si="48">H167+J167</f>
        <v>4120</v>
      </c>
      <c r="L167" s="2273" t="s">
        <v>2974</v>
      </c>
      <c r="M167" s="1328"/>
    </row>
    <row r="168" spans="1:13" s="1329" customFormat="1" ht="24" customHeight="1">
      <c r="A168" s="791"/>
      <c r="B168" s="1127" t="s">
        <v>1185</v>
      </c>
      <c r="C168" s="1233"/>
      <c r="D168" s="792"/>
      <c r="E168" s="1345"/>
      <c r="F168" s="1140" t="s">
        <v>240</v>
      </c>
      <c r="G168" s="1504">
        <v>1316</v>
      </c>
      <c r="H168" s="796">
        <f t="shared" si="46"/>
        <v>0</v>
      </c>
      <c r="I168" s="849">
        <v>200</v>
      </c>
      <c r="J168" s="1476">
        <f t="shared" si="47"/>
        <v>0</v>
      </c>
      <c r="K168" s="1014">
        <f t="shared" si="48"/>
        <v>0</v>
      </c>
      <c r="L168" s="2273" t="s">
        <v>2974</v>
      </c>
      <c r="M168" s="1328"/>
    </row>
    <row r="169" spans="1:13" s="1329" customFormat="1" ht="24" customHeight="1">
      <c r="A169" s="791"/>
      <c r="B169" s="1127" t="s">
        <v>1186</v>
      </c>
      <c r="C169" s="1233"/>
      <c r="D169" s="792"/>
      <c r="E169" s="1345">
        <f>E91*2</f>
        <v>36</v>
      </c>
      <c r="F169" s="1140" t="s">
        <v>240</v>
      </c>
      <c r="G169" s="1504">
        <v>1984</v>
      </c>
      <c r="H169" s="796">
        <f t="shared" si="46"/>
        <v>71424</v>
      </c>
      <c r="I169" s="849">
        <v>250</v>
      </c>
      <c r="J169" s="1476">
        <f t="shared" si="47"/>
        <v>9000</v>
      </c>
      <c r="K169" s="1014">
        <f t="shared" si="48"/>
        <v>80424</v>
      </c>
      <c r="L169" s="2273" t="s">
        <v>2974</v>
      </c>
      <c r="M169" s="1328"/>
    </row>
    <row r="170" spans="1:13" s="1329" customFormat="1" ht="24" customHeight="1">
      <c r="A170" s="791"/>
      <c r="B170" s="1127" t="s">
        <v>1187</v>
      </c>
      <c r="C170" s="1233"/>
      <c r="D170" s="792"/>
      <c r="E170" s="1345"/>
      <c r="F170" s="1140" t="s">
        <v>240</v>
      </c>
      <c r="G170" s="1504">
        <v>2610</v>
      </c>
      <c r="H170" s="796">
        <f t="shared" si="46"/>
        <v>0</v>
      </c>
      <c r="I170" s="849">
        <v>300</v>
      </c>
      <c r="J170" s="1476">
        <f t="shared" si="47"/>
        <v>0</v>
      </c>
      <c r="K170" s="1014">
        <f t="shared" si="48"/>
        <v>0</v>
      </c>
      <c r="L170" s="2273" t="s">
        <v>2974</v>
      </c>
      <c r="M170" s="1328"/>
    </row>
    <row r="171" spans="1:13" s="1329" customFormat="1" ht="24" customHeight="1">
      <c r="A171" s="791"/>
      <c r="B171" s="1127" t="s">
        <v>1188</v>
      </c>
      <c r="C171" s="1233"/>
      <c r="D171" s="792"/>
      <c r="E171" s="1345"/>
      <c r="F171" s="1140" t="s">
        <v>240</v>
      </c>
      <c r="G171" s="1504">
        <v>4040</v>
      </c>
      <c r="H171" s="796">
        <f t="shared" si="46"/>
        <v>0</v>
      </c>
      <c r="I171" s="849">
        <v>400</v>
      </c>
      <c r="J171" s="1476">
        <f t="shared" si="47"/>
        <v>0</v>
      </c>
      <c r="K171" s="1014">
        <f t="shared" si="48"/>
        <v>0</v>
      </c>
      <c r="L171" s="2273" t="s">
        <v>2974</v>
      </c>
      <c r="M171" s="1328"/>
    </row>
    <row r="172" spans="1:13" s="1329" customFormat="1" ht="24" customHeight="1">
      <c r="A172" s="1330" t="s">
        <v>2183</v>
      </c>
      <c r="B172" s="1331" t="s">
        <v>1942</v>
      </c>
      <c r="C172" s="1349"/>
      <c r="D172" s="890"/>
      <c r="E172" s="966"/>
      <c r="F172" s="1348"/>
      <c r="G172" s="1394"/>
      <c r="H172" s="905"/>
      <c r="I172" s="1406"/>
      <c r="J172" s="1407"/>
      <c r="K172" s="1030"/>
      <c r="L172" s="1030"/>
      <c r="M172" s="1328"/>
    </row>
    <row r="173" spans="1:13" s="1329" customFormat="1" ht="24" customHeight="1">
      <c r="A173" s="1330"/>
      <c r="B173" s="1331" t="s">
        <v>1184</v>
      </c>
      <c r="C173" s="1349"/>
      <c r="D173" s="890"/>
      <c r="E173" s="966"/>
      <c r="F173" s="1348" t="s">
        <v>240</v>
      </c>
      <c r="G173" s="1394"/>
      <c r="H173" s="905"/>
      <c r="I173" s="1406"/>
      <c r="J173" s="1395"/>
      <c r="K173" s="1030"/>
      <c r="L173" s="1030"/>
      <c r="M173" s="1328"/>
    </row>
    <row r="174" spans="1:13" s="1329" customFormat="1" ht="24" customHeight="1">
      <c r="A174" s="1330"/>
      <c r="B174" s="1331" t="s">
        <v>1185</v>
      </c>
      <c r="C174" s="1349"/>
      <c r="D174" s="890"/>
      <c r="E174" s="966"/>
      <c r="F174" s="1348" t="s">
        <v>240</v>
      </c>
      <c r="G174" s="1394"/>
      <c r="H174" s="905"/>
      <c r="I174" s="1406"/>
      <c r="J174" s="1407"/>
      <c r="K174" s="1030"/>
      <c r="L174" s="1030"/>
      <c r="M174" s="1328"/>
    </row>
    <row r="175" spans="1:13" s="1329" customFormat="1" ht="24" customHeight="1">
      <c r="A175" s="1330"/>
      <c r="B175" s="1331" t="s">
        <v>1186</v>
      </c>
      <c r="C175" s="1349"/>
      <c r="D175" s="890"/>
      <c r="E175" s="966">
        <f>E169</f>
        <v>36</v>
      </c>
      <c r="F175" s="1348" t="s">
        <v>240</v>
      </c>
      <c r="G175" s="1394">
        <f>3700*0.5</f>
        <v>1850</v>
      </c>
      <c r="H175" s="796">
        <f t="shared" ref="H175" si="49">ROUND(E175*G175,)</f>
        <v>66600</v>
      </c>
      <c r="I175" s="849">
        <v>250</v>
      </c>
      <c r="J175" s="1476">
        <f t="shared" ref="J175" si="50">ROUND(E175*I175,)</f>
        <v>9000</v>
      </c>
      <c r="K175" s="1014">
        <f t="shared" ref="K175" si="51">H175+J175</f>
        <v>75600</v>
      </c>
      <c r="L175" s="1030"/>
      <c r="M175" s="1328"/>
    </row>
    <row r="176" spans="1:13" s="1329" customFormat="1" ht="24" customHeight="1">
      <c r="A176" s="1330"/>
      <c r="B176" s="1127" t="s">
        <v>1187</v>
      </c>
      <c r="C176" s="1233"/>
      <c r="D176" s="792"/>
      <c r="E176" s="1345"/>
      <c r="F176" s="1140" t="s">
        <v>240</v>
      </c>
      <c r="G176" s="1394"/>
      <c r="H176" s="905"/>
      <c r="I176" s="1406"/>
      <c r="J176" s="1407"/>
      <c r="K176" s="1030"/>
      <c r="L176" s="1030"/>
      <c r="M176" s="1328"/>
    </row>
    <row r="177" spans="1:13" s="1329" customFormat="1" ht="24" customHeight="1">
      <c r="A177" s="1330"/>
      <c r="B177" s="1127" t="s">
        <v>1188</v>
      </c>
      <c r="C177" s="1233"/>
      <c r="D177" s="792"/>
      <c r="E177" s="1345"/>
      <c r="F177" s="1140" t="s">
        <v>240</v>
      </c>
      <c r="G177" s="1394"/>
      <c r="H177" s="905"/>
      <c r="I177" s="1406"/>
      <c r="J177" s="1407"/>
      <c r="K177" s="1030"/>
      <c r="L177" s="1030"/>
      <c r="M177" s="1328"/>
    </row>
    <row r="178" spans="1:13" s="1329" customFormat="1" ht="24" customHeight="1">
      <c r="A178" s="1330" t="s">
        <v>2184</v>
      </c>
      <c r="B178" s="1331" t="s">
        <v>1656</v>
      </c>
      <c r="C178" s="1349"/>
      <c r="D178" s="890"/>
      <c r="E178" s="966"/>
      <c r="F178" s="1348"/>
      <c r="G178" s="1394"/>
      <c r="H178" s="905"/>
      <c r="I178" s="1406"/>
      <c r="J178" s="1407"/>
      <c r="K178" s="1030"/>
      <c r="L178" s="1030"/>
      <c r="M178" s="1328"/>
    </row>
    <row r="179" spans="1:13" s="1329" customFormat="1" ht="24" customHeight="1">
      <c r="A179" s="1330"/>
      <c r="B179" s="1331" t="s">
        <v>1185</v>
      </c>
      <c r="C179" s="1349"/>
      <c r="D179" s="890"/>
      <c r="E179" s="966"/>
      <c r="F179" s="1348" t="s">
        <v>240</v>
      </c>
      <c r="G179" s="1394"/>
      <c r="H179" s="905"/>
      <c r="I179" s="1406"/>
      <c r="J179" s="1395"/>
      <c r="K179" s="1030"/>
      <c r="L179" s="1019"/>
      <c r="M179" s="1328"/>
    </row>
    <row r="180" spans="1:13" s="1329" customFormat="1" ht="24" customHeight="1">
      <c r="A180" s="1330"/>
      <c r="B180" s="1331"/>
      <c r="C180" s="1349"/>
      <c r="D180" s="890"/>
      <c r="E180" s="966"/>
      <c r="F180" s="1348"/>
      <c r="G180" s="1394"/>
      <c r="H180" s="905"/>
      <c r="I180" s="1406"/>
      <c r="J180" s="1407"/>
      <c r="K180" s="1030"/>
      <c r="L180" s="1019"/>
      <c r="M180" s="1328"/>
    </row>
    <row r="181" spans="1:13" s="1329" customFormat="1" ht="24" customHeight="1">
      <c r="A181" s="1330" t="s">
        <v>2185</v>
      </c>
      <c r="B181" s="1331" t="s">
        <v>1940</v>
      </c>
      <c r="C181" s="1349"/>
      <c r="D181" s="890"/>
      <c r="E181" s="966"/>
      <c r="F181" s="1348"/>
      <c r="G181" s="1394"/>
      <c r="H181" s="905"/>
      <c r="I181" s="1406"/>
      <c r="J181" s="1407"/>
      <c r="K181" s="1030"/>
      <c r="L181" s="1030"/>
      <c r="M181" s="1328"/>
    </row>
    <row r="182" spans="1:13" s="1329" customFormat="1" ht="24" customHeight="1">
      <c r="A182" s="791"/>
      <c r="B182" s="1127" t="s">
        <v>1184</v>
      </c>
      <c r="C182" s="1233"/>
      <c r="D182" s="792"/>
      <c r="E182" s="1501"/>
      <c r="F182" s="1502" t="s">
        <v>240</v>
      </c>
      <c r="G182" s="1479">
        <v>350</v>
      </c>
      <c r="H182" s="1499">
        <f t="shared" ref="H182:H185" si="52">ROUND(E182*G182,)</f>
        <v>0</v>
      </c>
      <c r="I182" s="1480">
        <v>150</v>
      </c>
      <c r="J182" s="1500">
        <f t="shared" ref="J182:J188" si="53">ROUND(E182*I182,)</f>
        <v>0</v>
      </c>
      <c r="K182" s="1403">
        <f t="shared" ref="K182:K188" si="54">H182+J182</f>
        <v>0</v>
      </c>
      <c r="L182" s="1014"/>
      <c r="M182" s="1328"/>
    </row>
    <row r="183" spans="1:13" s="1329" customFormat="1" ht="24" customHeight="1">
      <c r="A183" s="791"/>
      <c r="B183" s="1127" t="s">
        <v>1186</v>
      </c>
      <c r="C183" s="1233"/>
      <c r="D183" s="792"/>
      <c r="E183" s="1345">
        <f>E169/2</f>
        <v>18</v>
      </c>
      <c r="F183" s="1140" t="s">
        <v>240</v>
      </c>
      <c r="G183" s="1257">
        <v>1084</v>
      </c>
      <c r="H183" s="796">
        <f t="shared" si="52"/>
        <v>19512</v>
      </c>
      <c r="I183" s="849">
        <v>250</v>
      </c>
      <c r="J183" s="1476">
        <f t="shared" si="53"/>
        <v>4500</v>
      </c>
      <c r="K183" s="1014">
        <f t="shared" si="54"/>
        <v>24012</v>
      </c>
      <c r="L183" s="1014"/>
      <c r="M183" s="1328"/>
    </row>
    <row r="184" spans="1:13" s="1329" customFormat="1" ht="24" customHeight="1">
      <c r="A184" s="791"/>
      <c r="B184" s="1127" t="s">
        <v>1187</v>
      </c>
      <c r="C184" s="1233"/>
      <c r="D184" s="792"/>
      <c r="E184" s="1345"/>
      <c r="F184" s="1140" t="s">
        <v>240</v>
      </c>
      <c r="G184" s="1257">
        <v>1710</v>
      </c>
      <c r="H184" s="796">
        <f t="shared" si="52"/>
        <v>0</v>
      </c>
      <c r="I184" s="849">
        <v>300</v>
      </c>
      <c r="J184" s="1476">
        <f t="shared" si="53"/>
        <v>0</v>
      </c>
      <c r="K184" s="1014">
        <f t="shared" si="54"/>
        <v>0</v>
      </c>
      <c r="L184" s="1014"/>
      <c r="M184" s="1328"/>
    </row>
    <row r="185" spans="1:13" s="1329" customFormat="1" ht="24" customHeight="1">
      <c r="A185" s="791"/>
      <c r="B185" s="1127" t="s">
        <v>1188</v>
      </c>
      <c r="C185" s="1233"/>
      <c r="D185" s="792"/>
      <c r="E185" s="1345"/>
      <c r="F185" s="1140" t="s">
        <v>240</v>
      </c>
      <c r="G185" s="1504">
        <v>2839</v>
      </c>
      <c r="H185" s="796">
        <f t="shared" si="52"/>
        <v>0</v>
      </c>
      <c r="I185" s="849">
        <v>400</v>
      </c>
      <c r="J185" s="1476">
        <f t="shared" si="53"/>
        <v>0</v>
      </c>
      <c r="K185" s="1014">
        <f t="shared" si="54"/>
        <v>0</v>
      </c>
      <c r="L185" s="1014"/>
      <c r="M185" s="1328"/>
    </row>
    <row r="186" spans="1:13" s="1329" customFormat="1" ht="24" customHeight="1">
      <c r="A186" s="1330" t="s">
        <v>2186</v>
      </c>
      <c r="B186" s="1331" t="s">
        <v>2187</v>
      </c>
      <c r="C186" s="1349"/>
      <c r="D186" s="801"/>
      <c r="E186" s="966"/>
      <c r="F186" s="1249" t="s">
        <v>240</v>
      </c>
      <c r="G186" s="1394"/>
      <c r="H186" s="864"/>
      <c r="I186" s="1394"/>
      <c r="J186" s="1395">
        <f t="shared" si="53"/>
        <v>0</v>
      </c>
      <c r="K186" s="966">
        <f t="shared" si="54"/>
        <v>0</v>
      </c>
      <c r="L186" s="966"/>
      <c r="M186" s="1328"/>
    </row>
    <row r="187" spans="1:13" s="1329" customFormat="1" ht="24" customHeight="1">
      <c r="A187" s="1330" t="s">
        <v>2188</v>
      </c>
      <c r="B187" s="1331" t="s">
        <v>2189</v>
      </c>
      <c r="C187" s="1349"/>
      <c r="D187" s="801"/>
      <c r="E187" s="966"/>
      <c r="F187" s="1249" t="s">
        <v>240</v>
      </c>
      <c r="G187" s="1394"/>
      <c r="H187" s="864"/>
      <c r="I187" s="1394"/>
      <c r="J187" s="1395">
        <f t="shared" si="53"/>
        <v>0</v>
      </c>
      <c r="K187" s="966">
        <f t="shared" si="54"/>
        <v>0</v>
      </c>
      <c r="L187" s="966"/>
      <c r="M187" s="1328"/>
    </row>
    <row r="188" spans="1:13" s="1329" customFormat="1" ht="24" customHeight="1">
      <c r="A188" s="1330" t="s">
        <v>2190</v>
      </c>
      <c r="B188" s="1331" t="s">
        <v>2191</v>
      </c>
      <c r="C188" s="1349"/>
      <c r="D188" s="801"/>
      <c r="E188" s="966"/>
      <c r="F188" s="1249" t="s">
        <v>240</v>
      </c>
      <c r="G188" s="1394"/>
      <c r="H188" s="864"/>
      <c r="I188" s="1394"/>
      <c r="J188" s="1395">
        <f t="shared" si="53"/>
        <v>0</v>
      </c>
      <c r="K188" s="966">
        <f t="shared" si="54"/>
        <v>0</v>
      </c>
      <c r="L188" s="966"/>
      <c r="M188" s="1328"/>
    </row>
    <row r="189" spans="1:13" s="714" customFormat="1" ht="30" customHeight="1">
      <c r="A189" s="1166"/>
      <c r="B189" s="2475" t="str">
        <f>"รวมราคารายการที่ "&amp;A165</f>
        <v>รวมราคารายการที่ 7.9</v>
      </c>
      <c r="C189" s="2476"/>
      <c r="D189" s="2476"/>
      <c r="E189" s="1167"/>
      <c r="F189" s="1381"/>
      <c r="G189" s="1168"/>
      <c r="H189" s="1169">
        <f>SUM(H165:H188)</f>
        <v>161056</v>
      </c>
      <c r="I189" s="1170"/>
      <c r="J189" s="1382">
        <f>SUM(J165:J188)</f>
        <v>23100</v>
      </c>
      <c r="K189" s="1171">
        <f>SUM(K165:K188)</f>
        <v>184156</v>
      </c>
      <c r="L189" s="1171"/>
      <c r="M189" s="1322"/>
    </row>
    <row r="190" spans="1:13" s="1329" customFormat="1" ht="24" customHeight="1">
      <c r="A190" s="1325" t="s">
        <v>2065</v>
      </c>
      <c r="B190" s="1326" t="s">
        <v>1948</v>
      </c>
      <c r="C190" s="1347"/>
      <c r="D190" s="901"/>
      <c r="E190" s="1030"/>
      <c r="F190" s="1348"/>
      <c r="G190" s="1406"/>
      <c r="H190" s="864"/>
      <c r="I190" s="1406"/>
      <c r="J190" s="1395"/>
      <c r="K190" s="966"/>
      <c r="L190" s="1030"/>
      <c r="M190" s="1328"/>
    </row>
    <row r="191" spans="1:13" s="1329" customFormat="1" ht="24" customHeight="1">
      <c r="A191" s="1330" t="s">
        <v>2067</v>
      </c>
      <c r="B191" s="1331" t="s">
        <v>2192</v>
      </c>
      <c r="C191" s="1349"/>
      <c r="D191" s="801"/>
      <c r="E191" s="966"/>
      <c r="F191" s="1249"/>
      <c r="G191" s="1394"/>
      <c r="H191" s="864"/>
      <c r="I191" s="1394"/>
      <c r="J191" s="1395"/>
      <c r="K191" s="966"/>
      <c r="L191" s="966"/>
      <c r="M191" s="1328"/>
    </row>
    <row r="192" spans="1:13" s="1329" customFormat="1" ht="24" customHeight="1">
      <c r="A192" s="1330"/>
      <c r="B192" s="1331" t="s">
        <v>2035</v>
      </c>
      <c r="C192" s="1349"/>
      <c r="D192" s="801"/>
      <c r="E192" s="966">
        <v>257</v>
      </c>
      <c r="F192" s="1249" t="s">
        <v>1952</v>
      </c>
      <c r="G192" s="1406">
        <v>218</v>
      </c>
      <c r="H192" s="864">
        <f t="shared" ref="H192:H198" si="55">ROUND(E192*G192,)</f>
        <v>56026</v>
      </c>
      <c r="I192" s="1406">
        <v>194</v>
      </c>
      <c r="J192" s="1395">
        <f t="shared" ref="J192:J198" si="56">ROUND(E192*I192,)</f>
        <v>49858</v>
      </c>
      <c r="K192" s="966">
        <f t="shared" ref="K192:K198" si="57">H192+J192</f>
        <v>105884</v>
      </c>
      <c r="L192" s="966"/>
      <c r="M192" s="1328"/>
    </row>
    <row r="193" spans="1:13" s="1329" customFormat="1" ht="24" customHeight="1">
      <c r="A193" s="1330"/>
      <c r="B193" s="1331" t="s">
        <v>2036</v>
      </c>
      <c r="C193" s="1349"/>
      <c r="D193" s="801"/>
      <c r="E193" s="966">
        <v>631</v>
      </c>
      <c r="F193" s="1249" t="s">
        <v>1952</v>
      </c>
      <c r="G193" s="1406">
        <v>263</v>
      </c>
      <c r="H193" s="864">
        <f t="shared" si="55"/>
        <v>165953</v>
      </c>
      <c r="I193" s="1406">
        <v>259</v>
      </c>
      <c r="J193" s="1395">
        <f t="shared" si="56"/>
        <v>163429</v>
      </c>
      <c r="K193" s="966">
        <f t="shared" si="57"/>
        <v>329382</v>
      </c>
      <c r="L193" s="966"/>
      <c r="M193" s="1328"/>
    </row>
    <row r="194" spans="1:13" s="1329" customFormat="1" ht="24" customHeight="1">
      <c r="A194" s="1330"/>
      <c r="B194" s="1331" t="s">
        <v>1951</v>
      </c>
      <c r="C194" s="1349"/>
      <c r="D194" s="801"/>
      <c r="E194" s="966">
        <v>684</v>
      </c>
      <c r="F194" s="1249" t="s">
        <v>1952</v>
      </c>
      <c r="G194" s="1406">
        <v>314</v>
      </c>
      <c r="H194" s="864">
        <f t="shared" si="55"/>
        <v>214776</v>
      </c>
      <c r="I194" s="1406">
        <v>269</v>
      </c>
      <c r="J194" s="1395">
        <f t="shared" si="56"/>
        <v>183996</v>
      </c>
      <c r="K194" s="966">
        <f t="shared" si="57"/>
        <v>398772</v>
      </c>
      <c r="L194" s="966"/>
      <c r="M194" s="1328"/>
    </row>
    <row r="195" spans="1:13" s="1329" customFormat="1" ht="24" customHeight="1">
      <c r="A195" s="1330"/>
      <c r="B195" s="1331" t="s">
        <v>1953</v>
      </c>
      <c r="C195" s="1349"/>
      <c r="D195" s="801"/>
      <c r="E195" s="966">
        <v>330</v>
      </c>
      <c r="F195" s="1249" t="s">
        <v>1952</v>
      </c>
      <c r="G195" s="1406">
        <v>381</v>
      </c>
      <c r="H195" s="864">
        <f t="shared" si="55"/>
        <v>125730</v>
      </c>
      <c r="I195" s="1406">
        <v>323</v>
      </c>
      <c r="J195" s="1395">
        <f t="shared" si="56"/>
        <v>106590</v>
      </c>
      <c r="K195" s="966">
        <f t="shared" si="57"/>
        <v>232320</v>
      </c>
      <c r="L195" s="966"/>
      <c r="M195" s="1328"/>
    </row>
    <row r="196" spans="1:13" s="1329" customFormat="1" ht="24" customHeight="1">
      <c r="A196" s="1330"/>
      <c r="B196" s="1331" t="s">
        <v>1954</v>
      </c>
      <c r="C196" s="1349"/>
      <c r="D196" s="801"/>
      <c r="E196" s="966">
        <v>8</v>
      </c>
      <c r="F196" s="1249" t="s">
        <v>1952</v>
      </c>
      <c r="G196" s="1406">
        <v>443</v>
      </c>
      <c r="H196" s="864">
        <f t="shared" si="55"/>
        <v>3544</v>
      </c>
      <c r="I196" s="1406">
        <v>377</v>
      </c>
      <c r="J196" s="1395">
        <f t="shared" si="56"/>
        <v>3016</v>
      </c>
      <c r="K196" s="966">
        <f t="shared" si="57"/>
        <v>6560</v>
      </c>
      <c r="L196" s="966"/>
      <c r="M196" s="1328"/>
    </row>
    <row r="197" spans="1:13" s="1329" customFormat="1" ht="24" customHeight="1">
      <c r="A197" s="1330"/>
      <c r="B197" s="1331" t="s">
        <v>1645</v>
      </c>
      <c r="C197" s="1349"/>
      <c r="D197" s="801"/>
      <c r="E197" s="966">
        <v>1</v>
      </c>
      <c r="F197" s="1249" t="s">
        <v>948</v>
      </c>
      <c r="G197" s="1406">
        <f>ROUND(SUM(H192:H196)*40%,)</f>
        <v>226412</v>
      </c>
      <c r="H197" s="864">
        <f t="shared" si="55"/>
        <v>226412</v>
      </c>
      <c r="I197" s="1406">
        <f>ROUND(G197*30%,)</f>
        <v>67924</v>
      </c>
      <c r="J197" s="1395">
        <f t="shared" si="56"/>
        <v>67924</v>
      </c>
      <c r="K197" s="966">
        <f t="shared" si="57"/>
        <v>294336</v>
      </c>
      <c r="L197" s="966"/>
      <c r="M197" s="1328"/>
    </row>
    <row r="198" spans="1:13" s="1329" customFormat="1" ht="24" customHeight="1">
      <c r="A198" s="1330"/>
      <c r="B198" s="1331" t="s">
        <v>1646</v>
      </c>
      <c r="C198" s="1349"/>
      <c r="D198" s="801"/>
      <c r="E198" s="966">
        <v>1</v>
      </c>
      <c r="F198" s="1249" t="s">
        <v>948</v>
      </c>
      <c r="G198" s="1406">
        <f>ROUND(SUM(H192:H196)*15%,)</f>
        <v>84904</v>
      </c>
      <c r="H198" s="864">
        <f t="shared" si="55"/>
        <v>84904</v>
      </c>
      <c r="I198" s="1406">
        <f>ROUND(G198*30%,)</f>
        <v>25471</v>
      </c>
      <c r="J198" s="1395">
        <f t="shared" si="56"/>
        <v>25471</v>
      </c>
      <c r="K198" s="966">
        <f t="shared" si="57"/>
        <v>110375</v>
      </c>
      <c r="L198" s="966"/>
      <c r="M198" s="1328"/>
    </row>
    <row r="199" spans="1:13" s="1329" customFormat="1" ht="24" customHeight="1">
      <c r="A199" s="1330"/>
      <c r="B199" s="1331"/>
      <c r="C199" s="1349"/>
      <c r="D199" s="801"/>
      <c r="E199" s="966"/>
      <c r="F199" s="1249"/>
      <c r="G199" s="1406"/>
      <c r="H199" s="864"/>
      <c r="I199" s="1406"/>
      <c r="J199" s="1395"/>
      <c r="K199" s="966"/>
      <c r="L199" s="966"/>
      <c r="M199" s="1328"/>
    </row>
    <row r="200" spans="1:13" s="1329" customFormat="1" ht="24" customHeight="1">
      <c r="A200" s="1330"/>
      <c r="B200" s="1331"/>
      <c r="C200" s="1349"/>
      <c r="D200" s="801"/>
      <c r="E200" s="966"/>
      <c r="F200" s="1249"/>
      <c r="G200" s="1406"/>
      <c r="H200" s="864"/>
      <c r="I200" s="1406"/>
      <c r="J200" s="1395"/>
      <c r="K200" s="966"/>
      <c r="L200" s="966"/>
      <c r="M200" s="1328"/>
    </row>
    <row r="201" spans="1:13" s="1329" customFormat="1" ht="24" customHeight="1">
      <c r="A201" s="1330"/>
      <c r="B201" s="1331"/>
      <c r="C201" s="1349"/>
      <c r="D201" s="801"/>
      <c r="E201" s="966"/>
      <c r="F201" s="1249"/>
      <c r="G201" s="1406"/>
      <c r="H201" s="864"/>
      <c r="I201" s="1406"/>
      <c r="J201" s="1395"/>
      <c r="K201" s="966"/>
      <c r="L201" s="966"/>
      <c r="M201" s="1328"/>
    </row>
    <row r="202" spans="1:13" s="1329" customFormat="1" ht="24" customHeight="1">
      <c r="A202" s="1330"/>
      <c r="B202" s="1331"/>
      <c r="C202" s="1349"/>
      <c r="D202" s="801"/>
      <c r="E202" s="966"/>
      <c r="F202" s="1249"/>
      <c r="G202" s="1406"/>
      <c r="H202" s="864"/>
      <c r="I202" s="1406"/>
      <c r="J202" s="1395"/>
      <c r="K202" s="966"/>
      <c r="L202" s="966"/>
      <c r="M202" s="1328"/>
    </row>
    <row r="203" spans="1:13" s="1329" customFormat="1" ht="24" customHeight="1">
      <c r="A203" s="1330"/>
      <c r="B203" s="1331"/>
      <c r="C203" s="1349"/>
      <c r="D203" s="801"/>
      <c r="E203" s="966"/>
      <c r="F203" s="1249"/>
      <c r="G203" s="1406"/>
      <c r="H203" s="864"/>
      <c r="I203" s="1406"/>
      <c r="J203" s="1395"/>
      <c r="K203" s="966"/>
      <c r="L203" s="966"/>
      <c r="M203" s="1328"/>
    </row>
    <row r="204" spans="1:13" s="1329" customFormat="1" ht="24" customHeight="1">
      <c r="A204" s="1330"/>
      <c r="B204" s="1331"/>
      <c r="C204" s="1349"/>
      <c r="D204" s="801"/>
      <c r="E204" s="966"/>
      <c r="F204" s="1249"/>
      <c r="G204" s="1406"/>
      <c r="H204" s="864"/>
      <c r="I204" s="1406"/>
      <c r="J204" s="1395"/>
      <c r="K204" s="966"/>
      <c r="L204" s="966"/>
      <c r="M204" s="1328"/>
    </row>
    <row r="205" spans="1:13" s="1329" customFormat="1" ht="24" customHeight="1">
      <c r="A205" s="1330" t="s">
        <v>2073</v>
      </c>
      <c r="B205" s="1331" t="s">
        <v>2193</v>
      </c>
      <c r="C205" s="1349"/>
      <c r="D205" s="801"/>
      <c r="E205" s="966"/>
      <c r="F205" s="1249"/>
      <c r="G205" s="1394"/>
      <c r="H205" s="864"/>
      <c r="I205" s="1394"/>
      <c r="J205" s="1395"/>
      <c r="K205" s="966"/>
      <c r="L205" s="966"/>
      <c r="M205" s="1328"/>
    </row>
    <row r="206" spans="1:13" s="1329" customFormat="1" ht="24" customHeight="1">
      <c r="A206" s="791"/>
      <c r="B206" s="1127" t="s">
        <v>1809</v>
      </c>
      <c r="C206" s="1233"/>
      <c r="D206" s="792"/>
      <c r="E206" s="1345">
        <v>1</v>
      </c>
      <c r="F206" s="1249" t="s">
        <v>438</v>
      </c>
      <c r="G206" s="849">
        <v>300</v>
      </c>
      <c r="H206" s="796">
        <f t="shared" ref="H206:H210" si="58">ROUND(E206*G206,)</f>
        <v>300</v>
      </c>
      <c r="I206" s="849">
        <v>30</v>
      </c>
      <c r="J206" s="1476">
        <f t="shared" ref="J206:J210" si="59">ROUND(E206*I206,)</f>
        <v>30</v>
      </c>
      <c r="K206" s="1014">
        <f t="shared" ref="K206:K210" si="60">H206+J206</f>
        <v>330</v>
      </c>
      <c r="L206" s="1014"/>
      <c r="M206" s="1328"/>
    </row>
    <row r="207" spans="1:13" s="1329" customFormat="1" ht="24" customHeight="1">
      <c r="A207" s="791"/>
      <c r="B207" s="1127" t="s">
        <v>1814</v>
      </c>
      <c r="C207" s="1233"/>
      <c r="D207" s="792"/>
      <c r="E207" s="1345">
        <v>2</v>
      </c>
      <c r="F207" s="1249" t="s">
        <v>438</v>
      </c>
      <c r="G207" s="849">
        <v>380</v>
      </c>
      <c r="H207" s="796">
        <f t="shared" si="58"/>
        <v>760</v>
      </c>
      <c r="I207" s="849">
        <v>40</v>
      </c>
      <c r="J207" s="1476">
        <f t="shared" si="59"/>
        <v>80</v>
      </c>
      <c r="K207" s="1014">
        <f t="shared" si="60"/>
        <v>840</v>
      </c>
      <c r="L207" s="1014"/>
      <c r="M207" s="1328"/>
    </row>
    <row r="208" spans="1:13" s="1329" customFormat="1" ht="24" customHeight="1">
      <c r="A208" s="1330"/>
      <c r="B208" s="1331" t="s">
        <v>2107</v>
      </c>
      <c r="C208" s="1349"/>
      <c r="D208" s="801"/>
      <c r="E208" s="966">
        <v>10</v>
      </c>
      <c r="F208" s="1249" t="s">
        <v>438</v>
      </c>
      <c r="G208" s="1406">
        <v>480</v>
      </c>
      <c r="H208" s="864">
        <f t="shared" si="58"/>
        <v>4800</v>
      </c>
      <c r="I208" s="1406">
        <v>50</v>
      </c>
      <c r="J208" s="1395">
        <f t="shared" si="59"/>
        <v>500</v>
      </c>
      <c r="K208" s="966">
        <f t="shared" si="60"/>
        <v>5300</v>
      </c>
      <c r="L208" s="966"/>
      <c r="M208" s="1328"/>
    </row>
    <row r="209" spans="1:13" s="1329" customFormat="1" ht="24" customHeight="1">
      <c r="A209" s="1330"/>
      <c r="B209" s="1331" t="s">
        <v>2194</v>
      </c>
      <c r="C209" s="1349"/>
      <c r="D209" s="801"/>
      <c r="E209" s="966">
        <v>87</v>
      </c>
      <c r="F209" s="1249" t="s">
        <v>438</v>
      </c>
      <c r="G209" s="1406">
        <v>640</v>
      </c>
      <c r="H209" s="864">
        <f t="shared" si="58"/>
        <v>55680</v>
      </c>
      <c r="I209" s="1406">
        <v>60</v>
      </c>
      <c r="J209" s="1395">
        <f t="shared" si="59"/>
        <v>5220</v>
      </c>
      <c r="K209" s="966">
        <f t="shared" si="60"/>
        <v>60900</v>
      </c>
      <c r="L209" s="966"/>
      <c r="M209" s="1328"/>
    </row>
    <row r="210" spans="1:13" s="1329" customFormat="1" ht="24" customHeight="1">
      <c r="A210" s="1330"/>
      <c r="B210" s="1331" t="s">
        <v>2195</v>
      </c>
      <c r="C210" s="1349"/>
      <c r="D210" s="801"/>
      <c r="E210" s="966">
        <v>18</v>
      </c>
      <c r="F210" s="1249" t="s">
        <v>438</v>
      </c>
      <c r="G210" s="1394">
        <v>950</v>
      </c>
      <c r="H210" s="864">
        <f t="shared" si="58"/>
        <v>17100</v>
      </c>
      <c r="I210" s="1394">
        <v>70</v>
      </c>
      <c r="J210" s="1395">
        <f t="shared" si="59"/>
        <v>1260</v>
      </c>
      <c r="K210" s="966">
        <f t="shared" si="60"/>
        <v>18360</v>
      </c>
      <c r="L210" s="966"/>
      <c r="M210" s="1328"/>
    </row>
    <row r="211" spans="1:13" s="1329" customFormat="1" ht="24" customHeight="1">
      <c r="A211" s="791"/>
      <c r="B211" s="1127" t="s">
        <v>957</v>
      </c>
      <c r="C211" s="1233"/>
      <c r="D211" s="792"/>
      <c r="E211" s="1345"/>
      <c r="F211" s="1249"/>
      <c r="G211" s="849"/>
      <c r="H211" s="796"/>
      <c r="I211" s="849"/>
      <c r="J211" s="1476"/>
      <c r="K211" s="1014"/>
      <c r="L211" s="1014"/>
      <c r="M211" s="1328"/>
    </row>
    <row r="212" spans="1:13" s="1329" customFormat="1" ht="24" customHeight="1">
      <c r="A212" s="791"/>
      <c r="B212" s="1127"/>
      <c r="C212" s="1233"/>
      <c r="D212" s="792"/>
      <c r="E212" s="1345"/>
      <c r="F212" s="1249"/>
      <c r="G212" s="849"/>
      <c r="H212" s="796"/>
      <c r="I212" s="849"/>
      <c r="J212" s="1476"/>
      <c r="K212" s="1014"/>
      <c r="L212" s="1014"/>
      <c r="M212" s="1328"/>
    </row>
    <row r="213" spans="1:13" s="1329" customFormat="1" ht="24" customHeight="1">
      <c r="A213" s="1330"/>
      <c r="B213" s="1331"/>
      <c r="C213" s="1349"/>
      <c r="D213" s="801"/>
      <c r="E213" s="966"/>
      <c r="F213" s="1249"/>
      <c r="G213" s="1406"/>
      <c r="H213" s="864"/>
      <c r="I213" s="1406"/>
      <c r="J213" s="1395"/>
      <c r="K213" s="966"/>
      <c r="L213" s="966"/>
      <c r="M213" s="1328"/>
    </row>
    <row r="214" spans="1:13" s="714" customFormat="1" ht="30" customHeight="1">
      <c r="A214" s="1166"/>
      <c r="B214" s="2475" t="str">
        <f>"รวมราคารายการที่ "&amp;A190</f>
        <v>รวมราคารายการที่ 7.10</v>
      </c>
      <c r="C214" s="2476"/>
      <c r="D214" s="2476"/>
      <c r="E214" s="1167"/>
      <c r="F214" s="1381"/>
      <c r="G214" s="1168"/>
      <c r="H214" s="1169">
        <f>SUM(H190:H211)</f>
        <v>955985</v>
      </c>
      <c r="I214" s="1170"/>
      <c r="J214" s="1382">
        <f>SUM(J190:J211)</f>
        <v>607374</v>
      </c>
      <c r="K214" s="1171">
        <f>SUM(K190:K211)</f>
        <v>1563359</v>
      </c>
      <c r="L214" s="1171"/>
      <c r="M214" s="1322"/>
    </row>
    <row r="215" spans="1:13" s="1329" customFormat="1" ht="24" customHeight="1">
      <c r="A215" s="1325" t="s">
        <v>2077</v>
      </c>
      <c r="B215" s="1326" t="s">
        <v>1959</v>
      </c>
      <c r="C215" s="1347"/>
      <c r="D215" s="901"/>
      <c r="E215" s="1030"/>
      <c r="F215" s="1348"/>
      <c r="G215" s="1406"/>
      <c r="H215" s="864">
        <f t="shared" ref="H215" si="61">ROUND(E215*G215,)</f>
        <v>0</v>
      </c>
      <c r="I215" s="1406">
        <f>G215*0.3</f>
        <v>0</v>
      </c>
      <c r="J215" s="1395">
        <f t="shared" ref="J215" si="62">ROUND(E215*I215,)</f>
        <v>0</v>
      </c>
      <c r="K215" s="966">
        <f t="shared" ref="K215" si="63">H215+J215</f>
        <v>0</v>
      </c>
      <c r="L215" s="1030"/>
      <c r="M215" s="1328"/>
    </row>
    <row r="216" spans="1:13" s="1329" customFormat="1" ht="24" customHeight="1">
      <c r="A216" s="1330" t="s">
        <v>2079</v>
      </c>
      <c r="B216" s="1331" t="s">
        <v>1961</v>
      </c>
      <c r="C216" s="1349"/>
      <c r="D216" s="801"/>
      <c r="E216" s="966"/>
      <c r="F216" s="1249"/>
      <c r="G216" s="1394"/>
      <c r="H216" s="864"/>
      <c r="I216" s="1394"/>
      <c r="J216" s="1395"/>
      <c r="K216" s="966"/>
      <c r="L216" s="966"/>
      <c r="M216" s="1328"/>
    </row>
    <row r="217" spans="1:13" s="1329" customFormat="1" ht="24" customHeight="1">
      <c r="A217" s="1038"/>
      <c r="B217" s="1127" t="s">
        <v>1962</v>
      </c>
      <c r="C217" s="1233"/>
      <c r="D217" s="809"/>
      <c r="E217" s="1345">
        <f>SUM(E192:E196)</f>
        <v>1910</v>
      </c>
      <c r="F217" s="874" t="s">
        <v>1952</v>
      </c>
      <c r="G217" s="1257">
        <v>148</v>
      </c>
      <c r="H217" s="854">
        <f t="shared" ref="H217:H220" si="64">ROUND(E217*G217,)</f>
        <v>282680</v>
      </c>
      <c r="I217" s="1477">
        <v>45</v>
      </c>
      <c r="J217" s="1476">
        <f t="shared" ref="J217:J220" si="65">ROUND(E217*I217,)</f>
        <v>85950</v>
      </c>
      <c r="K217" s="1014">
        <f t="shared" ref="K217:K220" si="66">H217+J217</f>
        <v>368630</v>
      </c>
      <c r="L217" s="1007"/>
      <c r="M217" s="1328"/>
    </row>
    <row r="218" spans="1:13" s="1329" customFormat="1" ht="24" customHeight="1">
      <c r="A218" s="1038"/>
      <c r="B218" s="1127" t="s">
        <v>2115</v>
      </c>
      <c r="C218" s="1233"/>
      <c r="D218" s="792"/>
      <c r="E218" s="1345"/>
      <c r="F218" s="1140" t="s">
        <v>1952</v>
      </c>
      <c r="G218" s="1257">
        <v>212</v>
      </c>
      <c r="H218" s="796">
        <f t="shared" si="64"/>
        <v>0</v>
      </c>
      <c r="I218" s="849">
        <v>45</v>
      </c>
      <c r="J218" s="1476">
        <f t="shared" si="65"/>
        <v>0</v>
      </c>
      <c r="K218" s="1014">
        <f t="shared" si="66"/>
        <v>0</v>
      </c>
      <c r="L218" s="1014"/>
      <c r="M218" s="1328"/>
    </row>
    <row r="219" spans="1:13" s="1329" customFormat="1" ht="24" customHeight="1">
      <c r="A219" s="1038"/>
      <c r="B219" s="1127" t="s">
        <v>2116</v>
      </c>
      <c r="C219" s="1233"/>
      <c r="D219" s="792"/>
      <c r="E219" s="1345"/>
      <c r="F219" s="1140" t="s">
        <v>1952</v>
      </c>
      <c r="G219" s="1257">
        <v>454</v>
      </c>
      <c r="H219" s="796">
        <f t="shared" si="64"/>
        <v>0</v>
      </c>
      <c r="I219" s="949">
        <f>ROUND(G219*0.3,)</f>
        <v>136</v>
      </c>
      <c r="J219" s="1476">
        <f t="shared" si="65"/>
        <v>0</v>
      </c>
      <c r="K219" s="1014">
        <f t="shared" si="66"/>
        <v>0</v>
      </c>
      <c r="L219" s="1014"/>
      <c r="M219" s="1328"/>
    </row>
    <row r="220" spans="1:13" s="1329" customFormat="1" ht="24" customHeight="1">
      <c r="A220" s="1330" t="s">
        <v>2196</v>
      </c>
      <c r="B220" s="1331" t="s">
        <v>1965</v>
      </c>
      <c r="C220" s="1349"/>
      <c r="D220" s="801"/>
      <c r="E220" s="966">
        <v>1</v>
      </c>
      <c r="F220" s="1249" t="s">
        <v>948</v>
      </c>
      <c r="G220" s="1394">
        <f>E217*40</f>
        <v>76400</v>
      </c>
      <c r="H220" s="796">
        <f t="shared" si="64"/>
        <v>76400</v>
      </c>
      <c r="I220" s="1394">
        <f>E217*15</f>
        <v>28650</v>
      </c>
      <c r="J220" s="1476">
        <f t="shared" si="65"/>
        <v>28650</v>
      </c>
      <c r="K220" s="1014">
        <f t="shared" si="66"/>
        <v>105050</v>
      </c>
      <c r="L220" s="966"/>
      <c r="M220" s="1328"/>
    </row>
    <row r="221" spans="1:13" s="1329" customFormat="1" ht="24" customHeight="1">
      <c r="A221" s="1355"/>
      <c r="B221" s="1331" t="s">
        <v>957</v>
      </c>
      <c r="C221" s="1349"/>
      <c r="D221" s="801"/>
      <c r="E221" s="966"/>
      <c r="F221" s="1249"/>
      <c r="G221" s="1394"/>
      <c r="H221" s="864"/>
      <c r="I221" s="1394"/>
      <c r="J221" s="1395"/>
      <c r="K221" s="966"/>
      <c r="L221" s="966"/>
      <c r="M221" s="1328"/>
    </row>
    <row r="222" spans="1:13" s="714" customFormat="1" ht="30" customHeight="1">
      <c r="A222" s="1166"/>
      <c r="B222" s="2475" t="str">
        <f>"รวมราคารายการที่ "&amp;A215</f>
        <v>รวมราคารายการที่ 7.11</v>
      </c>
      <c r="C222" s="2476"/>
      <c r="D222" s="2476"/>
      <c r="E222" s="1167"/>
      <c r="F222" s="1381"/>
      <c r="G222" s="1168"/>
      <c r="H222" s="1169">
        <f>SUM(H216:H221)</f>
        <v>359080</v>
      </c>
      <c r="I222" s="1170"/>
      <c r="J222" s="1382">
        <f>SUM(J216:J221)</f>
        <v>114600</v>
      </c>
      <c r="K222" s="1171">
        <f>SUM(K216:K221)</f>
        <v>473680</v>
      </c>
      <c r="L222" s="1171"/>
      <c r="M222" s="1322"/>
    </row>
    <row r="223" spans="1:13" s="1329" customFormat="1" ht="24" customHeight="1">
      <c r="A223" s="1325" t="s">
        <v>2197</v>
      </c>
      <c r="B223" s="1326" t="s">
        <v>1968</v>
      </c>
      <c r="C223" s="1347"/>
      <c r="D223" s="901"/>
      <c r="E223" s="1030"/>
      <c r="F223" s="1348"/>
      <c r="G223" s="1406"/>
      <c r="H223" s="864"/>
      <c r="I223" s="1406"/>
      <c r="J223" s="1395"/>
      <c r="K223" s="966"/>
      <c r="L223" s="1030"/>
      <c r="M223" s="1328"/>
    </row>
    <row r="224" spans="1:13" s="1329" customFormat="1" ht="24" customHeight="1">
      <c r="A224" s="1330" t="s">
        <v>2198</v>
      </c>
      <c r="B224" s="1331" t="s">
        <v>2041</v>
      </c>
      <c r="C224" s="1349"/>
      <c r="D224" s="801"/>
      <c r="E224" s="966"/>
      <c r="F224" s="1249"/>
      <c r="G224" s="1394"/>
      <c r="H224" s="864"/>
      <c r="I224" s="1394"/>
      <c r="J224" s="1395"/>
      <c r="K224" s="966"/>
      <c r="L224" s="966"/>
      <c r="M224" s="1328"/>
    </row>
    <row r="225" spans="1:14" s="1329" customFormat="1" ht="24" customHeight="1">
      <c r="A225" s="1330"/>
      <c r="B225" s="1331" t="str">
        <f t="shared" ref="B225:B238" si="67">"  -  "&amp;M225&amp;" มม."</f>
        <v xml:space="preserve">  -  200x150 มม.</v>
      </c>
      <c r="C225" s="1349"/>
      <c r="D225" s="801"/>
      <c r="E225" s="1350">
        <f t="shared" ref="E225:E238" si="68">N225</f>
        <v>2</v>
      </c>
      <c r="F225" s="1249" t="str">
        <f t="shared" ref="F225:F238" si="69">IF(E225="","","ชุด")</f>
        <v>ชุด</v>
      </c>
      <c r="G225" s="849">
        <v>400</v>
      </c>
      <c r="H225" s="796">
        <f t="shared" ref="H225:H245" si="70">ROUND(E225*G225,)</f>
        <v>800</v>
      </c>
      <c r="I225" s="849">
        <v>100</v>
      </c>
      <c r="J225" s="1395">
        <f t="shared" ref="J225:J238" si="71">ROUND(E225*I225,)</f>
        <v>200</v>
      </c>
      <c r="K225" s="966">
        <f t="shared" ref="K225:K238" si="72">H225+J225</f>
        <v>1000</v>
      </c>
      <c r="L225" s="966"/>
      <c r="M225" s="1420" t="s">
        <v>2199</v>
      </c>
      <c r="N225">
        <v>2</v>
      </c>
    </row>
    <row r="226" spans="1:14" s="1329" customFormat="1" ht="24" customHeight="1">
      <c r="A226" s="1330"/>
      <c r="B226" s="1331" t="str">
        <f t="shared" si="67"/>
        <v xml:space="preserve">  -  200x200 มม.</v>
      </c>
      <c r="C226" s="1349"/>
      <c r="D226" s="801"/>
      <c r="E226" s="1350">
        <f t="shared" si="68"/>
        <v>8</v>
      </c>
      <c r="F226" s="1249" t="str">
        <f t="shared" si="69"/>
        <v>ชุด</v>
      </c>
      <c r="G226" s="849">
        <v>500</v>
      </c>
      <c r="H226" s="796">
        <f t="shared" si="70"/>
        <v>4000</v>
      </c>
      <c r="I226" s="849">
        <v>100</v>
      </c>
      <c r="J226" s="1395">
        <f t="shared" si="71"/>
        <v>800</v>
      </c>
      <c r="K226" s="966">
        <f t="shared" si="72"/>
        <v>4800</v>
      </c>
      <c r="L226" s="966"/>
      <c r="M226" s="1420" t="s">
        <v>2042</v>
      </c>
      <c r="N226">
        <v>8</v>
      </c>
    </row>
    <row r="227" spans="1:14" s="1329" customFormat="1" ht="24" customHeight="1">
      <c r="A227" s="1330"/>
      <c r="B227" s="1331" t="str">
        <f t="shared" si="67"/>
        <v xml:space="preserve">  -  250x200 มม.</v>
      </c>
      <c r="C227" s="1349"/>
      <c r="D227" s="801"/>
      <c r="E227" s="1350">
        <f t="shared" si="68"/>
        <v>2</v>
      </c>
      <c r="F227" s="1249" t="str">
        <f t="shared" si="69"/>
        <v>ชุด</v>
      </c>
      <c r="G227" s="849">
        <v>400</v>
      </c>
      <c r="H227" s="796">
        <f t="shared" si="70"/>
        <v>800</v>
      </c>
      <c r="I227" s="849">
        <v>100</v>
      </c>
      <c r="J227" s="1395">
        <f t="shared" si="71"/>
        <v>200</v>
      </c>
      <c r="K227" s="966">
        <f t="shared" si="72"/>
        <v>1000</v>
      </c>
      <c r="L227" s="966"/>
      <c r="M227" s="1420" t="s">
        <v>2056</v>
      </c>
      <c r="N227">
        <v>2</v>
      </c>
    </row>
    <row r="228" spans="1:14" s="1329" customFormat="1" ht="24" customHeight="1">
      <c r="A228" s="1330"/>
      <c r="B228" s="1331" t="str">
        <f t="shared" si="67"/>
        <v xml:space="preserve">  -  300x250 มม.</v>
      </c>
      <c r="C228" s="1349"/>
      <c r="D228" s="801"/>
      <c r="E228" s="1350">
        <f t="shared" si="68"/>
        <v>30</v>
      </c>
      <c r="F228" s="1249" t="str">
        <f t="shared" si="69"/>
        <v>ชุด</v>
      </c>
      <c r="G228" s="849">
        <v>500</v>
      </c>
      <c r="H228" s="796">
        <f t="shared" si="70"/>
        <v>15000</v>
      </c>
      <c r="I228" s="849">
        <v>100</v>
      </c>
      <c r="J228" s="1395">
        <f t="shared" si="71"/>
        <v>3000</v>
      </c>
      <c r="K228" s="966">
        <f t="shared" si="72"/>
        <v>18000</v>
      </c>
      <c r="L228" s="966"/>
      <c r="M228" s="1420" t="s">
        <v>2200</v>
      </c>
      <c r="N228">
        <v>30</v>
      </c>
    </row>
    <row r="229" spans="1:14" s="1329" customFormat="1" ht="24" customHeight="1">
      <c r="A229" s="1330"/>
      <c r="B229" s="1331" t="str">
        <f t="shared" si="67"/>
        <v xml:space="preserve">  -  650x650 มม.</v>
      </c>
      <c r="C229" s="1349"/>
      <c r="D229" s="801"/>
      <c r="E229" s="1350">
        <f t="shared" si="68"/>
        <v>5</v>
      </c>
      <c r="F229" s="1249" t="str">
        <f t="shared" si="69"/>
        <v>ชุด</v>
      </c>
      <c r="G229" s="849">
        <v>1300</v>
      </c>
      <c r="H229" s="796">
        <f t="shared" si="70"/>
        <v>6500</v>
      </c>
      <c r="I229" s="849">
        <v>100</v>
      </c>
      <c r="J229" s="1395">
        <f t="shared" si="71"/>
        <v>500</v>
      </c>
      <c r="K229" s="966">
        <f t="shared" si="72"/>
        <v>7000</v>
      </c>
      <c r="L229" s="966"/>
      <c r="M229" s="1420" t="s">
        <v>2045</v>
      </c>
      <c r="N229">
        <v>5</v>
      </c>
    </row>
    <row r="230" spans="1:14" s="1329" customFormat="1" ht="24" customHeight="1">
      <c r="A230" s="1330"/>
      <c r="B230" s="1331" t="str">
        <f t="shared" si="67"/>
        <v xml:space="preserve">  -  600x300 มม.</v>
      </c>
      <c r="C230" s="1349"/>
      <c r="D230" s="801"/>
      <c r="E230" s="1350">
        <f t="shared" si="68"/>
        <v>2</v>
      </c>
      <c r="F230" s="1249" t="str">
        <f t="shared" si="69"/>
        <v>ชุด</v>
      </c>
      <c r="G230" s="849">
        <v>1000</v>
      </c>
      <c r="H230" s="796">
        <f t="shared" si="70"/>
        <v>2000</v>
      </c>
      <c r="I230" s="849">
        <v>100</v>
      </c>
      <c r="J230" s="1395">
        <f t="shared" si="71"/>
        <v>200</v>
      </c>
      <c r="K230" s="966">
        <f t="shared" si="72"/>
        <v>2200</v>
      </c>
      <c r="L230" s="966"/>
      <c r="M230" s="1420" t="s">
        <v>2201</v>
      </c>
      <c r="N230">
        <v>2</v>
      </c>
    </row>
    <row r="231" spans="1:14" s="1329" customFormat="1" ht="24" customHeight="1">
      <c r="A231" s="1330"/>
      <c r="B231" s="1331" t="str">
        <f t="shared" si="67"/>
        <v xml:space="preserve">  -  500x500 มม.</v>
      </c>
      <c r="C231" s="1349"/>
      <c r="D231" s="801"/>
      <c r="E231" s="1350">
        <f t="shared" si="68"/>
        <v>2</v>
      </c>
      <c r="F231" s="1249" t="str">
        <f t="shared" si="69"/>
        <v>ชุด</v>
      </c>
      <c r="G231" s="849">
        <v>1100</v>
      </c>
      <c r="H231" s="796">
        <f t="shared" si="70"/>
        <v>2200</v>
      </c>
      <c r="I231" s="849">
        <v>100</v>
      </c>
      <c r="J231" s="1395">
        <f t="shared" si="71"/>
        <v>200</v>
      </c>
      <c r="K231" s="966">
        <f t="shared" si="72"/>
        <v>2400</v>
      </c>
      <c r="L231" s="966"/>
      <c r="M231" s="1420" t="s">
        <v>2043</v>
      </c>
      <c r="N231">
        <v>2</v>
      </c>
    </row>
    <row r="232" spans="1:14" s="1329" customFormat="1" ht="24" customHeight="1">
      <c r="A232" s="1330"/>
      <c r="B232" s="1331" t="str">
        <f t="shared" si="67"/>
        <v xml:space="preserve">  -  900x850 มม.</v>
      </c>
      <c r="C232" s="1349"/>
      <c r="D232" s="801"/>
      <c r="E232" s="1350">
        <f t="shared" si="68"/>
        <v>5</v>
      </c>
      <c r="F232" s="1249" t="str">
        <f t="shared" si="69"/>
        <v>ชุด</v>
      </c>
      <c r="G232" s="849">
        <v>1800</v>
      </c>
      <c r="H232" s="796">
        <f t="shared" si="70"/>
        <v>9000</v>
      </c>
      <c r="I232" s="849">
        <v>100</v>
      </c>
      <c r="J232" s="1395">
        <f t="shared" si="71"/>
        <v>500</v>
      </c>
      <c r="K232" s="966">
        <f t="shared" si="72"/>
        <v>9500</v>
      </c>
      <c r="L232" s="966"/>
      <c r="M232" s="1420" t="s">
        <v>2047</v>
      </c>
      <c r="N232">
        <v>5</v>
      </c>
    </row>
    <row r="233" spans="1:14" s="1329" customFormat="1" ht="24" customHeight="1">
      <c r="A233" s="1330"/>
      <c r="B233" s="1331" t="str">
        <f t="shared" si="67"/>
        <v xml:space="preserve">  -  1200x600 มม.</v>
      </c>
      <c r="C233" s="1349"/>
      <c r="D233" s="801"/>
      <c r="E233" s="1350">
        <f t="shared" si="68"/>
        <v>10</v>
      </c>
      <c r="F233" s="1249" t="str">
        <f t="shared" si="69"/>
        <v>ชุด</v>
      </c>
      <c r="G233" s="849">
        <v>1800</v>
      </c>
      <c r="H233" s="796">
        <f t="shared" si="70"/>
        <v>18000</v>
      </c>
      <c r="I233" s="849">
        <v>200</v>
      </c>
      <c r="J233" s="1395">
        <f t="shared" si="71"/>
        <v>2000</v>
      </c>
      <c r="K233" s="966">
        <f t="shared" si="72"/>
        <v>20000</v>
      </c>
      <c r="L233" s="966"/>
      <c r="M233" s="1420" t="s">
        <v>2202</v>
      </c>
      <c r="N233">
        <v>10</v>
      </c>
    </row>
    <row r="234" spans="1:14" s="1329" customFormat="1" ht="24" customHeight="1">
      <c r="A234" s="1330"/>
      <c r="B234" s="1331" t="str">
        <f t="shared" si="67"/>
        <v xml:space="preserve">  -  1400x1000 มม.</v>
      </c>
      <c r="C234" s="1349"/>
      <c r="D234" s="801"/>
      <c r="E234" s="1350">
        <f t="shared" si="68"/>
        <v>2</v>
      </c>
      <c r="F234" s="1249" t="str">
        <f t="shared" si="69"/>
        <v>ชุด</v>
      </c>
      <c r="G234" s="1394">
        <v>2520</v>
      </c>
      <c r="H234" s="864">
        <f t="shared" si="70"/>
        <v>5040</v>
      </c>
      <c r="I234" s="1394">
        <v>200</v>
      </c>
      <c r="J234" s="1395">
        <f t="shared" si="71"/>
        <v>400</v>
      </c>
      <c r="K234" s="966">
        <f t="shared" si="72"/>
        <v>5440</v>
      </c>
      <c r="L234" s="966"/>
      <c r="M234" s="1420" t="s">
        <v>2203</v>
      </c>
      <c r="N234">
        <v>2</v>
      </c>
    </row>
    <row r="235" spans="1:14" s="1329" customFormat="1" ht="24" customHeight="1">
      <c r="A235" s="1330"/>
      <c r="B235" s="1331" t="str">
        <f t="shared" si="67"/>
        <v xml:space="preserve">  -  1500x600 มม.</v>
      </c>
      <c r="C235" s="1349"/>
      <c r="D235" s="801"/>
      <c r="E235" s="1350">
        <f t="shared" si="68"/>
        <v>2</v>
      </c>
      <c r="F235" s="1249" t="str">
        <f t="shared" si="69"/>
        <v>ชุด</v>
      </c>
      <c r="G235" s="1394">
        <v>2200</v>
      </c>
      <c r="H235" s="864">
        <f t="shared" si="70"/>
        <v>4400</v>
      </c>
      <c r="I235" s="1394">
        <v>200</v>
      </c>
      <c r="J235" s="1395">
        <f t="shared" si="71"/>
        <v>400</v>
      </c>
      <c r="K235" s="966">
        <f t="shared" si="72"/>
        <v>4800</v>
      </c>
      <c r="L235" s="966"/>
      <c r="M235" s="1420" t="s">
        <v>2204</v>
      </c>
      <c r="N235">
        <v>2</v>
      </c>
    </row>
    <row r="236" spans="1:14" s="1329" customFormat="1" ht="24" customHeight="1">
      <c r="A236" s="1330"/>
      <c r="B236" s="1331" t="str">
        <f t="shared" si="67"/>
        <v xml:space="preserve">  -  1500x1250 มม.</v>
      </c>
      <c r="C236" s="1349"/>
      <c r="D236" s="801"/>
      <c r="E236" s="1350">
        <f t="shared" si="68"/>
        <v>1</v>
      </c>
      <c r="F236" s="865" t="str">
        <f t="shared" si="69"/>
        <v>ชุด</v>
      </c>
      <c r="G236" s="1394">
        <v>2800</v>
      </c>
      <c r="H236" s="864">
        <f t="shared" si="70"/>
        <v>2800</v>
      </c>
      <c r="I236" s="1394">
        <v>200</v>
      </c>
      <c r="J236" s="1395">
        <f t="shared" si="71"/>
        <v>200</v>
      </c>
      <c r="K236" s="966">
        <f t="shared" si="72"/>
        <v>3000</v>
      </c>
      <c r="L236" s="966"/>
      <c r="M236" s="1420" t="s">
        <v>2205</v>
      </c>
      <c r="N236">
        <v>1</v>
      </c>
    </row>
    <row r="237" spans="1:14" s="1329" customFormat="1" ht="24" customHeight="1">
      <c r="A237" s="1330"/>
      <c r="B237" s="1331" t="str">
        <f t="shared" si="67"/>
        <v xml:space="preserve">  -  2200x1800 มม.</v>
      </c>
      <c r="C237" s="1349"/>
      <c r="D237" s="801"/>
      <c r="E237" s="1350">
        <f t="shared" si="68"/>
        <v>1</v>
      </c>
      <c r="F237" s="865" t="str">
        <f t="shared" si="69"/>
        <v>ชุด</v>
      </c>
      <c r="G237" s="1394">
        <v>4200</v>
      </c>
      <c r="H237" s="864">
        <f t="shared" si="70"/>
        <v>4200</v>
      </c>
      <c r="I237" s="1394">
        <v>200</v>
      </c>
      <c r="J237" s="1395">
        <f t="shared" si="71"/>
        <v>200</v>
      </c>
      <c r="K237" s="966">
        <f t="shared" si="72"/>
        <v>4400</v>
      </c>
      <c r="L237" s="966"/>
      <c r="M237" s="1420" t="s">
        <v>2206</v>
      </c>
      <c r="N237">
        <v>1</v>
      </c>
    </row>
    <row r="238" spans="1:14" s="1329" customFormat="1" ht="24" customHeight="1">
      <c r="A238" s="1330"/>
      <c r="B238" s="1331" t="str">
        <f t="shared" si="67"/>
        <v xml:space="preserve">  -  2500x1400 มม.</v>
      </c>
      <c r="C238" s="1349"/>
      <c r="D238" s="801"/>
      <c r="E238" s="1350">
        <f t="shared" si="68"/>
        <v>1</v>
      </c>
      <c r="F238" s="865" t="str">
        <f t="shared" si="69"/>
        <v>ชุด</v>
      </c>
      <c r="G238" s="1394">
        <v>4100</v>
      </c>
      <c r="H238" s="864">
        <f t="shared" si="70"/>
        <v>4100</v>
      </c>
      <c r="I238" s="1394">
        <v>200</v>
      </c>
      <c r="J238" s="1395">
        <f t="shared" si="71"/>
        <v>200</v>
      </c>
      <c r="K238" s="966">
        <f t="shared" si="72"/>
        <v>4300</v>
      </c>
      <c r="L238" s="966"/>
      <c r="M238" s="1420" t="s">
        <v>2207</v>
      </c>
      <c r="N238">
        <v>1</v>
      </c>
    </row>
    <row r="239" spans="1:14" s="1329" customFormat="1" ht="24" customHeight="1">
      <c r="A239" s="1330" t="s">
        <v>2208</v>
      </c>
      <c r="B239" s="1331" t="s">
        <v>2049</v>
      </c>
      <c r="C239" s="1349"/>
      <c r="D239" s="801"/>
      <c r="E239" s="966"/>
      <c r="F239" s="865"/>
      <c r="G239" s="1394"/>
      <c r="H239" s="864"/>
      <c r="I239" s="865"/>
      <c r="J239" s="1395"/>
      <c r="K239" s="966"/>
      <c r="L239" s="966"/>
      <c r="M239" s="1328"/>
    </row>
    <row r="240" spans="1:14" s="1329" customFormat="1" ht="24" customHeight="1">
      <c r="A240" s="1330"/>
      <c r="B240" s="1331" t="str">
        <f t="shared" ref="B240:B242" si="73">"  -  "&amp;M240&amp;" มม."</f>
        <v xml:space="preserve">  -  300x200 มม.</v>
      </c>
      <c r="C240" s="1349"/>
      <c r="D240" s="801"/>
      <c r="E240" s="1350">
        <f t="shared" ref="E240:E242" si="74">N240</f>
        <v>8</v>
      </c>
      <c r="F240" s="865" t="str">
        <f t="shared" ref="F240:F242" si="75">IF(E240="","","ชุด")</f>
        <v>ชุด</v>
      </c>
      <c r="G240" s="1394">
        <v>500</v>
      </c>
      <c r="H240" s="864">
        <f t="shared" si="70"/>
        <v>4000</v>
      </c>
      <c r="I240" s="865">
        <v>100</v>
      </c>
      <c r="J240" s="1395">
        <f t="shared" ref="J240:J242" si="76">ROUND(E240*I240,)</f>
        <v>800</v>
      </c>
      <c r="K240" s="966">
        <f t="shared" ref="K240:K242" si="77">H240+J240</f>
        <v>4800</v>
      </c>
      <c r="L240" s="966"/>
      <c r="M240" s="1328" t="s">
        <v>2050</v>
      </c>
      <c r="N240" s="1329">
        <v>8</v>
      </c>
    </row>
    <row r="241" spans="1:14" s="1329" customFormat="1" ht="24" customHeight="1">
      <c r="A241" s="1330"/>
      <c r="B241" s="1331" t="str">
        <f t="shared" si="73"/>
        <v xml:space="preserve">  -  350x200 มม.</v>
      </c>
      <c r="C241" s="1349"/>
      <c r="D241" s="801"/>
      <c r="E241" s="1350">
        <f t="shared" si="74"/>
        <v>4</v>
      </c>
      <c r="F241" s="865" t="str">
        <f t="shared" si="75"/>
        <v>ชุด</v>
      </c>
      <c r="G241" s="1394">
        <v>500</v>
      </c>
      <c r="H241" s="864">
        <f t="shared" si="70"/>
        <v>2000</v>
      </c>
      <c r="I241" s="865">
        <v>100</v>
      </c>
      <c r="J241" s="1395">
        <f t="shared" si="76"/>
        <v>400</v>
      </c>
      <c r="K241" s="966">
        <f t="shared" si="77"/>
        <v>2400</v>
      </c>
      <c r="L241" s="966"/>
      <c r="M241" s="1328" t="s">
        <v>2209</v>
      </c>
      <c r="N241" s="1329">
        <v>4</v>
      </c>
    </row>
    <row r="242" spans="1:14" s="1329" customFormat="1" ht="24" customHeight="1">
      <c r="A242" s="1330"/>
      <c r="B242" s="1331" t="str">
        <f t="shared" si="73"/>
        <v xml:space="preserve">  -  400x250 มม.</v>
      </c>
      <c r="C242" s="1349"/>
      <c r="D242" s="801"/>
      <c r="E242" s="1350">
        <f t="shared" si="74"/>
        <v>22</v>
      </c>
      <c r="F242" s="865" t="str">
        <f t="shared" si="75"/>
        <v>ชุด</v>
      </c>
      <c r="G242" s="1394">
        <v>600</v>
      </c>
      <c r="H242" s="864">
        <f t="shared" si="70"/>
        <v>13200</v>
      </c>
      <c r="I242" s="865">
        <v>100</v>
      </c>
      <c r="J242" s="1395">
        <f t="shared" si="76"/>
        <v>2200</v>
      </c>
      <c r="K242" s="966">
        <f t="shared" si="77"/>
        <v>15400</v>
      </c>
      <c r="L242" s="966"/>
      <c r="M242" s="1328" t="s">
        <v>2210</v>
      </c>
      <c r="N242" s="1329">
        <v>22</v>
      </c>
    </row>
    <row r="243" spans="1:14" s="1329" customFormat="1" ht="24" customHeight="1">
      <c r="A243" s="1330"/>
      <c r="B243" s="2288"/>
      <c r="C243" s="1349"/>
      <c r="D243" s="801"/>
      <c r="E243" s="1350"/>
      <c r="F243" s="865"/>
      <c r="G243" s="1394"/>
      <c r="H243" s="864"/>
      <c r="I243" s="865"/>
      <c r="J243" s="1395"/>
      <c r="K243" s="966"/>
      <c r="L243" s="966"/>
      <c r="M243" s="1328"/>
    </row>
    <row r="244" spans="1:14" s="1329" customFormat="1" ht="24" customHeight="1">
      <c r="A244" s="1330" t="s">
        <v>2211</v>
      </c>
      <c r="B244" t="s">
        <v>2052</v>
      </c>
      <c r="C244" s="1349"/>
      <c r="D244" s="801"/>
      <c r="E244" s="966"/>
      <c r="F244" s="865"/>
      <c r="G244" s="1394"/>
      <c r="H244" s="864"/>
      <c r="I244" s="865"/>
      <c r="J244" s="1395"/>
      <c r="K244" s="966"/>
      <c r="L244" s="966"/>
      <c r="M244" s="1328"/>
    </row>
    <row r="245" spans="1:14" s="1329" customFormat="1" ht="24" customHeight="1">
      <c r="A245" s="1330"/>
      <c r="B245" s="1331" t="str">
        <f t="shared" ref="B245" si="78">"  -  "&amp;M245&amp;" มม."</f>
        <v xml:space="preserve">  -  500x300 มม.</v>
      </c>
      <c r="C245" s="1349"/>
      <c r="D245" s="801"/>
      <c r="E245" s="1350">
        <f t="shared" ref="E245" si="79">N245</f>
        <v>12</v>
      </c>
      <c r="F245" s="865" t="str">
        <f t="shared" ref="F245" si="80">IF(E245="","","ชุด")</f>
        <v>ชุด</v>
      </c>
      <c r="G245" s="1394">
        <v>700</v>
      </c>
      <c r="H245" s="864">
        <f t="shared" si="70"/>
        <v>8400</v>
      </c>
      <c r="I245" s="865">
        <v>100</v>
      </c>
      <c r="J245" s="1395">
        <f t="shared" ref="J245" si="81">ROUND(E245*I245,)</f>
        <v>1200</v>
      </c>
      <c r="K245" s="966">
        <f t="shared" ref="K245" si="82">H245+J245</f>
        <v>9600</v>
      </c>
      <c r="L245" s="966"/>
      <c r="M245" s="1420" t="s">
        <v>2212</v>
      </c>
      <c r="N245">
        <v>12</v>
      </c>
    </row>
    <row r="246" spans="1:14" s="1329" customFormat="1" ht="24" customHeight="1">
      <c r="A246" s="1330" t="s">
        <v>2213</v>
      </c>
      <c r="B246" t="s">
        <v>2214</v>
      </c>
      <c r="C246" s="1349"/>
      <c r="D246" s="801"/>
      <c r="E246" s="966"/>
      <c r="F246" s="865"/>
      <c r="G246" s="1394"/>
      <c r="H246" s="864"/>
      <c r="I246" s="865"/>
      <c r="J246" s="1395"/>
      <c r="K246" s="966"/>
      <c r="L246" s="966"/>
      <c r="M246" s="1328"/>
    </row>
    <row r="247" spans="1:14" s="1329" customFormat="1" ht="24" customHeight="1">
      <c r="A247" s="1330"/>
      <c r="B247" s="1331" t="s">
        <v>2215</v>
      </c>
      <c r="C247" s="1349"/>
      <c r="D247" s="801"/>
      <c r="E247" s="966">
        <v>2</v>
      </c>
      <c r="F247" s="865" t="str">
        <f t="shared" ref="F247:F249" si="83">IF(E247="","","ชุด")</f>
        <v>ชุด</v>
      </c>
      <c r="G247" s="1394">
        <v>1200</v>
      </c>
      <c r="H247" s="864">
        <f t="shared" ref="H247:H248" si="84">ROUND(E247*G247,)</f>
        <v>2400</v>
      </c>
      <c r="I247" s="865">
        <v>500</v>
      </c>
      <c r="J247" s="1395">
        <f t="shared" ref="J247:J249" si="85">ROUND(E247*I247,)</f>
        <v>1000</v>
      </c>
      <c r="K247" s="966">
        <f t="shared" ref="K247:K249" si="86">H247+J247</f>
        <v>3400</v>
      </c>
      <c r="L247" s="966"/>
      <c r="M247" s="1328"/>
    </row>
    <row r="248" spans="1:14" s="1329" customFormat="1" ht="24" customHeight="1">
      <c r="A248" s="1330"/>
      <c r="B248" s="1331" t="s">
        <v>2216</v>
      </c>
      <c r="C248" s="1349"/>
      <c r="D248" s="801"/>
      <c r="E248" s="966">
        <v>8</v>
      </c>
      <c r="F248" s="865" t="str">
        <f t="shared" si="83"/>
        <v>ชุด</v>
      </c>
      <c r="G248" s="1394">
        <v>4200</v>
      </c>
      <c r="H248" s="864">
        <f t="shared" si="84"/>
        <v>33600</v>
      </c>
      <c r="I248" s="865">
        <v>500</v>
      </c>
      <c r="J248" s="1395">
        <f t="shared" si="85"/>
        <v>4000</v>
      </c>
      <c r="K248" s="966">
        <f t="shared" si="86"/>
        <v>37600</v>
      </c>
      <c r="L248" s="966"/>
      <c r="M248" s="1328"/>
    </row>
    <row r="249" spans="1:14" s="1329" customFormat="1" ht="24" customHeight="1">
      <c r="A249" s="1330"/>
      <c r="B249" s="1331" t="s">
        <v>2217</v>
      </c>
      <c r="C249" s="1349"/>
      <c r="D249" s="801"/>
      <c r="E249" s="966"/>
      <c r="F249" s="865" t="str">
        <f t="shared" si="83"/>
        <v/>
      </c>
      <c r="G249" s="1394"/>
      <c r="H249" s="864"/>
      <c r="I249" s="865"/>
      <c r="J249" s="1395">
        <f t="shared" si="85"/>
        <v>0</v>
      </c>
      <c r="K249" s="966">
        <f t="shared" si="86"/>
        <v>0</v>
      </c>
      <c r="L249" s="966"/>
      <c r="M249" s="1328"/>
    </row>
    <row r="250" spans="1:14" s="1329" customFormat="1" ht="24" customHeight="1">
      <c r="A250" s="1330" t="s">
        <v>2218</v>
      </c>
      <c r="B250" s="1331" t="s">
        <v>2219</v>
      </c>
      <c r="C250" s="1349"/>
      <c r="D250" s="801"/>
      <c r="E250" s="966"/>
      <c r="F250" s="865"/>
      <c r="G250" s="1394"/>
      <c r="H250" s="864"/>
      <c r="I250" s="865"/>
      <c r="J250" s="1395"/>
      <c r="K250" s="966"/>
      <c r="L250" s="966"/>
      <c r="M250" s="1328"/>
    </row>
    <row r="251" spans="1:14" s="1329" customFormat="1" ht="24" customHeight="1">
      <c r="A251" s="1330"/>
      <c r="B251" s="1331" t="s">
        <v>2220</v>
      </c>
      <c r="C251" s="1349"/>
      <c r="D251" s="801"/>
      <c r="E251" s="966">
        <v>1</v>
      </c>
      <c r="F251" s="867" t="str">
        <f t="shared" ref="F251:F255" si="87">IF(E251="","","ชุด")</f>
        <v>ชุด</v>
      </c>
      <c r="G251" s="1249">
        <v>1500</v>
      </c>
      <c r="H251" s="864">
        <f t="shared" ref="H251:H255" si="88">ROUND(E251*G251,)</f>
        <v>1500</v>
      </c>
      <c r="I251" s="865">
        <v>500</v>
      </c>
      <c r="J251" s="864">
        <f t="shared" ref="J251:J255" si="89">ROUND(E251*I251,)</f>
        <v>500</v>
      </c>
      <c r="K251" s="867">
        <f t="shared" ref="K251:K255" si="90">H251+J251</f>
        <v>2000</v>
      </c>
      <c r="L251" s="867"/>
      <c r="M251" s="1328"/>
    </row>
    <row r="252" spans="1:14" s="1329" customFormat="1" ht="24" customHeight="1">
      <c r="A252" s="1330"/>
      <c r="B252" s="1331" t="s">
        <v>2221</v>
      </c>
      <c r="C252" s="1349"/>
      <c r="D252" s="801"/>
      <c r="E252" s="966">
        <v>1</v>
      </c>
      <c r="F252" s="867" t="str">
        <f t="shared" si="87"/>
        <v>ชุด</v>
      </c>
      <c r="G252" s="1249">
        <v>2000</v>
      </c>
      <c r="H252" s="864">
        <f t="shared" si="88"/>
        <v>2000</v>
      </c>
      <c r="I252" s="865">
        <v>500</v>
      </c>
      <c r="J252" s="864">
        <f t="shared" si="89"/>
        <v>500</v>
      </c>
      <c r="K252" s="867">
        <f t="shared" si="90"/>
        <v>2500</v>
      </c>
      <c r="L252" s="867"/>
      <c r="M252" s="1328"/>
    </row>
    <row r="253" spans="1:14" s="1329" customFormat="1" ht="24" customHeight="1">
      <c r="A253" s="1330"/>
      <c r="B253" s="1331" t="s">
        <v>2222</v>
      </c>
      <c r="C253" s="1349"/>
      <c r="D253" s="801"/>
      <c r="E253" s="966">
        <v>12</v>
      </c>
      <c r="F253" s="867" t="str">
        <f t="shared" si="87"/>
        <v>ชุด</v>
      </c>
      <c r="G253" s="1249">
        <v>2500</v>
      </c>
      <c r="H253" s="864">
        <f t="shared" si="88"/>
        <v>30000</v>
      </c>
      <c r="I253" s="865">
        <v>500</v>
      </c>
      <c r="J253" s="864">
        <f t="shared" si="89"/>
        <v>6000</v>
      </c>
      <c r="K253" s="867">
        <f t="shared" si="90"/>
        <v>36000</v>
      </c>
      <c r="L253" s="867"/>
      <c r="M253" s="1328"/>
    </row>
    <row r="254" spans="1:14" s="1329" customFormat="1" ht="24" customHeight="1">
      <c r="A254" s="1330"/>
      <c r="B254" s="1331" t="s">
        <v>2216</v>
      </c>
      <c r="C254" s="1349"/>
      <c r="D254" s="801"/>
      <c r="E254" s="966">
        <v>80</v>
      </c>
      <c r="F254" s="867" t="str">
        <f t="shared" si="87"/>
        <v>ชุด</v>
      </c>
      <c r="G254" s="1249">
        <v>3500</v>
      </c>
      <c r="H254" s="864">
        <f t="shared" si="88"/>
        <v>280000</v>
      </c>
      <c r="I254" s="865">
        <v>500</v>
      </c>
      <c r="J254" s="864">
        <f t="shared" si="89"/>
        <v>40000</v>
      </c>
      <c r="K254" s="867">
        <f t="shared" si="90"/>
        <v>320000</v>
      </c>
      <c r="L254" s="867"/>
      <c r="M254" s="1328"/>
    </row>
    <row r="255" spans="1:14" s="1329" customFormat="1" ht="24" customHeight="1">
      <c r="A255" s="1330"/>
      <c r="B255" s="1331" t="s">
        <v>2223</v>
      </c>
      <c r="C255" s="1349"/>
      <c r="D255" s="801"/>
      <c r="E255" s="966">
        <v>14</v>
      </c>
      <c r="F255" s="867" t="str">
        <f t="shared" si="87"/>
        <v>ชุด</v>
      </c>
      <c r="G255" s="1249">
        <v>500</v>
      </c>
      <c r="H255" s="864">
        <f t="shared" si="88"/>
        <v>7000</v>
      </c>
      <c r="I255" s="865">
        <v>500</v>
      </c>
      <c r="J255" s="864">
        <f t="shared" si="89"/>
        <v>7000</v>
      </c>
      <c r="K255" s="867">
        <f t="shared" si="90"/>
        <v>14000</v>
      </c>
      <c r="L255" s="867"/>
      <c r="M255" s="1328"/>
    </row>
    <row r="256" spans="1:14" s="1329" customFormat="1" ht="24" customHeight="1">
      <c r="A256" s="1330" t="s">
        <v>2224</v>
      </c>
      <c r="B256" s="1331" t="s">
        <v>2055</v>
      </c>
      <c r="C256" s="1349"/>
      <c r="D256" s="801"/>
      <c r="E256" s="966"/>
      <c r="F256" s="867"/>
      <c r="G256" s="1249"/>
      <c r="H256" s="864"/>
      <c r="I256" s="865"/>
      <c r="J256" s="864"/>
      <c r="K256" s="867"/>
      <c r="L256" s="867"/>
      <c r="M256" s="1328"/>
    </row>
    <row r="257" spans="1:14" s="1329" customFormat="1" ht="24" customHeight="1">
      <c r="A257" s="1330"/>
      <c r="B257" s="1331" t="str">
        <f t="shared" ref="B257:B275" si="91">"  -  "&amp;M257&amp;" มม."</f>
        <v xml:space="preserve">  -  500x500 มม.</v>
      </c>
      <c r="C257" s="1349"/>
      <c r="D257" s="801"/>
      <c r="E257" s="1350">
        <f t="shared" ref="E257:E275" si="92">N257</f>
        <v>2</v>
      </c>
      <c r="F257" s="867" t="str">
        <f t="shared" ref="F257:F275" si="93">IF(E257="","","ชุด")</f>
        <v>ชุด</v>
      </c>
      <c r="G257" s="1249">
        <v>2500</v>
      </c>
      <c r="H257" s="864"/>
      <c r="I257" s="865"/>
      <c r="J257" s="864">
        <f t="shared" ref="J257:J275" si="94">ROUND(E257*I257,)</f>
        <v>0</v>
      </c>
      <c r="K257" s="867">
        <f t="shared" ref="K257:K275" si="95">H257+J257</f>
        <v>0</v>
      </c>
      <c r="L257" s="867"/>
      <c r="M257" s="1328" t="s">
        <v>2043</v>
      </c>
      <c r="N257" s="1329">
        <v>2</v>
      </c>
    </row>
    <row r="258" spans="1:14" s="1329" customFormat="1" ht="24" customHeight="1">
      <c r="A258" s="1330"/>
      <c r="B258" s="1331" t="str">
        <f t="shared" si="91"/>
        <v xml:space="preserve">  -  900x850 มม.</v>
      </c>
      <c r="C258" s="1349"/>
      <c r="D258" s="801"/>
      <c r="E258" s="1350">
        <f t="shared" si="92"/>
        <v>6</v>
      </c>
      <c r="F258" s="867" t="str">
        <f t="shared" si="93"/>
        <v>ชุด</v>
      </c>
      <c r="G258" s="1249">
        <v>4375</v>
      </c>
      <c r="H258" s="864">
        <f t="shared" ref="H258:H286" si="96">ROUND(E258*G258,)</f>
        <v>26250</v>
      </c>
      <c r="I258" s="865">
        <v>300</v>
      </c>
      <c r="J258" s="864">
        <f t="shared" si="94"/>
        <v>1800</v>
      </c>
      <c r="K258" s="867">
        <f t="shared" si="95"/>
        <v>28050</v>
      </c>
      <c r="L258" s="867"/>
      <c r="M258" s="1328" t="s">
        <v>2047</v>
      </c>
      <c r="N258" s="1329">
        <v>6</v>
      </c>
    </row>
    <row r="259" spans="1:14" s="1329" customFormat="1" ht="24" customHeight="1">
      <c r="A259" s="1330"/>
      <c r="B259" s="1331" t="str">
        <f t="shared" si="91"/>
        <v xml:space="preserve">  -  150x150 มม.</v>
      </c>
      <c r="C259" s="1349"/>
      <c r="D259" s="801"/>
      <c r="E259" s="1350">
        <f t="shared" si="92"/>
        <v>2</v>
      </c>
      <c r="F259" s="867" t="str">
        <f t="shared" si="93"/>
        <v>ชุด</v>
      </c>
      <c r="G259" s="1249">
        <v>1000</v>
      </c>
      <c r="H259" s="864">
        <f t="shared" si="96"/>
        <v>2000</v>
      </c>
      <c r="I259" s="865">
        <v>300</v>
      </c>
      <c r="J259" s="864">
        <f t="shared" si="94"/>
        <v>600</v>
      </c>
      <c r="K259" s="867">
        <f t="shared" si="95"/>
        <v>2600</v>
      </c>
      <c r="L259" s="867"/>
      <c r="M259" s="1328" t="s">
        <v>2225</v>
      </c>
      <c r="N259" s="1329">
        <v>2</v>
      </c>
    </row>
    <row r="260" spans="1:14" s="1329" customFormat="1" ht="24" customHeight="1">
      <c r="A260" s="1330"/>
      <c r="B260" s="1331" t="str">
        <f t="shared" si="91"/>
        <v xml:space="preserve">  -  250x200 มม.</v>
      </c>
      <c r="C260" s="1349"/>
      <c r="D260" s="801"/>
      <c r="E260" s="1350">
        <f t="shared" si="92"/>
        <v>18</v>
      </c>
      <c r="F260" s="867" t="str">
        <f t="shared" si="93"/>
        <v>ชุด</v>
      </c>
      <c r="G260" s="1249">
        <v>1100</v>
      </c>
      <c r="H260" s="864">
        <f t="shared" si="96"/>
        <v>19800</v>
      </c>
      <c r="I260" s="865">
        <v>300</v>
      </c>
      <c r="J260" s="864">
        <f t="shared" si="94"/>
        <v>5400</v>
      </c>
      <c r="K260" s="867">
        <f t="shared" si="95"/>
        <v>25200</v>
      </c>
      <c r="L260" s="867"/>
      <c r="M260" s="1328" t="s">
        <v>2056</v>
      </c>
      <c r="N260" s="1329">
        <v>18</v>
      </c>
    </row>
    <row r="261" spans="1:14" s="1329" customFormat="1" ht="24" customHeight="1">
      <c r="A261" s="1330"/>
      <c r="B261" s="1331" t="str">
        <f t="shared" si="91"/>
        <v xml:space="preserve">  -  350x200 มม.</v>
      </c>
      <c r="C261" s="1349"/>
      <c r="D261" s="801"/>
      <c r="E261" s="1350">
        <f t="shared" si="92"/>
        <v>1</v>
      </c>
      <c r="F261" s="867" t="str">
        <f t="shared" si="93"/>
        <v>ชุด</v>
      </c>
      <c r="G261" s="1249">
        <v>1300</v>
      </c>
      <c r="H261" s="864">
        <f t="shared" si="96"/>
        <v>1300</v>
      </c>
      <c r="I261" s="865">
        <v>300</v>
      </c>
      <c r="J261" s="864">
        <f t="shared" si="94"/>
        <v>300</v>
      </c>
      <c r="K261" s="867">
        <f t="shared" si="95"/>
        <v>1600</v>
      </c>
      <c r="L261" s="867"/>
      <c r="M261" s="1328" t="s">
        <v>2209</v>
      </c>
      <c r="N261" s="1329">
        <v>1</v>
      </c>
    </row>
    <row r="262" spans="1:14" s="1329" customFormat="1" ht="24" customHeight="1">
      <c r="A262" s="1330"/>
      <c r="B262" s="1331" t="str">
        <f t="shared" si="91"/>
        <v xml:space="preserve">  -  350x250 มม.</v>
      </c>
      <c r="C262" s="1349"/>
      <c r="D262" s="801"/>
      <c r="E262" s="1350">
        <f t="shared" si="92"/>
        <v>2</v>
      </c>
      <c r="F262" s="867" t="str">
        <f t="shared" si="93"/>
        <v>ชุด</v>
      </c>
      <c r="G262" s="1249">
        <v>1300</v>
      </c>
      <c r="H262" s="864">
        <f t="shared" si="96"/>
        <v>2600</v>
      </c>
      <c r="I262" s="865">
        <v>300</v>
      </c>
      <c r="J262" s="864">
        <f t="shared" si="94"/>
        <v>600</v>
      </c>
      <c r="K262" s="867">
        <f t="shared" si="95"/>
        <v>3200</v>
      </c>
      <c r="L262" s="867"/>
      <c r="M262" s="1328" t="s">
        <v>2226</v>
      </c>
      <c r="N262" s="1329">
        <v>2</v>
      </c>
    </row>
    <row r="263" spans="1:14" s="1329" customFormat="1" ht="24" customHeight="1">
      <c r="A263" s="1330"/>
      <c r="B263" s="1331" t="str">
        <f t="shared" si="91"/>
        <v xml:space="preserve">  -  500x250 มม.</v>
      </c>
      <c r="C263" s="1349"/>
      <c r="D263" s="801"/>
      <c r="E263" s="1350">
        <f t="shared" si="92"/>
        <v>1</v>
      </c>
      <c r="F263" s="867" t="str">
        <f t="shared" si="93"/>
        <v>ชุด</v>
      </c>
      <c r="G263" s="1249">
        <v>16000</v>
      </c>
      <c r="H263" s="864">
        <f t="shared" si="96"/>
        <v>16000</v>
      </c>
      <c r="I263" s="865">
        <v>300</v>
      </c>
      <c r="J263" s="864">
        <f t="shared" si="94"/>
        <v>300</v>
      </c>
      <c r="K263" s="867">
        <f t="shared" si="95"/>
        <v>16300</v>
      </c>
      <c r="L263" s="867"/>
      <c r="M263" s="1328" t="s">
        <v>2227</v>
      </c>
      <c r="N263" s="1329">
        <v>1</v>
      </c>
    </row>
    <row r="264" spans="1:14" s="1329" customFormat="1" ht="24" customHeight="1">
      <c r="A264" s="1330"/>
      <c r="B264" s="1331" t="str">
        <f t="shared" si="91"/>
        <v xml:space="preserve">  -  500x500 มม.</v>
      </c>
      <c r="C264" s="1349"/>
      <c r="D264" s="801"/>
      <c r="E264" s="1350">
        <f t="shared" si="92"/>
        <v>2</v>
      </c>
      <c r="F264" s="867" t="str">
        <f t="shared" si="93"/>
        <v>ชุด</v>
      </c>
      <c r="G264" s="1249">
        <v>2500</v>
      </c>
      <c r="H264" s="864">
        <f t="shared" si="96"/>
        <v>5000</v>
      </c>
      <c r="I264" s="865">
        <v>300</v>
      </c>
      <c r="J264" s="864">
        <f t="shared" si="94"/>
        <v>600</v>
      </c>
      <c r="K264" s="867">
        <f t="shared" si="95"/>
        <v>5600</v>
      </c>
      <c r="L264" s="867"/>
      <c r="M264" s="1328" t="s">
        <v>2043</v>
      </c>
      <c r="N264" s="1329">
        <v>2</v>
      </c>
    </row>
    <row r="265" spans="1:14" s="1329" customFormat="1" ht="24" customHeight="1">
      <c r="A265" s="1330"/>
      <c r="B265" s="1331" t="str">
        <f t="shared" si="91"/>
        <v xml:space="preserve">  -  650x650 มม.</v>
      </c>
      <c r="C265" s="1349"/>
      <c r="D265" s="801"/>
      <c r="E265" s="1350">
        <f t="shared" si="92"/>
        <v>4</v>
      </c>
      <c r="F265" s="867" t="str">
        <f t="shared" si="93"/>
        <v>ชุด</v>
      </c>
      <c r="G265" s="1249">
        <v>3250</v>
      </c>
      <c r="H265" s="864">
        <f t="shared" si="96"/>
        <v>13000</v>
      </c>
      <c r="I265" s="865">
        <v>300</v>
      </c>
      <c r="J265" s="864">
        <f t="shared" si="94"/>
        <v>1200</v>
      </c>
      <c r="K265" s="867">
        <f t="shared" si="95"/>
        <v>14200</v>
      </c>
      <c r="L265" s="867"/>
      <c r="M265" s="1328" t="s">
        <v>2045</v>
      </c>
      <c r="N265" s="1329">
        <v>4</v>
      </c>
    </row>
    <row r="266" spans="1:14" s="1329" customFormat="1" ht="24" customHeight="1">
      <c r="A266" s="1330"/>
      <c r="B266" s="1331" t="str">
        <f t="shared" si="91"/>
        <v xml:space="preserve">  -  850x300 มม.</v>
      </c>
      <c r="C266" s="1349"/>
      <c r="D266" s="801"/>
      <c r="E266" s="1350">
        <f t="shared" si="92"/>
        <v>1</v>
      </c>
      <c r="F266" s="867" t="str">
        <f t="shared" si="93"/>
        <v>ชุด</v>
      </c>
      <c r="G266" s="1249">
        <v>2800</v>
      </c>
      <c r="H266" s="864">
        <f t="shared" si="96"/>
        <v>2800</v>
      </c>
      <c r="I266" s="865">
        <v>300</v>
      </c>
      <c r="J266" s="864">
        <f t="shared" si="94"/>
        <v>300</v>
      </c>
      <c r="K266" s="867">
        <f t="shared" si="95"/>
        <v>3100</v>
      </c>
      <c r="L266" s="867"/>
      <c r="M266" s="1328" t="s">
        <v>2228</v>
      </c>
      <c r="N266" s="1329">
        <v>1</v>
      </c>
    </row>
    <row r="267" spans="1:14" s="1329" customFormat="1" ht="24" customHeight="1">
      <c r="A267" s="1330"/>
      <c r="B267" s="1331" t="str">
        <f t="shared" si="91"/>
        <v xml:space="preserve">  -  900x850 มม.</v>
      </c>
      <c r="C267" s="1349"/>
      <c r="D267" s="801"/>
      <c r="E267" s="1350">
        <f t="shared" si="92"/>
        <v>6</v>
      </c>
      <c r="F267" s="867" t="str">
        <f t="shared" si="93"/>
        <v>ชุด</v>
      </c>
      <c r="G267" s="1249">
        <v>4375</v>
      </c>
      <c r="H267" s="864">
        <f t="shared" si="96"/>
        <v>26250</v>
      </c>
      <c r="I267" s="865">
        <v>300</v>
      </c>
      <c r="J267" s="864">
        <f t="shared" si="94"/>
        <v>1800</v>
      </c>
      <c r="K267" s="867">
        <f t="shared" si="95"/>
        <v>28050</v>
      </c>
      <c r="L267" s="867"/>
      <c r="M267" s="1328" t="s">
        <v>2047</v>
      </c>
      <c r="N267" s="1329">
        <v>6</v>
      </c>
    </row>
    <row r="268" spans="1:14" s="1329" customFormat="1" ht="24" customHeight="1">
      <c r="A268" s="1330"/>
      <c r="B268" s="1331" t="str">
        <f t="shared" si="91"/>
        <v xml:space="preserve">  -  1150x400 มม.</v>
      </c>
      <c r="C268" s="1349"/>
      <c r="D268" s="801"/>
      <c r="E268" s="1350">
        <f t="shared" si="92"/>
        <v>2</v>
      </c>
      <c r="F268" s="867" t="str">
        <f t="shared" si="93"/>
        <v>ชุด</v>
      </c>
      <c r="G268" s="1249">
        <v>3875</v>
      </c>
      <c r="H268" s="864">
        <f t="shared" si="96"/>
        <v>7750</v>
      </c>
      <c r="I268" s="865">
        <v>325</v>
      </c>
      <c r="J268" s="864">
        <f t="shared" si="94"/>
        <v>650</v>
      </c>
      <c r="K268" s="867">
        <f t="shared" si="95"/>
        <v>8400</v>
      </c>
      <c r="L268" s="867"/>
      <c r="M268" s="1328" t="s">
        <v>2229</v>
      </c>
      <c r="N268" s="1329">
        <v>2</v>
      </c>
    </row>
    <row r="269" spans="1:14" s="1329" customFormat="1" ht="24" customHeight="1">
      <c r="A269" s="1330"/>
      <c r="B269" s="1331" t="str">
        <f t="shared" si="91"/>
        <v xml:space="preserve">  -  1150x500 มม.</v>
      </c>
      <c r="C269" s="1349"/>
      <c r="D269" s="801"/>
      <c r="E269" s="1350">
        <f t="shared" si="92"/>
        <v>3</v>
      </c>
      <c r="F269" s="867" t="str">
        <f t="shared" si="93"/>
        <v>ชุด</v>
      </c>
      <c r="G269" s="1249">
        <v>4125</v>
      </c>
      <c r="H269" s="864">
        <f t="shared" si="96"/>
        <v>12375</v>
      </c>
      <c r="I269" s="865">
        <v>325</v>
      </c>
      <c r="J269" s="864">
        <f t="shared" si="94"/>
        <v>975</v>
      </c>
      <c r="K269" s="867">
        <f t="shared" si="95"/>
        <v>13350</v>
      </c>
      <c r="L269" s="867"/>
      <c r="M269" s="1328" t="s">
        <v>2230</v>
      </c>
      <c r="N269" s="1329">
        <v>3</v>
      </c>
    </row>
    <row r="270" spans="1:14" s="1329" customFormat="1" ht="24" customHeight="1">
      <c r="A270" s="1330"/>
      <c r="B270" s="1331" t="str">
        <f t="shared" si="91"/>
        <v xml:space="preserve">  -  1250x450 มม.</v>
      </c>
      <c r="C270" s="1349"/>
      <c r="D270" s="801"/>
      <c r="E270" s="1350">
        <f t="shared" si="92"/>
        <v>2</v>
      </c>
      <c r="F270" s="867" t="str">
        <f t="shared" si="93"/>
        <v>ชุด</v>
      </c>
      <c r="G270" s="1249">
        <v>4250</v>
      </c>
      <c r="H270" s="864">
        <f t="shared" si="96"/>
        <v>8500</v>
      </c>
      <c r="I270" s="865">
        <v>325</v>
      </c>
      <c r="J270" s="864">
        <f t="shared" si="94"/>
        <v>650</v>
      </c>
      <c r="K270" s="867">
        <f t="shared" si="95"/>
        <v>9150</v>
      </c>
      <c r="L270" s="867"/>
      <c r="M270" s="1328" t="s">
        <v>2231</v>
      </c>
      <c r="N270" s="1329">
        <v>2</v>
      </c>
    </row>
    <row r="271" spans="1:14" s="1329" customFormat="1" ht="24" customHeight="1">
      <c r="A271" s="1330"/>
      <c r="B271" s="1331" t="str">
        <f t="shared" si="91"/>
        <v xml:space="preserve">  -  1350x400 มม.</v>
      </c>
      <c r="C271" s="1349"/>
      <c r="D271" s="801"/>
      <c r="E271" s="1350">
        <f t="shared" si="92"/>
        <v>2</v>
      </c>
      <c r="F271" s="867" t="str">
        <f t="shared" si="93"/>
        <v>ชุด</v>
      </c>
      <c r="G271" s="1249">
        <v>4375</v>
      </c>
      <c r="H271" s="864">
        <f t="shared" si="96"/>
        <v>8750</v>
      </c>
      <c r="I271" s="865">
        <v>325</v>
      </c>
      <c r="J271" s="864">
        <f t="shared" si="94"/>
        <v>650</v>
      </c>
      <c r="K271" s="867">
        <f t="shared" si="95"/>
        <v>9400</v>
      </c>
      <c r="L271" s="867"/>
      <c r="M271" s="1328" t="s">
        <v>2232</v>
      </c>
      <c r="N271" s="1329">
        <v>2</v>
      </c>
    </row>
    <row r="272" spans="1:14" s="1329" customFormat="1" ht="24" customHeight="1">
      <c r="A272" s="1330"/>
      <c r="B272" s="1331" t="str">
        <f t="shared" si="91"/>
        <v xml:space="preserve">  -  1400x450 มม.</v>
      </c>
      <c r="C272" s="1349"/>
      <c r="D272" s="801"/>
      <c r="E272" s="1350">
        <f t="shared" si="92"/>
        <v>1</v>
      </c>
      <c r="F272" s="867" t="str">
        <f t="shared" si="93"/>
        <v>ชุด</v>
      </c>
      <c r="G272" s="1249">
        <v>4625</v>
      </c>
      <c r="H272" s="864">
        <f t="shared" si="96"/>
        <v>4625</v>
      </c>
      <c r="I272" s="865">
        <v>325</v>
      </c>
      <c r="J272" s="864">
        <f t="shared" si="94"/>
        <v>325</v>
      </c>
      <c r="K272" s="867">
        <f t="shared" si="95"/>
        <v>4950</v>
      </c>
      <c r="L272" s="867"/>
      <c r="M272" s="1328" t="s">
        <v>2233</v>
      </c>
      <c r="N272" s="1329">
        <v>1</v>
      </c>
    </row>
    <row r="273" spans="1:14" s="1329" customFormat="1" ht="24" customHeight="1">
      <c r="A273" s="1330"/>
      <c r="B273" s="1331" t="str">
        <f t="shared" si="91"/>
        <v xml:space="preserve">  -  1400x500 มม.</v>
      </c>
      <c r="C273" s="1349"/>
      <c r="D273" s="801"/>
      <c r="E273" s="1350">
        <f t="shared" si="92"/>
        <v>2</v>
      </c>
      <c r="F273" s="867" t="str">
        <f t="shared" si="93"/>
        <v>ชุด</v>
      </c>
      <c r="G273" s="1249">
        <v>4750</v>
      </c>
      <c r="H273" s="864">
        <f t="shared" si="96"/>
        <v>9500</v>
      </c>
      <c r="I273" s="865">
        <v>325</v>
      </c>
      <c r="J273" s="864">
        <f t="shared" si="94"/>
        <v>650</v>
      </c>
      <c r="K273" s="867">
        <f t="shared" si="95"/>
        <v>10150</v>
      </c>
      <c r="L273" s="867"/>
      <c r="M273" s="1328" t="s">
        <v>2234</v>
      </c>
      <c r="N273" s="1329">
        <v>2</v>
      </c>
    </row>
    <row r="274" spans="1:14" s="1329" customFormat="1" ht="24" customHeight="1">
      <c r="A274" s="1330"/>
      <c r="B274" s="1331" t="str">
        <f t="shared" si="91"/>
        <v xml:space="preserve">  -  1450x400 มม.</v>
      </c>
      <c r="C274" s="1349"/>
      <c r="D274" s="801"/>
      <c r="E274" s="1350">
        <f t="shared" si="92"/>
        <v>2</v>
      </c>
      <c r="F274" s="867" t="str">
        <f t="shared" si="93"/>
        <v>ชุด</v>
      </c>
      <c r="G274" s="1249">
        <v>4625</v>
      </c>
      <c r="H274" s="864">
        <f t="shared" si="96"/>
        <v>9250</v>
      </c>
      <c r="I274" s="865">
        <v>325</v>
      </c>
      <c r="J274" s="864">
        <f t="shared" si="94"/>
        <v>650</v>
      </c>
      <c r="K274" s="867">
        <f t="shared" si="95"/>
        <v>9900</v>
      </c>
      <c r="L274" s="867"/>
      <c r="M274" s="1328" t="s">
        <v>2235</v>
      </c>
      <c r="N274" s="1329">
        <v>2</v>
      </c>
    </row>
    <row r="275" spans="1:14" s="1329" customFormat="1" ht="24" customHeight="1">
      <c r="A275" s="1330"/>
      <c r="B275" s="1331" t="str">
        <f t="shared" si="91"/>
        <v xml:space="preserve">  -  2100x400 มม.</v>
      </c>
      <c r="C275" s="1349"/>
      <c r="D275" s="801"/>
      <c r="E275" s="1350">
        <f t="shared" si="92"/>
        <v>2</v>
      </c>
      <c r="F275" s="867" t="str">
        <f t="shared" si="93"/>
        <v>ชุด</v>
      </c>
      <c r="G275" s="1249">
        <v>6250</v>
      </c>
      <c r="H275" s="864">
        <f t="shared" si="96"/>
        <v>12500</v>
      </c>
      <c r="I275" s="865">
        <v>325</v>
      </c>
      <c r="J275" s="864">
        <f t="shared" si="94"/>
        <v>650</v>
      </c>
      <c r="K275" s="867">
        <f t="shared" si="95"/>
        <v>13150</v>
      </c>
      <c r="L275" s="867"/>
      <c r="M275" s="1328" t="s">
        <v>2236</v>
      </c>
      <c r="N275" s="1329">
        <v>2</v>
      </c>
    </row>
    <row r="276" spans="1:14" s="1329" customFormat="1" ht="24" customHeight="1">
      <c r="A276" s="1330" t="s">
        <v>2237</v>
      </c>
      <c r="B276" s="1331" t="s">
        <v>2063</v>
      </c>
      <c r="C276" s="1349"/>
      <c r="D276" s="801"/>
      <c r="E276" s="966"/>
      <c r="F276" s="867"/>
      <c r="G276" s="1249"/>
      <c r="H276" s="864"/>
      <c r="I276" s="865"/>
      <c r="J276" s="864"/>
      <c r="K276" s="867"/>
      <c r="L276" s="867"/>
      <c r="M276" s="1328"/>
    </row>
    <row r="277" spans="1:14" s="1329" customFormat="1" ht="24" customHeight="1">
      <c r="A277" s="1330"/>
      <c r="B277" s="1331" t="str">
        <f t="shared" ref="B277:B282" si="97">"  -  "&amp;M277&amp;" มม."</f>
        <v xml:space="preserve">  -  1150x400 มม.</v>
      </c>
      <c r="C277" s="1349"/>
      <c r="D277" s="801"/>
      <c r="E277" s="1350">
        <f t="shared" ref="E277:E282" si="98">N277</f>
        <v>2</v>
      </c>
      <c r="F277" s="867" t="str">
        <f t="shared" ref="F277:F282" si="99">IF(E277="","","ชุด")</f>
        <v>ชุด</v>
      </c>
      <c r="G277" s="1249">
        <v>2800</v>
      </c>
      <c r="H277" s="864">
        <f t="shared" si="96"/>
        <v>5600</v>
      </c>
      <c r="I277" s="865">
        <v>250</v>
      </c>
      <c r="J277" s="864">
        <f t="shared" ref="J277:J282" si="100">ROUND(E277*I277,)</f>
        <v>500</v>
      </c>
      <c r="K277" s="867">
        <f t="shared" ref="K277:K282" si="101">H277+J277</f>
        <v>6100</v>
      </c>
      <c r="L277" s="867"/>
      <c r="M277" s="1328" t="s">
        <v>2229</v>
      </c>
      <c r="N277" s="1329">
        <v>2</v>
      </c>
    </row>
    <row r="278" spans="1:14" s="1329" customFormat="1" ht="24" customHeight="1">
      <c r="A278" s="1330"/>
      <c r="B278" s="1331" t="str">
        <f t="shared" si="97"/>
        <v xml:space="preserve">  -  1150x500 มม.</v>
      </c>
      <c r="C278" s="1349"/>
      <c r="D278" s="801"/>
      <c r="E278" s="1350">
        <f t="shared" si="98"/>
        <v>1</v>
      </c>
      <c r="F278" s="867" t="str">
        <f t="shared" si="99"/>
        <v>ชุด</v>
      </c>
      <c r="G278" s="1249">
        <v>3200</v>
      </c>
      <c r="H278" s="864">
        <f t="shared" si="96"/>
        <v>3200</v>
      </c>
      <c r="I278" s="865">
        <v>250</v>
      </c>
      <c r="J278" s="864">
        <f t="shared" si="100"/>
        <v>250</v>
      </c>
      <c r="K278" s="867">
        <f t="shared" si="101"/>
        <v>3450</v>
      </c>
      <c r="L278" s="867"/>
      <c r="M278" s="1328" t="s">
        <v>2230</v>
      </c>
      <c r="N278" s="1329">
        <v>1</v>
      </c>
    </row>
    <row r="279" spans="1:14" s="1329" customFormat="1" ht="24" customHeight="1">
      <c r="A279" s="1330"/>
      <c r="B279" s="1331" t="str">
        <f t="shared" si="97"/>
        <v xml:space="preserve">  -  1250x450 มม.</v>
      </c>
      <c r="C279" s="1349"/>
      <c r="D279" s="801"/>
      <c r="E279" s="1350">
        <f t="shared" si="98"/>
        <v>1</v>
      </c>
      <c r="F279" s="867" t="str">
        <f t="shared" si="99"/>
        <v>ชุด</v>
      </c>
      <c r="G279" s="1249">
        <v>3250</v>
      </c>
      <c r="H279" s="864">
        <f t="shared" si="96"/>
        <v>3250</v>
      </c>
      <c r="I279" s="865">
        <v>250</v>
      </c>
      <c r="J279" s="864">
        <f t="shared" si="100"/>
        <v>250</v>
      </c>
      <c r="K279" s="867">
        <f t="shared" si="101"/>
        <v>3500</v>
      </c>
      <c r="L279" s="867"/>
      <c r="M279" s="1328" t="s">
        <v>2231</v>
      </c>
      <c r="N279" s="1329">
        <v>1</v>
      </c>
    </row>
    <row r="280" spans="1:14" s="1329" customFormat="1" ht="24" customHeight="1">
      <c r="A280" s="1330"/>
      <c r="B280" s="1331" t="str">
        <f t="shared" si="97"/>
        <v xml:space="preserve">  -  1350x400 มม.</v>
      </c>
      <c r="C280" s="1349"/>
      <c r="D280" s="801"/>
      <c r="E280" s="1350">
        <f t="shared" si="98"/>
        <v>2</v>
      </c>
      <c r="F280" s="867" t="str">
        <f t="shared" si="99"/>
        <v>ชุด</v>
      </c>
      <c r="G280" s="1249">
        <v>3250</v>
      </c>
      <c r="H280" s="864">
        <f t="shared" si="96"/>
        <v>6500</v>
      </c>
      <c r="I280" s="865">
        <v>250</v>
      </c>
      <c r="J280" s="864">
        <f t="shared" si="100"/>
        <v>500</v>
      </c>
      <c r="K280" s="867">
        <f t="shared" si="101"/>
        <v>7000</v>
      </c>
      <c r="L280" s="867"/>
      <c r="M280" s="1328" t="s">
        <v>2232</v>
      </c>
      <c r="N280" s="1329">
        <v>2</v>
      </c>
    </row>
    <row r="281" spans="1:14" s="1329" customFormat="1" ht="24" customHeight="1">
      <c r="A281" s="1330"/>
      <c r="B281" s="1331" t="str">
        <f t="shared" si="97"/>
        <v xml:space="preserve">  -  1400x500 มม.</v>
      </c>
      <c r="C281" s="1349"/>
      <c r="D281" s="801"/>
      <c r="E281" s="1350">
        <f t="shared" si="98"/>
        <v>1</v>
      </c>
      <c r="F281" s="867" t="str">
        <f t="shared" si="99"/>
        <v>ชุด</v>
      </c>
      <c r="G281" s="1249">
        <v>3250</v>
      </c>
      <c r="H281" s="864">
        <f t="shared" si="96"/>
        <v>3250</v>
      </c>
      <c r="I281" s="865">
        <v>250</v>
      </c>
      <c r="J281" s="864">
        <f t="shared" si="100"/>
        <v>250</v>
      </c>
      <c r="K281" s="867">
        <f t="shared" si="101"/>
        <v>3500</v>
      </c>
      <c r="L281" s="867"/>
      <c r="M281" s="1328" t="s">
        <v>2234</v>
      </c>
      <c r="N281" s="1329">
        <v>1</v>
      </c>
    </row>
    <row r="282" spans="1:14" s="1329" customFormat="1" ht="24" customHeight="1">
      <c r="A282" s="1330"/>
      <c r="B282" s="1331" t="str">
        <f t="shared" si="97"/>
        <v xml:space="preserve">  -  1450x400 มม.</v>
      </c>
      <c r="C282" s="1349"/>
      <c r="D282" s="801"/>
      <c r="E282" s="1350">
        <f t="shared" si="98"/>
        <v>1</v>
      </c>
      <c r="F282" s="867" t="str">
        <f t="shared" si="99"/>
        <v>ชุด</v>
      </c>
      <c r="G282" s="1249">
        <v>3250</v>
      </c>
      <c r="H282" s="864">
        <f t="shared" si="96"/>
        <v>3250</v>
      </c>
      <c r="I282" s="865">
        <v>250</v>
      </c>
      <c r="J282" s="864">
        <f t="shared" si="100"/>
        <v>250</v>
      </c>
      <c r="K282" s="867">
        <f t="shared" si="101"/>
        <v>3500</v>
      </c>
      <c r="L282" s="867"/>
      <c r="M282" s="1328" t="s">
        <v>2235</v>
      </c>
      <c r="N282" s="1329">
        <v>1</v>
      </c>
    </row>
    <row r="283" spans="1:14" s="1329" customFormat="1" ht="24" customHeight="1">
      <c r="A283" s="1330" t="s">
        <v>2238</v>
      </c>
      <c r="B283" s="1331" t="s">
        <v>2239</v>
      </c>
      <c r="C283" s="1349"/>
      <c r="D283" s="801"/>
      <c r="E283" s="966"/>
      <c r="F283" s="867"/>
      <c r="G283" s="1249"/>
      <c r="H283" s="864"/>
      <c r="I283" s="865"/>
      <c r="J283" s="864"/>
      <c r="K283" s="867"/>
      <c r="L283" s="867"/>
      <c r="M283" s="1328"/>
    </row>
    <row r="284" spans="1:14" s="1329" customFormat="1" ht="24" customHeight="1">
      <c r="A284" s="1330"/>
      <c r="B284" s="1331" t="str">
        <f t="shared" ref="B284:B286" si="102">"  -  "&amp;M284&amp;" มม."</f>
        <v xml:space="preserve">  -  850x300 มม.</v>
      </c>
      <c r="C284" s="1349"/>
      <c r="D284" s="801"/>
      <c r="E284" s="1350">
        <f t="shared" ref="E284:E286" si="103">N284</f>
        <v>1</v>
      </c>
      <c r="F284" s="867" t="str">
        <f t="shared" ref="F284:F286" si="104">IF(E284="","","ชุด")</f>
        <v>ชุด</v>
      </c>
      <c r="G284" s="1249">
        <v>1500</v>
      </c>
      <c r="H284" s="864">
        <f t="shared" si="96"/>
        <v>1500</v>
      </c>
      <c r="I284" s="865">
        <v>200</v>
      </c>
      <c r="J284" s="864">
        <f t="shared" ref="J284:J286" si="105">ROUND(E284*I284,)</f>
        <v>200</v>
      </c>
      <c r="K284" s="867">
        <f t="shared" ref="K284:K286" si="106">H284+J284</f>
        <v>1700</v>
      </c>
      <c r="L284" s="867"/>
      <c r="M284" s="1328" t="s">
        <v>2228</v>
      </c>
      <c r="N284" s="1329">
        <v>1</v>
      </c>
    </row>
    <row r="285" spans="1:14" s="1329" customFormat="1" ht="24" customHeight="1">
      <c r="A285" s="1330"/>
      <c r="B285" s="1331" t="str">
        <f t="shared" si="102"/>
        <v xml:space="preserve">  -  1050x300 มม.</v>
      </c>
      <c r="C285" s="1349"/>
      <c r="D285" s="801"/>
      <c r="E285" s="1350">
        <f t="shared" si="103"/>
        <v>1</v>
      </c>
      <c r="F285" s="867" t="str">
        <f t="shared" si="104"/>
        <v>ชุด</v>
      </c>
      <c r="G285" s="1249">
        <v>1800</v>
      </c>
      <c r="H285" s="864">
        <f t="shared" si="96"/>
        <v>1800</v>
      </c>
      <c r="I285" s="865">
        <v>200</v>
      </c>
      <c r="J285" s="864">
        <f t="shared" si="105"/>
        <v>200</v>
      </c>
      <c r="K285" s="867">
        <f t="shared" si="106"/>
        <v>2000</v>
      </c>
      <c r="L285" s="867"/>
      <c r="M285" s="1328" t="s">
        <v>2240</v>
      </c>
      <c r="N285" s="1329">
        <v>1</v>
      </c>
    </row>
    <row r="286" spans="1:14" s="1329" customFormat="1" ht="24" customHeight="1">
      <c r="A286" s="1330"/>
      <c r="B286" s="1331" t="str">
        <f t="shared" si="102"/>
        <v xml:space="preserve">  -  1150x400 มม.</v>
      </c>
      <c r="C286" s="1349"/>
      <c r="D286" s="801"/>
      <c r="E286" s="1350">
        <f t="shared" si="103"/>
        <v>2</v>
      </c>
      <c r="F286" s="867" t="str">
        <f t="shared" si="104"/>
        <v>ชุด</v>
      </c>
      <c r="G286" s="1249">
        <v>2000</v>
      </c>
      <c r="H286" s="864">
        <f t="shared" si="96"/>
        <v>4000</v>
      </c>
      <c r="I286" s="865">
        <v>200</v>
      </c>
      <c r="J286" s="864">
        <f t="shared" si="105"/>
        <v>400</v>
      </c>
      <c r="K286" s="867">
        <f t="shared" si="106"/>
        <v>4400</v>
      </c>
      <c r="L286" s="867"/>
      <c r="M286" s="1328" t="s">
        <v>2229</v>
      </c>
      <c r="N286" s="1329">
        <v>2</v>
      </c>
    </row>
    <row r="287" spans="1:14" s="1329" customFormat="1" ht="24" customHeight="1">
      <c r="A287" s="1330"/>
      <c r="B287" s="1331" t="s">
        <v>957</v>
      </c>
      <c r="C287" s="1349"/>
      <c r="D287" s="801"/>
      <c r="E287" s="1350"/>
      <c r="F287" s="867"/>
      <c r="G287" s="1249"/>
      <c r="H287" s="864"/>
      <c r="I287" s="865"/>
      <c r="J287" s="864"/>
      <c r="K287" s="867"/>
      <c r="L287" s="867"/>
      <c r="M287" s="1328"/>
    </row>
    <row r="288" spans="1:14" s="714" customFormat="1" ht="30" customHeight="1">
      <c r="A288" s="1166"/>
      <c r="B288" s="2475" t="str">
        <f>"รวมราคารายการที่ "&amp;A223</f>
        <v>รวมราคารายการที่ 7.12</v>
      </c>
      <c r="C288" s="2476"/>
      <c r="D288" s="2477"/>
      <c r="E288" s="1167"/>
      <c r="F288" s="1167"/>
      <c r="G288" s="1168"/>
      <c r="H288" s="1169">
        <f>SUM(H223:H287)</f>
        <v>683540</v>
      </c>
      <c r="I288" s="1170"/>
      <c r="J288" s="1169">
        <f>SUM(J223:J287)</f>
        <v>93500</v>
      </c>
      <c r="K288" s="1171">
        <f>SUM(K223:K287)</f>
        <v>777040</v>
      </c>
      <c r="L288" s="1171"/>
      <c r="M288" s="1322"/>
    </row>
    <row r="289" spans="1:16" s="1329" customFormat="1" ht="24" customHeight="1">
      <c r="A289" s="1325" t="s">
        <v>2241</v>
      </c>
      <c r="B289" s="1326" t="s">
        <v>2066</v>
      </c>
      <c r="C289" s="1347"/>
      <c r="D289" s="901"/>
      <c r="E289" s="1030"/>
      <c r="F289" s="903"/>
      <c r="G289" s="1348"/>
      <c r="H289" s="905"/>
      <c r="I289" s="906"/>
      <c r="J289" s="905"/>
      <c r="K289" s="903"/>
      <c r="L289" s="903"/>
      <c r="M289" s="1328"/>
    </row>
    <row r="290" spans="1:16" s="1329" customFormat="1" ht="24" customHeight="1">
      <c r="A290" s="1330" t="s">
        <v>2242</v>
      </c>
      <c r="B290" s="1331" t="s">
        <v>2068</v>
      </c>
      <c r="C290" s="1349"/>
      <c r="D290" s="801"/>
      <c r="E290" s="1030"/>
      <c r="F290" s="1030"/>
      <c r="G290" s="1249"/>
      <c r="H290" s="864"/>
      <c r="I290" s="865"/>
      <c r="J290" s="864"/>
      <c r="K290" s="867"/>
      <c r="L290" s="867"/>
      <c r="M290" s="1328"/>
    </row>
    <row r="291" spans="1:16" s="1329" customFormat="1" ht="24" customHeight="1">
      <c r="A291" s="1330"/>
      <c r="B291" s="1331" t="s">
        <v>2243</v>
      </c>
      <c r="C291" s="1349"/>
      <c r="D291" s="801"/>
      <c r="E291" s="966">
        <v>1</v>
      </c>
      <c r="F291" s="867" t="s">
        <v>240</v>
      </c>
      <c r="G291" s="1249">
        <v>30000</v>
      </c>
      <c r="H291" s="751">
        <f t="shared" ref="H291:H302" si="107">ROUND(E291*G291,)</f>
        <v>30000</v>
      </c>
      <c r="I291" s="1249">
        <f t="shared" ref="I291:I302" si="108">G291*0.1</f>
        <v>3000</v>
      </c>
      <c r="J291" s="751">
        <f t="shared" ref="J291:J302" si="109">ROUND(E291*I291,)</f>
        <v>3000</v>
      </c>
      <c r="K291" s="973">
        <f t="shared" ref="K291:K302" si="110">H291+J291</f>
        <v>33000</v>
      </c>
      <c r="L291" s="867"/>
      <c r="M291" s="1328"/>
      <c r="P291" s="1404"/>
    </row>
    <row r="292" spans="1:16" s="1329" customFormat="1" ht="24" customHeight="1">
      <c r="A292" s="1330"/>
      <c r="B292" s="1331" t="s">
        <v>2244</v>
      </c>
      <c r="C292" s="1349"/>
      <c r="D292" s="801"/>
      <c r="E292" s="966">
        <v>1</v>
      </c>
      <c r="F292" s="867" t="s">
        <v>240</v>
      </c>
      <c r="G292" s="1249">
        <v>15000</v>
      </c>
      <c r="H292" s="751">
        <f t="shared" si="107"/>
        <v>15000</v>
      </c>
      <c r="I292" s="1249">
        <f t="shared" si="108"/>
        <v>1500</v>
      </c>
      <c r="J292" s="751">
        <f t="shared" si="109"/>
        <v>1500</v>
      </c>
      <c r="K292" s="973">
        <f t="shared" si="110"/>
        <v>16500</v>
      </c>
      <c r="L292" s="867"/>
      <c r="M292" s="1328"/>
      <c r="P292" s="1404"/>
    </row>
    <row r="293" spans="1:16" s="1329" customFormat="1" ht="24" customHeight="1">
      <c r="A293" s="1330"/>
      <c r="B293" s="1331" t="s">
        <v>2245</v>
      </c>
      <c r="C293" s="1349"/>
      <c r="D293" s="801"/>
      <c r="E293" s="966">
        <v>1</v>
      </c>
      <c r="F293" s="867" t="s">
        <v>240</v>
      </c>
      <c r="G293" s="1249">
        <v>25000</v>
      </c>
      <c r="H293" s="751">
        <f t="shared" si="107"/>
        <v>25000</v>
      </c>
      <c r="I293" s="1249">
        <f t="shared" si="108"/>
        <v>2500</v>
      </c>
      <c r="J293" s="751">
        <f t="shared" si="109"/>
        <v>2500</v>
      </c>
      <c r="K293" s="973">
        <f t="shared" si="110"/>
        <v>27500</v>
      </c>
      <c r="L293" s="867"/>
      <c r="M293" s="1328"/>
      <c r="P293" s="1404"/>
    </row>
    <row r="294" spans="1:16" s="1329" customFormat="1" ht="24" customHeight="1">
      <c r="A294" s="1330"/>
      <c r="B294" s="1331" t="s">
        <v>2246</v>
      </c>
      <c r="C294" s="1349"/>
      <c r="D294" s="801"/>
      <c r="E294" s="966">
        <v>1</v>
      </c>
      <c r="F294" s="867" t="s">
        <v>240</v>
      </c>
      <c r="G294" s="1249">
        <v>25000</v>
      </c>
      <c r="H294" s="751">
        <f t="shared" si="107"/>
        <v>25000</v>
      </c>
      <c r="I294" s="1249">
        <f t="shared" si="108"/>
        <v>2500</v>
      </c>
      <c r="J294" s="751">
        <f t="shared" si="109"/>
        <v>2500</v>
      </c>
      <c r="K294" s="973">
        <f t="shared" si="110"/>
        <v>27500</v>
      </c>
      <c r="L294" s="867"/>
      <c r="M294" s="1328"/>
      <c r="P294" s="1404"/>
    </row>
    <row r="295" spans="1:16" s="1329" customFormat="1" ht="24" customHeight="1">
      <c r="A295" s="1330"/>
      <c r="B295" s="1331" t="s">
        <v>2247</v>
      </c>
      <c r="C295" s="1349"/>
      <c r="D295" s="801"/>
      <c r="E295" s="966">
        <v>1</v>
      </c>
      <c r="F295" s="867" t="s">
        <v>240</v>
      </c>
      <c r="G295" s="1250">
        <v>25000</v>
      </c>
      <c r="H295" s="751">
        <f t="shared" si="107"/>
        <v>25000</v>
      </c>
      <c r="I295" s="1249">
        <f t="shared" si="108"/>
        <v>2500</v>
      </c>
      <c r="J295" s="751">
        <f t="shared" si="109"/>
        <v>2500</v>
      </c>
      <c r="K295" s="973">
        <f t="shared" si="110"/>
        <v>27500</v>
      </c>
      <c r="L295" s="867"/>
      <c r="M295" s="1328"/>
      <c r="P295" s="1404"/>
    </row>
    <row r="296" spans="1:16" s="1329" customFormat="1" ht="24" customHeight="1">
      <c r="A296" s="1330"/>
      <c r="B296" s="1331" t="s">
        <v>2248</v>
      </c>
      <c r="C296" s="1349"/>
      <c r="D296" s="801"/>
      <c r="E296" s="966">
        <v>1</v>
      </c>
      <c r="F296" s="867" t="s">
        <v>240</v>
      </c>
      <c r="G296" s="1250">
        <v>25000</v>
      </c>
      <c r="H296" s="751">
        <f t="shared" si="107"/>
        <v>25000</v>
      </c>
      <c r="I296" s="1249">
        <f t="shared" si="108"/>
        <v>2500</v>
      </c>
      <c r="J296" s="751">
        <f t="shared" si="109"/>
        <v>2500</v>
      </c>
      <c r="K296" s="973">
        <f t="shared" si="110"/>
        <v>27500</v>
      </c>
      <c r="L296" s="867"/>
      <c r="M296" s="1328"/>
      <c r="P296" s="1404"/>
    </row>
    <row r="297" spans="1:16" s="1329" customFormat="1" ht="24" customHeight="1">
      <c r="A297" s="1330"/>
      <c r="B297" s="1331" t="s">
        <v>2249</v>
      </c>
      <c r="C297" s="1349"/>
      <c r="D297" s="801"/>
      <c r="E297" s="966">
        <v>1</v>
      </c>
      <c r="F297" s="867" t="s">
        <v>240</v>
      </c>
      <c r="G297" s="1250">
        <v>30000</v>
      </c>
      <c r="H297" s="751">
        <f t="shared" si="107"/>
        <v>30000</v>
      </c>
      <c r="I297" s="1249">
        <f t="shared" si="108"/>
        <v>3000</v>
      </c>
      <c r="J297" s="751">
        <f t="shared" si="109"/>
        <v>3000</v>
      </c>
      <c r="K297" s="973">
        <f t="shared" si="110"/>
        <v>33000</v>
      </c>
      <c r="L297" s="867"/>
      <c r="M297" s="1328"/>
      <c r="P297" s="1404"/>
    </row>
    <row r="298" spans="1:16" s="1329" customFormat="1" ht="24" customHeight="1">
      <c r="A298" s="1330"/>
      <c r="B298" s="1331" t="s">
        <v>2250</v>
      </c>
      <c r="C298" s="1349"/>
      <c r="D298" s="801"/>
      <c r="E298" s="966">
        <v>1</v>
      </c>
      <c r="F298" s="867" t="s">
        <v>240</v>
      </c>
      <c r="G298" s="1250">
        <v>15000</v>
      </c>
      <c r="H298" s="751">
        <f t="shared" si="107"/>
        <v>15000</v>
      </c>
      <c r="I298" s="1249">
        <f t="shared" si="108"/>
        <v>1500</v>
      </c>
      <c r="J298" s="751">
        <f t="shared" si="109"/>
        <v>1500</v>
      </c>
      <c r="K298" s="973">
        <f t="shared" si="110"/>
        <v>16500</v>
      </c>
      <c r="L298" s="867"/>
      <c r="M298" s="1328"/>
      <c r="P298" s="1404"/>
    </row>
    <row r="299" spans="1:16" s="1329" customFormat="1" ht="24" customHeight="1">
      <c r="A299" s="1330"/>
      <c r="B299" s="1331" t="s">
        <v>2251</v>
      </c>
      <c r="C299" s="1349"/>
      <c r="D299" s="801"/>
      <c r="E299" s="966">
        <v>1</v>
      </c>
      <c r="F299" s="867" t="s">
        <v>240</v>
      </c>
      <c r="G299" s="1250">
        <v>25000</v>
      </c>
      <c r="H299" s="751">
        <f t="shared" si="107"/>
        <v>25000</v>
      </c>
      <c r="I299" s="1249">
        <f t="shared" si="108"/>
        <v>2500</v>
      </c>
      <c r="J299" s="751">
        <f t="shared" si="109"/>
        <v>2500</v>
      </c>
      <c r="K299" s="973">
        <f t="shared" si="110"/>
        <v>27500</v>
      </c>
      <c r="L299" s="867"/>
      <c r="M299" s="1328"/>
      <c r="P299" s="1404"/>
    </row>
    <row r="300" spans="1:16" s="1329" customFormat="1" ht="24" customHeight="1">
      <c r="A300" s="1330"/>
      <c r="B300" s="1331" t="s">
        <v>2252</v>
      </c>
      <c r="C300" s="1349"/>
      <c r="D300" s="801"/>
      <c r="E300" s="966">
        <v>1</v>
      </c>
      <c r="F300" s="867" t="s">
        <v>240</v>
      </c>
      <c r="G300" s="1250">
        <v>25000</v>
      </c>
      <c r="H300" s="751">
        <f t="shared" si="107"/>
        <v>25000</v>
      </c>
      <c r="I300" s="1249">
        <f t="shared" si="108"/>
        <v>2500</v>
      </c>
      <c r="J300" s="751">
        <f t="shared" si="109"/>
        <v>2500</v>
      </c>
      <c r="K300" s="973">
        <f t="shared" si="110"/>
        <v>27500</v>
      </c>
      <c r="L300" s="867"/>
      <c r="M300" s="1328"/>
      <c r="P300" s="1404"/>
    </row>
    <row r="301" spans="1:16" s="1329" customFormat="1" ht="24" customHeight="1">
      <c r="A301" s="1330"/>
      <c r="B301" s="1331" t="s">
        <v>2253</v>
      </c>
      <c r="C301" s="1349"/>
      <c r="D301" s="801"/>
      <c r="E301" s="966">
        <v>1</v>
      </c>
      <c r="F301" s="867" t="s">
        <v>240</v>
      </c>
      <c r="G301" s="1250">
        <v>15000</v>
      </c>
      <c r="H301" s="751">
        <f t="shared" si="107"/>
        <v>15000</v>
      </c>
      <c r="I301" s="1249">
        <f t="shared" si="108"/>
        <v>1500</v>
      </c>
      <c r="J301" s="751">
        <f t="shared" si="109"/>
        <v>1500</v>
      </c>
      <c r="K301" s="973">
        <f t="shared" si="110"/>
        <v>16500</v>
      </c>
      <c r="L301" s="867"/>
      <c r="M301" s="1328"/>
    </row>
    <row r="302" spans="1:16" s="1329" customFormat="1" ht="24" customHeight="1">
      <c r="A302" s="1330"/>
      <c r="B302" s="1331" t="s">
        <v>2254</v>
      </c>
      <c r="C302" s="1349"/>
      <c r="D302" s="801"/>
      <c r="E302" s="966">
        <v>1</v>
      </c>
      <c r="F302" s="867" t="s">
        <v>240</v>
      </c>
      <c r="G302" s="1250">
        <v>25000</v>
      </c>
      <c r="H302" s="751">
        <f t="shared" si="107"/>
        <v>25000</v>
      </c>
      <c r="I302" s="1249">
        <f t="shared" si="108"/>
        <v>2500</v>
      </c>
      <c r="J302" s="751">
        <f t="shared" si="109"/>
        <v>2500</v>
      </c>
      <c r="K302" s="973">
        <f t="shared" si="110"/>
        <v>27500</v>
      </c>
      <c r="L302" s="867"/>
      <c r="M302" s="1328"/>
    </row>
    <row r="303" spans="1:16" s="1329" customFormat="1" ht="24" customHeight="1">
      <c r="A303" s="1330"/>
      <c r="B303" s="1331"/>
      <c r="C303" s="1349"/>
      <c r="D303" s="801"/>
      <c r="E303" s="966"/>
      <c r="F303" s="867"/>
      <c r="G303" s="1250"/>
      <c r="H303" s="751"/>
      <c r="I303" s="865"/>
      <c r="J303" s="751"/>
      <c r="K303" s="973"/>
      <c r="L303" s="867"/>
      <c r="M303" s="1328"/>
    </row>
    <row r="304" spans="1:16" s="1329" customFormat="1" ht="24" customHeight="1">
      <c r="A304" s="1330" t="s">
        <v>2255</v>
      </c>
      <c r="B304" s="1331" t="s">
        <v>1207</v>
      </c>
      <c r="C304" s="1349"/>
      <c r="D304" s="801"/>
      <c r="E304" s="966"/>
      <c r="F304" s="867"/>
      <c r="G304" s="1249"/>
      <c r="H304" s="864"/>
      <c r="I304" s="865"/>
      <c r="J304" s="864"/>
      <c r="K304" s="867"/>
      <c r="L304" s="867"/>
      <c r="M304" s="1328"/>
    </row>
    <row r="305" spans="1:15" s="1329" customFormat="1" ht="24" customHeight="1">
      <c r="A305" s="1330"/>
      <c r="B305" s="1331" t="s">
        <v>1737</v>
      </c>
      <c r="C305" s="1349"/>
      <c r="D305" s="801"/>
      <c r="E305" s="966">
        <f>60+120+120+60+120+120+120</f>
        <v>720</v>
      </c>
      <c r="F305" s="867" t="s">
        <v>438</v>
      </c>
      <c r="G305" s="752">
        <v>9</v>
      </c>
      <c r="H305" s="796">
        <f t="shared" ref="H305:H310" si="111">ROUND(E305*G305,)</f>
        <v>6480</v>
      </c>
      <c r="I305" s="865">
        <v>7</v>
      </c>
      <c r="J305" s="751">
        <f t="shared" ref="J305:J310" si="112">ROUND(E305*I305,)</f>
        <v>5040</v>
      </c>
      <c r="K305" s="973">
        <f t="shared" ref="K305:K310" si="113">H305+J305</f>
        <v>11520</v>
      </c>
      <c r="L305" s="1718" t="s">
        <v>2974</v>
      </c>
      <c r="N305" s="1404">
        <v>912.1</v>
      </c>
      <c r="O305" s="1404">
        <f t="shared" ref="O305:O310" si="114">ROUND(N305/100,)</f>
        <v>9</v>
      </c>
    </row>
    <row r="306" spans="1:15" s="1329" customFormat="1" ht="24" customHeight="1">
      <c r="A306" s="1330"/>
      <c r="B306" s="705" t="s">
        <v>1166</v>
      </c>
      <c r="C306" s="792"/>
      <c r="D306" s="792"/>
      <c r="E306" s="805">
        <f>105+60</f>
        <v>165</v>
      </c>
      <c r="F306" s="794" t="s">
        <v>438</v>
      </c>
      <c r="G306" s="806">
        <v>14</v>
      </c>
      <c r="H306" s="796">
        <f t="shared" si="111"/>
        <v>2310</v>
      </c>
      <c r="I306" s="797">
        <v>10</v>
      </c>
      <c r="J306" s="796">
        <f t="shared" si="112"/>
        <v>1650</v>
      </c>
      <c r="K306" s="914">
        <f t="shared" si="113"/>
        <v>3960</v>
      </c>
      <c r="L306" s="1718" t="s">
        <v>2974</v>
      </c>
      <c r="N306" s="1404">
        <v>1375.8</v>
      </c>
      <c r="O306" s="1404">
        <f t="shared" si="114"/>
        <v>14</v>
      </c>
    </row>
    <row r="307" spans="1:15" s="1329" customFormat="1" ht="24" customHeight="1">
      <c r="A307" s="1330"/>
      <c r="B307" s="705" t="s">
        <v>1167</v>
      </c>
      <c r="C307" s="792"/>
      <c r="D307" s="792"/>
      <c r="E307" s="805">
        <f>60+105+105</f>
        <v>270</v>
      </c>
      <c r="F307" s="794" t="s">
        <v>438</v>
      </c>
      <c r="G307" s="806">
        <v>23</v>
      </c>
      <c r="H307" s="796">
        <f t="shared" si="111"/>
        <v>6210</v>
      </c>
      <c r="I307" s="797">
        <v>12</v>
      </c>
      <c r="J307" s="796">
        <f t="shared" si="112"/>
        <v>3240</v>
      </c>
      <c r="K307" s="914">
        <f t="shared" si="113"/>
        <v>9450</v>
      </c>
      <c r="L307" s="1718" t="s">
        <v>2974</v>
      </c>
      <c r="N307" s="1404">
        <v>2264.1999999999998</v>
      </c>
      <c r="O307" s="1404">
        <f t="shared" si="114"/>
        <v>23</v>
      </c>
    </row>
    <row r="308" spans="1:15" s="1329" customFormat="1" ht="24" customHeight="1">
      <c r="A308" s="1330"/>
      <c r="B308" s="705" t="s">
        <v>1168</v>
      </c>
      <c r="C308" s="792"/>
      <c r="D308" s="792"/>
      <c r="E308" s="805"/>
      <c r="F308" s="794" t="s">
        <v>438</v>
      </c>
      <c r="G308" s="806">
        <v>39</v>
      </c>
      <c r="H308" s="796">
        <f t="shared" si="111"/>
        <v>0</v>
      </c>
      <c r="I308" s="797">
        <v>16</v>
      </c>
      <c r="J308" s="796">
        <f t="shared" si="112"/>
        <v>0</v>
      </c>
      <c r="K308" s="914">
        <f t="shared" si="113"/>
        <v>0</v>
      </c>
      <c r="L308" s="1718" t="s">
        <v>2974</v>
      </c>
      <c r="N308" s="1404">
        <v>3944.2</v>
      </c>
      <c r="O308" s="1404">
        <f t="shared" si="114"/>
        <v>39</v>
      </c>
    </row>
    <row r="309" spans="1:15" s="1329" customFormat="1" ht="24" customHeight="1">
      <c r="A309" s="1330"/>
      <c r="B309" s="705" t="s">
        <v>1169</v>
      </c>
      <c r="C309" s="792"/>
      <c r="D309" s="792"/>
      <c r="E309" s="805"/>
      <c r="F309" s="794" t="s">
        <v>438</v>
      </c>
      <c r="G309" s="806">
        <v>61</v>
      </c>
      <c r="H309" s="796">
        <f t="shared" si="111"/>
        <v>0</v>
      </c>
      <c r="I309" s="797">
        <v>20</v>
      </c>
      <c r="J309" s="796">
        <f t="shared" si="112"/>
        <v>0</v>
      </c>
      <c r="K309" s="914">
        <f t="shared" si="113"/>
        <v>0</v>
      </c>
      <c r="L309" s="1718" t="s">
        <v>2974</v>
      </c>
      <c r="N309" s="1404">
        <v>6120</v>
      </c>
      <c r="O309" s="1404">
        <f t="shared" si="114"/>
        <v>61</v>
      </c>
    </row>
    <row r="310" spans="1:15" s="1329" customFormat="1" ht="24" customHeight="1">
      <c r="A310" s="1330"/>
      <c r="B310" s="705" t="s">
        <v>1163</v>
      </c>
      <c r="C310" s="792"/>
      <c r="D310" s="792"/>
      <c r="E310" s="805"/>
      <c r="F310" s="794" t="s">
        <v>438</v>
      </c>
      <c r="G310" s="806">
        <v>183</v>
      </c>
      <c r="H310" s="796">
        <f t="shared" si="111"/>
        <v>0</v>
      </c>
      <c r="I310" s="797">
        <v>40</v>
      </c>
      <c r="J310" s="796">
        <f t="shared" si="112"/>
        <v>0</v>
      </c>
      <c r="K310" s="914">
        <f t="shared" si="113"/>
        <v>0</v>
      </c>
      <c r="L310" s="1718" t="s">
        <v>2974</v>
      </c>
      <c r="N310" s="1404">
        <v>18335.8</v>
      </c>
      <c r="O310" s="1404">
        <f t="shared" si="114"/>
        <v>183</v>
      </c>
    </row>
    <row r="311" spans="1:15" s="1329" customFormat="1" ht="24" customHeight="1">
      <c r="A311" s="1330" t="s">
        <v>2256</v>
      </c>
      <c r="B311" s="1331" t="s">
        <v>2257</v>
      </c>
      <c r="C311" s="1349"/>
      <c r="D311" s="801"/>
      <c r="E311" s="966"/>
      <c r="F311" s="867"/>
      <c r="G311" s="1249"/>
      <c r="H311" s="864"/>
      <c r="I311" s="865"/>
      <c r="J311" s="864"/>
      <c r="K311" s="867"/>
      <c r="L311" s="867"/>
      <c r="M311" s="1328"/>
    </row>
    <row r="312" spans="1:15" s="1329" customFormat="1" ht="24" customHeight="1">
      <c r="A312" s="1330"/>
      <c r="B312" s="1331" t="s">
        <v>1277</v>
      </c>
      <c r="C312" s="1349"/>
      <c r="D312" s="801"/>
      <c r="E312" s="966"/>
      <c r="F312" s="867" t="s">
        <v>438</v>
      </c>
      <c r="G312" s="1249"/>
      <c r="H312" s="796">
        <f t="shared" ref="H312" si="115">ROUND(E312*G312,)</f>
        <v>0</v>
      </c>
      <c r="I312" s="865"/>
      <c r="J312" s="751">
        <f t="shared" ref="J312" si="116">ROUND(E312*I312,)</f>
        <v>0</v>
      </c>
      <c r="K312" s="973">
        <f t="shared" ref="K312" si="117">H312+J312</f>
        <v>0</v>
      </c>
      <c r="L312" s="867"/>
      <c r="M312" s="1328"/>
    </row>
    <row r="313" spans="1:15" s="1329" customFormat="1" ht="24" customHeight="1">
      <c r="A313" s="1330" t="s">
        <v>2258</v>
      </c>
      <c r="B313" s="1331" t="s">
        <v>950</v>
      </c>
      <c r="C313" s="1349"/>
      <c r="D313" s="801"/>
      <c r="E313" s="966"/>
      <c r="F313" s="867"/>
      <c r="G313" s="1249"/>
      <c r="H313" s="864"/>
      <c r="I313" s="865"/>
      <c r="J313" s="864"/>
      <c r="K313" s="867"/>
      <c r="L313" s="867"/>
      <c r="M313" s="1328"/>
    </row>
    <row r="314" spans="1:15" s="1329" customFormat="1" ht="24" customHeight="1">
      <c r="A314" s="1330"/>
      <c r="B314" s="1331" t="s">
        <v>1201</v>
      </c>
      <c r="C314" s="1349"/>
      <c r="D314" s="801"/>
      <c r="E314" s="966">
        <f>15+30+30+15+30+30+30</f>
        <v>180</v>
      </c>
      <c r="F314" s="867" t="s">
        <v>438</v>
      </c>
      <c r="G314" s="1249">
        <v>56</v>
      </c>
      <c r="H314" s="796">
        <f t="shared" ref="H314:H320" si="118">ROUND(E314*G314,)</f>
        <v>10080</v>
      </c>
      <c r="I314" s="865">
        <v>26</v>
      </c>
      <c r="J314" s="751">
        <f t="shared" ref="J314:J320" si="119">ROUND(E314*I314,)</f>
        <v>4680</v>
      </c>
      <c r="K314" s="973">
        <f t="shared" ref="K314:K320" si="120">H314+J314</f>
        <v>14760</v>
      </c>
      <c r="L314" s="2273" t="s">
        <v>2974</v>
      </c>
      <c r="M314" s="1328"/>
      <c r="N314" s="1329">
        <v>169.2</v>
      </c>
      <c r="O314" s="1329">
        <f t="shared" ref="O314:O319" si="121">ROUND(N314/3,)</f>
        <v>56</v>
      </c>
    </row>
    <row r="315" spans="1:15" s="1329" customFormat="1" ht="24" customHeight="1">
      <c r="A315" s="1330"/>
      <c r="B315" s="1331" t="s">
        <v>1184</v>
      </c>
      <c r="C315" s="1349"/>
      <c r="D315" s="801"/>
      <c r="E315" s="966">
        <f>15+15+15</f>
        <v>45</v>
      </c>
      <c r="F315" s="867" t="s">
        <v>438</v>
      </c>
      <c r="G315" s="1249">
        <v>75</v>
      </c>
      <c r="H315" s="796">
        <f t="shared" si="118"/>
        <v>3375</v>
      </c>
      <c r="I315" s="865">
        <v>28</v>
      </c>
      <c r="J315" s="751">
        <f t="shared" si="119"/>
        <v>1260</v>
      </c>
      <c r="K315" s="973">
        <f t="shared" si="120"/>
        <v>4635</v>
      </c>
      <c r="L315" s="2273" t="s">
        <v>2974</v>
      </c>
      <c r="M315" s="1328"/>
      <c r="N315" s="1329">
        <v>225</v>
      </c>
      <c r="O315" s="1329">
        <f t="shared" si="121"/>
        <v>75</v>
      </c>
    </row>
    <row r="316" spans="1:15" s="1329" customFormat="1" ht="24" customHeight="1">
      <c r="A316" s="1330"/>
      <c r="B316" s="705" t="s">
        <v>1185</v>
      </c>
      <c r="C316" s="717"/>
      <c r="D316" s="717"/>
      <c r="E316" s="805">
        <f>15+15</f>
        <v>30</v>
      </c>
      <c r="F316" s="794" t="s">
        <v>438</v>
      </c>
      <c r="G316" s="806">
        <v>101</v>
      </c>
      <c r="H316" s="796">
        <f t="shared" si="118"/>
        <v>3030</v>
      </c>
      <c r="I316" s="807">
        <v>32</v>
      </c>
      <c r="J316" s="796">
        <f t="shared" si="119"/>
        <v>960</v>
      </c>
      <c r="K316" s="914">
        <f t="shared" si="120"/>
        <v>3990</v>
      </c>
      <c r="L316" s="2273" t="s">
        <v>2974</v>
      </c>
      <c r="M316" s="1328"/>
      <c r="N316" s="1329">
        <v>303.60000000000002</v>
      </c>
      <c r="O316" s="1329">
        <f t="shared" si="121"/>
        <v>101</v>
      </c>
    </row>
    <row r="317" spans="1:15" s="1329" customFormat="1" ht="24" customHeight="1">
      <c r="A317" s="1330"/>
      <c r="B317" s="705" t="s">
        <v>1186</v>
      </c>
      <c r="C317" s="717"/>
      <c r="D317" s="717"/>
      <c r="E317" s="805"/>
      <c r="F317" s="794" t="s">
        <v>438</v>
      </c>
      <c r="G317" s="806">
        <v>131</v>
      </c>
      <c r="H317" s="796">
        <f t="shared" si="118"/>
        <v>0</v>
      </c>
      <c r="I317" s="807">
        <v>38</v>
      </c>
      <c r="J317" s="796">
        <f t="shared" si="119"/>
        <v>0</v>
      </c>
      <c r="K317" s="914">
        <f t="shared" si="120"/>
        <v>0</v>
      </c>
      <c r="L317" s="2273" t="s">
        <v>2974</v>
      </c>
      <c r="M317" s="1328"/>
      <c r="N317" s="1329">
        <v>391.8</v>
      </c>
      <c r="O317" s="1329">
        <f t="shared" si="121"/>
        <v>131</v>
      </c>
    </row>
    <row r="318" spans="1:15" s="1329" customFormat="1" ht="24" customHeight="1">
      <c r="A318" s="1330"/>
      <c r="B318" s="705" t="s">
        <v>1187</v>
      </c>
      <c r="C318" s="717"/>
      <c r="D318" s="717"/>
      <c r="E318" s="805"/>
      <c r="F318" s="794" t="s">
        <v>438</v>
      </c>
      <c r="G318" s="806">
        <v>160</v>
      </c>
      <c r="H318" s="796">
        <f t="shared" si="118"/>
        <v>0</v>
      </c>
      <c r="I318" s="807">
        <v>42</v>
      </c>
      <c r="J318" s="796">
        <f t="shared" si="119"/>
        <v>0</v>
      </c>
      <c r="K318" s="914">
        <f t="shared" si="120"/>
        <v>0</v>
      </c>
      <c r="L318" s="2273" t="s">
        <v>2974</v>
      </c>
      <c r="M318" s="1328"/>
      <c r="N318" s="1329">
        <v>481.2</v>
      </c>
      <c r="O318" s="1329">
        <f t="shared" si="121"/>
        <v>160</v>
      </c>
    </row>
    <row r="319" spans="1:15" s="1329" customFormat="1" ht="24" customHeight="1">
      <c r="A319" s="1330"/>
      <c r="B319" s="705" t="s">
        <v>1188</v>
      </c>
      <c r="C319" s="717"/>
      <c r="D319" s="717"/>
      <c r="E319" s="805"/>
      <c r="F319" s="794" t="s">
        <v>438</v>
      </c>
      <c r="G319" s="806">
        <v>219</v>
      </c>
      <c r="H319" s="796">
        <f t="shared" si="118"/>
        <v>0</v>
      </c>
      <c r="I319" s="807">
        <v>48</v>
      </c>
      <c r="J319" s="796">
        <f t="shared" si="119"/>
        <v>0</v>
      </c>
      <c r="K319" s="914">
        <f t="shared" si="120"/>
        <v>0</v>
      </c>
      <c r="L319" s="2273" t="s">
        <v>2974</v>
      </c>
      <c r="M319" s="1328"/>
      <c r="N319" s="1329">
        <v>657.6</v>
      </c>
      <c r="O319" s="1329">
        <f t="shared" si="121"/>
        <v>219</v>
      </c>
    </row>
    <row r="320" spans="1:15" s="1329" customFormat="1" ht="24" customHeight="1">
      <c r="A320" s="1330"/>
      <c r="B320" s="1331" t="s">
        <v>1237</v>
      </c>
      <c r="C320" s="1349"/>
      <c r="D320" s="801"/>
      <c r="E320" s="966">
        <v>1</v>
      </c>
      <c r="F320" s="867" t="s">
        <v>948</v>
      </c>
      <c r="G320" s="752">
        <f>ROUND(SUM(H314:H319)*15%,)</f>
        <v>2473</v>
      </c>
      <c r="H320" s="796">
        <f t="shared" si="118"/>
        <v>2473</v>
      </c>
      <c r="I320" s="949">
        <f>ROUND(G320*0.3,)</f>
        <v>742</v>
      </c>
      <c r="J320" s="751">
        <f t="shared" si="119"/>
        <v>742</v>
      </c>
      <c r="K320" s="973">
        <f t="shared" si="120"/>
        <v>3215</v>
      </c>
      <c r="L320" s="867"/>
      <c r="M320" s="1328"/>
    </row>
    <row r="321" spans="1:13" s="1329" customFormat="1" ht="24" customHeight="1">
      <c r="A321" s="1330"/>
      <c r="B321" s="1331" t="s">
        <v>957</v>
      </c>
      <c r="C321" s="1349"/>
      <c r="D321" s="801"/>
      <c r="E321" s="966"/>
      <c r="F321" s="867"/>
      <c r="G321" s="1249"/>
      <c r="H321" s="864"/>
      <c r="I321" s="865"/>
      <c r="J321" s="864"/>
      <c r="K321" s="867"/>
      <c r="L321" s="867"/>
      <c r="M321" s="1328"/>
    </row>
    <row r="322" spans="1:13" s="1329" customFormat="1" ht="24" customHeight="1">
      <c r="A322" s="1330"/>
      <c r="B322" s="1331"/>
      <c r="C322" s="1349"/>
      <c r="D322" s="801"/>
      <c r="E322" s="966"/>
      <c r="F322" s="867"/>
      <c r="G322" s="1249"/>
      <c r="H322" s="864"/>
      <c r="I322" s="865"/>
      <c r="J322" s="864"/>
      <c r="K322" s="867"/>
      <c r="L322" s="867"/>
      <c r="M322" s="1328"/>
    </row>
    <row r="323" spans="1:13" s="714" customFormat="1" ht="30" customHeight="1">
      <c r="A323" s="1166"/>
      <c r="B323" s="2475" t="str">
        <f>"รวมราคารายการที่ "&amp;A289</f>
        <v>รวมราคารายการที่ 7.13</v>
      </c>
      <c r="C323" s="2476"/>
      <c r="D323" s="2477"/>
      <c r="E323" s="1167"/>
      <c r="F323" s="1167"/>
      <c r="G323" s="1168"/>
      <c r="H323" s="1169">
        <f>SUM(H290:H322)</f>
        <v>313958</v>
      </c>
      <c r="I323" s="1170"/>
      <c r="J323" s="1169">
        <f>SUM(J290:J322)</f>
        <v>45572</v>
      </c>
      <c r="K323" s="1171">
        <f>SUM(K290:K322)</f>
        <v>359530</v>
      </c>
      <c r="L323" s="1171"/>
      <c r="M323" s="1322"/>
    </row>
    <row r="324" spans="1:13" s="886" customFormat="1" ht="22.15" customHeight="1">
      <c r="A324" s="1482"/>
      <c r="M324" s="1342"/>
    </row>
    <row r="325" spans="1:13" s="886" customFormat="1" ht="22.15" customHeight="1">
      <c r="A325" s="1482"/>
      <c r="M325" s="1342"/>
    </row>
    <row r="326" spans="1:13" s="886" customFormat="1" ht="22.15" customHeight="1">
      <c r="A326" s="1482"/>
      <c r="M326" s="1342"/>
    </row>
    <row r="327" spans="1:13" s="886" customFormat="1" ht="22.15" customHeight="1">
      <c r="A327" s="1482"/>
      <c r="M327" s="1342"/>
    </row>
    <row r="328" spans="1:13" s="886" customFormat="1" ht="22.15" customHeight="1">
      <c r="A328" s="1482"/>
      <c r="M328" s="1342"/>
    </row>
    <row r="329" spans="1:13" s="886" customFormat="1" ht="22.15" customHeight="1">
      <c r="A329" s="1482"/>
      <c r="M329" s="1342"/>
    </row>
    <row r="330" spans="1:13" s="886" customFormat="1" ht="22.15" customHeight="1">
      <c r="A330" s="1482"/>
      <c r="M330" s="1342"/>
    </row>
    <row r="331" spans="1:13" s="886" customFormat="1" ht="22.15" customHeight="1">
      <c r="A331" s="1482"/>
      <c r="M331" s="1342"/>
    </row>
    <row r="332" spans="1:13" s="886" customFormat="1" ht="22.15" customHeight="1">
      <c r="A332" s="1482"/>
      <c r="M332" s="1342"/>
    </row>
    <row r="333" spans="1:13" s="886" customFormat="1" ht="22.15" customHeight="1">
      <c r="A333" s="1482"/>
      <c r="M333" s="1342"/>
    </row>
    <row r="334" spans="1:13" s="886" customFormat="1" ht="22.15" customHeight="1">
      <c r="A334" s="1482"/>
      <c r="M334" s="1342"/>
    </row>
    <row r="335" spans="1:13" s="886" customFormat="1" ht="21.3">
      <c r="A335" s="1482"/>
      <c r="M335" s="1342"/>
    </row>
    <row r="336" spans="1:13" s="886" customFormat="1" ht="21.3">
      <c r="A336" s="1482"/>
      <c r="M336" s="1342"/>
    </row>
    <row r="337" spans="1:13" s="886" customFormat="1" ht="21.3">
      <c r="A337" s="1482"/>
      <c r="M337" s="1342"/>
    </row>
    <row r="338" spans="1:13" s="886" customFormat="1" ht="21.3">
      <c r="A338" s="1482"/>
      <c r="M338" s="1342"/>
    </row>
    <row r="339" spans="1:13" s="886" customFormat="1" ht="21.3">
      <c r="A339" s="1482"/>
      <c r="M339" s="1342"/>
    </row>
    <row r="340" spans="1:13" s="886" customFormat="1" ht="21.3">
      <c r="A340" s="1482"/>
      <c r="M340" s="1342"/>
    </row>
    <row r="341" spans="1:13" s="886" customFormat="1" ht="21.3">
      <c r="A341" s="1482"/>
      <c r="M341" s="1342"/>
    </row>
    <row r="342" spans="1:13" s="886" customFormat="1" ht="21.3">
      <c r="A342" s="1482"/>
      <c r="M342" s="1342"/>
    </row>
    <row r="343" spans="1:13" s="886" customFormat="1" ht="21.3">
      <c r="A343" s="1482"/>
      <c r="M343" s="1342"/>
    </row>
    <row r="344" spans="1:13" s="886" customFormat="1" ht="21.3">
      <c r="A344" s="1482"/>
      <c r="M344" s="1342"/>
    </row>
    <row r="345" spans="1:13" s="886" customFormat="1" ht="21.3">
      <c r="A345" s="1482"/>
      <c r="M345" s="1342"/>
    </row>
    <row r="346" spans="1:13" s="886" customFormat="1" ht="21.3">
      <c r="A346" s="1482"/>
      <c r="M346" s="1342"/>
    </row>
    <row r="347" spans="1:13" s="886" customFormat="1" ht="21.3">
      <c r="A347" s="1482"/>
      <c r="M347" s="1342"/>
    </row>
    <row r="348" spans="1:13" s="886" customFormat="1" ht="21.3">
      <c r="A348" s="1482"/>
      <c r="M348" s="1342"/>
    </row>
    <row r="349" spans="1:13">
      <c r="A349" s="1482"/>
      <c r="B349" s="886"/>
      <c r="C349" s="886"/>
      <c r="D349" s="886"/>
      <c r="E349" s="886"/>
      <c r="F349" s="886"/>
      <c r="G349" s="886"/>
      <c r="H349" s="886"/>
      <c r="I349" s="886"/>
      <c r="J349" s="886"/>
      <c r="K349" s="886"/>
      <c r="L349" s="886"/>
    </row>
    <row r="350" spans="1:13">
      <c r="A350" s="1482"/>
      <c r="B350" s="886"/>
      <c r="C350" s="886"/>
      <c r="D350" s="886"/>
      <c r="E350" s="886"/>
      <c r="F350" s="886"/>
      <c r="G350" s="886"/>
      <c r="H350" s="886"/>
      <c r="I350" s="886"/>
      <c r="J350" s="886"/>
      <c r="K350" s="886"/>
      <c r="L350" s="886"/>
    </row>
    <row r="351" spans="1:13">
      <c r="A351" s="1482"/>
      <c r="B351" s="886"/>
      <c r="C351" s="886"/>
      <c r="D351" s="886"/>
      <c r="E351" s="886"/>
      <c r="F351" s="886"/>
      <c r="G351" s="886"/>
      <c r="H351" s="886"/>
      <c r="I351" s="886"/>
      <c r="J351" s="886"/>
      <c r="K351" s="886"/>
      <c r="L351" s="886"/>
    </row>
    <row r="358" spans="2:2">
      <c r="B358" s="1488"/>
    </row>
    <row r="359" spans="2:2">
      <c r="B359" s="1488"/>
    </row>
  </sheetData>
  <mergeCells count="22">
    <mergeCell ref="B113:D113"/>
    <mergeCell ref="L7:L8"/>
    <mergeCell ref="A9:A10"/>
    <mergeCell ref="B9:D10"/>
    <mergeCell ref="E9:E10"/>
    <mergeCell ref="F9:F10"/>
    <mergeCell ref="G9:H9"/>
    <mergeCell ref="I9:J9"/>
    <mergeCell ref="L9:L10"/>
    <mergeCell ref="B35:D35"/>
    <mergeCell ref="B44:D44"/>
    <mergeCell ref="B69:D69"/>
    <mergeCell ref="B84:D84"/>
    <mergeCell ref="B96:D96"/>
    <mergeCell ref="B288:D288"/>
    <mergeCell ref="B323:D323"/>
    <mergeCell ref="B122:D122"/>
    <mergeCell ref="B146:D146"/>
    <mergeCell ref="B164:D164"/>
    <mergeCell ref="B189:D189"/>
    <mergeCell ref="B214:D214"/>
    <mergeCell ref="B222:D222"/>
  </mergeCells>
  <conditionalFormatting sqref="A66:D66 F66:L66 A45:L62 A67:L68 A64:L65 A69 E69:L69">
    <cfRule type="expression" dxfId="1164" priority="42">
      <formula>SUMPRODUCT(--(ROW()=$O$12:$O$23))&gt;0</formula>
    </cfRule>
  </conditionalFormatting>
  <conditionalFormatting sqref="B24">
    <cfRule type="expression" dxfId="1163" priority="41">
      <formula>SUMPRODUCT(--(ROW()=$O$12:$O$23))&gt;0</formula>
    </cfRule>
  </conditionalFormatting>
  <conditionalFormatting sqref="A221:L221 A220:G220 I220 L220 A178:L181">
    <cfRule type="expression" dxfId="1162" priority="40">
      <formula>SUMPRODUCT(--(ROW()=$O$12:$O$23))&gt;0</formula>
    </cfRule>
  </conditionalFormatting>
  <conditionalFormatting sqref="A172:L172 A173:A177 G173:L174 G176:L177 L175">
    <cfRule type="expression" dxfId="1161" priority="39">
      <formula>SUMPRODUCT(--(ROW()=$O$12:$O$23))&gt;0</formula>
    </cfRule>
  </conditionalFormatting>
  <conditionalFormatting sqref="A151:L151 A154:L154 A161:L161 L152:L153 L155:L160 A162:F162 L149:L150 A163:J163 L162:L163 A155:F160 A149:F150 A152:F153">
    <cfRule type="expression" dxfId="1160" priority="38">
      <formula>SUMPRODUCT(--(ROW()=$O$12:$O$23))&gt;0</formula>
    </cfRule>
  </conditionalFormatting>
  <conditionalFormatting sqref="G155:G160">
    <cfRule type="expression" dxfId="1159" priority="37">
      <formula>SUMPRODUCT(--(ROW()=$O$12:$O$23))&gt;0</formula>
    </cfRule>
  </conditionalFormatting>
  <conditionalFormatting sqref="I155:I160">
    <cfRule type="expression" dxfId="1158" priority="36">
      <formula>SUMPRODUCT(--(ROW()=$O$12:$O$23))&gt;0</formula>
    </cfRule>
  </conditionalFormatting>
  <conditionalFormatting sqref="G162">
    <cfRule type="expression" dxfId="1157" priority="35">
      <formula>SUMPRODUCT(--(ROW()=$O$12:$O$23))&gt;0</formula>
    </cfRule>
  </conditionalFormatting>
  <conditionalFormatting sqref="I162">
    <cfRule type="expression" dxfId="1156" priority="34">
      <formula>SUMPRODUCT(--(ROW()=$O$12:$O$23))&gt;0</formula>
    </cfRule>
  </conditionalFormatting>
  <conditionalFormatting sqref="G99:G102">
    <cfRule type="expression" dxfId="1155" priority="33">
      <formula>SUMPRODUCT(--(ROW()=$O$12:$O$23))&gt;0</formula>
    </cfRule>
  </conditionalFormatting>
  <conditionalFormatting sqref="A63:L63">
    <cfRule type="expression" dxfId="1154" priority="32">
      <formula>SUMPRODUCT(--(ROW()=$O$12:$O$23))&gt;0</formula>
    </cfRule>
  </conditionalFormatting>
  <conditionalFormatting sqref="B225">
    <cfRule type="expression" dxfId="1153" priority="31">
      <formula>SUMPRODUCT(--(ROW()=$O$12:$O$22))&gt;0</formula>
    </cfRule>
  </conditionalFormatting>
  <conditionalFormatting sqref="B226:B227 B232">
    <cfRule type="expression" dxfId="1152" priority="30">
      <formula>SUMPRODUCT(--(ROW()=$O$12:$O$22))&gt;0</formula>
    </cfRule>
  </conditionalFormatting>
  <conditionalFormatting sqref="B234:B238">
    <cfRule type="expression" dxfId="1151" priority="29">
      <formula>SUMPRODUCT(--(ROW()=$O$12:$O$22))&gt;0</formula>
    </cfRule>
  </conditionalFormatting>
  <conditionalFormatting sqref="B233">
    <cfRule type="expression" dxfId="1150" priority="28">
      <formula>SUMPRODUCT(--(ROW()=$O$12:$O$22))&gt;0</formula>
    </cfRule>
  </conditionalFormatting>
  <conditionalFormatting sqref="B228">
    <cfRule type="expression" dxfId="1149" priority="27">
      <formula>SUMPRODUCT(--(ROW()=$O$12:$O$22))&gt;0</formula>
    </cfRule>
  </conditionalFormatting>
  <conditionalFormatting sqref="B230:B231">
    <cfRule type="expression" dxfId="1148" priority="26">
      <formula>SUMPRODUCT(--(ROW()=$O$12:$O$22))&gt;0</formula>
    </cfRule>
  </conditionalFormatting>
  <conditionalFormatting sqref="B229">
    <cfRule type="expression" dxfId="1147" priority="25">
      <formula>SUMPRODUCT(--(ROW()=$O$12:$O$22))&gt;0</formula>
    </cfRule>
  </conditionalFormatting>
  <conditionalFormatting sqref="B240 B242:B243">
    <cfRule type="expression" dxfId="1146" priority="24">
      <formula>SUMPRODUCT(--(ROW()=$O$12:$O$22))&gt;0</formula>
    </cfRule>
  </conditionalFormatting>
  <conditionalFormatting sqref="B241">
    <cfRule type="expression" dxfId="1145" priority="23">
      <formula>SUMPRODUCT(--(ROW()=$O$12:$O$22))&gt;0</formula>
    </cfRule>
  </conditionalFormatting>
  <conditionalFormatting sqref="B245">
    <cfRule type="expression" dxfId="1144" priority="22">
      <formula>SUMPRODUCT(--(ROW()=$O$12:$O$22))&gt;0</formula>
    </cfRule>
  </conditionalFormatting>
  <conditionalFormatting sqref="A127:F131">
    <cfRule type="expression" dxfId="1143" priority="21">
      <formula>SUMPRODUCT(--(ROW()=$O$12:$O$22))&gt;0</formula>
    </cfRule>
  </conditionalFormatting>
  <conditionalFormatting sqref="G129:G131">
    <cfRule type="expression" dxfId="1142" priority="20">
      <formula>SUMPRODUCT(--(ROW()=$O$12:$O$22))&gt;0</formula>
    </cfRule>
  </conditionalFormatting>
  <conditionalFormatting sqref="I129:I131">
    <cfRule type="expression" dxfId="1141" priority="19">
      <formula>SUMPRODUCT(--(ROW()=$O$12:$O$22))&gt;0</formula>
    </cfRule>
  </conditionalFormatting>
  <conditionalFormatting sqref="B257:B262 B269:B275">
    <cfRule type="expression" dxfId="1140" priority="18">
      <formula>SUMPRODUCT(--(ROW()=$O$12:$O$22))&gt;0</formula>
    </cfRule>
  </conditionalFormatting>
  <conditionalFormatting sqref="B280">
    <cfRule type="expression" dxfId="1139" priority="17">
      <formula>SUMPRODUCT(--(ROW()=$O$12:$O$22))&gt;0</formula>
    </cfRule>
  </conditionalFormatting>
  <conditionalFormatting sqref="B281:B282">
    <cfRule type="expression" dxfId="1138" priority="16">
      <formula>SUMPRODUCT(--(ROW()=$O$12:$O$22))&gt;0</formula>
    </cfRule>
  </conditionalFormatting>
  <conditionalFormatting sqref="B263:B268">
    <cfRule type="expression" dxfId="1137" priority="15">
      <formula>SUMPRODUCT(--(ROW()=$O$12:$O$22))&gt;0</formula>
    </cfRule>
  </conditionalFormatting>
  <conditionalFormatting sqref="B284">
    <cfRule type="expression" dxfId="1136" priority="14">
      <formula>SUMPRODUCT(--(ROW()=$O$12:$O$22))&gt;0</formula>
    </cfRule>
  </conditionalFormatting>
  <conditionalFormatting sqref="B277">
    <cfRule type="expression" dxfId="1135" priority="13">
      <formula>SUMPRODUCT(--(ROW()=$O$12:$O$22))&gt;0</formula>
    </cfRule>
  </conditionalFormatting>
  <conditionalFormatting sqref="B278:B279">
    <cfRule type="expression" dxfId="1134" priority="12">
      <formula>SUMPRODUCT(--(ROW()=$O$12:$O$22))&gt;0</formula>
    </cfRule>
  </conditionalFormatting>
  <conditionalFormatting sqref="B173:F174 B175:E175">
    <cfRule type="expression" dxfId="1133" priority="11">
      <formula>SUMPRODUCT(--(ROW()=$O$12:$O$22))&gt;0</formula>
    </cfRule>
  </conditionalFormatting>
  <conditionalFormatting sqref="A44 E44:L44">
    <cfRule type="expression" dxfId="1132" priority="9">
      <formula>SUMPRODUCT(--(ROW()=$O$12:$O$23))&gt;0</formula>
    </cfRule>
  </conditionalFormatting>
  <conditionalFormatting sqref="G40:K40 H41 J41:K41">
    <cfRule type="expression" dxfId="1131" priority="5">
      <formula>SUMPRODUCT(--(ROW()=$O$12:$O$23))&gt;0</formula>
    </cfRule>
  </conditionalFormatting>
  <conditionalFormatting sqref="E38:E43">
    <cfRule type="expression" dxfId="1130" priority="10">
      <formula>SUMPRODUCT(--(ROW()=$O$12:$O$23))&gt;0</formula>
    </cfRule>
  </conditionalFormatting>
  <conditionalFormatting sqref="G39">
    <cfRule type="expression" dxfId="1129" priority="8">
      <formula>SUMPRODUCT(--(ROW()=$O$12:$O$23))&gt;0</formula>
    </cfRule>
  </conditionalFormatting>
  <conditionalFormatting sqref="G38:K38">
    <cfRule type="expression" dxfId="1128" priority="7">
      <formula>SUMPRODUCT(--(ROW()=$O$12:$O$23))&gt;0</formula>
    </cfRule>
  </conditionalFormatting>
  <conditionalFormatting sqref="H39:K39">
    <cfRule type="expression" dxfId="1127" priority="6">
      <formula>SUMPRODUCT(--(ROW()=$O$12:$O$23))&gt;0</formula>
    </cfRule>
  </conditionalFormatting>
  <conditionalFormatting sqref="F175">
    <cfRule type="expression" dxfId="1126" priority="3">
      <formula>SUMPRODUCT(--(ROW()=$O$12:$O$22))&gt;0</formula>
    </cfRule>
  </conditionalFormatting>
  <conditionalFormatting sqref="G175">
    <cfRule type="expression" dxfId="1125" priority="4">
      <formula>SUMPRODUCT(--(ROW()=$O$14:$O$24))&gt;0</formula>
    </cfRule>
  </conditionalFormatting>
  <conditionalFormatting sqref="B285:B287">
    <cfRule type="expression" dxfId="1124" priority="2">
      <formula>SUMPRODUCT(--(ROW()=$O$12:$O$22))&gt;0</formula>
    </cfRule>
  </conditionalFormatting>
  <conditionalFormatting sqref="H138">
    <cfRule type="expression" dxfId="1123" priority="1">
      <formula>SUMPRODUCT(--(ROW()=$O$14:$O$24))&gt;0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1-อาคารสนับนุน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BA1CB-5865-422D-B8F9-79540AEF2760}">
  <sheetPr>
    <tabColor rgb="FF92D050"/>
  </sheetPr>
  <dimension ref="A1:P303"/>
  <sheetViews>
    <sheetView showGridLines="0" tabSelected="1" view="pageBreakPreview" topLeftCell="A289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1489" customWidth="1"/>
    <col min="2" max="3" width="7.29296875" style="952" customWidth="1"/>
    <col min="4" max="4" width="56.703125" style="952" customWidth="1"/>
    <col min="5" max="5" width="14.703125" style="952" customWidth="1"/>
    <col min="6" max="6" width="10.703125" style="952" customWidth="1"/>
    <col min="7" max="7" width="14.703125" style="952" customWidth="1"/>
    <col min="8" max="8" width="18.703125" style="952" customWidth="1"/>
    <col min="9" max="9" width="14.703125" style="952" customWidth="1"/>
    <col min="10" max="10" width="18.703125" style="952" customWidth="1"/>
    <col min="11" max="11" width="20.703125" style="952" customWidth="1"/>
    <col min="12" max="12" width="24.41015625" style="952" customWidth="1"/>
    <col min="13" max="13" width="7.703125" style="1430" customWidth="1"/>
    <col min="14" max="14" width="19.29296875" style="952" customWidth="1"/>
    <col min="15" max="15" width="10.29296875" style="952" customWidth="1"/>
    <col min="16" max="16384" width="9" style="952"/>
  </cols>
  <sheetData>
    <row r="1" spans="1:15" ht="35.1" customHeight="1">
      <c r="A1" s="1428"/>
      <c r="B1" s="1428"/>
      <c r="C1" s="46"/>
      <c r="D1" s="46"/>
      <c r="E1" s="46"/>
      <c r="F1" s="1429" t="s">
        <v>0</v>
      </c>
      <c r="G1" s="733"/>
      <c r="H1" s="733"/>
      <c r="I1" s="733"/>
      <c r="J1" s="735" t="s">
        <v>1</v>
      </c>
      <c r="K1" s="736"/>
      <c r="L1" s="733"/>
    </row>
    <row r="2" spans="1:15" ht="25.15" customHeight="1">
      <c r="A2" s="1431" t="s">
        <v>2</v>
      </c>
      <c r="B2" s="1432"/>
      <c r="C2" s="11"/>
      <c r="D2" s="11" t="s">
        <v>1900</v>
      </c>
      <c r="E2" s="11"/>
      <c r="F2" s="737"/>
      <c r="G2" s="737"/>
      <c r="H2" s="737"/>
      <c r="I2" s="737"/>
      <c r="J2" s="737"/>
      <c r="K2" s="737"/>
      <c r="L2" s="1433"/>
    </row>
    <row r="3" spans="1:15" ht="25.15" customHeight="1">
      <c r="A3" s="1434" t="s">
        <v>22</v>
      </c>
      <c r="B3" s="5"/>
      <c r="C3" s="47"/>
      <c r="D3" s="1435"/>
      <c r="E3" s="47"/>
      <c r="F3" s="739"/>
      <c r="G3" s="739"/>
      <c r="H3" s="739"/>
      <c r="I3" s="739"/>
      <c r="J3" s="740"/>
      <c r="K3" s="739"/>
      <c r="L3" s="1436"/>
    </row>
    <row r="4" spans="1:15" ht="25.15" customHeight="1">
      <c r="A4" s="1434"/>
      <c r="B4" s="5"/>
      <c r="C4" s="47"/>
      <c r="D4" s="41" t="s">
        <v>2970</v>
      </c>
      <c r="E4" s="47"/>
      <c r="F4" s="739"/>
      <c r="G4" s="739"/>
      <c r="H4" s="739"/>
      <c r="I4" s="739"/>
      <c r="J4" s="740"/>
      <c r="K4" s="739"/>
      <c r="L4" s="1436"/>
    </row>
    <row r="5" spans="1:15" ht="25.15" customHeight="1">
      <c r="A5" s="1434" t="s">
        <v>3</v>
      </c>
      <c r="B5" s="1432"/>
      <c r="C5" s="11"/>
      <c r="D5" s="1435" t="s">
        <v>21</v>
      </c>
      <c r="E5" s="736"/>
      <c r="F5" s="737"/>
      <c r="G5" s="741" t="s">
        <v>4</v>
      </c>
      <c r="H5" s="742"/>
      <c r="I5" s="739"/>
      <c r="J5" s="740"/>
      <c r="K5" s="743"/>
      <c r="L5" s="1436"/>
    </row>
    <row r="6" spans="1:15" ht="25.15" customHeight="1">
      <c r="A6" s="5" t="s">
        <v>20</v>
      </c>
      <c r="B6" s="5"/>
      <c r="C6" s="47"/>
      <c r="D6" s="49"/>
      <c r="E6" s="47"/>
      <c r="F6" s="739"/>
      <c r="G6" s="744"/>
      <c r="H6" s="739"/>
      <c r="I6" s="739"/>
      <c r="J6" s="739"/>
      <c r="K6" s="739"/>
      <c r="L6" s="743"/>
    </row>
    <row r="7" spans="1:15" ht="25.15" customHeight="1">
      <c r="A7" s="744" t="s">
        <v>26</v>
      </c>
      <c r="B7" s="20"/>
      <c r="C7" s="20"/>
      <c r="D7" s="21"/>
      <c r="E7" s="20"/>
      <c r="F7" s="1437" t="s">
        <v>5</v>
      </c>
      <c r="G7" s="1438"/>
      <c r="H7" s="1438" t="s">
        <v>6</v>
      </c>
      <c r="I7" s="1439"/>
      <c r="J7" s="744" t="s">
        <v>23</v>
      </c>
      <c r="K7" s="20"/>
      <c r="L7" s="2492" t="s">
        <v>7</v>
      </c>
    </row>
    <row r="8" spans="1:15" ht="10.15" customHeight="1">
      <c r="A8" s="4"/>
      <c r="B8" s="1440"/>
      <c r="C8" s="1440"/>
      <c r="D8" s="25"/>
      <c r="E8" s="25"/>
      <c r="F8" s="1441"/>
      <c r="G8" s="1441"/>
      <c r="H8" s="1442"/>
      <c r="I8" s="1442"/>
      <c r="J8" s="1442"/>
      <c r="K8" s="1441"/>
      <c r="L8" s="2493"/>
    </row>
    <row r="9" spans="1:15" s="1444" customFormat="1" ht="24" customHeight="1">
      <c r="A9" s="2494" t="s">
        <v>8</v>
      </c>
      <c r="B9" s="2496" t="s">
        <v>9</v>
      </c>
      <c r="C9" s="2497"/>
      <c r="D9" s="2497"/>
      <c r="E9" s="2500" t="s">
        <v>10</v>
      </c>
      <c r="F9" s="2502" t="s">
        <v>11</v>
      </c>
      <c r="G9" s="2504" t="s">
        <v>12</v>
      </c>
      <c r="H9" s="2505"/>
      <c r="I9" s="2506" t="s">
        <v>13</v>
      </c>
      <c r="J9" s="2474"/>
      <c r="K9" s="2263" t="s">
        <v>14</v>
      </c>
      <c r="L9" s="2507" t="s">
        <v>15</v>
      </c>
      <c r="M9" s="1443"/>
    </row>
    <row r="10" spans="1:15" s="1444" customFormat="1" ht="24" customHeight="1">
      <c r="A10" s="2495"/>
      <c r="B10" s="2498"/>
      <c r="C10" s="2499"/>
      <c r="D10" s="2499"/>
      <c r="E10" s="2501"/>
      <c r="F10" s="2503"/>
      <c r="G10" s="1445" t="s">
        <v>16</v>
      </c>
      <c r="H10" s="2262" t="s">
        <v>17</v>
      </c>
      <c r="I10" s="1446" t="s">
        <v>16</v>
      </c>
      <c r="J10" s="2262" t="s">
        <v>17</v>
      </c>
      <c r="K10" s="1447" t="s">
        <v>18</v>
      </c>
      <c r="L10" s="2508"/>
      <c r="M10" s="1443"/>
    </row>
    <row r="11" spans="1:15" ht="24" customHeight="1">
      <c r="A11" s="1143" t="s">
        <v>244</v>
      </c>
      <c r="B11" s="1144" t="s">
        <v>2259</v>
      </c>
      <c r="C11" s="1448"/>
      <c r="D11" s="1449"/>
      <c r="E11" s="1450"/>
      <c r="F11" s="1451"/>
      <c r="G11" s="1490"/>
      <c r="H11" s="746"/>
      <c r="I11" s="1454"/>
      <c r="J11" s="1455"/>
      <c r="K11" s="1456"/>
      <c r="L11" s="1456"/>
    </row>
    <row r="12" spans="1:15" ht="24" customHeight="1">
      <c r="A12" s="1505">
        <f>A36</f>
        <v>7.1</v>
      </c>
      <c r="B12" s="1506" t="str">
        <f>B36</f>
        <v>เครื่องส่งลมเย็นแบบ Pre-Cooled Outdoor Air unit</v>
      </c>
      <c r="C12" s="1448"/>
      <c r="D12" s="1449"/>
      <c r="E12" s="1458">
        <v>1</v>
      </c>
      <c r="F12" s="1459" t="s">
        <v>19</v>
      </c>
      <c r="G12" s="1490"/>
      <c r="H12" s="746">
        <f>H47</f>
        <v>942500</v>
      </c>
      <c r="I12" s="1454"/>
      <c r="J12" s="1455">
        <f>J47</f>
        <v>13631</v>
      </c>
      <c r="K12" s="1022">
        <f>SUM(H12:J12)</f>
        <v>956131</v>
      </c>
      <c r="L12" s="1081"/>
    </row>
    <row r="13" spans="1:15" ht="24" customHeight="1">
      <c r="A13" s="1505" t="str">
        <f>A48</f>
        <v>7.2</v>
      </c>
      <c r="B13" s="1506" t="str">
        <f>B48</f>
        <v>เครื่องส่งลมเย็นขนาดใหญ่ (Air Handling Unit)</v>
      </c>
      <c r="C13" s="1448"/>
      <c r="D13" s="1449"/>
      <c r="E13" s="1458">
        <v>1</v>
      </c>
      <c r="F13" s="1459" t="s">
        <v>19</v>
      </c>
      <c r="G13" s="1490"/>
      <c r="H13" s="746">
        <f>H76</f>
        <v>3985000</v>
      </c>
      <c r="I13" s="1454"/>
      <c r="J13" s="1455">
        <f>J76</f>
        <v>433300</v>
      </c>
      <c r="K13" s="1022">
        <f>SUM(H13:J13)</f>
        <v>4418300</v>
      </c>
      <c r="L13" s="1081"/>
    </row>
    <row r="14" spans="1:15" s="886" customFormat="1" ht="24" customHeight="1">
      <c r="A14" s="1505">
        <f>A77</f>
        <v>7.3</v>
      </c>
      <c r="B14" s="1331" t="str">
        <f>B77</f>
        <v>เครื่องส่งลมเย็นขนาดเล็ก (Fan Coil Unit)</v>
      </c>
      <c r="C14" s="1282"/>
      <c r="D14" s="1457"/>
      <c r="E14" s="1458">
        <v>1</v>
      </c>
      <c r="F14" s="1459" t="s">
        <v>19</v>
      </c>
      <c r="G14" s="1460"/>
      <c r="H14" s="751">
        <f>H85</f>
        <v>47200</v>
      </c>
      <c r="I14" s="1392"/>
      <c r="J14" s="1393">
        <f>J85</f>
        <v>5400</v>
      </c>
      <c r="K14" s="1022">
        <f>SUM(H14:J14)</f>
        <v>52600</v>
      </c>
      <c r="L14" s="885"/>
      <c r="M14" s="1342"/>
      <c r="N14" s="886" t="str">
        <f>"รวมราคารายการที่ "&amp;A14</f>
        <v>รวมราคารายการที่ 7.3</v>
      </c>
      <c r="O14" s="1461">
        <f t="array" ref="O14">MAX(IF($B$48:$B$303=N14,ROW($B$48:$B$303)))</f>
        <v>85</v>
      </c>
    </row>
    <row r="15" spans="1:15" s="886" customFormat="1" ht="24" customHeight="1">
      <c r="A15" s="1505">
        <f>A86</f>
        <v>7.4</v>
      </c>
      <c r="B15" s="1331" t="str">
        <f>B86</f>
        <v>อุปกรณ์ควบคุมอัตโนมัติ (Automatic Control Equipment)</v>
      </c>
      <c r="C15" s="1463"/>
      <c r="D15" s="1464"/>
      <c r="E15" s="1458">
        <v>1</v>
      </c>
      <c r="F15" s="1465" t="s">
        <v>19</v>
      </c>
      <c r="G15" s="1466"/>
      <c r="H15" s="751">
        <f>H96</f>
        <v>202854</v>
      </c>
      <c r="I15" s="1398"/>
      <c r="J15" s="1393">
        <f>J96</f>
        <v>5550</v>
      </c>
      <c r="K15" s="1022">
        <f t="shared" ref="K15:K24" si="0">SUM(H15:J15)</f>
        <v>208404</v>
      </c>
      <c r="L15" s="1507"/>
      <c r="M15" s="1342"/>
      <c r="N15" s="886" t="str">
        <f t="shared" ref="N15:N25" si="1">"รวมราคารายการที่ "&amp;A15</f>
        <v>รวมราคารายการที่ 7.4</v>
      </c>
      <c r="O15" s="1461">
        <f t="array" ref="O15">MAX(IF($B$48:$B$303=N15,ROW($B$48:$B$303)))</f>
        <v>96</v>
      </c>
    </row>
    <row r="16" spans="1:15" s="886" customFormat="1" ht="24" customHeight="1">
      <c r="A16" s="1505">
        <f>A97</f>
        <v>7.5</v>
      </c>
      <c r="B16" s="1331" t="str">
        <f>B97</f>
        <v>พัดลมระบายอากาศ (Ventilating Fan)</v>
      </c>
      <c r="C16" s="1282"/>
      <c r="D16" s="1457"/>
      <c r="E16" s="1458">
        <v>1</v>
      </c>
      <c r="F16" s="1459" t="s">
        <v>19</v>
      </c>
      <c r="G16" s="1460"/>
      <c r="H16" s="751">
        <f>H110</f>
        <v>70360</v>
      </c>
      <c r="I16" s="1392"/>
      <c r="J16" s="1393">
        <f>J110</f>
        <v>5800</v>
      </c>
      <c r="K16" s="1022">
        <f t="shared" si="0"/>
        <v>76160</v>
      </c>
      <c r="L16" s="885"/>
      <c r="M16" s="1342"/>
      <c r="N16" s="886" t="str">
        <f t="shared" si="1"/>
        <v>รวมราคารายการที่ 7.5</v>
      </c>
      <c r="O16" s="1461">
        <f t="array" ref="O16">MAX(IF($B$48:$B$303=N16,ROW($B$48:$B$303)))</f>
        <v>110</v>
      </c>
    </row>
    <row r="17" spans="1:15" s="886" customFormat="1" ht="24" customHeight="1">
      <c r="A17" s="1505" t="str">
        <f>A111</f>
        <v>7.6</v>
      </c>
      <c r="B17" s="1331" t="str">
        <f>B111</f>
        <v>ระบบกรองอากาศ (Air Filtration System)</v>
      </c>
      <c r="C17" s="1282"/>
      <c r="D17" s="1457"/>
      <c r="E17" s="1458">
        <v>1</v>
      </c>
      <c r="F17" s="1459" t="s">
        <v>19</v>
      </c>
      <c r="G17" s="1460"/>
      <c r="H17" s="751">
        <f>H118</f>
        <v>19400</v>
      </c>
      <c r="I17" s="1392"/>
      <c r="J17" s="1393">
        <f>J118</f>
        <v>3350</v>
      </c>
      <c r="K17" s="1022">
        <f t="shared" si="0"/>
        <v>22750</v>
      </c>
      <c r="L17" s="885"/>
      <c r="M17" s="1342"/>
      <c r="N17" s="886" t="str">
        <f t="shared" si="1"/>
        <v>รวมราคารายการที่ 7.6</v>
      </c>
      <c r="O17" s="1461">
        <f t="array" ref="O17">MAX(IF($B$48:$B$303=N17,ROW($B$48:$B$303)))</f>
        <v>118</v>
      </c>
    </row>
    <row r="18" spans="1:15" s="886" customFormat="1" ht="24" customHeight="1">
      <c r="A18" s="1505" t="str">
        <f>A119</f>
        <v>7.7</v>
      </c>
      <c r="B18" s="1331" t="str">
        <f>B119</f>
        <v>งานท่อ (Piping Work)</v>
      </c>
      <c r="C18" s="1282"/>
      <c r="D18" s="1457"/>
      <c r="E18" s="1458">
        <v>1</v>
      </c>
      <c r="F18" s="1459" t="s">
        <v>19</v>
      </c>
      <c r="G18" s="1460"/>
      <c r="H18" s="751">
        <f>H142</f>
        <v>435150</v>
      </c>
      <c r="I18" s="1392"/>
      <c r="J18" s="1393">
        <f>J142</f>
        <v>185506</v>
      </c>
      <c r="K18" s="1022">
        <f t="shared" si="0"/>
        <v>620656</v>
      </c>
      <c r="L18" s="885"/>
      <c r="M18" s="1342"/>
      <c r="N18" s="886" t="str">
        <f t="shared" si="1"/>
        <v>รวมราคารายการที่ 7.7</v>
      </c>
      <c r="O18" s="1461">
        <f t="array" ref="O18">MAX(IF($B$48:$B$303=N18,ROW($B$48:$B$303)))</f>
        <v>142</v>
      </c>
    </row>
    <row r="19" spans="1:15" s="886" customFormat="1" ht="24" customHeight="1">
      <c r="A19" s="1508" t="str">
        <f>A143</f>
        <v>7.8</v>
      </c>
      <c r="B19" s="1331" t="str">
        <f>B143</f>
        <v>ฉนวนหุ้มท่อ (Pipe Insulation)</v>
      </c>
      <c r="C19" s="1282"/>
      <c r="D19" s="1457"/>
      <c r="E19" s="1458">
        <v>1</v>
      </c>
      <c r="F19" s="1459" t="s">
        <v>19</v>
      </c>
      <c r="G19" s="1460"/>
      <c r="H19" s="751">
        <f>H160</f>
        <v>175959</v>
      </c>
      <c r="I19" s="1392"/>
      <c r="J19" s="1393">
        <f>J160</f>
        <v>49719</v>
      </c>
      <c r="K19" s="1022">
        <f t="shared" si="0"/>
        <v>225678</v>
      </c>
      <c r="L19" s="885"/>
      <c r="M19" s="1342"/>
      <c r="N19" s="886" t="str">
        <f t="shared" si="1"/>
        <v>รวมราคารายการที่ 7.8</v>
      </c>
      <c r="O19" s="1461">
        <f t="array" ref="O19">MAX(IF($B$48:$B$303=N19,ROW($B$48:$B$303)))</f>
        <v>160</v>
      </c>
    </row>
    <row r="20" spans="1:15" s="886" customFormat="1" ht="24" customHeight="1">
      <c r="A20" s="1505">
        <f>A161</f>
        <v>7.9</v>
      </c>
      <c r="B20" s="1331" t="str">
        <f>B161</f>
        <v>วาล์วและอุปกรณ์ประกอบ  (Valve &amp; Pipe Accessories)</v>
      </c>
      <c r="C20" s="1469"/>
      <c r="D20" s="1470"/>
      <c r="E20" s="1458">
        <v>1</v>
      </c>
      <c r="F20" s="1459" t="s">
        <v>19</v>
      </c>
      <c r="G20" s="1472"/>
      <c r="H20" s="751">
        <f>H185</f>
        <v>187312</v>
      </c>
      <c r="I20" s="1400"/>
      <c r="J20" s="1393">
        <f>J185</f>
        <v>26850</v>
      </c>
      <c r="K20" s="1022">
        <f t="shared" si="0"/>
        <v>214162</v>
      </c>
      <c r="L20" s="1473"/>
      <c r="M20" s="1342"/>
      <c r="N20" s="886" t="str">
        <f t="shared" si="1"/>
        <v>รวมราคารายการที่ 7.9</v>
      </c>
      <c r="O20" s="1461">
        <f t="array" ref="O20">MAX(IF($B$48:$B$303=N20,ROW($B$48:$B$303)))</f>
        <v>185</v>
      </c>
    </row>
    <row r="21" spans="1:15" s="886" customFormat="1" ht="24" customHeight="1">
      <c r="A21" s="1505" t="str">
        <f>A186</f>
        <v>7.10</v>
      </c>
      <c r="B21" s="1331" t="str">
        <f>B186</f>
        <v>ระบบท่อลม (Duct Work)</v>
      </c>
      <c r="C21" s="1282"/>
      <c r="D21" s="1457"/>
      <c r="E21" s="1458">
        <v>1</v>
      </c>
      <c r="F21" s="1459" t="s">
        <v>19</v>
      </c>
      <c r="G21" s="1460"/>
      <c r="H21" s="751">
        <f>H210</f>
        <v>1028758</v>
      </c>
      <c r="I21" s="1392"/>
      <c r="J21" s="1393">
        <f>J210</f>
        <v>624826</v>
      </c>
      <c r="K21" s="1022">
        <f t="shared" si="0"/>
        <v>1653584</v>
      </c>
      <c r="L21" s="885"/>
      <c r="M21" s="1342"/>
      <c r="N21" s="886" t="str">
        <f t="shared" si="1"/>
        <v>รวมราคารายการที่ 7.10</v>
      </c>
      <c r="O21" s="1461">
        <f t="array" ref="O21">MAX(IF($B$48:$B$303=N21,ROW($B$48:$B$303)))</f>
        <v>210</v>
      </c>
    </row>
    <row r="22" spans="1:15" s="886" customFormat="1" ht="24" customHeight="1">
      <c r="A22" s="1505" t="str">
        <f>A211</f>
        <v>7.11</v>
      </c>
      <c r="B22" s="1331" t="str">
        <f>B211</f>
        <v>ฉนวนหุ้มท่อลม (Duct Insulation)</v>
      </c>
      <c r="C22" s="1282"/>
      <c r="D22" s="1457"/>
      <c r="E22" s="1458">
        <v>1</v>
      </c>
      <c r="F22" s="1459" t="s">
        <v>19</v>
      </c>
      <c r="G22" s="1460"/>
      <c r="H22" s="751">
        <f>H217</f>
        <v>362276</v>
      </c>
      <c r="I22" s="1392"/>
      <c r="J22" s="1393">
        <f>J217</f>
        <v>115620</v>
      </c>
      <c r="K22" s="1022">
        <f t="shared" si="0"/>
        <v>477896</v>
      </c>
      <c r="L22" s="885"/>
      <c r="M22" s="1342"/>
      <c r="N22" s="886" t="str">
        <f t="shared" si="1"/>
        <v>รวมราคารายการที่ 7.11</v>
      </c>
      <c r="O22" s="1461">
        <f t="array" ref="O22">MAX(IF($B$48:$B$303=N22,ROW($B$48:$B$303)))</f>
        <v>217</v>
      </c>
    </row>
    <row r="23" spans="1:15" s="886" customFormat="1" ht="24" customHeight="1">
      <c r="A23" s="1505" t="str">
        <f>A218</f>
        <v>7.12</v>
      </c>
      <c r="B23" s="1331" t="str">
        <f>B218</f>
        <v>หน้ากากลม (Air Diffuser, Grille &amp; Register)</v>
      </c>
      <c r="C23" s="1282"/>
      <c r="D23" s="1457"/>
      <c r="E23" s="1458">
        <v>1</v>
      </c>
      <c r="F23" s="1459" t="s">
        <v>19</v>
      </c>
      <c r="G23" s="1460"/>
      <c r="H23" s="751">
        <f>H271</f>
        <v>787125</v>
      </c>
      <c r="I23" s="1392"/>
      <c r="J23" s="1393">
        <f>J271</f>
        <v>101725</v>
      </c>
      <c r="K23" s="1022">
        <f t="shared" si="0"/>
        <v>888850</v>
      </c>
      <c r="L23" s="885"/>
      <c r="M23" s="1342"/>
      <c r="N23" s="886" t="str">
        <f t="shared" si="1"/>
        <v>รวมราคารายการที่ 7.12</v>
      </c>
      <c r="O23" s="1461">
        <f t="array" ref="O23">MAX(IF($B$48:$B$303=N23,ROW($B$48:$B$303)))</f>
        <v>271</v>
      </c>
    </row>
    <row r="24" spans="1:15" s="886" customFormat="1" ht="24" customHeight="1">
      <c r="A24" s="1505" t="str">
        <f>A272</f>
        <v>7.13</v>
      </c>
      <c r="B24" s="1331" t="str">
        <f>B272</f>
        <v>ระบบไฟฟ้าและควบคุม (Electrical &amp; Control System)</v>
      </c>
      <c r="C24" s="1282"/>
      <c r="D24" s="1457"/>
      <c r="E24" s="1458">
        <v>1</v>
      </c>
      <c r="F24" s="1459" t="s">
        <v>19</v>
      </c>
      <c r="G24" s="1460"/>
      <c r="H24" s="751">
        <f>H303</f>
        <v>282758</v>
      </c>
      <c r="I24" s="1392"/>
      <c r="J24" s="1393">
        <f>J303</f>
        <v>44362</v>
      </c>
      <c r="K24" s="1022">
        <f t="shared" si="0"/>
        <v>327120</v>
      </c>
      <c r="L24" s="885"/>
      <c r="M24" s="1342"/>
      <c r="N24" s="886" t="str">
        <f t="shared" si="1"/>
        <v>รวมราคารายการที่ 7.13</v>
      </c>
      <c r="O24" s="1461">
        <f t="array" ref="O24">MAX(IF($B$48:$B$303=N24,ROW($B$48:$B$303)))</f>
        <v>303</v>
      </c>
    </row>
    <row r="25" spans="1:15" s="886" customFormat="1" ht="24" customHeight="1">
      <c r="A25" s="1505"/>
      <c r="B25" s="1331"/>
      <c r="C25" s="1282"/>
      <c r="D25" s="1457"/>
      <c r="E25" s="1458"/>
      <c r="F25" s="1459"/>
      <c r="G25" s="1460"/>
      <c r="H25" s="751"/>
      <c r="I25" s="1392"/>
      <c r="J25" s="1393"/>
      <c r="K25" s="1022"/>
      <c r="L25" s="885"/>
      <c r="M25" s="1342"/>
      <c r="N25" s="886" t="str">
        <f t="shared" si="1"/>
        <v xml:space="preserve">รวมราคารายการที่ </v>
      </c>
      <c r="O25" s="1461">
        <f t="array" ref="O25">MAX(IF($B$48:$B$303=N25,ROW($B$48:$B$303)))</f>
        <v>0</v>
      </c>
    </row>
    <row r="26" spans="1:15" s="886" customFormat="1" ht="24" customHeight="1">
      <c r="A26" s="1509"/>
      <c r="B26" s="1331"/>
      <c r="C26" s="1282"/>
      <c r="D26" s="1457"/>
      <c r="E26" s="1458"/>
      <c r="F26" s="1459"/>
      <c r="G26" s="1460"/>
      <c r="H26" s="751"/>
      <c r="I26" s="1392"/>
      <c r="J26" s="1393"/>
      <c r="K26" s="1022"/>
      <c r="L26" s="885"/>
      <c r="M26" s="1342"/>
    </row>
    <row r="27" spans="1:15" s="886" customFormat="1" ht="24" customHeight="1">
      <c r="A27" s="1474"/>
      <c r="B27" s="1331"/>
      <c r="C27" s="1282"/>
      <c r="D27" s="1457"/>
      <c r="E27" s="1458"/>
      <c r="F27" s="1459"/>
      <c r="G27" s="1460"/>
      <c r="H27" s="751"/>
      <c r="I27" s="1392"/>
      <c r="J27" s="1393"/>
      <c r="K27" s="1022"/>
      <c r="L27" s="885"/>
      <c r="M27" s="1342"/>
    </row>
    <row r="28" spans="1:15" s="886" customFormat="1" ht="24" customHeight="1">
      <c r="A28" s="1474"/>
      <c r="B28" s="1331"/>
      <c r="C28" s="1282"/>
      <c r="D28" s="1457"/>
      <c r="E28" s="1458"/>
      <c r="F28" s="1459"/>
      <c r="G28" s="1460"/>
      <c r="H28" s="751"/>
      <c r="I28" s="1392"/>
      <c r="J28" s="1393"/>
      <c r="K28" s="1022"/>
      <c r="L28" s="885"/>
      <c r="M28" s="1342"/>
    </row>
    <row r="29" spans="1:15" s="886" customFormat="1" ht="24" customHeight="1">
      <c r="A29" s="1474"/>
      <c r="B29" s="1331"/>
      <c r="C29" s="1282"/>
      <c r="D29" s="1457"/>
      <c r="E29" s="1458"/>
      <c r="F29" s="1459"/>
      <c r="G29" s="1460"/>
      <c r="H29" s="751"/>
      <c r="I29" s="1392"/>
      <c r="J29" s="1393"/>
      <c r="K29" s="1022"/>
      <c r="L29" s="885"/>
      <c r="M29" s="1342"/>
    </row>
    <row r="30" spans="1:15" s="886" customFormat="1" ht="24" customHeight="1">
      <c r="A30" s="1474"/>
      <c r="B30" s="1331"/>
      <c r="C30" s="1282"/>
      <c r="D30" s="1457"/>
      <c r="E30" s="1458"/>
      <c r="F30" s="1459"/>
      <c r="G30" s="1460"/>
      <c r="H30" s="751"/>
      <c r="I30" s="1392"/>
      <c r="J30" s="1393"/>
      <c r="K30" s="1022"/>
      <c r="L30" s="885"/>
      <c r="M30" s="1342"/>
    </row>
    <row r="31" spans="1:15" s="886" customFormat="1" ht="24" customHeight="1">
      <c r="A31" s="1474"/>
      <c r="B31" s="1331"/>
      <c r="C31" s="1282"/>
      <c r="D31" s="1457"/>
      <c r="E31" s="1458"/>
      <c r="F31" s="1459"/>
      <c r="G31" s="1460"/>
      <c r="H31" s="751"/>
      <c r="I31" s="1392"/>
      <c r="J31" s="1393"/>
      <c r="K31" s="1022"/>
      <c r="L31" s="885"/>
      <c r="M31" s="1342"/>
    </row>
    <row r="32" spans="1:15" s="886" customFormat="1" ht="24" customHeight="1">
      <c r="A32" s="1474"/>
      <c r="B32" s="1331"/>
      <c r="C32" s="1282"/>
      <c r="D32" s="1457"/>
      <c r="E32" s="1458"/>
      <c r="F32" s="1459"/>
      <c r="G32" s="1460"/>
      <c r="H32" s="751"/>
      <c r="I32" s="1392"/>
      <c r="J32" s="1393"/>
      <c r="K32" s="1022"/>
      <c r="L32" s="885"/>
      <c r="M32" s="1342"/>
    </row>
    <row r="33" spans="1:13" s="886" customFormat="1" ht="24" customHeight="1">
      <c r="A33" s="1474"/>
      <c r="B33" s="1331"/>
      <c r="C33" s="1282"/>
      <c r="D33" s="1457"/>
      <c r="E33" s="1458"/>
      <c r="F33" s="1459"/>
      <c r="G33" s="1460"/>
      <c r="H33" s="751"/>
      <c r="I33" s="1392"/>
      <c r="J33" s="1393"/>
      <c r="K33" s="1022"/>
      <c r="L33" s="885"/>
      <c r="M33" s="1342"/>
    </row>
    <row r="34" spans="1:13" s="886" customFormat="1" ht="24" customHeight="1">
      <c r="A34" s="1474"/>
      <c r="B34" s="1331"/>
      <c r="C34" s="1282"/>
      <c r="D34" s="1457"/>
      <c r="E34" s="1458"/>
      <c r="F34" s="1459"/>
      <c r="G34" s="1460"/>
      <c r="H34" s="751"/>
      <c r="I34" s="1392"/>
      <c r="J34" s="1393"/>
      <c r="K34" s="1022"/>
      <c r="L34" s="885"/>
      <c r="M34" s="1342"/>
    </row>
    <row r="35" spans="1:13" s="886" customFormat="1" ht="24" customHeight="1">
      <c r="A35" s="1166"/>
      <c r="B35" s="2475" t="s">
        <v>2260</v>
      </c>
      <c r="C35" s="2476"/>
      <c r="D35" s="2476"/>
      <c r="E35" s="1167"/>
      <c r="F35" s="1381"/>
      <c r="G35" s="1168"/>
      <c r="H35" s="1169">
        <f>SUM(H11:H34)</f>
        <v>8526652</v>
      </c>
      <c r="I35" s="1170"/>
      <c r="J35" s="1382">
        <f>SUM(J11:J34)</f>
        <v>1615639</v>
      </c>
      <c r="K35" s="1171">
        <f>SUM(K11:K34)</f>
        <v>10142291</v>
      </c>
      <c r="L35" s="1171"/>
      <c r="M35" s="1342"/>
    </row>
    <row r="36" spans="1:13" s="886" customFormat="1" ht="24" customHeight="1">
      <c r="A36" s="1383">
        <v>7.1</v>
      </c>
      <c r="B36" s="1384" t="s">
        <v>2129</v>
      </c>
      <c r="C36" s="1385"/>
      <c r="D36" s="1386"/>
      <c r="E36" s="1387"/>
      <c r="F36" s="1388"/>
      <c r="G36" s="1389"/>
      <c r="H36" s="864"/>
      <c r="I36" s="1389"/>
      <c r="J36" s="1395"/>
      <c r="K36" s="966"/>
      <c r="L36" s="1387"/>
      <c r="M36" s="1342"/>
    </row>
    <row r="37" spans="1:13" s="886" customFormat="1" ht="24" customHeight="1">
      <c r="A37" s="1330" t="s">
        <v>1904</v>
      </c>
      <c r="B37" s="1331" t="s">
        <v>2130</v>
      </c>
      <c r="C37" s="801"/>
      <c r="D37" s="801"/>
      <c r="E37" s="1022"/>
      <c r="F37" s="1333"/>
      <c r="G37" s="1392"/>
      <c r="H37" s="751"/>
      <c r="I37" s="1392"/>
      <c r="J37" s="1393"/>
      <c r="K37" s="1022"/>
      <c r="L37" s="1022"/>
      <c r="M37" s="1342"/>
    </row>
    <row r="38" spans="1:13" s="886" customFormat="1" ht="24" customHeight="1">
      <c r="A38" s="1330"/>
      <c r="B38" s="1331" t="s">
        <v>2261</v>
      </c>
      <c r="C38" s="1349"/>
      <c r="D38" s="801"/>
      <c r="E38" s="1022">
        <v>1</v>
      </c>
      <c r="F38" s="1333" t="s">
        <v>240</v>
      </c>
      <c r="G38" s="1392">
        <v>915100</v>
      </c>
      <c r="H38" s="1175">
        <f>E38*G38</f>
        <v>915100</v>
      </c>
      <c r="I38" s="1492">
        <f>G38*0.01</f>
        <v>9151</v>
      </c>
      <c r="J38" s="1493">
        <f>I38*E38</f>
        <v>9151</v>
      </c>
      <c r="K38" s="825">
        <f>H38+J38</f>
        <v>924251</v>
      </c>
      <c r="L38" s="1022"/>
      <c r="M38" s="1342"/>
    </row>
    <row r="39" spans="1:13" s="886" customFormat="1" ht="24" customHeight="1">
      <c r="A39" s="1330" t="s">
        <v>1906</v>
      </c>
      <c r="B39" s="1331" t="s">
        <v>2132</v>
      </c>
      <c r="C39" s="801"/>
      <c r="D39" s="801"/>
      <c r="E39" s="1022">
        <f>E38</f>
        <v>1</v>
      </c>
      <c r="F39" s="1333" t="s">
        <v>240</v>
      </c>
      <c r="G39" s="1392">
        <v>1800</v>
      </c>
      <c r="H39" s="1175">
        <f>E39*G39</f>
        <v>1800</v>
      </c>
      <c r="I39" s="1396"/>
      <c r="J39" s="1395"/>
      <c r="K39" s="966">
        <f t="shared" ref="K39:K41" si="2">H39+J39</f>
        <v>1800</v>
      </c>
      <c r="L39" s="1022"/>
      <c r="M39" s="1342"/>
    </row>
    <row r="40" spans="1:13" s="886" customFormat="1" ht="24" customHeight="1">
      <c r="A40" s="1330" t="s">
        <v>1995</v>
      </c>
      <c r="B40" s="1331" t="s">
        <v>1996</v>
      </c>
      <c r="C40" s="801"/>
      <c r="D40" s="801"/>
      <c r="E40" s="1022">
        <f>SUM(E38)*4</f>
        <v>4</v>
      </c>
      <c r="F40" s="1333" t="s">
        <v>240</v>
      </c>
      <c r="G40" s="1392">
        <v>2400</v>
      </c>
      <c r="H40" s="1175">
        <f>E40*G40</f>
        <v>9600</v>
      </c>
      <c r="I40" s="1392">
        <f>G40*0.3</f>
        <v>720</v>
      </c>
      <c r="J40" s="1395">
        <f t="shared" ref="J40:J41" si="3">ROUND(E40*I40,)</f>
        <v>2880</v>
      </c>
      <c r="K40" s="966">
        <f t="shared" si="2"/>
        <v>12480</v>
      </c>
      <c r="L40" s="1022"/>
      <c r="M40" s="1342"/>
    </row>
    <row r="41" spans="1:13" s="886" customFormat="1" ht="24" customHeight="1">
      <c r="A41" s="1330" t="s">
        <v>2133</v>
      </c>
      <c r="B41" s="1331" t="s">
        <v>2134</v>
      </c>
      <c r="C41" s="801"/>
      <c r="D41" s="801"/>
      <c r="E41" s="1022">
        <v>4</v>
      </c>
      <c r="F41" s="1333" t="s">
        <v>240</v>
      </c>
      <c r="G41" s="1392">
        <v>4000</v>
      </c>
      <c r="H41" s="1175">
        <f>E41*G41</f>
        <v>16000</v>
      </c>
      <c r="I41" s="1392">
        <v>400</v>
      </c>
      <c r="J41" s="1395">
        <f t="shared" si="3"/>
        <v>1600</v>
      </c>
      <c r="K41" s="966">
        <f t="shared" si="2"/>
        <v>17600</v>
      </c>
      <c r="L41" s="1022"/>
      <c r="M41" s="1342"/>
    </row>
    <row r="42" spans="1:13" s="886" customFormat="1" ht="24" customHeight="1">
      <c r="A42" s="1340"/>
      <c r="B42" s="1331" t="s">
        <v>957</v>
      </c>
      <c r="C42" s="801"/>
      <c r="D42" s="801"/>
      <c r="E42" s="1022"/>
      <c r="F42" s="1333"/>
      <c r="G42" s="1392"/>
      <c r="H42" s="864"/>
      <c r="I42" s="1392"/>
      <c r="J42" s="1395"/>
      <c r="K42" s="966"/>
      <c r="L42" s="1022"/>
      <c r="M42" s="1342"/>
    </row>
    <row r="43" spans="1:13" s="886" customFormat="1" ht="24" customHeight="1">
      <c r="A43" s="1340"/>
      <c r="B43" s="1331" t="s">
        <v>2262</v>
      </c>
      <c r="C43" s="801"/>
      <c r="D43" s="801"/>
      <c r="E43" s="1022"/>
      <c r="F43" s="1333"/>
      <c r="G43" s="1392"/>
      <c r="H43" s="864"/>
      <c r="I43" s="1392"/>
      <c r="J43" s="1395"/>
      <c r="K43" s="966"/>
      <c r="L43" s="1022"/>
      <c r="M43" s="1342"/>
    </row>
    <row r="44" spans="1:13" s="886" customFormat="1" ht="24" customHeight="1">
      <c r="A44" s="1340"/>
      <c r="B44" s="1331" t="s">
        <v>2262</v>
      </c>
      <c r="C44" s="801"/>
      <c r="D44" s="801"/>
      <c r="E44" s="1022"/>
      <c r="F44" s="1333"/>
      <c r="G44" s="1392"/>
      <c r="H44" s="864"/>
      <c r="I44" s="1392"/>
      <c r="J44" s="1395"/>
      <c r="K44" s="966"/>
      <c r="L44" s="1022"/>
      <c r="M44" s="1342"/>
    </row>
    <row r="45" spans="1:13" s="886" customFormat="1" ht="24" customHeight="1">
      <c r="A45" s="1340"/>
      <c r="B45" s="1331" t="s">
        <v>2262</v>
      </c>
      <c r="C45" s="801"/>
      <c r="D45" s="801"/>
      <c r="E45" s="1022"/>
      <c r="F45" s="1333"/>
      <c r="G45" s="1392"/>
      <c r="H45" s="864"/>
      <c r="I45" s="1392"/>
      <c r="J45" s="1395"/>
      <c r="K45" s="966"/>
      <c r="L45" s="1022"/>
      <c r="M45" s="1342"/>
    </row>
    <row r="46" spans="1:13" s="886" customFormat="1" ht="24" customHeight="1">
      <c r="A46" s="1397"/>
      <c r="B46" s="1191"/>
      <c r="C46" s="890"/>
      <c r="D46" s="890"/>
      <c r="E46" s="1080"/>
      <c r="F46" s="1338"/>
      <c r="G46" s="1398"/>
      <c r="H46" s="765"/>
      <c r="I46" s="1398"/>
      <c r="J46" s="1399"/>
      <c r="K46" s="1080"/>
      <c r="L46" s="1080"/>
      <c r="M46" s="1342"/>
    </row>
    <row r="47" spans="1:13" s="886" customFormat="1" ht="24" customHeight="1">
      <c r="A47" s="1510"/>
      <c r="B47" s="2475" t="str">
        <f>"รวมราคารายการที่ "&amp;A36</f>
        <v>รวมราคารายการที่ 7.1</v>
      </c>
      <c r="C47" s="2476"/>
      <c r="D47" s="2476"/>
      <c r="E47" s="1511"/>
      <c r="F47" s="1512"/>
      <c r="G47" s="1513"/>
      <c r="H47" s="1514">
        <f>SUM(H36:H46)</f>
        <v>942500</v>
      </c>
      <c r="I47" s="1515"/>
      <c r="J47" s="1516">
        <f>SUM(J36:J46)</f>
        <v>13631</v>
      </c>
      <c r="K47" s="1517">
        <f>SUM(K36:K46)</f>
        <v>956131</v>
      </c>
      <c r="L47" s="1517"/>
      <c r="M47" s="1342"/>
    </row>
    <row r="48" spans="1:13" s="1329" customFormat="1" ht="24" customHeight="1">
      <c r="A48" s="1325" t="s">
        <v>1997</v>
      </c>
      <c r="B48" s="1518" t="s">
        <v>2135</v>
      </c>
      <c r="C48" s="1347"/>
      <c r="D48" s="901"/>
      <c r="E48" s="1019"/>
      <c r="F48" s="1310"/>
      <c r="G48" s="1400"/>
      <c r="H48" s="864"/>
      <c r="I48" s="1400"/>
      <c r="J48" s="1395"/>
      <c r="K48" s="966"/>
      <c r="L48" s="1019"/>
      <c r="M48" s="1328"/>
    </row>
    <row r="49" spans="1:13" s="1329" customFormat="1" ht="24" customHeight="1">
      <c r="A49" s="1481" t="s">
        <v>1910</v>
      </c>
      <c r="B49" s="1331" t="s">
        <v>2130</v>
      </c>
      <c r="C49" s="801"/>
      <c r="D49" s="801"/>
      <c r="E49" s="1019"/>
      <c r="F49" s="1310"/>
      <c r="G49" s="1400"/>
      <c r="H49" s="905"/>
      <c r="I49" s="1400"/>
      <c r="J49" s="1401"/>
      <c r="K49" s="1019"/>
      <c r="L49" s="1019"/>
      <c r="M49" s="1328"/>
    </row>
    <row r="50" spans="1:13" s="1329" customFormat="1" ht="24" customHeight="1">
      <c r="A50" s="1481"/>
      <c r="B50" s="1331" t="s">
        <v>2263</v>
      </c>
      <c r="C50" s="801"/>
      <c r="D50" s="801"/>
      <c r="E50" s="1019">
        <v>1</v>
      </c>
      <c r="F50" s="1310" t="s">
        <v>240</v>
      </c>
      <c r="G50" s="1394">
        <v>315600</v>
      </c>
      <c r="H50" s="864">
        <f t="shared" ref="H50:H69" si="4">ROUND(E50*G50,)</f>
        <v>315600</v>
      </c>
      <c r="I50" s="1392">
        <f t="shared" ref="I50:I69" si="5">G50*0.1</f>
        <v>31560</v>
      </c>
      <c r="J50" s="1395">
        <f t="shared" ref="J50:J69" si="6">ROUND(E50*I50,)</f>
        <v>31560</v>
      </c>
      <c r="K50" s="966">
        <f t="shared" ref="K50:K69" si="7">H50+J50</f>
        <v>347160</v>
      </c>
      <c r="L50" s="1022" t="s">
        <v>68</v>
      </c>
      <c r="M50" s="1328"/>
    </row>
    <row r="51" spans="1:13" s="1329" customFormat="1" ht="24" customHeight="1">
      <c r="A51" s="1481"/>
      <c r="B51" s="1331" t="s">
        <v>2264</v>
      </c>
      <c r="C51" s="801"/>
      <c r="D51" s="801"/>
      <c r="E51" s="1019">
        <v>1</v>
      </c>
      <c r="F51" s="1310" t="s">
        <v>240</v>
      </c>
      <c r="G51" s="1394">
        <v>215000</v>
      </c>
      <c r="H51" s="864">
        <f t="shared" si="4"/>
        <v>215000</v>
      </c>
      <c r="I51" s="1392">
        <f t="shared" si="5"/>
        <v>21500</v>
      </c>
      <c r="J51" s="1395">
        <f t="shared" si="6"/>
        <v>21500</v>
      </c>
      <c r="K51" s="966">
        <f t="shared" si="7"/>
        <v>236500</v>
      </c>
      <c r="L51" s="1022"/>
      <c r="M51" s="1328"/>
    </row>
    <row r="52" spans="1:13" s="1329" customFormat="1" ht="24" customHeight="1">
      <c r="A52" s="1481"/>
      <c r="B52" s="1331" t="s">
        <v>2265</v>
      </c>
      <c r="C52" s="801"/>
      <c r="D52" s="801"/>
      <c r="E52" s="1019">
        <v>1</v>
      </c>
      <c r="F52" s="1310" t="s">
        <v>240</v>
      </c>
      <c r="G52" s="1394">
        <v>157400</v>
      </c>
      <c r="H52" s="864">
        <f t="shared" si="4"/>
        <v>157400</v>
      </c>
      <c r="I52" s="1392">
        <f t="shared" si="5"/>
        <v>15740</v>
      </c>
      <c r="J52" s="1395">
        <f t="shared" si="6"/>
        <v>15740</v>
      </c>
      <c r="K52" s="966">
        <f t="shared" si="7"/>
        <v>173140</v>
      </c>
      <c r="L52" s="1022"/>
      <c r="M52" s="1328"/>
    </row>
    <row r="53" spans="1:13" s="1329" customFormat="1" ht="24" customHeight="1">
      <c r="A53" s="1481"/>
      <c r="B53" s="1331" t="s">
        <v>2266</v>
      </c>
      <c r="C53" s="801"/>
      <c r="D53" s="801"/>
      <c r="E53" s="1019">
        <v>1</v>
      </c>
      <c r="F53" s="1310" t="s">
        <v>240</v>
      </c>
      <c r="G53" s="1394">
        <v>157400</v>
      </c>
      <c r="H53" s="864">
        <f t="shared" si="4"/>
        <v>157400</v>
      </c>
      <c r="I53" s="1392">
        <f t="shared" si="5"/>
        <v>15740</v>
      </c>
      <c r="J53" s="1395">
        <f t="shared" si="6"/>
        <v>15740</v>
      </c>
      <c r="K53" s="966">
        <f t="shared" si="7"/>
        <v>173140</v>
      </c>
      <c r="L53" s="1022"/>
      <c r="M53" s="1328"/>
    </row>
    <row r="54" spans="1:13" s="1329" customFormat="1" ht="24" customHeight="1">
      <c r="A54" s="1481"/>
      <c r="B54" s="1331" t="s">
        <v>2267</v>
      </c>
      <c r="C54" s="801"/>
      <c r="D54" s="801"/>
      <c r="E54" s="1019">
        <v>1</v>
      </c>
      <c r="F54" s="1310" t="s">
        <v>240</v>
      </c>
      <c r="G54" s="1394">
        <v>157400</v>
      </c>
      <c r="H54" s="864">
        <f t="shared" si="4"/>
        <v>157400</v>
      </c>
      <c r="I54" s="1392">
        <f t="shared" si="5"/>
        <v>15740</v>
      </c>
      <c r="J54" s="1395">
        <f t="shared" si="6"/>
        <v>15740</v>
      </c>
      <c r="K54" s="966">
        <f t="shared" si="7"/>
        <v>173140</v>
      </c>
      <c r="L54" s="1022"/>
      <c r="M54" s="1328"/>
    </row>
    <row r="55" spans="1:13" s="1329" customFormat="1" ht="24" customHeight="1">
      <c r="A55" s="1481"/>
      <c r="B55" s="1331" t="s">
        <v>2268</v>
      </c>
      <c r="C55" s="801"/>
      <c r="D55" s="801"/>
      <c r="E55" s="1019">
        <v>1</v>
      </c>
      <c r="F55" s="1310" t="s">
        <v>240</v>
      </c>
      <c r="G55" s="1394">
        <v>157400</v>
      </c>
      <c r="H55" s="864">
        <f t="shared" si="4"/>
        <v>157400</v>
      </c>
      <c r="I55" s="1392">
        <f t="shared" si="5"/>
        <v>15740</v>
      </c>
      <c r="J55" s="1395">
        <f t="shared" si="6"/>
        <v>15740</v>
      </c>
      <c r="K55" s="966">
        <f t="shared" si="7"/>
        <v>173140</v>
      </c>
      <c r="L55" s="1022"/>
      <c r="M55" s="1328"/>
    </row>
    <row r="56" spans="1:13" s="1329" customFormat="1" ht="24" customHeight="1">
      <c r="A56" s="1481"/>
      <c r="B56" s="1331" t="s">
        <v>2269</v>
      </c>
      <c r="C56" s="801"/>
      <c r="D56" s="801"/>
      <c r="E56" s="1019">
        <v>1</v>
      </c>
      <c r="F56" s="1310" t="s">
        <v>240</v>
      </c>
      <c r="G56" s="1394">
        <v>157400</v>
      </c>
      <c r="H56" s="864">
        <f t="shared" si="4"/>
        <v>157400</v>
      </c>
      <c r="I56" s="1392">
        <f t="shared" si="5"/>
        <v>15740</v>
      </c>
      <c r="J56" s="1395">
        <f t="shared" si="6"/>
        <v>15740</v>
      </c>
      <c r="K56" s="966">
        <f t="shared" si="7"/>
        <v>173140</v>
      </c>
      <c r="L56" s="1022"/>
      <c r="M56" s="1328"/>
    </row>
    <row r="57" spans="1:13" s="1329" customFormat="1" ht="24" customHeight="1">
      <c r="A57" s="1481"/>
      <c r="B57" s="1331" t="s">
        <v>2270</v>
      </c>
      <c r="C57" s="801"/>
      <c r="D57" s="801"/>
      <c r="E57" s="1019">
        <v>1</v>
      </c>
      <c r="F57" s="1310" t="s">
        <v>240</v>
      </c>
      <c r="G57" s="1394">
        <v>157400</v>
      </c>
      <c r="H57" s="864">
        <f t="shared" si="4"/>
        <v>157400</v>
      </c>
      <c r="I57" s="1392">
        <f t="shared" si="5"/>
        <v>15740</v>
      </c>
      <c r="J57" s="1395">
        <f t="shared" si="6"/>
        <v>15740</v>
      </c>
      <c r="K57" s="966">
        <f t="shared" si="7"/>
        <v>173140</v>
      </c>
      <c r="L57" s="1022"/>
      <c r="M57" s="1328"/>
    </row>
    <row r="58" spans="1:13" s="1329" customFormat="1" ht="24" customHeight="1">
      <c r="A58" s="1481"/>
      <c r="B58" s="1331" t="s">
        <v>2271</v>
      </c>
      <c r="C58" s="801"/>
      <c r="D58" s="801"/>
      <c r="E58" s="1019">
        <v>1</v>
      </c>
      <c r="F58" s="1310" t="s">
        <v>240</v>
      </c>
      <c r="G58" s="1394">
        <v>157400</v>
      </c>
      <c r="H58" s="864">
        <f t="shared" si="4"/>
        <v>157400</v>
      </c>
      <c r="I58" s="1392">
        <f t="shared" si="5"/>
        <v>15740</v>
      </c>
      <c r="J58" s="1395">
        <f t="shared" si="6"/>
        <v>15740</v>
      </c>
      <c r="K58" s="966">
        <f t="shared" si="7"/>
        <v>173140</v>
      </c>
      <c r="L58" s="1022"/>
      <c r="M58" s="1328"/>
    </row>
    <row r="59" spans="1:13" s="1329" customFormat="1" ht="24" customHeight="1">
      <c r="A59" s="1481"/>
      <c r="B59" s="1331" t="s">
        <v>2272</v>
      </c>
      <c r="C59" s="801"/>
      <c r="D59" s="801"/>
      <c r="E59" s="1019">
        <v>1</v>
      </c>
      <c r="F59" s="1310" t="s">
        <v>240</v>
      </c>
      <c r="G59" s="1394">
        <v>315600</v>
      </c>
      <c r="H59" s="864">
        <f t="shared" si="4"/>
        <v>315600</v>
      </c>
      <c r="I59" s="1392">
        <f t="shared" si="5"/>
        <v>31560</v>
      </c>
      <c r="J59" s="1395">
        <f t="shared" si="6"/>
        <v>31560</v>
      </c>
      <c r="K59" s="966">
        <f t="shared" si="7"/>
        <v>347160</v>
      </c>
      <c r="L59" s="1022"/>
      <c r="M59" s="1328"/>
    </row>
    <row r="60" spans="1:13" s="1329" customFormat="1" ht="24" customHeight="1">
      <c r="A60" s="1481"/>
      <c r="B60" s="1331" t="s">
        <v>2273</v>
      </c>
      <c r="C60" s="801"/>
      <c r="D60" s="801"/>
      <c r="E60" s="1019">
        <v>1</v>
      </c>
      <c r="F60" s="1310" t="s">
        <v>240</v>
      </c>
      <c r="G60" s="1394">
        <v>188900</v>
      </c>
      <c r="H60" s="864">
        <f t="shared" si="4"/>
        <v>188900</v>
      </c>
      <c r="I60" s="1392">
        <f t="shared" si="5"/>
        <v>18890</v>
      </c>
      <c r="J60" s="1395">
        <f t="shared" si="6"/>
        <v>18890</v>
      </c>
      <c r="K60" s="966">
        <f t="shared" si="7"/>
        <v>207790</v>
      </c>
      <c r="L60" s="1022"/>
      <c r="M60" s="1328"/>
    </row>
    <row r="61" spans="1:13" s="1329" customFormat="1" ht="24" customHeight="1">
      <c r="A61" s="1481"/>
      <c r="B61" s="1331" t="s">
        <v>2274</v>
      </c>
      <c r="C61" s="801"/>
      <c r="D61" s="801"/>
      <c r="E61" s="1019">
        <v>1</v>
      </c>
      <c r="F61" s="1310" t="s">
        <v>240</v>
      </c>
      <c r="G61" s="1394">
        <v>188900</v>
      </c>
      <c r="H61" s="864">
        <f t="shared" si="4"/>
        <v>188900</v>
      </c>
      <c r="I61" s="1392">
        <f t="shared" si="5"/>
        <v>18890</v>
      </c>
      <c r="J61" s="1395">
        <f t="shared" si="6"/>
        <v>18890</v>
      </c>
      <c r="K61" s="966">
        <f t="shared" si="7"/>
        <v>207790</v>
      </c>
      <c r="L61" s="1022"/>
      <c r="M61" s="1328"/>
    </row>
    <row r="62" spans="1:13" s="1329" customFormat="1" ht="24" customHeight="1">
      <c r="A62" s="1481"/>
      <c r="B62" s="1331" t="s">
        <v>2275</v>
      </c>
      <c r="C62" s="801"/>
      <c r="D62" s="801"/>
      <c r="E62" s="1019">
        <v>1</v>
      </c>
      <c r="F62" s="1310" t="s">
        <v>240</v>
      </c>
      <c r="G62" s="1394">
        <v>266400</v>
      </c>
      <c r="H62" s="864">
        <f t="shared" si="4"/>
        <v>266400</v>
      </c>
      <c r="I62" s="1392">
        <f t="shared" si="5"/>
        <v>26640</v>
      </c>
      <c r="J62" s="1395">
        <f t="shared" si="6"/>
        <v>26640</v>
      </c>
      <c r="K62" s="966">
        <f t="shared" si="7"/>
        <v>293040</v>
      </c>
      <c r="L62" s="1022"/>
      <c r="M62" s="1328"/>
    </row>
    <row r="63" spans="1:13" s="1329" customFormat="1" ht="24" customHeight="1">
      <c r="A63" s="1481"/>
      <c r="B63" s="1331" t="s">
        <v>2276</v>
      </c>
      <c r="C63" s="801"/>
      <c r="D63" s="801"/>
      <c r="E63" s="1019">
        <v>1</v>
      </c>
      <c r="F63" s="1310" t="s">
        <v>240</v>
      </c>
      <c r="G63" s="1394">
        <v>188900</v>
      </c>
      <c r="H63" s="864">
        <f t="shared" si="4"/>
        <v>188900</v>
      </c>
      <c r="I63" s="1392">
        <f t="shared" si="5"/>
        <v>18890</v>
      </c>
      <c r="J63" s="1395">
        <f t="shared" si="6"/>
        <v>18890</v>
      </c>
      <c r="K63" s="966">
        <f t="shared" si="7"/>
        <v>207790</v>
      </c>
      <c r="L63" s="1022"/>
      <c r="M63" s="1328"/>
    </row>
    <row r="64" spans="1:13" s="1329" customFormat="1" ht="24" customHeight="1">
      <c r="A64" s="1481"/>
      <c r="B64" s="1331" t="s">
        <v>2277</v>
      </c>
      <c r="C64" s="801"/>
      <c r="D64" s="801"/>
      <c r="E64" s="1019">
        <v>1</v>
      </c>
      <c r="F64" s="1310" t="s">
        <v>240</v>
      </c>
      <c r="G64" s="1394">
        <v>188900</v>
      </c>
      <c r="H64" s="864">
        <f t="shared" si="4"/>
        <v>188900</v>
      </c>
      <c r="I64" s="1392">
        <f t="shared" si="5"/>
        <v>18890</v>
      </c>
      <c r="J64" s="1395">
        <f t="shared" si="6"/>
        <v>18890</v>
      </c>
      <c r="K64" s="966">
        <f t="shared" si="7"/>
        <v>207790</v>
      </c>
      <c r="L64" s="1022"/>
      <c r="M64" s="1328"/>
    </row>
    <row r="65" spans="1:16" s="1329" customFormat="1" ht="24" customHeight="1">
      <c r="A65" s="1481"/>
      <c r="B65" s="1331" t="s">
        <v>2278</v>
      </c>
      <c r="C65" s="801"/>
      <c r="D65" s="801"/>
      <c r="E65" s="1019">
        <v>1</v>
      </c>
      <c r="F65" s="1310" t="s">
        <v>240</v>
      </c>
      <c r="G65" s="1394">
        <v>157400</v>
      </c>
      <c r="H65" s="864">
        <f t="shared" si="4"/>
        <v>157400</v>
      </c>
      <c r="I65" s="1392">
        <f t="shared" si="5"/>
        <v>15740</v>
      </c>
      <c r="J65" s="1395">
        <f t="shared" si="6"/>
        <v>15740</v>
      </c>
      <c r="K65" s="966">
        <f t="shared" si="7"/>
        <v>173140</v>
      </c>
      <c r="L65" s="1022"/>
      <c r="M65" s="1328"/>
    </row>
    <row r="66" spans="1:16" s="1329" customFormat="1" ht="24" customHeight="1">
      <c r="A66" s="1481"/>
      <c r="B66" s="1331" t="s">
        <v>2279</v>
      </c>
      <c r="C66" s="801"/>
      <c r="D66" s="801"/>
      <c r="E66" s="1019">
        <v>1</v>
      </c>
      <c r="F66" s="1310" t="s">
        <v>240</v>
      </c>
      <c r="G66" s="1394">
        <v>157400</v>
      </c>
      <c r="H66" s="864">
        <f t="shared" si="4"/>
        <v>157400</v>
      </c>
      <c r="I66" s="1392">
        <f t="shared" si="5"/>
        <v>15740</v>
      </c>
      <c r="J66" s="1395">
        <f t="shared" si="6"/>
        <v>15740</v>
      </c>
      <c r="K66" s="966">
        <f t="shared" si="7"/>
        <v>173140</v>
      </c>
      <c r="L66" s="1022"/>
      <c r="M66" s="1328"/>
    </row>
    <row r="67" spans="1:16" s="1329" customFormat="1" ht="24" customHeight="1">
      <c r="A67" s="1481"/>
      <c r="B67" s="1331" t="s">
        <v>2280</v>
      </c>
      <c r="C67" s="801"/>
      <c r="D67" s="801"/>
      <c r="E67" s="1019">
        <v>1</v>
      </c>
      <c r="F67" s="1310" t="s">
        <v>240</v>
      </c>
      <c r="G67" s="1394">
        <v>157400</v>
      </c>
      <c r="H67" s="864">
        <f t="shared" si="4"/>
        <v>157400</v>
      </c>
      <c r="I67" s="1392">
        <f t="shared" si="5"/>
        <v>15740</v>
      </c>
      <c r="J67" s="1395">
        <f t="shared" si="6"/>
        <v>15740</v>
      </c>
      <c r="K67" s="966">
        <f t="shared" si="7"/>
        <v>173140</v>
      </c>
      <c r="L67" s="1022"/>
      <c r="M67" s="1328"/>
    </row>
    <row r="68" spans="1:16" s="1329" customFormat="1" ht="24" customHeight="1">
      <c r="A68" s="1481"/>
      <c r="B68" s="1331" t="s">
        <v>2281</v>
      </c>
      <c r="C68" s="801"/>
      <c r="D68" s="801"/>
      <c r="E68" s="1019">
        <v>1</v>
      </c>
      <c r="F68" s="1310" t="s">
        <v>240</v>
      </c>
      <c r="G68" s="1394">
        <v>157400</v>
      </c>
      <c r="H68" s="864">
        <f t="shared" si="4"/>
        <v>157400</v>
      </c>
      <c r="I68" s="1392">
        <f t="shared" si="5"/>
        <v>15740</v>
      </c>
      <c r="J68" s="1395">
        <f t="shared" si="6"/>
        <v>15740</v>
      </c>
      <c r="K68" s="966">
        <f t="shared" si="7"/>
        <v>173140</v>
      </c>
      <c r="L68" s="1022"/>
      <c r="M68" s="1328"/>
    </row>
    <row r="69" spans="1:16" s="1329" customFormat="1" ht="24" customHeight="1">
      <c r="A69" s="1481"/>
      <c r="B69" s="1331" t="s">
        <v>2282</v>
      </c>
      <c r="C69" s="801"/>
      <c r="D69" s="801"/>
      <c r="E69" s="1019">
        <v>1</v>
      </c>
      <c r="F69" s="1310" t="s">
        <v>240</v>
      </c>
      <c r="G69" s="1394">
        <v>157400</v>
      </c>
      <c r="H69" s="864">
        <f t="shared" si="4"/>
        <v>157400</v>
      </c>
      <c r="I69" s="1392">
        <f t="shared" si="5"/>
        <v>15740</v>
      </c>
      <c r="J69" s="1395">
        <f t="shared" si="6"/>
        <v>15740</v>
      </c>
      <c r="K69" s="966">
        <f t="shared" si="7"/>
        <v>173140</v>
      </c>
      <c r="L69" s="1022"/>
      <c r="M69" s="1328"/>
    </row>
    <row r="70" spans="1:16" s="1329" customFormat="1" ht="24" customHeight="1">
      <c r="A70" s="1481" t="s">
        <v>2000</v>
      </c>
      <c r="B70" s="1331" t="s">
        <v>2153</v>
      </c>
      <c r="C70" s="801"/>
      <c r="D70" s="801"/>
      <c r="E70" s="1019"/>
      <c r="F70" s="1310"/>
      <c r="G70" s="1392"/>
      <c r="H70" s="751"/>
      <c r="I70" s="1392"/>
      <c r="J70" s="1393"/>
      <c r="K70" s="1022"/>
      <c r="L70" s="1022"/>
      <c r="M70" s="1328"/>
    </row>
    <row r="71" spans="1:16" s="1329" customFormat="1" ht="24" customHeight="1">
      <c r="A71" s="1481"/>
      <c r="B71" s="1331" t="s">
        <v>2154</v>
      </c>
      <c r="C71" s="801"/>
      <c r="D71" s="801"/>
      <c r="E71" s="1019">
        <v>20</v>
      </c>
      <c r="F71" s="1310" t="s">
        <v>240</v>
      </c>
      <c r="G71" s="1392">
        <v>1800</v>
      </c>
      <c r="H71" s="864">
        <f>ROUND(E71*G71,)</f>
        <v>36000</v>
      </c>
      <c r="I71" s="1396" t="s">
        <v>974</v>
      </c>
      <c r="J71" s="1395"/>
      <c r="K71" s="966">
        <f>H71+J71</f>
        <v>36000</v>
      </c>
      <c r="L71" s="1022"/>
      <c r="M71" s="1328"/>
    </row>
    <row r="72" spans="1:16" s="1329" customFormat="1" ht="24" customHeight="1">
      <c r="A72" s="1481" t="s">
        <v>2155</v>
      </c>
      <c r="B72" s="1331" t="s">
        <v>1996</v>
      </c>
      <c r="C72" s="801"/>
      <c r="D72" s="801"/>
      <c r="E72" s="1019">
        <v>80</v>
      </c>
      <c r="F72" s="1310" t="s">
        <v>240</v>
      </c>
      <c r="G72" s="1392">
        <v>2400</v>
      </c>
      <c r="H72" s="864">
        <f>ROUND(E72*G72,)</f>
        <v>192000</v>
      </c>
      <c r="I72" s="1392">
        <v>720</v>
      </c>
      <c r="J72" s="1395">
        <f>ROUND(E72*I72,)</f>
        <v>57600</v>
      </c>
      <c r="K72" s="966">
        <f>H72+J72</f>
        <v>249600</v>
      </c>
      <c r="L72" s="1022"/>
      <c r="M72" s="1328"/>
    </row>
    <row r="73" spans="1:16" s="1329" customFormat="1" ht="24" customHeight="1">
      <c r="A73" s="1481"/>
      <c r="B73" s="1331" t="s">
        <v>957</v>
      </c>
      <c r="C73" s="801"/>
      <c r="D73" s="801"/>
      <c r="E73" s="1019"/>
      <c r="F73" s="1310"/>
      <c r="G73" s="1392"/>
      <c r="H73" s="751"/>
      <c r="I73" s="1392"/>
      <c r="J73" s="1393"/>
      <c r="K73" s="1022"/>
      <c r="L73" s="1022"/>
      <c r="M73" s="1328"/>
    </row>
    <row r="74" spans="1:16" s="1329" customFormat="1" ht="24" customHeight="1">
      <c r="A74" s="1481"/>
      <c r="B74" s="1331" t="s">
        <v>1239</v>
      </c>
      <c r="C74" s="801"/>
      <c r="D74" s="801"/>
      <c r="E74" s="1019"/>
      <c r="F74" s="1310"/>
      <c r="G74" s="1392"/>
      <c r="H74" s="751"/>
      <c r="I74" s="1392"/>
      <c r="J74" s="1393"/>
      <c r="K74" s="1022"/>
      <c r="L74" s="1022"/>
      <c r="M74" s="1328"/>
    </row>
    <row r="75" spans="1:16" s="1329" customFormat="1" ht="24" customHeight="1">
      <c r="A75" s="1481"/>
      <c r="B75" s="1331" t="s">
        <v>1239</v>
      </c>
      <c r="C75" s="801"/>
      <c r="D75" s="801"/>
      <c r="E75" s="1019"/>
      <c r="F75" s="1310"/>
      <c r="G75" s="1392"/>
      <c r="H75" s="751"/>
      <c r="I75" s="1392"/>
      <c r="J75" s="1393"/>
      <c r="K75" s="1022"/>
      <c r="L75" s="1022"/>
      <c r="M75" s="1328"/>
    </row>
    <row r="76" spans="1:16" s="1329" customFormat="1" ht="24" customHeight="1">
      <c r="A76" s="1510"/>
      <c r="B76" s="2475" t="str">
        <f>"รวมราคารายการที่ "&amp;A48</f>
        <v>รวมราคารายการที่ 7.2</v>
      </c>
      <c r="C76" s="2476"/>
      <c r="D76" s="2476"/>
      <c r="E76" s="1511"/>
      <c r="F76" s="1512"/>
      <c r="G76" s="1168"/>
      <c r="H76" s="1169">
        <f>SUM(H48:H75)</f>
        <v>3985000</v>
      </c>
      <c r="I76" s="1170"/>
      <c r="J76" s="1382">
        <f>SUM(J48:J75)</f>
        <v>433300</v>
      </c>
      <c r="K76" s="1171">
        <f>SUM(K48:K75)</f>
        <v>4418300</v>
      </c>
      <c r="L76" s="1171"/>
      <c r="M76" s="1328"/>
    </row>
    <row r="77" spans="1:16" s="1329" customFormat="1" ht="24" customHeight="1">
      <c r="A77" s="1325">
        <v>7.3</v>
      </c>
      <c r="B77" s="1518" t="s">
        <v>1988</v>
      </c>
      <c r="C77" s="801"/>
      <c r="D77" s="801"/>
      <c r="E77" s="1019"/>
      <c r="F77" s="1310"/>
      <c r="G77" s="1400"/>
      <c r="H77" s="905"/>
      <c r="I77" s="1400"/>
      <c r="J77" s="1401"/>
      <c r="K77" s="1019"/>
      <c r="L77" s="1019"/>
      <c r="M77" s="1328"/>
    </row>
    <row r="78" spans="1:16" s="1329" customFormat="1" ht="24" customHeight="1">
      <c r="A78" s="1481" t="s">
        <v>1922</v>
      </c>
      <c r="B78" s="1331" t="s">
        <v>2283</v>
      </c>
      <c r="C78" s="801"/>
      <c r="D78" s="801"/>
      <c r="E78" s="1019"/>
      <c r="F78" s="1310"/>
      <c r="G78" s="1400"/>
      <c r="H78" s="905"/>
      <c r="I78" s="1400"/>
      <c r="J78" s="1401"/>
      <c r="K78" s="1019"/>
      <c r="L78" s="1019"/>
      <c r="M78" s="1328"/>
    </row>
    <row r="79" spans="1:16" s="1329" customFormat="1" ht="24" customHeight="1">
      <c r="A79" s="1519"/>
      <c r="B79" s="1331" t="str">
        <f>"  -  "&amp;M79&amp;", ("&amp;P79&amp;" kW,"&amp;N79&amp;" L/s)"</f>
        <v xml:space="preserve">  -  C2-2F-01 To 02, (5.5 kW,270 L/s)</v>
      </c>
      <c r="C79" s="1349"/>
      <c r="D79" s="801"/>
      <c r="E79" s="1022">
        <f>O79</f>
        <v>2</v>
      </c>
      <c r="F79" s="1310" t="s">
        <v>240</v>
      </c>
      <c r="G79" s="1400">
        <v>17400</v>
      </c>
      <c r="H79" s="864">
        <f t="shared" ref="H79" si="8">ROUND(E79*G79,)</f>
        <v>34800</v>
      </c>
      <c r="I79" s="1392">
        <f>G79*0.1</f>
        <v>1740</v>
      </c>
      <c r="J79" s="1395">
        <f t="shared" ref="J79" si="9">ROUND(E79*I79,)</f>
        <v>3480</v>
      </c>
      <c r="K79" s="966">
        <f t="shared" ref="K79" si="10">H79+J79</f>
        <v>38280</v>
      </c>
      <c r="L79" s="1019"/>
      <c r="M79" s="1328" t="s">
        <v>2284</v>
      </c>
      <c r="N79" s="1329">
        <v>270</v>
      </c>
      <c r="O79" s="1329">
        <v>2</v>
      </c>
      <c r="P79" s="1329">
        <v>5.5</v>
      </c>
    </row>
    <row r="80" spans="1:16" s="1329" customFormat="1" ht="24" customHeight="1">
      <c r="A80" s="1481" t="s">
        <v>1924</v>
      </c>
      <c r="B80" s="1331" t="s">
        <v>2158</v>
      </c>
      <c r="C80" s="801"/>
      <c r="D80" s="801"/>
      <c r="E80" s="1019"/>
      <c r="F80" s="1310"/>
      <c r="G80" s="1400"/>
      <c r="H80" s="905"/>
      <c r="I80" s="1400"/>
      <c r="J80" s="1401"/>
      <c r="K80" s="1019"/>
      <c r="L80" s="1019"/>
      <c r="M80" s="1328"/>
    </row>
    <row r="81" spans="1:13" s="1329" customFormat="1" ht="24" customHeight="1">
      <c r="A81" s="1481"/>
      <c r="B81" s="1331" t="s">
        <v>2285</v>
      </c>
      <c r="C81" s="801"/>
      <c r="D81" s="801"/>
      <c r="E81" s="1019">
        <v>2</v>
      </c>
      <c r="F81" s="1310" t="s">
        <v>240</v>
      </c>
      <c r="G81" s="1400">
        <v>3000</v>
      </c>
      <c r="H81" s="864">
        <f t="shared" ref="H81:H82" si="11">ROUND(E81*G81,)</f>
        <v>6000</v>
      </c>
      <c r="I81" s="1520"/>
      <c r="J81" s="1395"/>
      <c r="K81" s="966">
        <f t="shared" ref="K81:K82" si="12">H81+J81</f>
        <v>6000</v>
      </c>
      <c r="L81" s="1019"/>
      <c r="M81" s="1328"/>
    </row>
    <row r="82" spans="1:13" s="1329" customFormat="1" ht="24" customHeight="1">
      <c r="A82" s="1481" t="s">
        <v>2020</v>
      </c>
      <c r="B82" s="1331" t="s">
        <v>1996</v>
      </c>
      <c r="C82" s="801"/>
      <c r="D82" s="801"/>
      <c r="E82" s="1022">
        <f>SUM(,E79)*4</f>
        <v>8</v>
      </c>
      <c r="F82" s="1310" t="s">
        <v>240</v>
      </c>
      <c r="G82" s="1400">
        <v>800</v>
      </c>
      <c r="H82" s="864">
        <f t="shared" si="11"/>
        <v>6400</v>
      </c>
      <c r="I82" s="1400">
        <f>G82*0.3</f>
        <v>240</v>
      </c>
      <c r="J82" s="1395">
        <f t="shared" ref="J82" si="13">ROUND(E82*I82,)</f>
        <v>1920</v>
      </c>
      <c r="K82" s="966">
        <f t="shared" si="12"/>
        <v>8320</v>
      </c>
      <c r="L82" s="1019"/>
      <c r="M82" s="1328"/>
    </row>
    <row r="83" spans="1:13" s="1329" customFormat="1" ht="24" customHeight="1">
      <c r="A83" s="1519"/>
      <c r="B83" s="1331" t="s">
        <v>957</v>
      </c>
      <c r="C83" s="801"/>
      <c r="D83" s="801"/>
      <c r="E83" s="1019"/>
      <c r="F83" s="1310"/>
      <c r="G83" s="1400"/>
      <c r="H83" s="773"/>
      <c r="I83" s="1400"/>
      <c r="J83" s="1401"/>
      <c r="K83" s="1019"/>
      <c r="L83" s="1019"/>
      <c r="M83" s="1328"/>
    </row>
    <row r="84" spans="1:13" s="1329" customFormat="1" ht="24" customHeight="1">
      <c r="A84" s="1481"/>
      <c r="B84" s="1331"/>
      <c r="C84" s="801"/>
      <c r="D84" s="801"/>
      <c r="E84" s="1022"/>
      <c r="F84" s="1310"/>
      <c r="G84" s="1400"/>
      <c r="H84" s="864"/>
      <c r="I84" s="1400"/>
      <c r="J84" s="1395"/>
      <c r="K84" s="966"/>
      <c r="L84" s="1019"/>
      <c r="M84" s="1328"/>
    </row>
    <row r="85" spans="1:13" s="886" customFormat="1" ht="24" customHeight="1">
      <c r="A85" s="1510"/>
      <c r="B85" s="2475" t="str">
        <f>"รวมราคารายการที่ "&amp;A77</f>
        <v>รวมราคารายการที่ 7.3</v>
      </c>
      <c r="C85" s="2476"/>
      <c r="D85" s="2476"/>
      <c r="E85" s="1511"/>
      <c r="F85" s="1512"/>
      <c r="G85" s="1513"/>
      <c r="H85" s="1514">
        <f>SUM(H77:H84)</f>
        <v>47200</v>
      </c>
      <c r="I85" s="1515"/>
      <c r="J85" s="1516">
        <f>SUM(J77:J84)</f>
        <v>5400</v>
      </c>
      <c r="K85" s="1517">
        <f>SUM(K77:K84)</f>
        <v>52600</v>
      </c>
      <c r="L85" s="1517"/>
      <c r="M85" s="1342"/>
    </row>
    <row r="86" spans="1:13" s="1329" customFormat="1" ht="24" customHeight="1">
      <c r="A86" s="1383">
        <v>7.4</v>
      </c>
      <c r="B86" s="1384" t="s">
        <v>1903</v>
      </c>
      <c r="C86" s="1386"/>
      <c r="D86" s="1386"/>
      <c r="E86" s="1387"/>
      <c r="F86" s="1388"/>
      <c r="G86" s="1400"/>
      <c r="H86" s="864"/>
      <c r="I86" s="1389"/>
      <c r="J86" s="1395"/>
      <c r="K86" s="966"/>
      <c r="L86" s="1019"/>
      <c r="M86" s="1328"/>
    </row>
    <row r="87" spans="1:13" s="1329" customFormat="1" ht="24" customHeight="1">
      <c r="A87" s="1330" t="s">
        <v>1928</v>
      </c>
      <c r="B87" s="1331" t="s">
        <v>1998</v>
      </c>
      <c r="C87" s="801"/>
      <c r="D87" s="801"/>
      <c r="E87" s="1022"/>
      <c r="F87" s="1333"/>
      <c r="G87" s="1392"/>
      <c r="H87" s="751"/>
      <c r="I87" s="1392"/>
      <c r="J87" s="1393"/>
      <c r="K87" s="1022"/>
      <c r="L87" s="1022"/>
      <c r="M87" s="1328"/>
    </row>
    <row r="88" spans="1:13" s="1329" customFormat="1" ht="24" customHeight="1">
      <c r="A88" s="1330" t="s">
        <v>2160</v>
      </c>
      <c r="B88" s="1331" t="s">
        <v>1999</v>
      </c>
      <c r="C88" s="801"/>
      <c r="D88" s="801"/>
      <c r="E88" s="1019"/>
      <c r="F88" s="1310"/>
      <c r="G88" s="1400"/>
      <c r="H88" s="773"/>
      <c r="I88" s="1400"/>
      <c r="J88" s="1401"/>
      <c r="K88" s="1019"/>
      <c r="L88" s="1019"/>
      <c r="M88" s="1328"/>
    </row>
    <row r="89" spans="1:13" s="1329" customFormat="1" ht="24" customHeight="1">
      <c r="A89" s="1330"/>
      <c r="B89" s="1331" t="s">
        <v>1715</v>
      </c>
      <c r="C89" s="801"/>
      <c r="D89" s="801"/>
      <c r="E89" s="1019">
        <f>E79</f>
        <v>2</v>
      </c>
      <c r="F89" s="1333" t="s">
        <v>240</v>
      </c>
      <c r="G89" s="1392">
        <v>3672</v>
      </c>
      <c r="H89" s="864">
        <f t="shared" ref="H89" si="14">ROUND(E89*G89,)</f>
        <v>7344</v>
      </c>
      <c r="I89" s="1392">
        <v>150</v>
      </c>
      <c r="J89" s="1395">
        <f t="shared" ref="J89" si="15">ROUND(E89*I89,)</f>
        <v>300</v>
      </c>
      <c r="K89" s="966">
        <f t="shared" ref="K89" si="16">H89+J89</f>
        <v>7644</v>
      </c>
      <c r="L89" s="1019"/>
      <c r="M89" s="1328"/>
    </row>
    <row r="90" spans="1:13" s="1329" customFormat="1" ht="24" customHeight="1">
      <c r="A90" s="1330" t="s">
        <v>2161</v>
      </c>
      <c r="B90" s="1331" t="s">
        <v>2162</v>
      </c>
      <c r="C90" s="801"/>
      <c r="D90" s="801"/>
      <c r="E90" s="1019"/>
      <c r="F90" s="1310"/>
      <c r="G90" s="1400"/>
      <c r="H90" s="773"/>
      <c r="I90" s="1400"/>
      <c r="J90" s="1401"/>
      <c r="K90" s="1019"/>
      <c r="L90" s="1019"/>
      <c r="M90" s="1328"/>
    </row>
    <row r="91" spans="1:13" s="1329" customFormat="1" ht="24" customHeight="1">
      <c r="A91" s="1340"/>
      <c r="B91" s="1331" t="s">
        <v>1747</v>
      </c>
      <c r="C91" s="801"/>
      <c r="D91" s="801"/>
      <c r="E91" s="1022">
        <f>E71+E38</f>
        <v>21</v>
      </c>
      <c r="F91" s="1333" t="s">
        <v>240</v>
      </c>
      <c r="G91" s="1392">
        <v>9310</v>
      </c>
      <c r="H91" s="864">
        <f t="shared" ref="H91" si="17">ROUND(E91*G91,)</f>
        <v>195510</v>
      </c>
      <c r="I91" s="1392">
        <v>250</v>
      </c>
      <c r="J91" s="1395">
        <f t="shared" ref="J91" si="18">ROUND(E91*I91,)</f>
        <v>5250</v>
      </c>
      <c r="K91" s="966">
        <f t="shared" ref="K91" si="19">H91+J91</f>
        <v>200760</v>
      </c>
      <c r="L91" s="1019"/>
      <c r="M91" s="1328"/>
    </row>
    <row r="92" spans="1:13" s="1329" customFormat="1" ht="24" customHeight="1">
      <c r="A92" s="1519"/>
      <c r="B92" s="1331" t="s">
        <v>957</v>
      </c>
      <c r="C92" s="801"/>
      <c r="D92" s="801"/>
      <c r="E92" s="1019"/>
      <c r="F92" s="1310"/>
      <c r="G92" s="1400"/>
      <c r="H92" s="773"/>
      <c r="I92" s="1400"/>
      <c r="J92" s="1401"/>
      <c r="K92" s="1019"/>
      <c r="L92" s="1019"/>
      <c r="M92" s="1328"/>
    </row>
    <row r="93" spans="1:13" s="1329" customFormat="1" ht="24" customHeight="1">
      <c r="A93" s="1519"/>
      <c r="B93" s="1331" t="s">
        <v>958</v>
      </c>
      <c r="C93" s="801"/>
      <c r="D93" s="801"/>
      <c r="E93" s="1019"/>
      <c r="F93" s="1310"/>
      <c r="G93" s="1400"/>
      <c r="H93" s="773"/>
      <c r="I93" s="1400"/>
      <c r="J93" s="1401"/>
      <c r="K93" s="1019"/>
      <c r="L93" s="1019"/>
      <c r="M93" s="1328"/>
    </row>
    <row r="94" spans="1:13" s="1329" customFormat="1" ht="24" customHeight="1">
      <c r="A94" s="1519"/>
      <c r="B94" s="1331"/>
      <c r="C94" s="801"/>
      <c r="D94" s="801"/>
      <c r="E94" s="1019"/>
      <c r="F94" s="1310"/>
      <c r="G94" s="1400"/>
      <c r="H94" s="773"/>
      <c r="I94" s="1400"/>
      <c r="J94" s="1401"/>
      <c r="K94" s="1019"/>
      <c r="L94" s="1019"/>
      <c r="M94" s="1328"/>
    </row>
    <row r="95" spans="1:13" s="1329" customFormat="1" ht="24" customHeight="1">
      <c r="A95" s="1519"/>
      <c r="B95" s="1331" t="s">
        <v>958</v>
      </c>
      <c r="C95" s="801"/>
      <c r="D95" s="801"/>
      <c r="E95" s="1019"/>
      <c r="F95" s="1310"/>
      <c r="G95" s="1400"/>
      <c r="H95" s="773"/>
      <c r="I95" s="1400"/>
      <c r="J95" s="1401"/>
      <c r="K95" s="1019"/>
      <c r="L95" s="1019"/>
      <c r="M95" s="1328"/>
    </row>
    <row r="96" spans="1:13" s="886" customFormat="1" ht="24" customHeight="1">
      <c r="A96" s="1510"/>
      <c r="B96" s="2475" t="str">
        <f>"รวมราคารายการที่ "&amp;A86</f>
        <v>รวมราคารายการที่ 7.4</v>
      </c>
      <c r="C96" s="2476"/>
      <c r="D96" s="2476"/>
      <c r="E96" s="1511"/>
      <c r="F96" s="1512"/>
      <c r="G96" s="1513"/>
      <c r="H96" s="1514">
        <f>SUM(H86:H95)</f>
        <v>202854</v>
      </c>
      <c r="I96" s="1515"/>
      <c r="J96" s="1516">
        <f>SUM(J86:J95)</f>
        <v>5550</v>
      </c>
      <c r="K96" s="1517">
        <f>SUM(K86:K95)</f>
        <v>208404</v>
      </c>
      <c r="L96" s="1517"/>
      <c r="M96" s="1342"/>
    </row>
    <row r="97" spans="1:15" s="1329" customFormat="1" ht="24" customHeight="1">
      <c r="A97" s="1325">
        <v>7.5</v>
      </c>
      <c r="B97" s="1326" t="s">
        <v>2003</v>
      </c>
      <c r="C97" s="1347"/>
      <c r="D97" s="901"/>
      <c r="E97" s="1387"/>
      <c r="F97" s="1388"/>
      <c r="G97" s="1400"/>
      <c r="H97" s="864"/>
      <c r="I97" s="1389"/>
      <c r="J97" s="1395"/>
      <c r="K97" s="966"/>
      <c r="L97" s="1019"/>
      <c r="M97" s="1328"/>
    </row>
    <row r="98" spans="1:15" s="1329" customFormat="1" ht="24" customHeight="1">
      <c r="A98" s="1519" t="s">
        <v>1949</v>
      </c>
      <c r="B98" s="1331" t="s">
        <v>2021</v>
      </c>
      <c r="C98" s="801"/>
      <c r="D98" s="801"/>
      <c r="E98" s="1019"/>
      <c r="F98" s="1310"/>
      <c r="G98" s="1400"/>
      <c r="H98" s="773"/>
      <c r="I98" s="1400"/>
      <c r="J98" s="1401"/>
      <c r="K98" s="1019"/>
      <c r="L98" s="1019"/>
      <c r="M98" s="1328"/>
    </row>
    <row r="99" spans="1:15" s="1329" customFormat="1" ht="24" customHeight="1">
      <c r="A99" s="1519"/>
      <c r="B99" s="1331" t="str">
        <f t="shared" ref="B99:B102" si="20">"  -  "&amp;M99&amp;", ("&amp;N99&amp;" L/s)"</f>
        <v xml:space="preserve">  -  C1-2EAF-01, (115 L/s)</v>
      </c>
      <c r="C99" s="801"/>
      <c r="D99" s="801"/>
      <c r="E99" s="1022">
        <f t="shared" ref="E99:E102" si="21">O99</f>
        <v>1</v>
      </c>
      <c r="F99" s="1310" t="s">
        <v>240</v>
      </c>
      <c r="G99" s="1400">
        <v>1040</v>
      </c>
      <c r="H99" s="773">
        <f t="shared" ref="H99:H108" si="22">ROUND(E99*G99,)</f>
        <v>1040</v>
      </c>
      <c r="I99" s="1400">
        <v>500</v>
      </c>
      <c r="J99" s="1401">
        <f t="shared" ref="J99:J108" si="23">ROUND(E99*I99,)</f>
        <v>500</v>
      </c>
      <c r="K99" s="1019">
        <f t="shared" ref="K99:K108" si="24">H99+J99</f>
        <v>1540</v>
      </c>
      <c r="L99" s="1019"/>
      <c r="M99" s="1328" t="s">
        <v>2286</v>
      </c>
      <c r="N99" s="1329">
        <v>115</v>
      </c>
      <c r="O99" s="1329">
        <v>1</v>
      </c>
    </row>
    <row r="100" spans="1:15" s="1329" customFormat="1" ht="24" customHeight="1">
      <c r="A100" s="1519"/>
      <c r="B100" s="1331" t="str">
        <f t="shared" si="20"/>
        <v xml:space="preserve">  -  C1-2EAF-02, (115 L/s)</v>
      </c>
      <c r="C100" s="801"/>
      <c r="D100" s="801"/>
      <c r="E100" s="1022">
        <f t="shared" si="21"/>
        <v>1</v>
      </c>
      <c r="F100" s="1310" t="s">
        <v>240</v>
      </c>
      <c r="G100" s="1400">
        <v>1040</v>
      </c>
      <c r="H100" s="773">
        <f t="shared" si="22"/>
        <v>1040</v>
      </c>
      <c r="I100" s="1400">
        <v>500</v>
      </c>
      <c r="J100" s="1401">
        <f t="shared" si="23"/>
        <v>500</v>
      </c>
      <c r="K100" s="1019">
        <f t="shared" si="24"/>
        <v>1540</v>
      </c>
      <c r="L100" s="1019"/>
      <c r="M100" s="1328" t="s">
        <v>2287</v>
      </c>
      <c r="N100" s="1329">
        <v>115</v>
      </c>
      <c r="O100" s="1329">
        <v>1</v>
      </c>
    </row>
    <row r="101" spans="1:15" s="1329" customFormat="1" ht="24" customHeight="1">
      <c r="A101" s="1519"/>
      <c r="B101" s="1331" t="str">
        <f t="shared" si="20"/>
        <v xml:space="preserve">  -  C2-2EAF-01, (115 L/s)</v>
      </c>
      <c r="C101" s="801"/>
      <c r="D101" s="801"/>
      <c r="E101" s="1022">
        <f t="shared" si="21"/>
        <v>1</v>
      </c>
      <c r="F101" s="1310" t="s">
        <v>240</v>
      </c>
      <c r="G101" s="1400">
        <v>1040</v>
      </c>
      <c r="H101" s="773">
        <f t="shared" si="22"/>
        <v>1040</v>
      </c>
      <c r="I101" s="1400">
        <v>500</v>
      </c>
      <c r="J101" s="1401">
        <f t="shared" si="23"/>
        <v>500</v>
      </c>
      <c r="K101" s="1019">
        <f t="shared" si="24"/>
        <v>1540</v>
      </c>
      <c r="L101" s="1019"/>
      <c r="M101" s="1328" t="s">
        <v>2288</v>
      </c>
      <c r="N101" s="1329">
        <v>115</v>
      </c>
      <c r="O101" s="1329">
        <v>1</v>
      </c>
    </row>
    <row r="102" spans="1:15" s="1329" customFormat="1" ht="24" customHeight="1">
      <c r="A102" s="1519"/>
      <c r="B102" s="1331" t="str">
        <f t="shared" si="20"/>
        <v xml:space="preserve">  -  C2-2EAF-02, (115 L/s)</v>
      </c>
      <c r="C102" s="801"/>
      <c r="D102" s="801"/>
      <c r="E102" s="1022">
        <f t="shared" si="21"/>
        <v>1</v>
      </c>
      <c r="F102" s="1310" t="s">
        <v>240</v>
      </c>
      <c r="G102" s="1400">
        <v>1040</v>
      </c>
      <c r="H102" s="773">
        <f t="shared" si="22"/>
        <v>1040</v>
      </c>
      <c r="I102" s="1400">
        <v>500</v>
      </c>
      <c r="J102" s="1401">
        <f t="shared" si="23"/>
        <v>500</v>
      </c>
      <c r="K102" s="1019">
        <f t="shared" si="24"/>
        <v>1540</v>
      </c>
      <c r="L102" s="1019"/>
      <c r="M102" s="1328" t="s">
        <v>2289</v>
      </c>
      <c r="N102" s="1329">
        <v>115</v>
      </c>
      <c r="O102" s="1329">
        <v>1</v>
      </c>
    </row>
    <row r="103" spans="1:15" s="1329" customFormat="1" ht="24" customHeight="1">
      <c r="A103" s="1340" t="s">
        <v>1955</v>
      </c>
      <c r="B103" s="1331" t="s">
        <v>2168</v>
      </c>
      <c r="C103" s="801"/>
      <c r="D103" s="801"/>
      <c r="E103" s="1022"/>
      <c r="F103" s="1333"/>
      <c r="G103" s="1392"/>
      <c r="H103" s="751"/>
      <c r="I103" s="1392"/>
      <c r="J103" s="1393"/>
      <c r="K103" s="1022"/>
      <c r="L103" s="1022"/>
      <c r="M103" s="1328"/>
    </row>
    <row r="104" spans="1:15" s="1329" customFormat="1" ht="24" customHeight="1">
      <c r="A104" s="1340"/>
      <c r="B104" s="1331" t="str">
        <f t="shared" ref="B104:B107" si="25">"  -  "&amp;M104&amp;", ("&amp;N104&amp;" L/s)"</f>
        <v xml:space="preserve">  -  C1-2EAF-03, (775 L/s)</v>
      </c>
      <c r="C104" s="801"/>
      <c r="D104" s="801"/>
      <c r="E104" s="1022">
        <f t="shared" ref="E104:E107" si="26">O104</f>
        <v>1</v>
      </c>
      <c r="F104" s="1333" t="s">
        <v>240</v>
      </c>
      <c r="G104" s="1496">
        <v>17300</v>
      </c>
      <c r="H104" s="864">
        <f t="shared" ref="H104:H107" si="27">ROUND(E104*G104,)</f>
        <v>17300</v>
      </c>
      <c r="I104" s="1392">
        <v>710</v>
      </c>
      <c r="J104" s="1393">
        <f t="shared" ref="J104:J107" si="28">ROUND(E104*I104,)</f>
        <v>710</v>
      </c>
      <c r="K104" s="1022">
        <f t="shared" ref="K104:K107" si="29">H104+J104</f>
        <v>18010</v>
      </c>
      <c r="L104" s="1022"/>
      <c r="M104" s="1328" t="s">
        <v>2290</v>
      </c>
      <c r="N104" s="1329">
        <v>775</v>
      </c>
      <c r="O104" s="1329">
        <v>1</v>
      </c>
    </row>
    <row r="105" spans="1:15" s="1329" customFormat="1" ht="24" customHeight="1">
      <c r="A105" s="1340"/>
      <c r="B105" s="1331" t="str">
        <f t="shared" si="25"/>
        <v xml:space="preserve">  -  C1-2EAF-04, (595 L/s)</v>
      </c>
      <c r="C105" s="801"/>
      <c r="D105" s="801"/>
      <c r="E105" s="1022">
        <f t="shared" si="26"/>
        <v>1</v>
      </c>
      <c r="F105" s="1333" t="s">
        <v>240</v>
      </c>
      <c r="G105" s="1496">
        <v>14200</v>
      </c>
      <c r="H105" s="864">
        <f t="shared" si="27"/>
        <v>14200</v>
      </c>
      <c r="I105" s="1392">
        <v>710</v>
      </c>
      <c r="J105" s="1393">
        <f t="shared" si="28"/>
        <v>710</v>
      </c>
      <c r="K105" s="1022">
        <f t="shared" si="29"/>
        <v>14910</v>
      </c>
      <c r="L105" s="1022"/>
      <c r="M105" s="1328" t="s">
        <v>2291</v>
      </c>
      <c r="N105" s="1329">
        <v>595</v>
      </c>
      <c r="O105" s="1329">
        <v>1</v>
      </c>
    </row>
    <row r="106" spans="1:15" s="1329" customFormat="1" ht="24" customHeight="1">
      <c r="A106" s="1340"/>
      <c r="B106" s="1331" t="str">
        <f t="shared" si="25"/>
        <v xml:space="preserve">  -  C2-2EAF-03, (775 L/s)</v>
      </c>
      <c r="C106" s="801"/>
      <c r="D106" s="801"/>
      <c r="E106" s="1022">
        <f t="shared" si="26"/>
        <v>1</v>
      </c>
      <c r="F106" s="1333" t="s">
        <v>240</v>
      </c>
      <c r="G106" s="1496">
        <v>17300</v>
      </c>
      <c r="H106" s="864">
        <f t="shared" si="27"/>
        <v>17300</v>
      </c>
      <c r="I106" s="1392">
        <v>710</v>
      </c>
      <c r="J106" s="1393">
        <f t="shared" si="28"/>
        <v>710</v>
      </c>
      <c r="K106" s="1022">
        <f t="shared" si="29"/>
        <v>18010</v>
      </c>
      <c r="L106" s="1022"/>
      <c r="M106" s="1328" t="s">
        <v>2292</v>
      </c>
      <c r="N106" s="1329">
        <v>775</v>
      </c>
      <c r="O106" s="1329">
        <v>1</v>
      </c>
    </row>
    <row r="107" spans="1:15" s="1329" customFormat="1" ht="24" customHeight="1">
      <c r="A107" s="1340"/>
      <c r="B107" s="1331" t="str">
        <f t="shared" si="25"/>
        <v xml:space="preserve">  -  C2-2EAF-04, (595 L/s)</v>
      </c>
      <c r="C107" s="801"/>
      <c r="D107" s="801"/>
      <c r="E107" s="1022">
        <f t="shared" si="26"/>
        <v>1</v>
      </c>
      <c r="F107" s="1333" t="s">
        <v>240</v>
      </c>
      <c r="G107" s="1496">
        <v>14200</v>
      </c>
      <c r="H107" s="864">
        <f t="shared" si="27"/>
        <v>14200</v>
      </c>
      <c r="I107" s="1392">
        <v>710</v>
      </c>
      <c r="J107" s="1393">
        <f t="shared" si="28"/>
        <v>710</v>
      </c>
      <c r="K107" s="1022">
        <f t="shared" si="29"/>
        <v>14910</v>
      </c>
      <c r="L107" s="1022"/>
      <c r="M107" s="1328" t="s">
        <v>2293</v>
      </c>
      <c r="N107" s="1329">
        <v>595</v>
      </c>
      <c r="O107" s="1329">
        <v>1</v>
      </c>
    </row>
    <row r="108" spans="1:15" s="1329" customFormat="1" ht="24" customHeight="1">
      <c r="A108" s="1519" t="s">
        <v>2173</v>
      </c>
      <c r="B108" s="1331" t="s">
        <v>1996</v>
      </c>
      <c r="C108" s="801"/>
      <c r="D108" s="801"/>
      <c r="E108" s="1019">
        <f>SUM(E104:E107)</f>
        <v>4</v>
      </c>
      <c r="F108" s="1310" t="s">
        <v>948</v>
      </c>
      <c r="G108" s="1400">
        <v>800</v>
      </c>
      <c r="H108" s="773">
        <f t="shared" si="22"/>
        <v>3200</v>
      </c>
      <c r="I108" s="1400">
        <f>G108*0.3</f>
        <v>240</v>
      </c>
      <c r="J108" s="1401">
        <f t="shared" si="23"/>
        <v>960</v>
      </c>
      <c r="K108" s="1019">
        <f t="shared" si="24"/>
        <v>4160</v>
      </c>
      <c r="L108" s="1019"/>
      <c r="M108" s="1328"/>
    </row>
    <row r="109" spans="1:15" s="1329" customFormat="1" ht="24" customHeight="1">
      <c r="A109" s="1519"/>
      <c r="B109" s="1331" t="s">
        <v>957</v>
      </c>
      <c r="C109" s="801"/>
      <c r="D109" s="801"/>
      <c r="E109" s="1019"/>
      <c r="F109" s="1310"/>
      <c r="G109" s="1400"/>
      <c r="H109" s="773"/>
      <c r="I109" s="1400"/>
      <c r="J109" s="1401"/>
      <c r="K109" s="1019"/>
      <c r="L109" s="1019"/>
      <c r="M109" s="1328"/>
    </row>
    <row r="110" spans="1:15" s="886" customFormat="1" ht="24" customHeight="1">
      <c r="A110" s="1510"/>
      <c r="B110" s="2475" t="str">
        <f>"รวมราคารายการที่ "&amp;A97</f>
        <v>รวมราคารายการที่ 7.5</v>
      </c>
      <c r="C110" s="2476"/>
      <c r="D110" s="2476"/>
      <c r="E110" s="1511"/>
      <c r="F110" s="1512"/>
      <c r="G110" s="1513"/>
      <c r="H110" s="1514">
        <f>SUM(H97:H109)</f>
        <v>70360</v>
      </c>
      <c r="I110" s="1515"/>
      <c r="J110" s="1516">
        <f>SUM(J97:J109)</f>
        <v>5800</v>
      </c>
      <c r="K110" s="1517">
        <f>SUM(K97:K109)</f>
        <v>76160</v>
      </c>
      <c r="L110" s="1517"/>
      <c r="M110" s="1342"/>
    </row>
    <row r="111" spans="1:15" s="1329" customFormat="1" ht="24" customHeight="1">
      <c r="A111" s="1325" t="s">
        <v>2032</v>
      </c>
      <c r="B111" s="1518" t="s">
        <v>2174</v>
      </c>
      <c r="C111" s="1347"/>
      <c r="D111" s="901"/>
      <c r="E111" s="1387"/>
      <c r="F111" s="1388"/>
      <c r="G111" s="1400"/>
      <c r="H111" s="864"/>
      <c r="I111" s="1389"/>
      <c r="J111" s="1395"/>
      <c r="K111" s="966"/>
      <c r="L111" s="1019"/>
      <c r="M111" s="1328"/>
    </row>
    <row r="112" spans="1:15" s="1329" customFormat="1" ht="24" customHeight="1">
      <c r="A112" s="1481" t="s">
        <v>1949</v>
      </c>
      <c r="B112" s="1331" t="s">
        <v>2175</v>
      </c>
      <c r="C112" s="801"/>
      <c r="D112" s="801"/>
      <c r="E112" s="1019"/>
      <c r="F112" s="1310"/>
      <c r="G112" s="1400"/>
      <c r="H112" s="773"/>
      <c r="I112" s="1400"/>
      <c r="J112" s="1401"/>
      <c r="K112" s="1019"/>
      <c r="L112" s="1019"/>
      <c r="M112" s="1328"/>
    </row>
    <row r="113" spans="1:13" s="1329" customFormat="1" ht="24" customHeight="1">
      <c r="A113" s="1481"/>
      <c r="B113" s="1331" t="s">
        <v>2176</v>
      </c>
      <c r="C113" s="801"/>
      <c r="D113" s="801"/>
      <c r="E113" s="1019">
        <f>E91</f>
        <v>21</v>
      </c>
      <c r="F113" s="1310" t="s">
        <v>240</v>
      </c>
      <c r="G113" s="1497">
        <v>800</v>
      </c>
      <c r="H113" s="1180">
        <f>E113*G113</f>
        <v>16800</v>
      </c>
      <c r="I113" s="849">
        <v>150</v>
      </c>
      <c r="J113" s="1498">
        <f>I113*E113</f>
        <v>3150</v>
      </c>
      <c r="K113" s="1182">
        <f>H113+J113</f>
        <v>19950</v>
      </c>
      <c r="L113" s="1019"/>
      <c r="M113" s="1328"/>
    </row>
    <row r="114" spans="1:13" s="1329" customFormat="1" ht="24" customHeight="1">
      <c r="A114" s="1330" t="s">
        <v>1964</v>
      </c>
      <c r="B114" s="1331" t="s">
        <v>2177</v>
      </c>
      <c r="C114" s="801"/>
      <c r="D114" s="801"/>
      <c r="E114" s="1022"/>
      <c r="F114" s="1333"/>
      <c r="G114" s="1392"/>
      <c r="H114" s="751"/>
      <c r="I114" s="1392"/>
      <c r="J114" s="1393"/>
      <c r="K114" s="1022"/>
      <c r="L114" s="1022"/>
      <c r="M114" s="1328"/>
    </row>
    <row r="115" spans="1:13" s="1329" customFormat="1" ht="24" customHeight="1">
      <c r="A115" s="1330"/>
      <c r="B115" s="1331" t="s">
        <v>2178</v>
      </c>
      <c r="C115" s="801"/>
      <c r="D115" s="801"/>
      <c r="E115" s="1022">
        <f>E38</f>
        <v>1</v>
      </c>
      <c r="F115" s="1333" t="s">
        <v>240</v>
      </c>
      <c r="G115" s="1497">
        <v>2600</v>
      </c>
      <c r="H115" s="1180">
        <f>E115*G115</f>
        <v>2600</v>
      </c>
      <c r="I115" s="849">
        <v>200</v>
      </c>
      <c r="J115" s="1498">
        <f>I115*E115</f>
        <v>200</v>
      </c>
      <c r="K115" s="1182">
        <f>H115+J115</f>
        <v>2800</v>
      </c>
      <c r="L115" s="1022"/>
      <c r="M115" s="1328"/>
    </row>
    <row r="116" spans="1:13" s="1329" customFormat="1" ht="24" customHeight="1">
      <c r="A116" s="1481"/>
      <c r="B116" s="1331" t="s">
        <v>957</v>
      </c>
      <c r="C116" s="801"/>
      <c r="D116" s="801"/>
      <c r="E116" s="1019"/>
      <c r="F116" s="1310"/>
      <c r="G116" s="1400"/>
      <c r="H116" s="773"/>
      <c r="I116" s="1400"/>
      <c r="J116" s="1401"/>
      <c r="K116" s="1019"/>
      <c r="L116" s="1019"/>
      <c r="M116" s="1328"/>
    </row>
    <row r="117" spans="1:13" s="1329" customFormat="1" ht="24" customHeight="1">
      <c r="A117" s="1519"/>
      <c r="B117" s="1331" t="s">
        <v>1102</v>
      </c>
      <c r="C117" s="801"/>
      <c r="D117" s="801"/>
      <c r="E117" s="1019"/>
      <c r="F117" s="1310"/>
      <c r="G117" s="1400"/>
      <c r="H117" s="773"/>
      <c r="I117" s="1400"/>
      <c r="J117" s="1401"/>
      <c r="K117" s="1019"/>
      <c r="L117" s="1019"/>
      <c r="M117" s="1328"/>
    </row>
    <row r="118" spans="1:13" s="1329" customFormat="1" ht="24" customHeight="1">
      <c r="A118" s="1510"/>
      <c r="B118" s="2475" t="str">
        <f>"รวมราคารายการที่ "&amp;A111</f>
        <v>รวมราคารายการที่ 7.6</v>
      </c>
      <c r="C118" s="2476"/>
      <c r="D118" s="2476"/>
      <c r="E118" s="1511"/>
      <c r="F118" s="1512"/>
      <c r="G118" s="1513"/>
      <c r="H118" s="1514">
        <f>SUM(H111:H117)</f>
        <v>19400</v>
      </c>
      <c r="I118" s="1515"/>
      <c r="J118" s="1516">
        <f>SUM(J111:J117)</f>
        <v>3350</v>
      </c>
      <c r="K118" s="1517">
        <f>SUM(K111:K117)</f>
        <v>22750</v>
      </c>
      <c r="L118" s="1517"/>
      <c r="M118" s="1328"/>
    </row>
    <row r="119" spans="1:13" s="1329" customFormat="1" ht="24" customHeight="1">
      <c r="A119" s="1325" t="s">
        <v>1967</v>
      </c>
      <c r="B119" s="1339" t="s">
        <v>1909</v>
      </c>
      <c r="C119" s="901"/>
      <c r="D119" s="901"/>
      <c r="E119" s="1019"/>
      <c r="F119" s="1310"/>
      <c r="G119" s="1400"/>
      <c r="H119" s="773"/>
      <c r="I119" s="1400"/>
      <c r="J119" s="1401"/>
      <c r="K119" s="1019"/>
      <c r="L119" s="1019"/>
      <c r="M119" s="1328"/>
    </row>
    <row r="120" spans="1:13" s="1329" customFormat="1" ht="24" customHeight="1">
      <c r="A120" s="1481" t="s">
        <v>1969</v>
      </c>
      <c r="B120" s="1331" t="s">
        <v>1911</v>
      </c>
      <c r="C120" s="801"/>
      <c r="D120" s="801"/>
      <c r="E120" s="1387"/>
      <c r="F120" s="1388"/>
      <c r="G120" s="1400"/>
      <c r="H120" s="864"/>
      <c r="I120" s="1389"/>
      <c r="J120" s="1395"/>
      <c r="K120" s="966"/>
      <c r="L120" s="1019"/>
      <c r="M120" s="1328"/>
    </row>
    <row r="121" spans="1:13" s="1329" customFormat="1" ht="24" customHeight="1">
      <c r="A121" s="1481"/>
      <c r="B121" s="1331" t="s">
        <v>2028</v>
      </c>
      <c r="C121" s="801"/>
      <c r="D121" s="801"/>
      <c r="E121" s="1019">
        <v>10</v>
      </c>
      <c r="F121" s="1348" t="s">
        <v>438</v>
      </c>
      <c r="G121" s="1479">
        <v>69.5</v>
      </c>
      <c r="H121" s="1499">
        <f>ROUND(E121*G121,)</f>
        <v>695</v>
      </c>
      <c r="I121" s="1480">
        <v>30</v>
      </c>
      <c r="J121" s="1500">
        <f>ROUND(E121*I121,)</f>
        <v>300</v>
      </c>
      <c r="K121" s="1403">
        <f t="shared" ref="K121:K132" si="30">H121+J121</f>
        <v>995</v>
      </c>
      <c r="L121" s="1022"/>
      <c r="M121" s="1328"/>
    </row>
    <row r="122" spans="1:13" s="1329" customFormat="1" ht="24" customHeight="1">
      <c r="A122" s="1481"/>
      <c r="B122" s="1331" t="s">
        <v>1822</v>
      </c>
      <c r="C122" s="801"/>
      <c r="D122" s="801"/>
      <c r="E122" s="1019"/>
      <c r="F122" s="1348" t="s">
        <v>438</v>
      </c>
      <c r="G122" s="1257">
        <v>103.5</v>
      </c>
      <c r="H122" s="1499">
        <f t="shared" ref="H122:H139" si="31">ROUND(E122*G122,)</f>
        <v>0</v>
      </c>
      <c r="I122" s="849">
        <v>45</v>
      </c>
      <c r="J122" s="1500">
        <f t="shared" ref="J122:J132" si="32">ROUND(E122*I122,)</f>
        <v>0</v>
      </c>
      <c r="K122" s="1403">
        <f t="shared" si="30"/>
        <v>0</v>
      </c>
      <c r="L122" s="1022"/>
      <c r="M122" s="1328"/>
    </row>
    <row r="123" spans="1:13" s="1329" customFormat="1" ht="24" customHeight="1">
      <c r="A123" s="1481"/>
      <c r="B123" s="1331" t="s">
        <v>1186</v>
      </c>
      <c r="C123" s="801"/>
      <c r="D123" s="801"/>
      <c r="E123" s="1019">
        <v>211</v>
      </c>
      <c r="F123" s="1348" t="s">
        <v>438</v>
      </c>
      <c r="G123" s="1257">
        <v>140</v>
      </c>
      <c r="H123" s="1499">
        <f t="shared" si="31"/>
        <v>29540</v>
      </c>
      <c r="I123" s="849">
        <v>60</v>
      </c>
      <c r="J123" s="1500">
        <f t="shared" si="32"/>
        <v>12660</v>
      </c>
      <c r="K123" s="1403">
        <f t="shared" si="30"/>
        <v>42200</v>
      </c>
      <c r="L123" s="1022"/>
      <c r="M123" s="1328"/>
    </row>
    <row r="124" spans="1:13" s="1329" customFormat="1" ht="24" customHeight="1">
      <c r="A124" s="1481"/>
      <c r="B124" s="1331" t="s">
        <v>1187</v>
      </c>
      <c r="C124" s="801"/>
      <c r="D124" s="801"/>
      <c r="E124" s="1019">
        <v>32</v>
      </c>
      <c r="F124" s="1348" t="s">
        <v>438</v>
      </c>
      <c r="G124" s="1402">
        <v>168</v>
      </c>
      <c r="H124" s="1499">
        <f t="shared" si="31"/>
        <v>5376</v>
      </c>
      <c r="I124" s="1496">
        <v>70</v>
      </c>
      <c r="J124" s="1500">
        <f t="shared" si="32"/>
        <v>2240</v>
      </c>
      <c r="K124" s="1403">
        <f t="shared" si="30"/>
        <v>7616</v>
      </c>
      <c r="L124" s="1022"/>
      <c r="M124" s="1328"/>
    </row>
    <row r="125" spans="1:13" s="1329" customFormat="1" ht="24" customHeight="1">
      <c r="A125" s="1481"/>
      <c r="B125" s="1331" t="s">
        <v>1188</v>
      </c>
      <c r="C125" s="801"/>
      <c r="D125" s="801"/>
      <c r="E125" s="1019">
        <v>75</v>
      </c>
      <c r="F125" s="1348" t="s">
        <v>438</v>
      </c>
      <c r="G125" s="1402">
        <v>225</v>
      </c>
      <c r="H125" s="1499">
        <f t="shared" si="31"/>
        <v>16875</v>
      </c>
      <c r="I125" s="1496">
        <v>95</v>
      </c>
      <c r="J125" s="1500">
        <f t="shared" si="32"/>
        <v>7125</v>
      </c>
      <c r="K125" s="1403">
        <f t="shared" si="30"/>
        <v>24000</v>
      </c>
      <c r="L125" s="1022"/>
      <c r="M125" s="1328"/>
    </row>
    <row r="126" spans="1:13" s="1329" customFormat="1" ht="24" customHeight="1">
      <c r="A126" s="1481"/>
      <c r="B126" s="1331" t="s">
        <v>1189</v>
      </c>
      <c r="C126" s="801"/>
      <c r="D126" s="801"/>
      <c r="E126" s="1019">
        <v>104</v>
      </c>
      <c r="F126" s="1348" t="s">
        <v>438</v>
      </c>
      <c r="G126" s="1400">
        <v>357</v>
      </c>
      <c r="H126" s="1499">
        <f t="shared" si="31"/>
        <v>37128</v>
      </c>
      <c r="I126" s="1400">
        <v>150</v>
      </c>
      <c r="J126" s="1500">
        <f t="shared" si="32"/>
        <v>15600</v>
      </c>
      <c r="K126" s="1403">
        <f t="shared" si="30"/>
        <v>52728</v>
      </c>
      <c r="L126" s="1022"/>
      <c r="M126" s="1328"/>
    </row>
    <row r="127" spans="1:13" s="1329" customFormat="1" ht="24" customHeight="1">
      <c r="A127" s="1481"/>
      <c r="B127" s="1331" t="s">
        <v>1190</v>
      </c>
      <c r="C127" s="801"/>
      <c r="D127" s="801"/>
      <c r="E127" s="1019">
        <v>58</v>
      </c>
      <c r="F127" s="1348" t="s">
        <v>438</v>
      </c>
      <c r="G127" s="1400">
        <v>467</v>
      </c>
      <c r="H127" s="1499">
        <f t="shared" si="31"/>
        <v>27086</v>
      </c>
      <c r="I127" s="1400">
        <v>200</v>
      </c>
      <c r="J127" s="1500">
        <f t="shared" si="32"/>
        <v>11600</v>
      </c>
      <c r="K127" s="1403">
        <f t="shared" si="30"/>
        <v>38686</v>
      </c>
      <c r="L127" s="1022"/>
      <c r="M127" s="1328"/>
    </row>
    <row r="128" spans="1:13" s="1329" customFormat="1" ht="24" customHeight="1">
      <c r="A128" s="1481"/>
      <c r="B128" s="1331" t="s">
        <v>951</v>
      </c>
      <c r="C128" s="801"/>
      <c r="D128" s="801"/>
      <c r="E128" s="1019">
        <v>186</v>
      </c>
      <c r="F128" s="1348" t="s">
        <v>438</v>
      </c>
      <c r="G128" s="1400">
        <v>650</v>
      </c>
      <c r="H128" s="1499">
        <f t="shared" si="31"/>
        <v>120900</v>
      </c>
      <c r="I128" s="1400">
        <v>280</v>
      </c>
      <c r="J128" s="1500">
        <f t="shared" si="32"/>
        <v>52080</v>
      </c>
      <c r="K128" s="1403">
        <f t="shared" si="30"/>
        <v>172980</v>
      </c>
      <c r="L128" s="1022"/>
      <c r="M128" s="1328"/>
    </row>
    <row r="129" spans="1:15" s="1329" customFormat="1" ht="24" customHeight="1">
      <c r="A129" s="1481"/>
      <c r="B129" s="1331" t="s">
        <v>1809</v>
      </c>
      <c r="C129" s="801"/>
      <c r="D129" s="801"/>
      <c r="E129" s="1019"/>
      <c r="F129" s="1348" t="s">
        <v>438</v>
      </c>
      <c r="G129" s="1400">
        <v>1168</v>
      </c>
      <c r="H129" s="1499">
        <f t="shared" si="31"/>
        <v>0</v>
      </c>
      <c r="I129" s="1400">
        <v>420</v>
      </c>
      <c r="J129" s="1500">
        <f t="shared" si="32"/>
        <v>0</v>
      </c>
      <c r="K129" s="1403">
        <f t="shared" si="30"/>
        <v>0</v>
      </c>
      <c r="L129" s="1019"/>
      <c r="M129" s="1328"/>
    </row>
    <row r="130" spans="1:15" s="1329" customFormat="1" ht="24" customHeight="1">
      <c r="A130" s="1481"/>
      <c r="B130" s="1331" t="s">
        <v>1645</v>
      </c>
      <c r="C130" s="801"/>
      <c r="D130" s="801"/>
      <c r="E130" s="1019">
        <v>1</v>
      </c>
      <c r="F130" s="1310" t="s">
        <v>948</v>
      </c>
      <c r="G130" s="1402">
        <f>SUM(H121:H129)*50%</f>
        <v>118800</v>
      </c>
      <c r="H130" s="1499">
        <f t="shared" si="31"/>
        <v>118800</v>
      </c>
      <c r="I130" s="1402">
        <f>ROUND(G130*0.3,)</f>
        <v>35640</v>
      </c>
      <c r="J130" s="1500">
        <f t="shared" si="32"/>
        <v>35640</v>
      </c>
      <c r="K130" s="1403">
        <f t="shared" si="30"/>
        <v>154440</v>
      </c>
      <c r="L130" s="1019"/>
      <c r="M130" s="1328"/>
    </row>
    <row r="131" spans="1:15" s="1329" customFormat="1" ht="24" customHeight="1">
      <c r="A131" s="1481"/>
      <c r="B131" s="1331" t="s">
        <v>1646</v>
      </c>
      <c r="C131" s="801"/>
      <c r="D131" s="801"/>
      <c r="E131" s="1019">
        <v>1</v>
      </c>
      <c r="F131" s="1310" t="s">
        <v>948</v>
      </c>
      <c r="G131" s="1402">
        <f>ROUND(SUM(H121:H129)*20%,)</f>
        <v>47520</v>
      </c>
      <c r="H131" s="905">
        <f t="shared" si="31"/>
        <v>47520</v>
      </c>
      <c r="I131" s="1402">
        <f>SUM(J121:J130)*20%</f>
        <v>27449</v>
      </c>
      <c r="J131" s="1500">
        <f t="shared" si="32"/>
        <v>27449</v>
      </c>
      <c r="K131" s="1403">
        <f t="shared" si="30"/>
        <v>74969</v>
      </c>
      <c r="L131" s="1019"/>
      <c r="M131" s="1328"/>
    </row>
    <row r="132" spans="1:15" s="1329" customFormat="1" ht="24" customHeight="1">
      <c r="A132" s="1481"/>
      <c r="B132" s="1331" t="s">
        <v>1647</v>
      </c>
      <c r="C132" s="801"/>
      <c r="D132" s="801"/>
      <c r="E132" s="1019">
        <v>1</v>
      </c>
      <c r="F132" s="1310" t="s">
        <v>948</v>
      </c>
      <c r="G132" s="1402">
        <f>ROUND(SUM(H121:H129)*10%,)</f>
        <v>23760</v>
      </c>
      <c r="H132" s="905">
        <f t="shared" si="31"/>
        <v>23760</v>
      </c>
      <c r="I132" s="1402">
        <f>SUM(J121:J130)*10%</f>
        <v>13724.5</v>
      </c>
      <c r="J132" s="1500">
        <f t="shared" si="32"/>
        <v>13725</v>
      </c>
      <c r="K132" s="1403">
        <f t="shared" si="30"/>
        <v>37485</v>
      </c>
      <c r="L132" s="1019"/>
      <c r="M132" s="1328"/>
    </row>
    <row r="133" spans="1:15" s="1329" customFormat="1" ht="24" customHeight="1">
      <c r="A133" s="1481" t="s">
        <v>1974</v>
      </c>
      <c r="B133" s="1331" t="s">
        <v>1917</v>
      </c>
      <c r="C133" s="801"/>
      <c r="D133" s="801"/>
      <c r="E133" s="1019"/>
      <c r="F133" s="1310"/>
      <c r="G133" s="1400"/>
      <c r="H133" s="773"/>
      <c r="I133" s="1400"/>
      <c r="J133" s="1401"/>
      <c r="K133" s="1019"/>
      <c r="L133" s="1019"/>
      <c r="M133" s="1328"/>
    </row>
    <row r="134" spans="1:15" s="1329" customFormat="1" ht="24" customHeight="1">
      <c r="A134" s="1481"/>
      <c r="B134" s="1331" t="s">
        <v>1822</v>
      </c>
      <c r="C134" s="801"/>
      <c r="D134" s="801"/>
      <c r="E134" s="1019">
        <v>3</v>
      </c>
      <c r="F134" s="1348" t="s">
        <v>438</v>
      </c>
      <c r="G134" s="1402">
        <v>16</v>
      </c>
      <c r="H134" s="905">
        <f t="shared" si="31"/>
        <v>48</v>
      </c>
      <c r="I134" s="1496">
        <v>30</v>
      </c>
      <c r="J134" s="1500">
        <f t="shared" ref="J134:J137" si="33">ROUND(E134*I134,)</f>
        <v>90</v>
      </c>
      <c r="K134" s="1403">
        <f t="shared" ref="K134:K139" si="34">H134+J134</f>
        <v>138</v>
      </c>
      <c r="L134" s="2273" t="s">
        <v>2974</v>
      </c>
      <c r="M134" s="1328"/>
      <c r="N134" s="1329">
        <v>63.7</v>
      </c>
      <c r="O134" s="714">
        <f>ROUND(N134/4,)</f>
        <v>16</v>
      </c>
    </row>
    <row r="135" spans="1:15" s="1329" customFormat="1" ht="24" customHeight="1">
      <c r="A135" s="1481"/>
      <c r="B135" s="1331" t="s">
        <v>2029</v>
      </c>
      <c r="C135" s="801"/>
      <c r="D135" s="801"/>
      <c r="E135" s="1019">
        <v>183</v>
      </c>
      <c r="F135" s="1348" t="s">
        <v>438</v>
      </c>
      <c r="G135" s="1402">
        <v>20</v>
      </c>
      <c r="H135" s="905">
        <f t="shared" si="31"/>
        <v>3660</v>
      </c>
      <c r="I135" s="1496">
        <v>30</v>
      </c>
      <c r="J135" s="1500">
        <f t="shared" si="33"/>
        <v>5490</v>
      </c>
      <c r="K135" s="1403">
        <f t="shared" si="34"/>
        <v>9150</v>
      </c>
      <c r="L135" s="2273" t="s">
        <v>2974</v>
      </c>
      <c r="M135" s="1328"/>
      <c r="N135" s="1719">
        <v>79.17</v>
      </c>
      <c r="O135" s="714">
        <f>ROUND(N135/4,)</f>
        <v>20</v>
      </c>
    </row>
    <row r="136" spans="1:15" s="1329" customFormat="1" ht="24" customHeight="1">
      <c r="A136" s="1481"/>
      <c r="B136" s="1331" t="s">
        <v>2182</v>
      </c>
      <c r="C136" s="801"/>
      <c r="D136" s="801"/>
      <c r="E136" s="1019">
        <v>17</v>
      </c>
      <c r="F136" s="1348" t="s">
        <v>438</v>
      </c>
      <c r="G136" s="1402">
        <v>26</v>
      </c>
      <c r="H136" s="905">
        <f t="shared" si="31"/>
        <v>442</v>
      </c>
      <c r="I136" s="1496">
        <v>30</v>
      </c>
      <c r="J136" s="1500">
        <f t="shared" si="33"/>
        <v>510</v>
      </c>
      <c r="K136" s="1403">
        <f t="shared" si="34"/>
        <v>952</v>
      </c>
      <c r="L136" s="2273" t="s">
        <v>2974</v>
      </c>
      <c r="M136" s="1328"/>
      <c r="N136" s="1719">
        <v>103.74</v>
      </c>
      <c r="O136" s="714">
        <f>ROUND(N136/4,)</f>
        <v>26</v>
      </c>
    </row>
    <row r="137" spans="1:15" s="1329" customFormat="1" ht="24" customHeight="1">
      <c r="A137" s="1481"/>
      <c r="B137" s="1331" t="s">
        <v>1645</v>
      </c>
      <c r="C137" s="801"/>
      <c r="D137" s="801"/>
      <c r="E137" s="1022">
        <v>1</v>
      </c>
      <c r="F137" s="1333" t="s">
        <v>948</v>
      </c>
      <c r="G137" s="1402">
        <f>SUM(H134:H136)*40%</f>
        <v>1660</v>
      </c>
      <c r="H137" s="864">
        <f t="shared" si="31"/>
        <v>1660</v>
      </c>
      <c r="I137" s="1402">
        <f>ROUND(G137*0.3,)</f>
        <v>498</v>
      </c>
      <c r="J137" s="1395">
        <f t="shared" si="33"/>
        <v>498</v>
      </c>
      <c r="K137" s="966">
        <f t="shared" si="34"/>
        <v>2158</v>
      </c>
      <c r="L137" s="1019"/>
      <c r="M137" s="1328"/>
    </row>
    <row r="138" spans="1:15" s="1329" customFormat="1" ht="24" customHeight="1">
      <c r="A138" s="1481"/>
      <c r="B138" s="1331" t="s">
        <v>1646</v>
      </c>
      <c r="C138" s="801"/>
      <c r="D138" s="801"/>
      <c r="E138" s="1022">
        <v>1</v>
      </c>
      <c r="F138" s="1333" t="s">
        <v>948</v>
      </c>
      <c r="G138" s="1402">
        <f>SUM(H134:H136)*30%</f>
        <v>1245</v>
      </c>
      <c r="H138" s="864">
        <f t="shared" si="31"/>
        <v>1245</v>
      </c>
      <c r="I138" s="1402">
        <f>ROUND(G138*0.3,)</f>
        <v>374</v>
      </c>
      <c r="J138" s="1395">
        <f>ROUND(E138*I138,)</f>
        <v>374</v>
      </c>
      <c r="K138" s="966">
        <f t="shared" si="34"/>
        <v>1619</v>
      </c>
      <c r="L138" s="1019"/>
      <c r="M138" s="1328"/>
    </row>
    <row r="139" spans="1:15" s="1329" customFormat="1" ht="24" customHeight="1">
      <c r="A139" s="1481"/>
      <c r="B139" s="1331" t="s">
        <v>1647</v>
      </c>
      <c r="C139" s="801"/>
      <c r="D139" s="801"/>
      <c r="E139" s="1022">
        <v>1</v>
      </c>
      <c r="F139" s="1333" t="s">
        <v>948</v>
      </c>
      <c r="G139" s="1402">
        <f>SUM(H134:H136)*10%</f>
        <v>415</v>
      </c>
      <c r="H139" s="864">
        <f t="shared" si="31"/>
        <v>415</v>
      </c>
      <c r="I139" s="1402">
        <f>ROUND(G139*0.3,)</f>
        <v>125</v>
      </c>
      <c r="J139" s="1395">
        <f>ROUND(E139*I139,)</f>
        <v>125</v>
      </c>
      <c r="K139" s="966">
        <f t="shared" si="34"/>
        <v>540</v>
      </c>
      <c r="L139" s="1019"/>
      <c r="M139" s="1328"/>
    </row>
    <row r="140" spans="1:15" s="1329" customFormat="1" ht="24" customHeight="1">
      <c r="A140" s="1481"/>
      <c r="B140" s="1331" t="s">
        <v>957</v>
      </c>
      <c r="C140" s="801"/>
      <c r="D140" s="801"/>
      <c r="E140" s="1019"/>
      <c r="F140" s="1310"/>
      <c r="G140" s="1400"/>
      <c r="H140" s="773"/>
      <c r="I140" s="1400"/>
      <c r="J140" s="1401"/>
      <c r="K140" s="1019"/>
      <c r="L140" s="1019"/>
      <c r="M140" s="1328"/>
    </row>
    <row r="141" spans="1:15" s="886" customFormat="1" ht="24" customHeight="1">
      <c r="A141" s="1481"/>
      <c r="B141" s="1331" t="s">
        <v>958</v>
      </c>
      <c r="C141" s="801"/>
      <c r="D141" s="801"/>
      <c r="E141" s="1019"/>
      <c r="F141" s="1310"/>
      <c r="G141" s="1400"/>
      <c r="H141" s="773"/>
      <c r="I141" s="1400"/>
      <c r="J141" s="1401"/>
      <c r="K141" s="1019"/>
      <c r="L141" s="1019"/>
      <c r="M141" s="1342"/>
    </row>
    <row r="142" spans="1:15" s="1329" customFormat="1" ht="24" customHeight="1">
      <c r="A142" s="1510"/>
      <c r="B142" s="2475" t="str">
        <f>"รวมราคารายการที่ "&amp;A119</f>
        <v>รวมราคารายการที่ 7.7</v>
      </c>
      <c r="C142" s="2476"/>
      <c r="D142" s="2476"/>
      <c r="E142" s="1511"/>
      <c r="F142" s="1512"/>
      <c r="G142" s="1513"/>
      <c r="H142" s="1514">
        <f>SUM(H120:H141)</f>
        <v>435150</v>
      </c>
      <c r="I142" s="1515"/>
      <c r="J142" s="1516">
        <f>SUM(J120:J141)</f>
        <v>185506</v>
      </c>
      <c r="K142" s="1517">
        <f>SUM(K120:K141)</f>
        <v>620656</v>
      </c>
      <c r="L142" s="1517"/>
      <c r="M142" s="1328"/>
    </row>
    <row r="143" spans="1:15" s="1329" customFormat="1" ht="24" customHeight="1">
      <c r="A143" s="1405" t="s">
        <v>2038</v>
      </c>
      <c r="B143" s="1326" t="s">
        <v>1921</v>
      </c>
      <c r="C143" s="1347"/>
      <c r="D143" s="901"/>
      <c r="E143" s="1019"/>
      <c r="F143" s="1310"/>
      <c r="G143" s="1400"/>
      <c r="H143" s="864"/>
      <c r="I143" s="1400"/>
      <c r="J143" s="1395"/>
      <c r="K143" s="966"/>
      <c r="L143" s="1019"/>
      <c r="M143" s="1328"/>
    </row>
    <row r="144" spans="1:15" s="1329" customFormat="1" ht="24" customHeight="1">
      <c r="A144" s="1330" t="s">
        <v>1979</v>
      </c>
      <c r="B144" s="1331" t="s">
        <v>1923</v>
      </c>
      <c r="C144" s="1349"/>
      <c r="D144" s="890"/>
      <c r="E144" s="966"/>
      <c r="F144" s="1348"/>
      <c r="G144" s="1394"/>
      <c r="H144" s="905"/>
      <c r="I144" s="1406"/>
      <c r="J144" s="1407"/>
      <c r="K144" s="1030"/>
      <c r="L144" s="1030"/>
      <c r="M144" s="1328"/>
    </row>
    <row r="145" spans="1:13" s="1329" customFormat="1" ht="24" customHeight="1">
      <c r="A145" s="1330"/>
      <c r="B145" s="1331" t="s">
        <v>1822</v>
      </c>
      <c r="C145" s="1349"/>
      <c r="D145" s="890"/>
      <c r="E145" s="1019">
        <f>E134</f>
        <v>3</v>
      </c>
      <c r="F145" s="1348" t="s">
        <v>438</v>
      </c>
      <c r="G145" s="1257">
        <v>69</v>
      </c>
      <c r="H145" s="796">
        <f t="shared" ref="H145:H158" si="35">ROUND(E145*G145,)</f>
        <v>207</v>
      </c>
      <c r="I145" s="849">
        <f>ROUND(20*1*1.3,)</f>
        <v>26</v>
      </c>
      <c r="J145" s="1476">
        <f t="shared" ref="J145:J158" si="36">ROUND(E145*I145,)</f>
        <v>78</v>
      </c>
      <c r="K145" s="1014">
        <f t="shared" ref="K145:K159" si="37">H145+J145</f>
        <v>285</v>
      </c>
      <c r="L145" s="1030"/>
      <c r="M145" s="1328"/>
    </row>
    <row r="146" spans="1:13" s="1329" customFormat="1" ht="24" customHeight="1">
      <c r="A146" s="1330"/>
      <c r="B146" s="1331" t="s">
        <v>2029</v>
      </c>
      <c r="C146" s="1349"/>
      <c r="D146" s="890"/>
      <c r="E146" s="1019">
        <f>E135</f>
        <v>183</v>
      </c>
      <c r="F146" s="1348" t="s">
        <v>438</v>
      </c>
      <c r="G146" s="1257">
        <v>92</v>
      </c>
      <c r="H146" s="796">
        <f t="shared" si="35"/>
        <v>16836</v>
      </c>
      <c r="I146" s="849">
        <f>ROUND(20*1.25*1.3,)</f>
        <v>33</v>
      </c>
      <c r="J146" s="1476">
        <f t="shared" si="36"/>
        <v>6039</v>
      </c>
      <c r="K146" s="1014">
        <f t="shared" si="37"/>
        <v>22875</v>
      </c>
      <c r="L146" s="1030"/>
      <c r="M146" s="1328"/>
    </row>
    <row r="147" spans="1:13" s="1329" customFormat="1" ht="24" customHeight="1">
      <c r="A147" s="1330" t="s">
        <v>1980</v>
      </c>
      <c r="B147" s="1331" t="s">
        <v>2031</v>
      </c>
      <c r="C147" s="1349"/>
      <c r="D147" s="801"/>
      <c r="E147" s="966"/>
      <c r="F147" s="1249"/>
      <c r="G147" s="1394"/>
      <c r="H147" s="864"/>
      <c r="I147" s="1394"/>
      <c r="J147" s="1395"/>
      <c r="K147" s="966"/>
      <c r="L147" s="966"/>
      <c r="M147" s="1328"/>
    </row>
    <row r="148" spans="1:13" s="1329" customFormat="1" ht="24" customHeight="1">
      <c r="A148" s="1330"/>
      <c r="B148" s="1331" t="s">
        <v>2028</v>
      </c>
      <c r="C148" s="1349"/>
      <c r="D148" s="801"/>
      <c r="E148" s="1022">
        <f>E121</f>
        <v>10</v>
      </c>
      <c r="F148" s="1249" t="s">
        <v>438</v>
      </c>
      <c r="G148" s="1479">
        <v>69</v>
      </c>
      <c r="H148" s="796">
        <f t="shared" si="35"/>
        <v>690</v>
      </c>
      <c r="I148" s="1480">
        <f>ROUND(20*0.75*1.3,)</f>
        <v>20</v>
      </c>
      <c r="J148" s="1476">
        <f t="shared" si="36"/>
        <v>200</v>
      </c>
      <c r="K148" s="1014">
        <f t="shared" si="37"/>
        <v>890</v>
      </c>
      <c r="L148" s="966"/>
      <c r="M148" s="1328"/>
    </row>
    <row r="149" spans="1:13" s="1329" customFormat="1" ht="24" customHeight="1">
      <c r="A149" s="1330"/>
      <c r="B149" s="1331" t="s">
        <v>1822</v>
      </c>
      <c r="C149" s="1349"/>
      <c r="D149" s="801"/>
      <c r="E149" s="1022"/>
      <c r="F149" s="1249" t="s">
        <v>438</v>
      </c>
      <c r="G149" s="1257">
        <v>85</v>
      </c>
      <c r="H149" s="796">
        <f t="shared" si="35"/>
        <v>0</v>
      </c>
      <c r="I149" s="849">
        <f>ROUND(20*1*1.3,)</f>
        <v>26</v>
      </c>
      <c r="J149" s="1476">
        <f t="shared" si="36"/>
        <v>0</v>
      </c>
      <c r="K149" s="1014">
        <f t="shared" si="37"/>
        <v>0</v>
      </c>
      <c r="L149" s="966"/>
      <c r="M149" s="1328"/>
    </row>
    <row r="150" spans="1:13" s="1329" customFormat="1" ht="24" customHeight="1">
      <c r="A150" s="1330" t="s">
        <v>1981</v>
      </c>
      <c r="B150" s="1331" t="s">
        <v>2113</v>
      </c>
      <c r="C150" s="1349"/>
      <c r="D150" s="801"/>
      <c r="E150" s="966"/>
      <c r="F150" s="1249"/>
      <c r="G150" s="1394"/>
      <c r="H150" s="864"/>
      <c r="I150" s="1394"/>
      <c r="J150" s="1395"/>
      <c r="K150" s="966"/>
      <c r="L150" s="966"/>
      <c r="M150" s="1328"/>
    </row>
    <row r="151" spans="1:13" s="1329" customFormat="1" ht="24" customHeight="1">
      <c r="A151" s="1330"/>
      <c r="B151" s="1331" t="s">
        <v>1186</v>
      </c>
      <c r="C151" s="1349"/>
      <c r="D151" s="801"/>
      <c r="E151" s="1022">
        <f>E123</f>
        <v>211</v>
      </c>
      <c r="F151" s="1249" t="s">
        <v>438</v>
      </c>
      <c r="G151" s="1394">
        <v>108</v>
      </c>
      <c r="H151" s="796">
        <f t="shared" si="35"/>
        <v>22788</v>
      </c>
      <c r="I151" s="1394">
        <v>33</v>
      </c>
      <c r="J151" s="1476">
        <f t="shared" si="36"/>
        <v>6963</v>
      </c>
      <c r="K151" s="1014">
        <f t="shared" si="37"/>
        <v>29751</v>
      </c>
      <c r="L151" s="966"/>
      <c r="M151" s="1328"/>
    </row>
    <row r="152" spans="1:13" s="1329" customFormat="1" ht="24" customHeight="1">
      <c r="A152" s="1330"/>
      <c r="B152" s="1331" t="s">
        <v>1187</v>
      </c>
      <c r="C152" s="801"/>
      <c r="D152" s="801"/>
      <c r="E152" s="1022">
        <f>E124+E136</f>
        <v>49</v>
      </c>
      <c r="F152" s="1249" t="s">
        <v>438</v>
      </c>
      <c r="G152" s="1394">
        <v>164</v>
      </c>
      <c r="H152" s="796">
        <f t="shared" si="35"/>
        <v>8036</v>
      </c>
      <c r="I152" s="1394">
        <v>39</v>
      </c>
      <c r="J152" s="1476">
        <f t="shared" si="36"/>
        <v>1911</v>
      </c>
      <c r="K152" s="1014">
        <f t="shared" si="37"/>
        <v>9947</v>
      </c>
      <c r="L152" s="1022"/>
      <c r="M152" s="1328"/>
    </row>
    <row r="153" spans="1:13" s="1329" customFormat="1" ht="24" customHeight="1">
      <c r="A153" s="1330"/>
      <c r="B153" s="1331" t="s">
        <v>1188</v>
      </c>
      <c r="C153" s="801"/>
      <c r="D153" s="801"/>
      <c r="E153" s="1022">
        <f>E125</f>
        <v>75</v>
      </c>
      <c r="F153" s="1249" t="s">
        <v>438</v>
      </c>
      <c r="G153" s="1394">
        <v>200</v>
      </c>
      <c r="H153" s="796">
        <f t="shared" si="35"/>
        <v>15000</v>
      </c>
      <c r="I153" s="1394">
        <v>52</v>
      </c>
      <c r="J153" s="1476">
        <f t="shared" si="36"/>
        <v>3900</v>
      </c>
      <c r="K153" s="1014">
        <f t="shared" si="37"/>
        <v>18900</v>
      </c>
      <c r="L153" s="1022"/>
      <c r="M153" s="1328"/>
    </row>
    <row r="154" spans="1:13" s="1329" customFormat="1" ht="24" customHeight="1">
      <c r="A154" s="1481"/>
      <c r="B154" s="1331" t="s">
        <v>1189</v>
      </c>
      <c r="C154" s="801"/>
      <c r="D154" s="801"/>
      <c r="E154" s="1022">
        <f>E126</f>
        <v>104</v>
      </c>
      <c r="F154" s="1348" t="s">
        <v>438</v>
      </c>
      <c r="G154" s="1394">
        <v>256</v>
      </c>
      <c r="H154" s="796">
        <f t="shared" si="35"/>
        <v>26624</v>
      </c>
      <c r="I154" s="1406">
        <v>65</v>
      </c>
      <c r="J154" s="1476">
        <f t="shared" si="36"/>
        <v>6760</v>
      </c>
      <c r="K154" s="1014">
        <f t="shared" si="37"/>
        <v>33384</v>
      </c>
      <c r="L154" s="1019"/>
      <c r="M154" s="1328"/>
    </row>
    <row r="155" spans="1:13" s="1329" customFormat="1" ht="24" customHeight="1">
      <c r="A155" s="1481"/>
      <c r="B155" s="1331" t="s">
        <v>1190</v>
      </c>
      <c r="C155" s="801"/>
      <c r="D155" s="801"/>
      <c r="E155" s="1022">
        <f>E127</f>
        <v>58</v>
      </c>
      <c r="F155" s="1348" t="s">
        <v>438</v>
      </c>
      <c r="G155" s="1394">
        <v>302</v>
      </c>
      <c r="H155" s="796">
        <f t="shared" si="35"/>
        <v>17516</v>
      </c>
      <c r="I155" s="1406">
        <v>78</v>
      </c>
      <c r="J155" s="1476">
        <f t="shared" si="36"/>
        <v>4524</v>
      </c>
      <c r="K155" s="1014">
        <f t="shared" si="37"/>
        <v>22040</v>
      </c>
      <c r="L155" s="1019"/>
      <c r="M155" s="1328"/>
    </row>
    <row r="156" spans="1:13" s="1329" customFormat="1" ht="24" customHeight="1">
      <c r="A156" s="1481"/>
      <c r="B156" s="1331" t="s">
        <v>951</v>
      </c>
      <c r="C156" s="801"/>
      <c r="D156" s="801"/>
      <c r="E156" s="1022">
        <f>E128</f>
        <v>186</v>
      </c>
      <c r="F156" s="1348" t="s">
        <v>438</v>
      </c>
      <c r="G156" s="1394">
        <v>367</v>
      </c>
      <c r="H156" s="796">
        <f t="shared" si="35"/>
        <v>68262</v>
      </c>
      <c r="I156" s="1406">
        <v>104</v>
      </c>
      <c r="J156" s="1476">
        <f t="shared" si="36"/>
        <v>19344</v>
      </c>
      <c r="K156" s="1014">
        <f t="shared" si="37"/>
        <v>87606</v>
      </c>
      <c r="L156" s="1019"/>
      <c r="M156" s="1328"/>
    </row>
    <row r="157" spans="1:13" s="1329" customFormat="1" ht="24" customHeight="1">
      <c r="A157" s="1330" t="s">
        <v>1982</v>
      </c>
      <c r="B157" s="1331" t="s">
        <v>1925</v>
      </c>
      <c r="C157" s="1349"/>
      <c r="D157" s="890"/>
      <c r="E157" s="966"/>
      <c r="F157" s="1348"/>
      <c r="G157" s="1394"/>
      <c r="H157" s="905"/>
      <c r="I157" s="1406"/>
      <c r="J157" s="1407"/>
      <c r="K157" s="1030"/>
      <c r="L157" s="1030"/>
      <c r="M157" s="1328"/>
    </row>
    <row r="158" spans="1:13" s="1329" customFormat="1" ht="24" customHeight="1">
      <c r="A158" s="1481"/>
      <c r="B158" s="1331" t="s">
        <v>1809</v>
      </c>
      <c r="C158" s="801"/>
      <c r="D158" s="801"/>
      <c r="E158" s="1019"/>
      <c r="F158" s="1348" t="s">
        <v>438</v>
      </c>
      <c r="G158" s="1400">
        <v>465</v>
      </c>
      <c r="H158" s="796">
        <f t="shared" si="35"/>
        <v>0</v>
      </c>
      <c r="I158" s="1400">
        <v>465</v>
      </c>
      <c r="J158" s="1476">
        <f t="shared" si="36"/>
        <v>0</v>
      </c>
      <c r="K158" s="1014">
        <f t="shared" si="37"/>
        <v>0</v>
      </c>
      <c r="L158" s="1019"/>
      <c r="M158" s="1328"/>
    </row>
    <row r="159" spans="1:13" s="1329" customFormat="1" ht="24" customHeight="1">
      <c r="A159" s="1330"/>
      <c r="B159" s="1331" t="s">
        <v>957</v>
      </c>
      <c r="C159" s="1349"/>
      <c r="D159" s="890"/>
      <c r="E159" s="966"/>
      <c r="F159" s="1348"/>
      <c r="G159" s="1394"/>
      <c r="H159" s="905"/>
      <c r="I159" s="1406"/>
      <c r="J159" s="1407"/>
      <c r="K159" s="1014">
        <f t="shared" si="37"/>
        <v>0</v>
      </c>
      <c r="L159" s="1030"/>
      <c r="M159" s="1328"/>
    </row>
    <row r="160" spans="1:13" s="1329" customFormat="1" ht="24" customHeight="1">
      <c r="A160" s="1510"/>
      <c r="B160" s="2475" t="str">
        <f>"รวมราคารายการที่ "&amp;A143</f>
        <v>รวมราคารายการที่ 7.8</v>
      </c>
      <c r="C160" s="2476"/>
      <c r="D160" s="2476"/>
      <c r="E160" s="1511"/>
      <c r="F160" s="1512"/>
      <c r="G160" s="1513"/>
      <c r="H160" s="1514">
        <f>SUM(H143:H159)</f>
        <v>175959</v>
      </c>
      <c r="I160" s="1515"/>
      <c r="J160" s="1516">
        <f>SUM(J143:J159)</f>
        <v>49719</v>
      </c>
      <c r="K160" s="1517">
        <f>SUM(K143:K159)</f>
        <v>225678</v>
      </c>
      <c r="L160" s="1517"/>
      <c r="M160" s="1328"/>
    </row>
    <row r="161" spans="1:13" s="1329" customFormat="1" ht="24" customHeight="1">
      <c r="A161" s="1325">
        <v>7.9</v>
      </c>
      <c r="B161" s="1326" t="s">
        <v>1927</v>
      </c>
      <c r="C161" s="1347"/>
      <c r="D161" s="901"/>
      <c r="E161" s="1019"/>
      <c r="F161" s="1310"/>
      <c r="G161" s="1400"/>
      <c r="H161" s="864"/>
      <c r="I161" s="1400"/>
      <c r="J161" s="1395"/>
      <c r="K161" s="966"/>
      <c r="L161" s="1019"/>
      <c r="M161" s="1328"/>
    </row>
    <row r="162" spans="1:13" s="1329" customFormat="1" ht="24" customHeight="1">
      <c r="A162" s="1330" t="s">
        <v>2040</v>
      </c>
      <c r="B162" s="1331" t="s">
        <v>1929</v>
      </c>
      <c r="C162" s="1349"/>
      <c r="D162" s="890"/>
      <c r="E162" s="966"/>
      <c r="F162" s="1348"/>
      <c r="G162" s="1394"/>
      <c r="H162" s="905"/>
      <c r="I162" s="1406"/>
      <c r="J162" s="1407"/>
      <c r="K162" s="1030"/>
      <c r="L162" s="1030"/>
      <c r="M162" s="1328"/>
    </row>
    <row r="163" spans="1:13" s="1329" customFormat="1" ht="24" customHeight="1">
      <c r="A163" s="791"/>
      <c r="B163" s="1127" t="s">
        <v>1184</v>
      </c>
      <c r="C163" s="1233"/>
      <c r="D163" s="792"/>
      <c r="E163" s="1501">
        <f>E89*2</f>
        <v>4</v>
      </c>
      <c r="F163" s="1502" t="s">
        <v>240</v>
      </c>
      <c r="G163" s="1503">
        <v>880</v>
      </c>
      <c r="H163" s="1499">
        <f t="shared" ref="H163:H167" si="38">ROUND(E163*G163,)</f>
        <v>3520</v>
      </c>
      <c r="I163" s="1480">
        <v>150</v>
      </c>
      <c r="J163" s="1500">
        <f t="shared" ref="J163:J167" si="39">ROUND(E163*I163,)</f>
        <v>600</v>
      </c>
      <c r="K163" s="1403">
        <f t="shared" ref="K163:K167" si="40">H163+J163</f>
        <v>4120</v>
      </c>
      <c r="L163" s="2273" t="s">
        <v>2974</v>
      </c>
      <c r="M163" s="1328"/>
    </row>
    <row r="164" spans="1:13" s="1329" customFormat="1" ht="24" customHeight="1">
      <c r="A164" s="791"/>
      <c r="B164" s="1127" t="s">
        <v>1185</v>
      </c>
      <c r="C164" s="1233"/>
      <c r="D164" s="792"/>
      <c r="E164" s="1345"/>
      <c r="F164" s="1140" t="s">
        <v>240</v>
      </c>
      <c r="G164" s="1504">
        <v>1316</v>
      </c>
      <c r="H164" s="796">
        <f t="shared" si="38"/>
        <v>0</v>
      </c>
      <c r="I164" s="849">
        <v>200</v>
      </c>
      <c r="J164" s="1476">
        <f t="shared" si="39"/>
        <v>0</v>
      </c>
      <c r="K164" s="1014">
        <f t="shared" si="40"/>
        <v>0</v>
      </c>
      <c r="L164" s="2273" t="s">
        <v>2974</v>
      </c>
      <c r="M164" s="1328"/>
    </row>
    <row r="165" spans="1:13" s="1329" customFormat="1" ht="24" customHeight="1">
      <c r="A165" s="791"/>
      <c r="B165" s="1127" t="s">
        <v>1186</v>
      </c>
      <c r="C165" s="1233"/>
      <c r="D165" s="792"/>
      <c r="E165" s="1345">
        <f>E91*2</f>
        <v>42</v>
      </c>
      <c r="F165" s="1140" t="s">
        <v>240</v>
      </c>
      <c r="G165" s="1504">
        <v>1984</v>
      </c>
      <c r="H165" s="796">
        <f t="shared" si="38"/>
        <v>83328</v>
      </c>
      <c r="I165" s="849">
        <v>250</v>
      </c>
      <c r="J165" s="1476">
        <f t="shared" si="39"/>
        <v>10500</v>
      </c>
      <c r="K165" s="1014">
        <f t="shared" si="40"/>
        <v>93828</v>
      </c>
      <c r="L165" s="2273" t="s">
        <v>2974</v>
      </c>
      <c r="M165" s="1328"/>
    </row>
    <row r="166" spans="1:13" s="1329" customFormat="1" ht="24" customHeight="1">
      <c r="A166" s="791"/>
      <c r="B166" s="1127" t="s">
        <v>1187</v>
      </c>
      <c r="C166" s="1233"/>
      <c r="D166" s="792"/>
      <c r="E166" s="1345"/>
      <c r="F166" s="1140" t="s">
        <v>240</v>
      </c>
      <c r="G166" s="1504">
        <v>2610</v>
      </c>
      <c r="H166" s="796">
        <f t="shared" si="38"/>
        <v>0</v>
      </c>
      <c r="I166" s="849">
        <v>300</v>
      </c>
      <c r="J166" s="1476">
        <f t="shared" si="39"/>
        <v>0</v>
      </c>
      <c r="K166" s="1014">
        <f t="shared" si="40"/>
        <v>0</v>
      </c>
      <c r="L166" s="2273" t="s">
        <v>2974</v>
      </c>
      <c r="M166" s="1328"/>
    </row>
    <row r="167" spans="1:13" s="1329" customFormat="1" ht="24" customHeight="1">
      <c r="A167" s="791"/>
      <c r="B167" s="1127" t="s">
        <v>1188</v>
      </c>
      <c r="C167" s="1233"/>
      <c r="D167" s="792"/>
      <c r="E167" s="1345"/>
      <c r="F167" s="1140" t="s">
        <v>240</v>
      </c>
      <c r="G167" s="1504">
        <v>4040</v>
      </c>
      <c r="H167" s="796">
        <f t="shared" si="38"/>
        <v>0</v>
      </c>
      <c r="I167" s="849">
        <v>400</v>
      </c>
      <c r="J167" s="1476">
        <f t="shared" si="39"/>
        <v>0</v>
      </c>
      <c r="K167" s="1014">
        <f t="shared" si="40"/>
        <v>0</v>
      </c>
      <c r="L167" s="2273" t="s">
        <v>2974</v>
      </c>
      <c r="M167" s="1328"/>
    </row>
    <row r="168" spans="1:13" s="1329" customFormat="1" ht="24" customHeight="1">
      <c r="A168" s="1330" t="s">
        <v>2183</v>
      </c>
      <c r="B168" s="1331" t="s">
        <v>1942</v>
      </c>
      <c r="C168" s="1349"/>
      <c r="D168" s="890"/>
      <c r="E168" s="966"/>
      <c r="F168" s="1348"/>
      <c r="G168" s="1394"/>
      <c r="H168" s="905"/>
      <c r="I168" s="1406"/>
      <c r="J168" s="1407"/>
      <c r="K168" s="1030"/>
      <c r="L168" s="1030"/>
      <c r="M168" s="1328"/>
    </row>
    <row r="169" spans="1:13" s="1329" customFormat="1" ht="24" customHeight="1">
      <c r="A169" s="1330"/>
      <c r="B169" s="1331" t="s">
        <v>1184</v>
      </c>
      <c r="C169" s="1349"/>
      <c r="D169" s="890"/>
      <c r="E169" s="966"/>
      <c r="F169" s="1348" t="s">
        <v>240</v>
      </c>
      <c r="G169" s="1394"/>
      <c r="H169" s="864"/>
      <c r="I169" s="1394"/>
      <c r="J169" s="1395"/>
      <c r="K169" s="966"/>
      <c r="L169" s="966"/>
      <c r="M169" s="1328"/>
    </row>
    <row r="170" spans="1:13" s="1329" customFormat="1" ht="24" customHeight="1">
      <c r="A170" s="1330"/>
      <c r="B170" s="1331" t="s">
        <v>1185</v>
      </c>
      <c r="C170" s="1349"/>
      <c r="D170" s="890"/>
      <c r="E170" s="966"/>
      <c r="F170" s="1348" t="s">
        <v>240</v>
      </c>
      <c r="G170" s="1394"/>
      <c r="H170" s="864"/>
      <c r="I170" s="1394"/>
      <c r="J170" s="1395"/>
      <c r="K170" s="966"/>
      <c r="L170" s="966"/>
      <c r="M170" s="1328"/>
    </row>
    <row r="171" spans="1:13" s="1329" customFormat="1" ht="24" customHeight="1">
      <c r="A171" s="1330"/>
      <c r="B171" s="1331" t="s">
        <v>1186</v>
      </c>
      <c r="C171" s="1349"/>
      <c r="D171" s="890"/>
      <c r="E171" s="966">
        <f>E178*2</f>
        <v>42</v>
      </c>
      <c r="F171" s="1348" t="s">
        <v>240</v>
      </c>
      <c r="G171" s="1394">
        <f>3700*0.5</f>
        <v>1850</v>
      </c>
      <c r="H171" s="796">
        <f t="shared" ref="H171" si="41">ROUND(E171*G171,)</f>
        <v>77700</v>
      </c>
      <c r="I171" s="849">
        <v>250</v>
      </c>
      <c r="J171" s="1476">
        <f t="shared" ref="J171" si="42">ROUND(E171*I171,)</f>
        <v>10500</v>
      </c>
      <c r="K171" s="1014">
        <f t="shared" ref="K171" si="43">H171+J171</f>
        <v>88200</v>
      </c>
      <c r="L171" s="966"/>
      <c r="M171" s="1328"/>
    </row>
    <row r="172" spans="1:13" s="1329" customFormat="1" ht="24" customHeight="1">
      <c r="A172" s="1330"/>
      <c r="B172" s="1127" t="s">
        <v>1187</v>
      </c>
      <c r="C172" s="1233"/>
      <c r="D172" s="792"/>
      <c r="E172" s="1345"/>
      <c r="F172" s="1140" t="s">
        <v>240</v>
      </c>
      <c r="G172" s="1394"/>
      <c r="H172" s="864"/>
      <c r="I172" s="1394"/>
      <c r="J172" s="1395"/>
      <c r="K172" s="966"/>
      <c r="L172" s="966"/>
      <c r="M172" s="1328"/>
    </row>
    <row r="173" spans="1:13" s="1329" customFormat="1" ht="24" customHeight="1">
      <c r="A173" s="1330"/>
      <c r="B173" s="1127" t="s">
        <v>1188</v>
      </c>
      <c r="C173" s="1233"/>
      <c r="D173" s="792"/>
      <c r="E173" s="1345"/>
      <c r="F173" s="1140" t="s">
        <v>240</v>
      </c>
      <c r="G173" s="1394"/>
      <c r="H173" s="864"/>
      <c r="I173" s="1394"/>
      <c r="J173" s="1395"/>
      <c r="K173" s="966"/>
      <c r="L173" s="966"/>
      <c r="M173" s="1328"/>
    </row>
    <row r="174" spans="1:13" s="1329" customFormat="1" ht="24" customHeight="1">
      <c r="A174" s="1330" t="s">
        <v>2184</v>
      </c>
      <c r="B174" s="1331" t="s">
        <v>1656</v>
      </c>
      <c r="C174" s="1349"/>
      <c r="D174" s="801"/>
      <c r="E174" s="966"/>
      <c r="F174" s="1249"/>
      <c r="G174" s="1394"/>
      <c r="H174" s="864"/>
      <c r="I174" s="1394"/>
      <c r="J174" s="1395"/>
      <c r="K174" s="966"/>
      <c r="L174" s="966"/>
      <c r="M174" s="1328"/>
    </row>
    <row r="175" spans="1:13" s="1329" customFormat="1" ht="24" customHeight="1">
      <c r="A175" s="1330"/>
      <c r="B175" s="1331" t="s">
        <v>1185</v>
      </c>
      <c r="C175" s="1349"/>
      <c r="D175" s="801"/>
      <c r="E175" s="966"/>
      <c r="F175" s="1249" t="s">
        <v>240</v>
      </c>
      <c r="G175" s="1394"/>
      <c r="H175" s="864"/>
      <c r="I175" s="1394"/>
      <c r="J175" s="1395"/>
      <c r="K175" s="966"/>
      <c r="L175" s="1022"/>
      <c r="M175" s="1328"/>
    </row>
    <row r="176" spans="1:13" s="1329" customFormat="1" ht="24" customHeight="1">
      <c r="A176" s="1330" t="s">
        <v>2185</v>
      </c>
      <c r="B176" s="1331" t="s">
        <v>1940</v>
      </c>
      <c r="C176" s="1349"/>
      <c r="D176" s="801"/>
      <c r="E176" s="966"/>
      <c r="F176" s="1249"/>
      <c r="G176" s="1394"/>
      <c r="H176" s="864"/>
      <c r="I176" s="1394"/>
      <c r="J176" s="1395"/>
      <c r="K176" s="966"/>
      <c r="L176" s="966"/>
      <c r="M176" s="1328"/>
    </row>
    <row r="177" spans="1:13" s="1329" customFormat="1" ht="24" customHeight="1">
      <c r="A177" s="791"/>
      <c r="B177" s="1127" t="s">
        <v>1184</v>
      </c>
      <c r="C177" s="1233"/>
      <c r="D177" s="792"/>
      <c r="E177" s="1501"/>
      <c r="F177" s="1502" t="s">
        <v>240</v>
      </c>
      <c r="G177" s="1479">
        <v>350</v>
      </c>
      <c r="H177" s="1499">
        <f t="shared" ref="H177:H180" si="44">ROUND(E177*G177,)</f>
        <v>0</v>
      </c>
      <c r="I177" s="1480">
        <v>150</v>
      </c>
      <c r="J177" s="1500">
        <f t="shared" ref="J177:J180" si="45">ROUND(E177*I177,)</f>
        <v>0</v>
      </c>
      <c r="K177" s="1403">
        <f t="shared" ref="K177:K180" si="46">H177+J177</f>
        <v>0</v>
      </c>
      <c r="L177" s="1014"/>
      <c r="M177" s="1328"/>
    </row>
    <row r="178" spans="1:13" s="1329" customFormat="1" ht="24" customHeight="1">
      <c r="A178" s="791"/>
      <c r="B178" s="1127" t="s">
        <v>1186</v>
      </c>
      <c r="C178" s="1233"/>
      <c r="D178" s="792"/>
      <c r="E178" s="1345">
        <f>E165/2</f>
        <v>21</v>
      </c>
      <c r="F178" s="1140" t="s">
        <v>240</v>
      </c>
      <c r="G178" s="1257">
        <v>1084</v>
      </c>
      <c r="H178" s="796">
        <f t="shared" si="44"/>
        <v>22764</v>
      </c>
      <c r="I178" s="849">
        <v>250</v>
      </c>
      <c r="J178" s="1476">
        <f t="shared" si="45"/>
        <v>5250</v>
      </c>
      <c r="K178" s="1014">
        <f t="shared" si="46"/>
        <v>28014</v>
      </c>
      <c r="L178" s="1014"/>
      <c r="M178" s="1328"/>
    </row>
    <row r="179" spans="1:13" s="1329" customFormat="1" ht="24" customHeight="1">
      <c r="A179" s="791"/>
      <c r="B179" s="1127" t="s">
        <v>1187</v>
      </c>
      <c r="C179" s="1233"/>
      <c r="D179" s="792"/>
      <c r="E179" s="1345"/>
      <c r="F179" s="1140" t="s">
        <v>240</v>
      </c>
      <c r="G179" s="1257">
        <v>1710</v>
      </c>
      <c r="H179" s="796">
        <f t="shared" si="44"/>
        <v>0</v>
      </c>
      <c r="I179" s="849">
        <v>300</v>
      </c>
      <c r="J179" s="1476">
        <f t="shared" si="45"/>
        <v>0</v>
      </c>
      <c r="K179" s="1014">
        <f t="shared" si="46"/>
        <v>0</v>
      </c>
      <c r="L179" s="1014"/>
      <c r="M179" s="1328"/>
    </row>
    <row r="180" spans="1:13" s="1329" customFormat="1" ht="24" customHeight="1">
      <c r="A180" s="791"/>
      <c r="B180" s="1127" t="s">
        <v>1188</v>
      </c>
      <c r="C180" s="1233"/>
      <c r="D180" s="792"/>
      <c r="E180" s="1345"/>
      <c r="F180" s="1140" t="s">
        <v>240</v>
      </c>
      <c r="G180" s="1504">
        <v>2839</v>
      </c>
      <c r="H180" s="796">
        <f t="shared" si="44"/>
        <v>0</v>
      </c>
      <c r="I180" s="849">
        <v>400</v>
      </c>
      <c r="J180" s="1476">
        <f t="shared" si="45"/>
        <v>0</v>
      </c>
      <c r="K180" s="1014">
        <f t="shared" si="46"/>
        <v>0</v>
      </c>
      <c r="L180" s="1014"/>
      <c r="M180" s="1328"/>
    </row>
    <row r="181" spans="1:13" s="1329" customFormat="1" ht="24" customHeight="1">
      <c r="A181" s="1330"/>
      <c r="B181" s="1331" t="s">
        <v>957</v>
      </c>
      <c r="C181" s="1349"/>
      <c r="D181" s="890"/>
      <c r="E181" s="966"/>
      <c r="F181" s="1348"/>
      <c r="G181" s="1394"/>
      <c r="H181" s="905"/>
      <c r="I181" s="1406"/>
      <c r="J181" s="1407"/>
      <c r="K181" s="1030"/>
      <c r="L181" s="1030"/>
      <c r="M181" s="1328"/>
    </row>
    <row r="182" spans="1:13" s="1329" customFormat="1" ht="24" customHeight="1">
      <c r="A182" s="1330"/>
      <c r="B182" s="1331"/>
      <c r="C182" s="1349"/>
      <c r="D182" s="890"/>
      <c r="E182" s="966"/>
      <c r="F182" s="1348"/>
      <c r="G182" s="1394"/>
      <c r="H182" s="905"/>
      <c r="I182" s="1406"/>
      <c r="J182" s="1407"/>
      <c r="K182" s="1030"/>
      <c r="L182" s="1030"/>
      <c r="M182" s="1328"/>
    </row>
    <row r="183" spans="1:13" s="1329" customFormat="1" ht="24" customHeight="1">
      <c r="A183" s="1330"/>
      <c r="B183" s="1331"/>
      <c r="C183" s="1349"/>
      <c r="D183" s="890"/>
      <c r="E183" s="966"/>
      <c r="F183" s="1348"/>
      <c r="G183" s="1394"/>
      <c r="H183" s="905"/>
      <c r="I183" s="1406"/>
      <c r="J183" s="1407"/>
      <c r="K183" s="1030"/>
      <c r="L183" s="1030"/>
      <c r="M183" s="1328"/>
    </row>
    <row r="184" spans="1:13" s="1329" customFormat="1" ht="24" customHeight="1">
      <c r="A184" s="1330"/>
      <c r="B184" s="1331" t="s">
        <v>958</v>
      </c>
      <c r="C184" s="1349"/>
      <c r="D184" s="890"/>
      <c r="E184" s="966"/>
      <c r="F184" s="1348"/>
      <c r="G184" s="1394"/>
      <c r="H184" s="905"/>
      <c r="I184" s="1406"/>
      <c r="J184" s="1407"/>
      <c r="K184" s="1030"/>
      <c r="L184" s="1030"/>
      <c r="M184" s="1328"/>
    </row>
    <row r="185" spans="1:13" s="1329" customFormat="1" ht="24" customHeight="1">
      <c r="A185" s="1510"/>
      <c r="B185" s="2475" t="str">
        <f>"รวมราคารายการที่ "&amp;A161</f>
        <v>รวมราคารายการที่ 7.9</v>
      </c>
      <c r="C185" s="2476"/>
      <c r="D185" s="2476"/>
      <c r="E185" s="1511"/>
      <c r="F185" s="1512"/>
      <c r="G185" s="1513"/>
      <c r="H185" s="1514">
        <f>SUM(H161:H184)</f>
        <v>187312</v>
      </c>
      <c r="I185" s="1515"/>
      <c r="J185" s="1516">
        <f>SUM(J161:J184)</f>
        <v>26850</v>
      </c>
      <c r="K185" s="1517">
        <f>SUM(K161:K184)</f>
        <v>214162</v>
      </c>
      <c r="L185" s="1517"/>
      <c r="M185" s="1328"/>
    </row>
    <row r="186" spans="1:13" s="1329" customFormat="1" ht="24" customHeight="1">
      <c r="A186" s="1325" t="s">
        <v>2065</v>
      </c>
      <c r="B186" s="1326" t="s">
        <v>1948</v>
      </c>
      <c r="C186" s="1347"/>
      <c r="D186" s="901"/>
      <c r="E186" s="1019"/>
      <c r="F186" s="1310"/>
      <c r="G186" s="1400"/>
      <c r="H186" s="864"/>
      <c r="I186" s="1400"/>
      <c r="J186" s="1395"/>
      <c r="K186" s="966"/>
      <c r="L186" s="1019"/>
      <c r="M186" s="1328"/>
    </row>
    <row r="187" spans="1:13" s="1329" customFormat="1" ht="24" customHeight="1">
      <c r="A187" s="1334" t="s">
        <v>2067</v>
      </c>
      <c r="B187" s="1335" t="s">
        <v>1950</v>
      </c>
      <c r="C187" s="1352"/>
      <c r="D187" s="890"/>
      <c r="E187" s="1337"/>
      <c r="F187" s="1249"/>
      <c r="G187" s="1394"/>
      <c r="H187" s="864"/>
      <c r="I187" s="1394"/>
      <c r="J187" s="1395"/>
      <c r="K187" s="966"/>
      <c r="L187" s="966"/>
      <c r="M187" s="1328"/>
    </row>
    <row r="188" spans="1:13" s="1329" customFormat="1" ht="24" customHeight="1">
      <c r="A188" s="1330"/>
      <c r="B188" s="1331" t="s">
        <v>2035</v>
      </c>
      <c r="C188" s="1349"/>
      <c r="D188" s="801"/>
      <c r="E188" s="966">
        <v>233</v>
      </c>
      <c r="F188" s="1249" t="s">
        <v>1952</v>
      </c>
      <c r="G188" s="1406">
        <v>218</v>
      </c>
      <c r="H188" s="864">
        <f t="shared" ref="H188:H196" si="47">ROUND(E188*G188,)</f>
        <v>50794</v>
      </c>
      <c r="I188" s="1406">
        <v>194</v>
      </c>
      <c r="J188" s="1395">
        <f t="shared" ref="J188:J194" si="48">ROUND(E188*I188,)</f>
        <v>45202</v>
      </c>
      <c r="K188" s="966">
        <f t="shared" ref="K188:K194" si="49">H188+J188</f>
        <v>95996</v>
      </c>
      <c r="L188" s="966"/>
      <c r="M188" s="1328"/>
    </row>
    <row r="189" spans="1:13" s="1329" customFormat="1" ht="24" customHeight="1">
      <c r="A189" s="1330"/>
      <c r="B189" s="1331" t="s">
        <v>2036</v>
      </c>
      <c r="C189" s="1349"/>
      <c r="D189" s="801"/>
      <c r="E189" s="966">
        <v>645</v>
      </c>
      <c r="F189" s="1249" t="s">
        <v>1952</v>
      </c>
      <c r="G189" s="1406">
        <v>263</v>
      </c>
      <c r="H189" s="864">
        <f t="shared" si="47"/>
        <v>169635</v>
      </c>
      <c r="I189" s="1406">
        <v>259</v>
      </c>
      <c r="J189" s="1395">
        <f t="shared" si="48"/>
        <v>167055</v>
      </c>
      <c r="K189" s="966">
        <f t="shared" si="49"/>
        <v>336690</v>
      </c>
      <c r="L189" s="966"/>
      <c r="M189" s="1328"/>
    </row>
    <row r="190" spans="1:13" s="1329" customFormat="1" ht="24" customHeight="1">
      <c r="A190" s="1330"/>
      <c r="B190" s="1331" t="s">
        <v>1951</v>
      </c>
      <c r="C190" s="1349"/>
      <c r="D190" s="801"/>
      <c r="E190" s="966">
        <v>624</v>
      </c>
      <c r="F190" s="1249" t="s">
        <v>1952</v>
      </c>
      <c r="G190" s="1406">
        <v>314</v>
      </c>
      <c r="H190" s="864">
        <f t="shared" si="47"/>
        <v>195936</v>
      </c>
      <c r="I190" s="1406">
        <v>269</v>
      </c>
      <c r="J190" s="1395">
        <f t="shared" si="48"/>
        <v>167856</v>
      </c>
      <c r="K190" s="966">
        <f t="shared" si="49"/>
        <v>363792</v>
      </c>
      <c r="L190" s="966"/>
      <c r="M190" s="1328"/>
    </row>
    <row r="191" spans="1:13" s="1329" customFormat="1" ht="24" customHeight="1">
      <c r="A191" s="1330"/>
      <c r="B191" s="1331" t="s">
        <v>1953</v>
      </c>
      <c r="C191" s="1349"/>
      <c r="D191" s="801"/>
      <c r="E191" s="966">
        <v>417</v>
      </c>
      <c r="F191" s="1249" t="s">
        <v>1952</v>
      </c>
      <c r="G191" s="1406">
        <v>381</v>
      </c>
      <c r="H191" s="864">
        <f t="shared" si="47"/>
        <v>158877</v>
      </c>
      <c r="I191" s="1406">
        <v>323</v>
      </c>
      <c r="J191" s="1395">
        <f t="shared" si="48"/>
        <v>134691</v>
      </c>
      <c r="K191" s="966">
        <f t="shared" si="49"/>
        <v>293568</v>
      </c>
      <c r="L191" s="966"/>
      <c r="M191" s="1328"/>
    </row>
    <row r="192" spans="1:13" s="1329" customFormat="1" ht="24" customHeight="1">
      <c r="A192" s="1330"/>
      <c r="B192" s="1331" t="s">
        <v>1954</v>
      </c>
      <c r="C192" s="1349"/>
      <c r="D192" s="801"/>
      <c r="E192" s="966">
        <v>8</v>
      </c>
      <c r="F192" s="1249" t="s">
        <v>1952</v>
      </c>
      <c r="G192" s="1406">
        <v>443</v>
      </c>
      <c r="H192" s="864">
        <f t="shared" si="47"/>
        <v>3544</v>
      </c>
      <c r="I192" s="1406">
        <v>377</v>
      </c>
      <c r="J192" s="1395">
        <f t="shared" si="48"/>
        <v>3016</v>
      </c>
      <c r="K192" s="966">
        <f t="shared" si="49"/>
        <v>6560</v>
      </c>
      <c r="L192" s="966"/>
      <c r="M192" s="1328"/>
    </row>
    <row r="193" spans="1:13" s="1329" customFormat="1" ht="24" customHeight="1">
      <c r="A193" s="1330"/>
      <c r="B193" s="1331" t="s">
        <v>1645</v>
      </c>
      <c r="C193" s="1349"/>
      <c r="D193" s="801"/>
      <c r="E193" s="966">
        <v>1</v>
      </c>
      <c r="F193" s="1249" t="s">
        <v>948</v>
      </c>
      <c r="G193" s="1406">
        <f>ROUND(SUM(H188:H192)*40%,)</f>
        <v>231514</v>
      </c>
      <c r="H193" s="864">
        <f t="shared" si="47"/>
        <v>231514</v>
      </c>
      <c r="I193" s="1406">
        <f>ROUND(G193*30%,)</f>
        <v>69454</v>
      </c>
      <c r="J193" s="1395">
        <f t="shared" si="48"/>
        <v>69454</v>
      </c>
      <c r="K193" s="966">
        <f t="shared" si="49"/>
        <v>300968</v>
      </c>
      <c r="L193" s="966"/>
      <c r="M193" s="1328"/>
    </row>
    <row r="194" spans="1:13" s="1329" customFormat="1" ht="24" customHeight="1">
      <c r="A194" s="1330"/>
      <c r="B194" s="1331" t="s">
        <v>1646</v>
      </c>
      <c r="C194" s="1349"/>
      <c r="D194" s="801"/>
      <c r="E194" s="966">
        <v>1</v>
      </c>
      <c r="F194" s="1249" t="s">
        <v>948</v>
      </c>
      <c r="G194" s="1406">
        <f>ROUND(SUM(H188:H192)*15%,)</f>
        <v>86818</v>
      </c>
      <c r="H194" s="864">
        <f t="shared" si="47"/>
        <v>86818</v>
      </c>
      <c r="I194" s="1406">
        <f>ROUND(G194*30%,)</f>
        <v>26045</v>
      </c>
      <c r="J194" s="1395">
        <f t="shared" si="48"/>
        <v>26045</v>
      </c>
      <c r="K194" s="966">
        <f t="shared" si="49"/>
        <v>112863</v>
      </c>
      <c r="L194" s="966"/>
      <c r="M194" s="1328"/>
    </row>
    <row r="195" spans="1:13" s="1329" customFormat="1" ht="24" customHeight="1">
      <c r="A195" s="1330" t="s">
        <v>2073</v>
      </c>
      <c r="B195" s="1331" t="s">
        <v>2294</v>
      </c>
      <c r="C195" s="1349"/>
      <c r="D195" s="801"/>
      <c r="E195" s="966"/>
      <c r="F195" s="1249"/>
      <c r="G195" s="1394"/>
      <c r="H195" s="864"/>
      <c r="I195" s="1394"/>
      <c r="J195" s="1395"/>
      <c r="K195" s="966"/>
      <c r="L195" s="966"/>
      <c r="M195" s="1328"/>
    </row>
    <row r="196" spans="1:13" s="1329" customFormat="1" ht="24" customHeight="1">
      <c r="A196" s="1355"/>
      <c r="B196" s="1331" t="s">
        <v>1932</v>
      </c>
      <c r="C196" s="1349"/>
      <c r="D196" s="801"/>
      <c r="E196" s="966">
        <v>4</v>
      </c>
      <c r="F196" s="1249" t="s">
        <v>438</v>
      </c>
      <c r="G196" s="849">
        <v>640</v>
      </c>
      <c r="H196" s="864">
        <f t="shared" si="47"/>
        <v>2560</v>
      </c>
      <c r="I196" s="1394">
        <v>88</v>
      </c>
      <c r="J196" s="1395">
        <f t="shared" ref="J196:J198" si="50">ROUND(E196*I196,)</f>
        <v>352</v>
      </c>
      <c r="K196" s="966">
        <f t="shared" ref="K196:K198" si="51">H196+J196</f>
        <v>2912</v>
      </c>
      <c r="L196" s="966"/>
      <c r="M196" s="1328"/>
    </row>
    <row r="197" spans="1:13" s="1329" customFormat="1" ht="24" customHeight="1">
      <c r="A197" s="1355"/>
      <c r="B197" s="1331" t="s">
        <v>1645</v>
      </c>
      <c r="C197" s="1349"/>
      <c r="D197" s="890"/>
      <c r="E197" s="966"/>
      <c r="F197" s="1348" t="s">
        <v>948</v>
      </c>
      <c r="G197" s="1394"/>
      <c r="H197" s="905"/>
      <c r="I197" s="1406"/>
      <c r="J197" s="1407">
        <f t="shared" si="50"/>
        <v>0</v>
      </c>
      <c r="K197" s="1030">
        <f t="shared" si="51"/>
        <v>0</v>
      </c>
      <c r="L197" s="1030"/>
      <c r="M197" s="1328"/>
    </row>
    <row r="198" spans="1:13" s="1329" customFormat="1" ht="24" customHeight="1">
      <c r="A198" s="1355"/>
      <c r="B198" s="1331" t="s">
        <v>1646</v>
      </c>
      <c r="C198" s="1349"/>
      <c r="D198" s="890"/>
      <c r="E198" s="966"/>
      <c r="F198" s="1348" t="s">
        <v>948</v>
      </c>
      <c r="G198" s="1394"/>
      <c r="H198" s="905"/>
      <c r="I198" s="1406"/>
      <c r="J198" s="1407">
        <f t="shared" si="50"/>
        <v>0</v>
      </c>
      <c r="K198" s="1030">
        <f t="shared" si="51"/>
        <v>0</v>
      </c>
      <c r="L198" s="1030"/>
      <c r="M198" s="1328"/>
    </row>
    <row r="199" spans="1:13" s="1329" customFormat="1" ht="24" customHeight="1">
      <c r="A199" s="1330" t="s">
        <v>2074</v>
      </c>
      <c r="B199" s="1331" t="s">
        <v>2193</v>
      </c>
      <c r="C199" s="1349"/>
      <c r="D199" s="801"/>
      <c r="E199" s="966"/>
      <c r="F199" s="1249"/>
      <c r="G199" s="1394"/>
      <c r="H199" s="864"/>
      <c r="I199" s="1394"/>
      <c r="J199" s="1395"/>
      <c r="K199" s="966"/>
      <c r="L199" s="966"/>
      <c r="M199" s="1328"/>
    </row>
    <row r="200" spans="1:13" s="1329" customFormat="1" ht="24" customHeight="1">
      <c r="A200" s="791"/>
      <c r="B200" s="1127" t="s">
        <v>1809</v>
      </c>
      <c r="C200" s="1233"/>
      <c r="D200" s="792"/>
      <c r="E200" s="1345">
        <v>4</v>
      </c>
      <c r="F200" s="1249" t="s">
        <v>438</v>
      </c>
      <c r="G200" s="849">
        <v>300</v>
      </c>
      <c r="H200" s="796">
        <f t="shared" ref="H200:H206" si="52">ROUND(E200*G200,)</f>
        <v>1200</v>
      </c>
      <c r="I200" s="849">
        <v>30</v>
      </c>
      <c r="J200" s="1476">
        <f t="shared" ref="J200:J206" si="53">ROUND(E200*I200,)</f>
        <v>120</v>
      </c>
      <c r="K200" s="1014">
        <f t="shared" ref="K200:K206" si="54">H200+J200</f>
        <v>1320</v>
      </c>
      <c r="L200" s="1014"/>
      <c r="M200" s="1328"/>
    </row>
    <row r="201" spans="1:13" s="1329" customFormat="1" ht="24" customHeight="1">
      <c r="A201" s="791"/>
      <c r="B201" s="1127" t="s">
        <v>1814</v>
      </c>
      <c r="C201" s="1233"/>
      <c r="D201" s="792"/>
      <c r="E201" s="1345">
        <v>3</v>
      </c>
      <c r="F201" s="1249" t="s">
        <v>438</v>
      </c>
      <c r="G201" s="849">
        <v>380</v>
      </c>
      <c r="H201" s="796">
        <f t="shared" si="52"/>
        <v>1140</v>
      </c>
      <c r="I201" s="849">
        <v>40</v>
      </c>
      <c r="J201" s="1476">
        <f t="shared" si="53"/>
        <v>120</v>
      </c>
      <c r="K201" s="1014">
        <f t="shared" si="54"/>
        <v>1260</v>
      </c>
      <c r="L201" s="1014"/>
      <c r="M201" s="1328"/>
    </row>
    <row r="202" spans="1:13" s="1329" customFormat="1" ht="24" customHeight="1">
      <c r="A202" s="791"/>
      <c r="B202" s="1127" t="s">
        <v>2107</v>
      </c>
      <c r="C202" s="1233"/>
      <c r="D202" s="792"/>
      <c r="E202" s="1345">
        <v>8</v>
      </c>
      <c r="F202" s="1249" t="s">
        <v>438</v>
      </c>
      <c r="G202" s="849">
        <v>480</v>
      </c>
      <c r="H202" s="796">
        <f t="shared" si="52"/>
        <v>3840</v>
      </c>
      <c r="I202" s="849">
        <v>50</v>
      </c>
      <c r="J202" s="1476">
        <f t="shared" si="53"/>
        <v>400</v>
      </c>
      <c r="K202" s="1014">
        <f t="shared" si="54"/>
        <v>4240</v>
      </c>
      <c r="L202" s="1014"/>
      <c r="M202" s="1328"/>
    </row>
    <row r="203" spans="1:13" s="1329" customFormat="1" ht="24" customHeight="1">
      <c r="A203" s="791"/>
      <c r="B203" s="1127" t="s">
        <v>2194</v>
      </c>
      <c r="C203" s="1233"/>
      <c r="D203" s="792"/>
      <c r="E203" s="1345">
        <v>100</v>
      </c>
      <c r="F203" s="1249" t="s">
        <v>438</v>
      </c>
      <c r="G203" s="849">
        <v>640</v>
      </c>
      <c r="H203" s="796">
        <f t="shared" si="52"/>
        <v>64000</v>
      </c>
      <c r="I203" s="849">
        <v>60</v>
      </c>
      <c r="J203" s="1476">
        <f t="shared" si="53"/>
        <v>6000</v>
      </c>
      <c r="K203" s="1014">
        <f t="shared" si="54"/>
        <v>70000</v>
      </c>
      <c r="L203" s="1014"/>
      <c r="M203" s="1328"/>
    </row>
    <row r="204" spans="1:13" s="1329" customFormat="1" ht="24" customHeight="1">
      <c r="A204" s="791"/>
      <c r="B204" s="1127" t="s">
        <v>2110</v>
      </c>
      <c r="C204" s="1233"/>
      <c r="D204" s="792"/>
      <c r="E204" s="1345">
        <v>3</v>
      </c>
      <c r="F204" s="1249" t="s">
        <v>438</v>
      </c>
      <c r="G204" s="849">
        <v>850</v>
      </c>
      <c r="H204" s="796">
        <f t="shared" si="52"/>
        <v>2550</v>
      </c>
      <c r="I204" s="849">
        <v>70</v>
      </c>
      <c r="J204" s="1476">
        <f t="shared" si="53"/>
        <v>210</v>
      </c>
      <c r="K204" s="1014">
        <f t="shared" si="54"/>
        <v>2760</v>
      </c>
      <c r="L204" s="1014"/>
      <c r="M204" s="1328"/>
    </row>
    <row r="205" spans="1:13" s="1329" customFormat="1" ht="24" customHeight="1">
      <c r="A205" s="791"/>
      <c r="B205" s="1127" t="s">
        <v>2195</v>
      </c>
      <c r="C205" s="1233"/>
      <c r="D205" s="792"/>
      <c r="E205" s="1345">
        <v>35</v>
      </c>
      <c r="F205" s="1249" t="s">
        <v>438</v>
      </c>
      <c r="G205" s="849">
        <v>950</v>
      </c>
      <c r="H205" s="796">
        <f t="shared" si="52"/>
        <v>33250</v>
      </c>
      <c r="I205" s="849">
        <v>75</v>
      </c>
      <c r="J205" s="1476">
        <f t="shared" si="53"/>
        <v>2625</v>
      </c>
      <c r="K205" s="1014">
        <f t="shared" si="54"/>
        <v>35875</v>
      </c>
      <c r="L205" s="1014"/>
      <c r="M205" s="1328"/>
    </row>
    <row r="206" spans="1:13" s="1329" customFormat="1" ht="24" customHeight="1">
      <c r="A206" s="791"/>
      <c r="B206" s="1127" t="s">
        <v>2295</v>
      </c>
      <c r="C206" s="1233"/>
      <c r="D206" s="792"/>
      <c r="E206" s="1345">
        <v>21</v>
      </c>
      <c r="F206" s="1249" t="s">
        <v>438</v>
      </c>
      <c r="G206" s="849">
        <v>1100</v>
      </c>
      <c r="H206" s="796">
        <f t="shared" si="52"/>
        <v>23100</v>
      </c>
      <c r="I206" s="849">
        <v>80</v>
      </c>
      <c r="J206" s="1476">
        <f t="shared" si="53"/>
        <v>1680</v>
      </c>
      <c r="K206" s="1014">
        <f t="shared" si="54"/>
        <v>24780</v>
      </c>
      <c r="L206" s="1014"/>
      <c r="M206" s="1328"/>
    </row>
    <row r="207" spans="1:13" s="1329" customFormat="1" ht="24" customHeight="1">
      <c r="A207" s="1355"/>
      <c r="B207" s="1331" t="s">
        <v>957</v>
      </c>
      <c r="C207" s="1349"/>
      <c r="D207" s="890"/>
      <c r="E207" s="966"/>
      <c r="F207" s="1348"/>
      <c r="G207" s="1394"/>
      <c r="H207" s="905"/>
      <c r="I207" s="1406"/>
      <c r="J207" s="1407"/>
      <c r="K207" s="1030"/>
      <c r="L207" s="1030"/>
      <c r="M207" s="1328"/>
    </row>
    <row r="208" spans="1:13" s="1329" customFormat="1" ht="24" customHeight="1">
      <c r="A208" s="1355"/>
      <c r="B208" s="1331"/>
      <c r="C208" s="1349"/>
      <c r="D208" s="890"/>
      <c r="E208" s="966"/>
      <c r="F208" s="1348"/>
      <c r="G208" s="1394"/>
      <c r="H208" s="905"/>
      <c r="I208" s="1406"/>
      <c r="J208" s="1407"/>
      <c r="K208" s="1030"/>
      <c r="L208" s="1030"/>
      <c r="M208" s="1328"/>
    </row>
    <row r="209" spans="1:14" s="1329" customFormat="1" ht="24" customHeight="1">
      <c r="A209" s="1355"/>
      <c r="B209" s="1331" t="s">
        <v>958</v>
      </c>
      <c r="C209" s="1349"/>
      <c r="D209" s="890"/>
      <c r="E209" s="966"/>
      <c r="F209" s="1348"/>
      <c r="G209" s="1394"/>
      <c r="H209" s="905"/>
      <c r="I209" s="1406"/>
      <c r="J209" s="1407"/>
      <c r="K209" s="1030"/>
      <c r="L209" s="1030"/>
      <c r="M209" s="1328"/>
    </row>
    <row r="210" spans="1:14" s="886" customFormat="1" ht="24" customHeight="1">
      <c r="A210" s="1510"/>
      <c r="B210" s="2475" t="str">
        <f>"รวมราคารายการที่ "&amp;A186</f>
        <v>รวมราคารายการที่ 7.10</v>
      </c>
      <c r="C210" s="2476"/>
      <c r="D210" s="2476"/>
      <c r="E210" s="1511"/>
      <c r="F210" s="1512"/>
      <c r="G210" s="1513"/>
      <c r="H210" s="1514">
        <f>SUM(H188:H209)</f>
        <v>1028758</v>
      </c>
      <c r="I210" s="1515"/>
      <c r="J210" s="1516">
        <f>SUM(J188:J209)</f>
        <v>624826</v>
      </c>
      <c r="K210" s="1517">
        <f>SUM(K188:K209)</f>
        <v>1653584</v>
      </c>
      <c r="L210" s="1517"/>
      <c r="M210" s="1342"/>
    </row>
    <row r="211" spans="1:14" s="1329" customFormat="1" ht="24" customHeight="1">
      <c r="A211" s="1325" t="s">
        <v>2077</v>
      </c>
      <c r="B211" s="1326" t="s">
        <v>1959</v>
      </c>
      <c r="C211" s="1347"/>
      <c r="D211" s="901"/>
      <c r="E211" s="1019"/>
      <c r="F211" s="1310"/>
      <c r="G211" s="1400"/>
      <c r="H211" s="864"/>
      <c r="I211" s="1400"/>
      <c r="J211" s="1395"/>
      <c r="K211" s="966"/>
      <c r="L211" s="1019"/>
      <c r="M211" s="1328"/>
    </row>
    <row r="212" spans="1:14" s="1329" customFormat="1" ht="24" customHeight="1">
      <c r="A212" s="1330" t="s">
        <v>2079</v>
      </c>
      <c r="B212" s="1331" t="s">
        <v>1961</v>
      </c>
      <c r="C212" s="1349"/>
      <c r="D212" s="890"/>
      <c r="E212" s="966"/>
      <c r="F212" s="1348"/>
      <c r="G212" s="1394"/>
      <c r="H212" s="905"/>
      <c r="I212" s="1406"/>
      <c r="J212" s="1407"/>
      <c r="K212" s="1030"/>
      <c r="L212" s="1030"/>
      <c r="M212" s="1328"/>
    </row>
    <row r="213" spans="1:14" s="1329" customFormat="1" ht="24" customHeight="1">
      <c r="A213" s="1038"/>
      <c r="B213" s="1127" t="s">
        <v>1962</v>
      </c>
      <c r="C213" s="1233"/>
      <c r="D213" s="809"/>
      <c r="E213" s="1345">
        <f>SUM(E188:E192)</f>
        <v>1927</v>
      </c>
      <c r="F213" s="874" t="s">
        <v>1952</v>
      </c>
      <c r="G213" s="1257">
        <v>148</v>
      </c>
      <c r="H213" s="854">
        <f t="shared" ref="H213:H216" si="55">ROUND(E213*G213,)</f>
        <v>285196</v>
      </c>
      <c r="I213" s="1477">
        <v>45</v>
      </c>
      <c r="J213" s="1476">
        <f t="shared" ref="J213:J216" si="56">ROUND(E213*I213,)</f>
        <v>86715</v>
      </c>
      <c r="K213" s="1014">
        <f t="shared" ref="K213:K216" si="57">H213+J213</f>
        <v>371911</v>
      </c>
      <c r="L213" s="1007"/>
      <c r="M213" s="1328"/>
    </row>
    <row r="214" spans="1:14" s="1329" customFormat="1" ht="24" customHeight="1">
      <c r="A214" s="1038"/>
      <c r="B214" s="1127" t="s">
        <v>2115</v>
      </c>
      <c r="C214" s="1233"/>
      <c r="D214" s="809"/>
      <c r="E214" s="1345"/>
      <c r="F214" s="874" t="s">
        <v>1952</v>
      </c>
      <c r="G214" s="1257">
        <v>212</v>
      </c>
      <c r="H214" s="854">
        <f t="shared" si="55"/>
        <v>0</v>
      </c>
      <c r="I214" s="1477">
        <v>45</v>
      </c>
      <c r="J214" s="1476">
        <f t="shared" si="56"/>
        <v>0</v>
      </c>
      <c r="K214" s="1014">
        <f t="shared" si="57"/>
        <v>0</v>
      </c>
      <c r="L214" s="1007"/>
      <c r="M214" s="1328"/>
    </row>
    <row r="215" spans="1:14" s="1329" customFormat="1" ht="24" customHeight="1">
      <c r="A215" s="1038"/>
      <c r="B215" s="1127" t="s">
        <v>2116</v>
      </c>
      <c r="C215" s="1233"/>
      <c r="D215" s="809"/>
      <c r="E215" s="1345"/>
      <c r="F215" s="874" t="s">
        <v>1952</v>
      </c>
      <c r="G215" s="1257">
        <v>454</v>
      </c>
      <c r="H215" s="854">
        <f t="shared" si="55"/>
        <v>0</v>
      </c>
      <c r="I215" s="949">
        <f>ROUND(G215*0.3,)</f>
        <v>136</v>
      </c>
      <c r="J215" s="1476">
        <f t="shared" si="56"/>
        <v>0</v>
      </c>
      <c r="K215" s="1014">
        <f t="shared" si="57"/>
        <v>0</v>
      </c>
      <c r="L215" s="1007"/>
      <c r="M215" s="1328"/>
    </row>
    <row r="216" spans="1:14" s="1329" customFormat="1" ht="24" customHeight="1">
      <c r="A216" s="1330" t="s">
        <v>2196</v>
      </c>
      <c r="B216" s="1331" t="s">
        <v>1965</v>
      </c>
      <c r="C216" s="1349"/>
      <c r="D216" s="890"/>
      <c r="E216" s="966">
        <v>1</v>
      </c>
      <c r="F216" s="1348" t="s">
        <v>948</v>
      </c>
      <c r="G216" s="1394">
        <f>E213*40</f>
        <v>77080</v>
      </c>
      <c r="H216" s="854">
        <f t="shared" si="55"/>
        <v>77080</v>
      </c>
      <c r="I216" s="1406">
        <f>E213*15</f>
        <v>28905</v>
      </c>
      <c r="J216" s="1476">
        <f t="shared" si="56"/>
        <v>28905</v>
      </c>
      <c r="K216" s="1014">
        <f t="shared" si="57"/>
        <v>105985</v>
      </c>
      <c r="L216" s="1030"/>
      <c r="M216" s="1328"/>
    </row>
    <row r="217" spans="1:14" s="1329" customFormat="1" ht="24" customHeight="1">
      <c r="A217" s="1510"/>
      <c r="B217" s="2475" t="str">
        <f>"รวมราคารายการที่ "&amp;A211</f>
        <v>รวมราคารายการที่ 7.11</v>
      </c>
      <c r="C217" s="2476"/>
      <c r="D217" s="2476"/>
      <c r="E217" s="1511"/>
      <c r="F217" s="1512"/>
      <c r="G217" s="1521"/>
      <c r="H217" s="1514">
        <f>SUM(H211:H216)</f>
        <v>362276</v>
      </c>
      <c r="I217" s="1521">
        <f>SUM(I211:I216)</f>
        <v>29131</v>
      </c>
      <c r="J217" s="1522">
        <f>SUM(J211:J216)</f>
        <v>115620</v>
      </c>
      <c r="K217" s="1523">
        <f>SUM(K211:K216)</f>
        <v>477896</v>
      </c>
      <c r="L217" s="1517"/>
      <c r="M217" s="1328"/>
    </row>
    <row r="218" spans="1:14" s="1329" customFormat="1" ht="24" customHeight="1">
      <c r="A218" s="1325" t="s">
        <v>2197</v>
      </c>
      <c r="B218" s="1326" t="s">
        <v>1968</v>
      </c>
      <c r="C218" s="1347"/>
      <c r="D218" s="901"/>
      <c r="E218" s="1019"/>
      <c r="F218" s="1310"/>
      <c r="G218" s="1400"/>
      <c r="H218" s="864"/>
      <c r="I218" s="1400"/>
      <c r="J218" s="1395"/>
      <c r="K218" s="966"/>
      <c r="L218" s="1019"/>
      <c r="M218" s="1328"/>
    </row>
    <row r="219" spans="1:14" s="1329" customFormat="1" ht="24" customHeight="1">
      <c r="A219" s="1330" t="s">
        <v>2198</v>
      </c>
      <c r="B219" s="1331" t="s">
        <v>2041</v>
      </c>
      <c r="C219" s="1349"/>
      <c r="D219" s="801"/>
      <c r="E219" s="966"/>
      <c r="F219" s="1249"/>
      <c r="G219" s="1394"/>
      <c r="H219" s="864"/>
      <c r="I219" s="1394"/>
      <c r="J219" s="1395"/>
      <c r="K219" s="966"/>
      <c r="L219" s="966"/>
      <c r="M219" s="1328"/>
    </row>
    <row r="220" spans="1:14" s="1329" customFormat="1" ht="24" customHeight="1">
      <c r="A220" s="1330"/>
      <c r="B220" s="1331" t="str">
        <f t="shared" ref="B220:B233" si="58">"  -  "&amp;M220&amp;" มม."</f>
        <v xml:space="preserve">  -  200x150 มม.</v>
      </c>
      <c r="C220" s="1349"/>
      <c r="D220" s="801"/>
      <c r="E220" s="1350">
        <f t="shared" ref="E220:E233" si="59">N220</f>
        <v>2</v>
      </c>
      <c r="F220" s="1249" t="str">
        <f t="shared" ref="F220:F233" si="60">IF(E220="","","ชุด")</f>
        <v>ชุด</v>
      </c>
      <c r="G220" s="1394">
        <v>500</v>
      </c>
      <c r="H220" s="854">
        <f t="shared" ref="H220:H237" si="61">ROUND(E220*G220,)</f>
        <v>1000</v>
      </c>
      <c r="I220" s="1394">
        <v>100</v>
      </c>
      <c r="J220" s="1395">
        <f t="shared" ref="J220:J233" si="62">ROUND(E220*I220,)</f>
        <v>200</v>
      </c>
      <c r="K220" s="966">
        <f t="shared" ref="K220:K233" si="63">H220+J220</f>
        <v>1200</v>
      </c>
      <c r="L220" s="966"/>
      <c r="M220" s="1420" t="s">
        <v>2199</v>
      </c>
      <c r="N220">
        <v>2</v>
      </c>
    </row>
    <row r="221" spans="1:14" s="1329" customFormat="1" ht="24" customHeight="1">
      <c r="A221" s="1330"/>
      <c r="B221" s="1331" t="str">
        <f t="shared" si="58"/>
        <v xml:space="preserve">  -  200x200 มม.</v>
      </c>
      <c r="C221" s="1349"/>
      <c r="D221" s="801"/>
      <c r="E221" s="1350">
        <f t="shared" si="59"/>
        <v>10</v>
      </c>
      <c r="F221" s="1249" t="str">
        <f t="shared" si="60"/>
        <v>ชุด</v>
      </c>
      <c r="G221" s="1394">
        <v>500</v>
      </c>
      <c r="H221" s="854">
        <f t="shared" si="61"/>
        <v>5000</v>
      </c>
      <c r="I221" s="1394">
        <v>100</v>
      </c>
      <c r="J221" s="1395">
        <f t="shared" si="62"/>
        <v>1000</v>
      </c>
      <c r="K221" s="966">
        <f t="shared" si="63"/>
        <v>6000</v>
      </c>
      <c r="L221" s="1030"/>
      <c r="M221" s="1420" t="s">
        <v>2042</v>
      </c>
      <c r="N221">
        <v>10</v>
      </c>
    </row>
    <row r="222" spans="1:14" s="1329" customFormat="1" ht="24" customHeight="1">
      <c r="A222" s="1330"/>
      <c r="B222" s="1331" t="str">
        <f t="shared" si="58"/>
        <v xml:space="preserve">  -  250x200 มม.</v>
      </c>
      <c r="C222" s="1349"/>
      <c r="D222" s="801"/>
      <c r="E222" s="1350">
        <f t="shared" si="59"/>
        <v>2</v>
      </c>
      <c r="F222" s="1249" t="str">
        <f t="shared" si="60"/>
        <v>ชุด</v>
      </c>
      <c r="G222" s="1394">
        <v>500</v>
      </c>
      <c r="H222" s="854">
        <f t="shared" si="61"/>
        <v>1000</v>
      </c>
      <c r="I222" s="1394">
        <v>100</v>
      </c>
      <c r="J222" s="1395">
        <f t="shared" si="62"/>
        <v>200</v>
      </c>
      <c r="K222" s="966">
        <f t="shared" si="63"/>
        <v>1200</v>
      </c>
      <c r="L222" s="966"/>
      <c r="M222" s="1420" t="s">
        <v>2056</v>
      </c>
      <c r="N222">
        <v>2</v>
      </c>
    </row>
    <row r="223" spans="1:14" s="1329" customFormat="1" ht="24" customHeight="1">
      <c r="A223" s="1330"/>
      <c r="B223" s="1331" t="str">
        <f t="shared" si="58"/>
        <v xml:space="preserve">  -  300x250 มม.</v>
      </c>
      <c r="C223" s="1349"/>
      <c r="D223" s="801"/>
      <c r="E223" s="1350">
        <f t="shared" si="59"/>
        <v>32</v>
      </c>
      <c r="F223" s="1249" t="str">
        <f t="shared" si="60"/>
        <v>ชุด</v>
      </c>
      <c r="G223" s="1394">
        <v>500</v>
      </c>
      <c r="H223" s="854">
        <f t="shared" si="61"/>
        <v>16000</v>
      </c>
      <c r="I223" s="1394">
        <v>100</v>
      </c>
      <c r="J223" s="1395">
        <f t="shared" si="62"/>
        <v>3200</v>
      </c>
      <c r="K223" s="966">
        <f t="shared" si="63"/>
        <v>19200</v>
      </c>
      <c r="L223" s="1030"/>
      <c r="M223" s="1420" t="s">
        <v>2200</v>
      </c>
      <c r="N223">
        <v>32</v>
      </c>
    </row>
    <row r="224" spans="1:14" s="1329" customFormat="1" ht="24" customHeight="1">
      <c r="A224" s="1330"/>
      <c r="B224" s="1331" t="str">
        <f t="shared" si="58"/>
        <v xml:space="preserve">  -  650x650 มม.</v>
      </c>
      <c r="C224" s="1349"/>
      <c r="D224" s="801"/>
      <c r="E224" s="1350">
        <f t="shared" si="59"/>
        <v>4</v>
      </c>
      <c r="F224" s="865" t="str">
        <f t="shared" si="60"/>
        <v>ชุด</v>
      </c>
      <c r="G224" s="1394">
        <v>1300</v>
      </c>
      <c r="H224" s="854">
        <f t="shared" si="61"/>
        <v>5200</v>
      </c>
      <c r="I224" s="1394">
        <v>100</v>
      </c>
      <c r="J224" s="1395">
        <f t="shared" si="62"/>
        <v>400</v>
      </c>
      <c r="K224" s="966">
        <f t="shared" si="63"/>
        <v>5600</v>
      </c>
      <c r="L224" s="966"/>
      <c r="M224" s="1420" t="s">
        <v>2045</v>
      </c>
      <c r="N224">
        <v>4</v>
      </c>
    </row>
    <row r="225" spans="1:14" s="1329" customFormat="1" ht="24" customHeight="1">
      <c r="A225" s="1330"/>
      <c r="B225" s="1331" t="str">
        <f t="shared" si="58"/>
        <v xml:space="preserve">  -  500x200 มม.</v>
      </c>
      <c r="C225" s="1349"/>
      <c r="D225" s="801"/>
      <c r="E225" s="1350">
        <f t="shared" si="59"/>
        <v>4</v>
      </c>
      <c r="F225" s="865" t="str">
        <f t="shared" si="60"/>
        <v>ชุด</v>
      </c>
      <c r="G225" s="1394">
        <v>700</v>
      </c>
      <c r="H225" s="854">
        <f t="shared" si="61"/>
        <v>2800</v>
      </c>
      <c r="I225" s="1394">
        <v>100</v>
      </c>
      <c r="J225" s="1395">
        <f t="shared" si="62"/>
        <v>400</v>
      </c>
      <c r="K225" s="966">
        <f t="shared" si="63"/>
        <v>3200</v>
      </c>
      <c r="L225" s="1030"/>
      <c r="M225" s="1420" t="s">
        <v>2296</v>
      </c>
      <c r="N225">
        <v>4</v>
      </c>
    </row>
    <row r="226" spans="1:14" s="1329" customFormat="1" ht="24" customHeight="1">
      <c r="A226" s="1330"/>
      <c r="B226" s="1331" t="str">
        <f t="shared" si="58"/>
        <v xml:space="preserve">  -  1600x500 มม.</v>
      </c>
      <c r="C226" s="1349"/>
      <c r="D226" s="801"/>
      <c r="E226" s="1350">
        <f t="shared" si="59"/>
        <v>8</v>
      </c>
      <c r="F226" s="865" t="str">
        <f t="shared" si="60"/>
        <v>ชุด</v>
      </c>
      <c r="G226" s="1394">
        <v>2100</v>
      </c>
      <c r="H226" s="854">
        <f t="shared" si="61"/>
        <v>16800</v>
      </c>
      <c r="I226" s="1406">
        <v>200</v>
      </c>
      <c r="J226" s="1395">
        <f t="shared" si="62"/>
        <v>1600</v>
      </c>
      <c r="K226" s="966">
        <f t="shared" si="63"/>
        <v>18400</v>
      </c>
      <c r="L226" s="1030"/>
      <c r="M226" s="1420" t="s">
        <v>2297</v>
      </c>
      <c r="N226">
        <v>8</v>
      </c>
    </row>
    <row r="227" spans="1:14" s="1329" customFormat="1" ht="24" customHeight="1">
      <c r="A227" s="1330"/>
      <c r="B227" s="1331" t="str">
        <f t="shared" si="58"/>
        <v xml:space="preserve">  -  500x500 มม.</v>
      </c>
      <c r="C227" s="1349"/>
      <c r="D227" s="801"/>
      <c r="E227" s="1350">
        <f t="shared" si="59"/>
        <v>2</v>
      </c>
      <c r="F227" s="865" t="str">
        <f t="shared" si="60"/>
        <v>ชุด</v>
      </c>
      <c r="G227" s="1394">
        <v>1000</v>
      </c>
      <c r="H227" s="854">
        <f t="shared" si="61"/>
        <v>2000</v>
      </c>
      <c r="I227" s="906">
        <v>200</v>
      </c>
      <c r="J227" s="1395">
        <f t="shared" si="62"/>
        <v>400</v>
      </c>
      <c r="K227" s="966">
        <f t="shared" si="63"/>
        <v>2400</v>
      </c>
      <c r="L227" s="1030"/>
      <c r="M227" s="1420" t="s">
        <v>2043</v>
      </c>
      <c r="N227">
        <v>2</v>
      </c>
    </row>
    <row r="228" spans="1:14" s="1329" customFormat="1" ht="24" customHeight="1">
      <c r="A228" s="1330"/>
      <c r="B228" s="1331" t="str">
        <f t="shared" si="58"/>
        <v xml:space="preserve">  -  1200x600 มม.</v>
      </c>
      <c r="C228" s="1349"/>
      <c r="D228" s="801"/>
      <c r="E228" s="1350">
        <f t="shared" si="59"/>
        <v>10</v>
      </c>
      <c r="F228" s="865" t="str">
        <f t="shared" si="60"/>
        <v>ชุด</v>
      </c>
      <c r="G228" s="1394">
        <v>1800</v>
      </c>
      <c r="H228" s="854">
        <f t="shared" si="61"/>
        <v>18000</v>
      </c>
      <c r="I228" s="906">
        <v>200</v>
      </c>
      <c r="J228" s="1395">
        <f t="shared" si="62"/>
        <v>2000</v>
      </c>
      <c r="K228" s="966">
        <f t="shared" si="63"/>
        <v>20000</v>
      </c>
      <c r="L228" s="1030"/>
      <c r="M228" s="1420" t="s">
        <v>2202</v>
      </c>
      <c r="N228">
        <v>10</v>
      </c>
    </row>
    <row r="229" spans="1:14" s="1329" customFormat="1" ht="24" customHeight="1">
      <c r="A229" s="1330"/>
      <c r="B229" s="1331" t="str">
        <f t="shared" si="58"/>
        <v xml:space="preserve">  -  1400x1000 มม.</v>
      </c>
      <c r="C229" s="1349"/>
      <c r="D229" s="801"/>
      <c r="E229" s="1350">
        <f t="shared" si="59"/>
        <v>2</v>
      </c>
      <c r="F229" s="865" t="str">
        <f t="shared" si="60"/>
        <v>ชุด</v>
      </c>
      <c r="G229" s="1394">
        <v>2400</v>
      </c>
      <c r="H229" s="854">
        <f t="shared" si="61"/>
        <v>4800</v>
      </c>
      <c r="I229" s="906">
        <v>200</v>
      </c>
      <c r="J229" s="1395">
        <f t="shared" si="62"/>
        <v>400</v>
      </c>
      <c r="K229" s="966">
        <f t="shared" si="63"/>
        <v>5200</v>
      </c>
      <c r="L229" s="1030"/>
      <c r="M229" s="1420" t="s">
        <v>2203</v>
      </c>
      <c r="N229">
        <v>2</v>
      </c>
    </row>
    <row r="230" spans="1:14" s="1329" customFormat="1" ht="24" customHeight="1">
      <c r="A230" s="1330"/>
      <c r="B230" s="1331" t="str">
        <f t="shared" si="58"/>
        <v xml:space="preserve">  -  1500x600 มม.</v>
      </c>
      <c r="C230" s="1349"/>
      <c r="D230" s="801"/>
      <c r="E230" s="1350">
        <f t="shared" si="59"/>
        <v>4</v>
      </c>
      <c r="F230" s="865" t="str">
        <f t="shared" si="60"/>
        <v>ชุด</v>
      </c>
      <c r="G230" s="1394">
        <v>2100</v>
      </c>
      <c r="H230" s="854">
        <f t="shared" si="61"/>
        <v>8400</v>
      </c>
      <c r="I230" s="906">
        <v>200</v>
      </c>
      <c r="J230" s="1395">
        <f t="shared" si="62"/>
        <v>800</v>
      </c>
      <c r="K230" s="966">
        <f t="shared" si="63"/>
        <v>9200</v>
      </c>
      <c r="L230" s="1030"/>
      <c r="M230" s="1420" t="s">
        <v>2204</v>
      </c>
      <c r="N230">
        <v>4</v>
      </c>
    </row>
    <row r="231" spans="1:14" s="1329" customFormat="1" ht="24" customHeight="1">
      <c r="A231" s="1330"/>
      <c r="B231" s="1331" t="str">
        <f t="shared" si="58"/>
        <v xml:space="preserve">  -  1550x500 มม.</v>
      </c>
      <c r="C231" s="1349"/>
      <c r="D231" s="801"/>
      <c r="E231" s="1350">
        <f t="shared" si="59"/>
        <v>2</v>
      </c>
      <c r="F231" s="865" t="str">
        <f t="shared" si="60"/>
        <v>ชุด</v>
      </c>
      <c r="G231" s="1394">
        <v>2050</v>
      </c>
      <c r="H231" s="854">
        <f t="shared" si="61"/>
        <v>4100</v>
      </c>
      <c r="I231" s="906">
        <v>200</v>
      </c>
      <c r="J231" s="1395">
        <f t="shared" si="62"/>
        <v>400</v>
      </c>
      <c r="K231" s="966">
        <f t="shared" si="63"/>
        <v>4500</v>
      </c>
      <c r="L231" s="966"/>
      <c r="M231" s="1420" t="s">
        <v>2298</v>
      </c>
      <c r="N231">
        <v>2</v>
      </c>
    </row>
    <row r="232" spans="1:14" s="1329" customFormat="1" ht="24" customHeight="1">
      <c r="A232" s="1330"/>
      <c r="B232" s="1331" t="str">
        <f t="shared" si="58"/>
        <v xml:space="preserve">  -  2000x1600 มม.</v>
      </c>
      <c r="C232" s="1349"/>
      <c r="D232" s="801"/>
      <c r="E232" s="1350">
        <f t="shared" si="59"/>
        <v>1</v>
      </c>
      <c r="F232" s="865" t="str">
        <f t="shared" si="60"/>
        <v>ชุด</v>
      </c>
      <c r="G232" s="1394">
        <v>3600</v>
      </c>
      <c r="H232" s="854">
        <f t="shared" si="61"/>
        <v>3600</v>
      </c>
      <c r="I232" s="906">
        <v>200</v>
      </c>
      <c r="J232" s="1395">
        <f t="shared" si="62"/>
        <v>200</v>
      </c>
      <c r="K232" s="966">
        <f t="shared" si="63"/>
        <v>3800</v>
      </c>
      <c r="L232" s="966"/>
      <c r="M232" s="1420" t="s">
        <v>2299</v>
      </c>
      <c r="N232">
        <v>1</v>
      </c>
    </row>
    <row r="233" spans="1:14" s="1329" customFormat="1" ht="24" customHeight="1">
      <c r="A233" s="1330"/>
      <c r="B233" s="1331" t="str">
        <f t="shared" si="58"/>
        <v xml:space="preserve">  -  2400x1600 มม.</v>
      </c>
      <c r="C233" s="1349"/>
      <c r="D233" s="801"/>
      <c r="E233" s="1350">
        <f t="shared" si="59"/>
        <v>1</v>
      </c>
      <c r="F233" s="865" t="str">
        <f t="shared" si="60"/>
        <v>ชุด</v>
      </c>
      <c r="G233" s="1394">
        <v>4000</v>
      </c>
      <c r="H233" s="854">
        <f t="shared" si="61"/>
        <v>4000</v>
      </c>
      <c r="I233" s="906">
        <v>200</v>
      </c>
      <c r="J233" s="1395">
        <f t="shared" si="62"/>
        <v>200</v>
      </c>
      <c r="K233" s="966">
        <f t="shared" si="63"/>
        <v>4200</v>
      </c>
      <c r="L233" s="966"/>
      <c r="M233" s="1420" t="s">
        <v>2300</v>
      </c>
      <c r="N233">
        <v>1</v>
      </c>
    </row>
    <row r="234" spans="1:14" s="1329" customFormat="1" ht="24" customHeight="1">
      <c r="A234" s="1330" t="s">
        <v>2208</v>
      </c>
      <c r="B234" s="1331" t="s">
        <v>2049</v>
      </c>
      <c r="C234" s="1349"/>
      <c r="D234" s="801"/>
      <c r="E234" s="966"/>
      <c r="F234" s="865"/>
      <c r="G234" s="1394"/>
      <c r="H234" s="854">
        <f t="shared" si="61"/>
        <v>0</v>
      </c>
      <c r="I234" s="865"/>
      <c r="J234" s="1395"/>
      <c r="K234" s="966"/>
      <c r="L234" s="966"/>
      <c r="M234" s="1328"/>
    </row>
    <row r="235" spans="1:14" s="1329" customFormat="1" ht="24" customHeight="1">
      <c r="A235" s="1330"/>
      <c r="B235" s="1331" t="str">
        <f t="shared" ref="B235:B239" si="64">"  -  "&amp;M235&amp;" มม."</f>
        <v xml:space="preserve">  -  300x200 มม.</v>
      </c>
      <c r="C235" s="1349"/>
      <c r="D235" s="801"/>
      <c r="E235" s="1350">
        <f t="shared" ref="E235:E239" si="65">N235</f>
        <v>12</v>
      </c>
      <c r="F235" s="906" t="str">
        <f t="shared" ref="F235:F247" si="66">IF(E235="","","ชุด")</f>
        <v>ชุด</v>
      </c>
      <c r="G235" s="1394">
        <v>500</v>
      </c>
      <c r="H235" s="854">
        <f t="shared" si="61"/>
        <v>6000</v>
      </c>
      <c r="I235" s="906">
        <v>100</v>
      </c>
      <c r="J235" s="1395">
        <f t="shared" ref="J235:J247" si="67">ROUND(E235*I235,)</f>
        <v>1200</v>
      </c>
      <c r="K235" s="966">
        <f t="shared" ref="K235:K247" si="68">H235+J235</f>
        <v>7200</v>
      </c>
      <c r="L235" s="1030"/>
      <c r="M235" s="1420" t="s">
        <v>2050</v>
      </c>
      <c r="N235">
        <v>12</v>
      </c>
    </row>
    <row r="236" spans="1:14" s="1329" customFormat="1" ht="24" customHeight="1">
      <c r="A236" s="1330"/>
      <c r="B236" s="1331" t="str">
        <f t="shared" si="64"/>
        <v xml:space="preserve">  -  350x200 มม.</v>
      </c>
      <c r="C236" s="1349"/>
      <c r="D236" s="801"/>
      <c r="E236" s="1350">
        <f t="shared" si="65"/>
        <v>10</v>
      </c>
      <c r="F236" s="906" t="str">
        <f t="shared" si="66"/>
        <v>ชุด</v>
      </c>
      <c r="G236" s="1394">
        <v>500</v>
      </c>
      <c r="H236" s="854">
        <f t="shared" si="61"/>
        <v>5000</v>
      </c>
      <c r="I236" s="906">
        <v>100</v>
      </c>
      <c r="J236" s="1395">
        <f t="shared" si="67"/>
        <v>1000</v>
      </c>
      <c r="K236" s="966">
        <f t="shared" si="68"/>
        <v>6000</v>
      </c>
      <c r="L236" s="1030"/>
      <c r="M236" s="1420" t="s">
        <v>2209</v>
      </c>
      <c r="N236">
        <v>10</v>
      </c>
    </row>
    <row r="237" spans="1:14" s="1329" customFormat="1" ht="24" customHeight="1">
      <c r="A237" s="1330"/>
      <c r="B237" s="1331" t="str">
        <f t="shared" si="64"/>
        <v xml:space="preserve">  -  400x250 มม.</v>
      </c>
      <c r="C237" s="1349"/>
      <c r="D237" s="801"/>
      <c r="E237" s="1350">
        <f t="shared" si="65"/>
        <v>12</v>
      </c>
      <c r="F237" s="906" t="str">
        <f t="shared" si="66"/>
        <v>ชุด</v>
      </c>
      <c r="G237" s="1394">
        <v>600</v>
      </c>
      <c r="H237" s="854">
        <f t="shared" si="61"/>
        <v>7200</v>
      </c>
      <c r="I237" s="906">
        <v>100</v>
      </c>
      <c r="J237" s="1395">
        <f t="shared" si="67"/>
        <v>1200</v>
      </c>
      <c r="K237" s="966">
        <f t="shared" si="68"/>
        <v>8400</v>
      </c>
      <c r="L237" s="1030"/>
      <c r="M237" s="1420" t="s">
        <v>2210</v>
      </c>
      <c r="N237">
        <v>12</v>
      </c>
    </row>
    <row r="238" spans="1:14" s="1329" customFormat="1" ht="24" customHeight="1">
      <c r="A238" s="1330" t="s">
        <v>2211</v>
      </c>
      <c r="B238" t="s">
        <v>2052</v>
      </c>
      <c r="C238" s="1349"/>
      <c r="D238" s="801"/>
      <c r="E238" s="966"/>
      <c r="F238" s="867"/>
      <c r="G238" s="1249"/>
      <c r="H238" s="864"/>
      <c r="I238" s="865"/>
      <c r="J238" s="864"/>
      <c r="K238" s="867"/>
      <c r="L238" s="867"/>
      <c r="M238" s="1328"/>
    </row>
    <row r="239" spans="1:14" s="1329" customFormat="1" ht="24" customHeight="1">
      <c r="A239" s="1330"/>
      <c r="B239" s="1331" t="str">
        <f t="shared" si="64"/>
        <v xml:space="preserve">  -  500x300 มม.</v>
      </c>
      <c r="C239" s="1349"/>
      <c r="D239" s="801"/>
      <c r="E239" s="1350">
        <f t="shared" si="65"/>
        <v>6</v>
      </c>
      <c r="F239" s="903" t="str">
        <f t="shared" si="66"/>
        <v>ชุด</v>
      </c>
      <c r="G239" s="1249">
        <v>700</v>
      </c>
      <c r="H239" s="864">
        <f t="shared" ref="H239:H247" si="69">ROUND(E239*G239,)</f>
        <v>4200</v>
      </c>
      <c r="I239" s="865">
        <v>100</v>
      </c>
      <c r="J239" s="864">
        <f t="shared" ref="J239" si="70">ROUND(E239*I239,)</f>
        <v>600</v>
      </c>
      <c r="K239" s="867">
        <f t="shared" ref="K239" si="71">H239+J239</f>
        <v>4800</v>
      </c>
      <c r="L239" s="903"/>
      <c r="M239" s="1420" t="s">
        <v>2212</v>
      </c>
      <c r="N239">
        <v>6</v>
      </c>
    </row>
    <row r="240" spans="1:14" s="1329" customFormat="1" ht="24" customHeight="1">
      <c r="A240" s="1330" t="s">
        <v>2213</v>
      </c>
      <c r="B240" s="1331" t="s">
        <v>2219</v>
      </c>
      <c r="C240" s="1349"/>
      <c r="D240" s="801"/>
      <c r="E240" s="966"/>
      <c r="F240" s="867"/>
      <c r="G240" s="1249"/>
      <c r="H240" s="864"/>
      <c r="I240" s="865"/>
      <c r="J240" s="864"/>
      <c r="K240" s="867"/>
      <c r="L240" s="867"/>
      <c r="M240" s="1328"/>
    </row>
    <row r="241" spans="1:14" s="1329" customFormat="1" ht="24" customHeight="1">
      <c r="A241" s="1330"/>
      <c r="B241" t="s">
        <v>2220</v>
      </c>
      <c r="C241" s="1349"/>
      <c r="D241" s="801"/>
      <c r="E241" s="1350">
        <v>5</v>
      </c>
      <c r="F241" s="903" t="str">
        <f t="shared" si="66"/>
        <v>ชุด</v>
      </c>
      <c r="G241" s="1249">
        <v>1500</v>
      </c>
      <c r="H241" s="864">
        <f t="shared" si="69"/>
        <v>7500</v>
      </c>
      <c r="I241" s="906">
        <v>500</v>
      </c>
      <c r="J241" s="864">
        <f t="shared" si="67"/>
        <v>2500</v>
      </c>
      <c r="K241" s="867">
        <f t="shared" si="68"/>
        <v>10000</v>
      </c>
      <c r="L241" s="903"/>
      <c r="M241" s="1328"/>
    </row>
    <row r="242" spans="1:14" s="1329" customFormat="1" ht="24" customHeight="1">
      <c r="A242" s="1330"/>
      <c r="B242" s="1331" t="s">
        <v>2221</v>
      </c>
      <c r="C242" s="1349"/>
      <c r="D242" s="801"/>
      <c r="E242" s="1350">
        <v>3</v>
      </c>
      <c r="F242" s="903" t="str">
        <f t="shared" si="66"/>
        <v>ชุด</v>
      </c>
      <c r="G242" s="1249">
        <v>2000</v>
      </c>
      <c r="H242" s="864">
        <f t="shared" si="69"/>
        <v>6000</v>
      </c>
      <c r="I242" s="906">
        <v>500</v>
      </c>
      <c r="J242" s="864">
        <f t="shared" si="67"/>
        <v>1500</v>
      </c>
      <c r="K242" s="867">
        <f t="shared" si="68"/>
        <v>7500</v>
      </c>
      <c r="L242" s="903"/>
      <c r="M242" s="1328"/>
    </row>
    <row r="243" spans="1:14" s="1329" customFormat="1" ht="24" customHeight="1">
      <c r="A243" s="1330"/>
      <c r="B243" s="1331" t="s">
        <v>2222</v>
      </c>
      <c r="C243" s="1349"/>
      <c r="D243" s="801"/>
      <c r="E243" s="1350">
        <v>12</v>
      </c>
      <c r="F243" s="903" t="str">
        <f t="shared" si="66"/>
        <v>ชุด</v>
      </c>
      <c r="G243" s="1249">
        <v>2500</v>
      </c>
      <c r="H243" s="864">
        <f t="shared" si="69"/>
        <v>30000</v>
      </c>
      <c r="I243" s="906">
        <v>500</v>
      </c>
      <c r="J243" s="864">
        <f t="shared" si="67"/>
        <v>6000</v>
      </c>
      <c r="K243" s="867">
        <f t="shared" si="68"/>
        <v>36000</v>
      </c>
      <c r="L243" s="903"/>
      <c r="M243" s="1328"/>
    </row>
    <row r="244" spans="1:14" s="1329" customFormat="1" ht="24" customHeight="1">
      <c r="A244" s="1330"/>
      <c r="B244" s="1331" t="s">
        <v>2216</v>
      </c>
      <c r="C244" s="1349"/>
      <c r="D244" s="801"/>
      <c r="E244" s="1350">
        <v>82</v>
      </c>
      <c r="F244" s="903" t="str">
        <f t="shared" si="66"/>
        <v>ชุด</v>
      </c>
      <c r="G244" s="1249">
        <v>3500</v>
      </c>
      <c r="H244" s="864">
        <f t="shared" si="69"/>
        <v>287000</v>
      </c>
      <c r="I244" s="906">
        <v>500</v>
      </c>
      <c r="J244" s="864">
        <f t="shared" si="67"/>
        <v>41000</v>
      </c>
      <c r="K244" s="867">
        <f t="shared" si="68"/>
        <v>328000</v>
      </c>
      <c r="L244" s="903"/>
      <c r="M244" s="1328"/>
    </row>
    <row r="245" spans="1:14" s="1329" customFormat="1" ht="24" customHeight="1">
      <c r="A245" s="1330"/>
      <c r="B245" s="1331" t="s">
        <v>2301</v>
      </c>
      <c r="C245" s="1349"/>
      <c r="D245" s="801"/>
      <c r="E245" s="1350">
        <v>2</v>
      </c>
      <c r="F245" s="903" t="str">
        <f t="shared" si="66"/>
        <v>ชุด</v>
      </c>
      <c r="G245" s="1249">
        <v>1500</v>
      </c>
      <c r="H245" s="864">
        <f t="shared" si="69"/>
        <v>3000</v>
      </c>
      <c r="I245" s="906">
        <v>500</v>
      </c>
      <c r="J245" s="864">
        <f t="shared" si="67"/>
        <v>1000</v>
      </c>
      <c r="K245" s="867">
        <f t="shared" si="68"/>
        <v>4000</v>
      </c>
      <c r="L245" s="903"/>
      <c r="M245" s="1328"/>
    </row>
    <row r="246" spans="1:14" s="1329" customFormat="1" ht="24" customHeight="1">
      <c r="A246" s="1330"/>
      <c r="B246" s="1335" t="s">
        <v>2223</v>
      </c>
      <c r="C246" s="1349"/>
      <c r="D246" s="890"/>
      <c r="E246" s="966">
        <v>24</v>
      </c>
      <c r="F246" s="903" t="str">
        <f t="shared" si="66"/>
        <v>ชุด</v>
      </c>
      <c r="G246" s="1249">
        <v>5000</v>
      </c>
      <c r="H246" s="864">
        <f t="shared" si="69"/>
        <v>120000</v>
      </c>
      <c r="I246" s="906">
        <v>500</v>
      </c>
      <c r="J246" s="864">
        <f t="shared" si="67"/>
        <v>12000</v>
      </c>
      <c r="K246" s="867">
        <f t="shared" si="68"/>
        <v>132000</v>
      </c>
      <c r="L246" s="903"/>
      <c r="M246" s="1328"/>
    </row>
    <row r="247" spans="1:14" s="1329" customFormat="1" ht="24" customHeight="1">
      <c r="A247" s="1330"/>
      <c r="B247" s="1335" t="s">
        <v>2302</v>
      </c>
      <c r="C247" s="1349"/>
      <c r="D247" s="890"/>
      <c r="E247" s="966">
        <v>12</v>
      </c>
      <c r="F247" s="903" t="str">
        <f t="shared" si="66"/>
        <v>ชุด</v>
      </c>
      <c r="G247" s="1249">
        <v>5500</v>
      </c>
      <c r="H247" s="864">
        <f t="shared" si="69"/>
        <v>66000</v>
      </c>
      <c r="I247" s="906">
        <v>500</v>
      </c>
      <c r="J247" s="864">
        <f t="shared" si="67"/>
        <v>6000</v>
      </c>
      <c r="K247" s="867">
        <f t="shared" si="68"/>
        <v>72000</v>
      </c>
      <c r="L247" s="903"/>
      <c r="M247" s="1328"/>
    </row>
    <row r="248" spans="1:14" s="1329" customFormat="1" ht="24" customHeight="1">
      <c r="A248" s="1330" t="s">
        <v>2218</v>
      </c>
      <c r="B248" s="1331" t="s">
        <v>2055</v>
      </c>
      <c r="C248" s="1349"/>
      <c r="D248" s="801"/>
      <c r="E248" s="966"/>
      <c r="F248" s="867"/>
      <c r="G248" s="1249"/>
      <c r="H248" s="864"/>
      <c r="I248" s="865"/>
      <c r="J248" s="864"/>
      <c r="K248" s="867"/>
      <c r="L248" s="867"/>
      <c r="M248" s="1328"/>
    </row>
    <row r="249" spans="1:14" s="1329" customFormat="1" ht="24" customHeight="1">
      <c r="A249" s="1330"/>
      <c r="B249" s="1331" t="str">
        <f t="shared" ref="B249:B260" si="72">"  -  "&amp;M249&amp;" มม."</f>
        <v xml:space="preserve">  -  250x200 มม.</v>
      </c>
      <c r="C249" s="1349"/>
      <c r="D249" s="801"/>
      <c r="E249" s="1350">
        <f t="shared" ref="E249:E260" si="73">N249</f>
        <v>18</v>
      </c>
      <c r="F249" s="867" t="str">
        <f t="shared" ref="F249:F260" si="74">IF(E249="","","ชุด")</f>
        <v>ชุด</v>
      </c>
      <c r="G249" s="1249">
        <v>1100</v>
      </c>
      <c r="H249" s="864">
        <f t="shared" ref="H249:H268" si="75">ROUND(E249*G249,)</f>
        <v>19800</v>
      </c>
      <c r="I249" s="865">
        <v>300</v>
      </c>
      <c r="J249" s="864">
        <f t="shared" ref="J249:J260" si="76">ROUND(E249*I249,)</f>
        <v>5400</v>
      </c>
      <c r="K249" s="867">
        <f t="shared" ref="K249:K260" si="77">H249+J249</f>
        <v>25200</v>
      </c>
      <c r="L249" s="867"/>
      <c r="M249" s="1328" t="s">
        <v>2056</v>
      </c>
      <c r="N249" s="1329">
        <v>18</v>
      </c>
    </row>
    <row r="250" spans="1:14" s="1329" customFormat="1" ht="24" customHeight="1">
      <c r="A250" s="1330"/>
      <c r="B250" s="1331" t="str">
        <f t="shared" si="72"/>
        <v xml:space="preserve">  -  300x250 มม.</v>
      </c>
      <c r="C250" s="1349"/>
      <c r="D250" s="801"/>
      <c r="E250" s="1350">
        <f t="shared" si="73"/>
        <v>1</v>
      </c>
      <c r="F250" s="867" t="str">
        <f t="shared" si="74"/>
        <v>ชุด</v>
      </c>
      <c r="G250" s="1249">
        <v>1300</v>
      </c>
      <c r="H250" s="864">
        <f t="shared" si="75"/>
        <v>1300</v>
      </c>
      <c r="I250" s="865">
        <v>300</v>
      </c>
      <c r="J250" s="864">
        <f t="shared" si="76"/>
        <v>300</v>
      </c>
      <c r="K250" s="867">
        <f t="shared" si="77"/>
        <v>1600</v>
      </c>
      <c r="L250" s="867"/>
      <c r="M250" s="1328" t="s">
        <v>2200</v>
      </c>
      <c r="N250" s="1329">
        <v>1</v>
      </c>
    </row>
    <row r="251" spans="1:14" s="1329" customFormat="1" ht="24" customHeight="1">
      <c r="A251" s="1330"/>
      <c r="B251" s="1331" t="str">
        <f t="shared" si="72"/>
        <v xml:space="preserve">  -  500x500 มม.</v>
      </c>
      <c r="C251" s="1349"/>
      <c r="D251" s="801"/>
      <c r="E251" s="1350">
        <f t="shared" si="73"/>
        <v>2</v>
      </c>
      <c r="F251" s="867" t="str">
        <f t="shared" si="74"/>
        <v>ชุด</v>
      </c>
      <c r="G251" s="1249">
        <v>2500</v>
      </c>
      <c r="H251" s="864">
        <f t="shared" si="75"/>
        <v>5000</v>
      </c>
      <c r="I251" s="865">
        <v>300</v>
      </c>
      <c r="J251" s="864">
        <f t="shared" si="76"/>
        <v>600</v>
      </c>
      <c r="K251" s="867">
        <f t="shared" si="77"/>
        <v>5600</v>
      </c>
      <c r="L251" s="867"/>
      <c r="M251" s="1328" t="s">
        <v>2043</v>
      </c>
      <c r="N251" s="1329">
        <v>2</v>
      </c>
    </row>
    <row r="252" spans="1:14" s="1329" customFormat="1" ht="24" customHeight="1">
      <c r="A252" s="1330"/>
      <c r="B252" s="1331" t="str">
        <f t="shared" si="72"/>
        <v xml:space="preserve">  -  550x300 มม.</v>
      </c>
      <c r="C252" s="1349"/>
      <c r="D252" s="801"/>
      <c r="E252" s="1350">
        <f t="shared" si="73"/>
        <v>2</v>
      </c>
      <c r="F252" s="867" t="str">
        <f t="shared" si="74"/>
        <v>ชุด</v>
      </c>
      <c r="G252" s="1249">
        <v>2100</v>
      </c>
      <c r="H252" s="864">
        <f t="shared" si="75"/>
        <v>4200</v>
      </c>
      <c r="I252" s="865">
        <v>300</v>
      </c>
      <c r="J252" s="864">
        <f t="shared" si="76"/>
        <v>600</v>
      </c>
      <c r="K252" s="867">
        <f t="shared" si="77"/>
        <v>4800</v>
      </c>
      <c r="L252" s="867"/>
      <c r="M252" s="1328" t="s">
        <v>2303</v>
      </c>
      <c r="N252" s="1329">
        <v>2</v>
      </c>
    </row>
    <row r="253" spans="1:14" s="1329" customFormat="1" ht="24" customHeight="1">
      <c r="A253" s="1330"/>
      <c r="B253" s="1331" t="str">
        <f t="shared" si="72"/>
        <v xml:space="preserve">  -  600x350 มม.</v>
      </c>
      <c r="C253" s="1349"/>
      <c r="D253" s="801"/>
      <c r="E253" s="1350">
        <f t="shared" si="73"/>
        <v>1</v>
      </c>
      <c r="F253" s="867" t="str">
        <f t="shared" si="74"/>
        <v>ชุด</v>
      </c>
      <c r="G253" s="1249">
        <v>2300</v>
      </c>
      <c r="H253" s="864">
        <f t="shared" si="75"/>
        <v>2300</v>
      </c>
      <c r="I253" s="865">
        <v>300</v>
      </c>
      <c r="J253" s="864">
        <f t="shared" si="76"/>
        <v>300</v>
      </c>
      <c r="K253" s="867">
        <f t="shared" si="77"/>
        <v>2600</v>
      </c>
      <c r="L253" s="867"/>
      <c r="M253" s="1328" t="s">
        <v>2304</v>
      </c>
      <c r="N253" s="1329">
        <v>1</v>
      </c>
    </row>
    <row r="254" spans="1:14" s="1329" customFormat="1" ht="24" customHeight="1">
      <c r="A254" s="1330"/>
      <c r="B254" s="1331" t="str">
        <f t="shared" si="72"/>
        <v xml:space="preserve">  -  650x650 มม.</v>
      </c>
      <c r="C254" s="1349"/>
      <c r="D254" s="801"/>
      <c r="E254" s="1350">
        <f t="shared" si="73"/>
        <v>4</v>
      </c>
      <c r="F254" s="867" t="str">
        <f t="shared" si="74"/>
        <v>ชุด</v>
      </c>
      <c r="G254" s="1249">
        <v>3250</v>
      </c>
      <c r="H254" s="864">
        <f t="shared" si="75"/>
        <v>13000</v>
      </c>
      <c r="I254" s="865">
        <v>300</v>
      </c>
      <c r="J254" s="864">
        <f t="shared" si="76"/>
        <v>1200</v>
      </c>
      <c r="K254" s="867">
        <f t="shared" si="77"/>
        <v>14200</v>
      </c>
      <c r="L254" s="867"/>
      <c r="M254" s="1328" t="s">
        <v>2045</v>
      </c>
      <c r="N254" s="1329">
        <v>4</v>
      </c>
    </row>
    <row r="255" spans="1:14" s="1329" customFormat="1" ht="24" customHeight="1">
      <c r="A255" s="1330"/>
      <c r="B255" s="1331" t="str">
        <f t="shared" si="72"/>
        <v xml:space="preserve">  -  1050x300 มม.</v>
      </c>
      <c r="C255" s="1349"/>
      <c r="D255" s="801"/>
      <c r="E255" s="1350">
        <f t="shared" si="73"/>
        <v>1</v>
      </c>
      <c r="F255" s="867" t="str">
        <f t="shared" si="74"/>
        <v>ชุด</v>
      </c>
      <c r="G255" s="1249">
        <v>3375</v>
      </c>
      <c r="H255" s="864">
        <f t="shared" si="75"/>
        <v>3375</v>
      </c>
      <c r="I255" s="865">
        <v>325</v>
      </c>
      <c r="J255" s="864">
        <f t="shared" si="76"/>
        <v>325</v>
      </c>
      <c r="K255" s="867">
        <f t="shared" si="77"/>
        <v>3700</v>
      </c>
      <c r="L255" s="867"/>
      <c r="M255" s="1328" t="s">
        <v>2240</v>
      </c>
      <c r="N255" s="1329">
        <v>1</v>
      </c>
    </row>
    <row r="256" spans="1:14" s="1329" customFormat="1" ht="24" customHeight="1">
      <c r="A256" s="1330"/>
      <c r="B256" s="1331" t="str">
        <f t="shared" si="72"/>
        <v xml:space="preserve">  -  1150x400 มม.</v>
      </c>
      <c r="C256" s="1349"/>
      <c r="D256" s="801"/>
      <c r="E256" s="1350">
        <f t="shared" si="73"/>
        <v>5</v>
      </c>
      <c r="F256" s="867" t="str">
        <f t="shared" si="74"/>
        <v>ชุด</v>
      </c>
      <c r="G256" s="1249">
        <v>3875</v>
      </c>
      <c r="H256" s="864">
        <f t="shared" si="75"/>
        <v>19375</v>
      </c>
      <c r="I256" s="865">
        <v>325</v>
      </c>
      <c r="J256" s="864">
        <f t="shared" si="76"/>
        <v>1625</v>
      </c>
      <c r="K256" s="867">
        <f t="shared" si="77"/>
        <v>21000</v>
      </c>
      <c r="L256" s="867"/>
      <c r="M256" s="1328" t="s">
        <v>2229</v>
      </c>
      <c r="N256" s="1329">
        <v>5</v>
      </c>
    </row>
    <row r="257" spans="1:14" s="1329" customFormat="1" ht="24" customHeight="1">
      <c r="A257" s="1330"/>
      <c r="B257" s="1331" t="str">
        <f t="shared" si="72"/>
        <v xml:space="preserve">  -  1250x650 มม.</v>
      </c>
      <c r="C257" s="1349"/>
      <c r="D257" s="801"/>
      <c r="E257" s="1350">
        <f t="shared" si="73"/>
        <v>1</v>
      </c>
      <c r="F257" s="867" t="str">
        <f t="shared" si="74"/>
        <v>ชุด</v>
      </c>
      <c r="G257" s="1249">
        <v>4750</v>
      </c>
      <c r="H257" s="864">
        <f t="shared" si="75"/>
        <v>4750</v>
      </c>
      <c r="I257" s="865">
        <v>325</v>
      </c>
      <c r="J257" s="864">
        <f t="shared" si="76"/>
        <v>325</v>
      </c>
      <c r="K257" s="867">
        <f t="shared" si="77"/>
        <v>5075</v>
      </c>
      <c r="L257" s="867"/>
      <c r="M257" s="1328" t="s">
        <v>2305</v>
      </c>
      <c r="N257" s="1329">
        <v>1</v>
      </c>
    </row>
    <row r="258" spans="1:14" s="1329" customFormat="1" ht="24" customHeight="1">
      <c r="A258" s="1330"/>
      <c r="B258" s="1331" t="str">
        <f t="shared" si="72"/>
        <v xml:space="preserve">  -  1400x400 มม.</v>
      </c>
      <c r="C258" s="1349"/>
      <c r="D258" s="801"/>
      <c r="E258" s="1350">
        <f t="shared" si="73"/>
        <v>1</v>
      </c>
      <c r="F258" s="867" t="str">
        <f t="shared" si="74"/>
        <v>ชุด</v>
      </c>
      <c r="G258" s="1249">
        <v>4500</v>
      </c>
      <c r="H258" s="864">
        <f t="shared" si="75"/>
        <v>4500</v>
      </c>
      <c r="I258" s="865">
        <v>325</v>
      </c>
      <c r="J258" s="864">
        <f t="shared" si="76"/>
        <v>325</v>
      </c>
      <c r="K258" s="867">
        <f t="shared" si="77"/>
        <v>4825</v>
      </c>
      <c r="L258" s="867"/>
      <c r="M258" s="1328" t="s">
        <v>2306</v>
      </c>
      <c r="N258" s="1329">
        <v>1</v>
      </c>
    </row>
    <row r="259" spans="1:14" s="1329" customFormat="1" ht="24" customHeight="1">
      <c r="A259" s="1330"/>
      <c r="B259" s="1331" t="str">
        <f t="shared" si="72"/>
        <v xml:space="preserve">  -  1600x400 มม.</v>
      </c>
      <c r="C259" s="1349"/>
      <c r="D259" s="801"/>
      <c r="E259" s="1350">
        <f t="shared" si="73"/>
        <v>4</v>
      </c>
      <c r="F259" s="867" t="str">
        <f t="shared" si="74"/>
        <v>ชุด</v>
      </c>
      <c r="G259" s="1249">
        <v>5000</v>
      </c>
      <c r="H259" s="864">
        <f t="shared" si="75"/>
        <v>20000</v>
      </c>
      <c r="I259" s="865">
        <v>325</v>
      </c>
      <c r="J259" s="864">
        <f t="shared" si="76"/>
        <v>1300</v>
      </c>
      <c r="K259" s="867">
        <f t="shared" si="77"/>
        <v>21300</v>
      </c>
      <c r="L259" s="867"/>
      <c r="M259" s="1328" t="s">
        <v>2307</v>
      </c>
      <c r="N259" s="1329">
        <v>4</v>
      </c>
    </row>
    <row r="260" spans="1:14" s="1329" customFormat="1" ht="24" customHeight="1">
      <c r="A260" s="1330"/>
      <c r="B260" s="1331" t="str">
        <f t="shared" si="72"/>
        <v xml:space="preserve">  -  1750x500 มม.</v>
      </c>
      <c r="C260" s="1349"/>
      <c r="D260" s="801"/>
      <c r="E260" s="1350">
        <f t="shared" si="73"/>
        <v>5</v>
      </c>
      <c r="F260" s="867" t="str">
        <f t="shared" si="74"/>
        <v>ชุด</v>
      </c>
      <c r="G260" s="1249">
        <v>5625</v>
      </c>
      <c r="H260" s="864">
        <f t="shared" si="75"/>
        <v>28125</v>
      </c>
      <c r="I260" s="865">
        <v>325</v>
      </c>
      <c r="J260" s="864">
        <f t="shared" si="76"/>
        <v>1625</v>
      </c>
      <c r="K260" s="867">
        <f t="shared" si="77"/>
        <v>29750</v>
      </c>
      <c r="L260" s="867"/>
      <c r="M260" s="1328" t="s">
        <v>2308</v>
      </c>
      <c r="N260" s="1329">
        <v>5</v>
      </c>
    </row>
    <row r="261" spans="1:14" s="1329" customFormat="1" ht="24" customHeight="1">
      <c r="A261" s="1330" t="s">
        <v>2224</v>
      </c>
      <c r="B261" s="1335" t="s">
        <v>2063</v>
      </c>
      <c r="C261" s="1349"/>
      <c r="D261" s="890"/>
      <c r="E261" s="966"/>
      <c r="F261" s="903"/>
      <c r="G261" s="1249"/>
      <c r="H261" s="905"/>
      <c r="I261" s="906"/>
      <c r="J261" s="905"/>
      <c r="K261" s="903"/>
      <c r="L261" s="903"/>
      <c r="M261" s="1328"/>
    </row>
    <row r="262" spans="1:14" s="1329" customFormat="1" ht="24" customHeight="1">
      <c r="A262" s="1330"/>
      <c r="B262" s="1331" t="str">
        <f t="shared" ref="B262:B268" si="78">"  -  "&amp;M262&amp;" มม."</f>
        <v xml:space="preserve">  -  850x400 มม.</v>
      </c>
      <c r="C262" s="1349"/>
      <c r="D262" s="801"/>
      <c r="E262" s="1350">
        <f t="shared" ref="E262:E268" si="79">N262</f>
        <v>2</v>
      </c>
      <c r="F262" s="903" t="str">
        <f t="shared" ref="F262:F268" si="80">IF(E262="","","ชุด")</f>
        <v>ชุด</v>
      </c>
      <c r="G262" s="1249">
        <v>1800</v>
      </c>
      <c r="H262" s="864">
        <f t="shared" si="75"/>
        <v>3600</v>
      </c>
      <c r="I262" s="906">
        <v>250</v>
      </c>
      <c r="J262" s="864">
        <f t="shared" ref="J262:J268" si="81">ROUND(E262*I262,)</f>
        <v>500</v>
      </c>
      <c r="K262" s="867">
        <f t="shared" ref="K262:K268" si="82">H262+J262</f>
        <v>4100</v>
      </c>
      <c r="L262" s="903"/>
      <c r="M262" s="1328" t="s">
        <v>2309</v>
      </c>
      <c r="N262" s="1329">
        <v>2</v>
      </c>
    </row>
    <row r="263" spans="1:14" s="1329" customFormat="1" ht="24" customHeight="1">
      <c r="A263" s="1330"/>
      <c r="B263" s="1331" t="str">
        <f t="shared" si="78"/>
        <v xml:space="preserve">  -  1100x300 มม.</v>
      </c>
      <c r="C263" s="1349"/>
      <c r="D263" s="801"/>
      <c r="E263" s="1350">
        <f t="shared" si="79"/>
        <v>2</v>
      </c>
      <c r="F263" s="903" t="str">
        <f t="shared" si="80"/>
        <v>ชุด</v>
      </c>
      <c r="G263" s="1249">
        <v>2000</v>
      </c>
      <c r="H263" s="864">
        <f t="shared" si="75"/>
        <v>4000</v>
      </c>
      <c r="I263" s="906">
        <v>250</v>
      </c>
      <c r="J263" s="864">
        <f t="shared" si="81"/>
        <v>500</v>
      </c>
      <c r="K263" s="867">
        <f t="shared" si="82"/>
        <v>4500</v>
      </c>
      <c r="L263" s="903"/>
      <c r="M263" s="1328" t="s">
        <v>2310</v>
      </c>
      <c r="N263" s="1329">
        <v>2</v>
      </c>
    </row>
    <row r="264" spans="1:14" s="1329" customFormat="1" ht="24" customHeight="1">
      <c r="A264" s="1330"/>
      <c r="B264" s="1331" t="str">
        <f t="shared" si="78"/>
        <v xml:space="preserve">  -  1150x400 มม.</v>
      </c>
      <c r="C264" s="1349"/>
      <c r="D264" s="801"/>
      <c r="E264" s="1350">
        <f t="shared" si="79"/>
        <v>1</v>
      </c>
      <c r="F264" s="903" t="str">
        <f t="shared" si="80"/>
        <v>ชุด</v>
      </c>
      <c r="G264" s="1249">
        <v>2800</v>
      </c>
      <c r="H264" s="864">
        <f t="shared" si="75"/>
        <v>2800</v>
      </c>
      <c r="I264" s="906">
        <v>250</v>
      </c>
      <c r="J264" s="864">
        <f t="shared" si="81"/>
        <v>250</v>
      </c>
      <c r="K264" s="867">
        <f t="shared" si="82"/>
        <v>3050</v>
      </c>
      <c r="L264" s="903"/>
      <c r="M264" s="1328" t="s">
        <v>2229</v>
      </c>
      <c r="N264" s="1329">
        <v>1</v>
      </c>
    </row>
    <row r="265" spans="1:14" s="1329" customFormat="1" ht="24" customHeight="1">
      <c r="A265" s="1330"/>
      <c r="B265" s="1331" t="str">
        <f t="shared" si="78"/>
        <v xml:space="preserve">  -  1600x400 มม.</v>
      </c>
      <c r="C265" s="1349"/>
      <c r="D265" s="801"/>
      <c r="E265" s="1350">
        <f t="shared" si="79"/>
        <v>1</v>
      </c>
      <c r="F265" s="903" t="str">
        <f t="shared" si="80"/>
        <v>ชุด</v>
      </c>
      <c r="G265" s="1249">
        <v>3800</v>
      </c>
      <c r="H265" s="864">
        <f t="shared" si="75"/>
        <v>3800</v>
      </c>
      <c r="I265" s="906">
        <v>250</v>
      </c>
      <c r="J265" s="864">
        <f t="shared" si="81"/>
        <v>250</v>
      </c>
      <c r="K265" s="867">
        <f t="shared" si="82"/>
        <v>4050</v>
      </c>
      <c r="L265" s="903"/>
      <c r="M265" s="1328" t="s">
        <v>2307</v>
      </c>
      <c r="N265" s="1329">
        <v>1</v>
      </c>
    </row>
    <row r="266" spans="1:14" s="1329" customFormat="1" ht="24" customHeight="1">
      <c r="A266" s="1330"/>
      <c r="B266" s="1331" t="str">
        <f t="shared" si="78"/>
        <v xml:space="preserve">  -  1750x500 มม.</v>
      </c>
      <c r="C266" s="1349"/>
      <c r="D266" s="801"/>
      <c r="E266" s="1350">
        <f t="shared" si="79"/>
        <v>2</v>
      </c>
      <c r="F266" s="903" t="str">
        <f t="shared" si="80"/>
        <v>ชุด</v>
      </c>
      <c r="G266" s="1249">
        <v>4500</v>
      </c>
      <c r="H266" s="864">
        <f t="shared" si="75"/>
        <v>9000</v>
      </c>
      <c r="I266" s="906">
        <v>250</v>
      </c>
      <c r="J266" s="864">
        <f t="shared" si="81"/>
        <v>500</v>
      </c>
      <c r="K266" s="867">
        <f t="shared" si="82"/>
        <v>9500</v>
      </c>
      <c r="L266" s="903"/>
      <c r="M266" s="1328" t="s">
        <v>2308</v>
      </c>
      <c r="N266" s="1329">
        <v>2</v>
      </c>
    </row>
    <row r="267" spans="1:14" s="1329" customFormat="1" ht="24" customHeight="1">
      <c r="A267" s="1330" t="s">
        <v>2237</v>
      </c>
      <c r="B267" s="1331" t="s">
        <v>2239</v>
      </c>
      <c r="C267" s="1349"/>
      <c r="D267" s="801"/>
      <c r="E267" s="966"/>
      <c r="F267" s="867"/>
      <c r="G267" s="1249"/>
      <c r="H267" s="864"/>
      <c r="I267" s="865"/>
      <c r="J267" s="864"/>
      <c r="K267" s="867"/>
      <c r="L267" s="867"/>
      <c r="M267" s="1328"/>
    </row>
    <row r="268" spans="1:14" s="1329" customFormat="1" ht="24" customHeight="1">
      <c r="A268" s="1330"/>
      <c r="B268" s="1331" t="str">
        <f t="shared" si="78"/>
        <v xml:space="preserve">  -  1050x300 มม.</v>
      </c>
      <c r="C268" s="1349"/>
      <c r="D268" s="801"/>
      <c r="E268" s="1350">
        <f t="shared" si="79"/>
        <v>2</v>
      </c>
      <c r="F268" s="867" t="str">
        <f t="shared" si="80"/>
        <v>ชุด</v>
      </c>
      <c r="G268" s="1249">
        <v>1800</v>
      </c>
      <c r="H268" s="864">
        <f t="shared" si="75"/>
        <v>3600</v>
      </c>
      <c r="I268" s="865">
        <v>200</v>
      </c>
      <c r="J268" s="864">
        <f t="shared" si="81"/>
        <v>400</v>
      </c>
      <c r="K268" s="867">
        <f t="shared" si="82"/>
        <v>4000</v>
      </c>
      <c r="L268" s="867"/>
      <c r="M268" s="1328" t="s">
        <v>2240</v>
      </c>
      <c r="N268" s="1329">
        <v>2</v>
      </c>
    </row>
    <row r="269" spans="1:14" s="1329" customFormat="1" ht="24" customHeight="1">
      <c r="A269" s="1330"/>
      <c r="B269" s="1331" t="s">
        <v>957</v>
      </c>
      <c r="C269" s="1349"/>
      <c r="D269" s="801"/>
      <c r="E269" s="966"/>
      <c r="F269" s="867"/>
      <c r="G269" s="1249"/>
      <c r="H269" s="864"/>
      <c r="I269" s="865"/>
      <c r="J269" s="864"/>
      <c r="K269" s="867"/>
      <c r="L269" s="867"/>
      <c r="M269" s="1328"/>
    </row>
    <row r="270" spans="1:14" s="1329" customFormat="1" ht="24" customHeight="1">
      <c r="A270" s="1330"/>
      <c r="B270" s="1335" t="s">
        <v>958</v>
      </c>
      <c r="C270" s="1349"/>
      <c r="D270" s="890"/>
      <c r="E270" s="966"/>
      <c r="F270" s="903"/>
      <c r="G270" s="1249"/>
      <c r="H270" s="905"/>
      <c r="I270" s="906"/>
      <c r="J270" s="905"/>
      <c r="K270" s="903"/>
      <c r="L270" s="903"/>
      <c r="M270" s="1328"/>
    </row>
    <row r="271" spans="1:14" s="1329" customFormat="1" ht="24" customHeight="1">
      <c r="A271" s="1510"/>
      <c r="B271" s="2475" t="str">
        <f>"รวมราคารายการที่ "&amp;A218</f>
        <v>รวมราคารายการที่ 7.12</v>
      </c>
      <c r="C271" s="2476"/>
      <c r="D271" s="2477"/>
      <c r="E271" s="1511"/>
      <c r="F271" s="1511"/>
      <c r="G271" s="1513"/>
      <c r="H271" s="1514">
        <f>SUM(H218:H270)</f>
        <v>787125</v>
      </c>
      <c r="I271" s="1515"/>
      <c r="J271" s="1514">
        <f>SUM(J218:J270)</f>
        <v>101725</v>
      </c>
      <c r="K271" s="1514">
        <f>SUM(K218:K270)</f>
        <v>888850</v>
      </c>
      <c r="L271" s="1517"/>
      <c r="M271" s="1328"/>
    </row>
    <row r="272" spans="1:14" s="1329" customFormat="1" ht="24" customHeight="1">
      <c r="A272" s="1325" t="s">
        <v>2241</v>
      </c>
      <c r="B272" s="1326" t="s">
        <v>2066</v>
      </c>
      <c r="C272" s="1347"/>
      <c r="D272" s="901"/>
      <c r="E272" s="1030"/>
      <c r="F272" s="903"/>
      <c r="G272" s="1348"/>
      <c r="H272" s="905"/>
      <c r="I272" s="906"/>
      <c r="J272" s="905"/>
      <c r="K272" s="903"/>
      <c r="L272" s="903"/>
      <c r="M272" s="1328"/>
    </row>
    <row r="273" spans="1:15" s="1329" customFormat="1" ht="24" customHeight="1">
      <c r="A273" s="1330" t="s">
        <v>2242</v>
      </c>
      <c r="B273" s="1335" t="s">
        <v>2068</v>
      </c>
      <c r="C273" s="1349"/>
      <c r="D273" s="890"/>
      <c r="E273" s="1019"/>
      <c r="F273" s="947"/>
      <c r="G273" s="1310"/>
      <c r="H273" s="864"/>
      <c r="I273" s="774"/>
      <c r="J273" s="864"/>
      <c r="K273" s="966"/>
      <c r="L273" s="1019"/>
      <c r="M273" s="1328"/>
    </row>
    <row r="274" spans="1:15" s="1329" customFormat="1" ht="24" customHeight="1">
      <c r="A274" s="1330"/>
      <c r="B274" s="1331" t="s">
        <v>2311</v>
      </c>
      <c r="C274" s="1349"/>
      <c r="D274" s="890"/>
      <c r="E274" s="1019">
        <v>1</v>
      </c>
      <c r="F274" s="903" t="s">
        <v>240</v>
      </c>
      <c r="G274" s="1249">
        <v>30000</v>
      </c>
      <c r="H274" s="751">
        <f t="shared" ref="H274:H285" si="83">ROUND(E274*G274,)</f>
        <v>30000</v>
      </c>
      <c r="I274" s="1249">
        <f t="shared" ref="I274:I285" si="84">G274*0.1</f>
        <v>3000</v>
      </c>
      <c r="J274" s="751">
        <f t="shared" ref="J274:J285" si="85">ROUND(E274*I274,)</f>
        <v>3000</v>
      </c>
      <c r="K274" s="973">
        <f t="shared" ref="K274:K286" si="86">H274+J274</f>
        <v>33000</v>
      </c>
      <c r="L274" s="903"/>
      <c r="M274" s="1328"/>
    </row>
    <row r="275" spans="1:15" s="1329" customFormat="1" ht="24" customHeight="1">
      <c r="A275" s="1330"/>
      <c r="B275" s="1331" t="s">
        <v>2312</v>
      </c>
      <c r="C275" s="1349"/>
      <c r="D275" s="890"/>
      <c r="E275" s="1019">
        <v>1</v>
      </c>
      <c r="F275" s="903" t="s">
        <v>240</v>
      </c>
      <c r="G275" s="1249">
        <v>15000</v>
      </c>
      <c r="H275" s="751">
        <f t="shared" si="83"/>
        <v>15000</v>
      </c>
      <c r="I275" s="1249">
        <f t="shared" si="84"/>
        <v>1500</v>
      </c>
      <c r="J275" s="751">
        <f t="shared" si="85"/>
        <v>1500</v>
      </c>
      <c r="K275" s="973">
        <f t="shared" si="86"/>
        <v>16500</v>
      </c>
      <c r="L275" s="903"/>
      <c r="M275" s="1328"/>
    </row>
    <row r="276" spans="1:15" s="1329" customFormat="1" ht="24" customHeight="1">
      <c r="A276" s="1330"/>
      <c r="B276" s="1331" t="s">
        <v>2313</v>
      </c>
      <c r="C276" s="1349"/>
      <c r="D276" s="890"/>
      <c r="E276" s="1019">
        <v>1</v>
      </c>
      <c r="F276" s="903" t="s">
        <v>240</v>
      </c>
      <c r="G276" s="1249">
        <v>25000</v>
      </c>
      <c r="H276" s="751">
        <f t="shared" si="83"/>
        <v>25000</v>
      </c>
      <c r="I276" s="1249">
        <f t="shared" si="84"/>
        <v>2500</v>
      </c>
      <c r="J276" s="751">
        <f t="shared" si="85"/>
        <v>2500</v>
      </c>
      <c r="K276" s="973">
        <f t="shared" si="86"/>
        <v>27500</v>
      </c>
      <c r="L276" s="903"/>
      <c r="M276" s="1328"/>
    </row>
    <row r="277" spans="1:15" s="1329" customFormat="1" ht="24" customHeight="1">
      <c r="A277" s="1330"/>
      <c r="B277" s="1331" t="s">
        <v>2314</v>
      </c>
      <c r="C277" s="1349"/>
      <c r="D277" s="890"/>
      <c r="E277" s="1019">
        <v>1</v>
      </c>
      <c r="F277" s="903" t="s">
        <v>240</v>
      </c>
      <c r="G277" s="1250">
        <v>25000</v>
      </c>
      <c r="H277" s="751">
        <f t="shared" si="83"/>
        <v>25000</v>
      </c>
      <c r="I277" s="1249">
        <f t="shared" si="84"/>
        <v>2500</v>
      </c>
      <c r="J277" s="751">
        <f t="shared" si="85"/>
        <v>2500</v>
      </c>
      <c r="K277" s="973">
        <f t="shared" si="86"/>
        <v>27500</v>
      </c>
      <c r="L277" s="903"/>
      <c r="M277" s="1328"/>
    </row>
    <row r="278" spans="1:15" s="1329" customFormat="1" ht="24" customHeight="1">
      <c r="A278" s="1330"/>
      <c r="B278" s="1331" t="s">
        <v>2315</v>
      </c>
      <c r="C278" s="1349"/>
      <c r="D278" s="890"/>
      <c r="E278" s="1019">
        <v>1</v>
      </c>
      <c r="F278" s="903" t="s">
        <v>240</v>
      </c>
      <c r="G278" s="1250">
        <v>25000</v>
      </c>
      <c r="H278" s="751">
        <f t="shared" si="83"/>
        <v>25000</v>
      </c>
      <c r="I278" s="1249">
        <f t="shared" si="84"/>
        <v>2500</v>
      </c>
      <c r="J278" s="751">
        <f t="shared" si="85"/>
        <v>2500</v>
      </c>
      <c r="K278" s="973">
        <f t="shared" si="86"/>
        <v>27500</v>
      </c>
      <c r="L278" s="903"/>
      <c r="M278" s="1328"/>
    </row>
    <row r="279" spans="1:15" s="1329" customFormat="1" ht="24" customHeight="1">
      <c r="A279" s="1330"/>
      <c r="B279" s="1331" t="s">
        <v>2316</v>
      </c>
      <c r="C279" s="1349"/>
      <c r="D279" s="890"/>
      <c r="E279" s="1019">
        <v>1</v>
      </c>
      <c r="F279" s="903" t="s">
        <v>240</v>
      </c>
      <c r="G279" s="1250">
        <v>2500</v>
      </c>
      <c r="H279" s="751">
        <f t="shared" si="83"/>
        <v>2500</v>
      </c>
      <c r="I279" s="1249">
        <f t="shared" si="84"/>
        <v>250</v>
      </c>
      <c r="J279" s="751">
        <f t="shared" si="85"/>
        <v>250</v>
      </c>
      <c r="K279" s="973">
        <f t="shared" si="86"/>
        <v>2750</v>
      </c>
      <c r="L279" s="903"/>
      <c r="M279" s="1328"/>
    </row>
    <row r="280" spans="1:15" s="1329" customFormat="1" ht="24" customHeight="1">
      <c r="A280" s="1330"/>
      <c r="B280" s="1331" t="s">
        <v>2317</v>
      </c>
      <c r="C280" s="1349"/>
      <c r="D280" s="890"/>
      <c r="E280" s="1019">
        <v>1</v>
      </c>
      <c r="F280" s="903" t="s">
        <v>240</v>
      </c>
      <c r="G280" s="1250">
        <v>30000</v>
      </c>
      <c r="H280" s="751">
        <f t="shared" si="83"/>
        <v>30000</v>
      </c>
      <c r="I280" s="1249">
        <f t="shared" si="84"/>
        <v>3000</v>
      </c>
      <c r="J280" s="751">
        <f t="shared" si="85"/>
        <v>3000</v>
      </c>
      <c r="K280" s="973">
        <f t="shared" si="86"/>
        <v>33000</v>
      </c>
      <c r="L280" s="903"/>
      <c r="M280" s="1328"/>
    </row>
    <row r="281" spans="1:15" s="1329" customFormat="1" ht="24" customHeight="1">
      <c r="A281" s="1330"/>
      <c r="B281" s="1331" t="s">
        <v>2318</v>
      </c>
      <c r="C281" s="1349"/>
      <c r="D281" s="890"/>
      <c r="E281" s="1019">
        <v>1</v>
      </c>
      <c r="F281" s="903" t="s">
        <v>240</v>
      </c>
      <c r="G281" s="1250">
        <v>15000</v>
      </c>
      <c r="H281" s="751">
        <f t="shared" si="83"/>
        <v>15000</v>
      </c>
      <c r="I281" s="1249">
        <f t="shared" si="84"/>
        <v>1500</v>
      </c>
      <c r="J281" s="751">
        <f t="shared" si="85"/>
        <v>1500</v>
      </c>
      <c r="K281" s="973">
        <f t="shared" si="86"/>
        <v>16500</v>
      </c>
      <c r="L281" s="903"/>
      <c r="M281" s="1328"/>
    </row>
    <row r="282" spans="1:15" s="1329" customFormat="1" ht="24" customHeight="1">
      <c r="A282" s="1330"/>
      <c r="B282" s="1331" t="s">
        <v>2319</v>
      </c>
      <c r="C282" s="1349"/>
      <c r="D282" s="890"/>
      <c r="E282" s="1019">
        <v>1</v>
      </c>
      <c r="F282" s="903" t="s">
        <v>240</v>
      </c>
      <c r="G282" s="1250">
        <v>25000</v>
      </c>
      <c r="H282" s="751">
        <f t="shared" si="83"/>
        <v>25000</v>
      </c>
      <c r="I282" s="1249">
        <f t="shared" si="84"/>
        <v>2500</v>
      </c>
      <c r="J282" s="751">
        <f t="shared" si="85"/>
        <v>2500</v>
      </c>
      <c r="K282" s="973">
        <f t="shared" si="86"/>
        <v>27500</v>
      </c>
      <c r="L282" s="903"/>
      <c r="M282" s="1328"/>
    </row>
    <row r="283" spans="1:15" s="1329" customFormat="1" ht="24" customHeight="1">
      <c r="A283" s="1330"/>
      <c r="B283" s="1331" t="s">
        <v>2320</v>
      </c>
      <c r="C283" s="1349"/>
      <c r="D283" s="890"/>
      <c r="E283" s="1019">
        <v>1</v>
      </c>
      <c r="F283" s="903" t="s">
        <v>240</v>
      </c>
      <c r="G283" s="1250">
        <v>25000</v>
      </c>
      <c r="H283" s="751">
        <f t="shared" si="83"/>
        <v>25000</v>
      </c>
      <c r="I283" s="1249">
        <f t="shared" si="84"/>
        <v>2500</v>
      </c>
      <c r="J283" s="751">
        <f t="shared" si="85"/>
        <v>2500</v>
      </c>
      <c r="K283" s="973">
        <f t="shared" si="86"/>
        <v>27500</v>
      </c>
      <c r="L283" s="903"/>
      <c r="M283" s="1328"/>
    </row>
    <row r="284" spans="1:15" s="1329" customFormat="1" ht="24" customHeight="1">
      <c r="A284" s="1330"/>
      <c r="B284" s="1331" t="s">
        <v>2321</v>
      </c>
      <c r="C284" s="1349"/>
      <c r="D284" s="890"/>
      <c r="E284" s="1019">
        <v>1</v>
      </c>
      <c r="F284" s="903" t="s">
        <v>240</v>
      </c>
      <c r="G284" s="1250">
        <v>25000</v>
      </c>
      <c r="H284" s="751">
        <f t="shared" si="83"/>
        <v>25000</v>
      </c>
      <c r="I284" s="1249">
        <f t="shared" si="84"/>
        <v>2500</v>
      </c>
      <c r="J284" s="751">
        <f t="shared" si="85"/>
        <v>2500</v>
      </c>
      <c r="K284" s="973">
        <f t="shared" si="86"/>
        <v>27500</v>
      </c>
      <c r="L284" s="903"/>
      <c r="M284" s="1328"/>
    </row>
    <row r="285" spans="1:15" s="1329" customFormat="1" ht="24" customHeight="1">
      <c r="A285" s="1330"/>
      <c r="B285" s="1331" t="s">
        <v>2322</v>
      </c>
      <c r="C285" s="1349"/>
      <c r="D285" s="890"/>
      <c r="E285" s="1019">
        <v>1</v>
      </c>
      <c r="F285" s="903" t="s">
        <v>240</v>
      </c>
      <c r="G285" s="1250">
        <v>2500</v>
      </c>
      <c r="H285" s="751">
        <f t="shared" si="83"/>
        <v>2500</v>
      </c>
      <c r="I285" s="1249">
        <f t="shared" si="84"/>
        <v>250</v>
      </c>
      <c r="J285" s="751">
        <f t="shared" si="85"/>
        <v>250</v>
      </c>
      <c r="K285" s="973">
        <f t="shared" si="86"/>
        <v>2750</v>
      </c>
      <c r="L285" s="903"/>
      <c r="M285" s="1328"/>
    </row>
    <row r="286" spans="1:15" s="1329" customFormat="1" ht="24" customHeight="1">
      <c r="A286" s="1330"/>
      <c r="B286" s="1331"/>
      <c r="C286" s="1349"/>
      <c r="D286" s="801"/>
      <c r="E286" s="966"/>
      <c r="F286" s="867" t="s">
        <v>240</v>
      </c>
      <c r="G286" s="1250"/>
      <c r="H286" s="751"/>
      <c r="I286" s="1249"/>
      <c r="J286" s="751"/>
      <c r="K286" s="973">
        <f t="shared" si="86"/>
        <v>0</v>
      </c>
      <c r="L286" s="867"/>
      <c r="M286" s="1328"/>
    </row>
    <row r="287" spans="1:15" s="1329" customFormat="1" ht="24" customHeight="1">
      <c r="A287" s="1330" t="s">
        <v>2255</v>
      </c>
      <c r="B287" s="1331" t="s">
        <v>1207</v>
      </c>
      <c r="C287" s="1349"/>
      <c r="D287" s="801"/>
      <c r="E287" s="966"/>
      <c r="F287" s="867"/>
      <c r="G287" s="1250"/>
      <c r="H287" s="864"/>
      <c r="I287" s="865"/>
      <c r="J287" s="864"/>
      <c r="K287" s="867"/>
      <c r="L287" s="867"/>
      <c r="M287" s="1328"/>
    </row>
    <row r="288" spans="1:15" s="1329" customFormat="1" ht="24" customHeight="1">
      <c r="A288" s="1330"/>
      <c r="B288" s="1331" t="s">
        <v>1737</v>
      </c>
      <c r="C288" s="1349"/>
      <c r="D288" s="801"/>
      <c r="E288" s="966">
        <f>60+60+120+120+120+120+60+120+120+120</f>
        <v>1020</v>
      </c>
      <c r="F288" s="867" t="s">
        <v>438</v>
      </c>
      <c r="G288" s="752">
        <v>9</v>
      </c>
      <c r="H288" s="796">
        <f t="shared" ref="H288:H293" si="87">ROUND(E288*G288,)</f>
        <v>9180</v>
      </c>
      <c r="I288" s="865">
        <v>7</v>
      </c>
      <c r="J288" s="751">
        <f t="shared" ref="J288:J293" si="88">ROUND(E288*I288,)</f>
        <v>7140</v>
      </c>
      <c r="K288" s="973">
        <f t="shared" ref="K288:K293" si="89">H288+J288</f>
        <v>16320</v>
      </c>
      <c r="L288" s="1718" t="s">
        <v>2974</v>
      </c>
      <c r="N288" s="1404">
        <v>912.1</v>
      </c>
      <c r="O288" s="1404">
        <f t="shared" ref="O288:O293" si="90">ROUND(N288/100,)</f>
        <v>9</v>
      </c>
    </row>
    <row r="289" spans="1:15" s="1329" customFormat="1" ht="24" customHeight="1">
      <c r="A289" s="1330"/>
      <c r="B289" s="720" t="s">
        <v>1166</v>
      </c>
      <c r="C289" s="792"/>
      <c r="D289" s="792"/>
      <c r="E289" s="805">
        <f>60</f>
        <v>60</v>
      </c>
      <c r="F289" s="794" t="s">
        <v>438</v>
      </c>
      <c r="G289" s="806">
        <v>14</v>
      </c>
      <c r="H289" s="796">
        <f t="shared" si="87"/>
        <v>840</v>
      </c>
      <c r="I289" s="797">
        <v>10</v>
      </c>
      <c r="J289" s="796">
        <f t="shared" si="88"/>
        <v>600</v>
      </c>
      <c r="K289" s="914">
        <f t="shared" si="89"/>
        <v>1440</v>
      </c>
      <c r="L289" s="1718" t="s">
        <v>2974</v>
      </c>
      <c r="N289" s="1404">
        <v>1375.8</v>
      </c>
      <c r="O289" s="1404">
        <f t="shared" si="90"/>
        <v>14</v>
      </c>
    </row>
    <row r="290" spans="1:15" s="1329" customFormat="1" ht="24" customHeight="1">
      <c r="A290" s="1330"/>
      <c r="B290" s="720" t="s">
        <v>1167</v>
      </c>
      <c r="C290" s="792"/>
      <c r="D290" s="792"/>
      <c r="E290" s="805">
        <f>105+60+105</f>
        <v>270</v>
      </c>
      <c r="F290" s="794" t="s">
        <v>438</v>
      </c>
      <c r="G290" s="806">
        <v>23</v>
      </c>
      <c r="H290" s="796">
        <f t="shared" si="87"/>
        <v>6210</v>
      </c>
      <c r="I290" s="797">
        <v>12</v>
      </c>
      <c r="J290" s="796">
        <f t="shared" si="88"/>
        <v>3240</v>
      </c>
      <c r="K290" s="914">
        <f t="shared" si="89"/>
        <v>9450</v>
      </c>
      <c r="L290" s="1718" t="s">
        <v>2974</v>
      </c>
      <c r="N290" s="1404">
        <v>2264.1999999999998</v>
      </c>
      <c r="O290" s="1404">
        <f t="shared" si="90"/>
        <v>23</v>
      </c>
    </row>
    <row r="291" spans="1:15" s="1329" customFormat="1" ht="24" customHeight="1">
      <c r="A291" s="1330"/>
      <c r="B291" s="720" t="s">
        <v>1168</v>
      </c>
      <c r="C291" s="792"/>
      <c r="D291" s="792"/>
      <c r="E291" s="805"/>
      <c r="F291" s="794" t="s">
        <v>438</v>
      </c>
      <c r="G291" s="806">
        <v>39</v>
      </c>
      <c r="H291" s="796">
        <f t="shared" si="87"/>
        <v>0</v>
      </c>
      <c r="I291" s="797">
        <v>16</v>
      </c>
      <c r="J291" s="796">
        <f t="shared" si="88"/>
        <v>0</v>
      </c>
      <c r="K291" s="914">
        <f t="shared" si="89"/>
        <v>0</v>
      </c>
      <c r="L291" s="1718" t="s">
        <v>2974</v>
      </c>
      <c r="N291" s="1404">
        <v>3944.2</v>
      </c>
      <c r="O291" s="1404">
        <f t="shared" si="90"/>
        <v>39</v>
      </c>
    </row>
    <row r="292" spans="1:15" s="1329" customFormat="1" ht="24" customHeight="1">
      <c r="A292" s="1330"/>
      <c r="B292" s="720" t="s">
        <v>1169</v>
      </c>
      <c r="C292" s="792"/>
      <c r="D292" s="792"/>
      <c r="E292" s="805"/>
      <c r="F292" s="794" t="s">
        <v>438</v>
      </c>
      <c r="G292" s="806">
        <v>61</v>
      </c>
      <c r="H292" s="796">
        <f t="shared" si="87"/>
        <v>0</v>
      </c>
      <c r="I292" s="797">
        <v>20</v>
      </c>
      <c r="J292" s="796">
        <f t="shared" si="88"/>
        <v>0</v>
      </c>
      <c r="K292" s="914">
        <f t="shared" si="89"/>
        <v>0</v>
      </c>
      <c r="L292" s="1718" t="s">
        <v>2974</v>
      </c>
      <c r="N292" s="1404">
        <v>6120</v>
      </c>
      <c r="O292" s="1404">
        <f t="shared" si="90"/>
        <v>61</v>
      </c>
    </row>
    <row r="293" spans="1:15" s="1329" customFormat="1" ht="24" customHeight="1">
      <c r="A293" s="1330"/>
      <c r="B293" s="720" t="s">
        <v>1163</v>
      </c>
      <c r="C293" s="792"/>
      <c r="D293" s="792"/>
      <c r="E293" s="805"/>
      <c r="F293" s="794" t="s">
        <v>438</v>
      </c>
      <c r="G293" s="806">
        <v>183</v>
      </c>
      <c r="H293" s="796">
        <f t="shared" si="87"/>
        <v>0</v>
      </c>
      <c r="I293" s="797">
        <v>40</v>
      </c>
      <c r="J293" s="796">
        <f t="shared" si="88"/>
        <v>0</v>
      </c>
      <c r="K293" s="914">
        <f t="shared" si="89"/>
        <v>0</v>
      </c>
      <c r="L293" s="1718" t="s">
        <v>2974</v>
      </c>
      <c r="N293" s="1404">
        <v>18335.8</v>
      </c>
      <c r="O293" s="1404">
        <f t="shared" si="90"/>
        <v>183</v>
      </c>
    </row>
    <row r="294" spans="1:15" s="1329" customFormat="1" ht="24" customHeight="1">
      <c r="A294" s="1330" t="s">
        <v>2256</v>
      </c>
      <c r="B294" s="1331" t="s">
        <v>950</v>
      </c>
      <c r="C294" s="1349"/>
      <c r="D294" s="801"/>
      <c r="E294" s="966"/>
      <c r="F294" s="867"/>
      <c r="G294" s="1249"/>
      <c r="H294" s="864"/>
      <c r="I294" s="865"/>
      <c r="J294" s="864"/>
      <c r="K294" s="867"/>
      <c r="L294" s="867"/>
      <c r="M294" s="1328"/>
    </row>
    <row r="295" spans="1:15" s="1329" customFormat="1" ht="24" customHeight="1">
      <c r="A295" s="1330"/>
      <c r="B295" s="1331" t="s">
        <v>1201</v>
      </c>
      <c r="C295" s="1349"/>
      <c r="D295" s="801"/>
      <c r="E295" s="966">
        <f>15+15+30+30+30+30+15+15+30+30</f>
        <v>240</v>
      </c>
      <c r="F295" s="867" t="s">
        <v>438</v>
      </c>
      <c r="G295" s="1249">
        <v>56</v>
      </c>
      <c r="H295" s="796">
        <f t="shared" ref="H295:H301" si="91">ROUND(E295*G295,)</f>
        <v>13440</v>
      </c>
      <c r="I295" s="865">
        <v>26</v>
      </c>
      <c r="J295" s="751">
        <f t="shared" ref="J295:J301" si="92">ROUND(E295*I295,)</f>
        <v>6240</v>
      </c>
      <c r="K295" s="973">
        <f t="shared" ref="K295:K301" si="93">H295+J295</f>
        <v>19680</v>
      </c>
      <c r="L295" s="1718" t="s">
        <v>2974</v>
      </c>
      <c r="M295" s="1328"/>
      <c r="N295" s="1329">
        <v>169.2</v>
      </c>
      <c r="O295" s="1329">
        <f t="shared" ref="O295:O300" si="94">ROUND(N295/3,)</f>
        <v>56</v>
      </c>
    </row>
    <row r="296" spans="1:15" s="1329" customFormat="1" ht="24" customHeight="1">
      <c r="A296" s="1330"/>
      <c r="B296" s="1331" t="s">
        <v>1184</v>
      </c>
      <c r="C296" s="1349"/>
      <c r="D296" s="801"/>
      <c r="E296" s="966">
        <f>15+15</f>
        <v>30</v>
      </c>
      <c r="F296" s="867" t="s">
        <v>438</v>
      </c>
      <c r="G296" s="1249">
        <v>75</v>
      </c>
      <c r="H296" s="796">
        <f t="shared" si="91"/>
        <v>2250</v>
      </c>
      <c r="I296" s="865">
        <v>28</v>
      </c>
      <c r="J296" s="751">
        <f t="shared" si="92"/>
        <v>840</v>
      </c>
      <c r="K296" s="973">
        <f t="shared" si="93"/>
        <v>3090</v>
      </c>
      <c r="L296" s="1718" t="s">
        <v>2974</v>
      </c>
      <c r="M296" s="1328"/>
      <c r="N296" s="1329">
        <v>225</v>
      </c>
      <c r="O296" s="1329">
        <f t="shared" si="94"/>
        <v>75</v>
      </c>
    </row>
    <row r="297" spans="1:15" s="1329" customFormat="1" ht="24" customHeight="1">
      <c r="A297" s="1330"/>
      <c r="B297" s="720" t="s">
        <v>1185</v>
      </c>
      <c r="C297" s="717"/>
      <c r="D297" s="717"/>
      <c r="E297" s="805">
        <f>15+15</f>
        <v>30</v>
      </c>
      <c r="F297" s="794" t="s">
        <v>438</v>
      </c>
      <c r="G297" s="806">
        <v>101</v>
      </c>
      <c r="H297" s="796">
        <f t="shared" si="91"/>
        <v>3030</v>
      </c>
      <c r="I297" s="807">
        <v>32</v>
      </c>
      <c r="J297" s="796">
        <f t="shared" si="92"/>
        <v>960</v>
      </c>
      <c r="K297" s="914">
        <f t="shared" si="93"/>
        <v>3990</v>
      </c>
      <c r="L297" s="1718" t="s">
        <v>2974</v>
      </c>
      <c r="M297" s="1328"/>
      <c r="N297" s="1329">
        <v>303.60000000000002</v>
      </c>
      <c r="O297" s="1329">
        <f t="shared" si="94"/>
        <v>101</v>
      </c>
    </row>
    <row r="298" spans="1:15" s="1329" customFormat="1" ht="24" customHeight="1">
      <c r="A298" s="1330"/>
      <c r="B298" s="720" t="s">
        <v>1186</v>
      </c>
      <c r="C298" s="717"/>
      <c r="D298" s="717"/>
      <c r="E298" s="805"/>
      <c r="F298" s="794" t="s">
        <v>438</v>
      </c>
      <c r="G298" s="806">
        <v>131</v>
      </c>
      <c r="H298" s="796">
        <f t="shared" si="91"/>
        <v>0</v>
      </c>
      <c r="I298" s="807">
        <v>38</v>
      </c>
      <c r="J298" s="796">
        <f t="shared" si="92"/>
        <v>0</v>
      </c>
      <c r="K298" s="914">
        <f t="shared" si="93"/>
        <v>0</v>
      </c>
      <c r="L298" s="1718" t="s">
        <v>2974</v>
      </c>
      <c r="M298" s="1328"/>
      <c r="N298" s="1329">
        <v>391.8</v>
      </c>
      <c r="O298" s="1329">
        <f t="shared" si="94"/>
        <v>131</v>
      </c>
    </row>
    <row r="299" spans="1:15" s="1329" customFormat="1" ht="24" customHeight="1">
      <c r="A299" s="1330"/>
      <c r="B299" s="720" t="s">
        <v>1187</v>
      </c>
      <c r="C299" s="717"/>
      <c r="D299" s="717"/>
      <c r="E299" s="805"/>
      <c r="F299" s="794" t="s">
        <v>438</v>
      </c>
      <c r="G299" s="806">
        <v>160</v>
      </c>
      <c r="H299" s="796">
        <f t="shared" si="91"/>
        <v>0</v>
      </c>
      <c r="I299" s="807">
        <v>42</v>
      </c>
      <c r="J299" s="796">
        <f t="shared" si="92"/>
        <v>0</v>
      </c>
      <c r="K299" s="914">
        <f t="shared" si="93"/>
        <v>0</v>
      </c>
      <c r="L299" s="1718" t="s">
        <v>2974</v>
      </c>
      <c r="M299" s="1328"/>
      <c r="N299" s="1329">
        <v>481.2</v>
      </c>
      <c r="O299" s="1329">
        <f t="shared" si="94"/>
        <v>160</v>
      </c>
    </row>
    <row r="300" spans="1:15" s="1329" customFormat="1" ht="24" customHeight="1">
      <c r="A300" s="1330"/>
      <c r="B300" s="720" t="s">
        <v>1188</v>
      </c>
      <c r="C300" s="717"/>
      <c r="D300" s="717"/>
      <c r="E300" s="805"/>
      <c r="F300" s="794" t="s">
        <v>438</v>
      </c>
      <c r="G300" s="806">
        <v>219</v>
      </c>
      <c r="H300" s="796">
        <f t="shared" si="91"/>
        <v>0</v>
      </c>
      <c r="I300" s="807">
        <v>48</v>
      </c>
      <c r="J300" s="796">
        <f t="shared" si="92"/>
        <v>0</v>
      </c>
      <c r="K300" s="914">
        <f t="shared" si="93"/>
        <v>0</v>
      </c>
      <c r="L300" s="1718" t="s">
        <v>2974</v>
      </c>
      <c r="M300" s="1328"/>
      <c r="N300" s="1329">
        <v>657.6</v>
      </c>
      <c r="O300" s="1329">
        <f t="shared" si="94"/>
        <v>219</v>
      </c>
    </row>
    <row r="301" spans="1:15" s="1329" customFormat="1" ht="24" customHeight="1">
      <c r="A301" s="1330"/>
      <c r="B301" s="1331" t="s">
        <v>1237</v>
      </c>
      <c r="C301" s="1349"/>
      <c r="D301" s="801"/>
      <c r="E301" s="966">
        <v>1</v>
      </c>
      <c r="F301" s="867" t="s">
        <v>948</v>
      </c>
      <c r="G301" s="752">
        <f>SUM(H295:H300)*15%</f>
        <v>2808</v>
      </c>
      <c r="H301" s="796">
        <f t="shared" si="91"/>
        <v>2808</v>
      </c>
      <c r="I301" s="949">
        <f>ROUND(G301*0.3,)</f>
        <v>842</v>
      </c>
      <c r="J301" s="751">
        <f t="shared" si="92"/>
        <v>842</v>
      </c>
      <c r="K301" s="973">
        <f t="shared" si="93"/>
        <v>3650</v>
      </c>
      <c r="L301" s="867"/>
      <c r="M301" s="1328"/>
    </row>
    <row r="302" spans="1:15" s="1329" customFormat="1" ht="24" customHeight="1">
      <c r="A302" s="1330"/>
      <c r="B302" s="1335" t="s">
        <v>957</v>
      </c>
      <c r="C302" s="1349"/>
      <c r="D302" s="890"/>
      <c r="E302" s="966"/>
      <c r="F302" s="903"/>
      <c r="G302" s="1249"/>
      <c r="H302" s="905"/>
      <c r="I302" s="906"/>
      <c r="J302" s="905"/>
      <c r="K302" s="903"/>
      <c r="L302" s="903"/>
      <c r="M302" s="1328"/>
    </row>
    <row r="303" spans="1:15" s="1329" customFormat="1" ht="24" customHeight="1">
      <c r="A303" s="1510"/>
      <c r="B303" s="2475" t="str">
        <f>"รวมราคารายการที่ "&amp;A272</f>
        <v>รวมราคารายการที่ 7.13</v>
      </c>
      <c r="C303" s="2476"/>
      <c r="D303" s="2477"/>
      <c r="E303" s="1511"/>
      <c r="F303" s="1511"/>
      <c r="G303" s="1513"/>
      <c r="H303" s="1514">
        <f>SUM(H273:H302)</f>
        <v>282758</v>
      </c>
      <c r="I303" s="1515"/>
      <c r="J303" s="1514">
        <f>SUM(J273:J302)</f>
        <v>44362</v>
      </c>
      <c r="K303" s="1517">
        <f>SUM(K273:K302)</f>
        <v>327120</v>
      </c>
      <c r="L303" s="1517"/>
      <c r="M303" s="1328"/>
    </row>
  </sheetData>
  <mergeCells count="22">
    <mergeCell ref="B110:D110"/>
    <mergeCell ref="L7:L8"/>
    <mergeCell ref="A9:A10"/>
    <mergeCell ref="B9:D10"/>
    <mergeCell ref="E9:E10"/>
    <mergeCell ref="F9:F10"/>
    <mergeCell ref="G9:H9"/>
    <mergeCell ref="I9:J9"/>
    <mergeCell ref="L9:L10"/>
    <mergeCell ref="B35:D35"/>
    <mergeCell ref="B47:D47"/>
    <mergeCell ref="B76:D76"/>
    <mergeCell ref="B85:D85"/>
    <mergeCell ref="B96:D96"/>
    <mergeCell ref="B271:D271"/>
    <mergeCell ref="B303:D303"/>
    <mergeCell ref="B118:D118"/>
    <mergeCell ref="B142:D142"/>
    <mergeCell ref="B160:D160"/>
    <mergeCell ref="B185:D185"/>
    <mergeCell ref="B210:D210"/>
    <mergeCell ref="B217:D217"/>
  </mergeCells>
  <conditionalFormatting sqref="A116:L117 A81:G81 A26 A274 A280:A283 B82:D82 F82:G82 A113:F113 L113 A286:L287 B25:J25 K25:L26 A141:L141 A184:L184 I81:L82 A294:L294 A295:A301 L301 A302:L302 C26:J26 A218:L218 A108:L109 A99:F102 H99:L102 A80:L80 L79 C274:D278 A83:L83 A92:L95 L91 A234:G234 A221 F221:G221 F220 F222:F233 A235:A237 F239 A195:L195 A262:A266 A269:L270 A261:L261 F268:G268 A46:L46 E280:E283 C50:F75 L274:L285 F274:F285 C280:D285 A226:B233 G223 A239:B239 A241:B245 A268:B268 H52:L58 G59:L64 G50:L51 H65:L69 A42:L42 A40:D40 F40:G40 E47:L47 A38 F38:G38 L38 A43:A45 C43:L45 A48:L48 C77:L78 A197:L198 A196:G196 I196:L196 L223 L221 G225:G233 F235:G237 I234:L237 I226:I233 L225:L233 L239 I241:L241 F241:G245 A246:G247 L242:L247 I262:L262 F262:G266 L263:L266 I268:L268 A86:L87 A85 A97:L98 A96 E96:L96 A111:L112 A110 E110:L110 A119:L120 A118 E118:L118 A143:L144 A142 E142:L142 A161:L162 A160 E160:L160 A186:L187 A185 E185:L185 A211:L212 A210 E210:L210 A217 E217:L217 A272:L273 A271 E271:L271 A304:L1048576 A303 E303:L303 A1:L14 E85:L85 B15:L24 A27:L35 E88:L88 E90:L90 E89 L89 A207:L209 A288:A293 A41:G41 I39:L41">
    <cfRule type="expression" dxfId="1122" priority="69">
      <formula>SUMPRODUCT(--(ROW()=$O$14:$O$24))&gt;0</formula>
    </cfRule>
  </conditionalFormatting>
  <conditionalFormatting sqref="A275:A278">
    <cfRule type="expression" dxfId="1121" priority="65">
      <formula>SUMPRODUCT(--(ROW()=$O$14:$O$24))&gt;0</formula>
    </cfRule>
  </conditionalFormatting>
  <conditionalFormatting sqref="E274:E278">
    <cfRule type="expression" dxfId="1120" priority="64">
      <formula>SUMPRODUCT(--(ROW()=$O$14:$O$24))&gt;0</formula>
    </cfRule>
  </conditionalFormatting>
  <conditionalFormatting sqref="C49:L49">
    <cfRule type="expression" dxfId="1119" priority="68">
      <formula>SUMPRODUCT(--(ROW()=$O$14:$O$24))&gt;0</formula>
    </cfRule>
  </conditionalFormatting>
  <conditionalFormatting sqref="A79:G79">
    <cfRule type="expression" dxfId="1118" priority="67">
      <formula>SUMPRODUCT(--(ROW()=$O$14:$O$24))&gt;0</formula>
    </cfRule>
  </conditionalFormatting>
  <conditionalFormatting sqref="B26">
    <cfRule type="expression" dxfId="1117" priority="66">
      <formula>SUMPRODUCT(--(ROW()=$O$14:$O$24))&gt;0</formula>
    </cfRule>
  </conditionalFormatting>
  <conditionalFormatting sqref="A82">
    <cfRule type="expression" dxfId="1116" priority="63">
      <formula>SUMPRODUCT(--(ROW()=$O$14:$O$24))&gt;0</formula>
    </cfRule>
  </conditionalFormatting>
  <conditionalFormatting sqref="G151:G156">
    <cfRule type="expression" dxfId="1115" priority="56">
      <formula>SUMPRODUCT(--(ROW()=$O$14:$O$24))&gt;0</formula>
    </cfRule>
  </conditionalFormatting>
  <conditionalFormatting sqref="I151:I156">
    <cfRule type="expression" dxfId="1114" priority="55">
      <formula>SUMPRODUCT(--(ROW()=$O$14:$O$24))&gt;0</formula>
    </cfRule>
  </conditionalFormatting>
  <conditionalFormatting sqref="A49:A75">
    <cfRule type="expression" dxfId="1113" priority="62">
      <formula>SUMPRODUCT(--(ROW()=$O$14:$O$24))&gt;0</formula>
    </cfRule>
  </conditionalFormatting>
  <conditionalFormatting sqref="A129:G129 A121:F128 A133:L133 A130:F132 H131:H132 I129 L129:L132 A140:L140 A134:F135 I216 L216 A181:L183 A150:L150 A148:F149 A157:L157 L148:L149 L151:L156 A158:F158 L145:L146 A159:J159 L158:L159 A137:D139 A145:F146 A151:F156 H134:H135 A168:L168 A174:L176 G169:L170 G172:L173 G171 L171 L137:L139">
    <cfRule type="expression" dxfId="1112" priority="61">
      <formula>SUMPRODUCT(--(ROW()=$O$14:$O$24))&gt;0</formula>
    </cfRule>
  </conditionalFormatting>
  <conditionalFormatting sqref="G126:G128">
    <cfRule type="expression" dxfId="1111" priority="60">
      <formula>SUMPRODUCT(--(ROW()=$O$14:$O$24))&gt;0</formula>
    </cfRule>
  </conditionalFormatting>
  <conditionalFormatting sqref="I126:I128">
    <cfRule type="expression" dxfId="1110" priority="59">
      <formula>SUMPRODUCT(--(ROW()=$O$14:$O$24))&gt;0</formula>
    </cfRule>
  </conditionalFormatting>
  <conditionalFormatting sqref="A216:G216">
    <cfRule type="expression" dxfId="1109" priority="58">
      <formula>SUMPRODUCT(--(ROW()=$O$14:$O$24))&gt;0</formula>
    </cfRule>
  </conditionalFormatting>
  <conditionalFormatting sqref="A147:L147">
    <cfRule type="expression" dxfId="1108" priority="57">
      <formula>SUMPRODUCT(--(ROW()=$O$14:$O$24))&gt;0</formula>
    </cfRule>
  </conditionalFormatting>
  <conditionalFormatting sqref="G158">
    <cfRule type="expression" dxfId="1107" priority="54">
      <formula>SUMPRODUCT(--(ROW()=$O$14:$O$24))&gt;0</formula>
    </cfRule>
  </conditionalFormatting>
  <conditionalFormatting sqref="I158">
    <cfRule type="expression" dxfId="1106" priority="53">
      <formula>SUMPRODUCT(--(ROW()=$O$14:$O$24))&gt;0</formula>
    </cfRule>
  </conditionalFormatting>
  <conditionalFormatting sqref="C279:D279">
    <cfRule type="expression" dxfId="1105" priority="50">
      <formula>SUMPRODUCT(--(ROW()=$O$14:$O$24))&gt;0</formula>
    </cfRule>
  </conditionalFormatting>
  <conditionalFormatting sqref="G99">
    <cfRule type="expression" dxfId="1104" priority="52">
      <formula>SUMPRODUCT(--(ROW()=$O$14:$O$24))&gt;0</formula>
    </cfRule>
  </conditionalFormatting>
  <conditionalFormatting sqref="G100:G102">
    <cfRule type="expression" dxfId="1103" priority="51">
      <formula>SUMPRODUCT(--(ROW()=$O$14:$O$24))&gt;0</formula>
    </cfRule>
  </conditionalFormatting>
  <conditionalFormatting sqref="A279">
    <cfRule type="expression" dxfId="1102" priority="49">
      <formula>SUMPRODUCT(--(ROW()=$O$14:$O$24))&gt;0</formula>
    </cfRule>
  </conditionalFormatting>
  <conditionalFormatting sqref="E279">
    <cfRule type="expression" dxfId="1101" priority="48">
      <formula>SUMPRODUCT(--(ROW()=$O$14:$O$24))&gt;0</formula>
    </cfRule>
  </conditionalFormatting>
  <conditionalFormatting sqref="A284:A285">
    <cfRule type="expression" dxfId="1100" priority="47">
      <formula>SUMPRODUCT(--(ROW()=$O$14:$O$24))&gt;0</formula>
    </cfRule>
  </conditionalFormatting>
  <conditionalFormatting sqref="E284:E285">
    <cfRule type="expression" dxfId="1099" priority="46">
      <formula>SUMPRODUCT(--(ROW()=$O$14:$O$24))&gt;0</formula>
    </cfRule>
  </conditionalFormatting>
  <conditionalFormatting sqref="B220:B221">
    <cfRule type="expression" dxfId="1098" priority="45">
      <formula>SUMPRODUCT(--(ROW()=$O$14:$O$24))&gt;0</formula>
    </cfRule>
  </conditionalFormatting>
  <conditionalFormatting sqref="A223">
    <cfRule type="expression" dxfId="1097" priority="44">
      <formula>SUMPRODUCT(--(ROW()=$O$14:$O$24))&gt;0</formula>
    </cfRule>
  </conditionalFormatting>
  <conditionalFormatting sqref="B222:B223">
    <cfRule type="expression" dxfId="1096" priority="43">
      <formula>SUMPRODUCT(--(ROW()=$O$14:$O$24))&gt;0</formula>
    </cfRule>
  </conditionalFormatting>
  <conditionalFormatting sqref="A225">
    <cfRule type="expression" dxfId="1095" priority="42">
      <formula>SUMPRODUCT(--(ROW()=$O$14:$O$24))&gt;0</formula>
    </cfRule>
  </conditionalFormatting>
  <conditionalFormatting sqref="B224:B225">
    <cfRule type="expression" dxfId="1094" priority="41">
      <formula>SUMPRODUCT(--(ROW()=$O$14:$O$24))&gt;0</formula>
    </cfRule>
  </conditionalFormatting>
  <conditionalFormatting sqref="B235">
    <cfRule type="expression" dxfId="1093" priority="40">
      <formula>SUMPRODUCT(--(ROW()=$O$14:$O$24))&gt;0</formula>
    </cfRule>
  </conditionalFormatting>
  <conditionalFormatting sqref="B236:B237">
    <cfRule type="expression" dxfId="1092" priority="39">
      <formula>SUMPRODUCT(--(ROW()=$O$14:$O$24))&gt;0</formula>
    </cfRule>
  </conditionalFormatting>
  <conditionalFormatting sqref="A136:F136">
    <cfRule type="expression" dxfId="1091" priority="38">
      <formula>SUMPRODUCT(--(ROW()=$O$14:$O$24))&gt;0</formula>
    </cfRule>
  </conditionalFormatting>
  <conditionalFormatting sqref="B262:B266">
    <cfRule type="expression" dxfId="1090" priority="37">
      <formula>SUMPRODUCT(--(ROW()=$O$14:$O$24))&gt;0</formula>
    </cfRule>
  </conditionalFormatting>
  <conditionalFormatting sqref="B253:B258">
    <cfRule type="expression" dxfId="1089" priority="36">
      <formula>SUMPRODUCT(--(ROW()=$O$14:$O$24))&gt;0</formula>
    </cfRule>
  </conditionalFormatting>
  <conditionalFormatting sqref="B259">
    <cfRule type="expression" dxfId="1088" priority="35">
      <formula>SUMPRODUCT(--(ROW()=$O$14:$O$24))&gt;0</formula>
    </cfRule>
  </conditionalFormatting>
  <conditionalFormatting sqref="B249:B252">
    <cfRule type="expression" dxfId="1087" priority="34">
      <formula>SUMPRODUCT(--(ROW()=$O$14:$O$24))&gt;0</formula>
    </cfRule>
  </conditionalFormatting>
  <conditionalFormatting sqref="B260">
    <cfRule type="expression" dxfId="1086" priority="33">
      <formula>SUMPRODUCT(--(ROW()=$O$14:$O$24))&gt;0</formula>
    </cfRule>
  </conditionalFormatting>
  <conditionalFormatting sqref="A77:B77">
    <cfRule type="expression" dxfId="1085" priority="32">
      <formula>SUMPRODUCT(--(ROW()=$O$14:$O$24))&gt;0</formula>
    </cfRule>
  </conditionalFormatting>
  <conditionalFormatting sqref="A78">
    <cfRule type="expression" dxfId="1084" priority="31">
      <formula>SUMPRODUCT(--(ROW()=$O$14:$O$24))&gt;0</formula>
    </cfRule>
  </conditionalFormatting>
  <conditionalFormatting sqref="A76 E76:F76">
    <cfRule type="expression" dxfId="1083" priority="30">
      <formula>SUMPRODUCT(--(ROW()=$O$14:$O$24))&gt;0</formula>
    </cfRule>
  </conditionalFormatting>
  <conditionalFormatting sqref="G70:L76">
    <cfRule type="expression" dxfId="1082" priority="29">
      <formula>SUMPRODUCT(--(ROW()=$O$14:$O$24))&gt;0</formula>
    </cfRule>
  </conditionalFormatting>
  <conditionalFormatting sqref="G52:G58">
    <cfRule type="expression" dxfId="1081" priority="28">
      <formula>SUMPRODUCT(--(ROW()=$O$14:$O$24))&gt;0</formula>
    </cfRule>
  </conditionalFormatting>
  <conditionalFormatting sqref="G65:G69">
    <cfRule type="expression" dxfId="1080" priority="27">
      <formula>SUMPRODUCT(--(ROW()=$O$14:$O$24))&gt;0</formula>
    </cfRule>
  </conditionalFormatting>
  <conditionalFormatting sqref="A39:G39">
    <cfRule type="expression" dxfId="1079" priority="26">
      <formula>SUMPRODUCT(--(ROW()=$O$14:$O$24))&gt;0</formula>
    </cfRule>
  </conditionalFormatting>
  <conditionalFormatting sqref="A47">
    <cfRule type="expression" dxfId="1078" priority="25">
      <formula>SUMPRODUCT(--(ROW()=$O$14:$O$24))&gt;0</formula>
    </cfRule>
  </conditionalFormatting>
  <conditionalFormatting sqref="A36:L37">
    <cfRule type="expression" dxfId="1077" priority="24">
      <formula>SUMPRODUCT(--(ROW()=$O$14:$O$24))&gt;0</formula>
    </cfRule>
  </conditionalFormatting>
  <conditionalFormatting sqref="B38:E38">
    <cfRule type="expression" dxfId="1076" priority="23">
      <formula>SUMPRODUCT(--(ROW()=$O$14:$O$24))&gt;0</formula>
    </cfRule>
  </conditionalFormatting>
  <conditionalFormatting sqref="H38:K38">
    <cfRule type="expression" dxfId="1075" priority="22">
      <formula>SUMPRODUCT(--(ROW()=$O$14:$O$24))&gt;0</formula>
    </cfRule>
  </conditionalFormatting>
  <conditionalFormatting sqref="H39">
    <cfRule type="expression" dxfId="1074" priority="21">
      <formula>SUMPRODUCT(--(ROW()=$O$14:$O$24))&gt;0</formula>
    </cfRule>
  </conditionalFormatting>
  <conditionalFormatting sqref="H40:H41">
    <cfRule type="expression" dxfId="1073" priority="20">
      <formula>SUMPRODUCT(--(ROW()=$O$14:$O$24))&gt;0</formula>
    </cfRule>
  </conditionalFormatting>
  <conditionalFormatting sqref="B43">
    <cfRule type="expression" dxfId="1072" priority="19">
      <formula>SUMPRODUCT(--(ROW()=$O$14:$O$24))&gt;0</formula>
    </cfRule>
  </conditionalFormatting>
  <conditionalFormatting sqref="B44">
    <cfRule type="expression" dxfId="1071" priority="18">
      <formula>SUMPRODUCT(--(ROW()=$O$14:$O$24))&gt;0</formula>
    </cfRule>
  </conditionalFormatting>
  <conditionalFormatting sqref="B45">
    <cfRule type="expression" dxfId="1070" priority="17">
      <formula>SUMPRODUCT(--(ROW()=$O$14:$O$24))&gt;0</formula>
    </cfRule>
  </conditionalFormatting>
  <conditionalFormatting sqref="B84:D84 F84:G84 I84:L84">
    <cfRule type="expression" dxfId="1069" priority="16">
      <formula>SUMPRODUCT(--(ROW()=$O$14:$O$24))&gt;0</formula>
    </cfRule>
  </conditionalFormatting>
  <conditionalFormatting sqref="A84">
    <cfRule type="expression" dxfId="1068" priority="15">
      <formula>SUMPRODUCT(--(ROW()=$O$14:$O$24))&gt;0</formula>
    </cfRule>
  </conditionalFormatting>
  <conditionalFormatting sqref="A169:A173">
    <cfRule type="expression" dxfId="1067" priority="14">
      <formula>SUMPRODUCT(--(ROW()=$O$12:$O$23))&gt;0</formula>
    </cfRule>
  </conditionalFormatting>
  <conditionalFormatting sqref="B169:F171">
    <cfRule type="expression" dxfId="1066" priority="13">
      <formula>SUMPRODUCT(--(ROW()=$O$12:$O$22))&gt;0</formula>
    </cfRule>
  </conditionalFormatting>
  <conditionalFormatting sqref="I242:K242">
    <cfRule type="expression" dxfId="1065" priority="12">
      <formula>SUMPRODUCT(--(ROW()=$O$14:$O$24))&gt;0</formula>
    </cfRule>
  </conditionalFormatting>
  <conditionalFormatting sqref="I243:K243">
    <cfRule type="expression" dxfId="1064" priority="11">
      <formula>SUMPRODUCT(--(ROW()=$O$14:$O$24))&gt;0</formula>
    </cfRule>
  </conditionalFormatting>
  <conditionalFormatting sqref="I244:K244">
    <cfRule type="expression" dxfId="1063" priority="10">
      <formula>SUMPRODUCT(--(ROW()=$O$14:$O$24))&gt;0</formula>
    </cfRule>
  </conditionalFormatting>
  <conditionalFormatting sqref="I245:K245">
    <cfRule type="expression" dxfId="1062" priority="9">
      <formula>SUMPRODUCT(--(ROW()=$O$14:$O$24))&gt;0</formula>
    </cfRule>
  </conditionalFormatting>
  <conditionalFormatting sqref="I246:K246">
    <cfRule type="expression" dxfId="1061" priority="8">
      <formula>SUMPRODUCT(--(ROW()=$O$14:$O$24))&gt;0</formula>
    </cfRule>
  </conditionalFormatting>
  <conditionalFormatting sqref="I247:K247">
    <cfRule type="expression" dxfId="1060" priority="7">
      <formula>SUMPRODUCT(--(ROW()=$O$14:$O$24))&gt;0</formula>
    </cfRule>
  </conditionalFormatting>
  <conditionalFormatting sqref="I263:K263">
    <cfRule type="expression" dxfId="1059" priority="6">
      <formula>SUMPRODUCT(--(ROW()=$O$14:$O$24))&gt;0</formula>
    </cfRule>
  </conditionalFormatting>
  <conditionalFormatting sqref="I264:K264">
    <cfRule type="expression" dxfId="1058" priority="5">
      <formula>SUMPRODUCT(--(ROW()=$O$14:$O$24))&gt;0</formula>
    </cfRule>
  </conditionalFormatting>
  <conditionalFormatting sqref="I265:K265">
    <cfRule type="expression" dxfId="1057" priority="4">
      <formula>SUMPRODUCT(--(ROW()=$O$14:$O$24))&gt;0</formula>
    </cfRule>
  </conditionalFormatting>
  <conditionalFormatting sqref="I266:K266">
    <cfRule type="expression" dxfId="1056" priority="3">
      <formula>SUMPRODUCT(--(ROW()=$O$14:$O$24))&gt;0</formula>
    </cfRule>
  </conditionalFormatting>
  <conditionalFormatting sqref="A15:A25">
    <cfRule type="expression" dxfId="1055" priority="2">
      <formula>SUMPRODUCT(--(ROW()=$O$14:$O$24))&gt;0</formula>
    </cfRule>
  </conditionalFormatting>
  <conditionalFormatting sqref="H136">
    <cfRule type="expression" dxfId="1054" priority="1">
      <formula>SUMPRODUCT(--(ROW()=$O$14:$O$24))&gt;0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2-อาคารสนับนุน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81710-BAC5-458F-B913-E11E5C1F2F8A}">
  <sheetPr>
    <tabColor rgb="FF92D050"/>
  </sheetPr>
  <dimension ref="A1:P331"/>
  <sheetViews>
    <sheetView showGridLines="0" tabSelected="1" view="pageBreakPreview" topLeftCell="A292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1489" customWidth="1"/>
    <col min="2" max="3" width="7.29296875" style="952" customWidth="1"/>
    <col min="4" max="4" width="56.703125" style="952" customWidth="1"/>
    <col min="5" max="5" width="14.703125" style="952" customWidth="1"/>
    <col min="6" max="6" width="10.703125" style="952" customWidth="1"/>
    <col min="7" max="7" width="14.703125" style="952" customWidth="1"/>
    <col min="8" max="8" width="18.703125" style="952" customWidth="1"/>
    <col min="9" max="9" width="14.703125" style="952" customWidth="1"/>
    <col min="10" max="10" width="18.703125" style="952" customWidth="1"/>
    <col min="11" max="11" width="20.703125" style="952" customWidth="1"/>
    <col min="12" max="12" width="25" style="952" customWidth="1"/>
    <col min="13" max="13" width="16" style="1430" customWidth="1"/>
    <col min="14" max="66" width="7.703125" style="952" customWidth="1"/>
    <col min="67" max="16384" width="9" style="952"/>
  </cols>
  <sheetData>
    <row r="1" spans="1:15" ht="35.1" customHeight="1">
      <c r="A1" s="1428"/>
      <c r="B1" s="1428"/>
      <c r="C1" s="46"/>
      <c r="D1" s="46"/>
      <c r="E1" s="46"/>
      <c r="F1" s="1429" t="s">
        <v>0</v>
      </c>
      <c r="G1" s="733"/>
      <c r="H1" s="733"/>
      <c r="I1" s="733"/>
      <c r="J1" s="735" t="s">
        <v>1</v>
      </c>
      <c r="K1" s="736"/>
      <c r="L1" s="733"/>
    </row>
    <row r="2" spans="1:15" ht="25.15" customHeight="1">
      <c r="A2" s="1431" t="s">
        <v>2</v>
      </c>
      <c r="B2" s="1432"/>
      <c r="C2" s="11"/>
      <c r="D2" s="11" t="s">
        <v>1900</v>
      </c>
      <c r="E2" s="11"/>
      <c r="F2" s="737"/>
      <c r="G2" s="737"/>
      <c r="H2" s="737"/>
      <c r="I2" s="737"/>
      <c r="J2" s="737"/>
      <c r="K2" s="737"/>
      <c r="L2" s="1433"/>
    </row>
    <row r="3" spans="1:15" ht="25.15" customHeight="1">
      <c r="A3" s="1434" t="s">
        <v>22</v>
      </c>
      <c r="B3" s="5"/>
      <c r="C3" s="47"/>
      <c r="D3" s="1435"/>
      <c r="E3" s="47"/>
      <c r="F3" s="739"/>
      <c r="G3" s="739"/>
      <c r="H3" s="739"/>
      <c r="I3" s="739"/>
      <c r="J3" s="740"/>
      <c r="K3" s="739"/>
      <c r="L3" s="1436"/>
    </row>
    <row r="4" spans="1:15" ht="25.15" customHeight="1">
      <c r="A4" s="1434"/>
      <c r="B4" s="5"/>
      <c r="C4" s="47"/>
      <c r="D4" s="41" t="s">
        <v>2970</v>
      </c>
      <c r="E4" s="47"/>
      <c r="F4" s="739"/>
      <c r="G4" s="739"/>
      <c r="H4" s="739"/>
      <c r="I4" s="739"/>
      <c r="J4" s="740"/>
      <c r="K4" s="739"/>
      <c r="L4" s="1436"/>
    </row>
    <row r="5" spans="1:15" ht="25.15" customHeight="1">
      <c r="A5" s="1434" t="s">
        <v>3</v>
      </c>
      <c r="B5" s="1432"/>
      <c r="C5" s="11"/>
      <c r="D5" s="1435" t="s">
        <v>21</v>
      </c>
      <c r="E5" s="736"/>
      <c r="F5" s="737"/>
      <c r="G5" s="741" t="s">
        <v>4</v>
      </c>
      <c r="H5" s="742"/>
      <c r="I5" s="739"/>
      <c r="J5" s="740"/>
      <c r="K5" s="743"/>
      <c r="L5" s="1436"/>
    </row>
    <row r="6" spans="1:15" ht="25.15" customHeight="1">
      <c r="A6" s="5" t="s">
        <v>20</v>
      </c>
      <c r="B6" s="5"/>
      <c r="C6" s="47"/>
      <c r="D6" s="49"/>
      <c r="E6" s="47"/>
      <c r="F6" s="739"/>
      <c r="G6" s="744"/>
      <c r="H6" s="739"/>
      <c r="I6" s="739"/>
      <c r="J6" s="739"/>
      <c r="K6" s="739"/>
      <c r="L6" s="743"/>
    </row>
    <row r="7" spans="1:15" ht="25.15" customHeight="1">
      <c r="A7" s="744" t="s">
        <v>26</v>
      </c>
      <c r="B7" s="20"/>
      <c r="C7" s="20"/>
      <c r="D7" s="21"/>
      <c r="E7" s="20"/>
      <c r="F7" s="1437" t="s">
        <v>5</v>
      </c>
      <c r="G7" s="1438"/>
      <c r="H7" s="1438" t="s">
        <v>6</v>
      </c>
      <c r="I7" s="1439"/>
      <c r="J7" s="744" t="s">
        <v>23</v>
      </c>
      <c r="K7" s="20"/>
      <c r="L7" s="2492" t="s">
        <v>7</v>
      </c>
    </row>
    <row r="8" spans="1:15" ht="10.15" customHeight="1">
      <c r="A8" s="4"/>
      <c r="B8" s="1440"/>
      <c r="C8" s="1440"/>
      <c r="D8" s="25"/>
      <c r="E8" s="25"/>
      <c r="F8" s="1441"/>
      <c r="G8" s="1441"/>
      <c r="H8" s="1442"/>
      <c r="I8" s="1442"/>
      <c r="J8" s="1442"/>
      <c r="K8" s="1441"/>
      <c r="L8" s="2493"/>
    </row>
    <row r="9" spans="1:15" s="1444" customFormat="1" ht="24" customHeight="1">
      <c r="A9" s="2494" t="s">
        <v>8</v>
      </c>
      <c r="B9" s="2496" t="s">
        <v>9</v>
      </c>
      <c r="C9" s="2497"/>
      <c r="D9" s="2497"/>
      <c r="E9" s="2500" t="s">
        <v>10</v>
      </c>
      <c r="F9" s="2502" t="s">
        <v>11</v>
      </c>
      <c r="G9" s="2504" t="s">
        <v>12</v>
      </c>
      <c r="H9" s="2505"/>
      <c r="I9" s="2506" t="s">
        <v>13</v>
      </c>
      <c r="J9" s="2474"/>
      <c r="K9" s="2263" t="s">
        <v>14</v>
      </c>
      <c r="L9" s="2507" t="s">
        <v>15</v>
      </c>
      <c r="M9" s="1443"/>
    </row>
    <row r="10" spans="1:15" s="1444" customFormat="1" ht="24" customHeight="1">
      <c r="A10" s="2495"/>
      <c r="B10" s="2498"/>
      <c r="C10" s="2499"/>
      <c r="D10" s="2499"/>
      <c r="E10" s="2501"/>
      <c r="F10" s="2503"/>
      <c r="G10" s="1445" t="s">
        <v>16</v>
      </c>
      <c r="H10" s="2262" t="s">
        <v>17</v>
      </c>
      <c r="I10" s="1446" t="s">
        <v>16</v>
      </c>
      <c r="J10" s="2262" t="s">
        <v>17</v>
      </c>
      <c r="K10" s="1447" t="s">
        <v>18</v>
      </c>
      <c r="L10" s="2508"/>
      <c r="M10" s="1443"/>
    </row>
    <row r="11" spans="1:15" ht="24" customHeight="1">
      <c r="A11" s="1143" t="s">
        <v>244</v>
      </c>
      <c r="B11" s="1144" t="s">
        <v>2323</v>
      </c>
      <c r="C11" s="1448"/>
      <c r="D11" s="1449"/>
      <c r="E11" s="1450"/>
      <c r="F11" s="1451"/>
      <c r="G11" s="1490"/>
      <c r="H11" s="746"/>
      <c r="I11" s="1454"/>
      <c r="J11" s="1455"/>
      <c r="K11" s="1456"/>
      <c r="L11" s="1456"/>
    </row>
    <row r="12" spans="1:15" s="886" customFormat="1" ht="24" customHeight="1">
      <c r="A12" s="1474" t="str">
        <f>A36</f>
        <v>7.1</v>
      </c>
      <c r="B12" s="1524" t="str">
        <f>B36</f>
        <v>เครื่องส่งลมเย็นแบบ Pre-Cooled Outdoor Air unit</v>
      </c>
      <c r="C12" s="1282"/>
      <c r="D12" s="1457"/>
      <c r="E12" s="1458">
        <v>1</v>
      </c>
      <c r="F12" s="1459" t="s">
        <v>19</v>
      </c>
      <c r="G12" s="1460"/>
      <c r="H12" s="751">
        <f>H47</f>
        <v>1410300</v>
      </c>
      <c r="I12" s="1392"/>
      <c r="J12" s="1393">
        <f>J47</f>
        <v>20355</v>
      </c>
      <c r="K12" s="1022">
        <f>SUM(H12:J12)</f>
        <v>1430655</v>
      </c>
      <c r="L12" s="885"/>
      <c r="M12" s="1342"/>
      <c r="N12" s="886" t="str">
        <f>"รวมราคารายการที่ "&amp;A12</f>
        <v>รวมราคารายการที่ 7.1</v>
      </c>
      <c r="O12" s="1461">
        <f t="array" ref="O12">MAX(IF($B$73:$B$744=N12,ROW($B$73:$B$744)))</f>
        <v>0</v>
      </c>
    </row>
    <row r="13" spans="1:15" s="886" customFormat="1" ht="24" customHeight="1">
      <c r="A13" s="1474" t="str">
        <f>A48</f>
        <v>7.2</v>
      </c>
      <c r="B13" s="1331" t="str">
        <f>B48</f>
        <v>เครื่องส่งลมเย็นขนาดใหญ่ (Air Handling Unit)</v>
      </c>
      <c r="C13" s="1463"/>
      <c r="D13" s="1464"/>
      <c r="E13" s="1458">
        <v>1</v>
      </c>
      <c r="F13" s="1465" t="s">
        <v>19</v>
      </c>
      <c r="G13" s="1466"/>
      <c r="H13" s="751">
        <f>H72</f>
        <v>3599500</v>
      </c>
      <c r="I13" s="1398"/>
      <c r="J13" s="1393">
        <f>J72</f>
        <v>387790</v>
      </c>
      <c r="K13" s="1022">
        <f t="shared" ref="K13:K24" si="0">SUM(H13:J13)</f>
        <v>3987290</v>
      </c>
      <c r="L13" s="1507"/>
      <c r="M13" s="1342"/>
      <c r="N13" s="886" t="str">
        <f t="shared" ref="N13:N23" si="1">"รวมราคารายการที่ "&amp;A13</f>
        <v>รวมราคารายการที่ 7.2</v>
      </c>
      <c r="O13" s="1461">
        <f t="array" ref="O13">MAX(IF($B$73:$B$744=N13,ROW($B$73:$B$744)))</f>
        <v>0</v>
      </c>
    </row>
    <row r="14" spans="1:15" s="886" customFormat="1" ht="24" customHeight="1">
      <c r="A14" s="1474" t="str">
        <f>A73</f>
        <v>7.3</v>
      </c>
      <c r="B14" s="1331" t="str">
        <f>B73</f>
        <v>เครื่องส่งลมเย็นขนาดเล็ก (Fan Coil Unit)</v>
      </c>
      <c r="C14" s="1282"/>
      <c r="D14" s="1457"/>
      <c r="E14" s="1458">
        <v>1</v>
      </c>
      <c r="F14" s="1459" t="s">
        <v>19</v>
      </c>
      <c r="G14" s="1460"/>
      <c r="H14" s="751">
        <f>H84</f>
        <v>59100</v>
      </c>
      <c r="I14" s="1392"/>
      <c r="J14" s="1393">
        <f>J84</f>
        <v>6930</v>
      </c>
      <c r="K14" s="1022">
        <f t="shared" si="0"/>
        <v>66030</v>
      </c>
      <c r="L14" s="885"/>
      <c r="M14" s="1342"/>
      <c r="N14" s="886" t="str">
        <f t="shared" si="1"/>
        <v>รวมราคารายการที่ 7.3</v>
      </c>
      <c r="O14" s="1461">
        <f t="array" ref="O14">MAX(IF($B$73:$B$744=N14,ROW($B$73:$B$744)))</f>
        <v>84</v>
      </c>
    </row>
    <row r="15" spans="1:15" s="886" customFormat="1" ht="24" customHeight="1">
      <c r="A15" s="1474" t="str">
        <f>A85</f>
        <v>7.4</v>
      </c>
      <c r="B15" s="1331" t="str">
        <f>B85</f>
        <v>อุปกรณ์ควบคุมอัตโนมัติ (Automatic Control Equipment)</v>
      </c>
      <c r="C15" s="1282"/>
      <c r="D15" s="1457"/>
      <c r="E15" s="1458">
        <v>1</v>
      </c>
      <c r="F15" s="1459" t="s">
        <v>19</v>
      </c>
      <c r="G15" s="1460"/>
      <c r="H15" s="751">
        <f>H94</f>
        <v>178596</v>
      </c>
      <c r="I15" s="1392"/>
      <c r="J15" s="1393">
        <f>J94</f>
        <v>4950</v>
      </c>
      <c r="K15" s="1022">
        <f t="shared" si="0"/>
        <v>183546</v>
      </c>
      <c r="L15" s="885"/>
      <c r="M15" s="1342"/>
      <c r="N15" s="886" t="str">
        <f t="shared" si="1"/>
        <v>รวมราคารายการที่ 7.4</v>
      </c>
      <c r="O15" s="1461">
        <f t="array" ref="O15">MAX(IF($B$73:$B$744=N15,ROW($B$73:$B$744)))</f>
        <v>94</v>
      </c>
    </row>
    <row r="16" spans="1:15" s="886" customFormat="1" ht="24" customHeight="1">
      <c r="A16" s="1474" t="str">
        <f>A95</f>
        <v>7.5</v>
      </c>
      <c r="B16" s="1331" t="str">
        <f>B95</f>
        <v>พัดลมระบายอากาศ (Ventilating Fan)</v>
      </c>
      <c r="C16" s="1282"/>
      <c r="D16" s="1457"/>
      <c r="E16" s="1458">
        <v>1</v>
      </c>
      <c r="F16" s="1459" t="s">
        <v>19</v>
      </c>
      <c r="G16" s="1460"/>
      <c r="H16" s="751">
        <f>H108</f>
        <v>51760</v>
      </c>
      <c r="I16" s="1392"/>
      <c r="J16" s="1393">
        <f>J108</f>
        <v>4780</v>
      </c>
      <c r="K16" s="1022">
        <f t="shared" si="0"/>
        <v>56540</v>
      </c>
      <c r="L16" s="885"/>
      <c r="M16" s="1342"/>
      <c r="N16" s="886" t="str">
        <f t="shared" si="1"/>
        <v>รวมราคารายการที่ 7.5</v>
      </c>
      <c r="O16" s="1461">
        <f t="array" ref="O16">MAX(IF($B$73:$B$744=N16,ROW($B$73:$B$744)))</f>
        <v>108</v>
      </c>
    </row>
    <row r="17" spans="1:15" s="886" customFormat="1" ht="24" customHeight="1">
      <c r="A17" s="1474" t="str">
        <f>A109</f>
        <v>7.6</v>
      </c>
      <c r="B17" s="1331" t="str">
        <f>B109</f>
        <v>ระบบกรองอากาศ (Air Filtration System)</v>
      </c>
      <c r="C17" s="1282"/>
      <c r="D17" s="1457"/>
      <c r="E17" s="1458">
        <v>1</v>
      </c>
      <c r="F17" s="1459" t="s">
        <v>19</v>
      </c>
      <c r="G17" s="1460"/>
      <c r="H17" s="751">
        <f>H118</f>
        <v>20400</v>
      </c>
      <c r="I17" s="1392"/>
      <c r="J17" s="1393">
        <f>J118</f>
        <v>3250</v>
      </c>
      <c r="K17" s="1022">
        <f t="shared" si="0"/>
        <v>23650</v>
      </c>
      <c r="L17" s="885"/>
      <c r="M17" s="1342"/>
      <c r="N17" s="886" t="str">
        <f t="shared" si="1"/>
        <v>รวมราคารายการที่ 7.6</v>
      </c>
      <c r="O17" s="1461">
        <f t="array" ref="O17">MAX(IF($B$73:$B$744=N17,ROW($B$73:$B$744)))</f>
        <v>118</v>
      </c>
    </row>
    <row r="18" spans="1:15" s="886" customFormat="1" ht="24" customHeight="1">
      <c r="A18" s="1474" t="str">
        <f>A119</f>
        <v>7.7</v>
      </c>
      <c r="B18" s="1331" t="str">
        <f>B119</f>
        <v>งานท่อ (Piping Work)</v>
      </c>
      <c r="C18" s="1469"/>
      <c r="D18" s="1470"/>
      <c r="E18" s="1458">
        <v>1</v>
      </c>
      <c r="F18" s="1459" t="s">
        <v>19</v>
      </c>
      <c r="G18" s="1472"/>
      <c r="H18" s="751">
        <f>H142</f>
        <v>497371</v>
      </c>
      <c r="I18" s="1400"/>
      <c r="J18" s="1393">
        <f>J142</f>
        <v>210191</v>
      </c>
      <c r="K18" s="1022">
        <f t="shared" si="0"/>
        <v>707562</v>
      </c>
      <c r="L18" s="1473"/>
      <c r="M18" s="1342"/>
      <c r="N18" s="886" t="str">
        <f t="shared" si="1"/>
        <v>รวมราคารายการที่ 7.7</v>
      </c>
      <c r="O18" s="1461">
        <f t="array" ref="O18">MAX(IF($B$73:$B$744=N18,ROW($B$73:$B$744)))</f>
        <v>142</v>
      </c>
    </row>
    <row r="19" spans="1:15" s="886" customFormat="1" ht="24" customHeight="1">
      <c r="A19" s="1474" t="str">
        <f>A143</f>
        <v>7.8</v>
      </c>
      <c r="B19" s="1331" t="str">
        <f>B143</f>
        <v>ฉนวนหุ้มท่อ (Pipe Insulation)</v>
      </c>
      <c r="C19" s="1282"/>
      <c r="D19" s="1457"/>
      <c r="E19" s="1458">
        <v>1</v>
      </c>
      <c r="F19" s="1459" t="s">
        <v>19</v>
      </c>
      <c r="G19" s="1460"/>
      <c r="H19" s="751">
        <f>H161</f>
        <v>199625</v>
      </c>
      <c r="I19" s="1392"/>
      <c r="J19" s="1393">
        <f>J161</f>
        <v>53546</v>
      </c>
      <c r="K19" s="1022">
        <f t="shared" si="0"/>
        <v>253171</v>
      </c>
      <c r="L19" s="885"/>
      <c r="M19" s="1342"/>
      <c r="N19" s="886" t="str">
        <f t="shared" si="1"/>
        <v>รวมราคารายการที่ 7.8</v>
      </c>
      <c r="O19" s="1461">
        <f t="array" ref="O19">MAX(IF($B$73:$B$744=N19,ROW($B$73:$B$744)))</f>
        <v>161</v>
      </c>
    </row>
    <row r="20" spans="1:15" s="886" customFormat="1" ht="24" customHeight="1">
      <c r="A20" s="1474" t="str">
        <f>A162</f>
        <v>7.9</v>
      </c>
      <c r="B20" s="1331" t="str">
        <f>B162</f>
        <v>วาล์วและอุปกรณ์ประกอบ  (Valve &amp; Pipe Accessories)</v>
      </c>
      <c r="C20" s="1282"/>
      <c r="D20" s="1457"/>
      <c r="E20" s="1458">
        <v>1</v>
      </c>
      <c r="F20" s="1459" t="s">
        <v>19</v>
      </c>
      <c r="G20" s="1460"/>
      <c r="H20" s="751">
        <f>H187</f>
        <v>162816</v>
      </c>
      <c r="I20" s="1392"/>
      <c r="J20" s="1393">
        <f>J187</f>
        <v>23400</v>
      </c>
      <c r="K20" s="1022">
        <f t="shared" si="0"/>
        <v>186216</v>
      </c>
      <c r="L20" s="885"/>
      <c r="M20" s="1342"/>
      <c r="N20" s="886" t="str">
        <f t="shared" si="1"/>
        <v>รวมราคารายการที่ 7.9</v>
      </c>
      <c r="O20" s="1461">
        <f t="array" ref="O20">MAX(IF($B$73:$B$744=N20,ROW($B$73:$B$744)))</f>
        <v>187</v>
      </c>
    </row>
    <row r="21" spans="1:15" s="886" customFormat="1" ht="24" customHeight="1">
      <c r="A21" s="1474" t="str">
        <f>A188</f>
        <v>7.10</v>
      </c>
      <c r="B21" s="1331" t="str">
        <f>B188</f>
        <v>ระบบท่อลม (Duct Work)</v>
      </c>
      <c r="C21" s="1282"/>
      <c r="D21" s="1457"/>
      <c r="E21" s="1458">
        <v>1</v>
      </c>
      <c r="F21" s="1459" t="s">
        <v>19</v>
      </c>
      <c r="G21" s="1460"/>
      <c r="H21" s="751">
        <f>H197</f>
        <v>514387</v>
      </c>
      <c r="I21" s="1392"/>
      <c r="J21" s="1393">
        <f>J197</f>
        <v>345808</v>
      </c>
      <c r="K21" s="1022">
        <f t="shared" si="0"/>
        <v>860195</v>
      </c>
      <c r="L21" s="885"/>
      <c r="M21" s="1342"/>
      <c r="N21" s="886" t="str">
        <f t="shared" si="1"/>
        <v>รวมราคารายการที่ 7.10</v>
      </c>
      <c r="O21" s="1461">
        <f t="array" ref="O21">MAX(IF($B$73:$B$744=N21,ROW($B$73:$B$744)))</f>
        <v>197</v>
      </c>
    </row>
    <row r="22" spans="1:15" s="886" customFormat="1" ht="24" customHeight="1">
      <c r="A22" s="1474" t="str">
        <f>A198</f>
        <v>7.11</v>
      </c>
      <c r="B22" s="1331" t="str">
        <f>B198</f>
        <v>ฉนวนหุ้มท่อลม (Duct Insulation)</v>
      </c>
      <c r="C22" s="1282"/>
      <c r="D22" s="1457"/>
      <c r="E22" s="1458">
        <v>1</v>
      </c>
      <c r="F22" s="1459" t="s">
        <v>19</v>
      </c>
      <c r="G22" s="1460"/>
      <c r="H22" s="751">
        <f>H204</f>
        <v>180292</v>
      </c>
      <c r="I22" s="1392"/>
      <c r="J22" s="1393">
        <f>J204</f>
        <v>57540</v>
      </c>
      <c r="K22" s="1022">
        <f t="shared" si="0"/>
        <v>237832</v>
      </c>
      <c r="L22" s="885"/>
      <c r="M22" s="1342"/>
      <c r="N22" s="886" t="str">
        <f t="shared" si="1"/>
        <v>รวมราคารายการที่ 7.11</v>
      </c>
      <c r="O22" s="1461">
        <f t="array" ref="O22">MAX(IF($B$73:$B$744=N22,ROW($B$73:$B$744)))</f>
        <v>204</v>
      </c>
    </row>
    <row r="23" spans="1:15" s="886" customFormat="1" ht="24" customHeight="1">
      <c r="A23" s="1474" t="str">
        <f>A205</f>
        <v>7.12</v>
      </c>
      <c r="B23" s="1331" t="str">
        <f>B205</f>
        <v>หน้ากากลม (Air Diffuser, Grille &amp; Register)</v>
      </c>
      <c r="C23" s="1282"/>
      <c r="D23" s="1457"/>
      <c r="E23" s="1458">
        <v>1</v>
      </c>
      <c r="F23" s="1459" t="s">
        <v>19</v>
      </c>
      <c r="G23" s="1460"/>
      <c r="H23" s="751">
        <f>H261</f>
        <v>233450</v>
      </c>
      <c r="I23" s="1392"/>
      <c r="J23" s="1393">
        <f>J261</f>
        <v>30975</v>
      </c>
      <c r="K23" s="1022">
        <f t="shared" si="0"/>
        <v>264425</v>
      </c>
      <c r="L23" s="885"/>
      <c r="M23" s="1342"/>
      <c r="N23" s="886" t="str">
        <f t="shared" si="1"/>
        <v>รวมราคารายการที่ 7.12</v>
      </c>
      <c r="O23" s="1461">
        <f t="array" ref="O23">MAX(IF($B$73:$B$744=N23,ROW($B$73:$B$744)))</f>
        <v>261</v>
      </c>
    </row>
    <row r="24" spans="1:15" s="886" customFormat="1" ht="24" customHeight="1">
      <c r="A24" s="1474" t="str">
        <f>A262</f>
        <v>7.13</v>
      </c>
      <c r="B24" s="1331" t="str">
        <f>B262</f>
        <v>ระบบไฟฟ้าและควบคุม (Electrical &amp; Control System)</v>
      </c>
      <c r="C24" s="1282"/>
      <c r="D24" s="1457"/>
      <c r="E24" s="1458">
        <v>1</v>
      </c>
      <c r="F24" s="1459" t="s">
        <v>19</v>
      </c>
      <c r="G24" s="1460"/>
      <c r="H24" s="751">
        <f>H295</f>
        <v>296351</v>
      </c>
      <c r="I24" s="1392"/>
      <c r="J24" s="1393">
        <f>J295</f>
        <v>44088</v>
      </c>
      <c r="K24" s="1022">
        <f t="shared" si="0"/>
        <v>340439</v>
      </c>
      <c r="L24" s="885"/>
      <c r="M24" s="1342"/>
    </row>
    <row r="25" spans="1:15" s="886" customFormat="1" ht="24" customHeight="1">
      <c r="A25" s="1474"/>
      <c r="B25" s="1331"/>
      <c r="C25" s="1282"/>
      <c r="D25" s="1457"/>
      <c r="E25" s="1458"/>
      <c r="F25" s="1459"/>
      <c r="G25" s="1460"/>
      <c r="H25" s="751"/>
      <c r="I25" s="1392"/>
      <c r="J25" s="1393"/>
      <c r="K25" s="1022"/>
      <c r="L25" s="885"/>
      <c r="M25" s="1342"/>
    </row>
    <row r="26" spans="1:15" s="886" customFormat="1" ht="24" customHeight="1">
      <c r="A26" s="1474"/>
      <c r="B26" s="1331"/>
      <c r="C26" s="1282"/>
      <c r="D26" s="1457"/>
      <c r="E26" s="1458"/>
      <c r="F26" s="1459"/>
      <c r="G26" s="1460"/>
      <c r="H26" s="751"/>
      <c r="I26" s="1392"/>
      <c r="J26" s="1393"/>
      <c r="K26" s="1022"/>
      <c r="L26" s="885"/>
      <c r="M26" s="1342"/>
    </row>
    <row r="27" spans="1:15" s="886" customFormat="1" ht="24" customHeight="1">
      <c r="A27" s="1474"/>
      <c r="B27" s="1331"/>
      <c r="C27" s="1282"/>
      <c r="D27" s="1457"/>
      <c r="E27" s="1458"/>
      <c r="F27" s="1459"/>
      <c r="G27" s="1460"/>
      <c r="H27" s="751"/>
      <c r="I27" s="1392"/>
      <c r="J27" s="1393"/>
      <c r="K27" s="1022"/>
      <c r="L27" s="885"/>
      <c r="M27" s="1342"/>
    </row>
    <row r="28" spans="1:15" s="886" customFormat="1" ht="24" customHeight="1">
      <c r="A28" s="1474"/>
      <c r="B28" s="1331"/>
      <c r="C28" s="1282"/>
      <c r="D28" s="1457"/>
      <c r="E28" s="1458"/>
      <c r="F28" s="1459"/>
      <c r="G28" s="1460"/>
      <c r="H28" s="751"/>
      <c r="I28" s="1392"/>
      <c r="J28" s="1393"/>
      <c r="K28" s="1022"/>
      <c r="L28" s="885"/>
      <c r="M28" s="1342"/>
    </row>
    <row r="29" spans="1:15" s="886" customFormat="1" ht="24" customHeight="1">
      <c r="A29" s="1474"/>
      <c r="B29" s="1331"/>
      <c r="C29" s="1282"/>
      <c r="D29" s="1457"/>
      <c r="E29" s="1458"/>
      <c r="F29" s="1459"/>
      <c r="G29" s="1460"/>
      <c r="H29" s="751"/>
      <c r="I29" s="1392"/>
      <c r="J29" s="1393"/>
      <c r="K29" s="1022"/>
      <c r="L29" s="885"/>
      <c r="M29" s="1342"/>
    </row>
    <row r="30" spans="1:15" s="886" customFormat="1" ht="24" customHeight="1">
      <c r="A30" s="1474"/>
      <c r="B30" s="1331"/>
      <c r="C30" s="1282"/>
      <c r="D30" s="1457"/>
      <c r="E30" s="1458"/>
      <c r="F30" s="1459"/>
      <c r="G30" s="1460"/>
      <c r="H30" s="751"/>
      <c r="I30" s="1392"/>
      <c r="J30" s="1393"/>
      <c r="K30" s="1022"/>
      <c r="L30" s="885"/>
      <c r="M30" s="1342"/>
    </row>
    <row r="31" spans="1:15" s="886" customFormat="1" ht="24" customHeight="1">
      <c r="A31" s="1474"/>
      <c r="B31" s="1331"/>
      <c r="C31" s="1282"/>
      <c r="D31" s="1457"/>
      <c r="E31" s="1458"/>
      <c r="F31" s="1459"/>
      <c r="G31" s="1460"/>
      <c r="H31" s="751"/>
      <c r="I31" s="1392"/>
      <c r="J31" s="1393"/>
      <c r="K31" s="1022"/>
      <c r="L31" s="885"/>
      <c r="M31" s="1342"/>
    </row>
    <row r="32" spans="1:15" s="886" customFormat="1" ht="24" customHeight="1">
      <c r="A32" s="1474"/>
      <c r="B32" s="1331"/>
      <c r="C32" s="1282"/>
      <c r="D32" s="1457"/>
      <c r="E32" s="1458"/>
      <c r="F32" s="1459"/>
      <c r="G32" s="1460"/>
      <c r="H32" s="751"/>
      <c r="I32" s="1392"/>
      <c r="J32" s="1393"/>
      <c r="K32" s="1022"/>
      <c r="L32" s="885"/>
      <c r="M32" s="1342"/>
    </row>
    <row r="33" spans="1:13" s="886" customFormat="1" ht="24" customHeight="1">
      <c r="A33" s="1474"/>
      <c r="B33" s="1331"/>
      <c r="C33" s="1282"/>
      <c r="D33" s="1457"/>
      <c r="E33" s="1458"/>
      <c r="F33" s="1459"/>
      <c r="G33" s="1460"/>
      <c r="H33" s="751"/>
      <c r="I33" s="1392"/>
      <c r="J33" s="1393"/>
      <c r="K33" s="1022"/>
      <c r="L33" s="885"/>
      <c r="M33" s="1342"/>
    </row>
    <row r="34" spans="1:13" s="886" customFormat="1" ht="24" customHeight="1">
      <c r="A34" s="1474"/>
      <c r="B34" s="1331"/>
      <c r="C34" s="1282"/>
      <c r="D34" s="1457"/>
      <c r="E34" s="1458"/>
      <c r="F34" s="1459"/>
      <c r="G34" s="1460"/>
      <c r="H34" s="751"/>
      <c r="I34" s="1392"/>
      <c r="J34" s="1393"/>
      <c r="K34" s="1022"/>
      <c r="L34" s="885"/>
      <c r="M34" s="1342"/>
    </row>
    <row r="35" spans="1:13" s="886" customFormat="1" ht="24" customHeight="1">
      <c r="A35" s="1166"/>
      <c r="B35" s="2475" t="s">
        <v>2324</v>
      </c>
      <c r="C35" s="2476"/>
      <c r="D35" s="2476"/>
      <c r="E35" s="1167"/>
      <c r="F35" s="1381"/>
      <c r="G35" s="1168"/>
      <c r="H35" s="1169">
        <f>SUM(H12:H34)</f>
        <v>7403948</v>
      </c>
      <c r="I35" s="1170"/>
      <c r="J35" s="1382">
        <f>SUM(J12:J34)</f>
        <v>1193603</v>
      </c>
      <c r="K35" s="1171">
        <f>SUM(K12:K34)</f>
        <v>8597551</v>
      </c>
      <c r="L35" s="1171"/>
      <c r="M35" s="1342"/>
    </row>
    <row r="36" spans="1:13" s="886" customFormat="1" ht="24" customHeight="1">
      <c r="A36" s="1491" t="s">
        <v>1987</v>
      </c>
      <c r="B36" s="1331" t="s">
        <v>2129</v>
      </c>
      <c r="C36" s="1282"/>
      <c r="D36" s="1457"/>
      <c r="E36" s="1525"/>
      <c r="F36" s="1459"/>
      <c r="G36" s="1460"/>
      <c r="H36" s="751"/>
      <c r="I36" s="1392"/>
      <c r="J36" s="1393"/>
      <c r="K36" s="1022"/>
      <c r="L36" s="885"/>
      <c r="M36" s="1342"/>
    </row>
    <row r="37" spans="1:13" s="886" customFormat="1" ht="24" customHeight="1">
      <c r="A37" s="1474" t="s">
        <v>1904</v>
      </c>
      <c r="B37" s="1331" t="s">
        <v>2130</v>
      </c>
      <c r="C37" s="1282"/>
      <c r="D37" s="1457"/>
      <c r="E37" s="1525"/>
      <c r="F37" s="1459"/>
      <c r="G37" s="1460"/>
      <c r="H37" s="751"/>
      <c r="I37" s="1392"/>
      <c r="J37" s="1393"/>
      <c r="K37" s="1022"/>
      <c r="L37" s="885"/>
      <c r="M37" s="1342"/>
    </row>
    <row r="38" spans="1:13" s="886" customFormat="1" ht="24" customHeight="1">
      <c r="A38" s="1474"/>
      <c r="B38" s="1331" t="s">
        <v>2325</v>
      </c>
      <c r="C38" s="1282"/>
      <c r="D38" s="1457"/>
      <c r="E38" s="1022">
        <v>1</v>
      </c>
      <c r="F38" s="1459" t="s">
        <v>240</v>
      </c>
      <c r="G38" s="1392">
        <v>739400</v>
      </c>
      <c r="H38" s="1175">
        <f>E38*G38</f>
        <v>739400</v>
      </c>
      <c r="I38" s="1492">
        <f>G38*0.01</f>
        <v>7394</v>
      </c>
      <c r="J38" s="1493">
        <f>I38*E38</f>
        <v>7394</v>
      </c>
      <c r="K38" s="825">
        <f>H38+J38</f>
        <v>746794</v>
      </c>
      <c r="L38" s="885"/>
      <c r="M38" s="1342"/>
    </row>
    <row r="39" spans="1:13" s="886" customFormat="1" ht="24" customHeight="1">
      <c r="A39" s="1474"/>
      <c r="B39" s="1331" t="s">
        <v>2326</v>
      </c>
      <c r="C39" s="1282"/>
      <c r="D39" s="1457"/>
      <c r="E39" s="1022">
        <v>1</v>
      </c>
      <c r="F39" s="1459" t="s">
        <v>240</v>
      </c>
      <c r="G39" s="1392">
        <v>640100</v>
      </c>
      <c r="H39" s="1175">
        <f>E39*G39</f>
        <v>640100</v>
      </c>
      <c r="I39" s="1492">
        <f>G39*0.01</f>
        <v>6401</v>
      </c>
      <c r="J39" s="1493">
        <f>I39*E39</f>
        <v>6401</v>
      </c>
      <c r="K39" s="825">
        <f>H39+J39</f>
        <v>646501</v>
      </c>
      <c r="L39" s="885"/>
      <c r="M39" s="1342"/>
    </row>
    <row r="40" spans="1:13" s="886" customFormat="1" ht="24" customHeight="1">
      <c r="A40" s="1474" t="s">
        <v>1906</v>
      </c>
      <c r="B40" s="1331" t="s">
        <v>2132</v>
      </c>
      <c r="C40" s="1282"/>
      <c r="D40" s="1457"/>
      <c r="E40" s="1022">
        <v>2</v>
      </c>
      <c r="F40" s="1459" t="s">
        <v>240</v>
      </c>
      <c r="G40" s="1392">
        <v>1800</v>
      </c>
      <c r="H40" s="1175">
        <f>E40*G40</f>
        <v>3600</v>
      </c>
      <c r="I40" s="1492" t="s">
        <v>3121</v>
      </c>
      <c r="J40" s="1493"/>
      <c r="K40" s="966">
        <f t="shared" ref="K40:K42" si="2">H40+J40</f>
        <v>3600</v>
      </c>
      <c r="L40" s="885"/>
      <c r="M40" s="1342"/>
    </row>
    <row r="41" spans="1:13" s="886" customFormat="1" ht="24" customHeight="1">
      <c r="A41" s="1474" t="s">
        <v>1995</v>
      </c>
      <c r="B41" s="1331" t="s">
        <v>1996</v>
      </c>
      <c r="C41" s="1282"/>
      <c r="D41" s="1457"/>
      <c r="E41" s="1022">
        <v>8</v>
      </c>
      <c r="F41" s="1459" t="s">
        <v>240</v>
      </c>
      <c r="G41" s="1392">
        <v>2400</v>
      </c>
      <c r="H41" s="1175">
        <f>E41*G41</f>
        <v>19200</v>
      </c>
      <c r="I41" s="1392">
        <f>G41*0.3</f>
        <v>720</v>
      </c>
      <c r="J41" s="1395">
        <f t="shared" ref="J41:J42" si="3">ROUND(E41*I41,)</f>
        <v>5760</v>
      </c>
      <c r="K41" s="966">
        <f t="shared" si="2"/>
        <v>24960</v>
      </c>
      <c r="L41" s="885"/>
      <c r="M41" s="1342"/>
    </row>
    <row r="42" spans="1:13" s="886" customFormat="1" ht="24" customHeight="1">
      <c r="A42" s="1474" t="s">
        <v>2133</v>
      </c>
      <c r="B42" s="1331" t="s">
        <v>2134</v>
      </c>
      <c r="C42" s="1282"/>
      <c r="D42" s="1457"/>
      <c r="E42" s="1022">
        <v>2</v>
      </c>
      <c r="F42" s="1459" t="s">
        <v>240</v>
      </c>
      <c r="G42" s="1460">
        <v>4000</v>
      </c>
      <c r="H42" s="1175">
        <f>E42*G42</f>
        <v>8000</v>
      </c>
      <c r="I42" s="1392">
        <v>400</v>
      </c>
      <c r="J42" s="1395">
        <f t="shared" si="3"/>
        <v>800</v>
      </c>
      <c r="K42" s="966">
        <f t="shared" si="2"/>
        <v>8800</v>
      </c>
      <c r="L42" s="885"/>
      <c r="M42" s="1342"/>
    </row>
    <row r="43" spans="1:13" s="886" customFormat="1" ht="24" customHeight="1">
      <c r="A43" s="1474"/>
      <c r="B43" s="1331" t="s">
        <v>957</v>
      </c>
      <c r="C43" s="1282"/>
      <c r="D43" s="1457"/>
      <c r="E43" s="1022"/>
      <c r="F43" s="1459"/>
      <c r="G43" s="1460"/>
      <c r="H43" s="751"/>
      <c r="I43" s="1392"/>
      <c r="J43" s="1393"/>
      <c r="K43" s="1022"/>
      <c r="L43" s="885"/>
      <c r="M43" s="1342"/>
    </row>
    <row r="44" spans="1:13" s="886" customFormat="1" ht="24" customHeight="1">
      <c r="A44" s="1474"/>
      <c r="B44" s="1331"/>
      <c r="C44" s="1282"/>
      <c r="D44" s="1457"/>
      <c r="E44" s="1022"/>
      <c r="F44" s="1459"/>
      <c r="G44" s="1460"/>
      <c r="H44" s="751"/>
      <c r="I44" s="1392"/>
      <c r="J44" s="1393"/>
      <c r="K44" s="1022"/>
      <c r="L44" s="885"/>
      <c r="M44" s="1342"/>
    </row>
    <row r="45" spans="1:13" s="886" customFormat="1" ht="24" customHeight="1">
      <c r="A45" s="1474"/>
      <c r="B45" s="1331"/>
      <c r="C45" s="1282"/>
      <c r="D45" s="1457"/>
      <c r="E45" s="1022"/>
      <c r="F45" s="1459"/>
      <c r="G45" s="1460"/>
      <c r="H45" s="751"/>
      <c r="I45" s="1392"/>
      <c r="J45" s="1393"/>
      <c r="K45" s="1022"/>
      <c r="L45" s="885"/>
      <c r="M45" s="1342"/>
    </row>
    <row r="46" spans="1:13" s="886" customFormat="1" ht="24" customHeight="1">
      <c r="A46" s="1474"/>
      <c r="B46" s="1331"/>
      <c r="C46" s="1282"/>
      <c r="D46" s="1457"/>
      <c r="E46" s="1022"/>
      <c r="F46" s="1459"/>
      <c r="G46" s="1460"/>
      <c r="H46" s="751"/>
      <c r="I46" s="1392"/>
      <c r="J46" s="1393"/>
      <c r="K46" s="1022"/>
      <c r="L46" s="885"/>
      <c r="M46" s="1342"/>
    </row>
    <row r="47" spans="1:13" s="886" customFormat="1" ht="24" customHeight="1">
      <c r="A47" s="1166"/>
      <c r="B47" s="2475" t="str">
        <f>"รวมราคารายการที่ "&amp;A36</f>
        <v>รวมราคารายการที่ 7.1</v>
      </c>
      <c r="C47" s="2476"/>
      <c r="D47" s="2476"/>
      <c r="E47" s="1167"/>
      <c r="F47" s="1381"/>
      <c r="G47" s="1168"/>
      <c r="H47" s="1169">
        <f>SUM(H37:H46)</f>
        <v>1410300</v>
      </c>
      <c r="I47" s="1170"/>
      <c r="J47" s="1382">
        <f>SUM(J37:J46)</f>
        <v>20355</v>
      </c>
      <c r="K47" s="1171">
        <f>SUM(K37:K46)</f>
        <v>1430655</v>
      </c>
      <c r="L47" s="1171"/>
      <c r="M47" s="1342"/>
    </row>
    <row r="48" spans="1:13" s="886" customFormat="1" ht="24" customHeight="1">
      <c r="A48" s="1491" t="s">
        <v>1997</v>
      </c>
      <c r="B48" s="1331" t="s">
        <v>2135</v>
      </c>
      <c r="C48" s="1282"/>
      <c r="D48" s="1457"/>
      <c r="E48" s="1022"/>
      <c r="F48" s="1459"/>
      <c r="G48" s="1460"/>
      <c r="H48" s="751"/>
      <c r="I48" s="1392"/>
      <c r="J48" s="1393"/>
      <c r="K48" s="1022"/>
      <c r="L48" s="885"/>
      <c r="M48" s="1342"/>
    </row>
    <row r="49" spans="1:13" s="886" customFormat="1" ht="24" customHeight="1">
      <c r="A49" s="1474" t="s">
        <v>1910</v>
      </c>
      <c r="B49" s="1331" t="s">
        <v>2130</v>
      </c>
      <c r="C49" s="1282"/>
      <c r="D49" s="1457"/>
      <c r="E49" s="1022"/>
      <c r="F49" s="1459"/>
      <c r="G49" s="1460"/>
      <c r="H49" s="751"/>
      <c r="I49" s="1392"/>
      <c r="J49" s="1393"/>
      <c r="K49" s="1022"/>
      <c r="L49" s="885"/>
      <c r="M49" s="1342"/>
    </row>
    <row r="50" spans="1:13" s="886" customFormat="1" ht="24" customHeight="1">
      <c r="A50" s="1474"/>
      <c r="B50" s="1331" t="s">
        <v>2327</v>
      </c>
      <c r="C50" s="1282"/>
      <c r="D50" s="1457"/>
      <c r="E50" s="1022">
        <v>1</v>
      </c>
      <c r="F50" s="1459" t="s">
        <v>240</v>
      </c>
      <c r="G50" s="1394">
        <v>224400</v>
      </c>
      <c r="H50" s="864">
        <f t="shared" ref="H50:H65" si="4">ROUND(E50*G50,)</f>
        <v>224400</v>
      </c>
      <c r="I50" s="1392">
        <f t="shared" ref="I50:I65" si="5">G50*0.1</f>
        <v>22440</v>
      </c>
      <c r="J50" s="1395">
        <f t="shared" ref="J50:J65" si="6">ROUND(E50*I50,)</f>
        <v>22440</v>
      </c>
      <c r="K50" s="966">
        <f t="shared" ref="K50:K65" si="7">H50+J50</f>
        <v>246840</v>
      </c>
      <c r="L50" s="885"/>
      <c r="M50" s="1342"/>
    </row>
    <row r="51" spans="1:13" s="886" customFormat="1" ht="24" customHeight="1">
      <c r="A51" s="1474"/>
      <c r="B51" s="1331" t="s">
        <v>2328</v>
      </c>
      <c r="C51" s="1282"/>
      <c r="D51" s="1457"/>
      <c r="E51" s="1022">
        <v>1</v>
      </c>
      <c r="F51" s="1459" t="s">
        <v>240</v>
      </c>
      <c r="G51" s="1394">
        <v>215100</v>
      </c>
      <c r="H51" s="864">
        <f t="shared" si="4"/>
        <v>215100</v>
      </c>
      <c r="I51" s="1392">
        <f t="shared" si="5"/>
        <v>21510</v>
      </c>
      <c r="J51" s="1395">
        <f t="shared" si="6"/>
        <v>21510</v>
      </c>
      <c r="K51" s="966">
        <f t="shared" si="7"/>
        <v>236610</v>
      </c>
      <c r="L51" s="885"/>
      <c r="M51" s="1342"/>
    </row>
    <row r="52" spans="1:13" s="886" customFormat="1" ht="24" customHeight="1">
      <c r="A52" s="1474"/>
      <c r="B52" s="1331" t="s">
        <v>2329</v>
      </c>
      <c r="C52" s="1282"/>
      <c r="D52" s="1457"/>
      <c r="E52" s="1022">
        <v>1</v>
      </c>
      <c r="F52" s="1459" t="s">
        <v>240</v>
      </c>
      <c r="G52" s="1394">
        <v>215100</v>
      </c>
      <c r="H52" s="864">
        <f t="shared" si="4"/>
        <v>215100</v>
      </c>
      <c r="I52" s="1392">
        <f t="shared" si="5"/>
        <v>21510</v>
      </c>
      <c r="J52" s="1395">
        <f t="shared" si="6"/>
        <v>21510</v>
      </c>
      <c r="K52" s="966">
        <f t="shared" si="7"/>
        <v>236610</v>
      </c>
      <c r="L52" s="885"/>
      <c r="M52" s="1342"/>
    </row>
    <row r="53" spans="1:13" s="886" customFormat="1" ht="24" customHeight="1">
      <c r="A53" s="1474"/>
      <c r="B53" s="1331" t="s">
        <v>2330</v>
      </c>
      <c r="C53" s="1282"/>
      <c r="D53" s="1457"/>
      <c r="E53" s="1022">
        <v>1</v>
      </c>
      <c r="F53" s="1459" t="s">
        <v>240</v>
      </c>
      <c r="G53" s="1394">
        <v>215000</v>
      </c>
      <c r="H53" s="864">
        <f t="shared" si="4"/>
        <v>215000</v>
      </c>
      <c r="I53" s="1392">
        <f t="shared" si="5"/>
        <v>21500</v>
      </c>
      <c r="J53" s="1395">
        <f t="shared" si="6"/>
        <v>21500</v>
      </c>
      <c r="K53" s="966">
        <f t="shared" si="7"/>
        <v>236500</v>
      </c>
      <c r="L53" s="885"/>
      <c r="M53" s="1342"/>
    </row>
    <row r="54" spans="1:13" s="886" customFormat="1" ht="24" customHeight="1">
      <c r="A54" s="1474"/>
      <c r="B54" s="1331" t="s">
        <v>2331</v>
      </c>
      <c r="C54" s="1282"/>
      <c r="D54" s="1457"/>
      <c r="E54" s="1022">
        <v>1</v>
      </c>
      <c r="F54" s="1459" t="s">
        <v>240</v>
      </c>
      <c r="G54" s="1394">
        <v>215000</v>
      </c>
      <c r="H54" s="864">
        <f t="shared" si="4"/>
        <v>215000</v>
      </c>
      <c r="I54" s="1392">
        <f t="shared" si="5"/>
        <v>21500</v>
      </c>
      <c r="J54" s="1395">
        <f t="shared" si="6"/>
        <v>21500</v>
      </c>
      <c r="K54" s="966">
        <f t="shared" si="7"/>
        <v>236500</v>
      </c>
      <c r="L54" s="885"/>
      <c r="M54" s="1342"/>
    </row>
    <row r="55" spans="1:13" s="886" customFormat="1" ht="24" customHeight="1">
      <c r="A55" s="1474"/>
      <c r="B55" s="1331" t="s">
        <v>2332</v>
      </c>
      <c r="C55" s="1282"/>
      <c r="D55" s="1457"/>
      <c r="E55" s="1022">
        <v>1</v>
      </c>
      <c r="F55" s="1459" t="s">
        <v>240</v>
      </c>
      <c r="G55" s="1394">
        <v>215100</v>
      </c>
      <c r="H55" s="864">
        <f t="shared" si="4"/>
        <v>215100</v>
      </c>
      <c r="I55" s="1392">
        <f t="shared" si="5"/>
        <v>21510</v>
      </c>
      <c r="J55" s="1395">
        <f t="shared" si="6"/>
        <v>21510</v>
      </c>
      <c r="K55" s="966">
        <f t="shared" si="7"/>
        <v>236610</v>
      </c>
      <c r="L55" s="885"/>
      <c r="M55" s="1342"/>
    </row>
    <row r="56" spans="1:13" s="886" customFormat="1" ht="24" customHeight="1">
      <c r="A56" s="1474"/>
      <c r="B56" s="1331" t="s">
        <v>2333</v>
      </c>
      <c r="C56" s="1282"/>
      <c r="D56" s="1457"/>
      <c r="E56" s="1022">
        <v>1</v>
      </c>
      <c r="F56" s="1459" t="s">
        <v>240</v>
      </c>
      <c r="G56" s="1394">
        <v>157400</v>
      </c>
      <c r="H56" s="864">
        <f t="shared" si="4"/>
        <v>157400</v>
      </c>
      <c r="I56" s="1392">
        <f t="shared" si="5"/>
        <v>15740</v>
      </c>
      <c r="J56" s="1395">
        <f t="shared" si="6"/>
        <v>15740</v>
      </c>
      <c r="K56" s="966">
        <f t="shared" si="7"/>
        <v>173140</v>
      </c>
      <c r="L56" s="885"/>
      <c r="M56" s="1342"/>
    </row>
    <row r="57" spans="1:13" s="886" customFormat="1" ht="24" customHeight="1">
      <c r="A57" s="1474"/>
      <c r="B57" s="1331" t="s">
        <v>2334</v>
      </c>
      <c r="C57" s="1282"/>
      <c r="D57" s="1457"/>
      <c r="E57" s="1022">
        <v>1</v>
      </c>
      <c r="F57" s="1459" t="s">
        <v>240</v>
      </c>
      <c r="G57" s="1394">
        <v>157400</v>
      </c>
      <c r="H57" s="864">
        <f t="shared" si="4"/>
        <v>157400</v>
      </c>
      <c r="I57" s="1392">
        <f t="shared" si="5"/>
        <v>15740</v>
      </c>
      <c r="J57" s="1395">
        <f t="shared" si="6"/>
        <v>15740</v>
      </c>
      <c r="K57" s="966">
        <f t="shared" si="7"/>
        <v>173140</v>
      </c>
      <c r="L57" s="885"/>
      <c r="M57" s="1342"/>
    </row>
    <row r="58" spans="1:13" s="886" customFormat="1" ht="24" customHeight="1">
      <c r="A58" s="1474"/>
      <c r="B58" s="1331" t="s">
        <v>2335</v>
      </c>
      <c r="C58" s="1282"/>
      <c r="D58" s="1457"/>
      <c r="E58" s="1022">
        <v>1</v>
      </c>
      <c r="F58" s="1459" t="s">
        <v>240</v>
      </c>
      <c r="G58" s="1394">
        <v>211600</v>
      </c>
      <c r="H58" s="864">
        <f t="shared" si="4"/>
        <v>211600</v>
      </c>
      <c r="I58" s="1392">
        <f t="shared" si="5"/>
        <v>21160</v>
      </c>
      <c r="J58" s="1395">
        <f t="shared" si="6"/>
        <v>21160</v>
      </c>
      <c r="K58" s="966">
        <f t="shared" si="7"/>
        <v>232760</v>
      </c>
      <c r="L58" s="885"/>
      <c r="M58" s="1342"/>
    </row>
    <row r="59" spans="1:13" s="886" customFormat="1" ht="24" customHeight="1">
      <c r="A59" s="1474"/>
      <c r="B59" s="1331" t="s">
        <v>2336</v>
      </c>
      <c r="C59" s="1282"/>
      <c r="D59" s="1457"/>
      <c r="E59" s="1022">
        <v>1</v>
      </c>
      <c r="F59" s="1459" t="s">
        <v>240</v>
      </c>
      <c r="G59" s="1394">
        <v>224400</v>
      </c>
      <c r="H59" s="864">
        <f t="shared" si="4"/>
        <v>224400</v>
      </c>
      <c r="I59" s="1392">
        <f t="shared" si="5"/>
        <v>22440</v>
      </c>
      <c r="J59" s="1395">
        <f t="shared" si="6"/>
        <v>22440</v>
      </c>
      <c r="K59" s="966">
        <f t="shared" si="7"/>
        <v>246840</v>
      </c>
      <c r="L59" s="885"/>
      <c r="M59" s="1342"/>
    </row>
    <row r="60" spans="1:13" s="886" customFormat="1" ht="24" customHeight="1">
      <c r="A60" s="1474"/>
      <c r="B60" s="1331" t="s">
        <v>2337</v>
      </c>
      <c r="C60" s="1282"/>
      <c r="D60" s="1457"/>
      <c r="E60" s="1022">
        <v>1</v>
      </c>
      <c r="F60" s="1459" t="s">
        <v>240</v>
      </c>
      <c r="G60" s="1394">
        <v>215100</v>
      </c>
      <c r="H60" s="864">
        <f t="shared" si="4"/>
        <v>215100</v>
      </c>
      <c r="I60" s="1392">
        <f t="shared" si="5"/>
        <v>21510</v>
      </c>
      <c r="J60" s="1395">
        <f t="shared" si="6"/>
        <v>21510</v>
      </c>
      <c r="K60" s="966">
        <f t="shared" si="7"/>
        <v>236610</v>
      </c>
      <c r="L60" s="885"/>
      <c r="M60" s="1342"/>
    </row>
    <row r="61" spans="1:13" s="886" customFormat="1" ht="24" customHeight="1">
      <c r="A61" s="1474"/>
      <c r="B61" s="1331" t="s">
        <v>2338</v>
      </c>
      <c r="C61" s="1282"/>
      <c r="D61" s="1457"/>
      <c r="E61" s="1022">
        <v>1</v>
      </c>
      <c r="F61" s="1459" t="s">
        <v>240</v>
      </c>
      <c r="G61" s="1394">
        <v>215100</v>
      </c>
      <c r="H61" s="864">
        <f t="shared" si="4"/>
        <v>215100</v>
      </c>
      <c r="I61" s="1392">
        <f t="shared" si="5"/>
        <v>21510</v>
      </c>
      <c r="J61" s="1395">
        <f t="shared" si="6"/>
        <v>21510</v>
      </c>
      <c r="K61" s="966">
        <f t="shared" si="7"/>
        <v>236610</v>
      </c>
      <c r="L61" s="885"/>
      <c r="M61" s="1342"/>
    </row>
    <row r="62" spans="1:13" s="886" customFormat="1" ht="24" customHeight="1">
      <c r="A62" s="1474"/>
      <c r="B62" s="1331" t="s">
        <v>2339</v>
      </c>
      <c r="C62" s="1282"/>
      <c r="D62" s="1457"/>
      <c r="E62" s="1022">
        <v>1</v>
      </c>
      <c r="F62" s="1459" t="s">
        <v>240</v>
      </c>
      <c r="G62" s="1394">
        <v>215000</v>
      </c>
      <c r="H62" s="864">
        <f t="shared" si="4"/>
        <v>215000</v>
      </c>
      <c r="I62" s="1392">
        <f t="shared" si="5"/>
        <v>21500</v>
      </c>
      <c r="J62" s="1395">
        <f t="shared" si="6"/>
        <v>21500</v>
      </c>
      <c r="K62" s="966">
        <f t="shared" si="7"/>
        <v>236500</v>
      </c>
      <c r="L62" s="885"/>
      <c r="M62" s="1342"/>
    </row>
    <row r="63" spans="1:13" s="886" customFormat="1" ht="24" customHeight="1">
      <c r="A63" s="1474"/>
      <c r="B63" s="1331" t="s">
        <v>2340</v>
      </c>
      <c r="C63" s="1282"/>
      <c r="D63" s="1457"/>
      <c r="E63" s="1022">
        <v>1</v>
      </c>
      <c r="F63" s="1459" t="s">
        <v>240</v>
      </c>
      <c r="G63" s="1394">
        <v>406600</v>
      </c>
      <c r="H63" s="864">
        <f t="shared" si="4"/>
        <v>406600</v>
      </c>
      <c r="I63" s="1392">
        <f t="shared" si="5"/>
        <v>40660</v>
      </c>
      <c r="J63" s="1395">
        <f t="shared" si="6"/>
        <v>40660</v>
      </c>
      <c r="K63" s="966">
        <f t="shared" si="7"/>
        <v>447260</v>
      </c>
      <c r="L63" s="885"/>
      <c r="M63" s="1342"/>
    </row>
    <row r="64" spans="1:13" s="886" customFormat="1" ht="24" customHeight="1">
      <c r="A64" s="1474"/>
      <c r="B64" s="1331" t="s">
        <v>2341</v>
      </c>
      <c r="C64" s="1282"/>
      <c r="D64" s="1457"/>
      <c r="E64" s="1022">
        <v>1</v>
      </c>
      <c r="F64" s="1459" t="s">
        <v>240</v>
      </c>
      <c r="G64" s="1394">
        <v>157400</v>
      </c>
      <c r="H64" s="864">
        <f t="shared" si="4"/>
        <v>157400</v>
      </c>
      <c r="I64" s="1392">
        <f t="shared" si="5"/>
        <v>15740</v>
      </c>
      <c r="J64" s="1395">
        <f t="shared" si="6"/>
        <v>15740</v>
      </c>
      <c r="K64" s="966">
        <f t="shared" si="7"/>
        <v>173140</v>
      </c>
      <c r="L64" s="885"/>
      <c r="M64" s="1342"/>
    </row>
    <row r="65" spans="1:16" s="886" customFormat="1" ht="24" customHeight="1">
      <c r="A65" s="1474"/>
      <c r="B65" s="1331" t="s">
        <v>2342</v>
      </c>
      <c r="C65" s="1282"/>
      <c r="D65" s="1457"/>
      <c r="E65" s="1022">
        <v>1</v>
      </c>
      <c r="F65" s="1459" t="s">
        <v>240</v>
      </c>
      <c r="G65" s="1394">
        <v>157400</v>
      </c>
      <c r="H65" s="864">
        <f t="shared" si="4"/>
        <v>157400</v>
      </c>
      <c r="I65" s="1392">
        <f t="shared" si="5"/>
        <v>15740</v>
      </c>
      <c r="J65" s="1395">
        <f t="shared" si="6"/>
        <v>15740</v>
      </c>
      <c r="K65" s="966">
        <f t="shared" si="7"/>
        <v>173140</v>
      </c>
      <c r="L65" s="885"/>
      <c r="M65" s="1342"/>
    </row>
    <row r="66" spans="1:16" s="886" customFormat="1" ht="24" customHeight="1">
      <c r="A66" s="1474" t="s">
        <v>2000</v>
      </c>
      <c r="B66" s="1331" t="s">
        <v>2153</v>
      </c>
      <c r="C66" s="1282"/>
      <c r="D66" s="1457"/>
      <c r="E66" s="1022"/>
      <c r="F66" s="1459"/>
      <c r="G66" s="1392"/>
      <c r="H66" s="751"/>
      <c r="I66" s="1392"/>
      <c r="J66" s="1393"/>
      <c r="K66" s="1022"/>
      <c r="L66" s="885"/>
      <c r="M66" s="1342"/>
    </row>
    <row r="67" spans="1:16" s="886" customFormat="1" ht="24" customHeight="1">
      <c r="A67" s="1474"/>
      <c r="B67" s="1331" t="s">
        <v>2154</v>
      </c>
      <c r="C67" s="1282"/>
      <c r="D67" s="1457"/>
      <c r="E67" s="1022">
        <v>16</v>
      </c>
      <c r="F67" s="1459" t="s">
        <v>240</v>
      </c>
      <c r="G67" s="1392">
        <v>1800</v>
      </c>
      <c r="H67" s="864">
        <f>ROUND(E67*G67,)</f>
        <v>28800</v>
      </c>
      <c r="I67" s="1396" t="s">
        <v>974</v>
      </c>
      <c r="J67" s="1395"/>
      <c r="K67" s="966">
        <f>H67+J67</f>
        <v>28800</v>
      </c>
      <c r="L67" s="885"/>
      <c r="M67" s="1342"/>
    </row>
    <row r="68" spans="1:16" s="886" customFormat="1" ht="24" customHeight="1">
      <c r="A68" s="1474" t="s">
        <v>2155</v>
      </c>
      <c r="B68" s="1331" t="s">
        <v>1996</v>
      </c>
      <c r="C68" s="1282"/>
      <c r="D68" s="1457"/>
      <c r="E68" s="1022">
        <v>64</v>
      </c>
      <c r="F68" s="1459" t="s">
        <v>240</v>
      </c>
      <c r="G68" s="1392">
        <v>2400</v>
      </c>
      <c r="H68" s="864">
        <f>ROUND(E68*G68,)</f>
        <v>153600</v>
      </c>
      <c r="I68" s="1392">
        <f>G68*0.3</f>
        <v>720</v>
      </c>
      <c r="J68" s="1395">
        <f>ROUND(E68*I68,)</f>
        <v>46080</v>
      </c>
      <c r="K68" s="966">
        <f>H68+J68</f>
        <v>199680</v>
      </c>
      <c r="L68" s="885"/>
      <c r="M68" s="1342"/>
    </row>
    <row r="69" spans="1:16" s="886" customFormat="1" ht="24" customHeight="1">
      <c r="A69" s="1474"/>
      <c r="B69" s="1331" t="s">
        <v>957</v>
      </c>
      <c r="C69" s="1282"/>
      <c r="D69" s="1457"/>
      <c r="E69" s="1022"/>
      <c r="F69" s="1459"/>
      <c r="G69" s="1460"/>
      <c r="H69" s="751"/>
      <c r="I69" s="1392"/>
      <c r="J69" s="1393"/>
      <c r="K69" s="1022"/>
      <c r="L69" s="885"/>
      <c r="M69" s="1342"/>
    </row>
    <row r="70" spans="1:16" s="886" customFormat="1" ht="24" customHeight="1">
      <c r="A70" s="1474"/>
      <c r="B70" s="1331" t="s">
        <v>1239</v>
      </c>
      <c r="C70" s="1282"/>
      <c r="D70" s="1457"/>
      <c r="E70" s="1022"/>
      <c r="F70" s="1459"/>
      <c r="G70" s="1460"/>
      <c r="H70" s="751"/>
      <c r="I70" s="1392"/>
      <c r="J70" s="1393"/>
      <c r="K70" s="1022"/>
      <c r="L70" s="885"/>
      <c r="M70" s="1342"/>
    </row>
    <row r="71" spans="1:16" s="886" customFormat="1" ht="24" customHeight="1">
      <c r="A71" s="1474"/>
      <c r="B71" s="1331"/>
      <c r="C71" s="1282"/>
      <c r="D71" s="1457"/>
      <c r="E71" s="1022"/>
      <c r="F71" s="1459"/>
      <c r="G71" s="1460"/>
      <c r="H71" s="751"/>
      <c r="I71" s="1392"/>
      <c r="J71" s="1393"/>
      <c r="K71" s="1022"/>
      <c r="L71" s="885"/>
      <c r="M71" s="1342"/>
    </row>
    <row r="72" spans="1:16" s="886" customFormat="1" ht="24" customHeight="1">
      <c r="A72" s="1166"/>
      <c r="B72" s="2475" t="str">
        <f>"รวมราคารายการที่ "&amp;A48</f>
        <v>รวมราคารายการที่ 7.2</v>
      </c>
      <c r="C72" s="2476"/>
      <c r="D72" s="2476"/>
      <c r="E72" s="1167"/>
      <c r="F72" s="1381"/>
      <c r="G72" s="1168"/>
      <c r="H72" s="1169">
        <f>SUM(H48:H71)</f>
        <v>3599500</v>
      </c>
      <c r="I72" s="1170"/>
      <c r="J72" s="1382">
        <f>SUM(J48:J71)</f>
        <v>387790</v>
      </c>
      <c r="K72" s="1171">
        <f>SUM(K48:K71)</f>
        <v>3987290</v>
      </c>
      <c r="L72" s="1171"/>
      <c r="M72" s="1342"/>
    </row>
    <row r="73" spans="1:16" s="1329" customFormat="1" ht="24" customHeight="1">
      <c r="A73" s="1383" t="s">
        <v>1920</v>
      </c>
      <c r="B73" s="1384" t="s">
        <v>1988</v>
      </c>
      <c r="C73" s="1385"/>
      <c r="D73" s="1386"/>
      <c r="E73" s="1387"/>
      <c r="F73" s="1388"/>
      <c r="G73" s="1389"/>
      <c r="H73" s="1390"/>
      <c r="I73" s="1389"/>
      <c r="J73" s="1391"/>
      <c r="K73" s="1387"/>
      <c r="L73" s="1387"/>
      <c r="M73" s="1328"/>
    </row>
    <row r="74" spans="1:16" s="1329" customFormat="1" ht="24" customHeight="1">
      <c r="A74" s="1330" t="s">
        <v>1922</v>
      </c>
      <c r="B74" s="1331" t="s">
        <v>1989</v>
      </c>
      <c r="C74" s="801"/>
      <c r="D74" s="801"/>
      <c r="E74" s="1022"/>
      <c r="F74" s="1333"/>
      <c r="G74" s="1392"/>
      <c r="H74" s="864"/>
      <c r="I74" s="1392"/>
      <c r="J74" s="1395">
        <f t="shared" ref="J74:J77" si="8">ROUND(E74*I74,)</f>
        <v>0</v>
      </c>
      <c r="K74" s="966">
        <f t="shared" ref="K74:K77" si="9">H74+J74</f>
        <v>0</v>
      </c>
      <c r="L74" s="1022"/>
      <c r="M74" s="1328"/>
    </row>
    <row r="75" spans="1:16" customFormat="1" ht="21.3">
      <c r="A75" s="1340"/>
      <c r="B75" s="1331" t="str">
        <f>"  -  "&amp;M75&amp;", ("&amp;P75&amp;" kW,"&amp;N75&amp;" L/s)"</f>
        <v xml:space="preserve">  -  C2-3F-01, (9 kW,560 L/s)</v>
      </c>
      <c r="C75" s="1349"/>
      <c r="D75" s="801"/>
      <c r="E75" s="1022">
        <f>O75</f>
        <v>1</v>
      </c>
      <c r="F75" s="1333" t="s">
        <v>240</v>
      </c>
      <c r="G75" s="1392">
        <v>18300</v>
      </c>
      <c r="H75" s="864">
        <f t="shared" ref="H75:H76" si="10">ROUND(E75*G75,)</f>
        <v>18300</v>
      </c>
      <c r="I75" s="1392">
        <f>G75*0.1</f>
        <v>1830</v>
      </c>
      <c r="J75" s="1395">
        <f t="shared" si="8"/>
        <v>1830</v>
      </c>
      <c r="K75" s="966">
        <f t="shared" si="9"/>
        <v>20130</v>
      </c>
      <c r="L75" s="966"/>
      <c r="M75" s="1420" t="s">
        <v>2343</v>
      </c>
      <c r="N75">
        <v>560</v>
      </c>
      <c r="O75">
        <v>1</v>
      </c>
      <c r="P75">
        <v>9</v>
      </c>
    </row>
    <row r="76" spans="1:16" s="1329" customFormat="1" ht="24" customHeight="1">
      <c r="A76" s="1340"/>
      <c r="B76" s="1331" t="str">
        <f>"  -  "&amp;M76&amp;", ("&amp;P76&amp;" kW,"&amp;N76&amp;" L/s)"</f>
        <v xml:space="preserve">  -  C2-3F-02 To 03, (4.5 kW,270 L/s)</v>
      </c>
      <c r="C76" s="1349"/>
      <c r="D76" s="801"/>
      <c r="E76" s="1022">
        <f>O76</f>
        <v>2</v>
      </c>
      <c r="F76" s="1333" t="s">
        <v>240</v>
      </c>
      <c r="G76" s="1392">
        <v>11100</v>
      </c>
      <c r="H76" s="864">
        <f t="shared" si="10"/>
        <v>22200</v>
      </c>
      <c r="I76" s="1392">
        <f>G76*0.1</f>
        <v>1110</v>
      </c>
      <c r="J76" s="1395">
        <f t="shared" si="8"/>
        <v>2220</v>
      </c>
      <c r="K76" s="966">
        <f t="shared" si="9"/>
        <v>24420</v>
      </c>
      <c r="L76" s="966"/>
      <c r="M76" s="1328" t="s">
        <v>2344</v>
      </c>
      <c r="N76" s="1329">
        <v>270</v>
      </c>
      <c r="O76" s="1329">
        <v>2</v>
      </c>
      <c r="P76" s="1329">
        <v>4.5</v>
      </c>
    </row>
    <row r="77" spans="1:16" s="1329" customFormat="1" ht="24" customHeight="1">
      <c r="A77" s="1340"/>
      <c r="B77" s="1331"/>
      <c r="C77" s="801"/>
      <c r="D77" s="801"/>
      <c r="E77" s="1022"/>
      <c r="F77" s="1333" t="s">
        <v>240</v>
      </c>
      <c r="G77" s="1392"/>
      <c r="H77" s="864"/>
      <c r="I77" s="1392"/>
      <c r="J77" s="1395">
        <f t="shared" si="8"/>
        <v>0</v>
      </c>
      <c r="K77" s="966">
        <f t="shared" si="9"/>
        <v>0</v>
      </c>
      <c r="L77" s="966"/>
      <c r="M77" s="1328"/>
    </row>
    <row r="78" spans="1:16" s="1329" customFormat="1" ht="24" customHeight="1">
      <c r="A78" s="1330" t="s">
        <v>1924</v>
      </c>
      <c r="B78" s="1331" t="s">
        <v>2158</v>
      </c>
      <c r="C78" s="801"/>
      <c r="D78" s="801"/>
      <c r="E78" s="1022"/>
      <c r="F78" s="1333"/>
      <c r="G78" s="1392"/>
      <c r="H78" s="864"/>
      <c r="I78" s="1392"/>
      <c r="J78" s="1393"/>
      <c r="K78" s="1022"/>
      <c r="L78" s="1022"/>
      <c r="M78" s="1328"/>
    </row>
    <row r="79" spans="1:16" s="1329" customFormat="1" ht="24" customHeight="1">
      <c r="A79" s="1330"/>
      <c r="B79" s="1331" t="s">
        <v>2345</v>
      </c>
      <c r="C79" s="801"/>
      <c r="D79" s="801"/>
      <c r="E79" s="1022">
        <v>3</v>
      </c>
      <c r="F79" s="1333" t="s">
        <v>240</v>
      </c>
      <c r="G79" s="1392">
        <v>3000</v>
      </c>
      <c r="H79" s="864">
        <f>G79*E79</f>
        <v>9000</v>
      </c>
      <c r="I79" s="1396"/>
      <c r="J79" s="1395"/>
      <c r="K79" s="966">
        <f t="shared" ref="K79:K80" si="11">H79+J79</f>
        <v>9000</v>
      </c>
      <c r="L79" s="1022"/>
      <c r="M79" s="1328"/>
    </row>
    <row r="80" spans="1:16" s="1329" customFormat="1" ht="24" customHeight="1">
      <c r="A80" s="1340" t="s">
        <v>2020</v>
      </c>
      <c r="B80" s="1331" t="s">
        <v>1996</v>
      </c>
      <c r="C80" s="801"/>
      <c r="D80" s="801"/>
      <c r="E80" s="1022">
        <f>SUM(E75:E76)*4</f>
        <v>12</v>
      </c>
      <c r="F80" s="1333" t="s">
        <v>240</v>
      </c>
      <c r="G80" s="1392">
        <v>800</v>
      </c>
      <c r="H80" s="864">
        <f>G80*E80</f>
        <v>9600</v>
      </c>
      <c r="I80" s="1392">
        <f>G80*0.3</f>
        <v>240</v>
      </c>
      <c r="J80" s="1395">
        <f t="shared" ref="J80" si="12">ROUND(E80*I80,)</f>
        <v>2880</v>
      </c>
      <c r="K80" s="966">
        <f t="shared" si="11"/>
        <v>12480</v>
      </c>
      <c r="L80" s="1022"/>
      <c r="M80" s="1328"/>
    </row>
    <row r="81" spans="1:13" s="1329" customFormat="1" ht="24" customHeight="1">
      <c r="A81" s="1340"/>
      <c r="B81" s="1331" t="s">
        <v>957</v>
      </c>
      <c r="C81" s="801"/>
      <c r="D81" s="801"/>
      <c r="E81" s="1022"/>
      <c r="F81" s="1333"/>
      <c r="G81" s="1392"/>
      <c r="H81" s="751"/>
      <c r="I81" s="1392"/>
      <c r="J81" s="1393"/>
      <c r="K81" s="1022"/>
      <c r="L81" s="1022"/>
      <c r="M81" s="1328"/>
    </row>
    <row r="82" spans="1:13" s="1329" customFormat="1" ht="24" customHeight="1">
      <c r="A82" s="1340"/>
      <c r="B82" s="1331" t="s">
        <v>958</v>
      </c>
      <c r="C82" s="801"/>
      <c r="D82" s="801"/>
      <c r="E82" s="1022"/>
      <c r="F82" s="1333"/>
      <c r="G82" s="1392"/>
      <c r="H82" s="751"/>
      <c r="I82" s="1392"/>
      <c r="J82" s="1393"/>
      <c r="K82" s="1022"/>
      <c r="L82" s="1022"/>
      <c r="M82" s="1328"/>
    </row>
    <row r="83" spans="1:13" s="1329" customFormat="1" ht="24" customHeight="1">
      <c r="A83" s="1397"/>
      <c r="B83" s="1335" t="s">
        <v>958</v>
      </c>
      <c r="C83" s="890"/>
      <c r="D83" s="890"/>
      <c r="E83" s="1080"/>
      <c r="F83" s="1338"/>
      <c r="G83" s="1398"/>
      <c r="H83" s="765"/>
      <c r="I83" s="1398"/>
      <c r="J83" s="1399"/>
      <c r="K83" s="1080"/>
      <c r="L83" s="1080"/>
      <c r="M83" s="1328"/>
    </row>
    <row r="84" spans="1:13" s="714" customFormat="1" ht="30" customHeight="1">
      <c r="A84" s="1166"/>
      <c r="B84" s="2475" t="str">
        <f>"รวมราคารายการที่ "&amp;A73</f>
        <v>รวมราคารายการที่ 7.3</v>
      </c>
      <c r="C84" s="2476"/>
      <c r="D84" s="2476"/>
      <c r="E84" s="1167"/>
      <c r="F84" s="1381"/>
      <c r="G84" s="1168"/>
      <c r="H84" s="1169">
        <f>SUM(H74:H83)</f>
        <v>59100</v>
      </c>
      <c r="I84" s="1170"/>
      <c r="J84" s="1382">
        <f>SUM(J74:J83)</f>
        <v>6930</v>
      </c>
      <c r="K84" s="1171">
        <f>SUM(K74:K83)</f>
        <v>66030</v>
      </c>
      <c r="L84" s="1171"/>
      <c r="M84" s="1322"/>
    </row>
    <row r="85" spans="1:13" s="1329" customFormat="1" ht="24" customHeight="1">
      <c r="A85" s="1325" t="s">
        <v>2027</v>
      </c>
      <c r="B85" s="1326" t="s">
        <v>1903</v>
      </c>
      <c r="C85" s="901"/>
      <c r="D85" s="901"/>
      <c r="E85" s="1019"/>
      <c r="F85" s="1310"/>
      <c r="G85" s="1400"/>
      <c r="H85" s="864"/>
      <c r="I85" s="1400"/>
      <c r="J85" s="1395"/>
      <c r="K85" s="966"/>
      <c r="L85" s="1019"/>
      <c r="M85" s="1328"/>
    </row>
    <row r="86" spans="1:13" s="1329" customFormat="1" ht="24" customHeight="1">
      <c r="A86" s="1330" t="s">
        <v>1928</v>
      </c>
      <c r="B86" s="1331" t="s">
        <v>1998</v>
      </c>
      <c r="C86" s="801"/>
      <c r="D86" s="801"/>
      <c r="E86" s="1019"/>
      <c r="F86" s="1310"/>
      <c r="G86" s="1400"/>
      <c r="H86" s="864"/>
      <c r="I86" s="1400"/>
      <c r="J86" s="1395"/>
      <c r="K86" s="966"/>
      <c r="L86" s="1019"/>
      <c r="M86" s="1328"/>
    </row>
    <row r="87" spans="1:13" s="1329" customFormat="1" ht="24" customHeight="1">
      <c r="A87" s="1330" t="s">
        <v>2160</v>
      </c>
      <c r="B87" s="1331" t="s">
        <v>1999</v>
      </c>
      <c r="C87" s="801"/>
      <c r="D87" s="801"/>
      <c r="E87" s="1019"/>
      <c r="F87" s="1310"/>
      <c r="G87" s="1400"/>
      <c r="H87" s="864"/>
      <c r="I87" s="1400"/>
      <c r="J87" s="1395"/>
      <c r="K87" s="966"/>
      <c r="L87" s="1019"/>
      <c r="M87" s="1328"/>
    </row>
    <row r="88" spans="1:13" s="1329" customFormat="1" ht="24" customHeight="1">
      <c r="A88" s="1330"/>
      <c r="B88" s="1331" t="s">
        <v>1715</v>
      </c>
      <c r="C88" s="801"/>
      <c r="D88" s="801"/>
      <c r="E88" s="1019">
        <f>E79</f>
        <v>3</v>
      </c>
      <c r="F88" s="1333" t="s">
        <v>240</v>
      </c>
      <c r="G88" s="1392">
        <v>3672</v>
      </c>
      <c r="H88" s="864">
        <f t="shared" ref="H88" si="13">ROUND(E88*G88,)</f>
        <v>11016</v>
      </c>
      <c r="I88" s="1392">
        <v>150</v>
      </c>
      <c r="J88" s="1395">
        <f t="shared" ref="J88" si="14">ROUND(E88*I88,)</f>
        <v>450</v>
      </c>
      <c r="K88" s="966">
        <f t="shared" ref="K88" si="15">H88+J88</f>
        <v>11466</v>
      </c>
      <c r="L88" s="1019"/>
      <c r="M88" s="1328"/>
    </row>
    <row r="89" spans="1:13" s="1329" customFormat="1" ht="24" customHeight="1">
      <c r="A89" s="1330" t="s">
        <v>2161</v>
      </c>
      <c r="B89" s="1331" t="s">
        <v>2162</v>
      </c>
      <c r="C89" s="801"/>
      <c r="D89" s="801"/>
      <c r="E89" s="1022"/>
      <c r="F89" s="1333"/>
      <c r="G89" s="1392"/>
      <c r="H89" s="751"/>
      <c r="I89" s="1392"/>
      <c r="J89" s="1393"/>
      <c r="K89" s="1022"/>
      <c r="L89" s="1022"/>
      <c r="M89" s="1328"/>
    </row>
    <row r="90" spans="1:13" s="1329" customFormat="1" ht="24" customHeight="1">
      <c r="A90" s="1340"/>
      <c r="B90" s="1331" t="s">
        <v>1747</v>
      </c>
      <c r="C90" s="801"/>
      <c r="D90" s="801"/>
      <c r="E90" s="1022">
        <f>E67+E40</f>
        <v>18</v>
      </c>
      <c r="F90" s="1333" t="s">
        <v>240</v>
      </c>
      <c r="G90" s="1392">
        <v>9310</v>
      </c>
      <c r="H90" s="864">
        <f t="shared" ref="H90" si="16">ROUND(E90*G90,)</f>
        <v>167580</v>
      </c>
      <c r="I90" s="1392">
        <v>250</v>
      </c>
      <c r="J90" s="1395">
        <f t="shared" ref="J90" si="17">ROUND(E90*I90,)</f>
        <v>4500</v>
      </c>
      <c r="K90" s="966">
        <f t="shared" ref="K90" si="18">H90+J90</f>
        <v>172080</v>
      </c>
      <c r="L90" s="1022"/>
      <c r="M90" s="1328"/>
    </row>
    <row r="91" spans="1:13" s="1329" customFormat="1" ht="24" customHeight="1">
      <c r="A91" s="1340"/>
      <c r="B91" s="1331" t="s">
        <v>957</v>
      </c>
      <c r="C91" s="801"/>
      <c r="D91" s="801"/>
      <c r="E91" s="1022"/>
      <c r="F91" s="1333"/>
      <c r="G91" s="1392"/>
      <c r="H91" s="864"/>
      <c r="I91" s="1392"/>
      <c r="J91" s="1395"/>
      <c r="K91" s="966"/>
      <c r="L91" s="1022"/>
      <c r="M91" s="1328"/>
    </row>
    <row r="92" spans="1:13" s="1329" customFormat="1" ht="24" customHeight="1">
      <c r="A92" s="1340"/>
      <c r="B92" s="1331" t="s">
        <v>958</v>
      </c>
      <c r="C92" s="801"/>
      <c r="D92" s="801"/>
      <c r="E92" s="1022"/>
      <c r="F92" s="1333"/>
      <c r="G92" s="1392"/>
      <c r="H92" s="864"/>
      <c r="I92" s="1392"/>
      <c r="J92" s="1395"/>
      <c r="K92" s="966"/>
      <c r="L92" s="1022"/>
      <c r="M92" s="1328"/>
    </row>
    <row r="93" spans="1:13" s="1329" customFormat="1" ht="24" customHeight="1">
      <c r="A93" s="1340"/>
      <c r="B93" s="1331" t="s">
        <v>958</v>
      </c>
      <c r="C93" s="801"/>
      <c r="D93" s="801"/>
      <c r="E93" s="1022"/>
      <c r="F93" s="1333"/>
      <c r="G93" s="1392"/>
      <c r="H93" s="864"/>
      <c r="I93" s="1392"/>
      <c r="J93" s="1395"/>
      <c r="K93" s="966"/>
      <c r="L93" s="1022"/>
      <c r="M93" s="1328"/>
    </row>
    <row r="94" spans="1:13" s="714" customFormat="1" ht="30" customHeight="1">
      <c r="A94" s="1166"/>
      <c r="B94" s="2475" t="str">
        <f>"รวมราคารายการที่ "&amp;A85</f>
        <v>รวมราคารายการที่ 7.4</v>
      </c>
      <c r="C94" s="2476"/>
      <c r="D94" s="2476"/>
      <c r="E94" s="1167"/>
      <c r="F94" s="1381"/>
      <c r="G94" s="1168"/>
      <c r="H94" s="1169">
        <f>SUM(H85:H93)</f>
        <v>178596</v>
      </c>
      <c r="I94" s="1170"/>
      <c r="J94" s="1382">
        <f>SUM(J85:J93)</f>
        <v>4950</v>
      </c>
      <c r="K94" s="1171">
        <f>SUM(K85:K93)</f>
        <v>183546</v>
      </c>
      <c r="L94" s="1171"/>
      <c r="M94" s="1322"/>
    </row>
    <row r="95" spans="1:13" s="1329" customFormat="1" ht="24" customHeight="1">
      <c r="A95" s="1325" t="s">
        <v>2030</v>
      </c>
      <c r="B95" s="1326" t="s">
        <v>2003</v>
      </c>
      <c r="C95" s="1347"/>
      <c r="D95" s="901"/>
      <c r="E95" s="1019"/>
      <c r="F95" s="1310"/>
      <c r="G95" s="1400"/>
      <c r="H95" s="864"/>
      <c r="I95" s="1400"/>
      <c r="J95" s="1395"/>
      <c r="K95" s="966"/>
      <c r="L95" s="1019"/>
      <c r="M95" s="1328"/>
    </row>
    <row r="96" spans="1:13" s="1329" customFormat="1" ht="24" customHeight="1">
      <c r="A96" s="1340" t="s">
        <v>1949</v>
      </c>
      <c r="B96" s="1331" t="s">
        <v>2004</v>
      </c>
      <c r="C96" s="801"/>
      <c r="D96" s="801"/>
      <c r="E96" s="1022"/>
      <c r="F96" s="1333"/>
      <c r="G96" s="1392"/>
      <c r="H96" s="751"/>
      <c r="I96" s="1392"/>
      <c r="J96" s="1393"/>
      <c r="K96" s="1022"/>
      <c r="L96" s="1022"/>
      <c r="M96" s="1328"/>
    </row>
    <row r="97" spans="1:16" s="1329" customFormat="1" ht="24" customHeight="1">
      <c r="A97" s="1340"/>
      <c r="B97" s="1331" t="str">
        <f t="shared" ref="B97:B98" si="19">"  -  "&amp;M97&amp;", ("&amp;N97&amp;" L/s)"</f>
        <v xml:space="preserve">  -  C1-3EAF-03, (1370 L/s)</v>
      </c>
      <c r="C97" s="801"/>
      <c r="D97" s="801"/>
      <c r="E97" s="1022">
        <f t="shared" ref="E97:E98" si="20">O97</f>
        <v>1</v>
      </c>
      <c r="F97" s="1333" t="s">
        <v>240</v>
      </c>
      <c r="G97" s="1400">
        <v>20000</v>
      </c>
      <c r="H97" s="864">
        <f t="shared" ref="H97:H98" si="21">ROUND(E97*G97,)</f>
        <v>20000</v>
      </c>
      <c r="I97" s="1400">
        <v>1000</v>
      </c>
      <c r="J97" s="1395">
        <f t="shared" ref="J97:J98" si="22">ROUND(E97*I97,)</f>
        <v>1000</v>
      </c>
      <c r="K97" s="966">
        <f t="shared" ref="K97:K98" si="23">H97+J97</f>
        <v>21000</v>
      </c>
      <c r="L97" s="1022"/>
      <c r="M97" s="1328" t="s">
        <v>2346</v>
      </c>
      <c r="N97" s="1329">
        <v>1370</v>
      </c>
      <c r="O97" s="1329">
        <v>1</v>
      </c>
    </row>
    <row r="98" spans="1:16" s="1329" customFormat="1" ht="24" customHeight="1">
      <c r="A98" s="1340"/>
      <c r="B98" s="1331" t="str">
        <f t="shared" si="19"/>
        <v xml:space="preserve">  -  C2-3EAF-03, (1470 L/s)</v>
      </c>
      <c r="C98" s="801"/>
      <c r="D98" s="801"/>
      <c r="E98" s="1022">
        <f t="shared" si="20"/>
        <v>1</v>
      </c>
      <c r="F98" s="1333" t="s">
        <v>240</v>
      </c>
      <c r="G98" s="1400">
        <v>26000</v>
      </c>
      <c r="H98" s="864">
        <f t="shared" si="21"/>
        <v>26000</v>
      </c>
      <c r="I98" s="1400">
        <v>1300</v>
      </c>
      <c r="J98" s="1395">
        <f t="shared" si="22"/>
        <v>1300</v>
      </c>
      <c r="K98" s="966">
        <f t="shared" si="23"/>
        <v>27300</v>
      </c>
      <c r="L98" s="1022"/>
      <c r="M98" s="1328" t="s">
        <v>2347</v>
      </c>
      <c r="N98" s="1329">
        <v>1470</v>
      </c>
      <c r="O98" s="1329">
        <v>1</v>
      </c>
    </row>
    <row r="99" spans="1:16" s="1329" customFormat="1" ht="24" customHeight="1">
      <c r="A99" s="1340" t="s">
        <v>1955</v>
      </c>
      <c r="B99" s="1331" t="s">
        <v>2021</v>
      </c>
      <c r="C99" s="801"/>
      <c r="D99" s="801"/>
      <c r="E99" s="1022"/>
      <c r="F99" s="1333"/>
      <c r="G99" s="1392"/>
      <c r="H99" s="751"/>
      <c r="I99" s="1392"/>
      <c r="J99" s="1393"/>
      <c r="K99" s="1022"/>
      <c r="L99" s="1022"/>
      <c r="M99" s="1328"/>
    </row>
    <row r="100" spans="1:16" s="1329" customFormat="1" ht="24" customHeight="1">
      <c r="A100" s="1340"/>
      <c r="B100" s="1331" t="str">
        <f t="shared" ref="B100:B103" si="24">"  -  "&amp;M100&amp;", ("&amp;N100&amp;" L/s)"</f>
        <v xml:space="preserve">  -  C1-3EAF-01, (115 L/s)</v>
      </c>
      <c r="C100" s="801"/>
      <c r="D100" s="801"/>
      <c r="E100" s="1022">
        <f t="shared" ref="E100:E103" si="25">O100</f>
        <v>1</v>
      </c>
      <c r="F100" s="1333" t="s">
        <v>240</v>
      </c>
      <c r="G100" s="1400">
        <v>1040</v>
      </c>
      <c r="H100" s="864">
        <f t="shared" ref="H100:H104" si="26">ROUND(E100*G100,)</f>
        <v>1040</v>
      </c>
      <c r="I100" s="1392">
        <v>500</v>
      </c>
      <c r="J100" s="1393">
        <f>ROUND(E100*I100,)</f>
        <v>500</v>
      </c>
      <c r="K100" s="1022">
        <f>H100+J100</f>
        <v>1540</v>
      </c>
      <c r="L100" s="1022"/>
      <c r="M100" s="1328" t="s">
        <v>2348</v>
      </c>
      <c r="N100" s="1329">
        <v>115</v>
      </c>
      <c r="O100" s="1329">
        <v>1</v>
      </c>
    </row>
    <row r="101" spans="1:16" s="1329" customFormat="1" ht="24" customHeight="1">
      <c r="A101" s="1340"/>
      <c r="B101" s="1331" t="str">
        <f t="shared" si="24"/>
        <v xml:space="preserve">  -  C1-3EAF-02, (115 L/s)</v>
      </c>
      <c r="C101" s="801"/>
      <c r="D101" s="801"/>
      <c r="E101" s="1022">
        <f t="shared" si="25"/>
        <v>1</v>
      </c>
      <c r="F101" s="1333" t="s">
        <v>240</v>
      </c>
      <c r="G101" s="1400">
        <v>1040</v>
      </c>
      <c r="H101" s="864">
        <f t="shared" si="26"/>
        <v>1040</v>
      </c>
      <c r="I101" s="1392">
        <v>500</v>
      </c>
      <c r="J101" s="1393">
        <f t="shared" ref="J101:J104" si="27">ROUND(E101*I101,)</f>
        <v>500</v>
      </c>
      <c r="K101" s="1022">
        <f t="shared" ref="K101:K104" si="28">H101+J101</f>
        <v>1540</v>
      </c>
      <c r="L101" s="1022"/>
      <c r="M101" s="1328" t="s">
        <v>2349</v>
      </c>
      <c r="N101" s="1329">
        <v>115</v>
      </c>
      <c r="O101" s="1329">
        <v>1</v>
      </c>
    </row>
    <row r="102" spans="1:16" s="1329" customFormat="1" ht="24" customHeight="1">
      <c r="A102" s="1340"/>
      <c r="B102" s="1331" t="str">
        <f t="shared" si="24"/>
        <v xml:space="preserve">  -  C2-3EAF-01, (115 L/s)</v>
      </c>
      <c r="C102" s="801"/>
      <c r="D102" s="801"/>
      <c r="E102" s="1022">
        <f t="shared" si="25"/>
        <v>1</v>
      </c>
      <c r="F102" s="1333" t="s">
        <v>240</v>
      </c>
      <c r="G102" s="1400">
        <v>1040</v>
      </c>
      <c r="H102" s="864">
        <f t="shared" si="26"/>
        <v>1040</v>
      </c>
      <c r="I102" s="1392">
        <v>500</v>
      </c>
      <c r="J102" s="1393">
        <f t="shared" si="27"/>
        <v>500</v>
      </c>
      <c r="K102" s="1022">
        <f t="shared" si="28"/>
        <v>1540</v>
      </c>
      <c r="L102" s="1022"/>
      <c r="M102" s="1328" t="s">
        <v>2350</v>
      </c>
      <c r="N102" s="1329">
        <v>115</v>
      </c>
      <c r="O102" s="1329">
        <v>1</v>
      </c>
    </row>
    <row r="103" spans="1:16" s="1329" customFormat="1" ht="24" customHeight="1">
      <c r="A103" s="1340"/>
      <c r="B103" s="1331" t="str">
        <f t="shared" si="24"/>
        <v xml:space="preserve">  -  C2-3EAF-02, (115 L/s)</v>
      </c>
      <c r="C103" s="801"/>
      <c r="D103" s="801"/>
      <c r="E103" s="1022">
        <f t="shared" si="25"/>
        <v>1</v>
      </c>
      <c r="F103" s="1333" t="s">
        <v>240</v>
      </c>
      <c r="G103" s="1400">
        <v>1040</v>
      </c>
      <c r="H103" s="864">
        <f t="shared" si="26"/>
        <v>1040</v>
      </c>
      <c r="I103" s="1392">
        <v>500</v>
      </c>
      <c r="J103" s="1393">
        <f t="shared" si="27"/>
        <v>500</v>
      </c>
      <c r="K103" s="1022">
        <f t="shared" si="28"/>
        <v>1540</v>
      </c>
      <c r="L103" s="1022"/>
      <c r="M103" s="1328" t="s">
        <v>2351</v>
      </c>
      <c r="N103" s="1329">
        <v>115</v>
      </c>
      <c r="O103" s="1329">
        <v>1</v>
      </c>
      <c r="P103" s="1404"/>
    </row>
    <row r="104" spans="1:16" s="1329" customFormat="1" ht="24" customHeight="1">
      <c r="A104" s="1340" t="s">
        <v>2173</v>
      </c>
      <c r="B104" s="1331" t="s">
        <v>1996</v>
      </c>
      <c r="C104" s="801"/>
      <c r="D104" s="801"/>
      <c r="E104" s="1022">
        <f>SUM(E97:E98)</f>
        <v>2</v>
      </c>
      <c r="F104" s="1333" t="s">
        <v>948</v>
      </c>
      <c r="G104" s="1392">
        <v>800</v>
      </c>
      <c r="H104" s="751">
        <f t="shared" si="26"/>
        <v>1600</v>
      </c>
      <c r="I104" s="1392">
        <f>G104*0.3</f>
        <v>240</v>
      </c>
      <c r="J104" s="1393">
        <f t="shared" si="27"/>
        <v>480</v>
      </c>
      <c r="K104" s="1022">
        <f t="shared" si="28"/>
        <v>2080</v>
      </c>
      <c r="L104" s="1022"/>
      <c r="M104" s="1328"/>
    </row>
    <row r="105" spans="1:16" s="1329" customFormat="1" ht="24" customHeight="1">
      <c r="A105" s="1340"/>
      <c r="B105" s="1331" t="s">
        <v>957</v>
      </c>
      <c r="C105" s="801"/>
      <c r="D105" s="801"/>
      <c r="E105" s="1022"/>
      <c r="F105" s="1333"/>
      <c r="G105" s="1392"/>
      <c r="H105" s="751"/>
      <c r="I105" s="1392"/>
      <c r="J105" s="1393"/>
      <c r="K105" s="1022"/>
      <c r="L105" s="1022"/>
      <c r="M105" s="1328"/>
    </row>
    <row r="106" spans="1:16" s="1329" customFormat="1" ht="24" customHeight="1">
      <c r="A106" s="1340"/>
      <c r="B106" s="1331" t="s">
        <v>958</v>
      </c>
      <c r="C106" s="801"/>
      <c r="D106" s="801"/>
      <c r="E106" s="1022"/>
      <c r="F106" s="1333"/>
      <c r="G106" s="1392"/>
      <c r="H106" s="751"/>
      <c r="I106" s="1392"/>
      <c r="J106" s="1393"/>
      <c r="K106" s="1022"/>
      <c r="L106" s="1022"/>
      <c r="M106" s="1328"/>
    </row>
    <row r="107" spans="1:16" s="1329" customFormat="1" ht="24" customHeight="1">
      <c r="A107" s="1340"/>
      <c r="B107" s="1331" t="s">
        <v>958</v>
      </c>
      <c r="C107" s="801"/>
      <c r="D107" s="801"/>
      <c r="E107" s="1022"/>
      <c r="F107" s="1333"/>
      <c r="G107" s="1392"/>
      <c r="H107" s="751"/>
      <c r="I107" s="1392"/>
      <c r="J107" s="1393"/>
      <c r="K107" s="1022"/>
      <c r="L107" s="1022"/>
      <c r="M107" s="1328"/>
    </row>
    <row r="108" spans="1:16" s="714" customFormat="1" ht="30" customHeight="1">
      <c r="A108" s="1166"/>
      <c r="B108" s="2475" t="str">
        <f>"รวมราคารายการที่ "&amp;A95</f>
        <v>รวมราคารายการที่ 7.5</v>
      </c>
      <c r="C108" s="2476"/>
      <c r="D108" s="2476"/>
      <c r="E108" s="1167"/>
      <c r="F108" s="1381"/>
      <c r="G108" s="1168"/>
      <c r="H108" s="1169">
        <f>SUM(H95:H107)</f>
        <v>51760</v>
      </c>
      <c r="I108" s="1170"/>
      <c r="J108" s="1382">
        <f>SUM(J95:J107)</f>
        <v>4780</v>
      </c>
      <c r="K108" s="1171">
        <f>SUM(K95:K107)</f>
        <v>56540</v>
      </c>
      <c r="L108" s="1171"/>
      <c r="M108" s="1322"/>
    </row>
    <row r="109" spans="1:16" s="1329" customFormat="1" ht="24" customHeight="1">
      <c r="A109" s="1325" t="s">
        <v>2032</v>
      </c>
      <c r="B109" s="1326" t="s">
        <v>2174</v>
      </c>
      <c r="C109" s="1347"/>
      <c r="D109" s="901"/>
      <c r="E109" s="1019"/>
      <c r="F109" s="1310"/>
      <c r="G109" s="1400"/>
      <c r="H109" s="864"/>
      <c r="I109" s="1400"/>
      <c r="J109" s="1395"/>
      <c r="K109" s="966"/>
      <c r="L109" s="1019"/>
      <c r="M109" s="1328"/>
    </row>
    <row r="110" spans="1:16" s="1329" customFormat="1" ht="24" customHeight="1">
      <c r="A110" s="1330" t="s">
        <v>1960</v>
      </c>
      <c r="B110" s="1331" t="s">
        <v>2175</v>
      </c>
      <c r="C110" s="801"/>
      <c r="D110" s="801"/>
      <c r="E110" s="1022"/>
      <c r="F110" s="1333"/>
      <c r="G110" s="1392"/>
      <c r="H110" s="751"/>
      <c r="I110" s="1392"/>
      <c r="J110" s="1393"/>
      <c r="K110" s="1022"/>
      <c r="L110" s="1022"/>
      <c r="M110" s="1328"/>
    </row>
    <row r="111" spans="1:16" s="1329" customFormat="1" ht="24" customHeight="1">
      <c r="A111" s="1330"/>
      <c r="B111" s="1331" t="s">
        <v>2176</v>
      </c>
      <c r="C111" s="801"/>
      <c r="D111" s="801"/>
      <c r="E111" s="1022">
        <f>E67+E79</f>
        <v>19</v>
      </c>
      <c r="F111" s="1333" t="s">
        <v>240</v>
      </c>
      <c r="G111" s="1497">
        <v>800</v>
      </c>
      <c r="H111" s="1180">
        <f>E111*G111</f>
        <v>15200</v>
      </c>
      <c r="I111" s="849">
        <v>150</v>
      </c>
      <c r="J111" s="1498">
        <f>I111*E111</f>
        <v>2850</v>
      </c>
      <c r="K111" s="1182">
        <f>H111+J111</f>
        <v>18050</v>
      </c>
      <c r="L111" s="1022"/>
      <c r="M111" s="1328"/>
    </row>
    <row r="112" spans="1:16" s="1329" customFormat="1" ht="24" customHeight="1">
      <c r="A112" s="1330" t="s">
        <v>1964</v>
      </c>
      <c r="B112" s="1331" t="s">
        <v>2177</v>
      </c>
      <c r="C112" s="801"/>
      <c r="D112" s="801"/>
      <c r="E112" s="1022"/>
      <c r="F112" s="1333"/>
      <c r="G112" s="1392"/>
      <c r="H112" s="751"/>
      <c r="I112" s="1392"/>
      <c r="J112" s="1393"/>
      <c r="K112" s="1022"/>
      <c r="L112" s="1022"/>
      <c r="M112" s="1328"/>
    </row>
    <row r="113" spans="1:13" s="1329" customFormat="1" ht="24" customHeight="1">
      <c r="A113" s="1330"/>
      <c r="B113" s="1331" t="s">
        <v>2178</v>
      </c>
      <c r="C113" s="801"/>
      <c r="D113" s="801"/>
      <c r="E113" s="1022">
        <f>E40</f>
        <v>2</v>
      </c>
      <c r="F113" s="1333" t="s">
        <v>240</v>
      </c>
      <c r="G113" s="1497">
        <v>2600</v>
      </c>
      <c r="H113" s="1180">
        <f>E113*G113</f>
        <v>5200</v>
      </c>
      <c r="I113" s="849">
        <v>200</v>
      </c>
      <c r="J113" s="1498">
        <f>I113*E113</f>
        <v>400</v>
      </c>
      <c r="K113" s="1182">
        <f>H113+J113</f>
        <v>5600</v>
      </c>
      <c r="L113" s="1022"/>
      <c r="M113" s="1328"/>
    </row>
    <row r="114" spans="1:13" s="1329" customFormat="1" ht="24" customHeight="1">
      <c r="A114" s="1330" t="s">
        <v>1964</v>
      </c>
      <c r="B114" s="1331" t="s">
        <v>2177</v>
      </c>
      <c r="C114" s="801"/>
      <c r="D114" s="801"/>
      <c r="E114" s="1022"/>
      <c r="F114" s="1333"/>
      <c r="G114" s="1392"/>
      <c r="H114" s="751"/>
      <c r="I114" s="1392"/>
      <c r="J114" s="1393"/>
      <c r="K114" s="1022"/>
      <c r="L114" s="1022"/>
      <c r="M114" s="1328"/>
    </row>
    <row r="115" spans="1:13" s="1329" customFormat="1" ht="24" customHeight="1">
      <c r="A115" s="1330"/>
      <c r="B115" s="1331" t="s">
        <v>957</v>
      </c>
      <c r="C115" s="801"/>
      <c r="D115" s="801"/>
      <c r="E115" s="1022"/>
      <c r="F115" s="1333"/>
      <c r="G115" s="1392"/>
      <c r="H115" s="751"/>
      <c r="I115" s="1392"/>
      <c r="J115" s="1393"/>
      <c r="K115" s="1022"/>
      <c r="L115" s="1022"/>
      <c r="M115" s="1328"/>
    </row>
    <row r="116" spans="1:13" s="1329" customFormat="1" ht="24" customHeight="1">
      <c r="A116" s="1340"/>
      <c r="B116" s="1331" t="s">
        <v>1102</v>
      </c>
      <c r="C116" s="801"/>
      <c r="D116" s="801"/>
      <c r="E116" s="1022"/>
      <c r="F116" s="1333"/>
      <c r="G116" s="1392"/>
      <c r="H116" s="751"/>
      <c r="I116" s="1392"/>
      <c r="J116" s="1393"/>
      <c r="K116" s="1022"/>
      <c r="L116" s="1022"/>
      <c r="M116" s="1328"/>
    </row>
    <row r="117" spans="1:13" s="1329" customFormat="1" ht="24" customHeight="1">
      <c r="A117" s="1340"/>
      <c r="B117" s="1331" t="s">
        <v>1102</v>
      </c>
      <c r="C117" s="801"/>
      <c r="D117" s="801"/>
      <c r="E117" s="1022"/>
      <c r="F117" s="1333"/>
      <c r="G117" s="1392"/>
      <c r="H117" s="751"/>
      <c r="I117" s="1392"/>
      <c r="J117" s="1393"/>
      <c r="K117" s="1022"/>
      <c r="L117" s="1022"/>
      <c r="M117" s="1328"/>
    </row>
    <row r="118" spans="1:13" s="714" customFormat="1" ht="30" customHeight="1">
      <c r="A118" s="1166"/>
      <c r="B118" s="2475" t="str">
        <f>"รวมราคารายการที่ "&amp;A109</f>
        <v>รวมราคารายการที่ 7.6</v>
      </c>
      <c r="C118" s="2476"/>
      <c r="D118" s="2476"/>
      <c r="E118" s="1167"/>
      <c r="F118" s="1381"/>
      <c r="G118" s="1168"/>
      <c r="H118" s="1169">
        <f>SUM(H109:H117)</f>
        <v>20400</v>
      </c>
      <c r="I118" s="1170"/>
      <c r="J118" s="1382">
        <f>SUM(J109:J117)</f>
        <v>3250</v>
      </c>
      <c r="K118" s="1171">
        <f>SUM(K109:K117)</f>
        <v>23650</v>
      </c>
      <c r="L118" s="1171"/>
      <c r="M118" s="1322"/>
    </row>
    <row r="119" spans="1:13" s="1329" customFormat="1" ht="24" customHeight="1">
      <c r="A119" s="1325" t="s">
        <v>1967</v>
      </c>
      <c r="B119" s="1326" t="s">
        <v>1909</v>
      </c>
      <c r="C119" s="901"/>
      <c r="D119" s="901"/>
      <c r="E119" s="1019"/>
      <c r="F119" s="1310"/>
      <c r="G119" s="1400"/>
      <c r="H119" s="864"/>
      <c r="I119" s="1400"/>
      <c r="J119" s="1395"/>
      <c r="K119" s="966"/>
      <c r="L119" s="1019"/>
      <c r="M119" s="1328"/>
    </row>
    <row r="120" spans="1:13" s="1329" customFormat="1" ht="24" customHeight="1">
      <c r="A120" s="1330" t="s">
        <v>1969</v>
      </c>
      <c r="B120" s="1331" t="s">
        <v>1911</v>
      </c>
      <c r="C120" s="801"/>
      <c r="D120" s="801"/>
      <c r="E120" s="1022"/>
      <c r="F120" s="1333"/>
      <c r="G120" s="1392"/>
      <c r="H120" s="751"/>
      <c r="I120" s="1392"/>
      <c r="J120" s="1393"/>
      <c r="K120" s="1022"/>
      <c r="L120" s="1022"/>
      <c r="M120" s="1328"/>
    </row>
    <row r="121" spans="1:13" s="1329" customFormat="1" ht="24" customHeight="1">
      <c r="A121" s="1481"/>
      <c r="B121" s="1331" t="s">
        <v>2028</v>
      </c>
      <c r="C121" s="801"/>
      <c r="D121" s="801"/>
      <c r="E121" s="1019"/>
      <c r="F121" s="1348" t="s">
        <v>438</v>
      </c>
      <c r="G121" s="1479">
        <v>69.5</v>
      </c>
      <c r="H121" s="1499">
        <f>ROUND(E121*G121,)</f>
        <v>0</v>
      </c>
      <c r="I121" s="1480">
        <v>30</v>
      </c>
      <c r="J121" s="1500">
        <f>ROUND(E121*I121,)</f>
        <v>0</v>
      </c>
      <c r="K121" s="1403">
        <f t="shared" ref="K121:K132" si="29">H121+J121</f>
        <v>0</v>
      </c>
      <c r="L121" s="1019"/>
      <c r="M121" s="1328"/>
    </row>
    <row r="122" spans="1:13" s="1329" customFormat="1" ht="24" customHeight="1">
      <c r="A122" s="1481"/>
      <c r="B122" s="1331" t="s">
        <v>1822</v>
      </c>
      <c r="C122" s="801"/>
      <c r="D122" s="801"/>
      <c r="E122" s="1019"/>
      <c r="F122" s="1348" t="s">
        <v>438</v>
      </c>
      <c r="G122" s="1257">
        <v>103.5</v>
      </c>
      <c r="H122" s="1499">
        <f t="shared" ref="H122:H140" si="30">ROUND(E122*G122,)</f>
        <v>0</v>
      </c>
      <c r="I122" s="849">
        <v>45</v>
      </c>
      <c r="J122" s="1500">
        <f t="shared" ref="J122:J132" si="31">ROUND(E122*I122,)</f>
        <v>0</v>
      </c>
      <c r="K122" s="1403">
        <f t="shared" si="29"/>
        <v>0</v>
      </c>
      <c r="L122" s="1019"/>
      <c r="M122" s="1328"/>
    </row>
    <row r="123" spans="1:13" s="1329" customFormat="1" ht="24" customHeight="1">
      <c r="A123" s="1481"/>
      <c r="B123" s="1331" t="s">
        <v>1186</v>
      </c>
      <c r="C123" s="801"/>
      <c r="D123" s="801"/>
      <c r="E123" s="1019">
        <v>14</v>
      </c>
      <c r="F123" s="1348" t="s">
        <v>438</v>
      </c>
      <c r="G123" s="1257">
        <v>140</v>
      </c>
      <c r="H123" s="1499">
        <f t="shared" si="30"/>
        <v>1960</v>
      </c>
      <c r="I123" s="849">
        <v>60</v>
      </c>
      <c r="J123" s="1500">
        <f t="shared" si="31"/>
        <v>840</v>
      </c>
      <c r="K123" s="1403">
        <f t="shared" si="29"/>
        <v>2800</v>
      </c>
      <c r="L123" s="1019"/>
      <c r="M123" s="1328"/>
    </row>
    <row r="124" spans="1:13" s="1329" customFormat="1" ht="24" customHeight="1">
      <c r="A124" s="1481"/>
      <c r="B124" s="1331" t="s">
        <v>1187</v>
      </c>
      <c r="C124" s="801"/>
      <c r="D124" s="801"/>
      <c r="E124" s="1019">
        <v>187</v>
      </c>
      <c r="F124" s="1348" t="s">
        <v>438</v>
      </c>
      <c r="G124" s="1402">
        <v>168</v>
      </c>
      <c r="H124" s="1499">
        <f t="shared" si="30"/>
        <v>31416</v>
      </c>
      <c r="I124" s="1496">
        <v>70</v>
      </c>
      <c r="J124" s="1500">
        <f t="shared" si="31"/>
        <v>13090</v>
      </c>
      <c r="K124" s="1403">
        <f t="shared" si="29"/>
        <v>44506</v>
      </c>
      <c r="L124" s="1019"/>
      <c r="M124" s="1328"/>
    </row>
    <row r="125" spans="1:13" s="1329" customFormat="1" ht="24" customHeight="1">
      <c r="A125" s="1481"/>
      <c r="B125" s="1331" t="s">
        <v>1188</v>
      </c>
      <c r="C125" s="801"/>
      <c r="D125" s="801"/>
      <c r="E125" s="1019">
        <v>85</v>
      </c>
      <c r="F125" s="1348" t="s">
        <v>438</v>
      </c>
      <c r="G125" s="1402">
        <v>225</v>
      </c>
      <c r="H125" s="1499">
        <f t="shared" si="30"/>
        <v>19125</v>
      </c>
      <c r="I125" s="1496">
        <v>95</v>
      </c>
      <c r="J125" s="1500">
        <f t="shared" si="31"/>
        <v>8075</v>
      </c>
      <c r="K125" s="1403">
        <f t="shared" si="29"/>
        <v>27200</v>
      </c>
      <c r="L125" s="1019"/>
      <c r="M125" s="1328"/>
    </row>
    <row r="126" spans="1:13" s="1329" customFormat="1" ht="24" customHeight="1">
      <c r="A126" s="1330"/>
      <c r="B126" s="1331" t="s">
        <v>1189</v>
      </c>
      <c r="C126" s="801"/>
      <c r="D126" s="801"/>
      <c r="E126" s="1022">
        <v>73</v>
      </c>
      <c r="F126" s="1249" t="s">
        <v>438</v>
      </c>
      <c r="G126" s="1400">
        <v>357</v>
      </c>
      <c r="H126" s="1499">
        <f t="shared" si="30"/>
        <v>26061</v>
      </c>
      <c r="I126" s="1392">
        <v>150</v>
      </c>
      <c r="J126" s="1500">
        <f t="shared" si="31"/>
        <v>10950</v>
      </c>
      <c r="K126" s="1403">
        <f t="shared" si="29"/>
        <v>37011</v>
      </c>
      <c r="L126" s="1022"/>
      <c r="M126" s="1328"/>
    </row>
    <row r="127" spans="1:13" s="1329" customFormat="1" ht="24" customHeight="1">
      <c r="A127" s="1330"/>
      <c r="B127" s="1331" t="s">
        <v>1190</v>
      </c>
      <c r="C127" s="801"/>
      <c r="D127" s="801"/>
      <c r="E127" s="1022">
        <v>181</v>
      </c>
      <c r="F127" s="1249" t="s">
        <v>438</v>
      </c>
      <c r="G127" s="1400">
        <v>467</v>
      </c>
      <c r="H127" s="1499">
        <f t="shared" si="30"/>
        <v>84527</v>
      </c>
      <c r="I127" s="1392">
        <v>200</v>
      </c>
      <c r="J127" s="1500">
        <f t="shared" si="31"/>
        <v>36200</v>
      </c>
      <c r="K127" s="1403">
        <f t="shared" si="29"/>
        <v>120727</v>
      </c>
      <c r="L127" s="1022"/>
      <c r="M127" s="1328"/>
    </row>
    <row r="128" spans="1:13" s="1329" customFormat="1" ht="24" customHeight="1">
      <c r="A128" s="1330"/>
      <c r="B128" s="1331" t="s">
        <v>951</v>
      </c>
      <c r="C128" s="801"/>
      <c r="D128" s="801"/>
      <c r="E128" s="1022">
        <v>169</v>
      </c>
      <c r="F128" s="1249" t="s">
        <v>438</v>
      </c>
      <c r="G128" s="1400">
        <v>650</v>
      </c>
      <c r="H128" s="1499">
        <f t="shared" si="30"/>
        <v>109850</v>
      </c>
      <c r="I128" s="1392">
        <v>280</v>
      </c>
      <c r="J128" s="1500">
        <f t="shared" si="31"/>
        <v>47320</v>
      </c>
      <c r="K128" s="1403">
        <f t="shared" si="29"/>
        <v>157170</v>
      </c>
      <c r="L128" s="1022"/>
      <c r="M128" s="1328"/>
    </row>
    <row r="129" spans="1:15" s="1329" customFormat="1" ht="24" customHeight="1">
      <c r="A129" s="1330"/>
      <c r="B129" s="1331" t="s">
        <v>1809</v>
      </c>
      <c r="C129" s="801"/>
      <c r="D129" s="801"/>
      <c r="E129" s="1022"/>
      <c r="F129" s="1249" t="s">
        <v>438</v>
      </c>
      <c r="G129" s="1392">
        <v>1168</v>
      </c>
      <c r="H129" s="1499">
        <f t="shared" si="30"/>
        <v>0</v>
      </c>
      <c r="I129" s="1392">
        <v>420</v>
      </c>
      <c r="J129" s="1500">
        <f t="shared" si="31"/>
        <v>0</v>
      </c>
      <c r="K129" s="1403">
        <f t="shared" si="29"/>
        <v>0</v>
      </c>
      <c r="L129" s="1022"/>
      <c r="M129" s="1328"/>
    </row>
    <row r="130" spans="1:15" s="1329" customFormat="1" ht="24" customHeight="1">
      <c r="A130" s="1330"/>
      <c r="B130" s="1331" t="s">
        <v>1645</v>
      </c>
      <c r="C130" s="801"/>
      <c r="D130" s="801"/>
      <c r="E130" s="1019">
        <v>1</v>
      </c>
      <c r="F130" s="1310" t="s">
        <v>948</v>
      </c>
      <c r="G130" s="1402">
        <f>SUM(H121:H129)*50%</f>
        <v>136469.5</v>
      </c>
      <c r="H130" s="1499">
        <f t="shared" si="30"/>
        <v>136470</v>
      </c>
      <c r="I130" s="1402">
        <f>ROUND(G130*0.3,)</f>
        <v>40941</v>
      </c>
      <c r="J130" s="1500">
        <f t="shared" si="31"/>
        <v>40941</v>
      </c>
      <c r="K130" s="1403">
        <f t="shared" si="29"/>
        <v>177411</v>
      </c>
      <c r="L130" s="1022"/>
      <c r="M130" s="1328"/>
    </row>
    <row r="131" spans="1:15" s="1329" customFormat="1" ht="24" customHeight="1">
      <c r="A131" s="1330"/>
      <c r="B131" s="1331" t="s">
        <v>1646</v>
      </c>
      <c r="C131" s="801"/>
      <c r="D131" s="801"/>
      <c r="E131" s="1019">
        <v>1</v>
      </c>
      <c r="F131" s="1310" t="s">
        <v>948</v>
      </c>
      <c r="G131" s="1402">
        <f>SUM(H121:H129)*20%</f>
        <v>54587.8</v>
      </c>
      <c r="H131" s="905">
        <f t="shared" si="30"/>
        <v>54588</v>
      </c>
      <c r="I131" s="1402">
        <f>ROUND(SUM(J121:J130)*20%,)</f>
        <v>31483</v>
      </c>
      <c r="J131" s="1500">
        <f t="shared" si="31"/>
        <v>31483</v>
      </c>
      <c r="K131" s="1403">
        <f t="shared" si="29"/>
        <v>86071</v>
      </c>
      <c r="L131" s="1022"/>
      <c r="M131" s="1328"/>
    </row>
    <row r="132" spans="1:15" s="1329" customFormat="1" ht="24" customHeight="1">
      <c r="A132" s="1330"/>
      <c r="B132" s="1331" t="s">
        <v>1647</v>
      </c>
      <c r="C132" s="801"/>
      <c r="D132" s="801"/>
      <c r="E132" s="1019">
        <v>1</v>
      </c>
      <c r="F132" s="1310" t="s">
        <v>948</v>
      </c>
      <c r="G132" s="1402">
        <f>SUM(H121:H129)*10%</f>
        <v>27293.9</v>
      </c>
      <c r="H132" s="905">
        <f t="shared" si="30"/>
        <v>27294</v>
      </c>
      <c r="I132" s="1402">
        <f>ROUND(SUM(J121:J130)*10%,)</f>
        <v>15742</v>
      </c>
      <c r="J132" s="1500">
        <f t="shared" si="31"/>
        <v>15742</v>
      </c>
      <c r="K132" s="1403">
        <f t="shared" si="29"/>
        <v>43036</v>
      </c>
      <c r="L132" s="1022"/>
      <c r="M132" s="1328"/>
    </row>
    <row r="133" spans="1:15" s="1329" customFormat="1" ht="24" customHeight="1">
      <c r="A133" s="1330" t="s">
        <v>1974</v>
      </c>
      <c r="B133" s="1331" t="s">
        <v>1917</v>
      </c>
      <c r="C133" s="801"/>
      <c r="D133" s="801"/>
      <c r="E133" s="1022"/>
      <c r="F133" s="1333"/>
      <c r="G133" s="1392"/>
      <c r="H133" s="751"/>
      <c r="I133" s="1392"/>
      <c r="J133" s="1393"/>
      <c r="K133" s="1022"/>
      <c r="L133" s="1022"/>
      <c r="M133" s="1328"/>
    </row>
    <row r="134" spans="1:15" s="1329" customFormat="1" ht="24" customHeight="1">
      <c r="A134" s="1330"/>
      <c r="B134" s="1331" t="s">
        <v>1822</v>
      </c>
      <c r="C134" s="801"/>
      <c r="D134" s="801"/>
      <c r="E134" s="1022"/>
      <c r="F134" s="1249" t="s">
        <v>438</v>
      </c>
      <c r="G134" s="1402">
        <v>16</v>
      </c>
      <c r="H134" s="905">
        <f t="shared" si="30"/>
        <v>0</v>
      </c>
      <c r="I134" s="1496">
        <v>30</v>
      </c>
      <c r="J134" s="1500">
        <f t="shared" ref="J134:J140" si="32">ROUND(E134*I134,)</f>
        <v>0</v>
      </c>
      <c r="K134" s="1403">
        <f t="shared" ref="K134:K140" si="33">H134+J134</f>
        <v>0</v>
      </c>
      <c r="L134" s="2273" t="s">
        <v>2974</v>
      </c>
      <c r="M134" s="1328"/>
      <c r="N134" s="1329">
        <v>63.7</v>
      </c>
      <c r="O134" s="714">
        <f>ROUND(N134/4,)</f>
        <v>16</v>
      </c>
    </row>
    <row r="135" spans="1:15" s="1329" customFormat="1" ht="24" customHeight="1">
      <c r="A135" s="1330"/>
      <c r="B135" s="1331" t="s">
        <v>2029</v>
      </c>
      <c r="C135" s="801"/>
      <c r="D135" s="801"/>
      <c r="E135" s="1022">
        <v>128</v>
      </c>
      <c r="F135" s="1249" t="s">
        <v>438</v>
      </c>
      <c r="G135" s="1402">
        <v>20</v>
      </c>
      <c r="H135" s="905">
        <f t="shared" si="30"/>
        <v>2560</v>
      </c>
      <c r="I135" s="1496">
        <v>30</v>
      </c>
      <c r="J135" s="1500">
        <f t="shared" si="32"/>
        <v>3840</v>
      </c>
      <c r="K135" s="1403">
        <f t="shared" si="33"/>
        <v>6400</v>
      </c>
      <c r="L135" s="2273" t="s">
        <v>2974</v>
      </c>
      <c r="M135" s="1328"/>
      <c r="N135" s="1719">
        <v>79.17</v>
      </c>
      <c r="O135" s="714">
        <f>ROUND(N135/4,)</f>
        <v>20</v>
      </c>
    </row>
    <row r="136" spans="1:15" s="1329" customFormat="1" ht="24" customHeight="1">
      <c r="A136" s="1330"/>
      <c r="B136" s="1331" t="s">
        <v>1187</v>
      </c>
      <c r="C136" s="801"/>
      <c r="D136" s="801"/>
      <c r="E136" s="1022">
        <v>22</v>
      </c>
      <c r="F136" s="1249" t="s">
        <v>438</v>
      </c>
      <c r="G136" s="1402">
        <v>26</v>
      </c>
      <c r="H136" s="905">
        <f t="shared" si="30"/>
        <v>572</v>
      </c>
      <c r="I136" s="1496">
        <v>30</v>
      </c>
      <c r="J136" s="1500">
        <f t="shared" si="32"/>
        <v>660</v>
      </c>
      <c r="K136" s="1403">
        <f t="shared" si="33"/>
        <v>1232</v>
      </c>
      <c r="L136" s="2273" t="s">
        <v>2974</v>
      </c>
      <c r="M136" s="1328"/>
      <c r="N136" s="1719">
        <v>103.74</v>
      </c>
      <c r="O136" s="714">
        <f>ROUND(N136/4,)</f>
        <v>26</v>
      </c>
    </row>
    <row r="137" spans="1:15" s="1329" customFormat="1" ht="24" customHeight="1">
      <c r="A137" s="1330"/>
      <c r="B137" s="1331" t="s">
        <v>1188</v>
      </c>
      <c r="C137" s="801"/>
      <c r="D137" s="801"/>
      <c r="E137" s="1022">
        <v>6</v>
      </c>
      <c r="F137" s="1249" t="s">
        <v>438</v>
      </c>
      <c r="G137" s="1402">
        <v>41</v>
      </c>
      <c r="H137" s="905">
        <f t="shared" si="30"/>
        <v>246</v>
      </c>
      <c r="I137" s="1496">
        <v>40</v>
      </c>
      <c r="J137" s="1500">
        <f t="shared" si="32"/>
        <v>240</v>
      </c>
      <c r="K137" s="1403">
        <f t="shared" si="33"/>
        <v>486</v>
      </c>
      <c r="L137" s="2273" t="s">
        <v>2974</v>
      </c>
      <c r="M137" s="1328"/>
      <c r="N137" s="1719">
        <v>163.80000000000001</v>
      </c>
      <c r="O137" s="714">
        <f>ROUND(N137/4,)</f>
        <v>41</v>
      </c>
    </row>
    <row r="138" spans="1:15" s="1329" customFormat="1" ht="24" customHeight="1">
      <c r="A138" s="1330"/>
      <c r="B138" s="1331" t="s">
        <v>1645</v>
      </c>
      <c r="C138" s="801"/>
      <c r="D138" s="801"/>
      <c r="E138" s="1022">
        <v>1</v>
      </c>
      <c r="F138" s="1333" t="s">
        <v>948</v>
      </c>
      <c r="G138" s="1402">
        <f>ROUND(SUM(H134:H137)*40%,)</f>
        <v>1351</v>
      </c>
      <c r="H138" s="905">
        <f t="shared" si="30"/>
        <v>1351</v>
      </c>
      <c r="I138" s="1402">
        <f>ROUND(G138*0.3,)</f>
        <v>405</v>
      </c>
      <c r="J138" s="1500">
        <f t="shared" si="32"/>
        <v>405</v>
      </c>
      <c r="K138" s="1403">
        <f t="shared" si="33"/>
        <v>1756</v>
      </c>
      <c r="L138" s="1022"/>
      <c r="M138" s="1328"/>
    </row>
    <row r="139" spans="1:15" s="1329" customFormat="1" ht="24" customHeight="1">
      <c r="A139" s="1330"/>
      <c r="B139" s="1331" t="s">
        <v>1646</v>
      </c>
      <c r="C139" s="801"/>
      <c r="D139" s="801"/>
      <c r="E139" s="1022">
        <v>1</v>
      </c>
      <c r="F139" s="1333" t="s">
        <v>948</v>
      </c>
      <c r="G139" s="1402">
        <f>ROUND(SUM(H134:H137)*30%,)</f>
        <v>1013</v>
      </c>
      <c r="H139" s="905">
        <f t="shared" si="30"/>
        <v>1013</v>
      </c>
      <c r="I139" s="1402">
        <f>ROUND(G139*0.3,)</f>
        <v>304</v>
      </c>
      <c r="J139" s="1500">
        <f t="shared" si="32"/>
        <v>304</v>
      </c>
      <c r="K139" s="1403">
        <f t="shared" si="33"/>
        <v>1317</v>
      </c>
      <c r="L139" s="1022"/>
      <c r="M139" s="1328"/>
    </row>
    <row r="140" spans="1:15" s="1329" customFormat="1" ht="24" customHeight="1">
      <c r="A140" s="1330"/>
      <c r="B140" s="1331" t="s">
        <v>1647</v>
      </c>
      <c r="C140" s="801"/>
      <c r="D140" s="801"/>
      <c r="E140" s="1022">
        <v>1</v>
      </c>
      <c r="F140" s="1333" t="s">
        <v>948</v>
      </c>
      <c r="G140" s="1402">
        <f>ROUND(SUM(H134:H137)*10%,)</f>
        <v>338</v>
      </c>
      <c r="H140" s="905">
        <f t="shared" si="30"/>
        <v>338</v>
      </c>
      <c r="I140" s="1402">
        <f>ROUND(G140*0.3,)</f>
        <v>101</v>
      </c>
      <c r="J140" s="1500">
        <f t="shared" si="32"/>
        <v>101</v>
      </c>
      <c r="K140" s="1403">
        <f t="shared" si="33"/>
        <v>439</v>
      </c>
      <c r="L140" s="1022"/>
      <c r="M140" s="1328"/>
    </row>
    <row r="141" spans="1:15" s="1329" customFormat="1" ht="24" customHeight="1">
      <c r="A141" s="1481"/>
      <c r="B141" s="1331" t="s">
        <v>957</v>
      </c>
      <c r="C141" s="801"/>
      <c r="D141" s="801"/>
      <c r="E141" s="1019"/>
      <c r="F141" s="1310"/>
      <c r="G141" s="1400"/>
      <c r="H141" s="773"/>
      <c r="I141" s="1400"/>
      <c r="J141" s="1401"/>
      <c r="K141" s="1019"/>
      <c r="L141" s="1019"/>
      <c r="M141" s="1328"/>
    </row>
    <row r="142" spans="1:15" s="714" customFormat="1" ht="30" customHeight="1">
      <c r="A142" s="1166"/>
      <c r="B142" s="2475" t="str">
        <f>"รวมราคารายการที่ "&amp;A119</f>
        <v>รวมราคารายการที่ 7.7</v>
      </c>
      <c r="C142" s="2476"/>
      <c r="D142" s="2476"/>
      <c r="E142" s="1167"/>
      <c r="F142" s="1381"/>
      <c r="G142" s="1168"/>
      <c r="H142" s="1169">
        <f>SUM(H119:H141)</f>
        <v>497371</v>
      </c>
      <c r="I142" s="1170"/>
      <c r="J142" s="1382">
        <f>SUM(J119:J141)</f>
        <v>210191</v>
      </c>
      <c r="K142" s="1171">
        <f>SUM(K119:K141)</f>
        <v>707562</v>
      </c>
      <c r="L142" s="1171"/>
      <c r="M142" s="1322"/>
    </row>
    <row r="143" spans="1:15" s="1329" customFormat="1" ht="24" customHeight="1">
      <c r="A143" s="1405" t="s">
        <v>2038</v>
      </c>
      <c r="B143" s="1326" t="s">
        <v>1921</v>
      </c>
      <c r="C143" s="1347"/>
      <c r="D143" s="901"/>
      <c r="E143" s="1019"/>
      <c r="F143" s="1310"/>
      <c r="G143" s="1400"/>
      <c r="H143" s="864"/>
      <c r="I143" s="1400"/>
      <c r="J143" s="1395"/>
      <c r="K143" s="966"/>
      <c r="L143" s="1019"/>
      <c r="M143" s="1328"/>
    </row>
    <row r="144" spans="1:15" s="1329" customFormat="1" ht="24" customHeight="1">
      <c r="A144" s="1330" t="s">
        <v>1979</v>
      </c>
      <c r="B144" s="1331" t="s">
        <v>1923</v>
      </c>
      <c r="C144" s="1349"/>
      <c r="D144" s="801"/>
      <c r="E144" s="966"/>
      <c r="F144" s="1249"/>
      <c r="G144" s="1394"/>
      <c r="H144" s="864"/>
      <c r="I144" s="1394"/>
      <c r="J144" s="1395"/>
      <c r="K144" s="966"/>
      <c r="L144" s="966"/>
      <c r="M144" s="1328"/>
    </row>
    <row r="145" spans="1:13" s="1329" customFormat="1" ht="24" customHeight="1">
      <c r="A145" s="1330"/>
      <c r="B145" s="1331" t="s">
        <v>1822</v>
      </c>
      <c r="C145" s="1349"/>
      <c r="D145" s="890"/>
      <c r="E145" s="1019"/>
      <c r="F145" s="1348" t="s">
        <v>438</v>
      </c>
      <c r="G145" s="1257">
        <v>69</v>
      </c>
      <c r="H145" s="796">
        <f t="shared" ref="H145:H158" si="34">ROUND(E145*G145,)</f>
        <v>0</v>
      </c>
      <c r="I145" s="849">
        <f>ROUND(20*1*1.3,)</f>
        <v>26</v>
      </c>
      <c r="J145" s="1476">
        <f t="shared" ref="J145:J158" si="35">ROUND(E145*I145,)</f>
        <v>0</v>
      </c>
      <c r="K145" s="1014">
        <f t="shared" ref="K145:K159" si="36">H145+J145</f>
        <v>0</v>
      </c>
      <c r="L145" s="1030"/>
      <c r="M145" s="1328"/>
    </row>
    <row r="146" spans="1:13" s="1329" customFormat="1" ht="24" customHeight="1">
      <c r="A146" s="1330"/>
      <c r="B146" s="1331" t="s">
        <v>2029</v>
      </c>
      <c r="C146" s="1349"/>
      <c r="D146" s="890"/>
      <c r="E146" s="1019">
        <f>E135</f>
        <v>128</v>
      </c>
      <c r="F146" s="1348" t="s">
        <v>438</v>
      </c>
      <c r="G146" s="1257">
        <v>92</v>
      </c>
      <c r="H146" s="796">
        <f t="shared" si="34"/>
        <v>11776</v>
      </c>
      <c r="I146" s="849">
        <f>ROUND(20*1.25*1.3,)</f>
        <v>33</v>
      </c>
      <c r="J146" s="1476">
        <f t="shared" si="35"/>
        <v>4224</v>
      </c>
      <c r="K146" s="1014">
        <f t="shared" si="36"/>
        <v>16000</v>
      </c>
      <c r="L146" s="1030"/>
      <c r="M146" s="1328"/>
    </row>
    <row r="147" spans="1:13" s="1329" customFormat="1" ht="24" customHeight="1">
      <c r="A147" s="1330" t="s">
        <v>1980</v>
      </c>
      <c r="B147" s="1331" t="s">
        <v>2031</v>
      </c>
      <c r="C147" s="1349"/>
      <c r="D147" s="890"/>
      <c r="E147" s="966"/>
      <c r="F147" s="1348"/>
      <c r="G147" s="1394"/>
      <c r="H147" s="905"/>
      <c r="I147" s="1406"/>
      <c r="J147" s="1407"/>
      <c r="K147" s="1030"/>
      <c r="L147" s="1030"/>
      <c r="M147" s="1328"/>
    </row>
    <row r="148" spans="1:13" s="1329" customFormat="1" ht="24" customHeight="1">
      <c r="A148" s="1330"/>
      <c r="B148" s="1331" t="s">
        <v>2028</v>
      </c>
      <c r="C148" s="1349"/>
      <c r="D148" s="890"/>
      <c r="E148" s="1019"/>
      <c r="F148" s="1348" t="s">
        <v>438</v>
      </c>
      <c r="G148" s="1479">
        <v>69</v>
      </c>
      <c r="H148" s="796">
        <f t="shared" si="34"/>
        <v>0</v>
      </c>
      <c r="I148" s="1480">
        <f>ROUND(20*0.75*1.3,)</f>
        <v>20</v>
      </c>
      <c r="J148" s="1476">
        <f t="shared" si="35"/>
        <v>0</v>
      </c>
      <c r="K148" s="1014">
        <f t="shared" si="36"/>
        <v>0</v>
      </c>
      <c r="L148" s="1030"/>
      <c r="M148" s="1328"/>
    </row>
    <row r="149" spans="1:13" s="1329" customFormat="1" ht="24" customHeight="1">
      <c r="A149" s="1330"/>
      <c r="B149" s="1331" t="s">
        <v>1822</v>
      </c>
      <c r="C149" s="1349"/>
      <c r="D149" s="801"/>
      <c r="E149" s="1019"/>
      <c r="F149" s="1249" t="s">
        <v>438</v>
      </c>
      <c r="G149" s="1257">
        <v>85</v>
      </c>
      <c r="H149" s="796">
        <f t="shared" si="34"/>
        <v>0</v>
      </c>
      <c r="I149" s="849">
        <f>ROUND(20*1*1.3,)</f>
        <v>26</v>
      </c>
      <c r="J149" s="1476">
        <f t="shared" si="35"/>
        <v>0</v>
      </c>
      <c r="K149" s="1014">
        <f t="shared" si="36"/>
        <v>0</v>
      </c>
      <c r="L149" s="1030"/>
      <c r="M149" s="1328"/>
    </row>
    <row r="150" spans="1:13" s="1329" customFormat="1" ht="24" customHeight="1">
      <c r="A150" s="1330" t="s">
        <v>1981</v>
      </c>
      <c r="B150" s="1331" t="s">
        <v>2113</v>
      </c>
      <c r="C150" s="1349"/>
      <c r="D150" s="890"/>
      <c r="E150" s="966"/>
      <c r="F150" s="1348"/>
      <c r="G150" s="1394"/>
      <c r="H150" s="905"/>
      <c r="I150" s="1406"/>
      <c r="J150" s="1407"/>
      <c r="K150" s="1030"/>
      <c r="L150" s="1030"/>
      <c r="M150" s="1328"/>
    </row>
    <row r="151" spans="1:13" s="1329" customFormat="1" ht="24" customHeight="1">
      <c r="A151" s="1330"/>
      <c r="B151" s="1331" t="s">
        <v>1186</v>
      </c>
      <c r="C151" s="1349"/>
      <c r="D151" s="801"/>
      <c r="E151" s="1019"/>
      <c r="F151" s="1249" t="s">
        <v>438</v>
      </c>
      <c r="G151" s="1394">
        <v>108</v>
      </c>
      <c r="H151" s="796">
        <f t="shared" si="34"/>
        <v>0</v>
      </c>
      <c r="I151" s="1406">
        <v>33</v>
      </c>
      <c r="J151" s="1476">
        <f t="shared" si="35"/>
        <v>0</v>
      </c>
      <c r="K151" s="1014">
        <f t="shared" si="36"/>
        <v>0</v>
      </c>
      <c r="L151" s="1030"/>
      <c r="M151" s="1328"/>
    </row>
    <row r="152" spans="1:13" s="1329" customFormat="1" ht="24" customHeight="1">
      <c r="A152" s="1481"/>
      <c r="B152" s="1331" t="s">
        <v>1187</v>
      </c>
      <c r="C152" s="801"/>
      <c r="D152" s="801"/>
      <c r="E152" s="1019">
        <f>E136+E124</f>
        <v>209</v>
      </c>
      <c r="F152" s="1348" t="s">
        <v>438</v>
      </c>
      <c r="G152" s="1394">
        <v>164</v>
      </c>
      <c r="H152" s="796">
        <f t="shared" si="34"/>
        <v>34276</v>
      </c>
      <c r="I152" s="1406">
        <v>39</v>
      </c>
      <c r="J152" s="1476">
        <f t="shared" si="35"/>
        <v>8151</v>
      </c>
      <c r="K152" s="1014">
        <f t="shared" si="36"/>
        <v>42427</v>
      </c>
      <c r="L152" s="1019"/>
      <c r="M152" s="1328"/>
    </row>
    <row r="153" spans="1:13" s="1329" customFormat="1" ht="24" customHeight="1">
      <c r="A153" s="1330"/>
      <c r="B153" s="1331" t="s">
        <v>1188</v>
      </c>
      <c r="C153" s="801"/>
      <c r="D153" s="801"/>
      <c r="E153" s="1022">
        <f>E137+E125</f>
        <v>91</v>
      </c>
      <c r="F153" s="1249" t="s">
        <v>438</v>
      </c>
      <c r="G153" s="1394">
        <v>200</v>
      </c>
      <c r="H153" s="796">
        <f t="shared" si="34"/>
        <v>18200</v>
      </c>
      <c r="I153" s="1394">
        <v>52</v>
      </c>
      <c r="J153" s="1476">
        <f t="shared" si="35"/>
        <v>4732</v>
      </c>
      <c r="K153" s="1014">
        <f t="shared" si="36"/>
        <v>22932</v>
      </c>
      <c r="L153" s="1022"/>
      <c r="M153" s="1328"/>
    </row>
    <row r="154" spans="1:13" s="1329" customFormat="1" ht="24" customHeight="1">
      <c r="A154" s="1330"/>
      <c r="B154" s="1331" t="s">
        <v>1189</v>
      </c>
      <c r="C154" s="801"/>
      <c r="D154" s="801"/>
      <c r="E154" s="1022">
        <f>E126</f>
        <v>73</v>
      </c>
      <c r="F154" s="1249" t="s">
        <v>438</v>
      </c>
      <c r="G154" s="1394">
        <v>256</v>
      </c>
      <c r="H154" s="796">
        <f t="shared" si="34"/>
        <v>18688</v>
      </c>
      <c r="I154" s="1394">
        <v>65</v>
      </c>
      <c r="J154" s="1476">
        <f t="shared" si="35"/>
        <v>4745</v>
      </c>
      <c r="K154" s="1014">
        <f t="shared" si="36"/>
        <v>23433</v>
      </c>
      <c r="L154" s="1022"/>
      <c r="M154" s="1328"/>
    </row>
    <row r="155" spans="1:13" s="1329" customFormat="1" ht="24" customHeight="1">
      <c r="A155" s="1330"/>
      <c r="B155" s="1331" t="s">
        <v>1190</v>
      </c>
      <c r="C155" s="801"/>
      <c r="D155" s="801"/>
      <c r="E155" s="1022">
        <f>E127</f>
        <v>181</v>
      </c>
      <c r="F155" s="1249" t="s">
        <v>438</v>
      </c>
      <c r="G155" s="1394">
        <v>302</v>
      </c>
      <c r="H155" s="796">
        <f t="shared" si="34"/>
        <v>54662</v>
      </c>
      <c r="I155" s="1394">
        <v>78</v>
      </c>
      <c r="J155" s="1476">
        <f t="shared" si="35"/>
        <v>14118</v>
      </c>
      <c r="K155" s="1014">
        <f t="shared" si="36"/>
        <v>68780</v>
      </c>
      <c r="L155" s="1022"/>
      <c r="M155" s="1328"/>
    </row>
    <row r="156" spans="1:13" s="1329" customFormat="1" ht="24" customHeight="1">
      <c r="A156" s="1330"/>
      <c r="B156" s="1331" t="s">
        <v>951</v>
      </c>
      <c r="C156" s="801"/>
      <c r="D156" s="801"/>
      <c r="E156" s="1022">
        <f>E128</f>
        <v>169</v>
      </c>
      <c r="F156" s="1249" t="s">
        <v>438</v>
      </c>
      <c r="G156" s="1394">
        <v>367</v>
      </c>
      <c r="H156" s="796">
        <f t="shared" si="34"/>
        <v>62023</v>
      </c>
      <c r="I156" s="1394">
        <v>104</v>
      </c>
      <c r="J156" s="1476">
        <f t="shared" si="35"/>
        <v>17576</v>
      </c>
      <c r="K156" s="1014">
        <f t="shared" si="36"/>
        <v>79599</v>
      </c>
      <c r="L156" s="1022"/>
      <c r="M156" s="1328"/>
    </row>
    <row r="157" spans="1:13" s="1329" customFormat="1" ht="24" customHeight="1">
      <c r="A157" s="1330" t="s">
        <v>1982</v>
      </c>
      <c r="B157" s="1331" t="s">
        <v>1925</v>
      </c>
      <c r="C157" s="1349"/>
      <c r="D157" s="801"/>
      <c r="E157" s="966"/>
      <c r="F157" s="1249"/>
      <c r="G157" s="1394"/>
      <c r="H157" s="864"/>
      <c r="I157" s="1394"/>
      <c r="J157" s="1395"/>
      <c r="K157" s="966"/>
      <c r="L157" s="966"/>
      <c r="M157" s="1328"/>
    </row>
    <row r="158" spans="1:13" s="1329" customFormat="1" ht="24" customHeight="1">
      <c r="A158" s="1330"/>
      <c r="B158" s="1331" t="s">
        <v>1809</v>
      </c>
      <c r="C158" s="801"/>
      <c r="D158" s="801"/>
      <c r="E158" s="1022"/>
      <c r="F158" s="1249" t="s">
        <v>438</v>
      </c>
      <c r="G158" s="1392">
        <v>465</v>
      </c>
      <c r="H158" s="796">
        <f t="shared" si="34"/>
        <v>0</v>
      </c>
      <c r="I158" s="1392">
        <v>465</v>
      </c>
      <c r="J158" s="1476">
        <f t="shared" si="35"/>
        <v>0</v>
      </c>
      <c r="K158" s="1014">
        <f t="shared" si="36"/>
        <v>0</v>
      </c>
      <c r="L158" s="1022"/>
      <c r="M158" s="1328"/>
    </row>
    <row r="159" spans="1:13" s="1329" customFormat="1" ht="24" customHeight="1">
      <c r="A159" s="1330"/>
      <c r="B159" s="1331" t="s">
        <v>957</v>
      </c>
      <c r="C159" s="1349"/>
      <c r="D159" s="801"/>
      <c r="E159" s="966"/>
      <c r="F159" s="1249"/>
      <c r="G159" s="1394"/>
      <c r="H159" s="864"/>
      <c r="I159" s="1394"/>
      <c r="J159" s="1395"/>
      <c r="K159" s="1014">
        <f t="shared" si="36"/>
        <v>0</v>
      </c>
      <c r="L159" s="966"/>
      <c r="M159" s="1328"/>
    </row>
    <row r="160" spans="1:13" s="1329" customFormat="1" ht="24" customHeight="1">
      <c r="A160" s="1334"/>
      <c r="B160" s="1335" t="s">
        <v>958</v>
      </c>
      <c r="C160" s="1352"/>
      <c r="D160" s="890"/>
      <c r="E160" s="1337"/>
      <c r="F160" s="1353"/>
      <c r="G160" s="1418"/>
      <c r="H160" s="891"/>
      <c r="I160" s="1418"/>
      <c r="J160" s="1419"/>
      <c r="K160" s="1337"/>
      <c r="L160" s="1337"/>
      <c r="M160" s="1328"/>
    </row>
    <row r="161" spans="1:13" s="714" customFormat="1" ht="30" customHeight="1">
      <c r="A161" s="1166"/>
      <c r="B161" s="2475" t="str">
        <f>"รวมราคารายการที่ "&amp;A143</f>
        <v>รวมราคารายการที่ 7.8</v>
      </c>
      <c r="C161" s="2476"/>
      <c r="D161" s="2476"/>
      <c r="E161" s="1167"/>
      <c r="F161" s="1381"/>
      <c r="G161" s="1168"/>
      <c r="H161" s="1169">
        <f>SUM(H143:H160)</f>
        <v>199625</v>
      </c>
      <c r="I161" s="1170"/>
      <c r="J161" s="1382">
        <f>SUM(J143:J160)</f>
        <v>53546</v>
      </c>
      <c r="K161" s="1171">
        <f>SUM(K143:K160)</f>
        <v>253171</v>
      </c>
      <c r="L161" s="1171"/>
      <c r="M161" s="1322"/>
    </row>
    <row r="162" spans="1:13" s="1329" customFormat="1" ht="24" customHeight="1">
      <c r="A162" s="1325" t="s">
        <v>2039</v>
      </c>
      <c r="B162" s="1326" t="s">
        <v>1927</v>
      </c>
      <c r="C162" s="1347"/>
      <c r="D162" s="901"/>
      <c r="E162" s="1019"/>
      <c r="F162" s="1310"/>
      <c r="G162" s="1400"/>
      <c r="H162" s="864"/>
      <c r="I162" s="1400"/>
      <c r="J162" s="1395"/>
      <c r="K162" s="966"/>
      <c r="L162" s="1019"/>
      <c r="M162" s="1328"/>
    </row>
    <row r="163" spans="1:13" s="1329" customFormat="1" ht="24" customHeight="1">
      <c r="A163" s="1330" t="s">
        <v>2040</v>
      </c>
      <c r="B163" s="1331" t="s">
        <v>1929</v>
      </c>
      <c r="C163" s="1349"/>
      <c r="D163" s="801"/>
      <c r="E163" s="966"/>
      <c r="F163" s="1249"/>
      <c r="G163" s="1394"/>
      <c r="H163" s="864"/>
      <c r="I163" s="1394"/>
      <c r="J163" s="1395"/>
      <c r="K163" s="966"/>
      <c r="L163" s="966"/>
      <c r="M163" s="1328"/>
    </row>
    <row r="164" spans="1:13" s="1329" customFormat="1" ht="24" customHeight="1">
      <c r="A164" s="791"/>
      <c r="B164" s="1127" t="s">
        <v>1184</v>
      </c>
      <c r="C164" s="1233"/>
      <c r="D164" s="792"/>
      <c r="E164" s="1501">
        <f>E88*2</f>
        <v>6</v>
      </c>
      <c r="F164" s="1502" t="s">
        <v>240</v>
      </c>
      <c r="G164" s="1503">
        <v>880</v>
      </c>
      <c r="H164" s="1499">
        <f t="shared" ref="H164:H168" si="37">ROUND(E164*G164,)</f>
        <v>5280</v>
      </c>
      <c r="I164" s="1480">
        <v>150</v>
      </c>
      <c r="J164" s="1500">
        <f t="shared" ref="J164:J168" si="38">ROUND(E164*I164,)</f>
        <v>900</v>
      </c>
      <c r="K164" s="1403">
        <f t="shared" ref="K164:K168" si="39">H164+J164</f>
        <v>6180</v>
      </c>
      <c r="L164" s="2273" t="s">
        <v>2974</v>
      </c>
      <c r="M164" s="1328"/>
    </row>
    <row r="165" spans="1:13" s="1329" customFormat="1" ht="24" customHeight="1">
      <c r="A165" s="791"/>
      <c r="B165" s="1127" t="s">
        <v>1185</v>
      </c>
      <c r="C165" s="1233"/>
      <c r="D165" s="792"/>
      <c r="E165" s="1345"/>
      <c r="F165" s="1140" t="s">
        <v>240</v>
      </c>
      <c r="G165" s="1504">
        <v>1316</v>
      </c>
      <c r="H165" s="796">
        <f t="shared" si="37"/>
        <v>0</v>
      </c>
      <c r="I165" s="849">
        <v>200</v>
      </c>
      <c r="J165" s="1476">
        <f t="shared" si="38"/>
        <v>0</v>
      </c>
      <c r="K165" s="1014">
        <f t="shared" si="39"/>
        <v>0</v>
      </c>
      <c r="L165" s="2273" t="s">
        <v>2974</v>
      </c>
      <c r="M165" s="1328"/>
    </row>
    <row r="166" spans="1:13" s="1329" customFormat="1" ht="24" customHeight="1">
      <c r="A166" s="791"/>
      <c r="B166" s="1127" t="s">
        <v>1186</v>
      </c>
      <c r="C166" s="1233"/>
      <c r="D166" s="792"/>
      <c r="E166" s="1345">
        <f>E90*2</f>
        <v>36</v>
      </c>
      <c r="F166" s="1140" t="s">
        <v>240</v>
      </c>
      <c r="G166" s="1504">
        <v>1984</v>
      </c>
      <c r="H166" s="796">
        <f t="shared" si="37"/>
        <v>71424</v>
      </c>
      <c r="I166" s="849">
        <v>250</v>
      </c>
      <c r="J166" s="1476">
        <f t="shared" si="38"/>
        <v>9000</v>
      </c>
      <c r="K166" s="1014">
        <f t="shared" si="39"/>
        <v>80424</v>
      </c>
      <c r="L166" s="2273" t="s">
        <v>2974</v>
      </c>
      <c r="M166" s="1328"/>
    </row>
    <row r="167" spans="1:13" s="1329" customFormat="1" ht="24" customHeight="1">
      <c r="A167" s="791"/>
      <c r="B167" s="1127" t="s">
        <v>1187</v>
      </c>
      <c r="C167" s="1233"/>
      <c r="D167" s="792"/>
      <c r="E167" s="1345"/>
      <c r="F167" s="1140" t="s">
        <v>240</v>
      </c>
      <c r="G167" s="1504">
        <v>2610</v>
      </c>
      <c r="H167" s="796">
        <f t="shared" si="37"/>
        <v>0</v>
      </c>
      <c r="I167" s="849">
        <v>300</v>
      </c>
      <c r="J167" s="1476">
        <f t="shared" si="38"/>
        <v>0</v>
      </c>
      <c r="K167" s="1014">
        <f t="shared" si="39"/>
        <v>0</v>
      </c>
      <c r="L167" s="2273" t="s">
        <v>2974</v>
      </c>
      <c r="M167" s="1328"/>
    </row>
    <row r="168" spans="1:13" s="1329" customFormat="1" ht="24" customHeight="1">
      <c r="A168" s="791"/>
      <c r="B168" s="1127" t="s">
        <v>1188</v>
      </c>
      <c r="C168" s="1233"/>
      <c r="D168" s="792"/>
      <c r="E168" s="1345"/>
      <c r="F168" s="1140" t="s">
        <v>240</v>
      </c>
      <c r="G168" s="1504">
        <v>4040</v>
      </c>
      <c r="H168" s="796">
        <f t="shared" si="37"/>
        <v>0</v>
      </c>
      <c r="I168" s="849">
        <v>400</v>
      </c>
      <c r="J168" s="1476">
        <f t="shared" si="38"/>
        <v>0</v>
      </c>
      <c r="K168" s="1014">
        <f t="shared" si="39"/>
        <v>0</v>
      </c>
      <c r="L168" s="2273" t="s">
        <v>2974</v>
      </c>
      <c r="M168" s="1328"/>
    </row>
    <row r="169" spans="1:13" s="1329" customFormat="1" ht="24" customHeight="1">
      <c r="A169" s="1330" t="s">
        <v>2183</v>
      </c>
      <c r="B169" s="1331" t="s">
        <v>1942</v>
      </c>
      <c r="C169" s="1349"/>
      <c r="D169" s="890"/>
      <c r="E169" s="966"/>
      <c r="F169" s="1348"/>
      <c r="G169" s="1394"/>
      <c r="H169" s="905"/>
      <c r="I169" s="1406"/>
      <c r="J169" s="1407"/>
      <c r="K169" s="1030"/>
      <c r="L169" s="1030"/>
      <c r="M169" s="1328"/>
    </row>
    <row r="170" spans="1:13" s="1329" customFormat="1" ht="24" customHeight="1">
      <c r="A170" s="1330"/>
      <c r="B170" s="1331" t="s">
        <v>1184</v>
      </c>
      <c r="C170" s="1349"/>
      <c r="D170" s="890"/>
      <c r="E170" s="966"/>
      <c r="F170" s="1348" t="s">
        <v>240</v>
      </c>
      <c r="G170" s="1394"/>
      <c r="H170" s="864"/>
      <c r="I170" s="1394"/>
      <c r="J170" s="1395"/>
      <c r="K170" s="966"/>
      <c r="L170" s="1030"/>
      <c r="M170" s="1328"/>
    </row>
    <row r="171" spans="1:13" s="1329" customFormat="1" ht="24" customHeight="1">
      <c r="A171" s="1330"/>
      <c r="B171" s="1331" t="s">
        <v>1185</v>
      </c>
      <c r="C171" s="1349"/>
      <c r="D171" s="890"/>
      <c r="E171" s="966"/>
      <c r="F171" s="1348" t="s">
        <v>240</v>
      </c>
      <c r="G171" s="1394"/>
      <c r="H171" s="864"/>
      <c r="I171" s="1394"/>
      <c r="J171" s="1395"/>
      <c r="K171" s="966"/>
      <c r="L171" s="1030"/>
      <c r="M171" s="1328"/>
    </row>
    <row r="172" spans="1:13" s="1329" customFormat="1" ht="24" customHeight="1">
      <c r="A172" s="1330"/>
      <c r="B172" s="1331" t="s">
        <v>1186</v>
      </c>
      <c r="C172" s="1349"/>
      <c r="D172" s="890"/>
      <c r="E172" s="966">
        <f>E166</f>
        <v>36</v>
      </c>
      <c r="F172" s="1348" t="s">
        <v>240</v>
      </c>
      <c r="G172" s="1394">
        <f>3700*0.5</f>
        <v>1850</v>
      </c>
      <c r="H172" s="796">
        <f t="shared" ref="H172" si="40">ROUND(E172*G172,)</f>
        <v>66600</v>
      </c>
      <c r="I172" s="849">
        <v>250</v>
      </c>
      <c r="J172" s="1476">
        <f t="shared" ref="J172" si="41">ROUND(E172*I172,)</f>
        <v>9000</v>
      </c>
      <c r="K172" s="1014">
        <f t="shared" ref="K172" si="42">H172+J172</f>
        <v>75600</v>
      </c>
      <c r="L172" s="1030"/>
      <c r="M172" s="1328"/>
    </row>
    <row r="173" spans="1:13" s="1329" customFormat="1" ht="24" customHeight="1">
      <c r="A173" s="1330"/>
      <c r="B173" s="1127" t="s">
        <v>1187</v>
      </c>
      <c r="C173" s="1233"/>
      <c r="D173" s="792"/>
      <c r="E173" s="1345"/>
      <c r="F173" s="1140" t="s">
        <v>240</v>
      </c>
      <c r="G173" s="1394"/>
      <c r="H173" s="864"/>
      <c r="I173" s="1394"/>
      <c r="J173" s="1395"/>
      <c r="K173" s="966"/>
      <c r="L173" s="1030"/>
      <c r="M173" s="1328"/>
    </row>
    <row r="174" spans="1:13" s="1329" customFormat="1" ht="24" customHeight="1">
      <c r="A174" s="1330"/>
      <c r="B174" s="1127" t="s">
        <v>1188</v>
      </c>
      <c r="C174" s="1233"/>
      <c r="D174" s="792"/>
      <c r="E174" s="1345"/>
      <c r="F174" s="1140" t="s">
        <v>240</v>
      </c>
      <c r="G174" s="1394"/>
      <c r="H174" s="864"/>
      <c r="I174" s="1394"/>
      <c r="J174" s="1395"/>
      <c r="K174" s="966"/>
      <c r="L174" s="1030"/>
      <c r="M174" s="1328"/>
    </row>
    <row r="175" spans="1:13" s="1329" customFormat="1" ht="24" customHeight="1">
      <c r="A175" s="1330" t="s">
        <v>2184</v>
      </c>
      <c r="B175" s="1331" t="s">
        <v>1656</v>
      </c>
      <c r="C175" s="1349"/>
      <c r="D175" s="890"/>
      <c r="E175" s="966"/>
      <c r="F175" s="1348"/>
      <c r="G175" s="1394"/>
      <c r="H175" s="905"/>
      <c r="I175" s="1406"/>
      <c r="J175" s="1407"/>
      <c r="K175" s="1030"/>
      <c r="L175" s="1030"/>
      <c r="M175" s="1328"/>
    </row>
    <row r="176" spans="1:13" s="1329" customFormat="1" ht="24" customHeight="1">
      <c r="A176" s="1330"/>
      <c r="B176" s="1331" t="s">
        <v>1185</v>
      </c>
      <c r="C176" s="1349"/>
      <c r="D176" s="890"/>
      <c r="E176" s="966"/>
      <c r="F176" s="1348" t="s">
        <v>240</v>
      </c>
      <c r="G176" s="1394"/>
      <c r="H176" s="905"/>
      <c r="I176" s="1406"/>
      <c r="J176" s="1395"/>
      <c r="K176" s="1030"/>
      <c r="L176" s="1019"/>
      <c r="M176" s="1328"/>
    </row>
    <row r="177" spans="1:13" s="1329" customFormat="1" ht="24" customHeight="1">
      <c r="A177" s="1330"/>
      <c r="B177" s="1331"/>
      <c r="C177" s="1349"/>
      <c r="D177" s="890"/>
      <c r="E177" s="966"/>
      <c r="F177" s="1348"/>
      <c r="G177" s="1394"/>
      <c r="H177" s="905"/>
      <c r="I177" s="1406"/>
      <c r="J177" s="1407"/>
      <c r="K177" s="1030"/>
      <c r="L177" s="1019"/>
      <c r="M177" s="1328"/>
    </row>
    <row r="178" spans="1:13" s="1329" customFormat="1" ht="24" customHeight="1">
      <c r="A178" s="1330"/>
      <c r="B178" s="1331"/>
      <c r="C178" s="1349"/>
      <c r="D178" s="890"/>
      <c r="E178" s="966"/>
      <c r="F178" s="1348"/>
      <c r="G178" s="1394"/>
      <c r="H178" s="905"/>
      <c r="I178" s="1406"/>
      <c r="J178" s="1407"/>
      <c r="K178" s="1030"/>
      <c r="L178" s="1019"/>
      <c r="M178" s="1328"/>
    </row>
    <row r="179" spans="1:13" s="1329" customFormat="1" ht="24" customHeight="1">
      <c r="A179" s="1330"/>
      <c r="B179" s="1331"/>
      <c r="C179" s="1349"/>
      <c r="D179" s="890"/>
      <c r="E179" s="966"/>
      <c r="F179" s="1348"/>
      <c r="G179" s="1394"/>
      <c r="H179" s="905"/>
      <c r="I179" s="1406"/>
      <c r="J179" s="1407"/>
      <c r="K179" s="1030"/>
      <c r="L179" s="1019"/>
      <c r="M179" s="1328"/>
    </row>
    <row r="180" spans="1:13" s="1329" customFormat="1" ht="24" customHeight="1">
      <c r="A180" s="1330"/>
      <c r="B180" s="1331"/>
      <c r="C180" s="1349"/>
      <c r="D180" s="890"/>
      <c r="E180" s="966"/>
      <c r="F180" s="1348"/>
      <c r="G180" s="1394"/>
      <c r="H180" s="905"/>
      <c r="I180" s="1406"/>
      <c r="J180" s="1407"/>
      <c r="K180" s="1030"/>
      <c r="L180" s="1019"/>
      <c r="M180" s="1328"/>
    </row>
    <row r="181" spans="1:13" s="1329" customFormat="1" ht="24" customHeight="1">
      <c r="A181" s="1330" t="s">
        <v>2185</v>
      </c>
      <c r="B181" s="1331" t="s">
        <v>1940</v>
      </c>
      <c r="C181" s="1349"/>
      <c r="D181" s="890"/>
      <c r="E181" s="966"/>
      <c r="F181" s="1348"/>
      <c r="G181" s="1394"/>
      <c r="H181" s="905"/>
      <c r="I181" s="1406"/>
      <c r="J181" s="1407"/>
      <c r="K181" s="1030"/>
      <c r="L181" s="1030"/>
      <c r="M181" s="1328"/>
    </row>
    <row r="182" spans="1:13" s="1329" customFormat="1" ht="24" customHeight="1">
      <c r="A182" s="791"/>
      <c r="B182" s="1127" t="s">
        <v>1184</v>
      </c>
      <c r="C182" s="1233"/>
      <c r="D182" s="792"/>
      <c r="E182" s="1501"/>
      <c r="F182" s="1502" t="s">
        <v>240</v>
      </c>
      <c r="G182" s="1479">
        <v>350</v>
      </c>
      <c r="H182" s="1499">
        <f t="shared" ref="H182:H185" si="43">ROUND(E182*G182,)</f>
        <v>0</v>
      </c>
      <c r="I182" s="1480">
        <v>150</v>
      </c>
      <c r="J182" s="1500">
        <f t="shared" ref="J182:J185" si="44">ROUND(E182*I182,)</f>
        <v>0</v>
      </c>
      <c r="K182" s="1403">
        <f t="shared" ref="K182:K185" si="45">H182+J182</f>
        <v>0</v>
      </c>
      <c r="L182" s="1014"/>
      <c r="M182" s="1328"/>
    </row>
    <row r="183" spans="1:13" s="1329" customFormat="1" ht="24" customHeight="1">
      <c r="A183" s="791"/>
      <c r="B183" s="1127" t="s">
        <v>1186</v>
      </c>
      <c r="C183" s="1233"/>
      <c r="D183" s="792"/>
      <c r="E183" s="1345">
        <f>E172/2</f>
        <v>18</v>
      </c>
      <c r="F183" s="1140" t="s">
        <v>240</v>
      </c>
      <c r="G183" s="1257">
        <v>1084</v>
      </c>
      <c r="H183" s="796">
        <f t="shared" si="43"/>
        <v>19512</v>
      </c>
      <c r="I183" s="849">
        <v>250</v>
      </c>
      <c r="J183" s="1476">
        <f t="shared" si="44"/>
        <v>4500</v>
      </c>
      <c r="K183" s="1014">
        <f t="shared" si="45"/>
        <v>24012</v>
      </c>
      <c r="L183" s="1014"/>
      <c r="M183" s="1328"/>
    </row>
    <row r="184" spans="1:13" s="1329" customFormat="1" ht="24" customHeight="1">
      <c r="A184" s="791"/>
      <c r="B184" s="1127" t="s">
        <v>1187</v>
      </c>
      <c r="C184" s="1233"/>
      <c r="D184" s="792"/>
      <c r="E184" s="1345"/>
      <c r="F184" s="1140" t="s">
        <v>240</v>
      </c>
      <c r="G184" s="1257">
        <v>1710</v>
      </c>
      <c r="H184" s="796">
        <f t="shared" si="43"/>
        <v>0</v>
      </c>
      <c r="I184" s="849">
        <v>300</v>
      </c>
      <c r="J184" s="1476">
        <f t="shared" si="44"/>
        <v>0</v>
      </c>
      <c r="K184" s="1014">
        <f t="shared" si="45"/>
        <v>0</v>
      </c>
      <c r="L184" s="1014"/>
      <c r="M184" s="1328"/>
    </row>
    <row r="185" spans="1:13" s="1329" customFormat="1" ht="24" customHeight="1">
      <c r="A185" s="791"/>
      <c r="B185" s="1127" t="s">
        <v>1188</v>
      </c>
      <c r="C185" s="1233"/>
      <c r="D185" s="792"/>
      <c r="E185" s="1345"/>
      <c r="F185" s="1140" t="s">
        <v>240</v>
      </c>
      <c r="G185" s="1504">
        <v>2839</v>
      </c>
      <c r="H185" s="796">
        <f t="shared" si="43"/>
        <v>0</v>
      </c>
      <c r="I185" s="849">
        <v>400</v>
      </c>
      <c r="J185" s="1476">
        <f t="shared" si="44"/>
        <v>0</v>
      </c>
      <c r="K185" s="1014">
        <f t="shared" si="45"/>
        <v>0</v>
      </c>
      <c r="L185" s="1014"/>
      <c r="M185" s="1328"/>
    </row>
    <row r="186" spans="1:13" s="1329" customFormat="1" ht="24" customHeight="1">
      <c r="A186" s="1330"/>
      <c r="B186" s="1331" t="s">
        <v>957</v>
      </c>
      <c r="C186" s="1349"/>
      <c r="D186" s="890"/>
      <c r="E186" s="966"/>
      <c r="F186" s="1348"/>
      <c r="G186" s="1394"/>
      <c r="H186" s="905"/>
      <c r="I186" s="1406"/>
      <c r="J186" s="1407"/>
      <c r="K186" s="1030"/>
      <c r="L186" s="1030"/>
      <c r="M186" s="1328"/>
    </row>
    <row r="187" spans="1:13" s="714" customFormat="1" ht="30" customHeight="1">
      <c r="A187" s="1166"/>
      <c r="B187" s="2475" t="str">
        <f>"รวมราคารายการที่ "&amp;A162</f>
        <v>รวมราคารายการที่ 7.9</v>
      </c>
      <c r="C187" s="2476"/>
      <c r="D187" s="2476"/>
      <c r="E187" s="1167"/>
      <c r="F187" s="1381"/>
      <c r="G187" s="1168"/>
      <c r="H187" s="1169">
        <f>SUM(H162:H186)</f>
        <v>162816</v>
      </c>
      <c r="I187" s="1170"/>
      <c r="J187" s="1382">
        <f>SUM(J162:J186)</f>
        <v>23400</v>
      </c>
      <c r="K187" s="1171">
        <f>SUM(K162:K186)</f>
        <v>186216</v>
      </c>
      <c r="L187" s="1171"/>
      <c r="M187" s="1322"/>
    </row>
    <row r="188" spans="1:13" s="1329" customFormat="1" ht="24" customHeight="1">
      <c r="A188" s="1325" t="s">
        <v>2065</v>
      </c>
      <c r="B188" s="1326" t="s">
        <v>1948</v>
      </c>
      <c r="C188" s="1347"/>
      <c r="D188" s="901"/>
      <c r="E188" s="1019"/>
      <c r="F188" s="1310"/>
      <c r="G188" s="1400"/>
      <c r="H188" s="864"/>
      <c r="I188" s="1400"/>
      <c r="J188" s="1395"/>
      <c r="K188" s="966"/>
      <c r="L188" s="1019"/>
      <c r="M188" s="1328"/>
    </row>
    <row r="189" spans="1:13" s="1329" customFormat="1" ht="24" customHeight="1">
      <c r="A189" s="1330" t="s">
        <v>2067</v>
      </c>
      <c r="B189" s="1331" t="s">
        <v>1950</v>
      </c>
      <c r="C189" s="1349"/>
      <c r="D189" s="801"/>
      <c r="E189" s="966"/>
      <c r="F189" s="1249"/>
      <c r="G189" s="1394"/>
      <c r="H189" s="864"/>
      <c r="I189" s="1394"/>
      <c r="J189" s="1395"/>
      <c r="K189" s="966"/>
      <c r="L189" s="966"/>
      <c r="M189" s="1328"/>
    </row>
    <row r="190" spans="1:13" s="1329" customFormat="1" ht="24" customHeight="1">
      <c r="A190" s="1330"/>
      <c r="B190" s="1331" t="s">
        <v>2035</v>
      </c>
      <c r="C190" s="1349"/>
      <c r="D190" s="801"/>
      <c r="E190" s="966">
        <v>119</v>
      </c>
      <c r="F190" s="1249" t="s">
        <v>1952</v>
      </c>
      <c r="G190" s="1406">
        <v>218</v>
      </c>
      <c r="H190" s="864">
        <f t="shared" ref="H190:H196" si="46">ROUND(E190*G190,)</f>
        <v>25942</v>
      </c>
      <c r="I190" s="1406">
        <v>194</v>
      </c>
      <c r="J190" s="1395">
        <f t="shared" ref="J190:J196" si="47">ROUND(E190*I190,)</f>
        <v>23086</v>
      </c>
      <c r="K190" s="966">
        <f t="shared" ref="K190:K196" si="48">H190+J190</f>
        <v>49028</v>
      </c>
      <c r="L190" s="966"/>
      <c r="M190" s="1328"/>
    </row>
    <row r="191" spans="1:13" s="1329" customFormat="1" ht="24" customHeight="1">
      <c r="A191" s="1330"/>
      <c r="B191" s="1331" t="s">
        <v>2036</v>
      </c>
      <c r="C191" s="1349"/>
      <c r="D191" s="801"/>
      <c r="E191" s="966">
        <v>206</v>
      </c>
      <c r="F191" s="1249" t="s">
        <v>1952</v>
      </c>
      <c r="G191" s="1406">
        <v>263</v>
      </c>
      <c r="H191" s="864">
        <f t="shared" si="46"/>
        <v>54178</v>
      </c>
      <c r="I191" s="1406">
        <v>259</v>
      </c>
      <c r="J191" s="1395">
        <f t="shared" si="47"/>
        <v>53354</v>
      </c>
      <c r="K191" s="966">
        <f t="shared" si="48"/>
        <v>107532</v>
      </c>
      <c r="L191" s="966"/>
      <c r="M191" s="1328"/>
    </row>
    <row r="192" spans="1:13" s="1329" customFormat="1" ht="24" customHeight="1">
      <c r="A192" s="1330"/>
      <c r="B192" s="1331" t="s">
        <v>1951</v>
      </c>
      <c r="C192" s="1349"/>
      <c r="D192" s="801"/>
      <c r="E192" s="966">
        <v>219</v>
      </c>
      <c r="F192" s="1249" t="s">
        <v>1952</v>
      </c>
      <c r="G192" s="1406">
        <v>314</v>
      </c>
      <c r="H192" s="864">
        <f t="shared" si="46"/>
        <v>68766</v>
      </c>
      <c r="I192" s="1406">
        <v>269</v>
      </c>
      <c r="J192" s="1395">
        <f t="shared" si="47"/>
        <v>58911</v>
      </c>
      <c r="K192" s="966">
        <f t="shared" si="48"/>
        <v>127677</v>
      </c>
      <c r="L192" s="966"/>
      <c r="M192" s="1328"/>
    </row>
    <row r="193" spans="1:14" s="1329" customFormat="1" ht="24" customHeight="1">
      <c r="A193" s="1330"/>
      <c r="B193" s="1331" t="s">
        <v>1953</v>
      </c>
      <c r="C193" s="1349"/>
      <c r="D193" s="801"/>
      <c r="E193" s="966">
        <v>14</v>
      </c>
      <c r="F193" s="1249" t="s">
        <v>1952</v>
      </c>
      <c r="G193" s="1406">
        <v>381</v>
      </c>
      <c r="H193" s="864">
        <f t="shared" si="46"/>
        <v>5334</v>
      </c>
      <c r="I193" s="1406">
        <v>323</v>
      </c>
      <c r="J193" s="1395">
        <f t="shared" si="47"/>
        <v>4522</v>
      </c>
      <c r="K193" s="966">
        <f t="shared" si="48"/>
        <v>9856</v>
      </c>
      <c r="L193" s="966"/>
      <c r="M193" s="1328"/>
    </row>
    <row r="194" spans="1:14" s="1329" customFormat="1" ht="24" customHeight="1">
      <c r="A194" s="1330"/>
      <c r="B194" s="1331" t="s">
        <v>1954</v>
      </c>
      <c r="C194" s="1349"/>
      <c r="D194" s="801"/>
      <c r="E194" s="966">
        <v>401</v>
      </c>
      <c r="F194" s="1249" t="s">
        <v>1952</v>
      </c>
      <c r="G194" s="1406">
        <v>443</v>
      </c>
      <c r="H194" s="864">
        <f t="shared" si="46"/>
        <v>177643</v>
      </c>
      <c r="I194" s="1406">
        <v>377</v>
      </c>
      <c r="J194" s="1395">
        <f t="shared" si="47"/>
        <v>151177</v>
      </c>
      <c r="K194" s="966">
        <f t="shared" si="48"/>
        <v>328820</v>
      </c>
      <c r="L194" s="966"/>
      <c r="M194" s="1328"/>
    </row>
    <row r="195" spans="1:14" s="1329" customFormat="1" ht="24" customHeight="1">
      <c r="A195" s="1330"/>
      <c r="B195" s="1331" t="s">
        <v>1645</v>
      </c>
      <c r="C195" s="1349"/>
      <c r="D195" s="801"/>
      <c r="E195" s="966">
        <v>1</v>
      </c>
      <c r="F195" s="1249" t="s">
        <v>948</v>
      </c>
      <c r="G195" s="1406">
        <f>ROUND(SUM(H190:H194)*40%,)</f>
        <v>132745</v>
      </c>
      <c r="H195" s="864">
        <f t="shared" si="46"/>
        <v>132745</v>
      </c>
      <c r="I195" s="1406">
        <f>ROUND(G195*30%,)</f>
        <v>39824</v>
      </c>
      <c r="J195" s="1395">
        <f t="shared" si="47"/>
        <v>39824</v>
      </c>
      <c r="K195" s="966">
        <f t="shared" si="48"/>
        <v>172569</v>
      </c>
      <c r="L195" s="966"/>
      <c r="M195" s="1328"/>
    </row>
    <row r="196" spans="1:14" s="1329" customFormat="1" ht="24" customHeight="1">
      <c r="A196" s="1330"/>
      <c r="B196" s="1331" t="s">
        <v>1646</v>
      </c>
      <c r="C196" s="1349"/>
      <c r="D196" s="801"/>
      <c r="E196" s="966">
        <v>1</v>
      </c>
      <c r="F196" s="1249" t="s">
        <v>948</v>
      </c>
      <c r="G196" s="1406">
        <f>ROUND(SUM(H190:H194)*15%,)</f>
        <v>49779</v>
      </c>
      <c r="H196" s="864">
        <f t="shared" si="46"/>
        <v>49779</v>
      </c>
      <c r="I196" s="1406">
        <f>ROUND(G196*30%,)</f>
        <v>14934</v>
      </c>
      <c r="J196" s="1395">
        <f t="shared" si="47"/>
        <v>14934</v>
      </c>
      <c r="K196" s="966">
        <f t="shared" si="48"/>
        <v>64713</v>
      </c>
      <c r="L196" s="966"/>
      <c r="M196" s="1328"/>
    </row>
    <row r="197" spans="1:14" s="714" customFormat="1" ht="30" customHeight="1">
      <c r="A197" s="1166"/>
      <c r="B197" s="2475" t="str">
        <f>"รวมราคารายการที่ "&amp;A188</f>
        <v>รวมราคารายการที่ 7.10</v>
      </c>
      <c r="C197" s="2476"/>
      <c r="D197" s="2476"/>
      <c r="E197" s="1167"/>
      <c r="F197" s="1381"/>
      <c r="G197" s="1168"/>
      <c r="H197" s="1169">
        <f>SUM(H188:H196)</f>
        <v>514387</v>
      </c>
      <c r="I197" s="1170"/>
      <c r="J197" s="1382">
        <f>SUM(J188:J196)</f>
        <v>345808</v>
      </c>
      <c r="K197" s="1171">
        <f>SUM(K188:K196)</f>
        <v>860195</v>
      </c>
      <c r="L197" s="1171"/>
      <c r="M197" s="1322"/>
    </row>
    <row r="198" spans="1:14" s="1329" customFormat="1" ht="24" customHeight="1">
      <c r="A198" s="1325" t="s">
        <v>2077</v>
      </c>
      <c r="B198" s="1326" t="s">
        <v>1959</v>
      </c>
      <c r="C198" s="1347"/>
      <c r="D198" s="901"/>
      <c r="E198" s="1019"/>
      <c r="F198" s="1310"/>
      <c r="G198" s="1400"/>
      <c r="H198" s="864"/>
      <c r="I198" s="1400"/>
      <c r="J198" s="1395"/>
      <c r="K198" s="966"/>
      <c r="L198" s="1019"/>
      <c r="M198" s="1328"/>
    </row>
    <row r="199" spans="1:14" s="1329" customFormat="1" ht="24" customHeight="1">
      <c r="A199" s="1330" t="s">
        <v>2079</v>
      </c>
      <c r="B199" s="1331" t="s">
        <v>1961</v>
      </c>
      <c r="C199" s="1349"/>
      <c r="D199" s="801"/>
      <c r="E199" s="966"/>
      <c r="F199" s="1249"/>
      <c r="G199" s="1394"/>
      <c r="H199" s="864"/>
      <c r="I199" s="1394"/>
      <c r="J199" s="1395"/>
      <c r="K199" s="966"/>
      <c r="L199" s="966"/>
      <c r="M199" s="1328"/>
    </row>
    <row r="200" spans="1:14" s="1329" customFormat="1" ht="24" customHeight="1">
      <c r="A200" s="1038"/>
      <c r="B200" s="1127" t="s">
        <v>1962</v>
      </c>
      <c r="C200" s="1233"/>
      <c r="D200" s="809"/>
      <c r="E200" s="1345">
        <f>SUM(E190:E194)</f>
        <v>959</v>
      </c>
      <c r="F200" s="874" t="s">
        <v>1952</v>
      </c>
      <c r="G200" s="1257">
        <v>148</v>
      </c>
      <c r="H200" s="854">
        <f t="shared" ref="H200:H203" si="49">ROUND(E200*G200,)</f>
        <v>141932</v>
      </c>
      <c r="I200" s="1477">
        <v>45</v>
      </c>
      <c r="J200" s="1476">
        <f t="shared" ref="J200:J203" si="50">ROUND(E200*I200,)</f>
        <v>43155</v>
      </c>
      <c r="K200" s="1014">
        <f t="shared" ref="K200:K203" si="51">H200+J200</f>
        <v>185087</v>
      </c>
      <c r="L200" s="1007"/>
      <c r="M200" s="1328"/>
    </row>
    <row r="201" spans="1:14" s="1329" customFormat="1" ht="24" customHeight="1">
      <c r="A201" s="1038"/>
      <c r="B201" s="1127" t="s">
        <v>2115</v>
      </c>
      <c r="C201" s="1233"/>
      <c r="D201" s="809"/>
      <c r="E201" s="1345"/>
      <c r="F201" s="874" t="s">
        <v>1952</v>
      </c>
      <c r="G201" s="1257">
        <v>212</v>
      </c>
      <c r="H201" s="854">
        <f t="shared" si="49"/>
        <v>0</v>
      </c>
      <c r="I201" s="1477">
        <v>45</v>
      </c>
      <c r="J201" s="1476">
        <f t="shared" si="50"/>
        <v>0</v>
      </c>
      <c r="K201" s="1014">
        <f t="shared" si="51"/>
        <v>0</v>
      </c>
      <c r="L201" s="1007"/>
      <c r="M201" s="1328"/>
    </row>
    <row r="202" spans="1:14" s="1329" customFormat="1" ht="24" customHeight="1">
      <c r="A202" s="1038"/>
      <c r="B202" s="1127" t="s">
        <v>2116</v>
      </c>
      <c r="C202" s="1233"/>
      <c r="D202" s="809"/>
      <c r="E202" s="1345"/>
      <c r="F202" s="874" t="s">
        <v>1952</v>
      </c>
      <c r="G202" s="1257">
        <v>454</v>
      </c>
      <c r="H202" s="854">
        <f t="shared" si="49"/>
        <v>0</v>
      </c>
      <c r="I202" s="949">
        <f>ROUND(G202*0.3,)</f>
        <v>136</v>
      </c>
      <c r="J202" s="1476">
        <f t="shared" si="50"/>
        <v>0</v>
      </c>
      <c r="K202" s="1014">
        <f t="shared" si="51"/>
        <v>0</v>
      </c>
      <c r="L202" s="1007"/>
      <c r="M202" s="1328"/>
    </row>
    <row r="203" spans="1:14" s="1329" customFormat="1" ht="24" customHeight="1">
      <c r="A203" s="1330" t="s">
        <v>2196</v>
      </c>
      <c r="B203" s="1331" t="s">
        <v>1965</v>
      </c>
      <c r="C203" s="1349"/>
      <c r="D203" s="890"/>
      <c r="E203" s="966">
        <v>1</v>
      </c>
      <c r="F203" s="1348" t="s">
        <v>948</v>
      </c>
      <c r="G203" s="1394">
        <f>E200*40</f>
        <v>38360</v>
      </c>
      <c r="H203" s="854">
        <f t="shared" si="49"/>
        <v>38360</v>
      </c>
      <c r="I203" s="1406">
        <f>E200*15</f>
        <v>14385</v>
      </c>
      <c r="J203" s="1476">
        <f t="shared" si="50"/>
        <v>14385</v>
      </c>
      <c r="K203" s="1014">
        <f t="shared" si="51"/>
        <v>52745</v>
      </c>
      <c r="L203" s="1030"/>
      <c r="M203" s="1328"/>
    </row>
    <row r="204" spans="1:14" s="714" customFormat="1" ht="30" customHeight="1">
      <c r="A204" s="1166"/>
      <c r="B204" s="2475" t="str">
        <f>"รวมราคารายการที่ "&amp;A198</f>
        <v>รวมราคารายการที่ 7.11</v>
      </c>
      <c r="C204" s="2476"/>
      <c r="D204" s="2476"/>
      <c r="E204" s="1167"/>
      <c r="F204" s="1381"/>
      <c r="G204" s="1168"/>
      <c r="H204" s="1169">
        <f>SUM(H198:H203)</f>
        <v>180292</v>
      </c>
      <c r="I204" s="1170"/>
      <c r="J204" s="1382">
        <f>SUM(J198:J203)</f>
        <v>57540</v>
      </c>
      <c r="K204" s="1171">
        <f>SUM(K198:K203)</f>
        <v>237832</v>
      </c>
      <c r="L204" s="1171"/>
      <c r="M204" s="1322"/>
    </row>
    <row r="205" spans="1:14" s="1329" customFormat="1" ht="24" customHeight="1">
      <c r="A205" s="1325" t="s">
        <v>2197</v>
      </c>
      <c r="B205" s="1326" t="s">
        <v>1968</v>
      </c>
      <c r="C205" s="1347"/>
      <c r="D205" s="901"/>
      <c r="E205" s="1019"/>
      <c r="F205" s="1310"/>
      <c r="G205" s="1400"/>
      <c r="H205" s="864"/>
      <c r="I205" s="1400"/>
      <c r="J205" s="1395"/>
      <c r="K205" s="966"/>
      <c r="L205" s="1019"/>
      <c r="M205" s="1328"/>
    </row>
    <row r="206" spans="1:14" s="1329" customFormat="1" ht="24" customHeight="1">
      <c r="A206" s="1330" t="s">
        <v>2198</v>
      </c>
      <c r="B206" s="1331" t="s">
        <v>2041</v>
      </c>
      <c r="C206" s="1349"/>
      <c r="D206" s="801"/>
      <c r="E206" s="966"/>
      <c r="F206" s="1249"/>
      <c r="G206" s="1394"/>
      <c r="H206" s="864"/>
      <c r="I206" s="1394"/>
      <c r="J206" s="1395"/>
      <c r="K206" s="966"/>
      <c r="L206" s="966"/>
      <c r="M206" s="1328"/>
    </row>
    <row r="207" spans="1:14" s="1329" customFormat="1" ht="24" customHeight="1">
      <c r="A207" s="1330"/>
      <c r="B207" s="1331" t="str">
        <f t="shared" ref="B207:B215" si="52">"  -  "&amp;M207&amp;" มม."</f>
        <v xml:space="preserve">  -  200x150 มม.</v>
      </c>
      <c r="C207" s="1349"/>
      <c r="D207" s="801"/>
      <c r="E207" s="1350">
        <f t="shared" ref="E207:E215" si="53">N207</f>
        <v>2</v>
      </c>
      <c r="F207" s="1249" t="str">
        <f t="shared" ref="F207:F215" si="54">IF(E207="","","ชุด")</f>
        <v>ชุด</v>
      </c>
      <c r="G207" s="1394">
        <v>500</v>
      </c>
      <c r="H207" s="854">
        <f t="shared" ref="H207:H215" si="55">ROUND(E207*G207,)</f>
        <v>1000</v>
      </c>
      <c r="I207" s="1394">
        <v>100</v>
      </c>
      <c r="J207" s="1395">
        <f t="shared" ref="J207:J215" si="56">ROUND(E207*I207,)</f>
        <v>200</v>
      </c>
      <c r="K207" s="966">
        <f t="shared" ref="K207:K215" si="57">H207+J207</f>
        <v>1200</v>
      </c>
      <c r="L207" s="966"/>
      <c r="M207" s="1420" t="s">
        <v>2199</v>
      </c>
      <c r="N207">
        <v>2</v>
      </c>
    </row>
    <row r="208" spans="1:14" s="1329" customFormat="1" ht="24" customHeight="1">
      <c r="A208" s="1330"/>
      <c r="B208" s="1331" t="str">
        <f t="shared" si="52"/>
        <v xml:space="preserve">  -  200x200 มม.</v>
      </c>
      <c r="C208" s="1349"/>
      <c r="D208" s="801"/>
      <c r="E208" s="1350">
        <f t="shared" si="53"/>
        <v>10</v>
      </c>
      <c r="F208" s="1249" t="str">
        <f t="shared" si="54"/>
        <v>ชุด</v>
      </c>
      <c r="G208" s="1394">
        <v>500</v>
      </c>
      <c r="H208" s="854">
        <f t="shared" si="55"/>
        <v>5000</v>
      </c>
      <c r="I208" s="1394">
        <v>100</v>
      </c>
      <c r="J208" s="1395">
        <f t="shared" si="56"/>
        <v>1000</v>
      </c>
      <c r="K208" s="966">
        <f t="shared" si="57"/>
        <v>6000</v>
      </c>
      <c r="L208" s="966"/>
      <c r="M208" s="1420" t="s">
        <v>2042</v>
      </c>
      <c r="N208">
        <v>10</v>
      </c>
    </row>
    <row r="209" spans="1:14" s="1329" customFormat="1" ht="24" customHeight="1">
      <c r="A209" s="1330"/>
      <c r="B209" s="1331" t="str">
        <f t="shared" si="52"/>
        <v xml:space="preserve">  -  200x500 มม.</v>
      </c>
      <c r="C209" s="1349"/>
      <c r="D209" s="801"/>
      <c r="E209" s="1350">
        <f t="shared" si="53"/>
        <v>1</v>
      </c>
      <c r="F209" s="1249" t="str">
        <f t="shared" si="54"/>
        <v>ชุด</v>
      </c>
      <c r="G209" s="1394">
        <v>700</v>
      </c>
      <c r="H209" s="854">
        <f t="shared" si="55"/>
        <v>700</v>
      </c>
      <c r="I209" s="1394">
        <v>100</v>
      </c>
      <c r="J209" s="1395">
        <f t="shared" si="56"/>
        <v>100</v>
      </c>
      <c r="K209" s="966">
        <f t="shared" si="57"/>
        <v>800</v>
      </c>
      <c r="L209" s="966"/>
      <c r="M209" s="1420" t="s">
        <v>2352</v>
      </c>
      <c r="N209">
        <v>1</v>
      </c>
    </row>
    <row r="210" spans="1:14" s="1329" customFormat="1" ht="24" customHeight="1">
      <c r="A210" s="1330"/>
      <c r="B210" s="1331" t="str">
        <f t="shared" si="52"/>
        <v xml:space="preserve">  -  250x200 มม.</v>
      </c>
      <c r="C210" s="1349"/>
      <c r="D210" s="801"/>
      <c r="E210" s="1350">
        <f t="shared" si="53"/>
        <v>2</v>
      </c>
      <c r="F210" s="1249" t="str">
        <f t="shared" si="54"/>
        <v>ชุด</v>
      </c>
      <c r="G210" s="1394">
        <v>500</v>
      </c>
      <c r="H210" s="854">
        <f t="shared" si="55"/>
        <v>1000</v>
      </c>
      <c r="I210" s="1394">
        <v>100</v>
      </c>
      <c r="J210" s="1395">
        <f t="shared" si="56"/>
        <v>200</v>
      </c>
      <c r="K210" s="966">
        <f t="shared" si="57"/>
        <v>1200</v>
      </c>
      <c r="L210" s="966"/>
      <c r="M210" s="1420" t="s">
        <v>2056</v>
      </c>
      <c r="N210">
        <v>2</v>
      </c>
    </row>
    <row r="211" spans="1:14" s="1329" customFormat="1" ht="24" customHeight="1">
      <c r="A211" s="1330"/>
      <c r="B211" s="1331" t="str">
        <f t="shared" si="52"/>
        <v xml:space="preserve">  -  300x250 มม.</v>
      </c>
      <c r="C211" s="1349"/>
      <c r="D211" s="801"/>
      <c r="E211" s="1350">
        <f t="shared" si="53"/>
        <v>32</v>
      </c>
      <c r="F211" s="1249" t="str">
        <f t="shared" si="54"/>
        <v>ชุด</v>
      </c>
      <c r="G211" s="1394">
        <v>500</v>
      </c>
      <c r="H211" s="854">
        <f t="shared" si="55"/>
        <v>16000</v>
      </c>
      <c r="I211" s="1394">
        <v>100</v>
      </c>
      <c r="J211" s="1395">
        <f t="shared" si="56"/>
        <v>3200</v>
      </c>
      <c r="K211" s="966">
        <f t="shared" si="57"/>
        <v>19200</v>
      </c>
      <c r="L211" s="966"/>
      <c r="M211" s="1420" t="s">
        <v>2200</v>
      </c>
      <c r="N211">
        <v>32</v>
      </c>
    </row>
    <row r="212" spans="1:14" s="1329" customFormat="1" ht="24" customHeight="1">
      <c r="A212" s="1330"/>
      <c r="B212" s="1331" t="str">
        <f t="shared" si="52"/>
        <v xml:space="preserve">  -  650x650 มม.</v>
      </c>
      <c r="C212" s="1349"/>
      <c r="D212" s="801"/>
      <c r="E212" s="1350">
        <f t="shared" si="53"/>
        <v>4</v>
      </c>
      <c r="F212" s="1249" t="str">
        <f t="shared" si="54"/>
        <v>ชุด</v>
      </c>
      <c r="G212" s="1394">
        <v>1300</v>
      </c>
      <c r="H212" s="854">
        <f t="shared" si="55"/>
        <v>5200</v>
      </c>
      <c r="I212" s="1394">
        <v>100</v>
      </c>
      <c r="J212" s="1395">
        <f t="shared" si="56"/>
        <v>400</v>
      </c>
      <c r="K212" s="966">
        <f t="shared" si="57"/>
        <v>5600</v>
      </c>
      <c r="L212" s="966"/>
      <c r="M212" s="1420" t="s">
        <v>2045</v>
      </c>
      <c r="N212">
        <v>4</v>
      </c>
    </row>
    <row r="213" spans="1:14" s="1329" customFormat="1" ht="24" customHeight="1">
      <c r="A213" s="1330"/>
      <c r="B213" s="1331" t="str">
        <f t="shared" si="52"/>
        <v xml:space="preserve">  -  150x150 มม.</v>
      </c>
      <c r="C213" s="1349"/>
      <c r="D213" s="801"/>
      <c r="E213" s="1350">
        <f t="shared" si="53"/>
        <v>3</v>
      </c>
      <c r="F213" s="1249" t="str">
        <f t="shared" si="54"/>
        <v>ชุด</v>
      </c>
      <c r="G213" s="1394">
        <v>500</v>
      </c>
      <c r="H213" s="854">
        <f t="shared" si="55"/>
        <v>1500</v>
      </c>
      <c r="I213" s="1394">
        <v>100</v>
      </c>
      <c r="J213" s="1395">
        <f t="shared" si="56"/>
        <v>300</v>
      </c>
      <c r="K213" s="966">
        <f t="shared" si="57"/>
        <v>1800</v>
      </c>
      <c r="L213" s="966"/>
      <c r="M213" s="1420" t="s">
        <v>2225</v>
      </c>
      <c r="N213">
        <v>3</v>
      </c>
    </row>
    <row r="214" spans="1:14" s="1329" customFormat="1" ht="24" customHeight="1">
      <c r="A214" s="1330"/>
      <c r="B214" s="1331" t="str">
        <f t="shared" si="52"/>
        <v xml:space="preserve">  -  500x200 มม.</v>
      </c>
      <c r="C214" s="1349"/>
      <c r="D214" s="801"/>
      <c r="E214" s="1350">
        <f t="shared" si="53"/>
        <v>4</v>
      </c>
      <c r="F214" s="1249" t="str">
        <f t="shared" si="54"/>
        <v>ชุด</v>
      </c>
      <c r="G214" s="1394">
        <v>700</v>
      </c>
      <c r="H214" s="854">
        <f t="shared" si="55"/>
        <v>2800</v>
      </c>
      <c r="I214" s="1394">
        <v>100</v>
      </c>
      <c r="J214" s="1395">
        <f t="shared" si="56"/>
        <v>400</v>
      </c>
      <c r="K214" s="966">
        <f t="shared" si="57"/>
        <v>3200</v>
      </c>
      <c r="L214" s="966"/>
      <c r="M214" s="1420" t="s">
        <v>2296</v>
      </c>
      <c r="N214">
        <v>4</v>
      </c>
    </row>
    <row r="215" spans="1:14" s="1329" customFormat="1" ht="24" customHeight="1">
      <c r="A215" s="1330"/>
      <c r="B215" s="1331" t="str">
        <f t="shared" si="52"/>
        <v xml:space="preserve">  -  500x500 มม.</v>
      </c>
      <c r="C215" s="1349"/>
      <c r="D215" s="801"/>
      <c r="E215" s="1350">
        <f t="shared" si="53"/>
        <v>2</v>
      </c>
      <c r="F215" s="1249" t="str">
        <f t="shared" si="54"/>
        <v>ชุด</v>
      </c>
      <c r="G215" s="1394">
        <v>1000</v>
      </c>
      <c r="H215" s="854">
        <f t="shared" si="55"/>
        <v>2000</v>
      </c>
      <c r="I215" s="1406">
        <v>200</v>
      </c>
      <c r="J215" s="1395">
        <f t="shared" si="56"/>
        <v>400</v>
      </c>
      <c r="K215" s="966">
        <f t="shared" si="57"/>
        <v>2400</v>
      </c>
      <c r="L215" s="966"/>
      <c r="M215" s="1420" t="s">
        <v>2043</v>
      </c>
      <c r="N215">
        <v>2</v>
      </c>
    </row>
    <row r="216" spans="1:14" s="1329" customFormat="1" ht="24" customHeight="1">
      <c r="A216" s="1330" t="s">
        <v>2208</v>
      </c>
      <c r="B216" s="1331" t="s">
        <v>2049</v>
      </c>
      <c r="C216" s="1349"/>
      <c r="D216" s="801"/>
      <c r="E216" s="966"/>
      <c r="F216" s="1249"/>
      <c r="G216" s="1394"/>
      <c r="H216" s="864"/>
      <c r="I216" s="1394"/>
      <c r="J216" s="1395"/>
      <c r="K216" s="966"/>
      <c r="L216" s="966"/>
      <c r="M216" s="1328"/>
    </row>
    <row r="217" spans="1:14" s="1329" customFormat="1" ht="24" customHeight="1">
      <c r="A217" s="1330"/>
      <c r="B217" s="1331" t="str">
        <f t="shared" ref="B217:B220" si="58">"  -  "&amp;M217&amp;" มม."</f>
        <v xml:space="preserve">  -  300x200 มม.</v>
      </c>
      <c r="C217" s="1349"/>
      <c r="D217" s="801"/>
      <c r="E217" s="1350">
        <f t="shared" ref="E217:E220" si="59">N217</f>
        <v>18</v>
      </c>
      <c r="F217" s="1249" t="str">
        <f t="shared" ref="F217:F223" si="60">IF(E217="","","ชุด")</f>
        <v>ชุด</v>
      </c>
      <c r="G217" s="1394">
        <v>500</v>
      </c>
      <c r="H217" s="854">
        <f t="shared" ref="H217:H220" si="61">ROUND(E217*G217,)</f>
        <v>9000</v>
      </c>
      <c r="I217" s="1394">
        <v>100</v>
      </c>
      <c r="J217" s="1395">
        <f t="shared" ref="J217:J218" si="62">ROUND(E217*I217,)</f>
        <v>1800</v>
      </c>
      <c r="K217" s="966">
        <f t="shared" ref="K217:K218" si="63">H217+J217</f>
        <v>10800</v>
      </c>
      <c r="L217" s="966"/>
      <c r="M217" s="1420" t="s">
        <v>2050</v>
      </c>
      <c r="N217">
        <v>18</v>
      </c>
    </row>
    <row r="218" spans="1:14" s="1329" customFormat="1" ht="24" customHeight="1">
      <c r="A218" s="1330"/>
      <c r="B218" s="1331" t="str">
        <f t="shared" si="58"/>
        <v xml:space="preserve">  -  350x200 มม.</v>
      </c>
      <c r="C218" s="1349"/>
      <c r="D218" s="801"/>
      <c r="E218" s="1350">
        <f t="shared" si="59"/>
        <v>2</v>
      </c>
      <c r="F218" s="1249" t="str">
        <f t="shared" si="60"/>
        <v>ชุด</v>
      </c>
      <c r="G218" s="1394">
        <v>500</v>
      </c>
      <c r="H218" s="854">
        <f t="shared" si="61"/>
        <v>1000</v>
      </c>
      <c r="I218" s="1394">
        <v>100</v>
      </c>
      <c r="J218" s="1395">
        <f t="shared" si="62"/>
        <v>200</v>
      </c>
      <c r="K218" s="966">
        <f t="shared" si="63"/>
        <v>1200</v>
      </c>
      <c r="L218" s="966"/>
      <c r="M218" s="1420" t="s">
        <v>2209</v>
      </c>
      <c r="N218">
        <v>2</v>
      </c>
    </row>
    <row r="219" spans="1:14" s="1329" customFormat="1" ht="24" customHeight="1">
      <c r="A219" s="1330" t="s">
        <v>2211</v>
      </c>
      <c r="B219" t="s">
        <v>2052</v>
      </c>
      <c r="C219" s="1349"/>
      <c r="D219" s="801"/>
      <c r="E219" s="966"/>
      <c r="F219" s="1249"/>
      <c r="G219" s="1394"/>
      <c r="H219" s="864"/>
      <c r="I219" s="1394"/>
      <c r="J219" s="1395"/>
      <c r="K219" s="966"/>
      <c r="L219" s="966"/>
      <c r="M219" s="1328"/>
    </row>
    <row r="220" spans="1:14" s="1329" customFormat="1" ht="24" customHeight="1">
      <c r="A220" s="1330"/>
      <c r="B220" s="1331" t="str">
        <f t="shared" si="58"/>
        <v xml:space="preserve">  -  6500x2400 มม.</v>
      </c>
      <c r="C220" s="1349"/>
      <c r="D220" s="801"/>
      <c r="E220" s="1350">
        <f t="shared" si="59"/>
        <v>4</v>
      </c>
      <c r="F220" s="1249" t="str">
        <f t="shared" si="60"/>
        <v>ชุด</v>
      </c>
      <c r="G220" s="1394">
        <v>8900</v>
      </c>
      <c r="H220" s="854">
        <f t="shared" si="61"/>
        <v>35600</v>
      </c>
      <c r="I220" s="1394">
        <v>500</v>
      </c>
      <c r="J220" s="1395">
        <f t="shared" ref="J220" si="64">ROUND(E220*I220,)</f>
        <v>2000</v>
      </c>
      <c r="K220" s="966">
        <f t="shared" ref="K220" si="65">H220+J220</f>
        <v>37600</v>
      </c>
      <c r="L220" s="966"/>
      <c r="M220" s="1420" t="s">
        <v>2353</v>
      </c>
      <c r="N220">
        <v>4</v>
      </c>
    </row>
    <row r="221" spans="1:14" s="1329" customFormat="1" ht="24" customHeight="1">
      <c r="A221" s="1330" t="s">
        <v>2213</v>
      </c>
      <c r="B221" s="1331" t="s">
        <v>2219</v>
      </c>
      <c r="C221" s="1349"/>
      <c r="D221" s="801"/>
      <c r="E221" s="966"/>
      <c r="F221" s="1249"/>
      <c r="G221" s="1394"/>
      <c r="H221" s="864"/>
      <c r="I221" s="1394"/>
      <c r="J221" s="1395"/>
      <c r="K221" s="966"/>
      <c r="L221" s="966"/>
      <c r="M221" s="1328"/>
    </row>
    <row r="222" spans="1:14" s="1329" customFormat="1" ht="24" customHeight="1">
      <c r="A222" s="1330"/>
      <c r="B222" s="1331" t="s">
        <v>2354</v>
      </c>
      <c r="C222" s="1349"/>
      <c r="D222" s="801"/>
      <c r="E222" s="1350">
        <v>1</v>
      </c>
      <c r="F222" s="1249" t="str">
        <f t="shared" si="60"/>
        <v>ชุด</v>
      </c>
      <c r="G222" s="1394">
        <v>1500</v>
      </c>
      <c r="H222" s="854">
        <f t="shared" ref="H222:H256" si="66">ROUND(E222*G222,)</f>
        <v>1500</v>
      </c>
      <c r="I222" s="1394">
        <v>500</v>
      </c>
      <c r="J222" s="1395">
        <f t="shared" ref="J222:J223" si="67">ROUND(E222*I222,)</f>
        <v>500</v>
      </c>
      <c r="K222" s="966">
        <f t="shared" ref="K222:K223" si="68">H222+J222</f>
        <v>2000</v>
      </c>
      <c r="L222" s="966"/>
      <c r="M222" s="1328"/>
    </row>
    <row r="223" spans="1:14" s="1329" customFormat="1" ht="24" customHeight="1">
      <c r="A223" s="1330"/>
      <c r="B223" s="1331" t="s">
        <v>2355</v>
      </c>
      <c r="C223" s="1349"/>
      <c r="D223" s="801"/>
      <c r="E223" s="1350">
        <v>1</v>
      </c>
      <c r="F223" s="1249" t="str">
        <f t="shared" si="60"/>
        <v>ชุด</v>
      </c>
      <c r="G223" s="1394">
        <v>2000</v>
      </c>
      <c r="H223" s="854">
        <f t="shared" si="66"/>
        <v>2000</v>
      </c>
      <c r="I223" s="1394">
        <v>500</v>
      </c>
      <c r="J223" s="1395">
        <f t="shared" si="67"/>
        <v>500</v>
      </c>
      <c r="K223" s="966">
        <f t="shared" si="68"/>
        <v>2500</v>
      </c>
      <c r="L223" s="966"/>
      <c r="M223" s="1328"/>
    </row>
    <row r="224" spans="1:14" s="1329" customFormat="1" ht="24" customHeight="1">
      <c r="A224" s="1330" t="s">
        <v>2218</v>
      </c>
      <c r="B224" s="1331" t="s">
        <v>2055</v>
      </c>
      <c r="C224" s="1349"/>
      <c r="D224" s="801"/>
      <c r="E224" s="966"/>
      <c r="F224" s="865"/>
      <c r="G224" s="1394"/>
      <c r="H224" s="864"/>
      <c r="I224" s="1394"/>
      <c r="J224" s="1395"/>
      <c r="K224" s="966"/>
      <c r="L224" s="966"/>
      <c r="M224" s="1328"/>
    </row>
    <row r="225" spans="1:14" s="1329" customFormat="1" ht="24" customHeight="1">
      <c r="A225" s="1330"/>
      <c r="B225" s="1331" t="str">
        <f t="shared" ref="B225:B247" si="69">"  -  "&amp;M225&amp;" มม."</f>
        <v xml:space="preserve">  -  100x100 มม.</v>
      </c>
      <c r="C225" s="1349"/>
      <c r="D225" s="801"/>
      <c r="E225" s="1350">
        <f t="shared" ref="E225:E247" si="70">N225</f>
        <v>6</v>
      </c>
      <c r="F225" s="865" t="str">
        <f t="shared" ref="F225:F247" si="71">IF(E225="","","ชุด")</f>
        <v>ชุด</v>
      </c>
      <c r="G225" s="1394">
        <v>1000</v>
      </c>
      <c r="H225" s="854">
        <f t="shared" si="66"/>
        <v>6000</v>
      </c>
      <c r="I225" s="1394">
        <v>300</v>
      </c>
      <c r="J225" s="1395">
        <f t="shared" ref="J225:J247" si="72">ROUND(E225*I225,)</f>
        <v>1800</v>
      </c>
      <c r="K225" s="966">
        <f t="shared" ref="K225:K247" si="73">H225+J225</f>
        <v>7800</v>
      </c>
      <c r="L225" s="966"/>
      <c r="M225" s="1328" t="s">
        <v>2356</v>
      </c>
      <c r="N225" s="1329">
        <v>6</v>
      </c>
    </row>
    <row r="226" spans="1:14" s="1329" customFormat="1" ht="24" customHeight="1">
      <c r="A226" s="1330"/>
      <c r="B226" s="1331" t="str">
        <f t="shared" si="69"/>
        <v xml:space="preserve">  -  150x150 มม.</v>
      </c>
      <c r="C226" s="1349"/>
      <c r="D226" s="801"/>
      <c r="E226" s="1350">
        <f t="shared" si="70"/>
        <v>8</v>
      </c>
      <c r="F226" s="865" t="str">
        <f t="shared" si="71"/>
        <v>ชุด</v>
      </c>
      <c r="G226" s="1394">
        <v>1000</v>
      </c>
      <c r="H226" s="854">
        <f t="shared" si="66"/>
        <v>8000</v>
      </c>
      <c r="I226" s="1394">
        <v>300</v>
      </c>
      <c r="J226" s="1395">
        <f t="shared" si="72"/>
        <v>2400</v>
      </c>
      <c r="K226" s="966">
        <f t="shared" si="73"/>
        <v>10400</v>
      </c>
      <c r="L226" s="966"/>
      <c r="M226" s="1328" t="s">
        <v>2225</v>
      </c>
      <c r="N226" s="1329">
        <v>8</v>
      </c>
    </row>
    <row r="227" spans="1:14" s="1329" customFormat="1" ht="24" customHeight="1">
      <c r="A227" s="1330"/>
      <c r="B227" s="1331" t="str">
        <f t="shared" si="69"/>
        <v xml:space="preserve">  -  150x400 มม.</v>
      </c>
      <c r="C227" s="1349"/>
      <c r="D227" s="801"/>
      <c r="E227" s="1350">
        <f t="shared" si="70"/>
        <v>1</v>
      </c>
      <c r="F227" s="865" t="str">
        <f t="shared" si="71"/>
        <v>ชุด</v>
      </c>
      <c r="G227" s="1394">
        <v>1000</v>
      </c>
      <c r="H227" s="854">
        <f t="shared" si="66"/>
        <v>1000</v>
      </c>
      <c r="I227" s="865">
        <v>300</v>
      </c>
      <c r="J227" s="1395">
        <f t="shared" si="72"/>
        <v>300</v>
      </c>
      <c r="K227" s="966">
        <f t="shared" si="73"/>
        <v>1300</v>
      </c>
      <c r="L227" s="966"/>
      <c r="M227" s="1328" t="s">
        <v>2357</v>
      </c>
      <c r="N227" s="1329">
        <v>1</v>
      </c>
    </row>
    <row r="228" spans="1:14" s="1329" customFormat="1" ht="24" customHeight="1">
      <c r="A228" s="1330"/>
      <c r="B228" s="1331" t="str">
        <f t="shared" si="69"/>
        <v xml:space="preserve">  -  250x200 มม.</v>
      </c>
      <c r="C228" s="1349"/>
      <c r="D228" s="801"/>
      <c r="E228" s="1350">
        <f t="shared" si="70"/>
        <v>13</v>
      </c>
      <c r="F228" s="865" t="str">
        <f t="shared" si="71"/>
        <v>ชุด</v>
      </c>
      <c r="G228" s="1394">
        <v>1100</v>
      </c>
      <c r="H228" s="854">
        <f t="shared" si="66"/>
        <v>14300</v>
      </c>
      <c r="I228" s="865">
        <v>300</v>
      </c>
      <c r="J228" s="1395">
        <f t="shared" si="72"/>
        <v>3900</v>
      </c>
      <c r="K228" s="966">
        <f t="shared" si="73"/>
        <v>18200</v>
      </c>
      <c r="L228" s="966"/>
      <c r="M228" s="1328" t="s">
        <v>2056</v>
      </c>
      <c r="N228" s="1329">
        <v>13</v>
      </c>
    </row>
    <row r="229" spans="1:14" s="1329" customFormat="1" ht="24" customHeight="1">
      <c r="A229" s="1330"/>
      <c r="B229" s="1331" t="str">
        <f t="shared" si="69"/>
        <v xml:space="preserve">  -  400x250 มม.</v>
      </c>
      <c r="C229" s="1349"/>
      <c r="D229" s="801"/>
      <c r="E229" s="1350">
        <f t="shared" si="70"/>
        <v>1</v>
      </c>
      <c r="F229" s="865" t="str">
        <f t="shared" si="71"/>
        <v>ชุด</v>
      </c>
      <c r="G229" s="1394">
        <v>1400</v>
      </c>
      <c r="H229" s="854">
        <f t="shared" si="66"/>
        <v>1400</v>
      </c>
      <c r="I229" s="865">
        <v>300</v>
      </c>
      <c r="J229" s="1395">
        <f t="shared" si="72"/>
        <v>300</v>
      </c>
      <c r="K229" s="966">
        <f t="shared" si="73"/>
        <v>1700</v>
      </c>
      <c r="L229" s="966"/>
      <c r="M229" s="1328" t="s">
        <v>2210</v>
      </c>
      <c r="N229" s="1329">
        <v>1</v>
      </c>
    </row>
    <row r="230" spans="1:14" s="1329" customFormat="1" ht="24" customHeight="1">
      <c r="A230" s="1330"/>
      <c r="B230" s="1331" t="str">
        <f t="shared" si="69"/>
        <v xml:space="preserve">  -  450x250 มม.</v>
      </c>
      <c r="C230" s="1349"/>
      <c r="D230" s="801"/>
      <c r="E230" s="1350">
        <f t="shared" si="70"/>
        <v>1</v>
      </c>
      <c r="F230" s="865" t="str">
        <f t="shared" si="71"/>
        <v>ชุด</v>
      </c>
      <c r="G230" s="1394">
        <v>1400</v>
      </c>
      <c r="H230" s="854">
        <f t="shared" si="66"/>
        <v>1400</v>
      </c>
      <c r="I230" s="865">
        <v>300</v>
      </c>
      <c r="J230" s="1395">
        <f t="shared" si="72"/>
        <v>300</v>
      </c>
      <c r="K230" s="966">
        <f t="shared" si="73"/>
        <v>1700</v>
      </c>
      <c r="L230" s="966"/>
      <c r="M230" s="1328" t="s">
        <v>2358</v>
      </c>
      <c r="N230" s="1329">
        <v>1</v>
      </c>
    </row>
    <row r="231" spans="1:14" s="1329" customFormat="1" ht="24" customHeight="1">
      <c r="A231" s="1330"/>
      <c r="B231" s="1331" t="str">
        <f t="shared" si="69"/>
        <v xml:space="preserve">  -  500x250 มม.</v>
      </c>
      <c r="C231" s="1349"/>
      <c r="D231" s="801"/>
      <c r="E231" s="1350">
        <f t="shared" si="70"/>
        <v>3</v>
      </c>
      <c r="F231" s="865" t="str">
        <f t="shared" si="71"/>
        <v>ชุด</v>
      </c>
      <c r="G231" s="1394">
        <v>1500</v>
      </c>
      <c r="H231" s="854">
        <f t="shared" si="66"/>
        <v>4500</v>
      </c>
      <c r="I231" s="865">
        <v>300</v>
      </c>
      <c r="J231" s="1395">
        <f t="shared" si="72"/>
        <v>900</v>
      </c>
      <c r="K231" s="966">
        <f t="shared" si="73"/>
        <v>5400</v>
      </c>
      <c r="L231" s="966"/>
      <c r="M231" s="1328" t="s">
        <v>2227</v>
      </c>
      <c r="N231" s="1329">
        <v>3</v>
      </c>
    </row>
    <row r="232" spans="1:14" s="1329" customFormat="1" ht="24" customHeight="1">
      <c r="A232" s="1330"/>
      <c r="B232" s="1331" t="str">
        <f t="shared" si="69"/>
        <v xml:space="preserve">  -  500x500 มม.</v>
      </c>
      <c r="C232" s="1349"/>
      <c r="D232" s="801"/>
      <c r="E232" s="1350">
        <f t="shared" si="70"/>
        <v>2</v>
      </c>
      <c r="F232" s="865" t="str">
        <f t="shared" si="71"/>
        <v>ชุด</v>
      </c>
      <c r="G232" s="1394">
        <v>2500</v>
      </c>
      <c r="H232" s="854">
        <f t="shared" si="66"/>
        <v>5000</v>
      </c>
      <c r="I232" s="865">
        <v>300</v>
      </c>
      <c r="J232" s="1395">
        <f t="shared" si="72"/>
        <v>600</v>
      </c>
      <c r="K232" s="966">
        <f t="shared" si="73"/>
        <v>5600</v>
      </c>
      <c r="L232" s="966"/>
      <c r="M232" s="1328" t="s">
        <v>2043</v>
      </c>
      <c r="N232" s="1329">
        <v>2</v>
      </c>
    </row>
    <row r="233" spans="1:14" s="1329" customFormat="1" ht="24" customHeight="1">
      <c r="A233" s="1330"/>
      <c r="B233" s="1331" t="str">
        <f t="shared" si="69"/>
        <v xml:space="preserve">  -  650x650 มม.</v>
      </c>
      <c r="C233" s="1349"/>
      <c r="D233" s="801"/>
      <c r="E233" s="1350">
        <f t="shared" si="70"/>
        <v>4</v>
      </c>
      <c r="F233" s="865" t="str">
        <f t="shared" si="71"/>
        <v>ชุด</v>
      </c>
      <c r="G233" s="1394">
        <v>2600</v>
      </c>
      <c r="H233" s="854">
        <f t="shared" si="66"/>
        <v>10400</v>
      </c>
      <c r="I233" s="865">
        <v>300</v>
      </c>
      <c r="J233" s="1395">
        <f t="shared" si="72"/>
        <v>1200</v>
      </c>
      <c r="K233" s="966">
        <f t="shared" si="73"/>
        <v>11600</v>
      </c>
      <c r="L233" s="966"/>
      <c r="M233" s="1328" t="s">
        <v>2045</v>
      </c>
      <c r="N233" s="1329">
        <v>4</v>
      </c>
    </row>
    <row r="234" spans="1:14" s="1329" customFormat="1" ht="24" customHeight="1">
      <c r="A234" s="1330"/>
      <c r="B234" s="1331" t="str">
        <f t="shared" si="69"/>
        <v xml:space="preserve">  -  700x700 มม.</v>
      </c>
      <c r="C234" s="1349"/>
      <c r="D234" s="801"/>
      <c r="E234" s="1350">
        <f t="shared" si="70"/>
        <v>2</v>
      </c>
      <c r="F234" s="865" t="str">
        <f t="shared" si="71"/>
        <v>ชุด</v>
      </c>
      <c r="G234" s="1394">
        <v>2800</v>
      </c>
      <c r="H234" s="854">
        <f t="shared" si="66"/>
        <v>5600</v>
      </c>
      <c r="I234" s="865">
        <v>300</v>
      </c>
      <c r="J234" s="1395">
        <f t="shared" si="72"/>
        <v>600</v>
      </c>
      <c r="K234" s="966">
        <f t="shared" si="73"/>
        <v>6200</v>
      </c>
      <c r="L234" s="966"/>
      <c r="M234" s="1328" t="s">
        <v>2359</v>
      </c>
      <c r="N234" s="1329">
        <v>2</v>
      </c>
    </row>
    <row r="235" spans="1:14" s="1329" customFormat="1" ht="24" customHeight="1">
      <c r="A235" s="1330"/>
      <c r="B235" s="1331" t="str">
        <f t="shared" si="69"/>
        <v xml:space="preserve">  -  800x700 มม.</v>
      </c>
      <c r="C235" s="1349"/>
      <c r="D235" s="801"/>
      <c r="E235" s="1350">
        <f t="shared" si="70"/>
        <v>1</v>
      </c>
      <c r="F235" s="865" t="str">
        <f t="shared" si="71"/>
        <v>ชุด</v>
      </c>
      <c r="G235" s="1394">
        <v>3000</v>
      </c>
      <c r="H235" s="854">
        <f t="shared" si="66"/>
        <v>3000</v>
      </c>
      <c r="I235" s="865">
        <v>300</v>
      </c>
      <c r="J235" s="1395">
        <f t="shared" si="72"/>
        <v>300</v>
      </c>
      <c r="K235" s="966">
        <f t="shared" si="73"/>
        <v>3300</v>
      </c>
      <c r="L235" s="966"/>
      <c r="M235" s="1328" t="s">
        <v>2360</v>
      </c>
      <c r="N235" s="1329">
        <v>1</v>
      </c>
    </row>
    <row r="236" spans="1:14" s="1329" customFormat="1" ht="24" customHeight="1">
      <c r="A236" s="1330"/>
      <c r="B236" s="1331" t="str">
        <f t="shared" si="69"/>
        <v xml:space="preserve">  -  850x500 มม.</v>
      </c>
      <c r="C236" s="1349"/>
      <c r="D236" s="801"/>
      <c r="E236" s="1350">
        <f t="shared" si="70"/>
        <v>1</v>
      </c>
      <c r="F236" s="865" t="str">
        <f t="shared" si="71"/>
        <v>ชุด</v>
      </c>
      <c r="G236" s="1394">
        <v>2700</v>
      </c>
      <c r="H236" s="854">
        <f t="shared" si="66"/>
        <v>2700</v>
      </c>
      <c r="I236" s="865">
        <v>300</v>
      </c>
      <c r="J236" s="1395">
        <f t="shared" si="72"/>
        <v>300</v>
      </c>
      <c r="K236" s="966">
        <f t="shared" si="73"/>
        <v>3000</v>
      </c>
      <c r="L236" s="966"/>
      <c r="M236" s="1328" t="s">
        <v>2361</v>
      </c>
      <c r="N236" s="1329">
        <v>1</v>
      </c>
    </row>
    <row r="237" spans="1:14" s="1329" customFormat="1" ht="24" customHeight="1">
      <c r="A237" s="1330"/>
      <c r="B237" s="1331" t="str">
        <f t="shared" si="69"/>
        <v xml:space="preserve">  -  1000x350 มม.</v>
      </c>
      <c r="C237" s="1349"/>
      <c r="D237" s="801"/>
      <c r="E237" s="1350">
        <f t="shared" si="70"/>
        <v>1</v>
      </c>
      <c r="F237" s="865" t="str">
        <f t="shared" si="71"/>
        <v>ชุด</v>
      </c>
      <c r="G237" s="1394">
        <v>2700</v>
      </c>
      <c r="H237" s="854">
        <f t="shared" si="66"/>
        <v>2700</v>
      </c>
      <c r="I237" s="865">
        <v>325</v>
      </c>
      <c r="J237" s="1395">
        <f t="shared" si="72"/>
        <v>325</v>
      </c>
      <c r="K237" s="966">
        <f t="shared" si="73"/>
        <v>3025</v>
      </c>
      <c r="L237" s="966"/>
      <c r="M237" s="1328" t="s">
        <v>2362</v>
      </c>
      <c r="N237" s="1329">
        <v>1</v>
      </c>
    </row>
    <row r="238" spans="1:14" s="1329" customFormat="1" ht="24" customHeight="1">
      <c r="A238" s="1330"/>
      <c r="B238" s="1331" t="str">
        <f t="shared" si="69"/>
        <v xml:space="preserve">  -  1000x450 มม.</v>
      </c>
      <c r="C238" s="1349"/>
      <c r="D238" s="801"/>
      <c r="E238" s="1350">
        <f t="shared" si="70"/>
        <v>1</v>
      </c>
      <c r="F238" s="867" t="str">
        <f t="shared" si="71"/>
        <v>ชุด</v>
      </c>
      <c r="G238" s="1249">
        <v>2900</v>
      </c>
      <c r="H238" s="854">
        <f t="shared" si="66"/>
        <v>2900</v>
      </c>
      <c r="I238" s="865">
        <v>325</v>
      </c>
      <c r="J238" s="864">
        <f t="shared" si="72"/>
        <v>325</v>
      </c>
      <c r="K238" s="867">
        <f t="shared" si="73"/>
        <v>3225</v>
      </c>
      <c r="L238" s="867"/>
      <c r="M238" s="1328" t="s">
        <v>2363</v>
      </c>
      <c r="N238" s="1329">
        <v>1</v>
      </c>
    </row>
    <row r="239" spans="1:14" s="1329" customFormat="1" ht="24" customHeight="1">
      <c r="A239" s="1330"/>
      <c r="B239" s="1331" t="str">
        <f t="shared" si="69"/>
        <v xml:space="preserve">  -  1050x300 มม.</v>
      </c>
      <c r="C239" s="1349"/>
      <c r="D239" s="801"/>
      <c r="E239" s="1350">
        <f t="shared" si="70"/>
        <v>1</v>
      </c>
      <c r="F239" s="867" t="str">
        <f t="shared" si="71"/>
        <v>ชุด</v>
      </c>
      <c r="G239" s="1249">
        <v>2700</v>
      </c>
      <c r="H239" s="854">
        <f t="shared" si="66"/>
        <v>2700</v>
      </c>
      <c r="I239" s="865">
        <v>325</v>
      </c>
      <c r="J239" s="864">
        <f t="shared" si="72"/>
        <v>325</v>
      </c>
      <c r="K239" s="867">
        <f t="shared" si="73"/>
        <v>3025</v>
      </c>
      <c r="L239" s="867"/>
      <c r="M239" s="1328" t="s">
        <v>2240</v>
      </c>
      <c r="N239" s="1329">
        <v>1</v>
      </c>
    </row>
    <row r="240" spans="1:14" s="1329" customFormat="1" ht="24" customHeight="1">
      <c r="A240" s="1330"/>
      <c r="B240" s="1331" t="str">
        <f t="shared" si="69"/>
        <v xml:space="preserve">  -  1100x400 มม.</v>
      </c>
      <c r="C240" s="1349"/>
      <c r="D240" s="801"/>
      <c r="E240" s="1350">
        <f t="shared" si="70"/>
        <v>2</v>
      </c>
      <c r="F240" s="867" t="str">
        <f t="shared" si="71"/>
        <v>ชุด</v>
      </c>
      <c r="G240" s="1249">
        <v>3000</v>
      </c>
      <c r="H240" s="854">
        <f t="shared" si="66"/>
        <v>6000</v>
      </c>
      <c r="I240" s="865">
        <v>325</v>
      </c>
      <c r="J240" s="864">
        <f t="shared" si="72"/>
        <v>650</v>
      </c>
      <c r="K240" s="867">
        <f t="shared" si="73"/>
        <v>6650</v>
      </c>
      <c r="L240" s="867"/>
      <c r="M240" s="1328" t="s">
        <v>2364</v>
      </c>
      <c r="N240" s="1329">
        <v>2</v>
      </c>
    </row>
    <row r="241" spans="1:14" s="1329" customFormat="1" ht="24" customHeight="1">
      <c r="A241" s="1330"/>
      <c r="B241" s="1331" t="str">
        <f t="shared" si="69"/>
        <v xml:space="preserve">  -  1150x400 มม.</v>
      </c>
      <c r="C241" s="1349"/>
      <c r="D241" s="801"/>
      <c r="E241" s="1350">
        <f t="shared" si="70"/>
        <v>2</v>
      </c>
      <c r="F241" s="867" t="str">
        <f t="shared" si="71"/>
        <v>ชุด</v>
      </c>
      <c r="G241" s="1249">
        <v>3100</v>
      </c>
      <c r="H241" s="854">
        <f t="shared" si="66"/>
        <v>6200</v>
      </c>
      <c r="I241" s="865">
        <v>325</v>
      </c>
      <c r="J241" s="864">
        <f t="shared" si="72"/>
        <v>650</v>
      </c>
      <c r="K241" s="867">
        <f t="shared" si="73"/>
        <v>6850</v>
      </c>
      <c r="L241" s="867"/>
      <c r="M241" s="1328" t="s">
        <v>2229</v>
      </c>
      <c r="N241" s="1329">
        <v>2</v>
      </c>
    </row>
    <row r="242" spans="1:14" s="1329" customFormat="1" ht="24" customHeight="1">
      <c r="A242" s="1330"/>
      <c r="B242" s="1331" t="str">
        <f t="shared" si="69"/>
        <v xml:space="preserve">  -  1200x350 มม.</v>
      </c>
      <c r="C242" s="1349"/>
      <c r="D242" s="801"/>
      <c r="E242" s="1350">
        <f t="shared" si="70"/>
        <v>1</v>
      </c>
      <c r="F242" s="867" t="str">
        <f t="shared" si="71"/>
        <v>ชุด</v>
      </c>
      <c r="G242" s="1249">
        <v>3100</v>
      </c>
      <c r="H242" s="854">
        <f t="shared" si="66"/>
        <v>3100</v>
      </c>
      <c r="I242" s="865">
        <v>325</v>
      </c>
      <c r="J242" s="864">
        <f t="shared" si="72"/>
        <v>325</v>
      </c>
      <c r="K242" s="867">
        <f t="shared" si="73"/>
        <v>3425</v>
      </c>
      <c r="L242" s="867"/>
      <c r="M242" s="1328" t="s">
        <v>2365</v>
      </c>
      <c r="N242" s="1329">
        <v>1</v>
      </c>
    </row>
    <row r="243" spans="1:14" s="1329" customFormat="1" ht="24" customHeight="1">
      <c r="A243" s="1330"/>
      <c r="B243" s="1331" t="str">
        <f t="shared" si="69"/>
        <v xml:space="preserve">  -  1200x400 มม.</v>
      </c>
      <c r="C243" s="1349"/>
      <c r="D243" s="801"/>
      <c r="E243" s="1350">
        <f t="shared" si="70"/>
        <v>1</v>
      </c>
      <c r="F243" s="867" t="str">
        <f t="shared" si="71"/>
        <v>ชุด</v>
      </c>
      <c r="G243" s="1249">
        <v>3200</v>
      </c>
      <c r="H243" s="854">
        <f t="shared" si="66"/>
        <v>3200</v>
      </c>
      <c r="I243" s="865">
        <v>325</v>
      </c>
      <c r="J243" s="864">
        <f t="shared" si="72"/>
        <v>325</v>
      </c>
      <c r="K243" s="867">
        <f t="shared" si="73"/>
        <v>3525</v>
      </c>
      <c r="L243" s="867"/>
      <c r="M243" s="1328" t="s">
        <v>2366</v>
      </c>
      <c r="N243" s="1329">
        <v>1</v>
      </c>
    </row>
    <row r="244" spans="1:14" s="1329" customFormat="1" ht="24" customHeight="1">
      <c r="A244" s="1330"/>
      <c r="B244" s="1331" t="str">
        <f t="shared" si="69"/>
        <v xml:space="preserve">  -  1250x400 มม.</v>
      </c>
      <c r="C244" s="1349"/>
      <c r="D244" s="801"/>
      <c r="E244" s="1350">
        <f t="shared" si="70"/>
        <v>2</v>
      </c>
      <c r="F244" s="867" t="str">
        <f t="shared" si="71"/>
        <v>ชุด</v>
      </c>
      <c r="G244" s="1249">
        <v>3300</v>
      </c>
      <c r="H244" s="854">
        <f t="shared" si="66"/>
        <v>6600</v>
      </c>
      <c r="I244" s="865">
        <v>325</v>
      </c>
      <c r="J244" s="864">
        <f t="shared" si="72"/>
        <v>650</v>
      </c>
      <c r="K244" s="867">
        <f t="shared" si="73"/>
        <v>7250</v>
      </c>
      <c r="L244" s="867"/>
      <c r="M244" s="1328" t="s">
        <v>2367</v>
      </c>
      <c r="N244" s="1329">
        <v>2</v>
      </c>
    </row>
    <row r="245" spans="1:14" s="1329" customFormat="1" ht="24" customHeight="1">
      <c r="A245" s="1330"/>
      <c r="B245" s="1331" t="str">
        <f t="shared" si="69"/>
        <v xml:space="preserve">  -  1250x650 มม.</v>
      </c>
      <c r="C245" s="1349"/>
      <c r="D245" s="801"/>
      <c r="E245" s="1350">
        <f t="shared" si="70"/>
        <v>1</v>
      </c>
      <c r="F245" s="867" t="str">
        <f t="shared" si="71"/>
        <v>ชุด</v>
      </c>
      <c r="G245" s="1249">
        <v>3800</v>
      </c>
      <c r="H245" s="854">
        <f t="shared" si="66"/>
        <v>3800</v>
      </c>
      <c r="I245" s="865">
        <v>325</v>
      </c>
      <c r="J245" s="864">
        <f t="shared" si="72"/>
        <v>325</v>
      </c>
      <c r="K245" s="867">
        <f t="shared" si="73"/>
        <v>4125</v>
      </c>
      <c r="L245" s="867"/>
      <c r="M245" s="1328" t="s">
        <v>2305</v>
      </c>
      <c r="N245" s="1329">
        <v>1</v>
      </c>
    </row>
    <row r="246" spans="1:14" s="1329" customFormat="1" ht="24" customHeight="1">
      <c r="A246" s="1330"/>
      <c r="B246" s="1331" t="str">
        <f t="shared" si="69"/>
        <v xml:space="preserve">  -  1300x350 มม.</v>
      </c>
      <c r="C246" s="1349"/>
      <c r="D246" s="801"/>
      <c r="E246" s="1350">
        <f t="shared" si="70"/>
        <v>1</v>
      </c>
      <c r="F246" s="867" t="str">
        <f t="shared" si="71"/>
        <v>ชุด</v>
      </c>
      <c r="G246" s="1249">
        <v>3300</v>
      </c>
      <c r="H246" s="854">
        <f t="shared" si="66"/>
        <v>3300</v>
      </c>
      <c r="I246" s="865">
        <v>325</v>
      </c>
      <c r="J246" s="864">
        <f t="shared" si="72"/>
        <v>325</v>
      </c>
      <c r="K246" s="867">
        <f t="shared" si="73"/>
        <v>3625</v>
      </c>
      <c r="L246" s="867"/>
      <c r="M246" s="1328" t="s">
        <v>2368</v>
      </c>
      <c r="N246" s="1329">
        <v>1</v>
      </c>
    </row>
    <row r="247" spans="1:14" s="1329" customFormat="1" ht="24" customHeight="1">
      <c r="A247" s="1330"/>
      <c r="B247" s="1331" t="str">
        <f t="shared" si="69"/>
        <v xml:space="preserve">  -  3500x2100 มม.</v>
      </c>
      <c r="C247" s="1349"/>
      <c r="D247" s="801"/>
      <c r="E247" s="1350">
        <f t="shared" si="70"/>
        <v>2</v>
      </c>
      <c r="F247" s="867" t="str">
        <f t="shared" si="71"/>
        <v>ชุด</v>
      </c>
      <c r="G247" s="1249">
        <v>11200</v>
      </c>
      <c r="H247" s="854">
        <f t="shared" si="66"/>
        <v>22400</v>
      </c>
      <c r="I247" s="865">
        <v>325</v>
      </c>
      <c r="J247" s="864">
        <f t="shared" si="72"/>
        <v>650</v>
      </c>
      <c r="K247" s="867">
        <f t="shared" si="73"/>
        <v>23050</v>
      </c>
      <c r="L247" s="867"/>
      <c r="M247" s="1328" t="s">
        <v>2369</v>
      </c>
      <c r="N247" s="1329">
        <v>2</v>
      </c>
    </row>
    <row r="248" spans="1:14" s="1329" customFormat="1" ht="24" customHeight="1">
      <c r="A248" s="1330" t="s">
        <v>2224</v>
      </c>
      <c r="B248" s="1331" t="s">
        <v>2063</v>
      </c>
      <c r="C248" s="1349"/>
      <c r="D248" s="801"/>
      <c r="E248" s="966"/>
      <c r="F248" s="867"/>
      <c r="G248" s="1249"/>
      <c r="H248" s="864"/>
      <c r="I248" s="865"/>
      <c r="J248" s="864"/>
      <c r="K248" s="867"/>
      <c r="L248" s="867"/>
      <c r="M248" s="1328"/>
    </row>
    <row r="249" spans="1:14" s="1329" customFormat="1" ht="24" customHeight="1">
      <c r="A249" s="1330"/>
      <c r="B249" s="1331" t="str">
        <f t="shared" ref="B249:B258" si="74">"  -  "&amp;M249&amp;" มม."</f>
        <v xml:space="preserve">  -  700x700 มม.</v>
      </c>
      <c r="C249" s="1349"/>
      <c r="D249" s="801"/>
      <c r="E249" s="1350">
        <f t="shared" ref="E249:E258" si="75">N249</f>
        <v>2</v>
      </c>
      <c r="F249" s="867" t="str">
        <f t="shared" ref="F249:F256" si="76">IF(E249="","","ชุด")</f>
        <v>ชุด</v>
      </c>
      <c r="G249" s="1249">
        <v>2100</v>
      </c>
      <c r="H249" s="854">
        <f t="shared" si="66"/>
        <v>4200</v>
      </c>
      <c r="I249" s="865">
        <v>200</v>
      </c>
      <c r="J249" s="864">
        <f t="shared" ref="J249:J256" si="77">ROUND(E249*I249,)</f>
        <v>400</v>
      </c>
      <c r="K249" s="867">
        <f t="shared" ref="K249:K258" si="78">H249+J249</f>
        <v>4600</v>
      </c>
      <c r="L249" s="867"/>
      <c r="M249" s="1328" t="s">
        <v>2359</v>
      </c>
      <c r="N249" s="1329">
        <v>2</v>
      </c>
    </row>
    <row r="250" spans="1:14" s="1329" customFormat="1" ht="24" customHeight="1">
      <c r="A250" s="1330"/>
      <c r="B250" s="1331" t="str">
        <f t="shared" si="74"/>
        <v xml:space="preserve">  -  800x700 มม.</v>
      </c>
      <c r="C250" s="1349"/>
      <c r="D250" s="801"/>
      <c r="E250" s="1350">
        <f t="shared" si="75"/>
        <v>1</v>
      </c>
      <c r="F250" s="867" t="str">
        <f t="shared" si="76"/>
        <v>ชุด</v>
      </c>
      <c r="G250" s="1249">
        <v>2250</v>
      </c>
      <c r="H250" s="854">
        <f t="shared" si="66"/>
        <v>2250</v>
      </c>
      <c r="I250" s="865">
        <v>200</v>
      </c>
      <c r="J250" s="864">
        <f t="shared" si="77"/>
        <v>200</v>
      </c>
      <c r="K250" s="867">
        <f t="shared" si="78"/>
        <v>2450</v>
      </c>
      <c r="L250" s="867"/>
      <c r="M250" s="1328" t="s">
        <v>2360</v>
      </c>
      <c r="N250" s="1329">
        <v>1</v>
      </c>
    </row>
    <row r="251" spans="1:14" s="1329" customFormat="1" ht="24" customHeight="1">
      <c r="A251" s="1330"/>
      <c r="B251" s="1331" t="str">
        <f t="shared" si="74"/>
        <v xml:space="preserve">  -  850x500 มม.</v>
      </c>
      <c r="C251" s="1349"/>
      <c r="D251" s="801"/>
      <c r="E251" s="1350">
        <f t="shared" si="75"/>
        <v>1</v>
      </c>
      <c r="F251" s="867" t="str">
        <f t="shared" si="76"/>
        <v>ชุด</v>
      </c>
      <c r="G251" s="1249">
        <v>2025</v>
      </c>
      <c r="H251" s="854">
        <f t="shared" si="66"/>
        <v>2025</v>
      </c>
      <c r="I251" s="865">
        <v>200</v>
      </c>
      <c r="J251" s="864">
        <f t="shared" si="77"/>
        <v>200</v>
      </c>
      <c r="K251" s="867">
        <f t="shared" si="78"/>
        <v>2225</v>
      </c>
      <c r="L251" s="867"/>
      <c r="M251" s="1328" t="s">
        <v>2361</v>
      </c>
      <c r="N251" s="1329">
        <v>1</v>
      </c>
    </row>
    <row r="252" spans="1:14" s="1329" customFormat="1" ht="24" customHeight="1">
      <c r="A252" s="1330"/>
      <c r="B252" s="1331" t="str">
        <f t="shared" si="74"/>
        <v xml:space="preserve">  -  1100x400 มม.</v>
      </c>
      <c r="C252" s="1349"/>
      <c r="D252" s="801"/>
      <c r="E252" s="1350">
        <f t="shared" si="75"/>
        <v>1</v>
      </c>
      <c r="F252" s="867" t="str">
        <f t="shared" si="76"/>
        <v>ชุด</v>
      </c>
      <c r="G252" s="1249">
        <v>2700</v>
      </c>
      <c r="H252" s="854">
        <f t="shared" si="66"/>
        <v>2700</v>
      </c>
      <c r="I252" s="865">
        <v>200</v>
      </c>
      <c r="J252" s="864">
        <f t="shared" si="77"/>
        <v>200</v>
      </c>
      <c r="K252" s="867">
        <f t="shared" si="78"/>
        <v>2900</v>
      </c>
      <c r="L252" s="867"/>
      <c r="M252" s="1328" t="s">
        <v>2364</v>
      </c>
      <c r="N252" s="1329">
        <v>1</v>
      </c>
    </row>
    <row r="253" spans="1:14" s="1329" customFormat="1" ht="24" customHeight="1">
      <c r="A253" s="1330"/>
      <c r="B253" s="1331" t="str">
        <f t="shared" si="74"/>
        <v xml:space="preserve">  -  1150x400 มม.</v>
      </c>
      <c r="C253" s="1349"/>
      <c r="D253" s="801"/>
      <c r="E253" s="1350">
        <f t="shared" si="75"/>
        <v>1</v>
      </c>
      <c r="F253" s="867" t="str">
        <f t="shared" si="76"/>
        <v>ชุด</v>
      </c>
      <c r="G253" s="1249">
        <v>2325</v>
      </c>
      <c r="H253" s="854">
        <f t="shared" si="66"/>
        <v>2325</v>
      </c>
      <c r="I253" s="865">
        <v>200</v>
      </c>
      <c r="J253" s="864">
        <f t="shared" si="77"/>
        <v>200</v>
      </c>
      <c r="K253" s="867">
        <f t="shared" si="78"/>
        <v>2525</v>
      </c>
      <c r="L253" s="867"/>
      <c r="M253" s="1328" t="s">
        <v>2229</v>
      </c>
      <c r="N253" s="1329">
        <v>1</v>
      </c>
    </row>
    <row r="254" spans="1:14" s="1329" customFormat="1" ht="24" customHeight="1">
      <c r="A254" s="1330"/>
      <c r="B254" s="1331" t="str">
        <f t="shared" si="74"/>
        <v xml:space="preserve">  -  1150x700 มม.</v>
      </c>
      <c r="C254" s="1349"/>
      <c r="D254" s="801"/>
      <c r="E254" s="1350">
        <f t="shared" si="75"/>
        <v>1</v>
      </c>
      <c r="F254" s="867" t="str">
        <f t="shared" si="76"/>
        <v>ชุด</v>
      </c>
      <c r="G254" s="1249">
        <v>2775</v>
      </c>
      <c r="H254" s="854">
        <f t="shared" si="66"/>
        <v>2775</v>
      </c>
      <c r="I254" s="865">
        <v>200</v>
      </c>
      <c r="J254" s="864">
        <f t="shared" si="77"/>
        <v>200</v>
      </c>
      <c r="K254" s="867">
        <f t="shared" si="78"/>
        <v>2975</v>
      </c>
      <c r="L254" s="867"/>
      <c r="M254" s="1328" t="s">
        <v>2370</v>
      </c>
      <c r="N254" s="1329">
        <v>1</v>
      </c>
    </row>
    <row r="255" spans="1:14" s="1329" customFormat="1" ht="24" customHeight="1">
      <c r="A255" s="1330"/>
      <c r="B255" s="1331" t="str">
        <f t="shared" si="74"/>
        <v xml:space="preserve">  -  1200x400 มม.</v>
      </c>
      <c r="C255" s="1349"/>
      <c r="D255" s="801"/>
      <c r="E255" s="1350">
        <f t="shared" si="75"/>
        <v>1</v>
      </c>
      <c r="F255" s="867" t="str">
        <f t="shared" si="76"/>
        <v>ชุด</v>
      </c>
      <c r="G255" s="1249">
        <v>2400</v>
      </c>
      <c r="H255" s="854">
        <f t="shared" si="66"/>
        <v>2400</v>
      </c>
      <c r="I255" s="865">
        <v>200</v>
      </c>
      <c r="J255" s="864">
        <f t="shared" si="77"/>
        <v>200</v>
      </c>
      <c r="K255" s="867">
        <f t="shared" si="78"/>
        <v>2600</v>
      </c>
      <c r="L255" s="867"/>
      <c r="M255" s="1328" t="s">
        <v>2366</v>
      </c>
      <c r="N255" s="1329">
        <v>1</v>
      </c>
    </row>
    <row r="256" spans="1:14" s="1329" customFormat="1" ht="24" customHeight="1">
      <c r="A256" s="1330"/>
      <c r="B256" s="1331" t="str">
        <f t="shared" si="74"/>
        <v xml:space="preserve">  -  1250x400 มม.</v>
      </c>
      <c r="C256" s="1349"/>
      <c r="D256" s="801"/>
      <c r="E256" s="1350">
        <f t="shared" si="75"/>
        <v>1</v>
      </c>
      <c r="F256" s="867" t="str">
        <f t="shared" si="76"/>
        <v>ชุด</v>
      </c>
      <c r="G256" s="1249">
        <v>2475</v>
      </c>
      <c r="H256" s="854">
        <f t="shared" si="66"/>
        <v>2475</v>
      </c>
      <c r="I256" s="865">
        <v>200</v>
      </c>
      <c r="J256" s="864">
        <f t="shared" si="77"/>
        <v>200</v>
      </c>
      <c r="K256" s="867">
        <f t="shared" si="78"/>
        <v>2675</v>
      </c>
      <c r="L256" s="867"/>
      <c r="M256" s="1328" t="s">
        <v>2367</v>
      </c>
      <c r="N256" s="1329">
        <v>1</v>
      </c>
    </row>
    <row r="257" spans="1:14" s="1329" customFormat="1" ht="24" customHeight="1">
      <c r="A257" s="1330" t="s">
        <v>2237</v>
      </c>
      <c r="B257" s="1331" t="s">
        <v>2239</v>
      </c>
      <c r="C257" s="1349"/>
      <c r="D257" s="801"/>
      <c r="E257" s="966"/>
      <c r="F257" s="867"/>
      <c r="G257" s="1249"/>
      <c r="H257" s="864"/>
      <c r="I257" s="865"/>
      <c r="J257" s="864"/>
      <c r="K257" s="867"/>
      <c r="L257" s="867"/>
      <c r="M257" s="1328"/>
    </row>
    <row r="258" spans="1:14" s="1329" customFormat="1" ht="24" customHeight="1">
      <c r="A258" s="1330"/>
      <c r="B258" s="1331" t="str">
        <f t="shared" si="74"/>
        <v xml:space="preserve">  -  1050x300 มม.</v>
      </c>
      <c r="C258" s="1349"/>
      <c r="D258" s="801"/>
      <c r="E258" s="1350">
        <f t="shared" si="75"/>
        <v>1</v>
      </c>
      <c r="F258" s="867" t="str">
        <f t="shared" ref="F258" si="79">IF(E258="","","ชุด")</f>
        <v>ชุด</v>
      </c>
      <c r="G258" s="1249">
        <v>1800</v>
      </c>
      <c r="H258" s="864">
        <f t="shared" ref="H258" si="80">ROUND(E258*G258,)</f>
        <v>1800</v>
      </c>
      <c r="I258" s="865">
        <v>200</v>
      </c>
      <c r="J258" s="864">
        <f t="shared" ref="J258" si="81">ROUND(E258*I258,)</f>
        <v>200</v>
      </c>
      <c r="K258" s="867">
        <f t="shared" si="78"/>
        <v>2000</v>
      </c>
      <c r="L258" s="867"/>
      <c r="M258" s="1328" t="s">
        <v>2240</v>
      </c>
      <c r="N258" s="1329">
        <v>1</v>
      </c>
    </row>
    <row r="259" spans="1:14" s="1329" customFormat="1" ht="24" customHeight="1">
      <c r="A259" s="1330"/>
      <c r="B259" s="1331" t="s">
        <v>957</v>
      </c>
      <c r="C259" s="1349"/>
      <c r="D259" s="801"/>
      <c r="E259" s="966"/>
      <c r="F259" s="867"/>
      <c r="G259" s="1249"/>
      <c r="H259" s="864"/>
      <c r="I259" s="865"/>
      <c r="J259" s="864"/>
      <c r="K259" s="867"/>
      <c r="L259" s="867"/>
      <c r="M259" s="1328"/>
    </row>
    <row r="260" spans="1:14" s="1329" customFormat="1" ht="24" customHeight="1">
      <c r="A260" s="1334"/>
      <c r="B260" s="1335" t="s">
        <v>958</v>
      </c>
      <c r="C260" s="1352"/>
      <c r="D260" s="890"/>
      <c r="E260" s="1337"/>
      <c r="F260" s="910"/>
      <c r="G260" s="1353"/>
      <c r="H260" s="891"/>
      <c r="I260" s="892"/>
      <c r="J260" s="891"/>
      <c r="K260" s="910"/>
      <c r="L260" s="910"/>
      <c r="M260" s="1328"/>
    </row>
    <row r="261" spans="1:14" s="714" customFormat="1" ht="30" customHeight="1">
      <c r="A261" s="1166"/>
      <c r="B261" s="2475" t="str">
        <f>"รวมราคารายการที่ "&amp;A205</f>
        <v>รวมราคารายการที่ 7.12</v>
      </c>
      <c r="C261" s="2476"/>
      <c r="D261" s="2477"/>
      <c r="E261" s="1167"/>
      <c r="F261" s="1167"/>
      <c r="G261" s="1168"/>
      <c r="H261" s="1169">
        <f>SUM(H205:H260)</f>
        <v>233450</v>
      </c>
      <c r="I261" s="1170"/>
      <c r="J261" s="1169">
        <f>SUM(J205:J260)</f>
        <v>30975</v>
      </c>
      <c r="K261" s="1169">
        <f>SUM(K205:K260)</f>
        <v>264425</v>
      </c>
      <c r="L261" s="1171"/>
      <c r="M261" s="1322"/>
    </row>
    <row r="262" spans="1:14" s="1329" customFormat="1" ht="24" customHeight="1">
      <c r="A262" s="1325" t="s">
        <v>2241</v>
      </c>
      <c r="B262" s="1326" t="s">
        <v>2066</v>
      </c>
      <c r="C262" s="1347"/>
      <c r="D262" s="901"/>
      <c r="E262" s="1030"/>
      <c r="F262" s="903"/>
      <c r="G262" s="1348"/>
      <c r="H262" s="905"/>
      <c r="I262" s="906"/>
      <c r="J262" s="905"/>
      <c r="K262" s="903"/>
      <c r="L262" s="903"/>
      <c r="M262" s="1328"/>
    </row>
    <row r="263" spans="1:14" s="1329" customFormat="1" ht="24" customHeight="1">
      <c r="A263" s="1330" t="s">
        <v>2242</v>
      </c>
      <c r="B263" s="1331" t="s">
        <v>2068</v>
      </c>
      <c r="C263" s="1349"/>
      <c r="D263" s="801"/>
      <c r="E263" s="1019"/>
      <c r="F263" s="947"/>
      <c r="G263" s="1310"/>
      <c r="H263" s="864"/>
      <c r="I263" s="774"/>
      <c r="J263" s="864"/>
      <c r="K263" s="966"/>
      <c r="L263" s="1019"/>
      <c r="M263" s="1328"/>
    </row>
    <row r="264" spans="1:14" s="1329" customFormat="1" ht="24" customHeight="1">
      <c r="A264" s="1330"/>
      <c r="B264" s="1331" t="s">
        <v>2371</v>
      </c>
      <c r="C264" s="1349"/>
      <c r="D264" s="890"/>
      <c r="E264" s="1019">
        <v>1</v>
      </c>
      <c r="F264" s="903" t="s">
        <v>240</v>
      </c>
      <c r="G264" s="1249">
        <v>50000</v>
      </c>
      <c r="H264" s="751">
        <f t="shared" ref="H264:H274" si="82">ROUND(E264*G264,)</f>
        <v>50000</v>
      </c>
      <c r="I264" s="1249">
        <f t="shared" ref="I264:I274" si="83">G264*0.1</f>
        <v>5000</v>
      </c>
      <c r="J264" s="751">
        <f t="shared" ref="J264:J278" si="84">ROUND(E264*I264,)</f>
        <v>5000</v>
      </c>
      <c r="K264" s="973">
        <f t="shared" ref="K264:K278" si="85">H264+J264</f>
        <v>55000</v>
      </c>
      <c r="L264" s="903"/>
      <c r="M264" s="1328"/>
    </row>
    <row r="265" spans="1:14" s="1329" customFormat="1" ht="24" customHeight="1">
      <c r="A265" s="1330"/>
      <c r="B265" s="1331" t="s">
        <v>2372</v>
      </c>
      <c r="C265" s="1349"/>
      <c r="D265" s="890"/>
      <c r="E265" s="1019">
        <v>1</v>
      </c>
      <c r="F265" s="903" t="s">
        <v>240</v>
      </c>
      <c r="G265" s="1249">
        <v>25000</v>
      </c>
      <c r="H265" s="751">
        <f t="shared" si="82"/>
        <v>25000</v>
      </c>
      <c r="I265" s="1249">
        <f t="shared" si="83"/>
        <v>2500</v>
      </c>
      <c r="J265" s="751">
        <f t="shared" si="84"/>
        <v>2500</v>
      </c>
      <c r="K265" s="973">
        <f t="shared" si="85"/>
        <v>27500</v>
      </c>
      <c r="L265" s="903"/>
      <c r="M265" s="1328"/>
    </row>
    <row r="266" spans="1:14" s="1329" customFormat="1" ht="24" customHeight="1">
      <c r="A266" s="1330"/>
      <c r="B266" s="1331" t="s">
        <v>2373</v>
      </c>
      <c r="C266" s="1349"/>
      <c r="D266" s="801"/>
      <c r="E266" s="1022">
        <v>1</v>
      </c>
      <c r="F266" s="867" t="s">
        <v>240</v>
      </c>
      <c r="G266" s="1249">
        <v>15000</v>
      </c>
      <c r="H266" s="751">
        <f t="shared" si="82"/>
        <v>15000</v>
      </c>
      <c r="I266" s="1249">
        <f t="shared" si="83"/>
        <v>1500</v>
      </c>
      <c r="J266" s="751">
        <f t="shared" si="84"/>
        <v>1500</v>
      </c>
      <c r="K266" s="973">
        <f t="shared" si="85"/>
        <v>16500</v>
      </c>
      <c r="L266" s="867"/>
      <c r="M266" s="1328"/>
    </row>
    <row r="267" spans="1:14" s="1329" customFormat="1" ht="24" customHeight="1">
      <c r="A267" s="1330"/>
      <c r="B267" s="1331" t="s">
        <v>2374</v>
      </c>
      <c r="C267" s="1349"/>
      <c r="D267" s="801"/>
      <c r="E267" s="1022">
        <v>1</v>
      </c>
      <c r="F267" s="867" t="s">
        <v>240</v>
      </c>
      <c r="G267" s="1249">
        <v>15000</v>
      </c>
      <c r="H267" s="751">
        <f t="shared" si="82"/>
        <v>15000</v>
      </c>
      <c r="I267" s="1249">
        <f t="shared" si="83"/>
        <v>1500</v>
      </c>
      <c r="J267" s="751">
        <f t="shared" si="84"/>
        <v>1500</v>
      </c>
      <c r="K267" s="973">
        <f t="shared" si="85"/>
        <v>16500</v>
      </c>
      <c r="L267" s="867"/>
      <c r="M267" s="1328"/>
    </row>
    <row r="268" spans="1:14" s="1329" customFormat="1" ht="24" customHeight="1">
      <c r="A268" s="1330"/>
      <c r="B268" s="1331" t="s">
        <v>2375</v>
      </c>
      <c r="C268" s="1349"/>
      <c r="D268" s="801"/>
      <c r="E268" s="1022">
        <v>1</v>
      </c>
      <c r="F268" s="867" t="s">
        <v>240</v>
      </c>
      <c r="G268" s="1249">
        <v>25000</v>
      </c>
      <c r="H268" s="751">
        <f t="shared" si="82"/>
        <v>25000</v>
      </c>
      <c r="I268" s="1249">
        <f t="shared" si="83"/>
        <v>2500</v>
      </c>
      <c r="J268" s="751">
        <f t="shared" si="84"/>
        <v>2500</v>
      </c>
      <c r="K268" s="973">
        <f t="shared" si="85"/>
        <v>27500</v>
      </c>
      <c r="L268" s="867"/>
      <c r="M268" s="1328"/>
    </row>
    <row r="269" spans="1:14" s="1329" customFormat="1" ht="24" customHeight="1">
      <c r="A269" s="1330"/>
      <c r="B269" s="1331" t="s">
        <v>2376</v>
      </c>
      <c r="C269" s="1349"/>
      <c r="D269" s="801"/>
      <c r="E269" s="1022">
        <v>1</v>
      </c>
      <c r="F269" s="867" t="s">
        <v>240</v>
      </c>
      <c r="G269" s="1250">
        <v>2500</v>
      </c>
      <c r="H269" s="751">
        <f t="shared" si="82"/>
        <v>2500</v>
      </c>
      <c r="I269" s="1249">
        <f t="shared" si="83"/>
        <v>250</v>
      </c>
      <c r="J269" s="751">
        <f t="shared" si="84"/>
        <v>250</v>
      </c>
      <c r="K269" s="973">
        <f t="shared" si="85"/>
        <v>2750</v>
      </c>
      <c r="L269" s="867"/>
      <c r="M269" s="1328"/>
    </row>
    <row r="270" spans="1:14" s="1329" customFormat="1" ht="24" customHeight="1">
      <c r="A270" s="1330"/>
      <c r="B270" s="1331" t="s">
        <v>2377</v>
      </c>
      <c r="C270" s="1349"/>
      <c r="D270" s="801"/>
      <c r="E270" s="1022">
        <v>1</v>
      </c>
      <c r="F270" s="867" t="s">
        <v>240</v>
      </c>
      <c r="G270" s="1249">
        <v>55000</v>
      </c>
      <c r="H270" s="751">
        <f t="shared" si="82"/>
        <v>55000</v>
      </c>
      <c r="I270" s="1249">
        <f t="shared" si="83"/>
        <v>5500</v>
      </c>
      <c r="J270" s="751">
        <f t="shared" si="84"/>
        <v>5500</v>
      </c>
      <c r="K270" s="973">
        <f t="shared" si="85"/>
        <v>60500</v>
      </c>
      <c r="L270" s="867"/>
      <c r="M270" s="1328"/>
    </row>
    <row r="271" spans="1:14" s="1329" customFormat="1" ht="24" customHeight="1">
      <c r="A271" s="1330"/>
      <c r="B271" s="1331" t="s">
        <v>2378</v>
      </c>
      <c r="C271" s="1349"/>
      <c r="D271" s="801"/>
      <c r="E271" s="1022">
        <v>1</v>
      </c>
      <c r="F271" s="867" t="s">
        <v>240</v>
      </c>
      <c r="G271" s="1249">
        <v>15000</v>
      </c>
      <c r="H271" s="751">
        <f t="shared" si="82"/>
        <v>15000</v>
      </c>
      <c r="I271" s="1249">
        <f t="shared" si="83"/>
        <v>1500</v>
      </c>
      <c r="J271" s="751">
        <f t="shared" si="84"/>
        <v>1500</v>
      </c>
      <c r="K271" s="973">
        <f t="shared" si="85"/>
        <v>16500</v>
      </c>
      <c r="L271" s="867"/>
      <c r="M271" s="1328"/>
    </row>
    <row r="272" spans="1:14" s="1329" customFormat="1" ht="24" customHeight="1">
      <c r="A272" s="1330"/>
      <c r="B272" s="1331" t="s">
        <v>2379</v>
      </c>
      <c r="C272" s="1349"/>
      <c r="D272" s="801"/>
      <c r="E272" s="1022">
        <v>1</v>
      </c>
      <c r="F272" s="867" t="s">
        <v>240</v>
      </c>
      <c r="G272" s="1249">
        <v>15000</v>
      </c>
      <c r="H272" s="751">
        <f t="shared" si="82"/>
        <v>15000</v>
      </c>
      <c r="I272" s="1249">
        <f t="shared" si="83"/>
        <v>1500</v>
      </c>
      <c r="J272" s="751">
        <f t="shared" si="84"/>
        <v>1500</v>
      </c>
      <c r="K272" s="973">
        <f t="shared" si="85"/>
        <v>16500</v>
      </c>
      <c r="L272" s="867"/>
      <c r="M272" s="1328"/>
    </row>
    <row r="273" spans="1:15" s="1329" customFormat="1" ht="24" customHeight="1">
      <c r="A273" s="1330"/>
      <c r="B273" s="1331" t="s">
        <v>2380</v>
      </c>
      <c r="C273" s="1349"/>
      <c r="D273" s="801"/>
      <c r="E273" s="1022">
        <v>1</v>
      </c>
      <c r="F273" s="867" t="s">
        <v>240</v>
      </c>
      <c r="G273" s="1249">
        <v>30000</v>
      </c>
      <c r="H273" s="751">
        <f t="shared" si="82"/>
        <v>30000</v>
      </c>
      <c r="I273" s="1249">
        <f t="shared" si="83"/>
        <v>3000</v>
      </c>
      <c r="J273" s="751">
        <f t="shared" si="84"/>
        <v>3000</v>
      </c>
      <c r="K273" s="973">
        <f t="shared" si="85"/>
        <v>33000</v>
      </c>
      <c r="L273" s="867"/>
      <c r="M273" s="1328"/>
    </row>
    <row r="274" spans="1:15" s="1329" customFormat="1" ht="24" customHeight="1">
      <c r="A274" s="1330"/>
      <c r="B274" s="1331" t="s">
        <v>2381</v>
      </c>
      <c r="C274" s="1349"/>
      <c r="D274" s="801"/>
      <c r="E274" s="1022">
        <v>1</v>
      </c>
      <c r="F274" s="867" t="s">
        <v>240</v>
      </c>
      <c r="G274" s="1249">
        <v>15000</v>
      </c>
      <c r="H274" s="751">
        <f t="shared" si="82"/>
        <v>15000</v>
      </c>
      <c r="I274" s="1249">
        <f t="shared" si="83"/>
        <v>1500</v>
      </c>
      <c r="J274" s="751">
        <f t="shared" si="84"/>
        <v>1500</v>
      </c>
      <c r="K274" s="973">
        <f t="shared" si="85"/>
        <v>16500</v>
      </c>
      <c r="L274" s="867"/>
      <c r="M274" s="1328"/>
    </row>
    <row r="275" spans="1:15" s="1329" customFormat="1" ht="24" customHeight="1">
      <c r="A275" s="1330"/>
      <c r="B275" s="1331"/>
      <c r="C275" s="1349"/>
      <c r="D275" s="801"/>
      <c r="E275" s="1022"/>
      <c r="F275" s="867"/>
      <c r="G275" s="1249"/>
      <c r="H275" s="751"/>
      <c r="I275" s="1249"/>
      <c r="J275" s="751"/>
      <c r="K275" s="973"/>
      <c r="L275" s="867"/>
      <c r="M275" s="1328"/>
    </row>
    <row r="276" spans="1:15" s="1329" customFormat="1" ht="24" customHeight="1">
      <c r="A276" s="1330"/>
      <c r="B276" s="1331"/>
      <c r="C276" s="1349"/>
      <c r="D276" s="801"/>
      <c r="E276" s="1022"/>
      <c r="F276" s="867"/>
      <c r="G276" s="1249"/>
      <c r="H276" s="751"/>
      <c r="I276" s="1249"/>
      <c r="J276" s="751"/>
      <c r="K276" s="973"/>
      <c r="L276" s="867"/>
      <c r="M276" s="1328"/>
    </row>
    <row r="277" spans="1:15" s="1329" customFormat="1" ht="24" customHeight="1">
      <c r="A277" s="1330"/>
      <c r="B277" s="1331"/>
      <c r="C277" s="1349"/>
      <c r="D277" s="801"/>
      <c r="E277" s="1022"/>
      <c r="F277" s="867"/>
      <c r="G277" s="1249"/>
      <c r="H277" s="751"/>
      <c r="I277" s="1249"/>
      <c r="J277" s="751"/>
      <c r="K277" s="973"/>
      <c r="L277" s="867"/>
      <c r="M277" s="1328"/>
    </row>
    <row r="278" spans="1:15" s="1329" customFormat="1" ht="24" customHeight="1">
      <c r="A278" s="1330"/>
      <c r="B278" s="1331"/>
      <c r="C278" s="1349"/>
      <c r="D278" s="801"/>
      <c r="E278" s="966"/>
      <c r="F278" s="867"/>
      <c r="G278" s="1249"/>
      <c r="H278" s="751"/>
      <c r="I278" s="1249"/>
      <c r="J278" s="751">
        <f t="shared" si="84"/>
        <v>0</v>
      </c>
      <c r="K278" s="973">
        <f t="shared" si="85"/>
        <v>0</v>
      </c>
      <c r="L278" s="867"/>
      <c r="M278" s="1328"/>
    </row>
    <row r="279" spans="1:15" s="1329" customFormat="1" ht="24" customHeight="1">
      <c r="A279" s="1330" t="s">
        <v>2255</v>
      </c>
      <c r="B279" s="1331" t="s">
        <v>1207</v>
      </c>
      <c r="C279" s="1349"/>
      <c r="D279" s="801"/>
      <c r="E279" s="966"/>
      <c r="F279" s="867"/>
      <c r="G279" s="1249"/>
      <c r="H279" s="864"/>
      <c r="I279" s="865"/>
      <c r="J279" s="864"/>
      <c r="K279" s="867"/>
      <c r="L279" s="867"/>
      <c r="M279" s="1328"/>
    </row>
    <row r="280" spans="1:15" s="1329" customFormat="1" ht="24" customHeight="1">
      <c r="A280" s="1330"/>
      <c r="B280" s="1331" t="s">
        <v>1737</v>
      </c>
      <c r="C280" s="1349"/>
      <c r="D280" s="801"/>
      <c r="E280" s="966">
        <f>120+60+60+180+180+60+60+60</f>
        <v>780</v>
      </c>
      <c r="F280" s="867" t="s">
        <v>438</v>
      </c>
      <c r="G280" s="752">
        <v>9</v>
      </c>
      <c r="H280" s="796">
        <f t="shared" ref="H280:H285" si="86">ROUND(E280*G280,)</f>
        <v>7020</v>
      </c>
      <c r="I280" s="865">
        <v>7</v>
      </c>
      <c r="J280" s="751">
        <f t="shared" ref="J280:J285" si="87">ROUND(E280*I280,)</f>
        <v>5460</v>
      </c>
      <c r="K280" s="973">
        <f t="shared" ref="K280:K285" si="88">H280+J280</f>
        <v>12480</v>
      </c>
      <c r="L280" s="1718" t="s">
        <v>2974</v>
      </c>
      <c r="N280" s="1404">
        <v>912.1</v>
      </c>
      <c r="O280" s="1404">
        <f t="shared" ref="O280:O285" si="89">ROUND(N280/100,)</f>
        <v>9</v>
      </c>
    </row>
    <row r="281" spans="1:15" s="1329" customFormat="1" ht="24" customHeight="1">
      <c r="A281" s="1330"/>
      <c r="B281" s="720" t="s">
        <v>1166</v>
      </c>
      <c r="C281" s="792"/>
      <c r="D281" s="792"/>
      <c r="E281" s="805">
        <f>120</f>
        <v>120</v>
      </c>
      <c r="F281" s="794" t="s">
        <v>438</v>
      </c>
      <c r="G281" s="806">
        <v>14</v>
      </c>
      <c r="H281" s="796">
        <f t="shared" si="86"/>
        <v>1680</v>
      </c>
      <c r="I281" s="797">
        <v>10</v>
      </c>
      <c r="J281" s="796">
        <f t="shared" si="87"/>
        <v>1200</v>
      </c>
      <c r="K281" s="914">
        <f t="shared" si="88"/>
        <v>2880</v>
      </c>
      <c r="L281" s="1718" t="s">
        <v>2974</v>
      </c>
      <c r="N281" s="1404">
        <v>1375.8</v>
      </c>
      <c r="O281" s="1404">
        <f t="shared" si="89"/>
        <v>14</v>
      </c>
    </row>
    <row r="282" spans="1:15" s="1329" customFormat="1" ht="24" customHeight="1">
      <c r="A282" s="1330"/>
      <c r="B282" s="705" t="s">
        <v>1167</v>
      </c>
      <c r="C282" s="792"/>
      <c r="D282" s="792"/>
      <c r="E282" s="805">
        <f>120+60+105</f>
        <v>285</v>
      </c>
      <c r="F282" s="794" t="s">
        <v>438</v>
      </c>
      <c r="G282" s="806">
        <v>23</v>
      </c>
      <c r="H282" s="796">
        <f t="shared" si="86"/>
        <v>6555</v>
      </c>
      <c r="I282" s="797">
        <v>12</v>
      </c>
      <c r="J282" s="796">
        <f t="shared" si="87"/>
        <v>3420</v>
      </c>
      <c r="K282" s="914">
        <f t="shared" si="88"/>
        <v>9975</v>
      </c>
      <c r="L282" s="1718" t="s">
        <v>2974</v>
      </c>
      <c r="N282" s="1404">
        <v>2264.1999999999998</v>
      </c>
      <c r="O282" s="1404">
        <f t="shared" si="89"/>
        <v>23</v>
      </c>
    </row>
    <row r="283" spans="1:15" s="1329" customFormat="1" ht="24" customHeight="1">
      <c r="A283" s="1330"/>
      <c r="B283" s="705" t="s">
        <v>1168</v>
      </c>
      <c r="C283" s="792"/>
      <c r="D283" s="792"/>
      <c r="E283" s="805"/>
      <c r="F283" s="794" t="s">
        <v>438</v>
      </c>
      <c r="G283" s="806">
        <v>39</v>
      </c>
      <c r="H283" s="796">
        <f t="shared" si="86"/>
        <v>0</v>
      </c>
      <c r="I283" s="797">
        <v>16</v>
      </c>
      <c r="J283" s="796">
        <f t="shared" si="87"/>
        <v>0</v>
      </c>
      <c r="K283" s="914">
        <f t="shared" si="88"/>
        <v>0</v>
      </c>
      <c r="L283" s="1718" t="s">
        <v>2974</v>
      </c>
      <c r="N283" s="1404">
        <v>3944.2</v>
      </c>
      <c r="O283" s="1404">
        <f t="shared" si="89"/>
        <v>39</v>
      </c>
    </row>
    <row r="284" spans="1:15" s="1329" customFormat="1" ht="24" customHeight="1">
      <c r="A284" s="1330"/>
      <c r="B284" s="705" t="s">
        <v>1169</v>
      </c>
      <c r="C284" s="792"/>
      <c r="D284" s="792"/>
      <c r="E284" s="805"/>
      <c r="F284" s="794" t="s">
        <v>438</v>
      </c>
      <c r="G284" s="806">
        <v>61</v>
      </c>
      <c r="H284" s="796">
        <f t="shared" si="86"/>
        <v>0</v>
      </c>
      <c r="I284" s="797">
        <v>20</v>
      </c>
      <c r="J284" s="796">
        <f t="shared" si="87"/>
        <v>0</v>
      </c>
      <c r="K284" s="914">
        <f t="shared" si="88"/>
        <v>0</v>
      </c>
      <c r="L284" s="1718" t="s">
        <v>2974</v>
      </c>
      <c r="N284" s="1404">
        <v>6120</v>
      </c>
      <c r="O284" s="1404">
        <f t="shared" si="89"/>
        <v>61</v>
      </c>
    </row>
    <row r="285" spans="1:15" s="1329" customFormat="1" ht="24" customHeight="1">
      <c r="A285" s="1330"/>
      <c r="B285" s="705" t="s">
        <v>1163</v>
      </c>
      <c r="C285" s="792"/>
      <c r="D285" s="792"/>
      <c r="E285" s="805"/>
      <c r="F285" s="794" t="s">
        <v>438</v>
      </c>
      <c r="G285" s="806">
        <v>183</v>
      </c>
      <c r="H285" s="796">
        <f t="shared" si="86"/>
        <v>0</v>
      </c>
      <c r="I285" s="797">
        <v>40</v>
      </c>
      <c r="J285" s="796">
        <f t="shared" si="87"/>
        <v>0</v>
      </c>
      <c r="K285" s="914">
        <f t="shared" si="88"/>
        <v>0</v>
      </c>
      <c r="L285" s="1718" t="s">
        <v>2974</v>
      </c>
      <c r="N285" s="1404">
        <v>18335.8</v>
      </c>
      <c r="O285" s="1404">
        <f t="shared" si="89"/>
        <v>183</v>
      </c>
    </row>
    <row r="286" spans="1:15" s="1329" customFormat="1" ht="24" customHeight="1">
      <c r="A286" s="1330" t="s">
        <v>2256</v>
      </c>
      <c r="B286" s="1331" t="s">
        <v>950</v>
      </c>
      <c r="C286" s="1349"/>
      <c r="D286" s="801"/>
      <c r="E286" s="966"/>
      <c r="F286" s="867"/>
      <c r="G286" s="1249"/>
      <c r="H286" s="864"/>
      <c r="I286" s="865"/>
      <c r="J286" s="864"/>
      <c r="K286" s="867"/>
      <c r="L286" s="867"/>
      <c r="M286" s="1328"/>
    </row>
    <row r="287" spans="1:15" s="1329" customFormat="1" ht="24" customHeight="1">
      <c r="A287" s="1330"/>
      <c r="B287" s="1331" t="s">
        <v>1201</v>
      </c>
      <c r="C287" s="1349"/>
      <c r="D287" s="801"/>
      <c r="E287" s="966">
        <f>30+15+15+45+45+15+15+15</f>
        <v>195</v>
      </c>
      <c r="F287" s="867" t="s">
        <v>438</v>
      </c>
      <c r="G287" s="1249">
        <v>56</v>
      </c>
      <c r="H287" s="796">
        <f t="shared" ref="H287:H293" si="90">ROUND(E287*G287,)</f>
        <v>10920</v>
      </c>
      <c r="I287" s="865">
        <v>26</v>
      </c>
      <c r="J287" s="751">
        <f t="shared" ref="J287:J293" si="91">ROUND(E287*I287,)</f>
        <v>5070</v>
      </c>
      <c r="K287" s="973">
        <f t="shared" ref="K287:K293" si="92">H287+J287</f>
        <v>15990</v>
      </c>
      <c r="L287" s="1718" t="s">
        <v>2974</v>
      </c>
      <c r="M287" s="1328"/>
      <c r="N287" s="1329">
        <v>169.2</v>
      </c>
      <c r="O287" s="1329">
        <f t="shared" ref="O287:O292" si="93">ROUND(N287/3,)</f>
        <v>56</v>
      </c>
    </row>
    <row r="288" spans="1:15" s="1329" customFormat="1" ht="24" customHeight="1">
      <c r="A288" s="1330"/>
      <c r="B288" s="1331" t="s">
        <v>1184</v>
      </c>
      <c r="C288" s="1349"/>
      <c r="D288" s="801"/>
      <c r="E288" s="966">
        <f>45+10+15</f>
        <v>70</v>
      </c>
      <c r="F288" s="867" t="s">
        <v>438</v>
      </c>
      <c r="G288" s="1249">
        <v>75</v>
      </c>
      <c r="H288" s="796">
        <f t="shared" si="90"/>
        <v>5250</v>
      </c>
      <c r="I288" s="865">
        <v>28</v>
      </c>
      <c r="J288" s="751">
        <f t="shared" si="91"/>
        <v>1960</v>
      </c>
      <c r="K288" s="973">
        <f t="shared" si="92"/>
        <v>7210</v>
      </c>
      <c r="L288" s="1718" t="s">
        <v>2974</v>
      </c>
      <c r="M288" s="1328"/>
      <c r="N288" s="1329">
        <v>225</v>
      </c>
      <c r="O288" s="1329">
        <f t="shared" si="93"/>
        <v>75</v>
      </c>
    </row>
    <row r="289" spans="1:15" s="1329" customFormat="1" ht="24" customHeight="1">
      <c r="A289" s="1330"/>
      <c r="B289" s="705" t="s">
        <v>1185</v>
      </c>
      <c r="C289" s="717"/>
      <c r="D289" s="717"/>
      <c r="E289" s="805"/>
      <c r="F289" s="794" t="s">
        <v>438</v>
      </c>
      <c r="G289" s="806">
        <v>101</v>
      </c>
      <c r="H289" s="796">
        <f t="shared" si="90"/>
        <v>0</v>
      </c>
      <c r="I289" s="807">
        <v>32</v>
      </c>
      <c r="J289" s="796">
        <f t="shared" si="91"/>
        <v>0</v>
      </c>
      <c r="K289" s="914">
        <f t="shared" si="92"/>
        <v>0</v>
      </c>
      <c r="L289" s="1718" t="s">
        <v>2974</v>
      </c>
      <c r="M289" s="1328"/>
      <c r="N289" s="1329">
        <v>303.60000000000002</v>
      </c>
      <c r="O289" s="1329">
        <f t="shared" si="93"/>
        <v>101</v>
      </c>
    </row>
    <row r="290" spans="1:15" s="1329" customFormat="1" ht="24" customHeight="1">
      <c r="A290" s="1330"/>
      <c r="B290" s="705" t="s">
        <v>1186</v>
      </c>
      <c r="C290" s="717"/>
      <c r="D290" s="717"/>
      <c r="E290" s="805"/>
      <c r="F290" s="794" t="s">
        <v>438</v>
      </c>
      <c r="G290" s="806">
        <v>131</v>
      </c>
      <c r="H290" s="796">
        <f t="shared" si="90"/>
        <v>0</v>
      </c>
      <c r="I290" s="807">
        <v>38</v>
      </c>
      <c r="J290" s="796">
        <f t="shared" si="91"/>
        <v>0</v>
      </c>
      <c r="K290" s="914">
        <f t="shared" si="92"/>
        <v>0</v>
      </c>
      <c r="L290" s="1718" t="s">
        <v>2974</v>
      </c>
      <c r="M290" s="1328"/>
      <c r="N290" s="1329">
        <v>391.8</v>
      </c>
      <c r="O290" s="1329">
        <f t="shared" si="93"/>
        <v>131</v>
      </c>
    </row>
    <row r="291" spans="1:15" s="1329" customFormat="1" ht="24" customHeight="1">
      <c r="A291" s="1330"/>
      <c r="B291" s="705" t="s">
        <v>1187</v>
      </c>
      <c r="C291" s="717"/>
      <c r="D291" s="717"/>
      <c r="E291" s="805"/>
      <c r="F291" s="794" t="s">
        <v>438</v>
      </c>
      <c r="G291" s="806">
        <v>160</v>
      </c>
      <c r="H291" s="796">
        <f t="shared" si="90"/>
        <v>0</v>
      </c>
      <c r="I291" s="807">
        <v>42</v>
      </c>
      <c r="J291" s="796">
        <f t="shared" si="91"/>
        <v>0</v>
      </c>
      <c r="K291" s="914">
        <f t="shared" si="92"/>
        <v>0</v>
      </c>
      <c r="L291" s="1718" t="s">
        <v>2974</v>
      </c>
      <c r="M291" s="1328"/>
      <c r="N291" s="1329">
        <v>481.2</v>
      </c>
      <c r="O291" s="1329">
        <f t="shared" si="93"/>
        <v>160</v>
      </c>
    </row>
    <row r="292" spans="1:15" s="1329" customFormat="1" ht="24" customHeight="1">
      <c r="A292" s="1330"/>
      <c r="B292" s="705" t="s">
        <v>1188</v>
      </c>
      <c r="C292" s="717"/>
      <c r="D292" s="717"/>
      <c r="E292" s="805"/>
      <c r="F292" s="794" t="s">
        <v>438</v>
      </c>
      <c r="G292" s="806">
        <v>219</v>
      </c>
      <c r="H292" s="796">
        <f t="shared" si="90"/>
        <v>0</v>
      </c>
      <c r="I292" s="807">
        <v>48</v>
      </c>
      <c r="J292" s="796">
        <f t="shared" si="91"/>
        <v>0</v>
      </c>
      <c r="K292" s="914">
        <f t="shared" si="92"/>
        <v>0</v>
      </c>
      <c r="L292" s="1718" t="s">
        <v>2974</v>
      </c>
      <c r="M292" s="1328"/>
      <c r="N292" s="1329">
        <v>657.6</v>
      </c>
      <c r="O292" s="1329">
        <f t="shared" si="93"/>
        <v>219</v>
      </c>
    </row>
    <row r="293" spans="1:15" s="1329" customFormat="1" ht="24" customHeight="1">
      <c r="A293" s="1330"/>
      <c r="B293" s="1331" t="s">
        <v>1237</v>
      </c>
      <c r="C293" s="1349"/>
      <c r="D293" s="801"/>
      <c r="E293" s="966">
        <v>1</v>
      </c>
      <c r="F293" s="867" t="s">
        <v>948</v>
      </c>
      <c r="G293" s="752">
        <f>ROUND(SUM(H287:H292)*15%,)</f>
        <v>2426</v>
      </c>
      <c r="H293" s="796">
        <f t="shared" si="90"/>
        <v>2426</v>
      </c>
      <c r="I293" s="949">
        <f>ROUND(G293*0.3,)</f>
        <v>728</v>
      </c>
      <c r="J293" s="751">
        <f t="shared" si="91"/>
        <v>728</v>
      </c>
      <c r="K293" s="973">
        <f t="shared" si="92"/>
        <v>3154</v>
      </c>
      <c r="L293" s="867"/>
      <c r="M293" s="1328"/>
    </row>
    <row r="294" spans="1:15" s="1329" customFormat="1" ht="24" customHeight="1">
      <c r="A294" s="1330"/>
      <c r="B294" s="1331" t="s">
        <v>957</v>
      </c>
      <c r="C294" s="1349"/>
      <c r="D294" s="801"/>
      <c r="E294" s="966"/>
      <c r="F294" s="867"/>
      <c r="G294" s="1249"/>
      <c r="H294" s="864"/>
      <c r="I294" s="865"/>
      <c r="J294" s="864"/>
      <c r="K294" s="867"/>
      <c r="L294" s="867"/>
      <c r="M294" s="1328"/>
    </row>
    <row r="295" spans="1:15" s="714" customFormat="1" ht="30" customHeight="1">
      <c r="A295" s="1166"/>
      <c r="B295" s="2475" t="str">
        <f>"รวมราคารายการที่ "&amp;A262</f>
        <v>รวมราคารายการที่ 7.13</v>
      </c>
      <c r="C295" s="2476"/>
      <c r="D295" s="2477"/>
      <c r="E295" s="1167"/>
      <c r="F295" s="1167"/>
      <c r="G295" s="1168"/>
      <c r="H295" s="1169">
        <f>SUM(H263:H294)</f>
        <v>296351</v>
      </c>
      <c r="I295" s="1170"/>
      <c r="J295" s="1169">
        <f>SUM(J263:J294)</f>
        <v>44088</v>
      </c>
      <c r="K295" s="1171">
        <f>SUM(K263:K294)</f>
        <v>340439</v>
      </c>
      <c r="L295" s="1171"/>
      <c r="M295" s="1322"/>
    </row>
    <row r="296" spans="1:15" s="886" customFormat="1" ht="22.15" customHeight="1">
      <c r="A296" s="1482"/>
      <c r="M296" s="1342"/>
    </row>
    <row r="297" spans="1:15" s="886" customFormat="1" ht="22.15" customHeight="1">
      <c r="A297" s="1482"/>
      <c r="M297" s="1342"/>
    </row>
    <row r="298" spans="1:15" s="886" customFormat="1" ht="22.15" customHeight="1">
      <c r="A298" s="1482"/>
      <c r="M298" s="1342"/>
    </row>
    <row r="299" spans="1:15" s="886" customFormat="1" ht="22.15" customHeight="1">
      <c r="A299" s="1482"/>
      <c r="M299" s="1342"/>
    </row>
    <row r="300" spans="1:15" s="886" customFormat="1" ht="22.15" customHeight="1">
      <c r="A300" s="1482"/>
      <c r="M300" s="1342"/>
    </row>
    <row r="301" spans="1:15" s="886" customFormat="1" ht="22.15" customHeight="1">
      <c r="A301" s="1482"/>
      <c r="M301" s="1342"/>
    </row>
    <row r="302" spans="1:15" s="886" customFormat="1" ht="22.15" customHeight="1">
      <c r="A302" s="1482"/>
      <c r="M302" s="1342"/>
    </row>
    <row r="303" spans="1:15" s="886" customFormat="1" ht="22.15" customHeight="1">
      <c r="A303" s="1482"/>
      <c r="M303" s="1342"/>
    </row>
    <row r="304" spans="1:15" s="886" customFormat="1" ht="22.15" customHeight="1">
      <c r="A304" s="1482"/>
      <c r="M304" s="1342"/>
    </row>
    <row r="305" spans="1:13" s="886" customFormat="1" ht="22.15" customHeight="1">
      <c r="A305" s="1482"/>
      <c r="M305" s="1342"/>
    </row>
    <row r="306" spans="1:13" s="886" customFormat="1" ht="22.15" customHeight="1">
      <c r="A306" s="1482"/>
      <c r="M306" s="1342"/>
    </row>
    <row r="307" spans="1:13" s="886" customFormat="1" ht="21.3">
      <c r="A307" s="1482"/>
      <c r="M307" s="1342"/>
    </row>
    <row r="308" spans="1:13" s="886" customFormat="1" ht="21.3">
      <c r="A308" s="1482"/>
      <c r="M308" s="1342"/>
    </row>
    <row r="309" spans="1:13" s="886" customFormat="1" ht="21.3">
      <c r="A309" s="1482"/>
      <c r="M309" s="1342"/>
    </row>
    <row r="310" spans="1:13" s="886" customFormat="1" ht="21.3">
      <c r="A310" s="1482"/>
      <c r="M310" s="1342"/>
    </row>
    <row r="311" spans="1:13" s="886" customFormat="1" ht="21.3">
      <c r="A311" s="1482"/>
      <c r="M311" s="1342"/>
    </row>
    <row r="312" spans="1:13" s="886" customFormat="1" ht="21.3">
      <c r="A312" s="1482"/>
      <c r="M312" s="1342"/>
    </row>
    <row r="313" spans="1:13" s="886" customFormat="1" ht="21.3">
      <c r="A313" s="1482"/>
      <c r="M313" s="1342"/>
    </row>
    <row r="314" spans="1:13" s="886" customFormat="1" ht="21.3">
      <c r="A314" s="1482"/>
      <c r="M314" s="1342"/>
    </row>
    <row r="315" spans="1:13" s="886" customFormat="1" ht="21.3">
      <c r="A315" s="1482"/>
      <c r="M315" s="1342"/>
    </row>
    <row r="316" spans="1:13" s="886" customFormat="1" ht="21.3">
      <c r="A316" s="1482"/>
      <c r="M316" s="1342"/>
    </row>
    <row r="317" spans="1:13" s="886" customFormat="1" ht="21.3">
      <c r="A317" s="1482"/>
      <c r="M317" s="1342"/>
    </row>
    <row r="318" spans="1:13" s="886" customFormat="1" ht="21.3">
      <c r="A318" s="1482"/>
      <c r="M318" s="1342"/>
    </row>
    <row r="319" spans="1:13" s="886" customFormat="1" ht="21.3">
      <c r="A319" s="1482"/>
      <c r="M319" s="1342"/>
    </row>
    <row r="320" spans="1:13" s="886" customFormat="1" ht="21.3">
      <c r="A320" s="1482"/>
      <c r="M320" s="1342"/>
    </row>
    <row r="321" spans="1:12">
      <c r="A321" s="1482"/>
      <c r="B321" s="886"/>
      <c r="C321" s="886"/>
      <c r="D321" s="886"/>
      <c r="E321" s="886"/>
      <c r="F321" s="886"/>
      <c r="G321" s="886"/>
      <c r="H321" s="886"/>
      <c r="I321" s="886"/>
      <c r="J321" s="886"/>
      <c r="K321" s="886"/>
      <c r="L321" s="886"/>
    </row>
    <row r="322" spans="1:12">
      <c r="A322" s="1482"/>
      <c r="B322" s="886"/>
      <c r="C322" s="886"/>
      <c r="D322" s="886"/>
      <c r="E322" s="886"/>
      <c r="F322" s="886"/>
      <c r="G322" s="886"/>
      <c r="H322" s="886"/>
      <c r="I322" s="886"/>
      <c r="J322" s="886"/>
      <c r="K322" s="886"/>
      <c r="L322" s="886"/>
    </row>
    <row r="323" spans="1:12">
      <c r="A323" s="1482"/>
      <c r="B323" s="886"/>
      <c r="C323" s="886"/>
      <c r="D323" s="886"/>
      <c r="E323" s="886"/>
      <c r="F323" s="886"/>
      <c r="G323" s="886"/>
      <c r="H323" s="886"/>
      <c r="I323" s="886"/>
      <c r="J323" s="886"/>
      <c r="K323" s="886"/>
      <c r="L323" s="886"/>
    </row>
    <row r="330" spans="1:12">
      <c r="B330" s="1488"/>
    </row>
    <row r="331" spans="1:12">
      <c r="B331" s="1488"/>
    </row>
  </sheetData>
  <mergeCells count="22">
    <mergeCell ref="B108:D108"/>
    <mergeCell ref="L7:L8"/>
    <mergeCell ref="A9:A10"/>
    <mergeCell ref="B9:D10"/>
    <mergeCell ref="E9:E10"/>
    <mergeCell ref="F9:F10"/>
    <mergeCell ref="G9:H9"/>
    <mergeCell ref="I9:J9"/>
    <mergeCell ref="L9:L10"/>
    <mergeCell ref="B35:D35"/>
    <mergeCell ref="B47:D47"/>
    <mergeCell ref="B72:D72"/>
    <mergeCell ref="B84:D84"/>
    <mergeCell ref="B94:D94"/>
    <mergeCell ref="B261:D261"/>
    <mergeCell ref="B295:D295"/>
    <mergeCell ref="B118:D118"/>
    <mergeCell ref="B142:D142"/>
    <mergeCell ref="B161:D161"/>
    <mergeCell ref="B187:D187"/>
    <mergeCell ref="B197:D197"/>
    <mergeCell ref="B204:D204"/>
  </mergeCells>
  <conditionalFormatting sqref="M103">
    <cfRule type="cellIs" dxfId="1053" priority="96" stopIfTrue="1" operator="equal">
      <formula>1</formula>
    </cfRule>
  </conditionalFormatting>
  <conditionalFormatting sqref="M103">
    <cfRule type="cellIs" dxfId="1052" priority="95" stopIfTrue="1" operator="equal">
      <formula>0</formula>
    </cfRule>
  </conditionalFormatting>
  <conditionalFormatting sqref="P103">
    <cfRule type="cellIs" dxfId="1051" priority="94" stopIfTrue="1" operator="greaterThan">
      <formula>520</formula>
    </cfRule>
  </conditionalFormatting>
  <conditionalFormatting sqref="E86:L87 F24 C264:D268 F264:G264 F265 F266:G268 L264:L268 L270 F270:G270 C270:D270 E88 L88">
    <cfRule type="expression" dxfId="1050" priority="93">
      <formula>SUMPRODUCT(--(ROW()=$O$12:$O$22))&gt;0</formula>
    </cfRule>
  </conditionalFormatting>
  <conditionalFormatting sqref="E85:K85">
    <cfRule type="expression" dxfId="1049" priority="92">
      <formula>SUMPRODUCT(--(ROW()=$O$12:$O$22))&gt;0</formula>
    </cfRule>
  </conditionalFormatting>
  <conditionalFormatting sqref="E95:K95">
    <cfRule type="expression" dxfId="1048" priority="91">
      <formula>SUMPRODUCT(--(ROW()=$O$12:$O$22))&gt;0</formula>
    </cfRule>
  </conditionalFormatting>
  <conditionalFormatting sqref="E109:K109">
    <cfRule type="expression" dxfId="1047" priority="90">
      <formula>SUMPRODUCT(--(ROW()=$O$12:$O$22))&gt;0</formula>
    </cfRule>
  </conditionalFormatting>
  <conditionalFormatting sqref="E119:K119">
    <cfRule type="expression" dxfId="1046" priority="89">
      <formula>SUMPRODUCT(--(ROW()=$O$12:$O$22))&gt;0</formula>
    </cfRule>
  </conditionalFormatting>
  <conditionalFormatting sqref="E143:K143">
    <cfRule type="expression" dxfId="1045" priority="88">
      <formula>SUMPRODUCT(--(ROW()=$O$12:$O$22))&gt;0</formula>
    </cfRule>
  </conditionalFormatting>
  <conditionalFormatting sqref="E162:K162">
    <cfRule type="expression" dxfId="1044" priority="87">
      <formula>SUMPRODUCT(--(ROW()=$O$12:$O$22))&gt;0</formula>
    </cfRule>
  </conditionalFormatting>
  <conditionalFormatting sqref="E188:K188">
    <cfRule type="expression" dxfId="1043" priority="86">
      <formula>SUMPRODUCT(--(ROW()=$O$12:$O$22))&gt;0</formula>
    </cfRule>
  </conditionalFormatting>
  <conditionalFormatting sqref="E198:K198">
    <cfRule type="expression" dxfId="1042" priority="85">
      <formula>SUMPRODUCT(--(ROW()=$O$12:$O$22))&gt;0</formula>
    </cfRule>
  </conditionalFormatting>
  <conditionalFormatting sqref="E205:K205">
    <cfRule type="expression" dxfId="1041" priority="84">
      <formula>SUMPRODUCT(--(ROW()=$O$12:$O$22))&gt;0</formula>
    </cfRule>
  </conditionalFormatting>
  <conditionalFormatting sqref="E263:K263">
    <cfRule type="expression" dxfId="1040" priority="83">
      <formula>SUMPRODUCT(--(ROW()=$O$12:$O$22))&gt;0</formula>
    </cfRule>
  </conditionalFormatting>
  <conditionalFormatting sqref="L85">
    <cfRule type="expression" dxfId="1039" priority="82">
      <formula>SUMPRODUCT(--(ROW()=$O$12:$O$22))&gt;0</formula>
    </cfRule>
  </conditionalFormatting>
  <conditionalFormatting sqref="L95">
    <cfRule type="expression" dxfId="1038" priority="81">
      <formula>SUMPRODUCT(--(ROW()=$O$12:$O$22))&gt;0</formula>
    </cfRule>
  </conditionalFormatting>
  <conditionalFormatting sqref="L109">
    <cfRule type="expression" dxfId="1037" priority="80">
      <formula>SUMPRODUCT(--(ROW()=$O$12:$O$22))&gt;0</formula>
    </cfRule>
  </conditionalFormatting>
  <conditionalFormatting sqref="L119">
    <cfRule type="expression" dxfId="1036" priority="79">
      <formula>SUMPRODUCT(--(ROW()=$O$12:$O$22))&gt;0</formula>
    </cfRule>
  </conditionalFormatting>
  <conditionalFormatting sqref="L143">
    <cfRule type="expression" dxfId="1035" priority="78">
      <formula>SUMPRODUCT(--(ROW()=$O$12:$O$22))&gt;0</formula>
    </cfRule>
  </conditionalFormatting>
  <conditionalFormatting sqref="L162">
    <cfRule type="expression" dxfId="1034" priority="77">
      <formula>SUMPRODUCT(--(ROW()=$O$12:$O$22))&gt;0</formula>
    </cfRule>
  </conditionalFormatting>
  <conditionalFormatting sqref="L188">
    <cfRule type="expression" dxfId="1033" priority="76">
      <formula>SUMPRODUCT(--(ROW()=$O$12:$O$22))&gt;0</formula>
    </cfRule>
  </conditionalFormatting>
  <conditionalFormatting sqref="L198">
    <cfRule type="expression" dxfId="1032" priority="75">
      <formula>SUMPRODUCT(--(ROW()=$O$12:$O$22))&gt;0</formula>
    </cfRule>
  </conditionalFormatting>
  <conditionalFormatting sqref="L205">
    <cfRule type="expression" dxfId="1031" priority="74">
      <formula>SUMPRODUCT(--(ROW()=$O$12:$O$22))&gt;0</formula>
    </cfRule>
  </conditionalFormatting>
  <conditionalFormatting sqref="L263">
    <cfRule type="expression" dxfId="1030" priority="73">
      <formula>SUMPRODUCT(--(ROW()=$O$12:$O$22))&gt;0</formula>
    </cfRule>
  </conditionalFormatting>
  <conditionalFormatting sqref="B23">
    <cfRule type="expression" dxfId="1029" priority="72">
      <formula>SUMPRODUCT(--(ROW()=$O$12:$O$22))&gt;0</formula>
    </cfRule>
  </conditionalFormatting>
  <conditionalFormatting sqref="B75:E76">
    <cfRule type="expression" dxfId="1028" priority="71">
      <formula>SUMPRODUCT(--(ROW()=$O$12:$O$22))&gt;0</formula>
    </cfRule>
  </conditionalFormatting>
  <conditionalFormatting sqref="B100:E100">
    <cfRule type="expression" dxfId="1027" priority="70">
      <formula>SUMPRODUCT(--(ROW()=$O$12:$O$22))&gt;0</formula>
    </cfRule>
  </conditionalFormatting>
  <conditionalFormatting sqref="B101:E101">
    <cfRule type="expression" dxfId="1026" priority="69">
      <formula>SUMPRODUCT(--(ROW()=$O$12:$O$22))&gt;0</formula>
    </cfRule>
  </conditionalFormatting>
  <conditionalFormatting sqref="B102:E103">
    <cfRule type="expression" dxfId="1025" priority="68">
      <formula>SUMPRODUCT(--(ROW()=$O$12:$O$22))&gt;0</formula>
    </cfRule>
  </conditionalFormatting>
  <conditionalFormatting sqref="B98:E98">
    <cfRule type="expression" dxfId="1024" priority="67">
      <formula>SUMPRODUCT(--(ROW()=$O$12:$O$22))&gt;0</formula>
    </cfRule>
  </conditionalFormatting>
  <conditionalFormatting sqref="M98">
    <cfRule type="cellIs" dxfId="1023" priority="66" stopIfTrue="1" operator="equal">
      <formula>1</formula>
    </cfRule>
  </conditionalFormatting>
  <conditionalFormatting sqref="M98">
    <cfRule type="cellIs" dxfId="1022" priority="65" stopIfTrue="1" operator="equal">
      <formula>0</formula>
    </cfRule>
  </conditionalFormatting>
  <conditionalFormatting sqref="E23:F23">
    <cfRule type="expression" dxfId="1021" priority="64">
      <formula>SUMPRODUCT(--(ROW()=$O$12:$O$22))&gt;0</formula>
    </cfRule>
  </conditionalFormatting>
  <conditionalFormatting sqref="B24">
    <cfRule type="expression" dxfId="1020" priority="63">
      <formula>SUMPRODUCT(--(ROW()=$O$12:$O$22))&gt;0</formula>
    </cfRule>
  </conditionalFormatting>
  <conditionalFormatting sqref="A264:A268 A270">
    <cfRule type="expression" dxfId="1019" priority="62">
      <formula>SUMPRODUCT(--(ROW()=$O$12:$O$22))&gt;0</formula>
    </cfRule>
  </conditionalFormatting>
  <conditionalFormatting sqref="E264:E268 E270">
    <cfRule type="expression" dxfId="1018" priority="61">
      <formula>SUMPRODUCT(--(ROW()=$O$12:$O$22))&gt;0</formula>
    </cfRule>
  </conditionalFormatting>
  <conditionalFormatting sqref="E271:E273">
    <cfRule type="expression" dxfId="1017" priority="60">
      <formula>SUMPRODUCT(--(ROW()=$O$12:$O$22))&gt;0</formula>
    </cfRule>
  </conditionalFormatting>
  <conditionalFormatting sqref="A129:G129 A121:F128 A133:L133 A130:D132 I129 L121:L132 A141:L141 A134:F135 A203:G203 I203 L203 A186:L186 A145:F146 A150:L150 A148:F149 A157:L157 L148:L149 L151:L156 A158:F158 L145:L146 A159:J159 L158:L159 L138:L140 A138:D140 A151:F156">
    <cfRule type="expression" dxfId="1016" priority="59">
      <formula>SUMPRODUCT(--(ROW()=$O$12:$O$22))&gt;0</formula>
    </cfRule>
  </conditionalFormatting>
  <conditionalFormatting sqref="G272">
    <cfRule type="expression" dxfId="1015" priority="50">
      <formula>SUMPRODUCT(--(ROW()=$O$12:$O$22))&gt;0</formula>
    </cfRule>
  </conditionalFormatting>
  <conditionalFormatting sqref="I126:I128">
    <cfRule type="expression" dxfId="1014" priority="58">
      <formula>SUMPRODUCT(--(ROW()=$O$12:$O$22))&gt;0</formula>
    </cfRule>
  </conditionalFormatting>
  <conditionalFormatting sqref="A169:L169 A175:L181 A170:A174 L170:L174">
    <cfRule type="expression" dxfId="1013" priority="57">
      <formula>SUMPRODUCT(--(ROW()=$O$12:$O$22))&gt;0</formula>
    </cfRule>
  </conditionalFormatting>
  <conditionalFormatting sqref="A147:L147">
    <cfRule type="expression" dxfId="1012" priority="56">
      <formula>SUMPRODUCT(--(ROW()=$O$12:$O$22))&gt;0</formula>
    </cfRule>
  </conditionalFormatting>
  <conditionalFormatting sqref="G151:G156">
    <cfRule type="expression" dxfId="1011" priority="55">
      <formula>SUMPRODUCT(--(ROW()=$O$12:$O$22))&gt;0</formula>
    </cfRule>
  </conditionalFormatting>
  <conditionalFormatting sqref="I151:I156">
    <cfRule type="expression" dxfId="1010" priority="54">
      <formula>SUMPRODUCT(--(ROW()=$O$12:$O$22))&gt;0</formula>
    </cfRule>
  </conditionalFormatting>
  <conditionalFormatting sqref="G158">
    <cfRule type="expression" dxfId="1009" priority="53">
      <formula>SUMPRODUCT(--(ROW()=$O$12:$O$22))&gt;0</formula>
    </cfRule>
  </conditionalFormatting>
  <conditionalFormatting sqref="I158">
    <cfRule type="expression" dxfId="1008" priority="52">
      <formula>SUMPRODUCT(--(ROW()=$O$12:$O$22))&gt;0</formula>
    </cfRule>
  </conditionalFormatting>
  <conditionalFormatting sqref="G271">
    <cfRule type="expression" dxfId="1007" priority="51">
      <formula>SUMPRODUCT(--(ROW()=$O$12:$O$22))&gt;0</formula>
    </cfRule>
  </conditionalFormatting>
  <conditionalFormatting sqref="B208:B210">
    <cfRule type="expression" dxfId="1006" priority="37">
      <formula>SUMPRODUCT(--(ROW()=$O$12:$O$22))&gt;0</formula>
    </cfRule>
  </conditionalFormatting>
  <conditionalFormatting sqref="B97:E97">
    <cfRule type="expression" dxfId="1005" priority="49">
      <formula>SUMPRODUCT(--(ROW()=$O$12:$O$22))&gt;0</formula>
    </cfRule>
  </conditionalFormatting>
  <conditionalFormatting sqref="M97">
    <cfRule type="cellIs" dxfId="1004" priority="48" stopIfTrue="1" operator="equal">
      <formula>1</formula>
    </cfRule>
  </conditionalFormatting>
  <conditionalFormatting sqref="M97">
    <cfRule type="cellIs" dxfId="1003" priority="47" stopIfTrue="1" operator="equal">
      <formula>0</formula>
    </cfRule>
  </conditionalFormatting>
  <conditionalFormatting sqref="G100:G103">
    <cfRule type="expression" dxfId="1002" priority="46">
      <formula>SUMPRODUCT(--(ROW()=$O$12:$O$22))&gt;0</formula>
    </cfRule>
  </conditionalFormatting>
  <conditionalFormatting sqref="C269:D269 F269:G269 L269">
    <cfRule type="expression" dxfId="1001" priority="45">
      <formula>SUMPRODUCT(--(ROW()=$O$12:$O$22))&gt;0</formula>
    </cfRule>
  </conditionalFormatting>
  <conditionalFormatting sqref="A269">
    <cfRule type="expression" dxfId="1000" priority="44">
      <formula>SUMPRODUCT(--(ROW()=$O$12:$O$22))&gt;0</formula>
    </cfRule>
  </conditionalFormatting>
  <conditionalFormatting sqref="E269">
    <cfRule type="expression" dxfId="999" priority="43">
      <formula>SUMPRODUCT(--(ROW()=$O$12:$O$22))&gt;0</formula>
    </cfRule>
  </conditionalFormatting>
  <conditionalFormatting sqref="E274:E277">
    <cfRule type="expression" dxfId="998" priority="42">
      <formula>SUMPRODUCT(--(ROW()=$O$12:$O$22))&gt;0</formula>
    </cfRule>
  </conditionalFormatting>
  <conditionalFormatting sqref="G274:G277">
    <cfRule type="expression" dxfId="997" priority="41">
      <formula>SUMPRODUCT(--(ROW()=$O$12:$O$22))&gt;0</formula>
    </cfRule>
  </conditionalFormatting>
  <conditionalFormatting sqref="B211">
    <cfRule type="expression" dxfId="996" priority="40">
      <formula>SUMPRODUCT(--(ROW()=$O$12:$O$22))&gt;0</formula>
    </cfRule>
  </conditionalFormatting>
  <conditionalFormatting sqref="B212:B215">
    <cfRule type="expression" dxfId="995" priority="39">
      <formula>SUMPRODUCT(--(ROW()=$O$12:$O$22))&gt;0</formula>
    </cfRule>
  </conditionalFormatting>
  <conditionalFormatting sqref="B207">
    <cfRule type="expression" dxfId="994" priority="38">
      <formula>SUMPRODUCT(--(ROW()=$O$12:$O$22))&gt;0</formula>
    </cfRule>
  </conditionalFormatting>
  <conditionalFormatting sqref="B217:B218 B220 B222:B223">
    <cfRule type="expression" dxfId="993" priority="36">
      <formula>SUMPRODUCT(--(ROW()=$O$12:$O$22))&gt;0</formula>
    </cfRule>
  </conditionalFormatting>
  <conditionalFormatting sqref="A136 C136:F136">
    <cfRule type="expression" dxfId="992" priority="35">
      <formula>SUMPRODUCT(--(ROW()=$O$12:$O$22))&gt;0</formula>
    </cfRule>
  </conditionalFormatting>
  <conditionalFormatting sqref="A137:F137">
    <cfRule type="expression" dxfId="991" priority="34">
      <formula>SUMPRODUCT(--(ROW()=$O$12:$O$22))&gt;0</formula>
    </cfRule>
  </conditionalFormatting>
  <conditionalFormatting sqref="B136">
    <cfRule type="expression" dxfId="990" priority="33">
      <formula>SUMPRODUCT(--(ROW()=$O$12:$O$22))&gt;0</formula>
    </cfRule>
  </conditionalFormatting>
  <conditionalFormatting sqref="B225:B247">
    <cfRule type="expression" dxfId="989" priority="32">
      <formula>SUMPRODUCT(--(ROW()=$O$12:$O$22))&gt;0</formula>
    </cfRule>
  </conditionalFormatting>
  <conditionalFormatting sqref="B249:B256">
    <cfRule type="expression" dxfId="988" priority="31">
      <formula>SUMPRODUCT(--(ROW()=$O$12:$O$22))&gt;0</formula>
    </cfRule>
  </conditionalFormatting>
  <conditionalFormatting sqref="B258">
    <cfRule type="expression" dxfId="987" priority="30">
      <formula>SUMPRODUCT(--(ROW()=$O$12:$O$22))&gt;0</formula>
    </cfRule>
  </conditionalFormatting>
  <conditionalFormatting sqref="G97:K97">
    <cfRule type="expression" dxfId="986" priority="29">
      <formula>SUMPRODUCT(--(ROW()=$R$12:$R$23))&gt;0</formula>
    </cfRule>
  </conditionalFormatting>
  <conditionalFormatting sqref="G98:K98">
    <cfRule type="expression" dxfId="985" priority="28">
      <formula>SUMPRODUCT(--(ROW()=$R$12:$R$23))&gt;0</formula>
    </cfRule>
  </conditionalFormatting>
  <conditionalFormatting sqref="G126:G128">
    <cfRule type="expression" dxfId="984" priority="27">
      <formula>SUMPRODUCT(--(ROW()=$O$14:$O$24))&gt;0</formula>
    </cfRule>
  </conditionalFormatting>
  <conditionalFormatting sqref="E130:F132 H131:H132">
    <cfRule type="expression" dxfId="983" priority="26">
      <formula>SUMPRODUCT(--(ROW()=$O$14:$O$24))&gt;0</formula>
    </cfRule>
  </conditionalFormatting>
  <conditionalFormatting sqref="H134:H140">
    <cfRule type="expression" dxfId="982" priority="25">
      <formula>SUMPRODUCT(--(ROW()=$O$14:$O$24))&gt;0</formula>
    </cfRule>
  </conditionalFormatting>
  <conditionalFormatting sqref="G170:K171 G173:K174 G172">
    <cfRule type="expression" dxfId="981" priority="24">
      <formula>SUMPRODUCT(--(ROW()=$O$14:$O$24))&gt;0</formula>
    </cfRule>
  </conditionalFormatting>
  <conditionalFormatting sqref="B170:F172">
    <cfRule type="expression" dxfId="980" priority="23">
      <formula>SUMPRODUCT(--(ROW()=$O$12:$O$22))&gt;0</formula>
    </cfRule>
  </conditionalFormatting>
  <conditionalFormatting sqref="G208">
    <cfRule type="expression" dxfId="979" priority="22">
      <formula>SUMPRODUCT(--(ROW()=$O$14:$O$24))&gt;0</formula>
    </cfRule>
  </conditionalFormatting>
  <conditionalFormatting sqref="G211">
    <cfRule type="expression" dxfId="978" priority="21">
      <formula>SUMPRODUCT(--(ROW()=$O$14:$O$24))&gt;0</formula>
    </cfRule>
  </conditionalFormatting>
  <conditionalFormatting sqref="G214">
    <cfRule type="expression" dxfId="977" priority="20">
      <formula>SUMPRODUCT(--(ROW()=$O$14:$O$24))&gt;0</formula>
    </cfRule>
  </conditionalFormatting>
  <conditionalFormatting sqref="G215 I215">
    <cfRule type="expression" dxfId="976" priority="19">
      <formula>SUMPRODUCT(--(ROW()=$O$14:$O$24))&gt;0</formula>
    </cfRule>
  </conditionalFormatting>
  <conditionalFormatting sqref="G217">
    <cfRule type="expression" dxfId="975" priority="18">
      <formula>SUMPRODUCT(--(ROW()=$O$14:$O$24))&gt;0</formula>
    </cfRule>
  </conditionalFormatting>
  <conditionalFormatting sqref="G218">
    <cfRule type="expression" dxfId="974" priority="17">
      <formula>SUMPRODUCT(--(ROW()=$O$14:$O$24))&gt;0</formula>
    </cfRule>
  </conditionalFormatting>
  <conditionalFormatting sqref="G258 I258:J258">
    <cfRule type="expression" dxfId="973" priority="16">
      <formula>SUMPRODUCT(--(ROW()=$O$14:$O$24))&gt;0</formula>
    </cfRule>
  </conditionalFormatting>
  <conditionalFormatting sqref="I41:K41 G38:G41 J42:K42 K40">
    <cfRule type="expression" dxfId="972" priority="15">
      <formula>SUMPRODUCT(--(ROW()=$O$12:$O$22))&gt;0</formula>
    </cfRule>
  </conditionalFormatting>
  <conditionalFormatting sqref="H38:K39 I40:J40">
    <cfRule type="expression" dxfId="971" priority="14">
      <formula>SUMPRODUCT(--(ROW()=$O$12:$O$22))&gt;0</formula>
    </cfRule>
  </conditionalFormatting>
  <conditionalFormatting sqref="H40">
    <cfRule type="expression" dxfId="970" priority="13">
      <formula>SUMPRODUCT(--(ROW()=$O$12:$O$22))&gt;0</formula>
    </cfRule>
  </conditionalFormatting>
  <conditionalFormatting sqref="H41:H42">
    <cfRule type="expression" dxfId="969" priority="12">
      <formula>SUMPRODUCT(--(ROW()=$O$12:$O$22))&gt;0</formula>
    </cfRule>
  </conditionalFormatting>
  <conditionalFormatting sqref="G66:K68 G55:K55 H53:K54 G60:K61 G51:K52 H50:K50 H56:K59 H62:K65">
    <cfRule type="expression" dxfId="968" priority="11">
      <formula>SUMPRODUCT(--(ROW()=$O$12:$O$22))&gt;0</formula>
    </cfRule>
  </conditionalFormatting>
  <conditionalFormatting sqref="G56:G57">
    <cfRule type="expression" dxfId="967" priority="10">
      <formula>SUMPRODUCT(--(ROW()=$O$12:$O$22))&gt;0</formula>
    </cfRule>
  </conditionalFormatting>
  <conditionalFormatting sqref="G64:G65">
    <cfRule type="expression" dxfId="966" priority="9">
      <formula>SUMPRODUCT(--(ROW()=$O$12:$O$22))&gt;0</formula>
    </cfRule>
  </conditionalFormatting>
  <conditionalFormatting sqref="G58">
    <cfRule type="expression" dxfId="965" priority="8">
      <formula>SUMPRODUCT(--(ROW()=$O$12:$O$22))&gt;0</formula>
    </cfRule>
  </conditionalFormatting>
  <conditionalFormatting sqref="G53">
    <cfRule type="expression" dxfId="964" priority="7">
      <formula>SUMPRODUCT(--(ROW()=$O$12:$O$22))&gt;0</formula>
    </cfRule>
  </conditionalFormatting>
  <conditionalFormatting sqref="G54">
    <cfRule type="expression" dxfId="963" priority="6">
      <formula>SUMPRODUCT(--(ROW()=$O$12:$O$22))&gt;0</formula>
    </cfRule>
  </conditionalFormatting>
  <conditionalFormatting sqref="G62">
    <cfRule type="expression" dxfId="962" priority="5">
      <formula>SUMPRODUCT(--(ROW()=$O$12:$O$22))&gt;0</formula>
    </cfRule>
  </conditionalFormatting>
  <conditionalFormatting sqref="G50">
    <cfRule type="expression" dxfId="961" priority="4">
      <formula>SUMPRODUCT(--(ROW()=$O$12:$O$22))&gt;0</formula>
    </cfRule>
  </conditionalFormatting>
  <conditionalFormatting sqref="G59">
    <cfRule type="expression" dxfId="960" priority="3">
      <formula>SUMPRODUCT(--(ROW()=$O$12:$O$22))&gt;0</formula>
    </cfRule>
  </conditionalFormatting>
  <conditionalFormatting sqref="G63">
    <cfRule type="expression" dxfId="959" priority="2">
      <formula>SUMPRODUCT(--(ROW()=$O$12:$O$22))&gt;0</formula>
    </cfRule>
  </conditionalFormatting>
  <conditionalFormatting sqref="L286">
    <cfRule type="expression" dxfId="958" priority="1">
      <formula>SUMPRODUCT(--(ROW()=$O$14:$O$24))&gt;0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3-อาคารสนับนุน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0A8B7-BA6C-4593-9FDD-CD1363E71294}">
  <sheetPr>
    <tabColor rgb="FFFF00FF"/>
  </sheetPr>
  <dimension ref="A1:O287"/>
  <sheetViews>
    <sheetView showGridLines="0" tabSelected="1" view="pageBreakPreview" topLeftCell="A262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1489" customWidth="1"/>
    <col min="2" max="3" width="7.29296875" style="952" customWidth="1"/>
    <col min="4" max="4" width="56.703125" style="952" customWidth="1"/>
    <col min="5" max="5" width="14.703125" style="952" customWidth="1"/>
    <col min="6" max="6" width="10.703125" style="952" customWidth="1"/>
    <col min="7" max="7" width="14.703125" style="952" customWidth="1"/>
    <col min="8" max="8" width="18.703125" style="952" customWidth="1"/>
    <col min="9" max="9" width="14.703125" style="952" customWidth="1"/>
    <col min="10" max="10" width="18.703125" style="952" customWidth="1"/>
    <col min="11" max="11" width="20.703125" style="952" customWidth="1"/>
    <col min="12" max="12" width="26.5859375" style="952" customWidth="1"/>
    <col min="13" max="13" width="7.703125" style="1319" customWidth="1"/>
    <col min="14" max="55" width="7.703125" style="1" customWidth="1"/>
    <col min="56" max="16384" width="9" style="1"/>
  </cols>
  <sheetData>
    <row r="1" spans="1:15" ht="35.1" customHeight="1">
      <c r="A1" s="1428"/>
      <c r="B1" s="1428"/>
      <c r="C1" s="46"/>
      <c r="D1" s="46"/>
      <c r="E1" s="46"/>
      <c r="F1" s="1429" t="s">
        <v>0</v>
      </c>
      <c r="G1" s="733"/>
      <c r="H1" s="733"/>
      <c r="I1" s="733"/>
      <c r="J1" s="735" t="s">
        <v>1</v>
      </c>
      <c r="K1" s="736"/>
      <c r="L1" s="733"/>
    </row>
    <row r="2" spans="1:15" ht="25.15" customHeight="1">
      <c r="A2" s="1431" t="s">
        <v>2</v>
      </c>
      <c r="B2" s="1432"/>
      <c r="C2" s="11"/>
      <c r="D2" s="11" t="s">
        <v>1900</v>
      </c>
      <c r="E2" s="11"/>
      <c r="F2" s="737"/>
      <c r="G2" s="737"/>
      <c r="H2" s="737"/>
      <c r="I2" s="737"/>
      <c r="J2" s="737"/>
      <c r="K2" s="737"/>
      <c r="L2" s="1433"/>
    </row>
    <row r="3" spans="1:15" ht="25.15" customHeight="1">
      <c r="A3" s="1434" t="s">
        <v>22</v>
      </c>
      <c r="B3" s="5"/>
      <c r="C3" s="47"/>
      <c r="D3" s="1435"/>
      <c r="E3" s="47"/>
      <c r="F3" s="739"/>
      <c r="G3" s="739"/>
      <c r="H3" s="739"/>
      <c r="I3" s="739"/>
      <c r="J3" s="740"/>
      <c r="K3" s="739"/>
      <c r="L3" s="1436"/>
    </row>
    <row r="4" spans="1:15" ht="25.15" customHeight="1">
      <c r="A4" s="1434"/>
      <c r="B4" s="5"/>
      <c r="C4" s="47"/>
      <c r="D4" s="41" t="s">
        <v>2970</v>
      </c>
      <c r="E4" s="47"/>
      <c r="F4" s="739"/>
      <c r="G4" s="739"/>
      <c r="H4" s="739"/>
      <c r="I4" s="739"/>
      <c r="J4" s="740"/>
      <c r="K4" s="739"/>
      <c r="L4" s="1436"/>
    </row>
    <row r="5" spans="1:15" ht="25.15" customHeight="1">
      <c r="A5" s="1434" t="s">
        <v>3</v>
      </c>
      <c r="B5" s="1432"/>
      <c r="C5" s="11"/>
      <c r="D5" s="1435" t="s">
        <v>21</v>
      </c>
      <c r="E5" s="736"/>
      <c r="F5" s="737"/>
      <c r="G5" s="741" t="s">
        <v>4</v>
      </c>
      <c r="H5" s="742"/>
      <c r="I5" s="739"/>
      <c r="J5" s="740"/>
      <c r="K5" s="743"/>
      <c r="L5" s="1436"/>
    </row>
    <row r="6" spans="1:15" ht="25.15" customHeight="1">
      <c r="A6" s="5" t="s">
        <v>20</v>
      </c>
      <c r="B6" s="5"/>
      <c r="C6" s="47"/>
      <c r="D6" s="49"/>
      <c r="E6" s="47"/>
      <c r="F6" s="739"/>
      <c r="G6" s="744"/>
      <c r="H6" s="739"/>
      <c r="I6" s="739"/>
      <c r="J6" s="739"/>
      <c r="K6" s="739"/>
      <c r="L6" s="743"/>
    </row>
    <row r="7" spans="1:15" ht="25.15" customHeight="1">
      <c r="A7" s="744" t="s">
        <v>26</v>
      </c>
      <c r="B7" s="20"/>
      <c r="C7" s="20"/>
      <c r="D7" s="21"/>
      <c r="E7" s="20"/>
      <c r="F7" s="1437" t="s">
        <v>5</v>
      </c>
      <c r="G7" s="1438"/>
      <c r="H7" s="1438" t="s">
        <v>6</v>
      </c>
      <c r="I7" s="1439"/>
      <c r="J7" s="744" t="s">
        <v>23</v>
      </c>
      <c r="K7" s="20"/>
      <c r="L7" s="2492" t="s">
        <v>7</v>
      </c>
    </row>
    <row r="8" spans="1:15" ht="10.15" customHeight="1">
      <c r="A8" s="4"/>
      <c r="B8" s="1440"/>
      <c r="C8" s="1440"/>
      <c r="D8" s="25"/>
      <c r="E8" s="25"/>
      <c r="F8" s="1441"/>
      <c r="G8" s="1441"/>
      <c r="H8" s="1442"/>
      <c r="I8" s="1442"/>
      <c r="J8" s="1442"/>
      <c r="K8" s="1441"/>
      <c r="L8" s="2493"/>
    </row>
    <row r="9" spans="1:15" s="3" customFormat="1" ht="24" customHeight="1">
      <c r="A9" s="2494" t="s">
        <v>8</v>
      </c>
      <c r="B9" s="2496" t="s">
        <v>9</v>
      </c>
      <c r="C9" s="2497"/>
      <c r="D9" s="2497"/>
      <c r="E9" s="2500" t="s">
        <v>10</v>
      </c>
      <c r="F9" s="2502" t="s">
        <v>11</v>
      </c>
      <c r="G9" s="2504" t="s">
        <v>12</v>
      </c>
      <c r="H9" s="2505"/>
      <c r="I9" s="2506" t="s">
        <v>13</v>
      </c>
      <c r="J9" s="2474"/>
      <c r="K9" s="2263" t="s">
        <v>14</v>
      </c>
      <c r="L9" s="2507" t="s">
        <v>15</v>
      </c>
      <c r="M9" s="1320"/>
    </row>
    <row r="10" spans="1:15" s="3" customFormat="1" ht="24" customHeight="1">
      <c r="A10" s="2495"/>
      <c r="B10" s="2498"/>
      <c r="C10" s="2499"/>
      <c r="D10" s="2499"/>
      <c r="E10" s="2501"/>
      <c r="F10" s="2503"/>
      <c r="G10" s="1445" t="s">
        <v>16</v>
      </c>
      <c r="H10" s="2262" t="s">
        <v>17</v>
      </c>
      <c r="I10" s="1446" t="s">
        <v>16</v>
      </c>
      <c r="J10" s="2262" t="s">
        <v>17</v>
      </c>
      <c r="K10" s="1447" t="s">
        <v>18</v>
      </c>
      <c r="L10" s="2508"/>
      <c r="M10" s="1320"/>
    </row>
    <row r="11" spans="1:15" ht="24" customHeight="1">
      <c r="A11" s="1143" t="s">
        <v>244</v>
      </c>
      <c r="B11" s="1144" t="s">
        <v>2382</v>
      </c>
      <c r="C11" s="1448"/>
      <c r="D11" s="1449"/>
      <c r="E11" s="1450"/>
      <c r="F11" s="1451"/>
      <c r="G11" s="1490"/>
      <c r="H11" s="746"/>
      <c r="I11" s="1454"/>
      <c r="J11" s="1455"/>
      <c r="K11" s="1456"/>
      <c r="L11" s="1456"/>
    </row>
    <row r="12" spans="1:15" s="714" customFormat="1" ht="24" customHeight="1">
      <c r="A12" s="1330" t="str">
        <f>A35</f>
        <v>7.1</v>
      </c>
      <c r="B12" s="1331" t="str">
        <f>B35</f>
        <v>เครื่องส่งลมเย็นแบบ Pre-Cooled Outdoor Air unit</v>
      </c>
      <c r="C12" s="1463"/>
      <c r="D12" s="1464"/>
      <c r="E12" s="1458">
        <v>1</v>
      </c>
      <c r="F12" s="1465" t="s">
        <v>19</v>
      </c>
      <c r="G12" s="1466"/>
      <c r="H12" s="751">
        <f>H45</f>
        <v>1404900</v>
      </c>
      <c r="I12" s="1398"/>
      <c r="J12" s="1393">
        <f>J45</f>
        <v>20397</v>
      </c>
      <c r="K12" s="1022">
        <f t="shared" ref="K12:K23" si="0">SUM(H12:J12)</f>
        <v>1425297</v>
      </c>
      <c r="L12" s="1507"/>
      <c r="M12" s="1322"/>
      <c r="N12" s="714" t="str">
        <f t="shared" ref="N12:N22" si="1">"รวมราคารายการที่ "&amp;A12</f>
        <v>รวมราคารายการที่ 7.1</v>
      </c>
      <c r="O12" s="1323">
        <f t="array" ref="O12">MAX(IF($B$35:$B$717=N12,ROW($B$35:$B$717)))</f>
        <v>45</v>
      </c>
    </row>
    <row r="13" spans="1:15" s="714" customFormat="1" ht="24" customHeight="1">
      <c r="A13" s="1330" t="str">
        <f>A46</f>
        <v>7.2</v>
      </c>
      <c r="B13" s="1331" t="str">
        <f>B46</f>
        <v>เครื่องส่งลมเย็นขนาดใหญ่ (Air Handling Unit)</v>
      </c>
      <c r="C13" s="1282"/>
      <c r="D13" s="1457"/>
      <c r="E13" s="1458">
        <v>1</v>
      </c>
      <c r="F13" s="1459" t="s">
        <v>19</v>
      </c>
      <c r="G13" s="1460"/>
      <c r="H13" s="751">
        <f>H70</f>
        <v>3484800</v>
      </c>
      <c r="I13" s="1392"/>
      <c r="J13" s="1393">
        <f>J70</f>
        <v>374580</v>
      </c>
      <c r="K13" s="1022">
        <f t="shared" si="0"/>
        <v>3859380</v>
      </c>
      <c r="L13" s="885"/>
      <c r="M13" s="1322"/>
      <c r="N13" s="714" t="str">
        <f t="shared" si="1"/>
        <v>รวมราคารายการที่ 7.2</v>
      </c>
      <c r="O13" s="1323">
        <f t="array" ref="O13">MAX(IF($B$35:$B$717=N13,ROW($B$35:$B$717)))</f>
        <v>70</v>
      </c>
    </row>
    <row r="14" spans="1:15" s="714" customFormat="1" ht="24" customHeight="1">
      <c r="A14" s="1330" t="str">
        <f>A71</f>
        <v>7.3</v>
      </c>
      <c r="B14" s="1331" t="str">
        <f>B71</f>
        <v>อุปกรณ์ควบคุมอัตโนมัติ (Automatic Control Equipment)</v>
      </c>
      <c r="C14" s="1282"/>
      <c r="D14" s="1457"/>
      <c r="E14" s="1458">
        <v>1</v>
      </c>
      <c r="F14" s="1459" t="s">
        <v>19</v>
      </c>
      <c r="G14" s="1460"/>
      <c r="H14" s="751">
        <f>H78</f>
        <v>158270</v>
      </c>
      <c r="I14" s="1392"/>
      <c r="J14" s="1393">
        <f>J78</f>
        <v>4250</v>
      </c>
      <c r="K14" s="1022">
        <f t="shared" si="0"/>
        <v>162520</v>
      </c>
      <c r="L14" s="885"/>
      <c r="M14" s="1322"/>
      <c r="N14" s="714" t="str">
        <f t="shared" si="1"/>
        <v>รวมราคารายการที่ 7.3</v>
      </c>
      <c r="O14" s="1323">
        <f t="array" ref="O14">MAX(IF($B$35:$B$717=N14,ROW($B$35:$B$717)))</f>
        <v>78</v>
      </c>
    </row>
    <row r="15" spans="1:15" s="714" customFormat="1" ht="24" customHeight="1">
      <c r="A15" s="1330">
        <f>A79</f>
        <v>7.4</v>
      </c>
      <c r="B15" s="1331" t="str">
        <f>B79</f>
        <v>พัดลมระบายอากาศ (Ventilating Fan)</v>
      </c>
      <c r="C15" s="1282"/>
      <c r="D15" s="1457"/>
      <c r="E15" s="1458">
        <v>1</v>
      </c>
      <c r="F15" s="1459" t="s">
        <v>19</v>
      </c>
      <c r="G15" s="1460"/>
      <c r="H15" s="751">
        <f>H92</f>
        <v>86160</v>
      </c>
      <c r="I15" s="1392"/>
      <c r="J15" s="1393">
        <f>J92</f>
        <v>11320</v>
      </c>
      <c r="K15" s="1022">
        <f t="shared" si="0"/>
        <v>97480</v>
      </c>
      <c r="L15" s="885"/>
      <c r="M15" s="1322"/>
      <c r="N15" s="714" t="str">
        <f t="shared" si="1"/>
        <v>รวมราคารายการที่ 7.4</v>
      </c>
      <c r="O15" s="1323">
        <f t="array" ref="O15">MAX(IF($B$35:$B$717=N15,ROW($B$35:$B$717)))</f>
        <v>92</v>
      </c>
    </row>
    <row r="16" spans="1:15" s="714" customFormat="1" ht="24" customHeight="1">
      <c r="A16" s="1330" t="str">
        <f>A93</f>
        <v>7.5</v>
      </c>
      <c r="B16" s="1331" t="str">
        <f>B93</f>
        <v>ระบบกรองอากาศ (Air Filtration System)</v>
      </c>
      <c r="C16" s="1282"/>
      <c r="D16" s="1457"/>
      <c r="E16" s="1458">
        <v>1</v>
      </c>
      <c r="F16" s="1459" t="s">
        <v>19</v>
      </c>
      <c r="G16" s="1460"/>
      <c r="H16" s="751">
        <f>H99</f>
        <v>17200</v>
      </c>
      <c r="I16" s="1392"/>
      <c r="J16" s="1393">
        <f>J99</f>
        <v>2650</v>
      </c>
      <c r="K16" s="1022">
        <f t="shared" si="0"/>
        <v>19850</v>
      </c>
      <c r="L16" s="885"/>
      <c r="M16" s="1322"/>
      <c r="N16" s="714" t="str">
        <f t="shared" si="1"/>
        <v>รวมราคารายการที่ 7.5</v>
      </c>
      <c r="O16" s="1323">
        <f t="array" ref="O16">MAX(IF($B$35:$B$717=N16,ROW($B$35:$B$717)))</f>
        <v>99</v>
      </c>
    </row>
    <row r="17" spans="1:15" s="714" customFormat="1" ht="24" customHeight="1">
      <c r="A17" s="1330" t="str">
        <f>A100</f>
        <v>7.6</v>
      </c>
      <c r="B17" s="1331" t="str">
        <f>B100</f>
        <v>งานท่อ (Piping Work)</v>
      </c>
      <c r="C17" s="1469"/>
      <c r="D17" s="1470"/>
      <c r="E17" s="1458">
        <v>1</v>
      </c>
      <c r="F17" s="1459" t="s">
        <v>19</v>
      </c>
      <c r="G17" s="1472"/>
      <c r="H17" s="751">
        <f>H127</f>
        <v>503728</v>
      </c>
      <c r="I17" s="1400"/>
      <c r="J17" s="1393">
        <f>J127</f>
        <v>212438</v>
      </c>
      <c r="K17" s="1022">
        <f t="shared" si="0"/>
        <v>716166</v>
      </c>
      <c r="L17" s="1473"/>
      <c r="M17" s="1322"/>
      <c r="N17" s="714" t="str">
        <f t="shared" si="1"/>
        <v>รวมราคารายการที่ 7.6</v>
      </c>
      <c r="O17" s="1323">
        <f t="array" ref="O17">MAX(IF($B$35:$B$717=N17,ROW($B$35:$B$717)))</f>
        <v>127</v>
      </c>
    </row>
    <row r="18" spans="1:15" s="714" customFormat="1" ht="24" customHeight="1">
      <c r="A18" s="1526" t="str">
        <f>A128</f>
        <v>7.7</v>
      </c>
      <c r="B18" s="1331" t="str">
        <f>B128</f>
        <v>ฉนวนหุ้มท่อ (Pipe Insulation)</v>
      </c>
      <c r="C18" s="1282"/>
      <c r="D18" s="1457"/>
      <c r="E18" s="1458">
        <v>1</v>
      </c>
      <c r="F18" s="1459" t="s">
        <v>19</v>
      </c>
      <c r="G18" s="1460"/>
      <c r="H18" s="751">
        <f>H145</f>
        <v>198107</v>
      </c>
      <c r="I18" s="1392"/>
      <c r="J18" s="1393">
        <f>J145</f>
        <v>53744</v>
      </c>
      <c r="K18" s="1022">
        <f t="shared" si="0"/>
        <v>251851</v>
      </c>
      <c r="L18" s="885"/>
      <c r="M18" s="1322"/>
      <c r="N18" s="714" t="str">
        <f t="shared" si="1"/>
        <v>รวมราคารายการที่ 7.7</v>
      </c>
      <c r="O18" s="1323">
        <f t="array" ref="O18">MAX(IF($B$35:$B$717=N18,ROW($B$35:$B$717)))</f>
        <v>145</v>
      </c>
    </row>
    <row r="19" spans="1:15" s="714" customFormat="1" ht="24" customHeight="1">
      <c r="A19" s="1330">
        <f>A146</f>
        <v>7.8</v>
      </c>
      <c r="B19" s="1331" t="str">
        <f>B146</f>
        <v>วาล์วและอุปกรณ์ประกอบ  (Valve &amp; Pipe Accessories)</v>
      </c>
      <c r="C19" s="1282"/>
      <c r="D19" s="1457"/>
      <c r="E19" s="1458">
        <v>1</v>
      </c>
      <c r="F19" s="1459" t="s">
        <v>19</v>
      </c>
      <c r="G19" s="1460"/>
      <c r="H19" s="751">
        <f>H170</f>
        <v>130356</v>
      </c>
      <c r="I19" s="1392"/>
      <c r="J19" s="1393">
        <f>J170</f>
        <v>17000</v>
      </c>
      <c r="K19" s="1022">
        <f t="shared" si="0"/>
        <v>147356</v>
      </c>
      <c r="L19" s="885"/>
      <c r="M19" s="1322"/>
      <c r="N19" s="714" t="str">
        <f t="shared" si="1"/>
        <v>รวมราคารายการที่ 7.8</v>
      </c>
      <c r="O19" s="1323">
        <f t="array" ref="O19">MAX(IF($B$35:$B$717=N19,ROW($B$35:$B$717)))</f>
        <v>170</v>
      </c>
    </row>
    <row r="20" spans="1:15" s="714" customFormat="1" ht="24" customHeight="1">
      <c r="A20" s="1330">
        <f>A171</f>
        <v>7.9</v>
      </c>
      <c r="B20" s="1331" t="str">
        <f>B171</f>
        <v>ระบบท่อลม (Duct Work)</v>
      </c>
      <c r="C20" s="1282"/>
      <c r="D20" s="1457"/>
      <c r="E20" s="1458">
        <v>1</v>
      </c>
      <c r="F20" s="1459" t="s">
        <v>19</v>
      </c>
      <c r="G20" s="1460"/>
      <c r="H20" s="751">
        <f>H184</f>
        <v>290998</v>
      </c>
      <c r="I20" s="1392"/>
      <c r="J20" s="1393">
        <f>J184</f>
        <v>199035</v>
      </c>
      <c r="K20" s="1022">
        <f t="shared" si="0"/>
        <v>490033</v>
      </c>
      <c r="L20" s="885"/>
      <c r="M20" s="1322"/>
      <c r="N20" s="714" t="str">
        <f t="shared" si="1"/>
        <v>รวมราคารายการที่ 7.9</v>
      </c>
      <c r="O20" s="1323">
        <f t="array" ref="O20">MAX(IF($B$35:$B$717=N20,ROW($B$35:$B$717)))</f>
        <v>184</v>
      </c>
    </row>
    <row r="21" spans="1:15" s="714" customFormat="1" ht="24" customHeight="1">
      <c r="A21" s="1330" t="str">
        <f>A185</f>
        <v>7.10</v>
      </c>
      <c r="B21" s="1331" t="str">
        <f>B185</f>
        <v>ฉนวนหุ้มท่อลม (Duct Insulation)</v>
      </c>
      <c r="C21" s="1282"/>
      <c r="D21" s="1457"/>
      <c r="E21" s="1458">
        <v>1</v>
      </c>
      <c r="F21" s="1459" t="s">
        <v>19</v>
      </c>
      <c r="G21" s="1460"/>
      <c r="H21" s="751">
        <f>H193</f>
        <v>128028</v>
      </c>
      <c r="I21" s="1392"/>
      <c r="J21" s="1393">
        <f>J193</f>
        <v>40860</v>
      </c>
      <c r="K21" s="1022">
        <f t="shared" si="0"/>
        <v>168888</v>
      </c>
      <c r="L21" s="885"/>
      <c r="M21" s="1322"/>
      <c r="N21" s="714" t="str">
        <f t="shared" si="1"/>
        <v>รวมราคารายการที่ 7.10</v>
      </c>
      <c r="O21" s="1323">
        <f t="array" ref="O21">MAX(IF($B$35:$B$717=N21,ROW($B$35:$B$717)))</f>
        <v>193</v>
      </c>
    </row>
    <row r="22" spans="1:15" s="714" customFormat="1" ht="24" customHeight="1">
      <c r="A22" s="1330" t="str">
        <f>A194</f>
        <v>7.11</v>
      </c>
      <c r="B22" s="1331" t="str">
        <f>B194</f>
        <v>หน้ากากลม (Air Diffuser, Grille &amp; Register)</v>
      </c>
      <c r="C22" s="1282"/>
      <c r="D22" s="1457"/>
      <c r="E22" s="1458">
        <v>1</v>
      </c>
      <c r="F22" s="1459" t="s">
        <v>19</v>
      </c>
      <c r="G22" s="1460"/>
      <c r="H22" s="751">
        <f>H241</f>
        <v>160200</v>
      </c>
      <c r="I22" s="1392"/>
      <c r="J22" s="1393">
        <f>J241</f>
        <v>25350</v>
      </c>
      <c r="K22" s="1022">
        <f t="shared" si="0"/>
        <v>185550</v>
      </c>
      <c r="L22" s="885"/>
      <c r="M22" s="1322"/>
      <c r="N22" s="714" t="str">
        <f t="shared" si="1"/>
        <v>รวมราคารายการที่ 7.11</v>
      </c>
      <c r="O22" s="1323">
        <f t="array" ref="O22">MAX(IF($B$35:$B$717=N22,ROW($B$35:$B$717)))</f>
        <v>241</v>
      </c>
    </row>
    <row r="23" spans="1:15" s="714" customFormat="1" ht="24" customHeight="1">
      <c r="A23" s="1330" t="str">
        <f>A242</f>
        <v>7.12</v>
      </c>
      <c r="B23" s="1331" t="str">
        <f>B242</f>
        <v>ระบบไฟฟ้าและควบคุม (Electrical &amp; Control System)</v>
      </c>
      <c r="C23" s="1282"/>
      <c r="D23" s="1457"/>
      <c r="E23" s="1458">
        <v>1</v>
      </c>
      <c r="F23" s="1459" t="s">
        <v>19</v>
      </c>
      <c r="G23" s="1460"/>
      <c r="H23" s="751">
        <f>H272</f>
        <v>318212</v>
      </c>
      <c r="I23" s="1392"/>
      <c r="J23" s="1393">
        <f>J272</f>
        <v>46010</v>
      </c>
      <c r="K23" s="1022">
        <f t="shared" si="0"/>
        <v>364222</v>
      </c>
      <c r="L23" s="885"/>
      <c r="M23" s="1322"/>
    </row>
    <row r="24" spans="1:15" s="714" customFormat="1" ht="24" customHeight="1">
      <c r="A24" s="1330"/>
      <c r="B24" s="1331"/>
      <c r="C24" s="1282"/>
      <c r="D24" s="1457"/>
      <c r="E24" s="1458"/>
      <c r="F24" s="1459"/>
      <c r="G24" s="1460"/>
      <c r="H24" s="751"/>
      <c r="I24" s="1392"/>
      <c r="J24" s="1393"/>
      <c r="K24" s="1022"/>
      <c r="L24" s="885"/>
      <c r="M24" s="1322"/>
    </row>
    <row r="25" spans="1:15" s="714" customFormat="1" ht="24" customHeight="1">
      <c r="A25" s="1330"/>
      <c r="B25" s="1331"/>
      <c r="C25" s="1282"/>
      <c r="D25" s="1457"/>
      <c r="E25" s="1458"/>
      <c r="F25" s="1459"/>
      <c r="G25" s="1460"/>
      <c r="H25" s="751"/>
      <c r="I25" s="1392"/>
      <c r="J25" s="1393"/>
      <c r="K25" s="1022"/>
      <c r="L25" s="885"/>
      <c r="M25" s="1322"/>
    </row>
    <row r="26" spans="1:15" s="714" customFormat="1" ht="24" customHeight="1">
      <c r="A26" s="1474"/>
      <c r="B26" s="1331"/>
      <c r="C26" s="1282"/>
      <c r="D26" s="1457"/>
      <c r="E26" s="1458"/>
      <c r="F26" s="1459"/>
      <c r="G26" s="1460"/>
      <c r="H26" s="751"/>
      <c r="I26" s="1392"/>
      <c r="J26" s="1393"/>
      <c r="K26" s="1022"/>
      <c r="L26" s="885"/>
      <c r="M26" s="1322"/>
    </row>
    <row r="27" spans="1:15" s="714" customFormat="1" ht="24" customHeight="1">
      <c r="A27" s="1474"/>
      <c r="B27" s="1331"/>
      <c r="C27" s="1282"/>
      <c r="D27" s="1457"/>
      <c r="E27" s="1458"/>
      <c r="F27" s="1459"/>
      <c r="G27" s="1460"/>
      <c r="H27" s="751"/>
      <c r="I27" s="1392"/>
      <c r="J27" s="1393"/>
      <c r="K27" s="1022"/>
      <c r="L27" s="885"/>
      <c r="M27" s="1322"/>
    </row>
    <row r="28" spans="1:15" s="714" customFormat="1" ht="24" customHeight="1">
      <c r="A28" s="1474"/>
      <c r="B28" s="1331"/>
      <c r="C28" s="1282"/>
      <c r="D28" s="1457"/>
      <c r="E28" s="1458"/>
      <c r="F28" s="1459"/>
      <c r="G28" s="1460"/>
      <c r="H28" s="751"/>
      <c r="I28" s="1392"/>
      <c r="J28" s="1393"/>
      <c r="K28" s="1022"/>
      <c r="L28" s="885"/>
      <c r="M28" s="1322"/>
    </row>
    <row r="29" spans="1:15" s="714" customFormat="1" ht="24" customHeight="1">
      <c r="A29" s="1474"/>
      <c r="B29" s="1331"/>
      <c r="C29" s="1282"/>
      <c r="D29" s="1457"/>
      <c r="E29" s="1458"/>
      <c r="F29" s="1459"/>
      <c r="G29" s="1460"/>
      <c r="H29" s="751"/>
      <c r="I29" s="1392"/>
      <c r="J29" s="1393"/>
      <c r="K29" s="1022"/>
      <c r="L29" s="885"/>
      <c r="M29" s="1322"/>
    </row>
    <row r="30" spans="1:15" s="714" customFormat="1" ht="24" customHeight="1">
      <c r="A30" s="1474"/>
      <c r="B30" s="1331"/>
      <c r="C30" s="1282"/>
      <c r="D30" s="1457"/>
      <c r="E30" s="1458"/>
      <c r="F30" s="1459"/>
      <c r="G30" s="1460"/>
      <c r="H30" s="751"/>
      <c r="I30" s="1392"/>
      <c r="J30" s="1393"/>
      <c r="K30" s="1022"/>
      <c r="L30" s="885"/>
      <c r="M30" s="1322"/>
    </row>
    <row r="31" spans="1:15" s="714" customFormat="1" ht="24" customHeight="1">
      <c r="A31" s="1474"/>
      <c r="B31" s="1331"/>
      <c r="C31" s="1282"/>
      <c r="D31" s="1457"/>
      <c r="E31" s="1458"/>
      <c r="F31" s="1459"/>
      <c r="G31" s="1460"/>
      <c r="H31" s="751"/>
      <c r="I31" s="1392"/>
      <c r="J31" s="1393"/>
      <c r="K31" s="1022"/>
      <c r="L31" s="885"/>
      <c r="M31" s="1322"/>
    </row>
    <row r="32" spans="1:15" s="714" customFormat="1" ht="24" customHeight="1">
      <c r="A32" s="1474"/>
      <c r="B32" s="1331"/>
      <c r="C32" s="1282"/>
      <c r="D32" s="1457"/>
      <c r="E32" s="1458"/>
      <c r="F32" s="1459"/>
      <c r="G32" s="1460"/>
      <c r="H32" s="751"/>
      <c r="I32" s="1392"/>
      <c r="J32" s="1393"/>
      <c r="K32" s="1022"/>
      <c r="L32" s="885"/>
      <c r="M32" s="1322"/>
    </row>
    <row r="33" spans="1:13" s="714" customFormat="1" ht="24" customHeight="1">
      <c r="A33" s="1474"/>
      <c r="B33" s="1331"/>
      <c r="C33" s="1282"/>
      <c r="D33" s="1457"/>
      <c r="E33" s="1458"/>
      <c r="F33" s="1459"/>
      <c r="G33" s="1460"/>
      <c r="H33" s="751"/>
      <c r="I33" s="1392"/>
      <c r="J33" s="1393"/>
      <c r="K33" s="1022"/>
      <c r="L33" s="885"/>
      <c r="M33" s="1322"/>
    </row>
    <row r="34" spans="1:13" s="714" customFormat="1" ht="30" customHeight="1">
      <c r="A34" s="1166"/>
      <c r="B34" s="2475" t="s">
        <v>2383</v>
      </c>
      <c r="C34" s="2476"/>
      <c r="D34" s="2476"/>
      <c r="E34" s="1167"/>
      <c r="F34" s="1381"/>
      <c r="G34" s="1168"/>
      <c r="H34" s="1169">
        <f>SUM(H11:H33)</f>
        <v>6880959</v>
      </c>
      <c r="I34" s="1170"/>
      <c r="J34" s="1382">
        <f>SUM(J11:J33)</f>
        <v>1007634</v>
      </c>
      <c r="K34" s="1171">
        <f>SUM(K11:K33)</f>
        <v>7888593</v>
      </c>
      <c r="L34" s="1171"/>
      <c r="M34" s="1322"/>
    </row>
    <row r="35" spans="1:13" s="1329" customFormat="1" ht="24" customHeight="1">
      <c r="A35" s="1383" t="s">
        <v>1987</v>
      </c>
      <c r="B35" s="1384" t="s">
        <v>2129</v>
      </c>
      <c r="C35" s="1386"/>
      <c r="D35" s="1386"/>
      <c r="E35" s="1019"/>
      <c r="F35" s="1310"/>
      <c r="G35" s="1400"/>
      <c r="H35" s="864"/>
      <c r="I35" s="1400"/>
      <c r="J35" s="1395"/>
      <c r="K35" s="966"/>
      <c r="L35" s="1019"/>
      <c r="M35" s="1328"/>
    </row>
    <row r="36" spans="1:13" s="1329" customFormat="1" ht="24" customHeight="1">
      <c r="A36" s="1330" t="s">
        <v>1904</v>
      </c>
      <c r="B36" s="1331" t="s">
        <v>2130</v>
      </c>
      <c r="C36" s="801"/>
      <c r="D36" s="801"/>
      <c r="E36" s="1022"/>
      <c r="F36" s="1333"/>
      <c r="G36" s="1392"/>
      <c r="H36" s="751"/>
      <c r="I36" s="1392"/>
      <c r="J36" s="1393"/>
      <c r="K36" s="1022"/>
      <c r="L36" s="1022"/>
      <c r="M36" s="1328"/>
    </row>
    <row r="37" spans="1:13" s="1329" customFormat="1" ht="24" customHeight="1">
      <c r="A37" s="1481"/>
      <c r="B37" s="1331" t="s">
        <v>2384</v>
      </c>
      <c r="C37" s="801"/>
      <c r="D37" s="801"/>
      <c r="E37" s="1019">
        <v>1</v>
      </c>
      <c r="F37" s="1310" t="s">
        <v>240</v>
      </c>
      <c r="G37" s="1392">
        <v>743600</v>
      </c>
      <c r="H37" s="1175">
        <f>E37*G37</f>
        <v>743600</v>
      </c>
      <c r="I37" s="1492">
        <f>G37*0.01</f>
        <v>7436</v>
      </c>
      <c r="J37" s="1493">
        <f>I37*E37</f>
        <v>7436</v>
      </c>
      <c r="K37" s="825">
        <f>H37+J37</f>
        <v>751036</v>
      </c>
      <c r="L37" s="1019"/>
      <c r="M37" s="1328"/>
    </row>
    <row r="38" spans="1:13" s="1329" customFormat="1" ht="24" customHeight="1">
      <c r="A38" s="1481"/>
      <c r="B38" s="1331" t="s">
        <v>2385</v>
      </c>
      <c r="C38" s="801"/>
      <c r="D38" s="801"/>
      <c r="E38" s="1019">
        <v>1</v>
      </c>
      <c r="F38" s="1310" t="s">
        <v>240</v>
      </c>
      <c r="G38" s="1392">
        <v>640100</v>
      </c>
      <c r="H38" s="1175">
        <f>E38*G38</f>
        <v>640100</v>
      </c>
      <c r="I38" s="1492">
        <f>G38*0.01</f>
        <v>6401</v>
      </c>
      <c r="J38" s="1493">
        <f>I38*E38</f>
        <v>6401</v>
      </c>
      <c r="K38" s="825">
        <f>H38+J38</f>
        <v>646501</v>
      </c>
      <c r="L38" s="1019"/>
      <c r="M38" s="1328"/>
    </row>
    <row r="39" spans="1:13" s="1329" customFormat="1" ht="24" customHeight="1">
      <c r="A39" s="1481" t="s">
        <v>1906</v>
      </c>
      <c r="B39" s="1331" t="s">
        <v>2132</v>
      </c>
      <c r="C39" s="801"/>
      <c r="D39" s="801"/>
      <c r="E39" s="1019">
        <v>2</v>
      </c>
      <c r="F39" s="1310" t="s">
        <v>240</v>
      </c>
      <c r="G39" s="1392">
        <v>1800</v>
      </c>
      <c r="H39" s="1175">
        <f>E39*G39</f>
        <v>3600</v>
      </c>
      <c r="I39" s="1396"/>
      <c r="J39" s="1395"/>
      <c r="K39" s="966">
        <f t="shared" ref="K39:K41" si="2">H39+J39</f>
        <v>3600</v>
      </c>
      <c r="L39" s="1019"/>
      <c r="M39" s="1328"/>
    </row>
    <row r="40" spans="1:13" s="1329" customFormat="1" ht="24" customHeight="1">
      <c r="A40" s="1481" t="s">
        <v>1995</v>
      </c>
      <c r="B40" s="1331" t="s">
        <v>1996</v>
      </c>
      <c r="C40" s="801"/>
      <c r="D40" s="801"/>
      <c r="E40" s="1019">
        <v>8</v>
      </c>
      <c r="F40" s="1310" t="s">
        <v>240</v>
      </c>
      <c r="G40" s="1392">
        <v>1200</v>
      </c>
      <c r="H40" s="864">
        <f>ROUND(E40*G40,)</f>
        <v>9600</v>
      </c>
      <c r="I40" s="1392">
        <v>720</v>
      </c>
      <c r="J40" s="1395">
        <f t="shared" ref="J40:J41" si="3">ROUND(E40*I40,)</f>
        <v>5760</v>
      </c>
      <c r="K40" s="966">
        <f t="shared" si="2"/>
        <v>15360</v>
      </c>
      <c r="L40" s="1019"/>
      <c r="M40" s="1328"/>
    </row>
    <row r="41" spans="1:13" s="1329" customFormat="1" ht="24" customHeight="1">
      <c r="A41" s="1481" t="s">
        <v>2133</v>
      </c>
      <c r="B41" s="1331" t="s">
        <v>2134</v>
      </c>
      <c r="C41" s="801"/>
      <c r="D41" s="801"/>
      <c r="E41" s="1019">
        <v>2</v>
      </c>
      <c r="F41" s="1310" t="s">
        <v>240</v>
      </c>
      <c r="G41" s="1400">
        <v>4000</v>
      </c>
      <c r="H41" s="864">
        <f>ROUND(E41*G41,)</f>
        <v>8000</v>
      </c>
      <c r="I41" s="1400">
        <v>400</v>
      </c>
      <c r="J41" s="1395">
        <f t="shared" si="3"/>
        <v>800</v>
      </c>
      <c r="K41" s="966">
        <f t="shared" si="2"/>
        <v>8800</v>
      </c>
      <c r="L41" s="1019"/>
      <c r="M41" s="1328"/>
    </row>
    <row r="42" spans="1:13" s="1329" customFormat="1" ht="24" customHeight="1">
      <c r="A42" s="1481"/>
      <c r="B42" s="1331" t="s">
        <v>957</v>
      </c>
      <c r="C42" s="801"/>
      <c r="D42" s="801"/>
      <c r="E42" s="1019"/>
      <c r="F42" s="1310"/>
      <c r="G42" s="1400"/>
      <c r="H42" s="773"/>
      <c r="I42" s="1400"/>
      <c r="J42" s="1401"/>
      <c r="K42" s="1019"/>
      <c r="L42" s="1019"/>
      <c r="M42" s="1328"/>
    </row>
    <row r="43" spans="1:13" s="1329" customFormat="1" ht="24" customHeight="1">
      <c r="A43" s="1481"/>
      <c r="B43" s="1331"/>
      <c r="C43" s="801"/>
      <c r="D43" s="801"/>
      <c r="E43" s="1019"/>
      <c r="F43" s="1310"/>
      <c r="G43" s="1400"/>
      <c r="H43" s="773"/>
      <c r="I43" s="1400"/>
      <c r="J43" s="1401"/>
      <c r="K43" s="1019"/>
      <c r="L43" s="1019"/>
      <c r="M43" s="1328"/>
    </row>
    <row r="44" spans="1:13" s="1329" customFormat="1" ht="24" customHeight="1">
      <c r="A44" s="1481"/>
      <c r="B44" s="1331"/>
      <c r="C44" s="801"/>
      <c r="D44" s="801"/>
      <c r="E44" s="1019"/>
      <c r="F44" s="1310"/>
      <c r="G44" s="1400"/>
      <c r="H44" s="773"/>
      <c r="I44" s="1400"/>
      <c r="J44" s="1401"/>
      <c r="K44" s="1019"/>
      <c r="L44" s="1019"/>
      <c r="M44" s="1328"/>
    </row>
    <row r="45" spans="1:13" s="1329" customFormat="1" ht="24" customHeight="1">
      <c r="A45" s="1166"/>
      <c r="B45" s="2475" t="str">
        <f>"รวมราคารายการที่ "&amp;A35</f>
        <v>รวมราคารายการที่ 7.1</v>
      </c>
      <c r="C45" s="2476"/>
      <c r="D45" s="2476"/>
      <c r="E45" s="1167"/>
      <c r="F45" s="1381"/>
      <c r="G45" s="1168"/>
      <c r="H45" s="1169">
        <f>SUM(H35:H44)</f>
        <v>1404900</v>
      </c>
      <c r="I45" s="1170"/>
      <c r="J45" s="1382">
        <f>SUM(J35:J44)</f>
        <v>20397</v>
      </c>
      <c r="K45" s="1171">
        <f>SUM(K35:K44)</f>
        <v>1425297</v>
      </c>
      <c r="L45" s="1171"/>
      <c r="M45" s="1328"/>
    </row>
    <row r="46" spans="1:13" s="1329" customFormat="1" ht="24" customHeight="1">
      <c r="A46" s="1325" t="s">
        <v>1997</v>
      </c>
      <c r="B46" s="1518" t="s">
        <v>2135</v>
      </c>
      <c r="C46" s="801"/>
      <c r="D46" s="801"/>
      <c r="E46" s="1019"/>
      <c r="F46" s="1310"/>
      <c r="G46" s="1400"/>
      <c r="H46" s="773"/>
      <c r="I46" s="1400"/>
      <c r="J46" s="1401"/>
      <c r="K46" s="1019"/>
      <c r="L46" s="1019"/>
      <c r="M46" s="1328"/>
    </row>
    <row r="47" spans="1:13" s="1329" customFormat="1" ht="24" customHeight="1">
      <c r="A47" s="1481" t="s">
        <v>1910</v>
      </c>
      <c r="B47" s="1331" t="s">
        <v>2130</v>
      </c>
      <c r="C47" s="801"/>
      <c r="D47" s="801"/>
      <c r="E47" s="1019"/>
      <c r="F47" s="1310"/>
      <c r="G47" s="1400"/>
      <c r="H47" s="773"/>
      <c r="I47" s="1400"/>
      <c r="J47" s="1401"/>
      <c r="K47" s="1019"/>
      <c r="L47" s="1019"/>
      <c r="M47" s="1328"/>
    </row>
    <row r="48" spans="1:13" s="1329" customFormat="1" ht="24" customHeight="1">
      <c r="A48" s="1481"/>
      <c r="B48" s="1331" t="s">
        <v>2386</v>
      </c>
      <c r="C48" s="801"/>
      <c r="D48" s="801"/>
      <c r="E48" s="1019">
        <v>1</v>
      </c>
      <c r="F48" s="1310" t="s">
        <v>240</v>
      </c>
      <c r="G48" s="1394">
        <v>224400</v>
      </c>
      <c r="H48" s="864">
        <f t="shared" ref="H48:H62" si="4">ROUND(E48*G48,)</f>
        <v>224400</v>
      </c>
      <c r="I48" s="1392">
        <f t="shared" ref="I48:I62" si="5">G48*0.1</f>
        <v>22440</v>
      </c>
      <c r="J48" s="1395">
        <f t="shared" ref="J48:J62" si="6">ROUND(E48*I48,)</f>
        <v>22440</v>
      </c>
      <c r="K48" s="966">
        <f t="shared" ref="K48:K62" si="7">H48+J48</f>
        <v>246840</v>
      </c>
      <c r="L48" s="1019"/>
      <c r="M48" s="1328"/>
    </row>
    <row r="49" spans="1:13" s="1329" customFormat="1" ht="24" customHeight="1">
      <c r="A49" s="1481"/>
      <c r="B49" s="1331" t="s">
        <v>2387</v>
      </c>
      <c r="C49" s="801"/>
      <c r="D49" s="801"/>
      <c r="E49" s="1019">
        <v>1</v>
      </c>
      <c r="F49" s="1310" t="s">
        <v>240</v>
      </c>
      <c r="G49" s="1394">
        <v>215100</v>
      </c>
      <c r="H49" s="864">
        <f t="shared" si="4"/>
        <v>215100</v>
      </c>
      <c r="I49" s="1392">
        <f t="shared" si="5"/>
        <v>21510</v>
      </c>
      <c r="J49" s="1395">
        <f t="shared" si="6"/>
        <v>21510</v>
      </c>
      <c r="K49" s="966">
        <f t="shared" si="7"/>
        <v>236610</v>
      </c>
      <c r="L49" s="1019"/>
      <c r="M49" s="1328"/>
    </row>
    <row r="50" spans="1:13" s="1329" customFormat="1" ht="24" customHeight="1">
      <c r="A50" s="1481"/>
      <c r="B50" s="1331" t="s">
        <v>2388</v>
      </c>
      <c r="C50" s="801"/>
      <c r="D50" s="801"/>
      <c r="E50" s="1019">
        <v>1</v>
      </c>
      <c r="F50" s="1310" t="s">
        <v>240</v>
      </c>
      <c r="G50" s="1394">
        <v>215100</v>
      </c>
      <c r="H50" s="864">
        <f t="shared" si="4"/>
        <v>215100</v>
      </c>
      <c r="I50" s="1392">
        <f t="shared" si="5"/>
        <v>21510</v>
      </c>
      <c r="J50" s="1395">
        <f t="shared" si="6"/>
        <v>21510</v>
      </c>
      <c r="K50" s="966">
        <f t="shared" si="7"/>
        <v>236610</v>
      </c>
      <c r="L50" s="1019"/>
      <c r="M50" s="1328"/>
    </row>
    <row r="51" spans="1:13" s="1329" customFormat="1" ht="24" customHeight="1">
      <c r="A51" s="1481"/>
      <c r="B51" s="1331" t="s">
        <v>2389</v>
      </c>
      <c r="C51" s="801"/>
      <c r="D51" s="801"/>
      <c r="E51" s="1019">
        <v>1</v>
      </c>
      <c r="F51" s="1310" t="s">
        <v>240</v>
      </c>
      <c r="G51" s="1394">
        <v>215000</v>
      </c>
      <c r="H51" s="864">
        <f t="shared" si="4"/>
        <v>215000</v>
      </c>
      <c r="I51" s="1392">
        <f t="shared" si="5"/>
        <v>21500</v>
      </c>
      <c r="J51" s="1395">
        <f t="shared" si="6"/>
        <v>21500</v>
      </c>
      <c r="K51" s="966">
        <f t="shared" si="7"/>
        <v>236500</v>
      </c>
      <c r="L51" s="1019"/>
      <c r="M51" s="1328"/>
    </row>
    <row r="52" spans="1:13" s="1329" customFormat="1" ht="24" customHeight="1">
      <c r="A52" s="1481"/>
      <c r="B52" s="1331" t="s">
        <v>2390</v>
      </c>
      <c r="C52" s="801"/>
      <c r="D52" s="801"/>
      <c r="E52" s="1019">
        <v>1</v>
      </c>
      <c r="F52" s="1310" t="s">
        <v>240</v>
      </c>
      <c r="G52" s="1394">
        <v>215000</v>
      </c>
      <c r="H52" s="864">
        <f t="shared" si="4"/>
        <v>215000</v>
      </c>
      <c r="I52" s="1392">
        <f t="shared" si="5"/>
        <v>21500</v>
      </c>
      <c r="J52" s="1395">
        <f t="shared" si="6"/>
        <v>21500</v>
      </c>
      <c r="K52" s="966">
        <f t="shared" si="7"/>
        <v>236500</v>
      </c>
      <c r="L52" s="1019"/>
      <c r="M52" s="1328"/>
    </row>
    <row r="53" spans="1:13" s="1329" customFormat="1" ht="24" customHeight="1">
      <c r="A53" s="1481"/>
      <c r="B53" s="1331" t="s">
        <v>2391</v>
      </c>
      <c r="C53" s="801"/>
      <c r="D53" s="801"/>
      <c r="E53" s="1019">
        <v>1</v>
      </c>
      <c r="F53" s="1310" t="s">
        <v>240</v>
      </c>
      <c r="G53" s="1394">
        <v>215000</v>
      </c>
      <c r="H53" s="864">
        <f t="shared" si="4"/>
        <v>215000</v>
      </c>
      <c r="I53" s="1392">
        <f t="shared" si="5"/>
        <v>21500</v>
      </c>
      <c r="J53" s="1395">
        <f t="shared" si="6"/>
        <v>21500</v>
      </c>
      <c r="K53" s="966">
        <f t="shared" si="7"/>
        <v>236500</v>
      </c>
      <c r="L53" s="1019"/>
      <c r="M53" s="1328"/>
    </row>
    <row r="54" spans="1:13" s="1329" customFormat="1" ht="24" customHeight="1">
      <c r="A54" s="1481"/>
      <c r="B54" s="1331" t="s">
        <v>2392</v>
      </c>
      <c r="C54" s="801"/>
      <c r="D54" s="801"/>
      <c r="E54" s="1019">
        <v>1</v>
      </c>
      <c r="F54" s="1310" t="s">
        <v>240</v>
      </c>
      <c r="G54" s="1394">
        <v>157400</v>
      </c>
      <c r="H54" s="864">
        <f t="shared" si="4"/>
        <v>157400</v>
      </c>
      <c r="I54" s="1392">
        <f t="shared" si="5"/>
        <v>15740</v>
      </c>
      <c r="J54" s="1395">
        <f t="shared" si="6"/>
        <v>15740</v>
      </c>
      <c r="K54" s="966">
        <f t="shared" si="7"/>
        <v>173140</v>
      </c>
      <c r="L54" s="1019"/>
      <c r="M54" s="1328"/>
    </row>
    <row r="55" spans="1:13" s="1329" customFormat="1" ht="24" customHeight="1">
      <c r="A55" s="1481"/>
      <c r="B55" s="1331" t="s">
        <v>2393</v>
      </c>
      <c r="C55" s="801"/>
      <c r="D55" s="801"/>
      <c r="E55" s="1019">
        <v>1</v>
      </c>
      <c r="F55" s="1310" t="s">
        <v>240</v>
      </c>
      <c r="G55" s="1394">
        <v>157400</v>
      </c>
      <c r="H55" s="864">
        <f t="shared" si="4"/>
        <v>157400</v>
      </c>
      <c r="I55" s="1392">
        <f t="shared" si="5"/>
        <v>15740</v>
      </c>
      <c r="J55" s="1395">
        <f t="shared" si="6"/>
        <v>15740</v>
      </c>
      <c r="K55" s="966">
        <f t="shared" si="7"/>
        <v>173140</v>
      </c>
      <c r="L55" s="1019"/>
      <c r="M55" s="1328"/>
    </row>
    <row r="56" spans="1:13" s="1329" customFormat="1" ht="24" customHeight="1">
      <c r="A56" s="1481"/>
      <c r="B56" s="1331" t="s">
        <v>2394</v>
      </c>
      <c r="C56" s="801"/>
      <c r="D56" s="801"/>
      <c r="E56" s="1019">
        <v>1</v>
      </c>
      <c r="F56" s="1310" t="s">
        <v>240</v>
      </c>
      <c r="G56" s="1394">
        <v>211600</v>
      </c>
      <c r="H56" s="864">
        <f t="shared" si="4"/>
        <v>211600</v>
      </c>
      <c r="I56" s="1392">
        <f t="shared" si="5"/>
        <v>21160</v>
      </c>
      <c r="J56" s="1395">
        <f t="shared" si="6"/>
        <v>21160</v>
      </c>
      <c r="K56" s="966">
        <f t="shared" si="7"/>
        <v>232760</v>
      </c>
      <c r="L56" s="1019"/>
      <c r="M56" s="1328"/>
    </row>
    <row r="57" spans="1:13" s="1329" customFormat="1" ht="24" customHeight="1">
      <c r="A57" s="1481"/>
      <c r="B57" s="1331" t="s">
        <v>2395</v>
      </c>
      <c r="C57" s="801"/>
      <c r="D57" s="801"/>
      <c r="E57" s="1019">
        <v>1</v>
      </c>
      <c r="F57" s="1310" t="s">
        <v>240</v>
      </c>
      <c r="G57" s="1394">
        <v>211600</v>
      </c>
      <c r="H57" s="864">
        <f t="shared" si="4"/>
        <v>211600</v>
      </c>
      <c r="I57" s="1392">
        <f t="shared" si="5"/>
        <v>21160</v>
      </c>
      <c r="J57" s="1395">
        <f t="shared" si="6"/>
        <v>21160</v>
      </c>
      <c r="K57" s="966">
        <f t="shared" si="7"/>
        <v>232760</v>
      </c>
      <c r="L57" s="1019"/>
      <c r="M57" s="1328"/>
    </row>
    <row r="58" spans="1:13" s="1329" customFormat="1" ht="24" customHeight="1">
      <c r="A58" s="1481"/>
      <c r="B58" s="1331" t="s">
        <v>2396</v>
      </c>
      <c r="C58" s="801"/>
      <c r="D58" s="801"/>
      <c r="E58" s="1019">
        <v>1</v>
      </c>
      <c r="F58" s="1310" t="s">
        <v>240</v>
      </c>
      <c r="G58" s="1394">
        <v>224400</v>
      </c>
      <c r="H58" s="864">
        <f t="shared" si="4"/>
        <v>224400</v>
      </c>
      <c r="I58" s="1392">
        <f t="shared" si="5"/>
        <v>22440</v>
      </c>
      <c r="J58" s="1395">
        <f t="shared" si="6"/>
        <v>22440</v>
      </c>
      <c r="K58" s="966">
        <f t="shared" si="7"/>
        <v>246840</v>
      </c>
      <c r="L58" s="1019"/>
      <c r="M58" s="1328"/>
    </row>
    <row r="59" spans="1:13" s="1329" customFormat="1" ht="24" customHeight="1">
      <c r="A59" s="1481"/>
      <c r="B59" s="1331" t="s">
        <v>2397</v>
      </c>
      <c r="C59" s="801"/>
      <c r="D59" s="801"/>
      <c r="E59" s="1019">
        <v>1</v>
      </c>
      <c r="F59" s="1310" t="s">
        <v>240</v>
      </c>
      <c r="G59" s="1394">
        <v>215100</v>
      </c>
      <c r="H59" s="864">
        <f t="shared" si="4"/>
        <v>215100</v>
      </c>
      <c r="I59" s="1392">
        <f t="shared" si="5"/>
        <v>21510</v>
      </c>
      <c r="J59" s="1395">
        <f t="shared" si="6"/>
        <v>21510</v>
      </c>
      <c r="K59" s="966">
        <f t="shared" si="7"/>
        <v>236610</v>
      </c>
      <c r="L59" s="1019"/>
      <c r="M59" s="1328"/>
    </row>
    <row r="60" spans="1:13" s="1329" customFormat="1" ht="24" customHeight="1">
      <c r="A60" s="1481"/>
      <c r="B60" s="1331" t="s">
        <v>2398</v>
      </c>
      <c r="C60" s="801"/>
      <c r="D60" s="801"/>
      <c r="E60" s="1019">
        <v>1</v>
      </c>
      <c r="F60" s="1310" t="s">
        <v>240</v>
      </c>
      <c r="G60" s="1394">
        <v>215100</v>
      </c>
      <c r="H60" s="864">
        <f t="shared" si="4"/>
        <v>215100</v>
      </c>
      <c r="I60" s="1392">
        <f t="shared" si="5"/>
        <v>21510</v>
      </c>
      <c r="J60" s="1395">
        <f t="shared" si="6"/>
        <v>21510</v>
      </c>
      <c r="K60" s="966">
        <f t="shared" si="7"/>
        <v>236610</v>
      </c>
      <c r="L60" s="1019"/>
      <c r="M60" s="1328"/>
    </row>
    <row r="61" spans="1:13" s="1329" customFormat="1" ht="24" customHeight="1">
      <c r="A61" s="1481"/>
      <c r="B61" s="1331" t="s">
        <v>2399</v>
      </c>
      <c r="C61" s="801"/>
      <c r="D61" s="801"/>
      <c r="E61" s="1019">
        <v>1</v>
      </c>
      <c r="F61" s="1310" t="s">
        <v>240</v>
      </c>
      <c r="G61" s="1394">
        <v>215000</v>
      </c>
      <c r="H61" s="864">
        <f t="shared" si="4"/>
        <v>215000</v>
      </c>
      <c r="I61" s="1392">
        <f t="shared" si="5"/>
        <v>21500</v>
      </c>
      <c r="J61" s="1395">
        <f t="shared" si="6"/>
        <v>21500</v>
      </c>
      <c r="K61" s="966">
        <f t="shared" si="7"/>
        <v>236500</v>
      </c>
      <c r="L61" s="1019"/>
      <c r="M61" s="1328"/>
    </row>
    <row r="62" spans="1:13" s="1329" customFormat="1" ht="24" customHeight="1">
      <c r="A62" s="1481"/>
      <c r="B62" s="1331" t="s">
        <v>2400</v>
      </c>
      <c r="C62" s="801"/>
      <c r="D62" s="801"/>
      <c r="E62" s="1019">
        <v>1</v>
      </c>
      <c r="F62" s="1310" t="s">
        <v>240</v>
      </c>
      <c r="G62" s="1394">
        <v>406600</v>
      </c>
      <c r="H62" s="864">
        <f t="shared" si="4"/>
        <v>406600</v>
      </c>
      <c r="I62" s="1392">
        <f t="shared" si="5"/>
        <v>40660</v>
      </c>
      <c r="J62" s="1395">
        <f t="shared" si="6"/>
        <v>40660</v>
      </c>
      <c r="K62" s="966">
        <f t="shared" si="7"/>
        <v>447260</v>
      </c>
      <c r="L62" s="1019"/>
      <c r="M62" s="1328"/>
    </row>
    <row r="63" spans="1:13" s="1329" customFormat="1" ht="24" customHeight="1">
      <c r="A63" s="1481" t="s">
        <v>2000</v>
      </c>
      <c r="B63" s="1331" t="s">
        <v>2153</v>
      </c>
      <c r="C63" s="801"/>
      <c r="D63" s="801"/>
      <c r="E63" s="1019"/>
      <c r="F63" s="1310"/>
      <c r="G63" s="1392"/>
      <c r="H63" s="751"/>
      <c r="I63" s="1392"/>
      <c r="J63" s="1393"/>
      <c r="K63" s="1022"/>
      <c r="L63" s="1019"/>
      <c r="M63" s="1328"/>
    </row>
    <row r="64" spans="1:13" s="1329" customFormat="1" ht="24" customHeight="1">
      <c r="A64" s="1481"/>
      <c r="B64" s="1331" t="s">
        <v>2154</v>
      </c>
      <c r="C64" s="801"/>
      <c r="D64" s="801"/>
      <c r="E64" s="1019">
        <v>15</v>
      </c>
      <c r="F64" s="1310" t="s">
        <v>240</v>
      </c>
      <c r="G64" s="1392">
        <v>1800</v>
      </c>
      <c r="H64" s="864">
        <f>ROUND(E64*G64,)</f>
        <v>27000</v>
      </c>
      <c r="I64" s="1396" t="s">
        <v>974</v>
      </c>
      <c r="J64" s="1395"/>
      <c r="K64" s="966">
        <f>H64+J64</f>
        <v>27000</v>
      </c>
      <c r="L64" s="1019"/>
      <c r="M64" s="1328"/>
    </row>
    <row r="65" spans="1:13" s="1329" customFormat="1" ht="24" customHeight="1">
      <c r="A65" s="1481" t="s">
        <v>2155</v>
      </c>
      <c r="B65" s="1331" t="s">
        <v>1996</v>
      </c>
      <c r="C65" s="801"/>
      <c r="D65" s="801"/>
      <c r="E65" s="1019">
        <v>60</v>
      </c>
      <c r="F65" s="1310" t="s">
        <v>240</v>
      </c>
      <c r="G65" s="1392">
        <v>2400</v>
      </c>
      <c r="H65" s="864">
        <f>ROUND(E65*G65,)</f>
        <v>144000</v>
      </c>
      <c r="I65" s="1392">
        <v>720</v>
      </c>
      <c r="J65" s="1395">
        <f>ROUND(E65*I65,)</f>
        <v>43200</v>
      </c>
      <c r="K65" s="966">
        <f>H65+J65</f>
        <v>187200</v>
      </c>
      <c r="L65" s="1019"/>
      <c r="M65" s="1328"/>
    </row>
    <row r="66" spans="1:13" s="1329" customFormat="1" ht="24" customHeight="1">
      <c r="A66" s="1481"/>
      <c r="B66" s="1331" t="s">
        <v>957</v>
      </c>
      <c r="C66" s="801"/>
      <c r="D66" s="801"/>
      <c r="E66" s="1019"/>
      <c r="F66" s="1310"/>
      <c r="G66" s="1400"/>
      <c r="H66" s="773"/>
      <c r="I66" s="1400"/>
      <c r="J66" s="1401"/>
      <c r="K66" s="1019"/>
      <c r="L66" s="1019"/>
      <c r="M66" s="1328"/>
    </row>
    <row r="67" spans="1:13" s="1329" customFormat="1" ht="24" customHeight="1">
      <c r="A67" s="1481"/>
      <c r="B67" s="1331" t="s">
        <v>1239</v>
      </c>
      <c r="C67" s="801"/>
      <c r="D67" s="801"/>
      <c r="E67" s="1019"/>
      <c r="F67" s="1310"/>
      <c r="G67" s="1400"/>
      <c r="H67" s="773"/>
      <c r="I67" s="1400"/>
      <c r="J67" s="1401"/>
      <c r="K67" s="1019"/>
      <c r="L67" s="1019"/>
      <c r="M67" s="1328"/>
    </row>
    <row r="68" spans="1:13" s="1329" customFormat="1" ht="24" customHeight="1">
      <c r="A68" s="1481"/>
      <c r="B68" s="1331" t="s">
        <v>1239</v>
      </c>
      <c r="C68" s="801"/>
      <c r="D68" s="801"/>
      <c r="E68" s="1019"/>
      <c r="F68" s="1310"/>
      <c r="G68" s="1400"/>
      <c r="H68" s="773"/>
      <c r="I68" s="1400"/>
      <c r="J68" s="1401"/>
      <c r="K68" s="1019"/>
      <c r="L68" s="1019"/>
      <c r="M68" s="1328"/>
    </row>
    <row r="69" spans="1:13" s="1329" customFormat="1" ht="24" customHeight="1">
      <c r="A69" s="1481"/>
      <c r="B69" s="1331"/>
      <c r="C69" s="801"/>
      <c r="D69" s="801"/>
      <c r="E69" s="1019"/>
      <c r="F69" s="1310"/>
      <c r="G69" s="1400"/>
      <c r="H69" s="773"/>
      <c r="I69" s="1400"/>
      <c r="J69" s="1401"/>
      <c r="K69" s="1019"/>
      <c r="L69" s="1019"/>
      <c r="M69" s="1328"/>
    </row>
    <row r="70" spans="1:13" s="1329" customFormat="1" ht="24" customHeight="1">
      <c r="A70" s="1166"/>
      <c r="B70" s="2475" t="str">
        <f>"รวมราคารายการที่ "&amp;A46</f>
        <v>รวมราคารายการที่ 7.2</v>
      </c>
      <c r="C70" s="2476"/>
      <c r="D70" s="2476"/>
      <c r="E70" s="1167"/>
      <c r="F70" s="1381"/>
      <c r="G70" s="1168"/>
      <c r="H70" s="1169">
        <f>SUM(H46:H69)</f>
        <v>3484800</v>
      </c>
      <c r="I70" s="1170"/>
      <c r="J70" s="1382">
        <f>SUM(J46:J69)</f>
        <v>374580</v>
      </c>
      <c r="K70" s="1171">
        <f>SUM(K46:K69)</f>
        <v>3859380</v>
      </c>
      <c r="L70" s="1171"/>
      <c r="M70" s="1328"/>
    </row>
    <row r="71" spans="1:13" s="1329" customFormat="1" ht="24" customHeight="1">
      <c r="A71" s="1383" t="s">
        <v>1920</v>
      </c>
      <c r="B71" s="1384" t="s">
        <v>1903</v>
      </c>
      <c r="C71" s="801"/>
      <c r="D71" s="801"/>
      <c r="E71" s="1019"/>
      <c r="F71" s="1310"/>
      <c r="G71" s="1400"/>
      <c r="H71" s="773"/>
      <c r="I71" s="1400"/>
      <c r="J71" s="1401"/>
      <c r="K71" s="1019"/>
      <c r="L71" s="1019"/>
      <c r="M71" s="1328"/>
    </row>
    <row r="72" spans="1:13" s="1329" customFormat="1" ht="24" customHeight="1">
      <c r="A72" s="1330" t="s">
        <v>1922</v>
      </c>
      <c r="B72" s="1331" t="s">
        <v>1998</v>
      </c>
      <c r="C72" s="801"/>
      <c r="D72" s="801"/>
      <c r="E72" s="1019"/>
      <c r="F72" s="1310"/>
      <c r="G72" s="1400"/>
      <c r="H72" s="773"/>
      <c r="I72" s="1400"/>
      <c r="J72" s="1401"/>
      <c r="K72" s="1019"/>
      <c r="L72" s="1019"/>
      <c r="M72" s="1328"/>
    </row>
    <row r="73" spans="1:13" s="1329" customFormat="1" ht="24" customHeight="1">
      <c r="A73" s="1481" t="s">
        <v>2401</v>
      </c>
      <c r="B73" s="1331" t="s">
        <v>2162</v>
      </c>
      <c r="C73" s="801"/>
      <c r="D73" s="801"/>
      <c r="E73" s="1019"/>
      <c r="F73" s="1310"/>
      <c r="G73" s="1400"/>
      <c r="H73" s="773"/>
      <c r="I73" s="1400"/>
      <c r="J73" s="1401"/>
      <c r="K73" s="1019"/>
      <c r="L73" s="1019"/>
      <c r="M73" s="1328"/>
    </row>
    <row r="74" spans="1:13" s="1329" customFormat="1" ht="24" customHeight="1">
      <c r="A74" s="1481"/>
      <c r="B74" s="1331" t="s">
        <v>1747</v>
      </c>
      <c r="C74" s="801"/>
      <c r="D74" s="801"/>
      <c r="E74" s="1022">
        <f>E64+E39</f>
        <v>17</v>
      </c>
      <c r="F74" s="1333" t="s">
        <v>240</v>
      </c>
      <c r="G74" s="1392">
        <v>9310</v>
      </c>
      <c r="H74" s="864">
        <f t="shared" ref="H74" si="8">ROUND(E74*G74,)</f>
        <v>158270</v>
      </c>
      <c r="I74" s="1392">
        <v>250</v>
      </c>
      <c r="J74" s="1395">
        <f t="shared" ref="J74" si="9">ROUND(E74*I74,)</f>
        <v>4250</v>
      </c>
      <c r="K74" s="966">
        <f t="shared" ref="K74" si="10">H74+J74</f>
        <v>162520</v>
      </c>
      <c r="L74" s="1019"/>
      <c r="M74" s="1328"/>
    </row>
    <row r="75" spans="1:13" s="1329" customFormat="1" ht="24" customHeight="1">
      <c r="A75" s="1519"/>
      <c r="B75" s="1331" t="s">
        <v>957</v>
      </c>
      <c r="C75" s="801"/>
      <c r="D75" s="801"/>
      <c r="E75" s="1019"/>
      <c r="F75" s="1310"/>
      <c r="G75" s="1400"/>
      <c r="H75" s="773"/>
      <c r="I75" s="1400"/>
      <c r="J75" s="1401"/>
      <c r="K75" s="1019"/>
      <c r="L75" s="1019"/>
      <c r="M75" s="1328"/>
    </row>
    <row r="76" spans="1:13" s="1329" customFormat="1" ht="24" customHeight="1">
      <c r="A76" s="1519"/>
      <c r="B76" s="1331" t="s">
        <v>958</v>
      </c>
      <c r="C76" s="801"/>
      <c r="D76" s="801"/>
      <c r="E76" s="1019"/>
      <c r="F76" s="1310"/>
      <c r="G76" s="1400"/>
      <c r="H76" s="773"/>
      <c r="I76" s="1400"/>
      <c r="J76" s="1401"/>
      <c r="K76" s="1019"/>
      <c r="L76" s="1019"/>
      <c r="M76" s="1328"/>
    </row>
    <row r="77" spans="1:13" s="1329" customFormat="1" ht="24" customHeight="1">
      <c r="A77" s="1519"/>
      <c r="B77" s="1331" t="s">
        <v>958</v>
      </c>
      <c r="C77" s="801"/>
      <c r="D77" s="801"/>
      <c r="E77" s="1019"/>
      <c r="F77" s="1310"/>
      <c r="G77" s="1400"/>
      <c r="H77" s="773"/>
      <c r="I77" s="1400"/>
      <c r="J77" s="1401"/>
      <c r="K77" s="1019"/>
      <c r="L77" s="1019"/>
      <c r="M77" s="1328"/>
    </row>
    <row r="78" spans="1:13" s="714" customFormat="1" ht="24" customHeight="1">
      <c r="A78" s="1166"/>
      <c r="B78" s="2475" t="str">
        <f>"รวมราคารายการที่ "&amp;A71</f>
        <v>รวมราคารายการที่ 7.3</v>
      </c>
      <c r="C78" s="2476"/>
      <c r="D78" s="2476"/>
      <c r="E78" s="1167"/>
      <c r="F78" s="1381"/>
      <c r="G78" s="1168"/>
      <c r="H78" s="1169">
        <f>SUM(H71:H77)</f>
        <v>158270</v>
      </c>
      <c r="I78" s="1170"/>
      <c r="J78" s="1382">
        <f>SUM(J71:J77)</f>
        <v>4250</v>
      </c>
      <c r="K78" s="1171">
        <f>SUM(K71:K77)</f>
        <v>162520</v>
      </c>
      <c r="L78" s="1171"/>
      <c r="M78" s="1322"/>
    </row>
    <row r="79" spans="1:13" s="1329" customFormat="1" ht="24" customHeight="1">
      <c r="A79" s="1325">
        <v>7.4</v>
      </c>
      <c r="B79" s="1326" t="s">
        <v>2003</v>
      </c>
      <c r="C79" s="1347"/>
      <c r="D79" s="901"/>
      <c r="E79" s="1019"/>
      <c r="F79" s="1310"/>
      <c r="G79" s="1400"/>
      <c r="H79" s="864"/>
      <c r="I79" s="1400"/>
      <c r="J79" s="1395"/>
      <c r="K79" s="966"/>
      <c r="L79" s="1019"/>
      <c r="M79" s="1328"/>
    </row>
    <row r="80" spans="1:13" s="1329" customFormat="1" ht="24" customHeight="1">
      <c r="A80" s="1340" t="s">
        <v>1928</v>
      </c>
      <c r="B80" s="1331" t="s">
        <v>2004</v>
      </c>
      <c r="C80" s="801"/>
      <c r="D80" s="801"/>
      <c r="E80" s="1022"/>
      <c r="F80" s="1333"/>
      <c r="G80" s="1496"/>
      <c r="H80" s="751"/>
      <c r="I80" s="1392"/>
      <c r="J80" s="1393"/>
      <c r="K80" s="1022"/>
      <c r="L80" s="1022"/>
      <c r="M80" s="1328"/>
    </row>
    <row r="81" spans="1:15" s="1329" customFormat="1" ht="24" customHeight="1">
      <c r="A81" s="1340"/>
      <c r="B81" s="1331" t="str">
        <f t="shared" ref="B81:B83" si="11">"  -  "&amp;M81&amp;", ("&amp;N81&amp;" L/s)"</f>
        <v xml:space="preserve">  -  C1-4EAF-03, (1370 L/s)</v>
      </c>
      <c r="C81" s="801"/>
      <c r="D81" s="801"/>
      <c r="E81" s="1022">
        <f t="shared" ref="E81:E83" si="12">O81</f>
        <v>1</v>
      </c>
      <c r="F81" s="1333" t="s">
        <v>240</v>
      </c>
      <c r="G81" s="1496">
        <v>26000</v>
      </c>
      <c r="H81" s="864">
        <f t="shared" ref="H81:H83" si="13">ROUND(E81*G81,)</f>
        <v>26000</v>
      </c>
      <c r="I81" s="1394">
        <f>G81*0.1</f>
        <v>2600</v>
      </c>
      <c r="J81" s="1395">
        <f>ROUND(E81*I81,)</f>
        <v>2600</v>
      </c>
      <c r="K81" s="966">
        <f>H81+J81</f>
        <v>28600</v>
      </c>
      <c r="L81" s="1022"/>
      <c r="M81" s="1328" t="s">
        <v>2402</v>
      </c>
      <c r="N81" s="1329">
        <v>1370</v>
      </c>
      <c r="O81" s="1329">
        <v>1</v>
      </c>
    </row>
    <row r="82" spans="1:15" s="1329" customFormat="1" ht="24" customHeight="1">
      <c r="A82" s="1340"/>
      <c r="B82" s="1331" t="str">
        <f t="shared" si="11"/>
        <v xml:space="preserve">  -  C2-4EAF-03, (870 L/s)</v>
      </c>
      <c r="C82" s="801"/>
      <c r="D82" s="801"/>
      <c r="E82" s="1022">
        <f t="shared" si="12"/>
        <v>1</v>
      </c>
      <c r="F82" s="1333" t="s">
        <v>240</v>
      </c>
      <c r="G82" s="1496">
        <v>19200</v>
      </c>
      <c r="H82" s="864">
        <f t="shared" si="13"/>
        <v>19200</v>
      </c>
      <c r="I82" s="1394">
        <f>G82*0.1</f>
        <v>1920</v>
      </c>
      <c r="J82" s="1395">
        <f>ROUND(E82*I82,)</f>
        <v>1920</v>
      </c>
      <c r="K82" s="966">
        <f>H82+J82</f>
        <v>21120</v>
      </c>
      <c r="L82" s="1022"/>
      <c r="M82" s="1328" t="s">
        <v>2403</v>
      </c>
      <c r="N82" s="1329">
        <v>870</v>
      </c>
      <c r="O82" s="1329">
        <v>1</v>
      </c>
    </row>
    <row r="83" spans="1:15" s="1329" customFormat="1" ht="24" customHeight="1">
      <c r="A83" s="1340"/>
      <c r="B83" s="1331" t="str">
        <f t="shared" si="11"/>
        <v xml:space="preserve">  -  C2-4EAF-04, (1470 L/s)</v>
      </c>
      <c r="C83" s="801"/>
      <c r="D83" s="801"/>
      <c r="E83" s="1022">
        <f t="shared" si="12"/>
        <v>1</v>
      </c>
      <c r="F83" s="1333" t="s">
        <v>240</v>
      </c>
      <c r="G83" s="1496">
        <v>31200</v>
      </c>
      <c r="H83" s="864">
        <f t="shared" si="13"/>
        <v>31200</v>
      </c>
      <c r="I83" s="1394">
        <f>G83*0.1</f>
        <v>3120</v>
      </c>
      <c r="J83" s="1395">
        <f>ROUND(E83*I83,)</f>
        <v>3120</v>
      </c>
      <c r="K83" s="966">
        <f>H83+J83</f>
        <v>34320</v>
      </c>
      <c r="L83" s="1022"/>
      <c r="M83" s="1328" t="s">
        <v>2404</v>
      </c>
      <c r="N83" s="1329">
        <v>1470</v>
      </c>
      <c r="O83" s="1329">
        <v>1</v>
      </c>
    </row>
    <row r="84" spans="1:15" s="1329" customFormat="1" ht="24" customHeight="1">
      <c r="A84" s="1519"/>
      <c r="B84" s="1331"/>
      <c r="C84" s="801"/>
      <c r="D84" s="801"/>
      <c r="E84" s="1019"/>
      <c r="F84" s="1310"/>
      <c r="G84" s="1492"/>
      <c r="H84" s="905"/>
      <c r="I84" s="1406"/>
      <c r="J84" s="1407"/>
      <c r="K84" s="1030"/>
      <c r="L84" s="1019"/>
      <c r="M84" s="1328"/>
    </row>
    <row r="85" spans="1:15" s="1329" customFormat="1" ht="24" customHeight="1">
      <c r="A85" s="1519" t="s">
        <v>1930</v>
      </c>
      <c r="B85" s="1331" t="s">
        <v>2021</v>
      </c>
      <c r="C85" s="801"/>
      <c r="D85" s="801"/>
      <c r="E85" s="1019"/>
      <c r="F85" s="1310"/>
      <c r="G85" s="1492"/>
      <c r="H85" s="773"/>
      <c r="I85" s="1400"/>
      <c r="J85" s="1401"/>
      <c r="K85" s="1019"/>
      <c r="L85" s="1019"/>
      <c r="M85" s="1328"/>
    </row>
    <row r="86" spans="1:15" s="1329" customFormat="1" ht="24" customHeight="1">
      <c r="A86" s="1519"/>
      <c r="B86" s="1331" t="str">
        <f t="shared" ref="B86:B89" si="14">"  -  "&amp;M86&amp;", ("&amp;N86&amp;" L/s)"</f>
        <v xml:space="preserve">  -  C1-4EAF-01, (115 L/s)</v>
      </c>
      <c r="C86" s="801"/>
      <c r="D86" s="801"/>
      <c r="E86" s="1022">
        <f t="shared" ref="E86:E89" si="15">O86</f>
        <v>1</v>
      </c>
      <c r="F86" s="1310" t="s">
        <v>240</v>
      </c>
      <c r="G86" s="1492">
        <v>1040</v>
      </c>
      <c r="H86" s="864">
        <f t="shared" ref="H86:H90" si="16">ROUND(E86*G86,)</f>
        <v>1040</v>
      </c>
      <c r="I86" s="1400">
        <v>500</v>
      </c>
      <c r="J86" s="1395">
        <f t="shared" ref="J86:J90" si="17">ROUND(E86*I86,)</f>
        <v>500</v>
      </c>
      <c r="K86" s="966">
        <f t="shared" ref="K86:K90" si="18">H86+J86</f>
        <v>1540</v>
      </c>
      <c r="L86" s="1019"/>
      <c r="M86" s="1328" t="s">
        <v>2405</v>
      </c>
      <c r="N86" s="1329">
        <v>115</v>
      </c>
      <c r="O86" s="1329">
        <v>1</v>
      </c>
    </row>
    <row r="87" spans="1:15" s="1329" customFormat="1" ht="24" customHeight="1">
      <c r="A87" s="1519"/>
      <c r="B87" s="1331" t="str">
        <f t="shared" si="14"/>
        <v xml:space="preserve">  -  C1-4EAF-02, (115 L/s)</v>
      </c>
      <c r="C87" s="801"/>
      <c r="D87" s="801"/>
      <c r="E87" s="1022">
        <f t="shared" si="15"/>
        <v>1</v>
      </c>
      <c r="F87" s="1310" t="s">
        <v>240</v>
      </c>
      <c r="G87" s="1400">
        <v>1040</v>
      </c>
      <c r="H87" s="864">
        <f t="shared" si="16"/>
        <v>1040</v>
      </c>
      <c r="I87" s="1400">
        <v>500</v>
      </c>
      <c r="J87" s="1395">
        <f t="shared" si="17"/>
        <v>500</v>
      </c>
      <c r="K87" s="966">
        <f t="shared" si="18"/>
        <v>1540</v>
      </c>
      <c r="L87" s="1019"/>
      <c r="M87" s="1328" t="s">
        <v>2406</v>
      </c>
      <c r="N87" s="1329">
        <v>115</v>
      </c>
      <c r="O87" s="1329">
        <v>1</v>
      </c>
    </row>
    <row r="88" spans="1:15" s="1329" customFormat="1" ht="24" customHeight="1">
      <c r="A88" s="1519"/>
      <c r="B88" s="1331" t="str">
        <f t="shared" si="14"/>
        <v xml:space="preserve">  -  C2-4EAF-01, (115 L/s)</v>
      </c>
      <c r="C88" s="801"/>
      <c r="D88" s="801"/>
      <c r="E88" s="1022">
        <f t="shared" si="15"/>
        <v>1</v>
      </c>
      <c r="F88" s="1310" t="s">
        <v>240</v>
      </c>
      <c r="G88" s="1400">
        <v>1040</v>
      </c>
      <c r="H88" s="864">
        <f t="shared" si="16"/>
        <v>1040</v>
      </c>
      <c r="I88" s="1400">
        <v>500</v>
      </c>
      <c r="J88" s="1395">
        <f t="shared" si="17"/>
        <v>500</v>
      </c>
      <c r="K88" s="966">
        <f t="shared" si="18"/>
        <v>1540</v>
      </c>
      <c r="L88" s="1019"/>
      <c r="M88" s="1328" t="s">
        <v>2407</v>
      </c>
      <c r="N88" s="1329">
        <v>115</v>
      </c>
      <c r="O88" s="1329">
        <v>1</v>
      </c>
    </row>
    <row r="89" spans="1:15" s="1329" customFormat="1" ht="24" customHeight="1">
      <c r="A89" s="1519"/>
      <c r="B89" s="1331" t="str">
        <f t="shared" si="14"/>
        <v xml:space="preserve">  -  C2-4EAF-02, (115 L/s)</v>
      </c>
      <c r="C89" s="801"/>
      <c r="D89" s="801"/>
      <c r="E89" s="1022">
        <f t="shared" si="15"/>
        <v>1</v>
      </c>
      <c r="F89" s="1310" t="s">
        <v>240</v>
      </c>
      <c r="G89" s="1400">
        <v>1040</v>
      </c>
      <c r="H89" s="864">
        <f t="shared" si="16"/>
        <v>1040</v>
      </c>
      <c r="I89" s="1400">
        <v>500</v>
      </c>
      <c r="J89" s="1395">
        <f t="shared" si="17"/>
        <v>500</v>
      </c>
      <c r="K89" s="966">
        <f t="shared" si="18"/>
        <v>1540</v>
      </c>
      <c r="L89" s="1030"/>
      <c r="M89" s="1328" t="s">
        <v>2408</v>
      </c>
      <c r="N89" s="1329">
        <v>115</v>
      </c>
      <c r="O89" s="1329">
        <v>1</v>
      </c>
    </row>
    <row r="90" spans="1:15" s="1329" customFormat="1" ht="24" customHeight="1">
      <c r="A90" s="1519" t="s">
        <v>1933</v>
      </c>
      <c r="B90" s="1331" t="s">
        <v>1996</v>
      </c>
      <c r="C90" s="801"/>
      <c r="D90" s="801"/>
      <c r="E90" s="1019">
        <f>SUM(E81:E89)</f>
        <v>7</v>
      </c>
      <c r="F90" s="1310" t="s">
        <v>948</v>
      </c>
      <c r="G90" s="1400">
        <v>800</v>
      </c>
      <c r="H90" s="864">
        <f t="shared" si="16"/>
        <v>5600</v>
      </c>
      <c r="I90" s="1400">
        <f>G90*0.3</f>
        <v>240</v>
      </c>
      <c r="J90" s="1395">
        <f t="shared" si="17"/>
        <v>1680</v>
      </c>
      <c r="K90" s="966">
        <f t="shared" si="18"/>
        <v>7280</v>
      </c>
      <c r="L90" s="1019"/>
      <c r="M90" s="1328"/>
    </row>
    <row r="91" spans="1:15" s="1329" customFormat="1" ht="24" customHeight="1">
      <c r="A91" s="1519"/>
      <c r="B91" s="1331" t="s">
        <v>957</v>
      </c>
      <c r="C91" s="801"/>
      <c r="D91" s="801"/>
      <c r="E91" s="1019"/>
      <c r="F91" s="1310"/>
      <c r="G91" s="1400"/>
      <c r="H91" s="773"/>
      <c r="I91" s="1400"/>
      <c r="J91" s="1401"/>
      <c r="K91" s="1019"/>
      <c r="L91" s="1019"/>
      <c r="M91" s="1328"/>
    </row>
    <row r="92" spans="1:15" s="714" customFormat="1" ht="24" customHeight="1">
      <c r="A92" s="1510"/>
      <c r="B92" s="2475" t="str">
        <f>"รวมราคารายการที่ "&amp;A79</f>
        <v>รวมราคารายการที่ 7.4</v>
      </c>
      <c r="C92" s="2476"/>
      <c r="D92" s="2476"/>
      <c r="E92" s="1511"/>
      <c r="F92" s="1512"/>
      <c r="G92" s="1513"/>
      <c r="H92" s="1514">
        <f>SUM(H79:H91)</f>
        <v>86160</v>
      </c>
      <c r="I92" s="1515"/>
      <c r="J92" s="1516">
        <f>SUM(J79:J91)</f>
        <v>11320</v>
      </c>
      <c r="K92" s="1517">
        <f>SUM(K79:K91)</f>
        <v>97480</v>
      </c>
      <c r="L92" s="1517"/>
      <c r="M92" s="1322"/>
    </row>
    <row r="93" spans="1:15" s="1329" customFormat="1" ht="24" customHeight="1">
      <c r="A93" s="1325" t="s">
        <v>2030</v>
      </c>
      <c r="B93" s="1518" t="s">
        <v>2174</v>
      </c>
      <c r="C93" s="1347"/>
      <c r="D93" s="901"/>
      <c r="E93" s="1019"/>
      <c r="F93" s="1310"/>
      <c r="G93" s="1400"/>
      <c r="H93" s="864"/>
      <c r="I93" s="1400"/>
      <c r="J93" s="1395"/>
      <c r="K93" s="966"/>
      <c r="L93" s="1019"/>
      <c r="M93" s="1328"/>
    </row>
    <row r="94" spans="1:15" s="1329" customFormat="1" ht="24" customHeight="1">
      <c r="A94" s="1481" t="s">
        <v>1949</v>
      </c>
      <c r="B94" s="1331" t="s">
        <v>2175</v>
      </c>
      <c r="C94" s="801"/>
      <c r="D94" s="801"/>
      <c r="E94" s="1019"/>
      <c r="F94" s="1310"/>
      <c r="G94" s="1400"/>
      <c r="H94" s="773"/>
      <c r="I94" s="1400"/>
      <c r="J94" s="1401"/>
      <c r="K94" s="1019"/>
      <c r="L94" s="1019"/>
      <c r="M94" s="1328"/>
    </row>
    <row r="95" spans="1:15" s="1329" customFormat="1" ht="24" customHeight="1">
      <c r="A95" s="1481"/>
      <c r="B95" s="1331" t="s">
        <v>2176</v>
      </c>
      <c r="C95" s="801"/>
      <c r="D95" s="801"/>
      <c r="E95" s="1019">
        <f>E64</f>
        <v>15</v>
      </c>
      <c r="F95" s="1310" t="s">
        <v>240</v>
      </c>
      <c r="G95" s="1497">
        <v>800</v>
      </c>
      <c r="H95" s="1180">
        <f>E95*G95</f>
        <v>12000</v>
      </c>
      <c r="I95" s="849">
        <v>150</v>
      </c>
      <c r="J95" s="1498">
        <f>I95*E95</f>
        <v>2250</v>
      </c>
      <c r="K95" s="1182">
        <f>H95+J95</f>
        <v>14250</v>
      </c>
      <c r="L95" s="1019"/>
      <c r="M95" s="1328"/>
    </row>
    <row r="96" spans="1:15" s="1329" customFormat="1" ht="24" customHeight="1">
      <c r="A96" s="1330" t="s">
        <v>1955</v>
      </c>
      <c r="B96" s="1331" t="s">
        <v>2177</v>
      </c>
      <c r="C96" s="801"/>
      <c r="D96" s="801"/>
      <c r="E96" s="1022"/>
      <c r="F96" s="1333"/>
      <c r="G96" s="1392"/>
      <c r="H96" s="751"/>
      <c r="I96" s="1392"/>
      <c r="J96" s="1393"/>
      <c r="K96" s="1022"/>
      <c r="L96" s="1022"/>
      <c r="M96" s="1328"/>
    </row>
    <row r="97" spans="1:13" s="1329" customFormat="1" ht="24" customHeight="1">
      <c r="A97" s="1330"/>
      <c r="B97" s="1331" t="s">
        <v>2178</v>
      </c>
      <c r="C97" s="801"/>
      <c r="D97" s="801"/>
      <c r="E97" s="1022">
        <f>E39</f>
        <v>2</v>
      </c>
      <c r="F97" s="1333" t="s">
        <v>240</v>
      </c>
      <c r="G97" s="1497">
        <v>2600</v>
      </c>
      <c r="H97" s="1180">
        <f>E97*G97</f>
        <v>5200</v>
      </c>
      <c r="I97" s="849">
        <v>200</v>
      </c>
      <c r="J97" s="1498">
        <f>I97*E97</f>
        <v>400</v>
      </c>
      <c r="K97" s="1182">
        <f>H97+J97</f>
        <v>5600</v>
      </c>
      <c r="L97" s="1022"/>
      <c r="M97" s="1328"/>
    </row>
    <row r="98" spans="1:13" s="1329" customFormat="1" ht="24" customHeight="1">
      <c r="A98" s="1481"/>
      <c r="B98" s="1331" t="s">
        <v>957</v>
      </c>
      <c r="C98" s="801"/>
      <c r="D98" s="801"/>
      <c r="E98" s="1019"/>
      <c r="F98" s="1310"/>
      <c r="G98" s="1400"/>
      <c r="H98" s="773"/>
      <c r="I98" s="1400"/>
      <c r="J98" s="1401"/>
      <c r="K98" s="1019"/>
      <c r="L98" s="1019"/>
      <c r="M98" s="1328"/>
    </row>
    <row r="99" spans="1:13" s="1329" customFormat="1" ht="24" customHeight="1">
      <c r="A99" s="1510"/>
      <c r="B99" s="2475" t="str">
        <f>"รวมราคารายการที่ "&amp;A93</f>
        <v>รวมราคารายการที่ 7.5</v>
      </c>
      <c r="C99" s="2476"/>
      <c r="D99" s="2476"/>
      <c r="E99" s="1511"/>
      <c r="F99" s="1512"/>
      <c r="G99" s="1513"/>
      <c r="H99" s="1514">
        <f>SUM(H93:H98)</f>
        <v>17200</v>
      </c>
      <c r="I99" s="1515"/>
      <c r="J99" s="1516">
        <f>SUM(J93:J98)</f>
        <v>2650</v>
      </c>
      <c r="K99" s="1517">
        <f>SUM(K93:K98)</f>
        <v>19850</v>
      </c>
      <c r="L99" s="1517"/>
      <c r="M99" s="1328"/>
    </row>
    <row r="100" spans="1:13" s="1329" customFormat="1" ht="24" customHeight="1">
      <c r="A100" s="1325" t="s">
        <v>2032</v>
      </c>
      <c r="B100" s="1326" t="s">
        <v>1909</v>
      </c>
      <c r="C100" s="901"/>
      <c r="D100" s="901"/>
      <c r="E100" s="1019"/>
      <c r="F100" s="1310"/>
      <c r="G100" s="1400"/>
      <c r="H100" s="773"/>
      <c r="I100" s="1400"/>
      <c r="J100" s="1401"/>
      <c r="K100" s="1019"/>
      <c r="L100" s="1019"/>
      <c r="M100" s="1328"/>
    </row>
    <row r="101" spans="1:13" s="1329" customFormat="1" ht="24" customHeight="1">
      <c r="A101" s="1481" t="s">
        <v>1960</v>
      </c>
      <c r="B101" s="1331" t="s">
        <v>1911</v>
      </c>
      <c r="C101" s="801"/>
      <c r="D101" s="801"/>
      <c r="E101" s="1019"/>
      <c r="F101" s="1310"/>
      <c r="G101" s="1400"/>
      <c r="H101" s="864"/>
      <c r="I101" s="1400"/>
      <c r="J101" s="1395"/>
      <c r="K101" s="966"/>
      <c r="L101" s="1019"/>
      <c r="M101" s="1328"/>
    </row>
    <row r="102" spans="1:13" s="1329" customFormat="1" ht="24" customHeight="1">
      <c r="A102" s="1481"/>
      <c r="B102" s="1331" t="s">
        <v>2028</v>
      </c>
      <c r="C102" s="801"/>
      <c r="D102" s="801"/>
      <c r="E102" s="1019"/>
      <c r="F102" s="1348" t="s">
        <v>438</v>
      </c>
      <c r="G102" s="1479">
        <v>69.5</v>
      </c>
      <c r="H102" s="1499">
        <f>ROUND(E102*G102,)</f>
        <v>0</v>
      </c>
      <c r="I102" s="1480">
        <v>30</v>
      </c>
      <c r="J102" s="1500">
        <f>ROUND(E102*I102,)</f>
        <v>0</v>
      </c>
      <c r="K102" s="1403">
        <f t="shared" ref="K102:K113" si="19">H102+J102</f>
        <v>0</v>
      </c>
      <c r="L102" s="1019"/>
      <c r="M102" s="1328"/>
    </row>
    <row r="103" spans="1:13" s="1329" customFormat="1" ht="24" customHeight="1">
      <c r="A103" s="1481"/>
      <c r="B103" s="1331" t="s">
        <v>1822</v>
      </c>
      <c r="C103" s="801"/>
      <c r="D103" s="801"/>
      <c r="E103" s="1019"/>
      <c r="F103" s="1348" t="s">
        <v>438</v>
      </c>
      <c r="G103" s="1257">
        <v>103.5</v>
      </c>
      <c r="H103" s="1499">
        <f t="shared" ref="H103:H121" si="20">ROUND(E103*G103,)</f>
        <v>0</v>
      </c>
      <c r="I103" s="849">
        <v>45</v>
      </c>
      <c r="J103" s="1500">
        <f t="shared" ref="J103:J113" si="21">ROUND(E103*I103,)</f>
        <v>0</v>
      </c>
      <c r="K103" s="1403">
        <f t="shared" si="19"/>
        <v>0</v>
      </c>
      <c r="L103" s="1019"/>
      <c r="M103" s="1328"/>
    </row>
    <row r="104" spans="1:13" s="1329" customFormat="1" ht="24" customHeight="1">
      <c r="A104" s="1481"/>
      <c r="B104" s="1331" t="s">
        <v>1186</v>
      </c>
      <c r="C104" s="801"/>
      <c r="D104" s="801"/>
      <c r="E104" s="1019">
        <v>3</v>
      </c>
      <c r="F104" s="1348" t="s">
        <v>438</v>
      </c>
      <c r="G104" s="1257">
        <v>140</v>
      </c>
      <c r="H104" s="1499">
        <f t="shared" si="20"/>
        <v>420</v>
      </c>
      <c r="I104" s="849">
        <v>60</v>
      </c>
      <c r="J104" s="1500">
        <f t="shared" si="21"/>
        <v>180</v>
      </c>
      <c r="K104" s="1403">
        <f t="shared" si="19"/>
        <v>600</v>
      </c>
      <c r="L104" s="1019"/>
      <c r="M104" s="1328"/>
    </row>
    <row r="105" spans="1:13" s="1329" customFormat="1" ht="24" customHeight="1">
      <c r="A105" s="1481"/>
      <c r="B105" s="1331" t="s">
        <v>1187</v>
      </c>
      <c r="C105" s="801"/>
      <c r="D105" s="801"/>
      <c r="E105" s="1019">
        <v>187</v>
      </c>
      <c r="F105" s="1348" t="s">
        <v>438</v>
      </c>
      <c r="G105" s="1402">
        <v>168</v>
      </c>
      <c r="H105" s="1499">
        <f t="shared" si="20"/>
        <v>31416</v>
      </c>
      <c r="I105" s="1496">
        <v>70</v>
      </c>
      <c r="J105" s="1500">
        <f t="shared" si="21"/>
        <v>13090</v>
      </c>
      <c r="K105" s="1403">
        <f t="shared" si="19"/>
        <v>44506</v>
      </c>
      <c r="L105" s="1019"/>
      <c r="M105" s="1328"/>
    </row>
    <row r="106" spans="1:13" s="1329" customFormat="1" ht="24" customHeight="1">
      <c r="A106" s="1481"/>
      <c r="B106" s="1331" t="s">
        <v>1188</v>
      </c>
      <c r="C106" s="801"/>
      <c r="D106" s="801"/>
      <c r="E106" s="1019">
        <v>68</v>
      </c>
      <c r="F106" s="1348" t="s">
        <v>438</v>
      </c>
      <c r="G106" s="1402">
        <v>225</v>
      </c>
      <c r="H106" s="1499">
        <f t="shared" si="20"/>
        <v>15300</v>
      </c>
      <c r="I106" s="1496">
        <v>95</v>
      </c>
      <c r="J106" s="1500">
        <f t="shared" si="21"/>
        <v>6460</v>
      </c>
      <c r="K106" s="1403">
        <f t="shared" si="19"/>
        <v>21760</v>
      </c>
      <c r="L106" s="1019"/>
      <c r="M106" s="1328"/>
    </row>
    <row r="107" spans="1:13" s="1329" customFormat="1" ht="24" customHeight="1">
      <c r="A107" s="1481"/>
      <c r="B107" s="1331" t="s">
        <v>1189</v>
      </c>
      <c r="C107" s="801"/>
      <c r="D107" s="801"/>
      <c r="E107" s="1019">
        <v>7</v>
      </c>
      <c r="F107" s="1348" t="s">
        <v>438</v>
      </c>
      <c r="G107" s="1400">
        <v>357</v>
      </c>
      <c r="H107" s="1499">
        <f t="shared" si="20"/>
        <v>2499</v>
      </c>
      <c r="I107" s="1400">
        <v>150</v>
      </c>
      <c r="J107" s="1500">
        <f t="shared" si="21"/>
        <v>1050</v>
      </c>
      <c r="K107" s="1403">
        <f t="shared" si="19"/>
        <v>3549</v>
      </c>
      <c r="L107" s="1019"/>
      <c r="M107" s="1328"/>
    </row>
    <row r="108" spans="1:13" s="1329" customFormat="1" ht="24" customHeight="1">
      <c r="A108" s="1481"/>
      <c r="B108" s="1331" t="s">
        <v>1190</v>
      </c>
      <c r="C108" s="801"/>
      <c r="D108" s="801"/>
      <c r="E108" s="1019">
        <v>178</v>
      </c>
      <c r="F108" s="1348" t="s">
        <v>438</v>
      </c>
      <c r="G108" s="1400">
        <v>467</v>
      </c>
      <c r="H108" s="1499">
        <f t="shared" si="20"/>
        <v>83126</v>
      </c>
      <c r="I108" s="1400">
        <v>200</v>
      </c>
      <c r="J108" s="1500">
        <f t="shared" si="21"/>
        <v>35600</v>
      </c>
      <c r="K108" s="1403">
        <f t="shared" si="19"/>
        <v>118726</v>
      </c>
      <c r="L108" s="1019"/>
      <c r="M108" s="1328"/>
    </row>
    <row r="109" spans="1:13" s="1329" customFormat="1" ht="24" customHeight="1">
      <c r="A109" s="1481"/>
      <c r="B109" s="1331" t="s">
        <v>951</v>
      </c>
      <c r="C109" s="801"/>
      <c r="D109" s="801"/>
      <c r="E109" s="1019">
        <v>221</v>
      </c>
      <c r="F109" s="1348" t="s">
        <v>438</v>
      </c>
      <c r="G109" s="1400">
        <v>650</v>
      </c>
      <c r="H109" s="1499">
        <f t="shared" si="20"/>
        <v>143650</v>
      </c>
      <c r="I109" s="1400">
        <v>280</v>
      </c>
      <c r="J109" s="1500">
        <f t="shared" si="21"/>
        <v>61880</v>
      </c>
      <c r="K109" s="1403">
        <f t="shared" si="19"/>
        <v>205530</v>
      </c>
      <c r="L109" s="1019"/>
      <c r="M109" s="1328"/>
    </row>
    <row r="110" spans="1:13" s="1329" customFormat="1" ht="24" customHeight="1">
      <c r="A110" s="1481"/>
      <c r="B110" s="1331" t="s">
        <v>1809</v>
      </c>
      <c r="C110" s="801"/>
      <c r="D110" s="801"/>
      <c r="E110" s="1019"/>
      <c r="F110" s="1348" t="s">
        <v>438</v>
      </c>
      <c r="G110" s="1400">
        <v>1168</v>
      </c>
      <c r="H110" s="1499">
        <f t="shared" si="20"/>
        <v>0</v>
      </c>
      <c r="I110" s="1400">
        <v>420</v>
      </c>
      <c r="J110" s="1500">
        <f t="shared" si="21"/>
        <v>0</v>
      </c>
      <c r="K110" s="1403">
        <f t="shared" si="19"/>
        <v>0</v>
      </c>
      <c r="L110" s="1019"/>
      <c r="M110" s="1328"/>
    </row>
    <row r="111" spans="1:13" s="1329" customFormat="1" ht="24" customHeight="1">
      <c r="A111" s="1481"/>
      <c r="B111" s="1331" t="s">
        <v>1645</v>
      </c>
      <c r="C111" s="801"/>
      <c r="D111" s="801"/>
      <c r="E111" s="1019">
        <v>1</v>
      </c>
      <c r="F111" s="1310" t="s">
        <v>948</v>
      </c>
      <c r="G111" s="1402">
        <f>ROUND(SUM(H102:H110)*50%,)</f>
        <v>138206</v>
      </c>
      <c r="H111" s="1499">
        <f t="shared" si="20"/>
        <v>138206</v>
      </c>
      <c r="I111" s="1402">
        <f>ROUND(G111*0.3,)</f>
        <v>41462</v>
      </c>
      <c r="J111" s="1500">
        <f t="shared" si="21"/>
        <v>41462</v>
      </c>
      <c r="K111" s="1403">
        <f t="shared" si="19"/>
        <v>179668</v>
      </c>
      <c r="L111" s="1019"/>
      <c r="M111" s="1328"/>
    </row>
    <row r="112" spans="1:13" s="1329" customFormat="1" ht="24" customHeight="1">
      <c r="A112" s="1481"/>
      <c r="B112" s="1331" t="s">
        <v>1646</v>
      </c>
      <c r="C112" s="801"/>
      <c r="D112" s="801"/>
      <c r="E112" s="1019">
        <v>1</v>
      </c>
      <c r="F112" s="1310" t="s">
        <v>948</v>
      </c>
      <c r="G112" s="1402">
        <f>ROUND(SUM(H102:H110)*20%,)</f>
        <v>55282</v>
      </c>
      <c r="H112" s="905">
        <f t="shared" si="20"/>
        <v>55282</v>
      </c>
      <c r="I112" s="1402">
        <f>ROUND(SUM(J102:J111)*20%,)</f>
        <v>31944</v>
      </c>
      <c r="J112" s="1500">
        <f t="shared" si="21"/>
        <v>31944</v>
      </c>
      <c r="K112" s="1403">
        <f t="shared" si="19"/>
        <v>87226</v>
      </c>
      <c r="L112" s="1019"/>
      <c r="M112" s="1328"/>
    </row>
    <row r="113" spans="1:15" s="1329" customFormat="1" ht="24" customHeight="1">
      <c r="A113" s="1481"/>
      <c r="B113" s="1331" t="s">
        <v>1647</v>
      </c>
      <c r="C113" s="801"/>
      <c r="D113" s="801"/>
      <c r="E113" s="1019">
        <v>1</v>
      </c>
      <c r="F113" s="1310" t="s">
        <v>948</v>
      </c>
      <c r="G113" s="1402">
        <f>ROUND(SUM(H102:H110)*10%,)</f>
        <v>27641</v>
      </c>
      <c r="H113" s="905">
        <f t="shared" si="20"/>
        <v>27641</v>
      </c>
      <c r="I113" s="1402">
        <f>ROUND(SUM(J102:J111)*10%,)</f>
        <v>15972</v>
      </c>
      <c r="J113" s="1500">
        <f t="shared" si="21"/>
        <v>15972</v>
      </c>
      <c r="K113" s="1403">
        <f t="shared" si="19"/>
        <v>43613</v>
      </c>
      <c r="L113" s="1019"/>
      <c r="M113" s="1328"/>
    </row>
    <row r="114" spans="1:15" s="1329" customFormat="1" ht="24" customHeight="1">
      <c r="A114" s="1481" t="s">
        <v>1964</v>
      </c>
      <c r="B114" s="1331" t="s">
        <v>1917</v>
      </c>
      <c r="C114" s="801"/>
      <c r="D114" s="801"/>
      <c r="E114" s="1019"/>
      <c r="F114" s="1310"/>
      <c r="G114" s="1400"/>
      <c r="H114" s="773"/>
      <c r="I114" s="1400"/>
      <c r="J114" s="1401"/>
      <c r="K114" s="1019"/>
      <c r="L114" s="1019"/>
      <c r="M114" s="1328"/>
    </row>
    <row r="115" spans="1:15" s="1329" customFormat="1" ht="24" customHeight="1">
      <c r="A115" s="1481"/>
      <c r="B115" s="1331" t="s">
        <v>1822</v>
      </c>
      <c r="C115" s="801"/>
      <c r="D115" s="801"/>
      <c r="E115" s="1019"/>
      <c r="F115" s="1348" t="s">
        <v>438</v>
      </c>
      <c r="G115" s="1402">
        <v>16</v>
      </c>
      <c r="H115" s="1499">
        <f t="shared" si="20"/>
        <v>0</v>
      </c>
      <c r="I115" s="1496">
        <v>25</v>
      </c>
      <c r="J115" s="1500">
        <f t="shared" ref="J115:J121" si="22">ROUND(E115*I115,)</f>
        <v>0</v>
      </c>
      <c r="K115" s="1403">
        <f t="shared" ref="K115:K121" si="23">H115+J115</f>
        <v>0</v>
      </c>
      <c r="L115" s="2273" t="s">
        <v>2974</v>
      </c>
      <c r="M115" s="1328"/>
      <c r="N115" s="1329">
        <v>63.7</v>
      </c>
      <c r="O115" s="714">
        <f>ROUND(N115/4,)</f>
        <v>16</v>
      </c>
    </row>
    <row r="116" spans="1:15" s="1329" customFormat="1" ht="24" customHeight="1">
      <c r="A116" s="1481"/>
      <c r="B116" s="1331" t="s">
        <v>2029</v>
      </c>
      <c r="C116" s="801"/>
      <c r="D116" s="801"/>
      <c r="E116" s="1019">
        <v>131</v>
      </c>
      <c r="F116" s="1348" t="s">
        <v>438</v>
      </c>
      <c r="G116" s="1402">
        <v>20</v>
      </c>
      <c r="H116" s="1499">
        <f t="shared" si="20"/>
        <v>2620</v>
      </c>
      <c r="I116" s="1496">
        <v>25</v>
      </c>
      <c r="J116" s="1500">
        <f t="shared" si="22"/>
        <v>3275</v>
      </c>
      <c r="K116" s="1403">
        <f t="shared" si="23"/>
        <v>5895</v>
      </c>
      <c r="L116" s="2273" t="s">
        <v>2974</v>
      </c>
      <c r="M116" s="1328"/>
      <c r="N116" s="1719">
        <v>79.17</v>
      </c>
      <c r="O116" s="714">
        <f>ROUND(N116/4,)</f>
        <v>20</v>
      </c>
    </row>
    <row r="117" spans="1:15" s="1329" customFormat="1" ht="24" customHeight="1">
      <c r="A117" s="1330"/>
      <c r="B117" s="1331" t="s">
        <v>1187</v>
      </c>
      <c r="C117" s="801"/>
      <c r="D117" s="801"/>
      <c r="E117" s="1022">
        <v>22</v>
      </c>
      <c r="F117" s="1249" t="s">
        <v>438</v>
      </c>
      <c r="G117" s="1402">
        <v>26</v>
      </c>
      <c r="H117" s="1499">
        <f t="shared" si="20"/>
        <v>572</v>
      </c>
      <c r="I117" s="1496">
        <v>25</v>
      </c>
      <c r="J117" s="1500">
        <f t="shared" si="22"/>
        <v>550</v>
      </c>
      <c r="K117" s="1403">
        <f t="shared" si="23"/>
        <v>1122</v>
      </c>
      <c r="L117" s="2273" t="s">
        <v>2974</v>
      </c>
      <c r="M117" s="1328"/>
      <c r="N117" s="1719">
        <v>103.74</v>
      </c>
      <c r="O117" s="714">
        <f>ROUND(N117/4,)</f>
        <v>26</v>
      </c>
    </row>
    <row r="118" spans="1:15" s="1329" customFormat="1" ht="24" customHeight="1">
      <c r="A118" s="1330"/>
      <c r="B118" s="1331" t="s">
        <v>1188</v>
      </c>
      <c r="C118" s="801"/>
      <c r="D118" s="801"/>
      <c r="E118" s="1022">
        <v>6</v>
      </c>
      <c r="F118" s="1249" t="s">
        <v>438</v>
      </c>
      <c r="G118" s="1402">
        <v>41</v>
      </c>
      <c r="H118" s="1499">
        <f t="shared" si="20"/>
        <v>246</v>
      </c>
      <c r="I118" s="1496">
        <v>25</v>
      </c>
      <c r="J118" s="1500">
        <f t="shared" si="22"/>
        <v>150</v>
      </c>
      <c r="K118" s="1403">
        <f t="shared" si="23"/>
        <v>396</v>
      </c>
      <c r="L118" s="2273" t="s">
        <v>2974</v>
      </c>
      <c r="M118" s="1328"/>
      <c r="N118" s="1719">
        <v>163.80000000000001</v>
      </c>
      <c r="O118" s="714">
        <f>ROUND(N118/4,)</f>
        <v>41</v>
      </c>
    </row>
    <row r="119" spans="1:15" s="1329" customFormat="1" ht="24" customHeight="1">
      <c r="A119" s="1481"/>
      <c r="B119" s="1331" t="s">
        <v>1645</v>
      </c>
      <c r="C119" s="801"/>
      <c r="D119" s="801"/>
      <c r="E119" s="1019">
        <v>1</v>
      </c>
      <c r="F119" s="1310" t="s">
        <v>948</v>
      </c>
      <c r="G119" s="1402">
        <f>ROUND(SUM(H115:H118)*40%,)</f>
        <v>1375</v>
      </c>
      <c r="H119" s="1499">
        <f t="shared" si="20"/>
        <v>1375</v>
      </c>
      <c r="I119" s="949">
        <f>ROUND(G119*0.3,)</f>
        <v>413</v>
      </c>
      <c r="J119" s="1500">
        <f t="shared" si="22"/>
        <v>413</v>
      </c>
      <c r="K119" s="1403">
        <f t="shared" si="23"/>
        <v>1788</v>
      </c>
      <c r="L119" s="1019"/>
      <c r="M119" s="1328"/>
    </row>
    <row r="120" spans="1:15" s="1329" customFormat="1" ht="24" customHeight="1">
      <c r="A120" s="1481"/>
      <c r="B120" s="1331" t="s">
        <v>1646</v>
      </c>
      <c r="C120" s="801"/>
      <c r="D120" s="801"/>
      <c r="E120" s="1019">
        <v>1</v>
      </c>
      <c r="F120" s="1310" t="s">
        <v>948</v>
      </c>
      <c r="G120" s="1402">
        <f>ROUND(SUM(H115:H118)*30%,)</f>
        <v>1031</v>
      </c>
      <c r="H120" s="1499">
        <f t="shared" si="20"/>
        <v>1031</v>
      </c>
      <c r="I120" s="949">
        <f>ROUND(G120*0.3,)</f>
        <v>309</v>
      </c>
      <c r="J120" s="1500">
        <f t="shared" si="22"/>
        <v>309</v>
      </c>
      <c r="K120" s="1403">
        <f t="shared" si="23"/>
        <v>1340</v>
      </c>
      <c r="L120" s="1019"/>
      <c r="M120" s="1328"/>
    </row>
    <row r="121" spans="1:15" s="1329" customFormat="1" ht="24" customHeight="1">
      <c r="A121" s="1481"/>
      <c r="B121" s="1331" t="s">
        <v>1647</v>
      </c>
      <c r="C121" s="801"/>
      <c r="D121" s="801"/>
      <c r="E121" s="1019">
        <v>1</v>
      </c>
      <c r="F121" s="1310" t="s">
        <v>948</v>
      </c>
      <c r="G121" s="1402">
        <f>ROUND(SUM(H115:H118)*10%,)</f>
        <v>344</v>
      </c>
      <c r="H121" s="1499">
        <f t="shared" si="20"/>
        <v>344</v>
      </c>
      <c r="I121" s="949">
        <f>ROUND(G121*0.3,)</f>
        <v>103</v>
      </c>
      <c r="J121" s="1500">
        <f t="shared" si="22"/>
        <v>103</v>
      </c>
      <c r="K121" s="1403">
        <f t="shared" si="23"/>
        <v>447</v>
      </c>
      <c r="L121" s="1019"/>
      <c r="M121" s="1328"/>
    </row>
    <row r="122" spans="1:15" s="1329" customFormat="1" ht="24" customHeight="1">
      <c r="A122" s="1481"/>
      <c r="B122" s="1331" t="s">
        <v>957</v>
      </c>
      <c r="C122" s="801"/>
      <c r="D122" s="801"/>
      <c r="E122" s="1019"/>
      <c r="F122" s="1310"/>
      <c r="G122" s="1400"/>
      <c r="H122" s="773"/>
      <c r="I122" s="1400"/>
      <c r="J122" s="1401"/>
      <c r="K122" s="1019"/>
      <c r="L122" s="1019"/>
      <c r="M122" s="1328"/>
    </row>
    <row r="123" spans="1:15" s="1329" customFormat="1" ht="24" customHeight="1">
      <c r="A123" s="1481"/>
      <c r="B123" s="1331"/>
      <c r="C123" s="801"/>
      <c r="D123" s="801"/>
      <c r="E123" s="1019"/>
      <c r="F123" s="1310"/>
      <c r="G123" s="1400"/>
      <c r="H123" s="773"/>
      <c r="I123" s="1400"/>
      <c r="J123" s="1401"/>
      <c r="K123" s="1019"/>
      <c r="L123" s="1019"/>
      <c r="M123" s="1328"/>
    </row>
    <row r="124" spans="1:15" s="1329" customFormat="1" ht="24" customHeight="1">
      <c r="A124" s="1481"/>
      <c r="B124" s="1331"/>
      <c r="C124" s="801"/>
      <c r="D124" s="801"/>
      <c r="E124" s="1019"/>
      <c r="F124" s="1310"/>
      <c r="G124" s="1400"/>
      <c r="H124" s="773"/>
      <c r="I124" s="1400"/>
      <c r="J124" s="1401"/>
      <c r="K124" s="1019"/>
      <c r="L124" s="1019"/>
      <c r="M124" s="1328"/>
    </row>
    <row r="125" spans="1:15" s="1329" customFormat="1" ht="24" customHeight="1">
      <c r="A125" s="1481"/>
      <c r="B125" s="1331"/>
      <c r="C125" s="801"/>
      <c r="D125" s="801"/>
      <c r="E125" s="1019"/>
      <c r="F125" s="1310"/>
      <c r="G125" s="1400"/>
      <c r="H125" s="773"/>
      <c r="I125" s="1400"/>
      <c r="J125" s="1401"/>
      <c r="K125" s="1019"/>
      <c r="L125" s="1019"/>
      <c r="M125" s="1328"/>
    </row>
    <row r="126" spans="1:15" s="714" customFormat="1" ht="24" customHeight="1">
      <c r="A126" s="1481"/>
      <c r="B126" s="1331" t="s">
        <v>958</v>
      </c>
      <c r="C126" s="801"/>
      <c r="D126" s="801"/>
      <c r="E126" s="1019"/>
      <c r="F126" s="1310"/>
      <c r="G126" s="1400"/>
      <c r="H126" s="773"/>
      <c r="I126" s="1400"/>
      <c r="J126" s="1401"/>
      <c r="K126" s="1019"/>
      <c r="L126" s="1019"/>
      <c r="M126" s="1322"/>
    </row>
    <row r="127" spans="1:15" s="1329" customFormat="1" ht="24" customHeight="1">
      <c r="A127" s="1510"/>
      <c r="B127" s="2475" t="str">
        <f>"รวมราคารายการที่ "&amp;A100</f>
        <v>รวมราคารายการที่ 7.6</v>
      </c>
      <c r="C127" s="2476"/>
      <c r="D127" s="2476"/>
      <c r="E127" s="1511"/>
      <c r="F127" s="1512"/>
      <c r="G127" s="1513"/>
      <c r="H127" s="1514">
        <f>SUM(H101:H126)</f>
        <v>503728</v>
      </c>
      <c r="I127" s="1515"/>
      <c r="J127" s="1516">
        <f>SUM(J101:J126)</f>
        <v>212438</v>
      </c>
      <c r="K127" s="1517">
        <f>SUM(K101:K126)</f>
        <v>716166</v>
      </c>
      <c r="L127" s="1517"/>
      <c r="M127" s="1328"/>
    </row>
    <row r="128" spans="1:15" s="1329" customFormat="1" ht="24" customHeight="1">
      <c r="A128" s="1405" t="s">
        <v>1967</v>
      </c>
      <c r="B128" s="1326" t="s">
        <v>1921</v>
      </c>
      <c r="C128" s="1347"/>
      <c r="D128" s="901"/>
      <c r="E128" s="1019"/>
      <c r="F128" s="1310"/>
      <c r="G128" s="1400"/>
      <c r="H128" s="864"/>
      <c r="I128" s="1400"/>
      <c r="J128" s="1395"/>
      <c r="K128" s="966"/>
      <c r="L128" s="1019"/>
      <c r="M128" s="1328"/>
    </row>
    <row r="129" spans="1:13" s="1329" customFormat="1" ht="24" customHeight="1">
      <c r="A129" s="1330" t="s">
        <v>1969</v>
      </c>
      <c r="B129" s="1331" t="s">
        <v>1923</v>
      </c>
      <c r="C129" s="1349"/>
      <c r="D129" s="890"/>
      <c r="E129" s="966"/>
      <c r="F129" s="1348"/>
      <c r="G129" s="1394"/>
      <c r="H129" s="905"/>
      <c r="I129" s="1406"/>
      <c r="J129" s="1407"/>
      <c r="K129" s="1030"/>
      <c r="L129" s="1030"/>
      <c r="M129" s="1328"/>
    </row>
    <row r="130" spans="1:13" s="1329" customFormat="1" ht="24" customHeight="1">
      <c r="A130" s="1330"/>
      <c r="B130" s="1331" t="s">
        <v>1822</v>
      </c>
      <c r="C130" s="1349"/>
      <c r="D130" s="890"/>
      <c r="E130" s="1019"/>
      <c r="F130" s="1348" t="s">
        <v>438</v>
      </c>
      <c r="G130" s="1257">
        <v>69</v>
      </c>
      <c r="H130" s="796">
        <f t="shared" ref="H130:H143" si="24">ROUND(E130*G130,)</f>
        <v>0</v>
      </c>
      <c r="I130" s="849">
        <f>ROUND(20*1*1.3,)</f>
        <v>26</v>
      </c>
      <c r="J130" s="1476">
        <f t="shared" ref="J130:J143" si="25">ROUND(E130*I130,)</f>
        <v>0</v>
      </c>
      <c r="K130" s="1014">
        <f t="shared" ref="K130:K144" si="26">H130+J130</f>
        <v>0</v>
      </c>
      <c r="L130" s="1030"/>
      <c r="M130" s="1328"/>
    </row>
    <row r="131" spans="1:13" s="1329" customFormat="1" ht="24" customHeight="1">
      <c r="A131" s="1330"/>
      <c r="B131" s="1331" t="s">
        <v>2029</v>
      </c>
      <c r="C131" s="1349"/>
      <c r="D131" s="890"/>
      <c r="E131" s="1019">
        <f>E116</f>
        <v>131</v>
      </c>
      <c r="F131" s="1348" t="s">
        <v>438</v>
      </c>
      <c r="G131" s="1257">
        <v>92</v>
      </c>
      <c r="H131" s="796">
        <f t="shared" si="24"/>
        <v>12052</v>
      </c>
      <c r="I131" s="849">
        <f>ROUND(20*1.25*1.3,)</f>
        <v>33</v>
      </c>
      <c r="J131" s="1476">
        <f t="shared" si="25"/>
        <v>4323</v>
      </c>
      <c r="K131" s="1014">
        <f t="shared" si="26"/>
        <v>16375</v>
      </c>
      <c r="L131" s="1030"/>
      <c r="M131" s="1328"/>
    </row>
    <row r="132" spans="1:13" s="1329" customFormat="1" ht="24" customHeight="1">
      <c r="A132" s="1330" t="s">
        <v>1974</v>
      </c>
      <c r="B132" s="1331" t="s">
        <v>2031</v>
      </c>
      <c r="C132" s="1349"/>
      <c r="D132" s="890"/>
      <c r="E132" s="966"/>
      <c r="F132" s="1348"/>
      <c r="G132" s="1394"/>
      <c r="H132" s="905"/>
      <c r="I132" s="1406"/>
      <c r="J132" s="1407"/>
      <c r="K132" s="1030"/>
      <c r="L132" s="1030"/>
      <c r="M132" s="1328"/>
    </row>
    <row r="133" spans="1:13" s="1329" customFormat="1" ht="24" customHeight="1">
      <c r="A133" s="1330"/>
      <c r="B133" s="1331" t="s">
        <v>2028</v>
      </c>
      <c r="C133" s="1349"/>
      <c r="D133" s="890"/>
      <c r="E133" s="1019"/>
      <c r="F133" s="1348" t="s">
        <v>438</v>
      </c>
      <c r="G133" s="1479">
        <v>69</v>
      </c>
      <c r="H133" s="796">
        <f t="shared" si="24"/>
        <v>0</v>
      </c>
      <c r="I133" s="1480">
        <f>ROUND(20*0.75*1.3,)</f>
        <v>20</v>
      </c>
      <c r="J133" s="1476">
        <f t="shared" si="25"/>
        <v>0</v>
      </c>
      <c r="K133" s="1014">
        <f t="shared" si="26"/>
        <v>0</v>
      </c>
      <c r="L133" s="1030"/>
      <c r="M133" s="1328"/>
    </row>
    <row r="134" spans="1:13" s="1329" customFormat="1" ht="24" customHeight="1">
      <c r="A134" s="1330"/>
      <c r="B134" s="1331" t="s">
        <v>1822</v>
      </c>
      <c r="C134" s="1349"/>
      <c r="D134" s="801"/>
      <c r="E134" s="1019"/>
      <c r="F134" s="1249" t="s">
        <v>438</v>
      </c>
      <c r="G134" s="1257">
        <v>85</v>
      </c>
      <c r="H134" s="796">
        <f t="shared" si="24"/>
        <v>0</v>
      </c>
      <c r="I134" s="849">
        <f>ROUND(20*1*1.3,)</f>
        <v>26</v>
      </c>
      <c r="J134" s="1476">
        <f t="shared" si="25"/>
        <v>0</v>
      </c>
      <c r="K134" s="1014">
        <f t="shared" si="26"/>
        <v>0</v>
      </c>
      <c r="L134" s="1030"/>
      <c r="M134" s="1328"/>
    </row>
    <row r="135" spans="1:13" s="1329" customFormat="1" ht="24" customHeight="1">
      <c r="A135" s="1330" t="s">
        <v>2112</v>
      </c>
      <c r="B135" s="1331" t="s">
        <v>2113</v>
      </c>
      <c r="C135" s="1349"/>
      <c r="D135" s="890"/>
      <c r="E135" s="966"/>
      <c r="F135" s="1348"/>
      <c r="G135" s="1394"/>
      <c r="H135" s="905"/>
      <c r="I135" s="1406"/>
      <c r="J135" s="1407"/>
      <c r="K135" s="1030"/>
      <c r="L135" s="1030"/>
      <c r="M135" s="1328"/>
    </row>
    <row r="136" spans="1:13" s="1329" customFormat="1" ht="24" customHeight="1">
      <c r="A136" s="1330"/>
      <c r="B136" s="1331" t="s">
        <v>1186</v>
      </c>
      <c r="C136" s="1349"/>
      <c r="D136" s="801"/>
      <c r="E136" s="1019">
        <f>E104</f>
        <v>3</v>
      </c>
      <c r="F136" s="1249" t="s">
        <v>438</v>
      </c>
      <c r="G136" s="1394">
        <v>108</v>
      </c>
      <c r="H136" s="796">
        <f t="shared" si="24"/>
        <v>324</v>
      </c>
      <c r="I136" s="1406">
        <v>33</v>
      </c>
      <c r="J136" s="1476">
        <f t="shared" si="25"/>
        <v>99</v>
      </c>
      <c r="K136" s="1014">
        <f t="shared" si="26"/>
        <v>423</v>
      </c>
      <c r="L136" s="1030"/>
      <c r="M136" s="1328"/>
    </row>
    <row r="137" spans="1:13" s="1329" customFormat="1" ht="24" customHeight="1">
      <c r="A137" s="1481"/>
      <c r="B137" s="1331" t="s">
        <v>1187</v>
      </c>
      <c r="C137" s="801"/>
      <c r="D137" s="801"/>
      <c r="E137" s="1019">
        <f>E117+E105</f>
        <v>209</v>
      </c>
      <c r="F137" s="1348" t="s">
        <v>438</v>
      </c>
      <c r="G137" s="1394">
        <v>164</v>
      </c>
      <c r="H137" s="796">
        <f t="shared" si="24"/>
        <v>34276</v>
      </c>
      <c r="I137" s="1406">
        <v>39</v>
      </c>
      <c r="J137" s="1476">
        <f t="shared" si="25"/>
        <v>8151</v>
      </c>
      <c r="K137" s="1014">
        <f t="shared" si="26"/>
        <v>42427</v>
      </c>
      <c r="L137" s="1019"/>
      <c r="M137" s="1328"/>
    </row>
    <row r="138" spans="1:13" s="1329" customFormat="1" ht="24" customHeight="1">
      <c r="A138" s="1481"/>
      <c r="B138" s="1331" t="s">
        <v>1188</v>
      </c>
      <c r="C138" s="801"/>
      <c r="D138" s="801"/>
      <c r="E138" s="1019">
        <f>E118+E106</f>
        <v>74</v>
      </c>
      <c r="F138" s="1348" t="s">
        <v>438</v>
      </c>
      <c r="G138" s="1394">
        <v>200</v>
      </c>
      <c r="H138" s="796">
        <f t="shared" si="24"/>
        <v>14800</v>
      </c>
      <c r="I138" s="1406">
        <v>52</v>
      </c>
      <c r="J138" s="1476">
        <f t="shared" si="25"/>
        <v>3848</v>
      </c>
      <c r="K138" s="1014">
        <f t="shared" si="26"/>
        <v>18648</v>
      </c>
      <c r="L138" s="1019"/>
      <c r="M138" s="1328"/>
    </row>
    <row r="139" spans="1:13" s="1329" customFormat="1" ht="24" customHeight="1">
      <c r="A139" s="1481"/>
      <c r="B139" s="1331" t="s">
        <v>1189</v>
      </c>
      <c r="C139" s="801"/>
      <c r="D139" s="801"/>
      <c r="E139" s="1019">
        <f>E107</f>
        <v>7</v>
      </c>
      <c r="F139" s="1348" t="s">
        <v>438</v>
      </c>
      <c r="G139" s="1394">
        <v>256</v>
      </c>
      <c r="H139" s="796">
        <f t="shared" si="24"/>
        <v>1792</v>
      </c>
      <c r="I139" s="1406">
        <v>65</v>
      </c>
      <c r="J139" s="1476">
        <f t="shared" si="25"/>
        <v>455</v>
      </c>
      <c r="K139" s="1014">
        <f t="shared" si="26"/>
        <v>2247</v>
      </c>
      <c r="L139" s="1019"/>
      <c r="M139" s="1328"/>
    </row>
    <row r="140" spans="1:13" s="1329" customFormat="1" ht="24" customHeight="1">
      <c r="A140" s="1481"/>
      <c r="B140" s="1331" t="s">
        <v>1190</v>
      </c>
      <c r="C140" s="801"/>
      <c r="D140" s="801"/>
      <c r="E140" s="1019">
        <f>E108</f>
        <v>178</v>
      </c>
      <c r="F140" s="1348" t="s">
        <v>438</v>
      </c>
      <c r="G140" s="1394">
        <v>302</v>
      </c>
      <c r="H140" s="796">
        <f t="shared" si="24"/>
        <v>53756</v>
      </c>
      <c r="I140" s="1406">
        <v>78</v>
      </c>
      <c r="J140" s="1476">
        <f t="shared" si="25"/>
        <v>13884</v>
      </c>
      <c r="K140" s="1014">
        <f t="shared" si="26"/>
        <v>67640</v>
      </c>
      <c r="L140" s="1019"/>
      <c r="M140" s="1328"/>
    </row>
    <row r="141" spans="1:13" s="1329" customFormat="1" ht="24" customHeight="1">
      <c r="A141" s="1481"/>
      <c r="B141" s="1331" t="s">
        <v>951</v>
      </c>
      <c r="C141" s="801"/>
      <c r="D141" s="801"/>
      <c r="E141" s="1019">
        <f>E109</f>
        <v>221</v>
      </c>
      <c r="F141" s="1348" t="s">
        <v>438</v>
      </c>
      <c r="G141" s="1394">
        <v>367</v>
      </c>
      <c r="H141" s="796">
        <f t="shared" si="24"/>
        <v>81107</v>
      </c>
      <c r="I141" s="1406">
        <v>104</v>
      </c>
      <c r="J141" s="1476">
        <f t="shared" si="25"/>
        <v>22984</v>
      </c>
      <c r="K141" s="1014">
        <f t="shared" si="26"/>
        <v>104091</v>
      </c>
      <c r="L141" s="1019"/>
      <c r="M141" s="1328"/>
    </row>
    <row r="142" spans="1:13" s="1329" customFormat="1" ht="24" customHeight="1">
      <c r="A142" s="1330" t="s">
        <v>2114</v>
      </c>
      <c r="B142" s="1331" t="s">
        <v>1925</v>
      </c>
      <c r="C142" s="1349"/>
      <c r="D142" s="890"/>
      <c r="E142" s="966"/>
      <c r="F142" s="1348"/>
      <c r="G142" s="1394"/>
      <c r="H142" s="905"/>
      <c r="I142" s="1406"/>
      <c r="J142" s="1407"/>
      <c r="K142" s="1030"/>
      <c r="L142" s="1030"/>
      <c r="M142" s="1328"/>
    </row>
    <row r="143" spans="1:13" s="1329" customFormat="1" ht="24" customHeight="1">
      <c r="A143" s="1481"/>
      <c r="B143" s="1331" t="s">
        <v>1809</v>
      </c>
      <c r="C143" s="801"/>
      <c r="D143" s="801"/>
      <c r="E143" s="1019"/>
      <c r="F143" s="1348" t="s">
        <v>438</v>
      </c>
      <c r="G143" s="1400">
        <v>465</v>
      </c>
      <c r="H143" s="796">
        <f t="shared" si="24"/>
        <v>0</v>
      </c>
      <c r="I143" s="1400">
        <v>465</v>
      </c>
      <c r="J143" s="1476">
        <f t="shared" si="25"/>
        <v>0</v>
      </c>
      <c r="K143" s="1014">
        <f t="shared" si="26"/>
        <v>0</v>
      </c>
      <c r="L143" s="1019"/>
      <c r="M143" s="1328"/>
    </row>
    <row r="144" spans="1:13" s="1329" customFormat="1" ht="24" customHeight="1">
      <c r="A144" s="1330"/>
      <c r="B144" s="1331" t="s">
        <v>957</v>
      </c>
      <c r="C144" s="1349"/>
      <c r="D144" s="890"/>
      <c r="E144" s="966"/>
      <c r="F144" s="1348"/>
      <c r="G144" s="1394"/>
      <c r="H144" s="905"/>
      <c r="I144" s="1406"/>
      <c r="J144" s="1407"/>
      <c r="K144" s="1014">
        <f t="shared" si="26"/>
        <v>0</v>
      </c>
      <c r="L144" s="1030"/>
      <c r="M144" s="1328"/>
    </row>
    <row r="145" spans="1:13" s="1329" customFormat="1" ht="24" customHeight="1">
      <c r="A145" s="1510"/>
      <c r="B145" s="2475" t="str">
        <f>"รวมราคารายการที่ "&amp;A128</f>
        <v>รวมราคารายการที่ 7.7</v>
      </c>
      <c r="C145" s="2476"/>
      <c r="D145" s="2476"/>
      <c r="E145" s="1511"/>
      <c r="F145" s="1512"/>
      <c r="G145" s="1513"/>
      <c r="H145" s="1514">
        <f>SUM(H128:H144)</f>
        <v>198107</v>
      </c>
      <c r="I145" s="1515"/>
      <c r="J145" s="1516">
        <f>SUM(J128:J144)</f>
        <v>53744</v>
      </c>
      <c r="K145" s="1517">
        <f>SUM(K128:K144)</f>
        <v>251851</v>
      </c>
      <c r="L145" s="1517"/>
      <c r="M145" s="1328"/>
    </row>
    <row r="146" spans="1:13" s="1329" customFormat="1" ht="24" customHeight="1">
      <c r="A146" s="1325">
        <v>7.8</v>
      </c>
      <c r="B146" s="1326" t="s">
        <v>1927</v>
      </c>
      <c r="C146" s="1347"/>
      <c r="D146" s="901"/>
      <c r="E146" s="1019"/>
      <c r="F146" s="1310"/>
      <c r="G146" s="1400"/>
      <c r="H146" s="864"/>
      <c r="I146" s="1400"/>
      <c r="J146" s="1395"/>
      <c r="K146" s="966"/>
      <c r="L146" s="1019"/>
      <c r="M146" s="1328"/>
    </row>
    <row r="147" spans="1:13" s="1329" customFormat="1" ht="24" customHeight="1">
      <c r="A147" s="1330" t="s">
        <v>1979</v>
      </c>
      <c r="B147" s="1331" t="s">
        <v>1929</v>
      </c>
      <c r="C147" s="1349"/>
      <c r="D147" s="890"/>
      <c r="E147" s="966"/>
      <c r="F147" s="1348"/>
      <c r="G147" s="1394"/>
      <c r="H147" s="905"/>
      <c r="I147" s="1406"/>
      <c r="J147" s="1407"/>
      <c r="K147" s="1030"/>
      <c r="L147" s="1030"/>
      <c r="M147" s="1328"/>
    </row>
    <row r="148" spans="1:13" s="1329" customFormat="1" ht="24" customHeight="1">
      <c r="A148" s="791"/>
      <c r="B148" s="1127" t="s">
        <v>1184</v>
      </c>
      <c r="C148" s="1233"/>
      <c r="D148" s="792"/>
      <c r="E148" s="1501"/>
      <c r="F148" s="1502" t="s">
        <v>240</v>
      </c>
      <c r="G148" s="1503">
        <v>880</v>
      </c>
      <c r="H148" s="1499">
        <f t="shared" ref="H148:H152" si="27">ROUND(E148*G148,)</f>
        <v>0</v>
      </c>
      <c r="I148" s="1480">
        <v>150</v>
      </c>
      <c r="J148" s="1500">
        <f t="shared" ref="J148:J152" si="28">ROUND(E148*I148,)</f>
        <v>0</v>
      </c>
      <c r="K148" s="1403">
        <f t="shared" ref="K148:K152" si="29">H148+J148</f>
        <v>0</v>
      </c>
      <c r="L148" s="2273" t="s">
        <v>2974</v>
      </c>
      <c r="M148" s="1328"/>
    </row>
    <row r="149" spans="1:13" s="1329" customFormat="1" ht="24" customHeight="1">
      <c r="A149" s="791"/>
      <c r="B149" s="1127" t="s">
        <v>1185</v>
      </c>
      <c r="C149" s="1233"/>
      <c r="D149" s="792"/>
      <c r="E149" s="1345"/>
      <c r="F149" s="1140" t="s">
        <v>240</v>
      </c>
      <c r="G149" s="1504">
        <v>1316</v>
      </c>
      <c r="H149" s="796">
        <f t="shared" si="27"/>
        <v>0</v>
      </c>
      <c r="I149" s="849">
        <v>200</v>
      </c>
      <c r="J149" s="1476">
        <f t="shared" si="28"/>
        <v>0</v>
      </c>
      <c r="K149" s="1014">
        <f t="shared" si="29"/>
        <v>0</v>
      </c>
      <c r="L149" s="2273" t="s">
        <v>2974</v>
      </c>
      <c r="M149" s="1328"/>
    </row>
    <row r="150" spans="1:13" s="1329" customFormat="1" ht="24" customHeight="1">
      <c r="A150" s="791"/>
      <c r="B150" s="1127" t="s">
        <v>1186</v>
      </c>
      <c r="C150" s="1233"/>
      <c r="D150" s="792"/>
      <c r="E150" s="1345">
        <f>E74*2</f>
        <v>34</v>
      </c>
      <c r="F150" s="1140" t="s">
        <v>240</v>
      </c>
      <c r="G150" s="1504">
        <v>1984</v>
      </c>
      <c r="H150" s="796">
        <f t="shared" si="27"/>
        <v>67456</v>
      </c>
      <c r="I150" s="849">
        <v>250</v>
      </c>
      <c r="J150" s="1476">
        <f t="shared" si="28"/>
        <v>8500</v>
      </c>
      <c r="K150" s="1014">
        <f t="shared" si="29"/>
        <v>75956</v>
      </c>
      <c r="L150" s="2273" t="s">
        <v>2974</v>
      </c>
      <c r="M150" s="1328"/>
    </row>
    <row r="151" spans="1:13" s="1329" customFormat="1" ht="24" customHeight="1">
      <c r="A151" s="791"/>
      <c r="B151" s="1127" t="s">
        <v>1187</v>
      </c>
      <c r="C151" s="1233"/>
      <c r="D151" s="792"/>
      <c r="E151" s="1345"/>
      <c r="F151" s="1140" t="s">
        <v>240</v>
      </c>
      <c r="G151" s="1504">
        <v>2610</v>
      </c>
      <c r="H151" s="796">
        <f t="shared" si="27"/>
        <v>0</v>
      </c>
      <c r="I151" s="849">
        <v>300</v>
      </c>
      <c r="J151" s="1476">
        <f t="shared" si="28"/>
        <v>0</v>
      </c>
      <c r="K151" s="1014">
        <f t="shared" si="29"/>
        <v>0</v>
      </c>
      <c r="L151" s="2273" t="s">
        <v>2974</v>
      </c>
      <c r="M151" s="1328"/>
    </row>
    <row r="152" spans="1:13" s="1329" customFormat="1" ht="24" customHeight="1">
      <c r="A152" s="791"/>
      <c r="B152" s="1127" t="s">
        <v>1188</v>
      </c>
      <c r="C152" s="1233"/>
      <c r="D152" s="792"/>
      <c r="E152" s="1345"/>
      <c r="F152" s="1140" t="s">
        <v>240</v>
      </c>
      <c r="G152" s="1504">
        <v>4040</v>
      </c>
      <c r="H152" s="796">
        <f t="shared" si="27"/>
        <v>0</v>
      </c>
      <c r="I152" s="849">
        <v>400</v>
      </c>
      <c r="J152" s="1476">
        <f t="shared" si="28"/>
        <v>0</v>
      </c>
      <c r="K152" s="1014">
        <f t="shared" si="29"/>
        <v>0</v>
      </c>
      <c r="L152" s="2273" t="s">
        <v>2974</v>
      </c>
      <c r="M152" s="1328"/>
    </row>
    <row r="153" spans="1:13" s="1329" customFormat="1" ht="24" customHeight="1">
      <c r="A153" s="1330" t="s">
        <v>1980</v>
      </c>
      <c r="B153" s="1331" t="s">
        <v>1942</v>
      </c>
      <c r="C153" s="1349"/>
      <c r="D153" s="801"/>
      <c r="E153" s="966"/>
      <c r="F153" s="1249"/>
      <c r="G153" s="1394"/>
      <c r="H153" s="864"/>
      <c r="I153" s="1394"/>
      <c r="J153" s="1395"/>
      <c r="K153" s="966"/>
      <c r="L153" s="966"/>
      <c r="M153" s="1328"/>
    </row>
    <row r="154" spans="1:13" s="1329" customFormat="1" ht="24" customHeight="1">
      <c r="A154" s="1330"/>
      <c r="B154" s="1331" t="s">
        <v>1184</v>
      </c>
      <c r="C154" s="1349"/>
      <c r="D154" s="890"/>
      <c r="E154" s="966"/>
      <c r="F154" s="1348" t="s">
        <v>240</v>
      </c>
      <c r="G154" s="1394"/>
      <c r="H154" s="905"/>
      <c r="I154" s="1406"/>
      <c r="J154" s="1395"/>
      <c r="K154" s="1030"/>
      <c r="L154" s="966"/>
      <c r="M154" s="1328"/>
    </row>
    <row r="155" spans="1:13" s="1329" customFormat="1" ht="24" customHeight="1">
      <c r="A155" s="1330"/>
      <c r="B155" s="1331" t="s">
        <v>1185</v>
      </c>
      <c r="C155" s="1349"/>
      <c r="D155" s="890"/>
      <c r="E155" s="966"/>
      <c r="F155" s="1348" t="s">
        <v>240</v>
      </c>
      <c r="G155" s="1394"/>
      <c r="H155" s="905"/>
      <c r="I155" s="1406"/>
      <c r="J155" s="1407"/>
      <c r="K155" s="1030"/>
      <c r="L155" s="966"/>
      <c r="M155" s="1328"/>
    </row>
    <row r="156" spans="1:13" s="1329" customFormat="1" ht="24" customHeight="1">
      <c r="A156" s="1330"/>
      <c r="B156" s="1331" t="s">
        <v>1186</v>
      </c>
      <c r="C156" s="1349"/>
      <c r="D156" s="890"/>
      <c r="E156" s="966">
        <f>E150</f>
        <v>34</v>
      </c>
      <c r="F156" s="1348" t="s">
        <v>240</v>
      </c>
      <c r="G156" s="1394">
        <f>3700*0.5</f>
        <v>1850</v>
      </c>
      <c r="H156" s="796">
        <f t="shared" ref="H156" si="30">ROUND(E156*G156,)</f>
        <v>62900</v>
      </c>
      <c r="I156" s="849">
        <v>250</v>
      </c>
      <c r="J156" s="1476">
        <f t="shared" ref="J156" si="31">ROUND(E156*I156,)</f>
        <v>8500</v>
      </c>
      <c r="K156" s="1014">
        <f t="shared" ref="K156" si="32">H156+J156</f>
        <v>71400</v>
      </c>
      <c r="L156" s="966"/>
      <c r="M156" s="1328"/>
    </row>
    <row r="157" spans="1:13" s="1329" customFormat="1" ht="24" customHeight="1">
      <c r="A157" s="1330"/>
      <c r="B157" s="1127" t="s">
        <v>1187</v>
      </c>
      <c r="C157" s="1233"/>
      <c r="D157" s="792"/>
      <c r="E157" s="1345"/>
      <c r="F157" s="1140" t="s">
        <v>240</v>
      </c>
      <c r="G157" s="1394"/>
      <c r="H157" s="905"/>
      <c r="I157" s="1406"/>
      <c r="J157" s="1407"/>
      <c r="K157" s="1030"/>
      <c r="L157" s="966"/>
      <c r="M157" s="1328"/>
    </row>
    <row r="158" spans="1:13" s="1329" customFormat="1" ht="24" customHeight="1">
      <c r="A158" s="1330"/>
      <c r="B158" s="1127" t="s">
        <v>1188</v>
      </c>
      <c r="C158" s="1233"/>
      <c r="D158" s="792"/>
      <c r="E158" s="1345"/>
      <c r="F158" s="1140" t="s">
        <v>240</v>
      </c>
      <c r="G158" s="1394"/>
      <c r="H158" s="905"/>
      <c r="I158" s="1406"/>
      <c r="J158" s="1407"/>
      <c r="K158" s="1030"/>
      <c r="L158" s="966"/>
      <c r="M158" s="1328"/>
    </row>
    <row r="159" spans="1:13" s="1329" customFormat="1" ht="24" customHeight="1">
      <c r="A159" s="1330"/>
      <c r="B159" s="1127"/>
      <c r="C159" s="1233"/>
      <c r="D159" s="792"/>
      <c r="E159" s="1345"/>
      <c r="F159" s="1140"/>
      <c r="G159" s="1394"/>
      <c r="H159" s="905"/>
      <c r="I159" s="1406"/>
      <c r="J159" s="1407"/>
      <c r="K159" s="1030"/>
      <c r="L159" s="966"/>
      <c r="M159" s="1328"/>
    </row>
    <row r="160" spans="1:13" s="1329" customFormat="1" ht="24" customHeight="1">
      <c r="A160" s="1330" t="s">
        <v>1981</v>
      </c>
      <c r="B160" s="1331" t="s">
        <v>1656</v>
      </c>
      <c r="C160" s="1349"/>
      <c r="D160" s="801"/>
      <c r="E160" s="966"/>
      <c r="F160" s="1249"/>
      <c r="G160" s="1394"/>
      <c r="H160" s="864"/>
      <c r="I160" s="1394"/>
      <c r="J160" s="1395"/>
      <c r="K160" s="966"/>
      <c r="L160" s="966"/>
      <c r="M160" s="1328"/>
    </row>
    <row r="161" spans="1:13" s="1329" customFormat="1" ht="24" customHeight="1">
      <c r="A161" s="1330"/>
      <c r="B161" s="1331" t="s">
        <v>1185</v>
      </c>
      <c r="C161" s="1349"/>
      <c r="D161" s="801"/>
      <c r="E161" s="966"/>
      <c r="F161" s="1249" t="s">
        <v>240</v>
      </c>
      <c r="G161" s="1394"/>
      <c r="H161" s="864"/>
      <c r="I161" s="1394"/>
      <c r="J161" s="1395"/>
      <c r="K161" s="966"/>
      <c r="L161" s="1022"/>
      <c r="M161" s="1328"/>
    </row>
    <row r="162" spans="1:13" s="1329" customFormat="1" ht="24" customHeight="1">
      <c r="A162" s="1330" t="s">
        <v>1982</v>
      </c>
      <c r="B162" s="1331" t="s">
        <v>1940</v>
      </c>
      <c r="C162" s="1349"/>
      <c r="D162" s="801"/>
      <c r="E162" s="966"/>
      <c r="F162" s="1249"/>
      <c r="G162" s="1394"/>
      <c r="H162" s="864"/>
      <c r="I162" s="1394"/>
      <c r="J162" s="1395"/>
      <c r="K162" s="966"/>
      <c r="L162" s="966"/>
      <c r="M162" s="1328"/>
    </row>
    <row r="163" spans="1:13" s="1329" customFormat="1" ht="24" customHeight="1">
      <c r="A163" s="791"/>
      <c r="B163" s="1127" t="s">
        <v>1184</v>
      </c>
      <c r="C163" s="1233"/>
      <c r="D163" s="792"/>
      <c r="E163" s="1501"/>
      <c r="F163" s="1502" t="s">
        <v>240</v>
      </c>
      <c r="G163" s="1479">
        <v>350</v>
      </c>
      <c r="H163" s="1499">
        <f t="shared" ref="H163:H166" si="33">ROUND(E163*G163,)</f>
        <v>0</v>
      </c>
      <c r="I163" s="1480">
        <v>150</v>
      </c>
      <c r="J163" s="1500">
        <f t="shared" ref="J163:J166" si="34">ROUND(E163*I163,)</f>
        <v>0</v>
      </c>
      <c r="K163" s="1403">
        <f t="shared" ref="K163:K166" si="35">H163+J163</f>
        <v>0</v>
      </c>
      <c r="L163" s="1014"/>
      <c r="M163" s="1328"/>
    </row>
    <row r="164" spans="1:13" s="1329" customFormat="1" ht="24" customHeight="1">
      <c r="A164" s="791"/>
      <c r="B164" s="1127" t="s">
        <v>1186</v>
      </c>
      <c r="C164" s="1233"/>
      <c r="D164" s="792"/>
      <c r="E164" s="1345">
        <f>E154/2</f>
        <v>0</v>
      </c>
      <c r="F164" s="1140" t="s">
        <v>240</v>
      </c>
      <c r="G164" s="1257">
        <v>1084</v>
      </c>
      <c r="H164" s="796">
        <f t="shared" si="33"/>
        <v>0</v>
      </c>
      <c r="I164" s="849">
        <v>250</v>
      </c>
      <c r="J164" s="1476">
        <f t="shared" si="34"/>
        <v>0</v>
      </c>
      <c r="K164" s="1014">
        <f t="shared" si="35"/>
        <v>0</v>
      </c>
      <c r="L164" s="1014"/>
      <c r="M164" s="1328"/>
    </row>
    <row r="165" spans="1:13" s="1329" customFormat="1" ht="24" customHeight="1">
      <c r="A165" s="791"/>
      <c r="B165" s="1127" t="s">
        <v>1187</v>
      </c>
      <c r="C165" s="1233"/>
      <c r="D165" s="792"/>
      <c r="E165" s="1345"/>
      <c r="F165" s="1140" t="s">
        <v>240</v>
      </c>
      <c r="G165" s="1257">
        <v>1710</v>
      </c>
      <c r="H165" s="796">
        <f t="shared" si="33"/>
        <v>0</v>
      </c>
      <c r="I165" s="849">
        <v>300</v>
      </c>
      <c r="J165" s="1476">
        <f t="shared" si="34"/>
        <v>0</v>
      </c>
      <c r="K165" s="1014">
        <f t="shared" si="35"/>
        <v>0</v>
      </c>
      <c r="L165" s="1014"/>
      <c r="M165" s="1328"/>
    </row>
    <row r="166" spans="1:13" s="1329" customFormat="1" ht="24" customHeight="1">
      <c r="A166" s="791"/>
      <c r="B166" s="1127" t="s">
        <v>1188</v>
      </c>
      <c r="C166" s="1233"/>
      <c r="D166" s="792"/>
      <c r="E166" s="1345"/>
      <c r="F166" s="1140" t="s">
        <v>240</v>
      </c>
      <c r="G166" s="1504">
        <v>2839</v>
      </c>
      <c r="H166" s="796">
        <f t="shared" si="33"/>
        <v>0</v>
      </c>
      <c r="I166" s="849">
        <v>400</v>
      </c>
      <c r="J166" s="1476">
        <f t="shared" si="34"/>
        <v>0</v>
      </c>
      <c r="K166" s="1014">
        <f t="shared" si="35"/>
        <v>0</v>
      </c>
      <c r="L166" s="1014"/>
      <c r="M166" s="1328"/>
    </row>
    <row r="167" spans="1:13" s="1329" customFormat="1" ht="24" customHeight="1">
      <c r="A167" s="1330"/>
      <c r="B167" s="1331" t="s">
        <v>957</v>
      </c>
      <c r="C167" s="1349"/>
      <c r="D167" s="890"/>
      <c r="E167" s="966"/>
      <c r="F167" s="1348"/>
      <c r="G167" s="1394"/>
      <c r="H167" s="905"/>
      <c r="I167" s="1406"/>
      <c r="J167" s="1407"/>
      <c r="K167" s="1030"/>
      <c r="L167" s="1030"/>
      <c r="M167" s="1328"/>
    </row>
    <row r="168" spans="1:13" s="1329" customFormat="1" ht="24" customHeight="1">
      <c r="A168" s="1330"/>
      <c r="B168" s="1331" t="s">
        <v>958</v>
      </c>
      <c r="C168" s="1349"/>
      <c r="D168" s="890"/>
      <c r="E168" s="966"/>
      <c r="F168" s="1348"/>
      <c r="G168" s="1394"/>
      <c r="H168" s="905"/>
      <c r="I168" s="1406"/>
      <c r="J168" s="1407"/>
      <c r="K168" s="1030"/>
      <c r="L168" s="1030"/>
      <c r="M168" s="1328"/>
    </row>
    <row r="169" spans="1:13" s="1329" customFormat="1" ht="24" customHeight="1">
      <c r="A169" s="1330"/>
      <c r="B169" s="1331" t="s">
        <v>958</v>
      </c>
      <c r="C169" s="1349"/>
      <c r="D169" s="890"/>
      <c r="E169" s="966"/>
      <c r="F169" s="1348"/>
      <c r="G169" s="1394"/>
      <c r="H169" s="905"/>
      <c r="I169" s="1406"/>
      <c r="J169" s="1407"/>
      <c r="K169" s="1030"/>
      <c r="L169" s="1030"/>
      <c r="M169" s="1328"/>
    </row>
    <row r="170" spans="1:13" s="1329" customFormat="1" ht="24" customHeight="1">
      <c r="A170" s="1510"/>
      <c r="B170" s="2475" t="str">
        <f>"รวมราคารายการที่ "&amp;A146</f>
        <v>รวมราคารายการที่ 7.8</v>
      </c>
      <c r="C170" s="2476"/>
      <c r="D170" s="2476"/>
      <c r="E170" s="1511"/>
      <c r="F170" s="1512"/>
      <c r="G170" s="1513"/>
      <c r="H170" s="1514">
        <f>SUM(H146:H169)</f>
        <v>130356</v>
      </c>
      <c r="I170" s="1515"/>
      <c r="J170" s="1516">
        <f>SUM(J146:J169)</f>
        <v>17000</v>
      </c>
      <c r="K170" s="1517">
        <f>SUM(K146:K169)</f>
        <v>147356</v>
      </c>
      <c r="L170" s="1517"/>
      <c r="M170" s="1328"/>
    </row>
    <row r="171" spans="1:13" s="1329" customFormat="1" ht="24" customHeight="1">
      <c r="A171" s="1325">
        <v>7.9</v>
      </c>
      <c r="B171" s="1326" t="s">
        <v>1948</v>
      </c>
      <c r="C171" s="1347"/>
      <c r="D171" s="901"/>
      <c r="E171" s="1019"/>
      <c r="F171" s="1310"/>
      <c r="G171" s="1400"/>
      <c r="H171" s="864"/>
      <c r="I171" s="1400"/>
      <c r="J171" s="1395"/>
      <c r="K171" s="966"/>
      <c r="L171" s="1019"/>
      <c r="M171" s="1328"/>
    </row>
    <row r="172" spans="1:13" s="1329" customFormat="1" ht="24" customHeight="1">
      <c r="A172" s="1334" t="s">
        <v>2040</v>
      </c>
      <c r="B172" s="1335" t="s">
        <v>1950</v>
      </c>
      <c r="C172" s="1352"/>
      <c r="D172" s="890"/>
      <c r="E172" s="1337"/>
      <c r="F172" s="1249"/>
      <c r="G172" s="1394"/>
      <c r="H172" s="864"/>
      <c r="I172" s="1394"/>
      <c r="J172" s="1395"/>
      <c r="K172" s="966"/>
      <c r="L172" s="966"/>
      <c r="M172" s="1328"/>
    </row>
    <row r="173" spans="1:13" s="1329" customFormat="1" ht="24" customHeight="1">
      <c r="A173" s="1330"/>
      <c r="B173" s="1331" t="s">
        <v>2035</v>
      </c>
      <c r="C173" s="1349"/>
      <c r="D173" s="801"/>
      <c r="E173" s="966">
        <v>179</v>
      </c>
      <c r="F173" s="1249" t="s">
        <v>1952</v>
      </c>
      <c r="G173" s="1406">
        <v>218</v>
      </c>
      <c r="H173" s="864">
        <f t="shared" ref="H173:H179" si="36">ROUND(E173*G173,)</f>
        <v>39022</v>
      </c>
      <c r="I173" s="1406">
        <v>194</v>
      </c>
      <c r="J173" s="1395">
        <f t="shared" ref="J173:J179" si="37">ROUND(E173*I173,)</f>
        <v>34726</v>
      </c>
      <c r="K173" s="966">
        <f t="shared" ref="K173:K179" si="38">H173+J173</f>
        <v>73748</v>
      </c>
      <c r="L173" s="966"/>
      <c r="M173" s="1527"/>
    </row>
    <row r="174" spans="1:13" s="1329" customFormat="1" ht="24" customHeight="1">
      <c r="A174" s="1330"/>
      <c r="B174" s="1331" t="s">
        <v>2036</v>
      </c>
      <c r="C174" s="1349"/>
      <c r="D174" s="801"/>
      <c r="E174" s="966">
        <v>176</v>
      </c>
      <c r="F174" s="1249" t="s">
        <v>1952</v>
      </c>
      <c r="G174" s="1406">
        <v>263</v>
      </c>
      <c r="H174" s="864">
        <f t="shared" si="36"/>
        <v>46288</v>
      </c>
      <c r="I174" s="1406">
        <v>259</v>
      </c>
      <c r="J174" s="1395">
        <f t="shared" si="37"/>
        <v>45584</v>
      </c>
      <c r="K174" s="966">
        <f t="shared" si="38"/>
        <v>91872</v>
      </c>
      <c r="L174" s="966"/>
      <c r="M174" s="1527"/>
    </row>
    <row r="175" spans="1:13" s="1329" customFormat="1" ht="24" customHeight="1">
      <c r="A175" s="1330"/>
      <c r="B175" s="1331" t="s">
        <v>1951</v>
      </c>
      <c r="C175" s="1349"/>
      <c r="D175" s="801"/>
      <c r="E175" s="966">
        <v>325</v>
      </c>
      <c r="F175" s="1249" t="s">
        <v>1952</v>
      </c>
      <c r="G175" s="1406">
        <v>314</v>
      </c>
      <c r="H175" s="864">
        <f t="shared" si="36"/>
        <v>102050</v>
      </c>
      <c r="I175" s="1406">
        <v>269</v>
      </c>
      <c r="J175" s="1395">
        <f t="shared" si="37"/>
        <v>87425</v>
      </c>
      <c r="K175" s="966">
        <f t="shared" si="38"/>
        <v>189475</v>
      </c>
      <c r="L175" s="966"/>
      <c r="M175" s="1328"/>
    </row>
    <row r="176" spans="1:13" s="1329" customFormat="1" ht="24" customHeight="1">
      <c r="A176" s="1330"/>
      <c r="B176" s="1331" t="s">
        <v>1953</v>
      </c>
      <c r="C176" s="1349"/>
      <c r="D176" s="801"/>
      <c r="E176" s="966">
        <v>1</v>
      </c>
      <c r="F176" s="1249" t="s">
        <v>1952</v>
      </c>
      <c r="G176" s="1406">
        <v>381</v>
      </c>
      <c r="H176" s="864">
        <f t="shared" si="36"/>
        <v>381</v>
      </c>
      <c r="I176" s="1406">
        <v>323</v>
      </c>
      <c r="J176" s="1395">
        <f t="shared" si="37"/>
        <v>323</v>
      </c>
      <c r="K176" s="966">
        <f t="shared" si="38"/>
        <v>704</v>
      </c>
      <c r="L176" s="966"/>
      <c r="M176" s="1328"/>
    </row>
    <row r="177" spans="1:13" s="1329" customFormat="1" ht="24" customHeight="1">
      <c r="A177" s="1330"/>
      <c r="B177" s="1331" t="s">
        <v>1954</v>
      </c>
      <c r="C177" s="1349"/>
      <c r="D177" s="801"/>
      <c r="E177" s="966"/>
      <c r="F177" s="1249" t="s">
        <v>1952</v>
      </c>
      <c r="G177" s="1406">
        <v>443</v>
      </c>
      <c r="H177" s="864">
        <f t="shared" si="36"/>
        <v>0</v>
      </c>
      <c r="I177" s="1406">
        <v>377</v>
      </c>
      <c r="J177" s="1395">
        <f t="shared" si="37"/>
        <v>0</v>
      </c>
      <c r="K177" s="966">
        <f t="shared" si="38"/>
        <v>0</v>
      </c>
      <c r="L177" s="966"/>
      <c r="M177" s="1328"/>
    </row>
    <row r="178" spans="1:13" s="1329" customFormat="1" ht="24" customHeight="1">
      <c r="A178" s="1330"/>
      <c r="B178" s="1331" t="s">
        <v>1645</v>
      </c>
      <c r="C178" s="1349"/>
      <c r="D178" s="801"/>
      <c r="E178" s="966">
        <v>1</v>
      </c>
      <c r="F178" s="1249" t="s">
        <v>948</v>
      </c>
      <c r="G178" s="1394">
        <f>ROUND(SUM(H173:H177)*40%,)</f>
        <v>75096</v>
      </c>
      <c r="H178" s="864">
        <f t="shared" si="36"/>
        <v>75096</v>
      </c>
      <c r="I178" s="1394">
        <f>ROUND(G178*30%,)</f>
        <v>22529</v>
      </c>
      <c r="J178" s="1395">
        <f t="shared" si="37"/>
        <v>22529</v>
      </c>
      <c r="K178" s="966">
        <f t="shared" si="38"/>
        <v>97625</v>
      </c>
      <c r="L178" s="966"/>
      <c r="M178" s="1328"/>
    </row>
    <row r="179" spans="1:13" s="1329" customFormat="1" ht="24" customHeight="1">
      <c r="A179" s="1330"/>
      <c r="B179" s="1331" t="s">
        <v>1646</v>
      </c>
      <c r="C179" s="1349"/>
      <c r="D179" s="801"/>
      <c r="E179" s="966">
        <v>1</v>
      </c>
      <c r="F179" s="1249" t="s">
        <v>948</v>
      </c>
      <c r="G179" s="1394">
        <f>ROUND(SUM(H173:H177)*15%,)</f>
        <v>28161</v>
      </c>
      <c r="H179" s="864">
        <f t="shared" si="36"/>
        <v>28161</v>
      </c>
      <c r="I179" s="1394">
        <f>ROUND(G179*30%,)</f>
        <v>8448</v>
      </c>
      <c r="J179" s="1395">
        <f t="shared" si="37"/>
        <v>8448</v>
      </c>
      <c r="K179" s="966">
        <f t="shared" si="38"/>
        <v>36609</v>
      </c>
      <c r="L179" s="966"/>
      <c r="M179" s="1328"/>
    </row>
    <row r="180" spans="1:13" s="1329" customFormat="1" ht="24" customHeight="1">
      <c r="A180" s="1355"/>
      <c r="B180" s="1331" t="s">
        <v>957</v>
      </c>
      <c r="C180" s="1349"/>
      <c r="D180" s="890"/>
      <c r="E180" s="966"/>
      <c r="F180" s="1348"/>
      <c r="G180" s="1394"/>
      <c r="H180" s="905"/>
      <c r="I180" s="1406"/>
      <c r="J180" s="1407"/>
      <c r="K180" s="1030"/>
      <c r="L180" s="1030"/>
      <c r="M180" s="1328"/>
    </row>
    <row r="181" spans="1:13" s="1329" customFormat="1" ht="24" customHeight="1">
      <c r="A181" s="1355"/>
      <c r="B181" s="1331" t="s">
        <v>958</v>
      </c>
      <c r="C181" s="1349"/>
      <c r="D181" s="890"/>
      <c r="E181" s="966"/>
      <c r="F181" s="1348"/>
      <c r="G181" s="1394"/>
      <c r="H181" s="905"/>
      <c r="I181" s="1406"/>
      <c r="J181" s="1407"/>
      <c r="K181" s="1030"/>
      <c r="L181" s="1030"/>
      <c r="M181" s="1328"/>
    </row>
    <row r="182" spans="1:13" s="1329" customFormat="1" ht="24" customHeight="1">
      <c r="A182" s="1355"/>
      <c r="B182" s="1331" t="s">
        <v>958</v>
      </c>
      <c r="C182" s="1349"/>
      <c r="D182" s="890"/>
      <c r="E182" s="966"/>
      <c r="F182" s="1348"/>
      <c r="G182" s="1394"/>
      <c r="H182" s="905"/>
      <c r="I182" s="1406"/>
      <c r="J182" s="1407"/>
      <c r="K182" s="1030"/>
      <c r="L182" s="1030"/>
      <c r="M182" s="1328"/>
    </row>
    <row r="183" spans="1:13" s="1329" customFormat="1" ht="24" customHeight="1">
      <c r="A183" s="1355"/>
      <c r="B183" s="1331"/>
      <c r="C183" s="1349"/>
      <c r="D183" s="890"/>
      <c r="E183" s="966"/>
      <c r="F183" s="1348"/>
      <c r="G183" s="1394"/>
      <c r="H183" s="905"/>
      <c r="I183" s="1406"/>
      <c r="J183" s="1407"/>
      <c r="K183" s="1030"/>
      <c r="L183" s="1030"/>
      <c r="M183" s="1328"/>
    </row>
    <row r="184" spans="1:13" s="714" customFormat="1" ht="24" customHeight="1">
      <c r="A184" s="1510"/>
      <c r="B184" s="2475" t="str">
        <f>"รวมราคารายการที่ "&amp;A171</f>
        <v>รวมราคารายการที่ 7.9</v>
      </c>
      <c r="C184" s="2476"/>
      <c r="D184" s="2476"/>
      <c r="E184" s="1511"/>
      <c r="F184" s="1512"/>
      <c r="G184" s="1513"/>
      <c r="H184" s="1514">
        <f>SUM(H171:H183)</f>
        <v>290998</v>
      </c>
      <c r="I184" s="1515"/>
      <c r="J184" s="1516">
        <f>SUM(J171:J183)</f>
        <v>199035</v>
      </c>
      <c r="K184" s="1517">
        <f>SUM(K171:K183)</f>
        <v>490033</v>
      </c>
      <c r="L184" s="1517"/>
      <c r="M184" s="1322"/>
    </row>
    <row r="185" spans="1:13" s="1329" customFormat="1" ht="24" customHeight="1">
      <c r="A185" s="1325" t="s">
        <v>2065</v>
      </c>
      <c r="B185" s="1326" t="s">
        <v>1959</v>
      </c>
      <c r="C185" s="1347"/>
      <c r="D185" s="901"/>
      <c r="E185" s="1019"/>
      <c r="F185" s="1310"/>
      <c r="G185" s="1400"/>
      <c r="H185" s="864"/>
      <c r="I185" s="1400"/>
      <c r="J185" s="1395"/>
      <c r="K185" s="966"/>
      <c r="L185" s="1030"/>
      <c r="M185" s="1328"/>
    </row>
    <row r="186" spans="1:13" s="1329" customFormat="1" ht="24" customHeight="1">
      <c r="A186" s="1330" t="s">
        <v>2067</v>
      </c>
      <c r="B186" s="1331" t="s">
        <v>1961</v>
      </c>
      <c r="C186" s="1349"/>
      <c r="D186" s="890"/>
      <c r="E186" s="966"/>
      <c r="F186" s="1348"/>
      <c r="G186" s="1394"/>
      <c r="H186" s="905"/>
      <c r="I186" s="1406"/>
      <c r="J186" s="1407"/>
      <c r="K186" s="1030"/>
      <c r="L186" s="1030"/>
      <c r="M186" s="1328"/>
    </row>
    <row r="187" spans="1:13" s="1329" customFormat="1" ht="24" customHeight="1">
      <c r="A187" s="1038"/>
      <c r="B187" s="1127" t="s">
        <v>1962</v>
      </c>
      <c r="C187" s="1233"/>
      <c r="D187" s="809"/>
      <c r="E187" s="1345">
        <f>SUM(E173:E177)</f>
        <v>681</v>
      </c>
      <c r="F187" s="874" t="s">
        <v>1952</v>
      </c>
      <c r="G187" s="1257">
        <v>148</v>
      </c>
      <c r="H187" s="854">
        <f t="shared" ref="H187:H190" si="39">ROUND(E187*G187,)</f>
        <v>100788</v>
      </c>
      <c r="I187" s="1477">
        <v>45</v>
      </c>
      <c r="J187" s="1476">
        <f t="shared" ref="J187:J190" si="40">ROUND(E187*I187,)</f>
        <v>30645</v>
      </c>
      <c r="K187" s="1014">
        <f t="shared" ref="K187:K190" si="41">H187+J187</f>
        <v>131433</v>
      </c>
      <c r="L187" s="1007"/>
      <c r="M187" s="1328"/>
    </row>
    <row r="188" spans="1:13" s="1329" customFormat="1" ht="24" customHeight="1">
      <c r="A188" s="1038"/>
      <c r="B188" s="1127" t="s">
        <v>2115</v>
      </c>
      <c r="C188" s="1233"/>
      <c r="D188" s="809"/>
      <c r="E188" s="1345"/>
      <c r="F188" s="874" t="s">
        <v>1952</v>
      </c>
      <c r="G188" s="1257">
        <v>212</v>
      </c>
      <c r="H188" s="854">
        <f t="shared" si="39"/>
        <v>0</v>
      </c>
      <c r="I188" s="1477">
        <v>45</v>
      </c>
      <c r="J188" s="1476">
        <f t="shared" si="40"/>
        <v>0</v>
      </c>
      <c r="K188" s="1014">
        <f t="shared" si="41"/>
        <v>0</v>
      </c>
      <c r="L188" s="1007"/>
      <c r="M188" s="1328"/>
    </row>
    <row r="189" spans="1:13" s="1329" customFormat="1" ht="24" customHeight="1">
      <c r="A189" s="1038"/>
      <c r="B189" s="1127" t="s">
        <v>2116</v>
      </c>
      <c r="C189" s="1233"/>
      <c r="D189" s="809"/>
      <c r="E189" s="1345"/>
      <c r="F189" s="874" t="s">
        <v>1952</v>
      </c>
      <c r="G189" s="1257">
        <v>454</v>
      </c>
      <c r="H189" s="854">
        <f t="shared" si="39"/>
        <v>0</v>
      </c>
      <c r="I189" s="1477">
        <f>G189*0.3</f>
        <v>136.19999999999999</v>
      </c>
      <c r="J189" s="1476">
        <f t="shared" si="40"/>
        <v>0</v>
      </c>
      <c r="K189" s="1014">
        <f t="shared" si="41"/>
        <v>0</v>
      </c>
      <c r="L189" s="1007"/>
      <c r="M189" s="1328"/>
    </row>
    <row r="190" spans="1:13" s="1329" customFormat="1" ht="24" customHeight="1">
      <c r="A190" s="1330" t="s">
        <v>2073</v>
      </c>
      <c r="B190" s="1331" t="s">
        <v>1965</v>
      </c>
      <c r="C190" s="1349"/>
      <c r="D190" s="890"/>
      <c r="E190" s="966">
        <v>1</v>
      </c>
      <c r="F190" s="1348" t="s">
        <v>948</v>
      </c>
      <c r="G190" s="1394">
        <f>E187*40</f>
        <v>27240</v>
      </c>
      <c r="H190" s="854">
        <f t="shared" si="39"/>
        <v>27240</v>
      </c>
      <c r="I190" s="1406">
        <f>E187*15</f>
        <v>10215</v>
      </c>
      <c r="J190" s="1476">
        <f t="shared" si="40"/>
        <v>10215</v>
      </c>
      <c r="K190" s="1014">
        <f t="shared" si="41"/>
        <v>37455</v>
      </c>
      <c r="L190" s="1030"/>
      <c r="M190" s="1328"/>
    </row>
    <row r="191" spans="1:13" s="1329" customFormat="1" ht="24" customHeight="1">
      <c r="A191" s="1355"/>
      <c r="B191" s="1331" t="s">
        <v>957</v>
      </c>
      <c r="C191" s="1349"/>
      <c r="D191" s="890"/>
      <c r="E191" s="966"/>
      <c r="F191" s="1348"/>
      <c r="G191" s="1394"/>
      <c r="H191" s="905"/>
      <c r="I191" s="1406"/>
      <c r="J191" s="1407"/>
      <c r="K191" s="1030"/>
      <c r="L191" s="1030"/>
      <c r="M191" s="1328"/>
    </row>
    <row r="192" spans="1:13" s="1329" customFormat="1" ht="24" customHeight="1">
      <c r="A192" s="1355"/>
      <c r="B192" s="1331" t="s">
        <v>958</v>
      </c>
      <c r="C192" s="1349"/>
      <c r="D192" s="890"/>
      <c r="E192" s="966"/>
      <c r="F192" s="1348"/>
      <c r="G192" s="1394"/>
      <c r="H192" s="905"/>
      <c r="I192" s="1406"/>
      <c r="J192" s="1407"/>
      <c r="K192" s="1030"/>
      <c r="L192" s="1030"/>
      <c r="M192" s="1328"/>
    </row>
    <row r="193" spans="1:14" s="1329" customFormat="1" ht="24" customHeight="1">
      <c r="A193" s="1510"/>
      <c r="B193" s="2509" t="s">
        <v>2409</v>
      </c>
      <c r="C193" s="2510"/>
      <c r="D193" s="2510"/>
      <c r="E193" s="1511"/>
      <c r="F193" s="1512"/>
      <c r="G193" s="1513"/>
      <c r="H193" s="1514">
        <f>SUM(H185:H192)</f>
        <v>128028</v>
      </c>
      <c r="I193" s="1515"/>
      <c r="J193" s="1516">
        <f>SUM(J185:J192)</f>
        <v>40860</v>
      </c>
      <c r="K193" s="1517">
        <f>SUM(K185:K192)</f>
        <v>168888</v>
      </c>
      <c r="L193" s="1517"/>
      <c r="M193" s="1328"/>
    </row>
    <row r="194" spans="1:14" s="1329" customFormat="1" ht="24" customHeight="1">
      <c r="A194" s="1325" t="s">
        <v>2077</v>
      </c>
      <c r="B194" s="1326" t="s">
        <v>1968</v>
      </c>
      <c r="C194" s="1347"/>
      <c r="D194" s="901"/>
      <c r="E194" s="1019"/>
      <c r="F194" s="1310"/>
      <c r="G194" s="1400"/>
      <c r="H194" s="864"/>
      <c r="I194" s="1400"/>
      <c r="J194" s="1395"/>
      <c r="K194" s="966"/>
      <c r="L194" s="1019"/>
      <c r="M194" s="1328"/>
    </row>
    <row r="195" spans="1:14" s="1329" customFormat="1" ht="24" customHeight="1">
      <c r="A195" s="1330" t="s">
        <v>2079</v>
      </c>
      <c r="B195" s="1331" t="s">
        <v>2041</v>
      </c>
      <c r="C195" s="1349"/>
      <c r="D195" s="801"/>
      <c r="E195" s="966"/>
      <c r="F195" s="1249"/>
      <c r="G195" s="1394"/>
      <c r="H195" s="864"/>
      <c r="I195" s="1394"/>
      <c r="J195" s="1395"/>
      <c r="K195" s="966"/>
      <c r="L195" s="966"/>
      <c r="M195" s="1328"/>
    </row>
    <row r="196" spans="1:14" s="1329" customFormat="1" ht="24" customHeight="1">
      <c r="A196" s="1330"/>
      <c r="B196" s="1331" t="str">
        <f t="shared" ref="B196:B204" si="42">"  -  "&amp;M196&amp;" มม."</f>
        <v xml:space="preserve">  -  200x150 มม.</v>
      </c>
      <c r="C196" s="1349"/>
      <c r="D196" s="801"/>
      <c r="E196" s="1350">
        <f t="shared" ref="E196:E204" si="43">N196</f>
        <v>2</v>
      </c>
      <c r="F196" s="1348" t="str">
        <f t="shared" ref="F196:F204" si="44">IF(E196="","","ชุด")</f>
        <v>ชุด</v>
      </c>
      <c r="G196" s="1394">
        <v>500</v>
      </c>
      <c r="H196" s="854">
        <f t="shared" ref="H196:H204" si="45">ROUND(E196*G196,)</f>
        <v>1000</v>
      </c>
      <c r="I196" s="1394">
        <v>100</v>
      </c>
      <c r="J196" s="1395">
        <f t="shared" ref="J196:J204" si="46">ROUND(E196*I196,)</f>
        <v>200</v>
      </c>
      <c r="K196" s="966">
        <f t="shared" ref="K196:K204" si="47">H196+J196</f>
        <v>1200</v>
      </c>
      <c r="L196" s="966"/>
      <c r="M196" s="1420" t="s">
        <v>2199</v>
      </c>
      <c r="N196">
        <v>2</v>
      </c>
    </row>
    <row r="197" spans="1:14" s="1329" customFormat="1" ht="24" customHeight="1">
      <c r="A197" s="1330"/>
      <c r="B197" s="1331" t="str">
        <f t="shared" si="42"/>
        <v xml:space="preserve">  -  200x200 มม.</v>
      </c>
      <c r="C197" s="1349"/>
      <c r="D197" s="801"/>
      <c r="E197" s="1350">
        <f t="shared" si="43"/>
        <v>10</v>
      </c>
      <c r="F197" s="1348" t="str">
        <f t="shared" si="44"/>
        <v>ชุด</v>
      </c>
      <c r="G197" s="1394">
        <v>500</v>
      </c>
      <c r="H197" s="854">
        <f t="shared" si="45"/>
        <v>5000</v>
      </c>
      <c r="I197" s="1394">
        <v>100</v>
      </c>
      <c r="J197" s="1395">
        <f t="shared" si="46"/>
        <v>1000</v>
      </c>
      <c r="K197" s="966">
        <f t="shared" si="47"/>
        <v>6000</v>
      </c>
      <c r="L197" s="1030"/>
      <c r="M197" s="1420" t="s">
        <v>2042</v>
      </c>
      <c r="N197">
        <v>10</v>
      </c>
    </row>
    <row r="198" spans="1:14" s="1329" customFormat="1" ht="24" customHeight="1">
      <c r="A198" s="1330"/>
      <c r="B198" s="1331" t="str">
        <f t="shared" si="42"/>
        <v xml:space="preserve">  -  200x500 มม.</v>
      </c>
      <c r="C198" s="1349"/>
      <c r="D198" s="801"/>
      <c r="E198" s="1350">
        <f t="shared" si="43"/>
        <v>1</v>
      </c>
      <c r="F198" s="1348" t="str">
        <f t="shared" si="44"/>
        <v>ชุด</v>
      </c>
      <c r="G198" s="1394">
        <v>700</v>
      </c>
      <c r="H198" s="854">
        <f t="shared" si="45"/>
        <v>700</v>
      </c>
      <c r="I198" s="1394">
        <v>100</v>
      </c>
      <c r="J198" s="1395">
        <f t="shared" si="46"/>
        <v>100</v>
      </c>
      <c r="K198" s="966">
        <f t="shared" si="47"/>
        <v>800</v>
      </c>
      <c r="L198" s="1030"/>
      <c r="M198" s="1420" t="s">
        <v>2352</v>
      </c>
      <c r="N198">
        <v>1</v>
      </c>
    </row>
    <row r="199" spans="1:14" s="1329" customFormat="1" ht="24" customHeight="1">
      <c r="A199" s="1330"/>
      <c r="B199" s="1331" t="str">
        <f t="shared" si="42"/>
        <v xml:space="preserve">  -  250x200 มม.</v>
      </c>
      <c r="C199" s="1349"/>
      <c r="D199" s="801"/>
      <c r="E199" s="1350">
        <f t="shared" si="43"/>
        <v>2</v>
      </c>
      <c r="F199" s="1348" t="str">
        <f t="shared" si="44"/>
        <v>ชุด</v>
      </c>
      <c r="G199" s="1394">
        <v>500</v>
      </c>
      <c r="H199" s="854">
        <f t="shared" si="45"/>
        <v>1000</v>
      </c>
      <c r="I199" s="1394">
        <v>100</v>
      </c>
      <c r="J199" s="1395">
        <f t="shared" si="46"/>
        <v>200</v>
      </c>
      <c r="K199" s="966">
        <f t="shared" si="47"/>
        <v>1200</v>
      </c>
      <c r="L199" s="1030"/>
      <c r="M199" s="1420" t="s">
        <v>2056</v>
      </c>
      <c r="N199">
        <v>2</v>
      </c>
    </row>
    <row r="200" spans="1:14" s="1329" customFormat="1" ht="24" customHeight="1">
      <c r="A200" s="1330"/>
      <c r="B200" s="1331" t="str">
        <f t="shared" si="42"/>
        <v xml:space="preserve">  -  300x250 มม.</v>
      </c>
      <c r="C200" s="1349"/>
      <c r="D200" s="801"/>
      <c r="E200" s="1350">
        <f t="shared" si="43"/>
        <v>32</v>
      </c>
      <c r="F200" s="1348" t="str">
        <f t="shared" si="44"/>
        <v>ชุด</v>
      </c>
      <c r="G200" s="1394">
        <v>500</v>
      </c>
      <c r="H200" s="854">
        <f t="shared" si="45"/>
        <v>16000</v>
      </c>
      <c r="I200" s="1394">
        <v>100</v>
      </c>
      <c r="J200" s="1395">
        <f t="shared" si="46"/>
        <v>3200</v>
      </c>
      <c r="K200" s="966">
        <f t="shared" si="47"/>
        <v>19200</v>
      </c>
      <c r="L200" s="1030"/>
      <c r="M200" s="1420" t="s">
        <v>2200</v>
      </c>
      <c r="N200">
        <v>32</v>
      </c>
    </row>
    <row r="201" spans="1:14" s="1329" customFormat="1" ht="24" customHeight="1">
      <c r="A201" s="1330"/>
      <c r="B201" s="1331" t="str">
        <f t="shared" si="42"/>
        <v xml:space="preserve">  -  350x350 มม.</v>
      </c>
      <c r="C201" s="1349"/>
      <c r="D201" s="801"/>
      <c r="E201" s="1350">
        <f t="shared" si="43"/>
        <v>4</v>
      </c>
      <c r="F201" s="1348" t="str">
        <f t="shared" si="44"/>
        <v>ชุด</v>
      </c>
      <c r="G201" s="1394">
        <v>500</v>
      </c>
      <c r="H201" s="854">
        <f t="shared" si="45"/>
        <v>2000</v>
      </c>
      <c r="I201" s="1394">
        <v>100</v>
      </c>
      <c r="J201" s="1395">
        <f t="shared" si="46"/>
        <v>400</v>
      </c>
      <c r="K201" s="966">
        <f t="shared" si="47"/>
        <v>2400</v>
      </c>
      <c r="L201" s="1030"/>
      <c r="M201" s="1420" t="s">
        <v>2410</v>
      </c>
      <c r="N201">
        <v>4</v>
      </c>
    </row>
    <row r="202" spans="1:14" s="1329" customFormat="1" ht="24" customHeight="1">
      <c r="A202" s="1330"/>
      <c r="B202" s="1331" t="str">
        <f t="shared" si="42"/>
        <v xml:space="preserve">  -  650x650 มม.</v>
      </c>
      <c r="C202" s="1349"/>
      <c r="D202" s="801"/>
      <c r="E202" s="1350">
        <f t="shared" si="43"/>
        <v>4</v>
      </c>
      <c r="F202" s="1348" t="str">
        <f t="shared" si="44"/>
        <v>ชุด</v>
      </c>
      <c r="G202" s="1394">
        <v>1300</v>
      </c>
      <c r="H202" s="854">
        <f t="shared" si="45"/>
        <v>5200</v>
      </c>
      <c r="I202" s="1394">
        <v>100</v>
      </c>
      <c r="J202" s="1395">
        <f t="shared" si="46"/>
        <v>400</v>
      </c>
      <c r="K202" s="966">
        <f t="shared" si="47"/>
        <v>5600</v>
      </c>
      <c r="L202" s="1030"/>
      <c r="M202" s="1420" t="s">
        <v>2045</v>
      </c>
      <c r="N202">
        <v>4</v>
      </c>
    </row>
    <row r="203" spans="1:14" s="1329" customFormat="1" ht="24" customHeight="1">
      <c r="A203" s="1330"/>
      <c r="B203" s="1331" t="str">
        <f t="shared" si="42"/>
        <v xml:space="preserve">  -  150x150 มม.</v>
      </c>
      <c r="C203" s="1349"/>
      <c r="D203" s="801"/>
      <c r="E203" s="1350">
        <f t="shared" si="43"/>
        <v>3</v>
      </c>
      <c r="F203" s="1348" t="str">
        <f t="shared" si="44"/>
        <v>ชุด</v>
      </c>
      <c r="G203" s="1394">
        <v>500</v>
      </c>
      <c r="H203" s="854">
        <f t="shared" si="45"/>
        <v>1500</v>
      </c>
      <c r="I203" s="1394">
        <v>100</v>
      </c>
      <c r="J203" s="1395">
        <f t="shared" si="46"/>
        <v>300</v>
      </c>
      <c r="K203" s="966">
        <f t="shared" si="47"/>
        <v>1800</v>
      </c>
      <c r="L203" s="1030"/>
      <c r="M203" s="1420" t="s">
        <v>2225</v>
      </c>
      <c r="N203">
        <v>3</v>
      </c>
    </row>
    <row r="204" spans="1:14" s="1329" customFormat="1" ht="24" customHeight="1">
      <c r="A204" s="1330"/>
      <c r="B204" s="1331" t="str">
        <f t="shared" si="42"/>
        <v xml:space="preserve">  -  500x500 มม.</v>
      </c>
      <c r="C204" s="1349"/>
      <c r="D204" s="801"/>
      <c r="E204" s="1350">
        <f t="shared" si="43"/>
        <v>2</v>
      </c>
      <c r="F204" s="1348" t="str">
        <f t="shared" si="44"/>
        <v>ชุด</v>
      </c>
      <c r="G204" s="1394">
        <v>1000</v>
      </c>
      <c r="H204" s="854">
        <f t="shared" si="45"/>
        <v>2000</v>
      </c>
      <c r="I204" s="1406">
        <v>200</v>
      </c>
      <c r="J204" s="1395">
        <f t="shared" si="46"/>
        <v>400</v>
      </c>
      <c r="K204" s="966">
        <f t="shared" si="47"/>
        <v>2400</v>
      </c>
      <c r="L204" s="1030"/>
      <c r="M204" s="1420" t="s">
        <v>2043</v>
      </c>
      <c r="N204">
        <v>2</v>
      </c>
    </row>
    <row r="205" spans="1:14" s="1329" customFormat="1" ht="24" customHeight="1">
      <c r="A205" s="1330" t="s">
        <v>2196</v>
      </c>
      <c r="B205" s="1335" t="s">
        <v>2049</v>
      </c>
      <c r="C205" s="1349"/>
      <c r="D205" s="890"/>
      <c r="E205" s="966"/>
      <c r="F205" s="1348"/>
      <c r="G205" s="1394"/>
      <c r="H205" s="905"/>
      <c r="I205" s="1406"/>
      <c r="J205" s="1407"/>
      <c r="K205" s="1030"/>
      <c r="L205" s="1030"/>
      <c r="M205" s="1328"/>
    </row>
    <row r="206" spans="1:14" s="1329" customFormat="1" ht="24" customHeight="1">
      <c r="A206" s="1330"/>
      <c r="B206" s="1331" t="str">
        <f t="shared" ref="B206" si="48">"  -  "&amp;M206&amp;" มม."</f>
        <v xml:space="preserve">  -  300x200 มม.</v>
      </c>
      <c r="C206" s="1349"/>
      <c r="D206" s="801"/>
      <c r="E206" s="1350">
        <f t="shared" ref="E206" si="49">N206</f>
        <v>10</v>
      </c>
      <c r="F206" s="1348" t="str">
        <f t="shared" ref="F206" si="50">IF(E206="","","ชุด")</f>
        <v>ชุด</v>
      </c>
      <c r="G206" s="1394">
        <v>500</v>
      </c>
      <c r="H206" s="854">
        <f t="shared" ref="H206" si="51">ROUND(E206*G206,)</f>
        <v>5000</v>
      </c>
      <c r="I206" s="1394">
        <v>100</v>
      </c>
      <c r="J206" s="1395">
        <f t="shared" ref="J206" si="52">ROUND(E206*I206,)</f>
        <v>1000</v>
      </c>
      <c r="K206" s="966">
        <f t="shared" ref="K206" si="53">H206+J206</f>
        <v>6000</v>
      </c>
      <c r="L206" s="1030"/>
      <c r="M206" s="1420" t="s">
        <v>2050</v>
      </c>
      <c r="N206">
        <v>10</v>
      </c>
    </row>
    <row r="207" spans="1:14" s="1329" customFormat="1" ht="24" customHeight="1">
      <c r="A207" s="1330" t="s">
        <v>2411</v>
      </c>
      <c r="B207" s="1331" t="s">
        <v>2219</v>
      </c>
      <c r="C207" s="1349"/>
      <c r="D207" s="890"/>
      <c r="E207" s="966"/>
      <c r="F207" s="1348"/>
      <c r="G207" s="1394"/>
      <c r="H207" s="905"/>
      <c r="I207" s="1406"/>
      <c r="J207" s="1407"/>
      <c r="K207" s="1030"/>
      <c r="L207" s="1030"/>
      <c r="M207" s="1328"/>
    </row>
    <row r="208" spans="1:14" s="1329" customFormat="1" ht="24" customHeight="1">
      <c r="A208" s="1330"/>
      <c r="B208" s="1331" t="s">
        <v>2220</v>
      </c>
      <c r="C208" s="1349"/>
      <c r="D208" s="801"/>
      <c r="E208" s="966">
        <v>1</v>
      </c>
      <c r="F208" s="1249" t="str">
        <f t="shared" ref="F208:F209" si="54">IF(E208="","","ชุด")</f>
        <v>ชุด</v>
      </c>
      <c r="G208" s="1394">
        <v>1500</v>
      </c>
      <c r="H208" s="854">
        <f t="shared" ref="H208:H209" si="55">ROUND(E208*G208,)</f>
        <v>1500</v>
      </c>
      <c r="I208" s="1394">
        <v>500</v>
      </c>
      <c r="J208" s="1395">
        <f t="shared" ref="J208:J209" si="56">ROUND(E208*I208,)</f>
        <v>500</v>
      </c>
      <c r="K208" s="966">
        <f t="shared" ref="K208:K209" si="57">H208+J208</f>
        <v>2000</v>
      </c>
      <c r="L208" s="966"/>
      <c r="M208" s="1328"/>
    </row>
    <row r="209" spans="1:14" s="1329" customFormat="1" ht="24" customHeight="1">
      <c r="A209" s="1330"/>
      <c r="B209" s="1331" t="s">
        <v>2221</v>
      </c>
      <c r="C209" s="1349"/>
      <c r="D209" s="801"/>
      <c r="E209" s="966">
        <v>1</v>
      </c>
      <c r="F209" s="1249" t="str">
        <f t="shared" si="54"/>
        <v>ชุด</v>
      </c>
      <c r="G209" s="1394">
        <v>2000</v>
      </c>
      <c r="H209" s="854">
        <f t="shared" si="55"/>
        <v>2000</v>
      </c>
      <c r="I209" s="1394">
        <v>500</v>
      </c>
      <c r="J209" s="1395">
        <f t="shared" si="56"/>
        <v>500</v>
      </c>
      <c r="K209" s="966">
        <f t="shared" si="57"/>
        <v>2500</v>
      </c>
      <c r="L209" s="966"/>
      <c r="M209" s="1328"/>
    </row>
    <row r="210" spans="1:14" s="1329" customFormat="1" ht="24" customHeight="1">
      <c r="A210" s="1330" t="s">
        <v>2412</v>
      </c>
      <c r="B210" s="1331" t="s">
        <v>2055</v>
      </c>
      <c r="C210" s="1349"/>
      <c r="D210" s="801"/>
      <c r="E210" s="966"/>
      <c r="F210" s="1249"/>
      <c r="G210" s="1394"/>
      <c r="H210" s="864"/>
      <c r="I210" s="1394"/>
      <c r="J210" s="1395"/>
      <c r="K210" s="966"/>
      <c r="L210" s="966"/>
      <c r="M210" s="1328"/>
    </row>
    <row r="211" spans="1:14" s="1329" customFormat="1" ht="24" customHeight="1">
      <c r="A211" s="1330"/>
      <c r="B211" s="1331" t="str">
        <f t="shared" ref="B211:B230" si="58">"  -  "&amp;M211&amp;" มม."</f>
        <v xml:space="preserve">  -  100x100 มม.</v>
      </c>
      <c r="C211" s="1349"/>
      <c r="D211" s="801"/>
      <c r="E211" s="1350">
        <f t="shared" ref="E211:E230" si="59">N211</f>
        <v>6</v>
      </c>
      <c r="F211" s="1249" t="str">
        <f t="shared" ref="F211:F230" si="60">IF(E211="","","ชุด")</f>
        <v>ชุด</v>
      </c>
      <c r="G211" s="1394">
        <v>1000</v>
      </c>
      <c r="H211" s="854">
        <f t="shared" ref="H211:H230" si="61">ROUND(E211*G211,)</f>
        <v>6000</v>
      </c>
      <c r="I211" s="1394">
        <v>300</v>
      </c>
      <c r="J211" s="1395">
        <f t="shared" ref="J211:J230" si="62">ROUND(E211*I211,)</f>
        <v>1800</v>
      </c>
      <c r="K211" s="966">
        <f t="shared" ref="K211:K230" si="63">H211+J211</f>
        <v>7800</v>
      </c>
      <c r="L211" s="966"/>
      <c r="M211" s="1328" t="s">
        <v>2356</v>
      </c>
      <c r="N211" s="1329">
        <v>6</v>
      </c>
    </row>
    <row r="212" spans="1:14" s="1329" customFormat="1" ht="24" customHeight="1">
      <c r="A212" s="1330"/>
      <c r="B212" s="1331" t="str">
        <f t="shared" si="58"/>
        <v xml:space="preserve">  -  150x150 มม.</v>
      </c>
      <c r="C212" s="1349"/>
      <c r="D212" s="801"/>
      <c r="E212" s="1350">
        <f t="shared" si="59"/>
        <v>7</v>
      </c>
      <c r="F212" s="1249" t="str">
        <f t="shared" si="60"/>
        <v>ชุด</v>
      </c>
      <c r="G212" s="1394">
        <v>1000</v>
      </c>
      <c r="H212" s="854">
        <f t="shared" si="61"/>
        <v>7000</v>
      </c>
      <c r="I212" s="1394">
        <v>300</v>
      </c>
      <c r="J212" s="1395">
        <f t="shared" si="62"/>
        <v>2100</v>
      </c>
      <c r="K212" s="966">
        <f t="shared" si="63"/>
        <v>9100</v>
      </c>
      <c r="L212" s="966"/>
      <c r="M212" s="1328" t="s">
        <v>2225</v>
      </c>
      <c r="N212" s="1329">
        <v>7</v>
      </c>
    </row>
    <row r="213" spans="1:14" s="1329" customFormat="1" ht="24" customHeight="1">
      <c r="A213" s="1330"/>
      <c r="B213" s="1331" t="str">
        <f t="shared" si="58"/>
        <v xml:space="preserve">  -  150x400 มม.</v>
      </c>
      <c r="C213" s="1349"/>
      <c r="D213" s="801"/>
      <c r="E213" s="1350">
        <f t="shared" si="59"/>
        <v>1</v>
      </c>
      <c r="F213" s="1249" t="str">
        <f t="shared" si="60"/>
        <v>ชุด</v>
      </c>
      <c r="G213" s="1394">
        <v>1000</v>
      </c>
      <c r="H213" s="854">
        <f t="shared" si="61"/>
        <v>1000</v>
      </c>
      <c r="I213" s="1394">
        <v>300</v>
      </c>
      <c r="J213" s="1395">
        <f t="shared" si="62"/>
        <v>300</v>
      </c>
      <c r="K213" s="966">
        <f t="shared" si="63"/>
        <v>1300</v>
      </c>
      <c r="L213" s="966"/>
      <c r="M213" s="1328" t="s">
        <v>2357</v>
      </c>
      <c r="N213" s="1329">
        <v>1</v>
      </c>
    </row>
    <row r="214" spans="1:14" s="1329" customFormat="1" ht="24" customHeight="1">
      <c r="A214" s="1330"/>
      <c r="B214" s="1331" t="str">
        <f t="shared" si="58"/>
        <v xml:space="preserve">  -  250x200 มม.</v>
      </c>
      <c r="C214" s="1349"/>
      <c r="D214" s="801"/>
      <c r="E214" s="1350">
        <f t="shared" si="59"/>
        <v>7</v>
      </c>
      <c r="F214" s="1249" t="str">
        <f t="shared" si="60"/>
        <v>ชุด</v>
      </c>
      <c r="G214" s="1394">
        <v>1100</v>
      </c>
      <c r="H214" s="854">
        <f t="shared" si="61"/>
        <v>7700</v>
      </c>
      <c r="I214" s="1394">
        <v>300</v>
      </c>
      <c r="J214" s="1395">
        <f t="shared" si="62"/>
        <v>2100</v>
      </c>
      <c r="K214" s="966">
        <f t="shared" si="63"/>
        <v>9800</v>
      </c>
      <c r="L214" s="966"/>
      <c r="M214" s="1328" t="s">
        <v>2056</v>
      </c>
      <c r="N214" s="1329">
        <v>7</v>
      </c>
    </row>
    <row r="215" spans="1:14" s="1329" customFormat="1" ht="24" customHeight="1">
      <c r="A215" s="1330"/>
      <c r="B215" s="1331" t="str">
        <f t="shared" si="58"/>
        <v xml:space="preserve">  -  300x250 มม.</v>
      </c>
      <c r="C215" s="1349"/>
      <c r="D215" s="801"/>
      <c r="E215" s="1350">
        <f t="shared" si="59"/>
        <v>5</v>
      </c>
      <c r="F215" s="1249" t="str">
        <f t="shared" si="60"/>
        <v>ชุด</v>
      </c>
      <c r="G215" s="1394">
        <v>1300</v>
      </c>
      <c r="H215" s="864">
        <f t="shared" si="61"/>
        <v>6500</v>
      </c>
      <c r="I215" s="1394">
        <v>300</v>
      </c>
      <c r="J215" s="1395">
        <f t="shared" si="62"/>
        <v>1500</v>
      </c>
      <c r="K215" s="966">
        <f t="shared" si="63"/>
        <v>8000</v>
      </c>
      <c r="L215" s="966"/>
      <c r="M215" s="1328" t="s">
        <v>2200</v>
      </c>
      <c r="N215" s="1329">
        <v>5</v>
      </c>
    </row>
    <row r="216" spans="1:14" s="1329" customFormat="1" ht="24" customHeight="1">
      <c r="A216" s="1330"/>
      <c r="B216" s="1331" t="str">
        <f t="shared" si="58"/>
        <v xml:space="preserve">  -  500x500 มม.</v>
      </c>
      <c r="C216" s="1349"/>
      <c r="D216" s="801"/>
      <c r="E216" s="1350">
        <f t="shared" si="59"/>
        <v>2</v>
      </c>
      <c r="F216" s="1249" t="str">
        <f t="shared" si="60"/>
        <v>ชุด</v>
      </c>
      <c r="G216" s="1394">
        <v>2500</v>
      </c>
      <c r="H216" s="854">
        <f t="shared" si="61"/>
        <v>5000</v>
      </c>
      <c r="I216" s="1394">
        <v>300</v>
      </c>
      <c r="J216" s="1395">
        <f t="shared" si="62"/>
        <v>600</v>
      </c>
      <c r="K216" s="966">
        <f t="shared" si="63"/>
        <v>5600</v>
      </c>
      <c r="L216" s="966"/>
      <c r="M216" s="1328" t="s">
        <v>2043</v>
      </c>
      <c r="N216" s="1329">
        <v>2</v>
      </c>
    </row>
    <row r="217" spans="1:14" s="1329" customFormat="1" ht="24" customHeight="1">
      <c r="A217" s="1330"/>
      <c r="B217" s="1331" t="str">
        <f t="shared" si="58"/>
        <v xml:space="preserve">  -  650x650 มม.</v>
      </c>
      <c r="C217" s="1349"/>
      <c r="D217" s="801"/>
      <c r="E217" s="1350">
        <f t="shared" si="59"/>
        <v>4</v>
      </c>
      <c r="F217" s="1249" t="str">
        <f t="shared" si="60"/>
        <v>ชุด</v>
      </c>
      <c r="G217" s="1394">
        <v>2600</v>
      </c>
      <c r="H217" s="854">
        <f t="shared" si="61"/>
        <v>10400</v>
      </c>
      <c r="I217" s="1394">
        <v>300</v>
      </c>
      <c r="J217" s="1395">
        <f t="shared" si="62"/>
        <v>1200</v>
      </c>
      <c r="K217" s="966">
        <f t="shared" si="63"/>
        <v>11600</v>
      </c>
      <c r="L217" s="966"/>
      <c r="M217" s="1328" t="s">
        <v>2045</v>
      </c>
      <c r="N217" s="1329">
        <v>4</v>
      </c>
    </row>
    <row r="218" spans="1:14" s="1329" customFormat="1" ht="24" customHeight="1">
      <c r="A218" s="1330"/>
      <c r="B218" s="1331" t="str">
        <f t="shared" si="58"/>
        <v xml:space="preserve">  -  700x700 มม.</v>
      </c>
      <c r="C218" s="1349"/>
      <c r="D218" s="801"/>
      <c r="E218" s="1350">
        <f t="shared" si="59"/>
        <v>2</v>
      </c>
      <c r="F218" s="1249" t="str">
        <f t="shared" si="60"/>
        <v>ชุด</v>
      </c>
      <c r="G218" s="1394">
        <v>2800</v>
      </c>
      <c r="H218" s="854">
        <f t="shared" si="61"/>
        <v>5600</v>
      </c>
      <c r="I218" s="1394">
        <v>300</v>
      </c>
      <c r="J218" s="1395">
        <f t="shared" si="62"/>
        <v>600</v>
      </c>
      <c r="K218" s="966">
        <f t="shared" si="63"/>
        <v>6200</v>
      </c>
      <c r="L218" s="966"/>
      <c r="M218" s="1328" t="s">
        <v>2359</v>
      </c>
      <c r="N218" s="1329">
        <v>2</v>
      </c>
    </row>
    <row r="219" spans="1:14" s="1329" customFormat="1" ht="24" customHeight="1">
      <c r="A219" s="1330"/>
      <c r="B219" s="1331" t="str">
        <f t="shared" si="58"/>
        <v xml:space="preserve">  -  800x250 มม.</v>
      </c>
      <c r="C219" s="1349"/>
      <c r="D219" s="801"/>
      <c r="E219" s="1350">
        <f t="shared" si="59"/>
        <v>1</v>
      </c>
      <c r="F219" s="1249" t="str">
        <f t="shared" si="60"/>
        <v>ชุด</v>
      </c>
      <c r="G219" s="1394">
        <v>2600</v>
      </c>
      <c r="H219" s="854">
        <f t="shared" si="61"/>
        <v>2600</v>
      </c>
      <c r="I219" s="1394">
        <v>300</v>
      </c>
      <c r="J219" s="1395">
        <f t="shared" si="62"/>
        <v>300</v>
      </c>
      <c r="K219" s="966">
        <f t="shared" si="63"/>
        <v>2900</v>
      </c>
      <c r="L219" s="966"/>
      <c r="M219" s="1328" t="s">
        <v>2413</v>
      </c>
      <c r="N219" s="1329">
        <v>1</v>
      </c>
    </row>
    <row r="220" spans="1:14" s="1329" customFormat="1" ht="24" customHeight="1">
      <c r="A220" s="1330"/>
      <c r="B220" s="1331" t="str">
        <f t="shared" si="58"/>
        <v xml:space="preserve">  -  850x500 มม.</v>
      </c>
      <c r="C220" s="1349"/>
      <c r="D220" s="801"/>
      <c r="E220" s="1350">
        <f t="shared" si="59"/>
        <v>1</v>
      </c>
      <c r="F220" s="1249" t="str">
        <f t="shared" si="60"/>
        <v>ชุด</v>
      </c>
      <c r="G220" s="1394">
        <v>2700</v>
      </c>
      <c r="H220" s="854">
        <f t="shared" si="61"/>
        <v>2700</v>
      </c>
      <c r="I220" s="1394">
        <v>300</v>
      </c>
      <c r="J220" s="1395">
        <f t="shared" si="62"/>
        <v>300</v>
      </c>
      <c r="K220" s="966">
        <f t="shared" si="63"/>
        <v>3000</v>
      </c>
      <c r="L220" s="966"/>
      <c r="M220" s="1328" t="s">
        <v>2361</v>
      </c>
      <c r="N220" s="1329">
        <v>1</v>
      </c>
    </row>
    <row r="221" spans="1:14" s="1329" customFormat="1" ht="24" customHeight="1">
      <c r="A221" s="1330"/>
      <c r="B221" s="1331" t="str">
        <f t="shared" si="58"/>
        <v xml:space="preserve">  -  1000x350 มม.</v>
      </c>
      <c r="C221" s="1349"/>
      <c r="D221" s="801"/>
      <c r="E221" s="1350">
        <f t="shared" si="59"/>
        <v>1</v>
      </c>
      <c r="F221" s="1249" t="str">
        <f t="shared" si="60"/>
        <v>ชุด</v>
      </c>
      <c r="G221" s="1394">
        <v>2700</v>
      </c>
      <c r="H221" s="854">
        <f t="shared" si="61"/>
        <v>2700</v>
      </c>
      <c r="I221" s="1394">
        <v>325</v>
      </c>
      <c r="J221" s="1395">
        <f t="shared" si="62"/>
        <v>325</v>
      </c>
      <c r="K221" s="966">
        <f t="shared" si="63"/>
        <v>3025</v>
      </c>
      <c r="L221" s="966"/>
      <c r="M221" s="1328" t="s">
        <v>2362</v>
      </c>
      <c r="N221" s="1329">
        <v>1</v>
      </c>
    </row>
    <row r="222" spans="1:14" s="1329" customFormat="1" ht="24" customHeight="1">
      <c r="A222" s="1330"/>
      <c r="B222" s="1331" t="str">
        <f t="shared" si="58"/>
        <v xml:space="preserve">  -  1000x450 มม.</v>
      </c>
      <c r="C222" s="1349"/>
      <c r="D222" s="801"/>
      <c r="E222" s="1350">
        <f t="shared" si="59"/>
        <v>2</v>
      </c>
      <c r="F222" s="1249" t="str">
        <f t="shared" si="60"/>
        <v>ชุด</v>
      </c>
      <c r="G222" s="1394">
        <v>2900</v>
      </c>
      <c r="H222" s="854">
        <f t="shared" si="61"/>
        <v>5800</v>
      </c>
      <c r="I222" s="1394">
        <v>325</v>
      </c>
      <c r="J222" s="1395">
        <f t="shared" si="62"/>
        <v>650</v>
      </c>
      <c r="K222" s="966">
        <f t="shared" si="63"/>
        <v>6450</v>
      </c>
      <c r="L222" s="966"/>
      <c r="M222" s="1328" t="s">
        <v>2363</v>
      </c>
      <c r="N222" s="1329">
        <v>2</v>
      </c>
    </row>
    <row r="223" spans="1:14" s="1329" customFormat="1" ht="24" customHeight="1">
      <c r="A223" s="1330"/>
      <c r="B223" s="1331" t="str">
        <f t="shared" si="58"/>
        <v xml:space="preserve">  -  1050x300 มม.</v>
      </c>
      <c r="C223" s="1349"/>
      <c r="D223" s="801"/>
      <c r="E223" s="1350">
        <f t="shared" si="59"/>
        <v>2</v>
      </c>
      <c r="F223" s="1249" t="str">
        <f t="shared" si="60"/>
        <v>ชุด</v>
      </c>
      <c r="G223" s="1394">
        <v>2700</v>
      </c>
      <c r="H223" s="854">
        <f t="shared" si="61"/>
        <v>5400</v>
      </c>
      <c r="I223" s="1394">
        <v>325</v>
      </c>
      <c r="J223" s="1395">
        <f t="shared" si="62"/>
        <v>650</v>
      </c>
      <c r="K223" s="966">
        <f t="shared" si="63"/>
        <v>6050</v>
      </c>
      <c r="L223" s="966"/>
      <c r="M223" s="1328" t="s">
        <v>2240</v>
      </c>
      <c r="N223" s="1329">
        <v>2</v>
      </c>
    </row>
    <row r="224" spans="1:14" s="1329" customFormat="1" ht="24" customHeight="1">
      <c r="A224" s="1330"/>
      <c r="B224" s="1331" t="str">
        <f t="shared" si="58"/>
        <v xml:space="preserve">  -  1100x300 มม.</v>
      </c>
      <c r="C224" s="1349"/>
      <c r="D224" s="801"/>
      <c r="E224" s="1350">
        <f t="shared" si="59"/>
        <v>2</v>
      </c>
      <c r="F224" s="865" t="str">
        <f t="shared" si="60"/>
        <v>ชุด</v>
      </c>
      <c r="G224" s="1394">
        <v>2700</v>
      </c>
      <c r="H224" s="854">
        <f t="shared" si="61"/>
        <v>5400</v>
      </c>
      <c r="I224" s="1394">
        <v>325</v>
      </c>
      <c r="J224" s="1395">
        <f t="shared" si="62"/>
        <v>650</v>
      </c>
      <c r="K224" s="966">
        <f t="shared" si="63"/>
        <v>6050</v>
      </c>
      <c r="L224" s="966"/>
      <c r="M224" s="1328" t="s">
        <v>2310</v>
      </c>
      <c r="N224" s="1329">
        <v>2</v>
      </c>
    </row>
    <row r="225" spans="1:14" s="1329" customFormat="1" ht="24" customHeight="1">
      <c r="A225" s="1330"/>
      <c r="B225" s="1331" t="str">
        <f t="shared" si="58"/>
        <v xml:space="preserve">  -  1100x400 มม.</v>
      </c>
      <c r="C225" s="1349"/>
      <c r="D225" s="801"/>
      <c r="E225" s="1350">
        <f t="shared" si="59"/>
        <v>1</v>
      </c>
      <c r="F225" s="865" t="str">
        <f t="shared" si="60"/>
        <v>ชุด</v>
      </c>
      <c r="G225" s="1394">
        <v>3000</v>
      </c>
      <c r="H225" s="854">
        <f t="shared" si="61"/>
        <v>3000</v>
      </c>
      <c r="I225" s="1394">
        <v>325</v>
      </c>
      <c r="J225" s="1395">
        <f t="shared" si="62"/>
        <v>325</v>
      </c>
      <c r="K225" s="966">
        <f t="shared" si="63"/>
        <v>3325</v>
      </c>
      <c r="L225" s="966"/>
      <c r="M225" s="1328" t="s">
        <v>2364</v>
      </c>
      <c r="N225" s="1329">
        <v>1</v>
      </c>
    </row>
    <row r="226" spans="1:14" s="1329" customFormat="1" ht="24" customHeight="1">
      <c r="A226" s="1330"/>
      <c r="B226" s="1331" t="str">
        <f t="shared" si="58"/>
        <v xml:space="preserve">  -  1150x400 มม.</v>
      </c>
      <c r="C226" s="1349"/>
      <c r="D226" s="801"/>
      <c r="E226" s="1350">
        <f t="shared" si="59"/>
        <v>2</v>
      </c>
      <c r="F226" s="865" t="str">
        <f t="shared" si="60"/>
        <v>ชุด</v>
      </c>
      <c r="G226" s="1394">
        <v>3100</v>
      </c>
      <c r="H226" s="854">
        <f t="shared" si="61"/>
        <v>6200</v>
      </c>
      <c r="I226" s="1394">
        <v>325</v>
      </c>
      <c r="J226" s="1395">
        <f t="shared" si="62"/>
        <v>650</v>
      </c>
      <c r="K226" s="966">
        <f t="shared" si="63"/>
        <v>6850</v>
      </c>
      <c r="L226" s="966"/>
      <c r="M226" s="1328" t="s">
        <v>2229</v>
      </c>
      <c r="N226" s="1329">
        <v>2</v>
      </c>
    </row>
    <row r="227" spans="1:14" s="1329" customFormat="1" ht="24" customHeight="1">
      <c r="A227" s="1330"/>
      <c r="B227" s="1331" t="str">
        <f t="shared" si="58"/>
        <v xml:space="preserve">  -  1200x400 มม.</v>
      </c>
      <c r="C227" s="1349"/>
      <c r="D227" s="801"/>
      <c r="E227" s="1350">
        <f t="shared" si="59"/>
        <v>1</v>
      </c>
      <c r="F227" s="865" t="str">
        <f t="shared" si="60"/>
        <v>ชุด</v>
      </c>
      <c r="G227" s="1394">
        <v>3200</v>
      </c>
      <c r="H227" s="854">
        <f t="shared" si="61"/>
        <v>3200</v>
      </c>
      <c r="I227" s="865">
        <v>325</v>
      </c>
      <c r="J227" s="1395">
        <f t="shared" si="62"/>
        <v>325</v>
      </c>
      <c r="K227" s="966">
        <f t="shared" si="63"/>
        <v>3525</v>
      </c>
      <c r="L227" s="966"/>
      <c r="M227" s="1328" t="s">
        <v>2366</v>
      </c>
      <c r="N227" s="1329">
        <v>1</v>
      </c>
    </row>
    <row r="228" spans="1:14" s="1329" customFormat="1" ht="24" customHeight="1">
      <c r="A228" s="1330"/>
      <c r="B228" s="1331" t="str">
        <f t="shared" si="58"/>
        <v xml:space="preserve">  -  1250x400 มม.</v>
      </c>
      <c r="C228" s="1349"/>
      <c r="D228" s="801"/>
      <c r="E228" s="1350">
        <f t="shared" si="59"/>
        <v>1</v>
      </c>
      <c r="F228" s="865" t="str">
        <f t="shared" si="60"/>
        <v>ชุด</v>
      </c>
      <c r="G228" s="1394">
        <v>3300</v>
      </c>
      <c r="H228" s="854">
        <f t="shared" si="61"/>
        <v>3300</v>
      </c>
      <c r="I228" s="865">
        <v>325</v>
      </c>
      <c r="J228" s="1395">
        <f t="shared" si="62"/>
        <v>325</v>
      </c>
      <c r="K228" s="966">
        <f t="shared" si="63"/>
        <v>3625</v>
      </c>
      <c r="L228" s="966"/>
      <c r="M228" s="1328" t="s">
        <v>2367</v>
      </c>
      <c r="N228" s="1329">
        <v>1</v>
      </c>
    </row>
    <row r="229" spans="1:14" s="1329" customFormat="1" ht="24" customHeight="1">
      <c r="A229" s="1330"/>
      <c r="B229" s="1331" t="str">
        <f t="shared" si="58"/>
        <v xml:space="preserve">  -  1250x650 มม.</v>
      </c>
      <c r="C229" s="1349"/>
      <c r="D229" s="801"/>
      <c r="E229" s="1350">
        <f t="shared" si="59"/>
        <v>1</v>
      </c>
      <c r="F229" s="865" t="str">
        <f t="shared" si="60"/>
        <v>ชุด</v>
      </c>
      <c r="G229" s="1394">
        <v>3800</v>
      </c>
      <c r="H229" s="854">
        <f t="shared" si="61"/>
        <v>3800</v>
      </c>
      <c r="I229" s="865">
        <v>325</v>
      </c>
      <c r="J229" s="1395">
        <f t="shared" si="62"/>
        <v>325</v>
      </c>
      <c r="K229" s="966">
        <f t="shared" si="63"/>
        <v>4125</v>
      </c>
      <c r="L229" s="966"/>
      <c r="M229" s="1328" t="s">
        <v>2305</v>
      </c>
      <c r="N229" s="1329">
        <v>1</v>
      </c>
    </row>
    <row r="230" spans="1:14" s="1329" customFormat="1" ht="24" customHeight="1">
      <c r="A230" s="1330"/>
      <c r="B230" s="1331" t="str">
        <f t="shared" si="58"/>
        <v xml:space="preserve">  -  1300x350 มม.</v>
      </c>
      <c r="C230" s="1349"/>
      <c r="D230" s="801"/>
      <c r="E230" s="1350">
        <f t="shared" si="59"/>
        <v>1</v>
      </c>
      <c r="F230" s="865" t="str">
        <f t="shared" si="60"/>
        <v>ชุด</v>
      </c>
      <c r="G230" s="1394">
        <v>3300</v>
      </c>
      <c r="H230" s="854">
        <f t="shared" si="61"/>
        <v>3300</v>
      </c>
      <c r="I230" s="865">
        <v>325</v>
      </c>
      <c r="J230" s="1395">
        <f t="shared" si="62"/>
        <v>325</v>
      </c>
      <c r="K230" s="966">
        <f t="shared" si="63"/>
        <v>3625</v>
      </c>
      <c r="L230" s="966"/>
      <c r="M230" s="1328" t="s">
        <v>2368</v>
      </c>
      <c r="N230" s="1329">
        <v>1</v>
      </c>
    </row>
    <row r="231" spans="1:14" s="1329" customFormat="1" ht="24" customHeight="1">
      <c r="A231" s="1330" t="s">
        <v>2414</v>
      </c>
      <c r="B231" s="1331" t="s">
        <v>2063</v>
      </c>
      <c r="C231" s="1349"/>
      <c r="D231" s="801"/>
      <c r="E231" s="966"/>
      <c r="F231" s="865"/>
      <c r="G231" s="1394"/>
      <c r="H231" s="864"/>
      <c r="I231" s="865"/>
      <c r="J231" s="1395"/>
      <c r="K231" s="966"/>
      <c r="L231" s="966"/>
      <c r="M231" s="1328"/>
    </row>
    <row r="232" spans="1:14" s="1329" customFormat="1" ht="24" customHeight="1">
      <c r="A232" s="1330"/>
      <c r="B232" s="1331" t="str">
        <f t="shared" ref="B232:B239" si="64">"  -  "&amp;M232&amp;" มม."</f>
        <v xml:space="preserve">  -  700x700 มม.</v>
      </c>
      <c r="C232" s="1349"/>
      <c r="D232" s="801"/>
      <c r="E232" s="1350">
        <f t="shared" ref="E232:E239" si="65">N232</f>
        <v>2</v>
      </c>
      <c r="F232" s="865" t="str">
        <f t="shared" ref="F232:F239" si="66">IF(E232="","","ชุด")</f>
        <v>ชุด</v>
      </c>
      <c r="G232" s="1394">
        <v>2100</v>
      </c>
      <c r="H232" s="854">
        <f t="shared" ref="H232:H237" si="67">ROUND(E232*G232,)</f>
        <v>4200</v>
      </c>
      <c r="I232" s="865">
        <v>200</v>
      </c>
      <c r="J232" s="1395">
        <f t="shared" ref="J232:J237" si="68">ROUND(E232*I232,)</f>
        <v>400</v>
      </c>
      <c r="K232" s="966">
        <f t="shared" ref="K232:K237" si="69">H232+J232</f>
        <v>4600</v>
      </c>
      <c r="L232" s="966"/>
      <c r="M232" s="1328" t="s">
        <v>2359</v>
      </c>
      <c r="N232" s="1329">
        <v>2</v>
      </c>
    </row>
    <row r="233" spans="1:14" s="1329" customFormat="1" ht="24" customHeight="1">
      <c r="A233" s="1330"/>
      <c r="B233" s="1331" t="str">
        <f t="shared" si="64"/>
        <v xml:space="preserve">  -  850x500 มม.</v>
      </c>
      <c r="C233" s="1349"/>
      <c r="D233" s="801"/>
      <c r="E233" s="1350">
        <f t="shared" si="65"/>
        <v>1</v>
      </c>
      <c r="F233" s="865" t="str">
        <f t="shared" si="66"/>
        <v>ชุด</v>
      </c>
      <c r="G233" s="1394">
        <v>2025</v>
      </c>
      <c r="H233" s="854">
        <f t="shared" si="67"/>
        <v>2025</v>
      </c>
      <c r="I233" s="865">
        <v>200</v>
      </c>
      <c r="J233" s="1395">
        <f t="shared" si="68"/>
        <v>200</v>
      </c>
      <c r="K233" s="966">
        <f t="shared" si="69"/>
        <v>2225</v>
      </c>
      <c r="L233" s="966"/>
      <c r="M233" s="1328" t="s">
        <v>2361</v>
      </c>
      <c r="N233" s="1329">
        <v>1</v>
      </c>
    </row>
    <row r="234" spans="1:14" s="1329" customFormat="1" ht="24" customHeight="1">
      <c r="A234" s="1330"/>
      <c r="B234" s="1331" t="str">
        <f t="shared" si="64"/>
        <v xml:space="preserve">  -  1000x450 มม.</v>
      </c>
      <c r="C234" s="1349"/>
      <c r="D234" s="801"/>
      <c r="E234" s="1350">
        <f t="shared" si="65"/>
        <v>1</v>
      </c>
      <c r="F234" s="865" t="str">
        <f t="shared" si="66"/>
        <v>ชุด</v>
      </c>
      <c r="G234" s="1394">
        <v>2700</v>
      </c>
      <c r="H234" s="854">
        <f t="shared" si="67"/>
        <v>2700</v>
      </c>
      <c r="I234" s="865">
        <v>200</v>
      </c>
      <c r="J234" s="1395">
        <f t="shared" si="68"/>
        <v>200</v>
      </c>
      <c r="K234" s="966">
        <f t="shared" si="69"/>
        <v>2900</v>
      </c>
      <c r="L234" s="966"/>
      <c r="M234" s="1328" t="s">
        <v>2363</v>
      </c>
      <c r="N234" s="1329">
        <v>1</v>
      </c>
    </row>
    <row r="235" spans="1:14" s="1329" customFormat="1" ht="24" customHeight="1">
      <c r="A235" s="1330"/>
      <c r="B235" s="1331" t="str">
        <f t="shared" si="64"/>
        <v xml:space="preserve">  -  1100x300 มม.</v>
      </c>
      <c r="C235" s="1349"/>
      <c r="D235" s="801"/>
      <c r="E235" s="1350">
        <f t="shared" si="65"/>
        <v>1</v>
      </c>
      <c r="F235" s="865" t="str">
        <f t="shared" si="66"/>
        <v>ชุด</v>
      </c>
      <c r="G235" s="1394">
        <v>2700</v>
      </c>
      <c r="H235" s="854">
        <f t="shared" si="67"/>
        <v>2700</v>
      </c>
      <c r="I235" s="865">
        <v>200</v>
      </c>
      <c r="J235" s="1395">
        <f t="shared" si="68"/>
        <v>200</v>
      </c>
      <c r="K235" s="966">
        <f t="shared" si="69"/>
        <v>2900</v>
      </c>
      <c r="L235" s="966"/>
      <c r="M235" s="1328" t="s">
        <v>2310</v>
      </c>
      <c r="N235" s="1329">
        <v>1</v>
      </c>
    </row>
    <row r="236" spans="1:14" s="1329" customFormat="1" ht="24" customHeight="1">
      <c r="A236" s="1330"/>
      <c r="B236" s="1331" t="str">
        <f t="shared" si="64"/>
        <v xml:space="preserve">  -  1150x400 มม.</v>
      </c>
      <c r="C236" s="1349"/>
      <c r="D236" s="801"/>
      <c r="E236" s="1350">
        <f t="shared" si="65"/>
        <v>1</v>
      </c>
      <c r="F236" s="865" t="str">
        <f t="shared" si="66"/>
        <v>ชุด</v>
      </c>
      <c r="G236" s="1394">
        <v>2700</v>
      </c>
      <c r="H236" s="854">
        <f t="shared" si="67"/>
        <v>2700</v>
      </c>
      <c r="I236" s="865">
        <v>200</v>
      </c>
      <c r="J236" s="1395">
        <f t="shared" si="68"/>
        <v>200</v>
      </c>
      <c r="K236" s="966">
        <f t="shared" si="69"/>
        <v>2900</v>
      </c>
      <c r="L236" s="966"/>
      <c r="M236" s="1328" t="s">
        <v>2229</v>
      </c>
      <c r="N236" s="1329">
        <v>1</v>
      </c>
    </row>
    <row r="237" spans="1:14" s="1329" customFormat="1" ht="24" customHeight="1">
      <c r="A237" s="1330"/>
      <c r="B237" s="1331" t="str">
        <f t="shared" si="64"/>
        <v xml:space="preserve">  -  1150x700 มม.</v>
      </c>
      <c r="C237" s="1349"/>
      <c r="D237" s="801"/>
      <c r="E237" s="1350">
        <f t="shared" si="65"/>
        <v>1</v>
      </c>
      <c r="F237" s="865" t="str">
        <f t="shared" si="66"/>
        <v>ชุด</v>
      </c>
      <c r="G237" s="1394">
        <v>2775</v>
      </c>
      <c r="H237" s="854">
        <f t="shared" si="67"/>
        <v>2775</v>
      </c>
      <c r="I237" s="865">
        <v>200</v>
      </c>
      <c r="J237" s="1395">
        <f t="shared" si="68"/>
        <v>200</v>
      </c>
      <c r="K237" s="966">
        <f t="shared" si="69"/>
        <v>2975</v>
      </c>
      <c r="L237" s="966"/>
      <c r="M237" s="1328" t="s">
        <v>2370</v>
      </c>
      <c r="N237" s="1329">
        <v>1</v>
      </c>
    </row>
    <row r="238" spans="1:14" s="1329" customFormat="1" ht="24" customHeight="1">
      <c r="A238" s="1330" t="s">
        <v>2415</v>
      </c>
      <c r="B238" s="1331" t="s">
        <v>2239</v>
      </c>
      <c r="C238" s="1349"/>
      <c r="D238" s="801"/>
      <c r="E238" s="966"/>
      <c r="F238" s="867"/>
      <c r="G238" s="1249"/>
      <c r="H238" s="864"/>
      <c r="I238" s="865"/>
      <c r="J238" s="864"/>
      <c r="K238" s="867"/>
      <c r="L238" s="867"/>
      <c r="M238" s="1328"/>
    </row>
    <row r="239" spans="1:14" s="1329" customFormat="1" ht="24" customHeight="1">
      <c r="A239" s="1330"/>
      <c r="B239" s="1331" t="str">
        <f t="shared" si="64"/>
        <v xml:space="preserve">  -  1050x300 มม.</v>
      </c>
      <c r="C239" s="1349"/>
      <c r="D239" s="801"/>
      <c r="E239" s="1350">
        <f t="shared" si="65"/>
        <v>2</v>
      </c>
      <c r="F239" s="867" t="str">
        <f t="shared" si="66"/>
        <v>ชุด</v>
      </c>
      <c r="G239" s="1249">
        <v>1800</v>
      </c>
      <c r="H239" s="864">
        <f t="shared" ref="H239" si="70">ROUND(E239*G239,)</f>
        <v>3600</v>
      </c>
      <c r="I239" s="865">
        <v>200</v>
      </c>
      <c r="J239" s="864">
        <f t="shared" ref="J239" si="71">ROUND(E239*I239,)</f>
        <v>400</v>
      </c>
      <c r="K239" s="867">
        <f t="shared" ref="K239" si="72">H239+J239</f>
        <v>4000</v>
      </c>
      <c r="L239" s="867"/>
      <c r="M239" s="1328" t="s">
        <v>2240</v>
      </c>
      <c r="N239" s="1329">
        <v>2</v>
      </c>
    </row>
    <row r="240" spans="1:14" s="1329" customFormat="1" ht="24" customHeight="1">
      <c r="A240" s="1330"/>
      <c r="B240" s="1335" t="s">
        <v>957</v>
      </c>
      <c r="C240" s="1349"/>
      <c r="D240" s="890"/>
      <c r="E240" s="966"/>
      <c r="F240" s="903"/>
      <c r="G240" s="1249"/>
      <c r="H240" s="905"/>
      <c r="I240" s="906"/>
      <c r="J240" s="905"/>
      <c r="K240" s="903"/>
      <c r="L240" s="903"/>
      <c r="M240" s="1328"/>
    </row>
    <row r="241" spans="1:13" s="1329" customFormat="1" ht="24" customHeight="1">
      <c r="A241" s="1510"/>
      <c r="B241" s="2475" t="str">
        <f>"รวมราคารายการที่ "&amp;A194</f>
        <v>รวมราคารายการที่ 7.11</v>
      </c>
      <c r="C241" s="2476"/>
      <c r="D241" s="2477"/>
      <c r="E241" s="1511"/>
      <c r="F241" s="1511"/>
      <c r="G241" s="1513"/>
      <c r="H241" s="1514">
        <f>SUM(H194:H240)</f>
        <v>160200</v>
      </c>
      <c r="I241" s="1515"/>
      <c r="J241" s="1514">
        <f>SUM(J194:J240)</f>
        <v>25350</v>
      </c>
      <c r="K241" s="1514">
        <f>SUM(K194:K240)</f>
        <v>185550</v>
      </c>
      <c r="L241" s="1517"/>
      <c r="M241" s="1328"/>
    </row>
    <row r="242" spans="1:13" s="1329" customFormat="1" ht="24" customHeight="1">
      <c r="A242" s="1325" t="s">
        <v>2197</v>
      </c>
      <c r="B242" s="1326" t="s">
        <v>2066</v>
      </c>
      <c r="C242" s="1347"/>
      <c r="D242" s="901"/>
      <c r="E242" s="1030"/>
      <c r="F242" s="903"/>
      <c r="G242" s="1348"/>
      <c r="H242" s="905"/>
      <c r="I242" s="906"/>
      <c r="J242" s="905"/>
      <c r="K242" s="903"/>
      <c r="L242" s="903"/>
      <c r="M242" s="1328"/>
    </row>
    <row r="243" spans="1:13" s="1329" customFormat="1" ht="24" customHeight="1">
      <c r="A243" s="1330" t="s">
        <v>2198</v>
      </c>
      <c r="B243" s="1335" t="s">
        <v>2068</v>
      </c>
      <c r="C243" s="1349"/>
      <c r="D243" s="890"/>
      <c r="E243" s="1019"/>
      <c r="F243" s="947"/>
      <c r="G243" s="1310"/>
      <c r="H243" s="864"/>
      <c r="I243" s="774"/>
      <c r="J243" s="864"/>
      <c r="K243" s="966"/>
      <c r="L243" s="1019"/>
      <c r="M243" s="1328"/>
    </row>
    <row r="244" spans="1:13" s="1329" customFormat="1" ht="24" customHeight="1">
      <c r="A244" s="1330"/>
      <c r="B244" s="1331" t="s">
        <v>2416</v>
      </c>
      <c r="C244" s="1349"/>
      <c r="D244" s="801"/>
      <c r="E244" s="1022">
        <v>1</v>
      </c>
      <c r="F244" s="867" t="s">
        <v>240</v>
      </c>
      <c r="G244" s="1249">
        <v>55000</v>
      </c>
      <c r="H244" s="864">
        <f t="shared" ref="H244:H254" si="73">ROUND(E244*G244,)</f>
        <v>55000</v>
      </c>
      <c r="I244" s="1249">
        <f t="shared" ref="I244:I254" si="74">G244*0.1</f>
        <v>5500</v>
      </c>
      <c r="J244" s="864">
        <f t="shared" ref="J244:J254" si="75">ROUND(E244*I244,)</f>
        <v>5500</v>
      </c>
      <c r="K244" s="966">
        <f t="shared" ref="K244:K254" si="76">H244+J244</f>
        <v>60500</v>
      </c>
      <c r="L244" s="867"/>
      <c r="M244" s="1328"/>
    </row>
    <row r="245" spans="1:13" s="1329" customFormat="1" ht="24" customHeight="1">
      <c r="A245" s="1330"/>
      <c r="B245" s="1331" t="s">
        <v>2417</v>
      </c>
      <c r="C245" s="1349"/>
      <c r="D245" s="801"/>
      <c r="E245" s="1022">
        <v>1</v>
      </c>
      <c r="F245" s="867" t="s">
        <v>240</v>
      </c>
      <c r="G245" s="1249">
        <v>25000</v>
      </c>
      <c r="H245" s="864">
        <f t="shared" si="73"/>
        <v>25000</v>
      </c>
      <c r="I245" s="1249">
        <f t="shared" si="74"/>
        <v>2500</v>
      </c>
      <c r="J245" s="864">
        <f t="shared" si="75"/>
        <v>2500</v>
      </c>
      <c r="K245" s="966">
        <f t="shared" si="76"/>
        <v>27500</v>
      </c>
      <c r="L245" s="867"/>
      <c r="M245" s="1328"/>
    </row>
    <row r="246" spans="1:13" s="1329" customFormat="1" ht="24" customHeight="1">
      <c r="A246" s="1330"/>
      <c r="B246" s="1331" t="s">
        <v>2418</v>
      </c>
      <c r="C246" s="1349"/>
      <c r="D246" s="801"/>
      <c r="E246" s="1022">
        <v>1</v>
      </c>
      <c r="F246" s="867" t="s">
        <v>240</v>
      </c>
      <c r="G246" s="1249">
        <v>15000</v>
      </c>
      <c r="H246" s="864">
        <f t="shared" si="73"/>
        <v>15000</v>
      </c>
      <c r="I246" s="1249">
        <f t="shared" si="74"/>
        <v>1500</v>
      </c>
      <c r="J246" s="864">
        <f t="shared" si="75"/>
        <v>1500</v>
      </c>
      <c r="K246" s="966">
        <f t="shared" si="76"/>
        <v>16500</v>
      </c>
      <c r="L246" s="867"/>
      <c r="M246" s="1328"/>
    </row>
    <row r="247" spans="1:13" s="1329" customFormat="1" ht="24" customHeight="1">
      <c r="A247" s="1330"/>
      <c r="B247" s="1331" t="s">
        <v>2419</v>
      </c>
      <c r="C247" s="1349"/>
      <c r="D247" s="801"/>
      <c r="E247" s="1022">
        <v>1</v>
      </c>
      <c r="F247" s="867" t="s">
        <v>240</v>
      </c>
      <c r="G247" s="1250">
        <v>15000</v>
      </c>
      <c r="H247" s="864">
        <f t="shared" si="73"/>
        <v>15000</v>
      </c>
      <c r="I247" s="1249">
        <f t="shared" si="74"/>
        <v>1500</v>
      </c>
      <c r="J247" s="864">
        <f t="shared" si="75"/>
        <v>1500</v>
      </c>
      <c r="K247" s="966">
        <f t="shared" si="76"/>
        <v>16500</v>
      </c>
      <c r="L247" s="867"/>
      <c r="M247" s="1328"/>
    </row>
    <row r="248" spans="1:13" s="1329" customFormat="1" ht="24" customHeight="1">
      <c r="A248" s="1330"/>
      <c r="B248" s="1331" t="s">
        <v>2420</v>
      </c>
      <c r="C248" s="1349"/>
      <c r="D248" s="801"/>
      <c r="E248" s="1022">
        <v>1</v>
      </c>
      <c r="F248" s="867" t="s">
        <v>240</v>
      </c>
      <c r="G248" s="1250">
        <v>25000</v>
      </c>
      <c r="H248" s="864">
        <f t="shared" si="73"/>
        <v>25000</v>
      </c>
      <c r="I248" s="1249">
        <f t="shared" si="74"/>
        <v>2500</v>
      </c>
      <c r="J248" s="864">
        <f t="shared" si="75"/>
        <v>2500</v>
      </c>
      <c r="K248" s="966">
        <f t="shared" si="76"/>
        <v>27500</v>
      </c>
      <c r="L248" s="867"/>
      <c r="M248" s="1328"/>
    </row>
    <row r="249" spans="1:13" s="1329" customFormat="1" ht="24" customHeight="1">
      <c r="A249" s="1330"/>
      <c r="B249" s="1331" t="s">
        <v>2421</v>
      </c>
      <c r="C249" s="1349"/>
      <c r="D249" s="801"/>
      <c r="E249" s="1022">
        <v>1</v>
      </c>
      <c r="F249" s="867" t="s">
        <v>240</v>
      </c>
      <c r="G249" s="1250">
        <v>25000</v>
      </c>
      <c r="H249" s="864">
        <f t="shared" si="73"/>
        <v>25000</v>
      </c>
      <c r="I249" s="1249">
        <f t="shared" si="74"/>
        <v>2500</v>
      </c>
      <c r="J249" s="864">
        <f t="shared" si="75"/>
        <v>2500</v>
      </c>
      <c r="K249" s="966">
        <f t="shared" si="76"/>
        <v>27500</v>
      </c>
      <c r="L249" s="867"/>
      <c r="M249" s="1328"/>
    </row>
    <row r="250" spans="1:13" s="1329" customFormat="1" ht="24" customHeight="1">
      <c r="A250" s="1330"/>
      <c r="B250" s="1331" t="s">
        <v>2422</v>
      </c>
      <c r="C250" s="1349"/>
      <c r="D250" s="801"/>
      <c r="E250" s="1022">
        <v>1</v>
      </c>
      <c r="F250" s="867" t="s">
        <v>240</v>
      </c>
      <c r="G250" s="1250">
        <v>55000</v>
      </c>
      <c r="H250" s="864">
        <f t="shared" si="73"/>
        <v>55000</v>
      </c>
      <c r="I250" s="1249">
        <f t="shared" si="74"/>
        <v>5500</v>
      </c>
      <c r="J250" s="864">
        <f t="shared" si="75"/>
        <v>5500</v>
      </c>
      <c r="K250" s="966">
        <f t="shared" si="76"/>
        <v>60500</v>
      </c>
      <c r="L250" s="867"/>
      <c r="M250" s="1328"/>
    </row>
    <row r="251" spans="1:13" s="1329" customFormat="1" ht="24" customHeight="1">
      <c r="A251" s="1330"/>
      <c r="B251" s="1331" t="s">
        <v>2423</v>
      </c>
      <c r="C251" s="1349"/>
      <c r="D251" s="801"/>
      <c r="E251" s="1022">
        <v>1</v>
      </c>
      <c r="F251" s="867" t="s">
        <v>240</v>
      </c>
      <c r="G251" s="1250">
        <v>15000</v>
      </c>
      <c r="H251" s="864">
        <f t="shared" si="73"/>
        <v>15000</v>
      </c>
      <c r="I251" s="1249">
        <f t="shared" si="74"/>
        <v>1500</v>
      </c>
      <c r="J251" s="864">
        <f t="shared" si="75"/>
        <v>1500</v>
      </c>
      <c r="K251" s="966">
        <f t="shared" si="76"/>
        <v>16500</v>
      </c>
      <c r="L251" s="867"/>
      <c r="M251" s="1328"/>
    </row>
    <row r="252" spans="1:13" s="1329" customFormat="1" ht="24" customHeight="1">
      <c r="A252" s="1330"/>
      <c r="B252" s="1331" t="s">
        <v>2424</v>
      </c>
      <c r="C252" s="1349"/>
      <c r="D252" s="801"/>
      <c r="E252" s="1022">
        <v>1</v>
      </c>
      <c r="F252" s="867" t="s">
        <v>240</v>
      </c>
      <c r="G252" s="1250">
        <v>15000</v>
      </c>
      <c r="H252" s="864">
        <f t="shared" si="73"/>
        <v>15000</v>
      </c>
      <c r="I252" s="1249">
        <f t="shared" si="74"/>
        <v>1500</v>
      </c>
      <c r="J252" s="864">
        <f t="shared" si="75"/>
        <v>1500</v>
      </c>
      <c r="K252" s="966">
        <f t="shared" si="76"/>
        <v>16500</v>
      </c>
      <c r="L252" s="867"/>
      <c r="M252" s="1328"/>
    </row>
    <row r="253" spans="1:13" s="1329" customFormat="1" ht="24" customHeight="1">
      <c r="A253" s="1330"/>
      <c r="B253" s="1331" t="s">
        <v>2425</v>
      </c>
      <c r="C253" s="1349"/>
      <c r="D253" s="801"/>
      <c r="E253" s="1022">
        <v>1</v>
      </c>
      <c r="F253" s="867" t="s">
        <v>240</v>
      </c>
      <c r="G253" s="1250">
        <v>25000</v>
      </c>
      <c r="H253" s="864">
        <f t="shared" si="73"/>
        <v>25000</v>
      </c>
      <c r="I253" s="1249">
        <f t="shared" si="74"/>
        <v>2500</v>
      </c>
      <c r="J253" s="864">
        <f t="shared" si="75"/>
        <v>2500</v>
      </c>
      <c r="K253" s="966">
        <f t="shared" si="76"/>
        <v>27500</v>
      </c>
      <c r="L253" s="867"/>
      <c r="M253" s="1328"/>
    </row>
    <row r="254" spans="1:13" s="1329" customFormat="1" ht="24" customHeight="1">
      <c r="A254" s="1330"/>
      <c r="B254" s="1331" t="s">
        <v>2426</v>
      </c>
      <c r="C254" s="1349"/>
      <c r="D254" s="801"/>
      <c r="E254" s="1022">
        <v>1</v>
      </c>
      <c r="F254" s="867" t="s">
        <v>240</v>
      </c>
      <c r="G254" s="1250">
        <v>15000</v>
      </c>
      <c r="H254" s="864">
        <f t="shared" si="73"/>
        <v>15000</v>
      </c>
      <c r="I254" s="1249">
        <f t="shared" si="74"/>
        <v>1500</v>
      </c>
      <c r="J254" s="864">
        <f t="shared" si="75"/>
        <v>1500</v>
      </c>
      <c r="K254" s="966">
        <f t="shared" si="76"/>
        <v>16500</v>
      </c>
      <c r="L254" s="867"/>
      <c r="M254" s="1328"/>
    </row>
    <row r="255" spans="1:13" s="1329" customFormat="1" ht="24" customHeight="1">
      <c r="A255" s="1330"/>
      <c r="B255" s="1331"/>
      <c r="C255" s="1349"/>
      <c r="D255" s="801"/>
      <c r="E255" s="966"/>
      <c r="F255" s="867"/>
      <c r="G255" s="1250"/>
      <c r="H255" s="864"/>
      <c r="I255" s="865"/>
      <c r="J255" s="864"/>
      <c r="K255" s="867"/>
      <c r="L255" s="867"/>
      <c r="M255" s="1328"/>
    </row>
    <row r="256" spans="1:13" s="1329" customFormat="1" ht="24" customHeight="1">
      <c r="A256" s="1330" t="s">
        <v>2208</v>
      </c>
      <c r="B256" s="1331" t="s">
        <v>1207</v>
      </c>
      <c r="C256" s="1349"/>
      <c r="D256" s="801"/>
      <c r="E256" s="966"/>
      <c r="F256" s="867"/>
      <c r="G256" s="1250"/>
      <c r="H256" s="864"/>
      <c r="I256" s="865"/>
      <c r="J256" s="864"/>
      <c r="K256" s="867"/>
      <c r="L256" s="867"/>
      <c r="M256" s="1328"/>
    </row>
    <row r="257" spans="1:15" s="1329" customFormat="1" ht="24" customHeight="1">
      <c r="A257" s="1330"/>
      <c r="B257" s="1331" t="s">
        <v>1737</v>
      </c>
      <c r="C257" s="1349"/>
      <c r="D257" s="801"/>
      <c r="E257" s="966">
        <f>120+60+60+180+60+60+60+60</f>
        <v>660</v>
      </c>
      <c r="F257" s="867" t="s">
        <v>438</v>
      </c>
      <c r="G257" s="1181">
        <v>9</v>
      </c>
      <c r="H257" s="796">
        <f t="shared" ref="H257:H262" si="77">ROUND(E257*G257,)</f>
        <v>5940</v>
      </c>
      <c r="I257" s="865">
        <v>7</v>
      </c>
      <c r="J257" s="751">
        <f t="shared" ref="J257:J262" si="78">ROUND(E257*I257,)</f>
        <v>4620</v>
      </c>
      <c r="K257" s="973">
        <f t="shared" ref="K257:K262" si="79">H257+J257</f>
        <v>10560</v>
      </c>
      <c r="L257" s="1718" t="s">
        <v>2974</v>
      </c>
      <c r="N257" s="1404">
        <v>912.1</v>
      </c>
      <c r="O257" s="1404">
        <f t="shared" ref="O257:O262" si="80">ROUND(N257/100,)</f>
        <v>9</v>
      </c>
    </row>
    <row r="258" spans="1:15" s="1329" customFormat="1" ht="24" customHeight="1">
      <c r="A258" s="1330"/>
      <c r="B258" s="720" t="s">
        <v>1166</v>
      </c>
      <c r="C258" s="792"/>
      <c r="D258" s="792"/>
      <c r="E258" s="805">
        <f>180+60+105</f>
        <v>345</v>
      </c>
      <c r="F258" s="794" t="s">
        <v>438</v>
      </c>
      <c r="G258" s="806">
        <v>14</v>
      </c>
      <c r="H258" s="796">
        <f t="shared" si="77"/>
        <v>4830</v>
      </c>
      <c r="I258" s="797">
        <v>10</v>
      </c>
      <c r="J258" s="796">
        <f t="shared" si="78"/>
        <v>3450</v>
      </c>
      <c r="K258" s="914">
        <f t="shared" si="79"/>
        <v>8280</v>
      </c>
      <c r="L258" s="1718" t="s">
        <v>2974</v>
      </c>
      <c r="N258" s="1404">
        <v>1375.8</v>
      </c>
      <c r="O258" s="1404">
        <f t="shared" si="80"/>
        <v>14</v>
      </c>
    </row>
    <row r="259" spans="1:15" s="1329" customFormat="1" ht="24" customHeight="1">
      <c r="A259" s="1330"/>
      <c r="B259" s="720" t="s">
        <v>1167</v>
      </c>
      <c r="C259" s="792"/>
      <c r="D259" s="792"/>
      <c r="E259" s="805">
        <f>60+60</f>
        <v>120</v>
      </c>
      <c r="F259" s="794" t="s">
        <v>438</v>
      </c>
      <c r="G259" s="806">
        <v>23</v>
      </c>
      <c r="H259" s="796">
        <f t="shared" si="77"/>
        <v>2760</v>
      </c>
      <c r="I259" s="797">
        <v>12</v>
      </c>
      <c r="J259" s="796">
        <f t="shared" si="78"/>
        <v>1440</v>
      </c>
      <c r="K259" s="914">
        <f t="shared" si="79"/>
        <v>4200</v>
      </c>
      <c r="L259" s="1718" t="s">
        <v>2974</v>
      </c>
      <c r="N259" s="1404">
        <v>2264.1999999999998</v>
      </c>
      <c r="O259" s="1404">
        <f t="shared" si="80"/>
        <v>23</v>
      </c>
    </row>
    <row r="260" spans="1:15" s="1329" customFormat="1" ht="24" customHeight="1">
      <c r="A260" s="1330"/>
      <c r="B260" s="720" t="s">
        <v>1168</v>
      </c>
      <c r="C260" s="792"/>
      <c r="D260" s="792"/>
      <c r="E260" s="805"/>
      <c r="F260" s="794" t="s">
        <v>438</v>
      </c>
      <c r="G260" s="806">
        <v>39</v>
      </c>
      <c r="H260" s="796">
        <f t="shared" si="77"/>
        <v>0</v>
      </c>
      <c r="I260" s="797">
        <v>16</v>
      </c>
      <c r="J260" s="796">
        <f t="shared" si="78"/>
        <v>0</v>
      </c>
      <c r="K260" s="914">
        <f t="shared" si="79"/>
        <v>0</v>
      </c>
      <c r="L260" s="1718" t="s">
        <v>2974</v>
      </c>
      <c r="N260" s="1404">
        <v>3944.2</v>
      </c>
      <c r="O260" s="1404">
        <f t="shared" si="80"/>
        <v>39</v>
      </c>
    </row>
    <row r="261" spans="1:15" s="1329" customFormat="1" ht="24" customHeight="1">
      <c r="A261" s="1330"/>
      <c r="B261" s="720" t="s">
        <v>1169</v>
      </c>
      <c r="C261" s="792"/>
      <c r="D261" s="792"/>
      <c r="E261" s="805"/>
      <c r="F261" s="794" t="s">
        <v>438</v>
      </c>
      <c r="G261" s="806">
        <v>61</v>
      </c>
      <c r="H261" s="796">
        <f t="shared" si="77"/>
        <v>0</v>
      </c>
      <c r="I261" s="797">
        <v>20</v>
      </c>
      <c r="J261" s="796">
        <f t="shared" si="78"/>
        <v>0</v>
      </c>
      <c r="K261" s="914">
        <f t="shared" si="79"/>
        <v>0</v>
      </c>
      <c r="L261" s="1718" t="s">
        <v>2974</v>
      </c>
      <c r="N261" s="1404">
        <v>6120</v>
      </c>
      <c r="O261" s="1404">
        <f t="shared" si="80"/>
        <v>61</v>
      </c>
    </row>
    <row r="262" spans="1:15" s="1329" customFormat="1" ht="24" customHeight="1">
      <c r="A262" s="1330"/>
      <c r="B262" s="720" t="s">
        <v>1163</v>
      </c>
      <c r="C262" s="792"/>
      <c r="D262" s="792"/>
      <c r="E262" s="805"/>
      <c r="F262" s="794" t="s">
        <v>438</v>
      </c>
      <c r="G262" s="806">
        <v>183</v>
      </c>
      <c r="H262" s="796">
        <f t="shared" si="77"/>
        <v>0</v>
      </c>
      <c r="I262" s="797">
        <v>40</v>
      </c>
      <c r="J262" s="796">
        <f t="shared" si="78"/>
        <v>0</v>
      </c>
      <c r="K262" s="914">
        <f t="shared" si="79"/>
        <v>0</v>
      </c>
      <c r="L262" s="1718" t="s">
        <v>2974</v>
      </c>
      <c r="N262" s="1404">
        <v>18335.8</v>
      </c>
      <c r="O262" s="1404">
        <f t="shared" si="80"/>
        <v>183</v>
      </c>
    </row>
    <row r="263" spans="1:15" s="1329" customFormat="1" ht="24" customHeight="1">
      <c r="A263" s="1330" t="s">
        <v>2211</v>
      </c>
      <c r="B263" s="1331" t="s">
        <v>950</v>
      </c>
      <c r="C263" s="1349"/>
      <c r="D263" s="801"/>
      <c r="E263" s="966"/>
      <c r="F263" s="867"/>
      <c r="G263" s="1249"/>
      <c r="H263" s="864"/>
      <c r="I263" s="865"/>
      <c r="J263" s="864"/>
      <c r="K263" s="867"/>
      <c r="L263" s="867"/>
      <c r="M263" s="1328"/>
    </row>
    <row r="264" spans="1:15" s="1329" customFormat="1" ht="24" customHeight="1">
      <c r="A264" s="1330"/>
      <c r="B264" s="1331" t="s">
        <v>1201</v>
      </c>
      <c r="C264" s="1349"/>
      <c r="D264" s="801"/>
      <c r="E264" s="966">
        <f>30+15+15+45+15+15+15+15</f>
        <v>165</v>
      </c>
      <c r="F264" s="867" t="s">
        <v>438</v>
      </c>
      <c r="G264" s="1249">
        <v>56</v>
      </c>
      <c r="H264" s="796">
        <f t="shared" ref="H264:H270" si="81">ROUND(E264*G264,)</f>
        <v>9240</v>
      </c>
      <c r="I264" s="865">
        <v>26</v>
      </c>
      <c r="J264" s="751">
        <f t="shared" ref="J264:J270" si="82">ROUND(E264*I264,)</f>
        <v>4290</v>
      </c>
      <c r="K264" s="973">
        <f t="shared" ref="K264:K270" si="83">H264+J264</f>
        <v>13530</v>
      </c>
      <c r="L264" s="1718" t="s">
        <v>2974</v>
      </c>
      <c r="M264" s="1328"/>
      <c r="N264" s="1329">
        <v>169.2</v>
      </c>
      <c r="O264" s="1329">
        <f t="shared" ref="O264:O269" si="84">ROUND(N264/3,)</f>
        <v>56</v>
      </c>
    </row>
    <row r="265" spans="1:15" s="1329" customFormat="1" ht="24" customHeight="1">
      <c r="A265" s="1330"/>
      <c r="B265" s="1331" t="s">
        <v>1184</v>
      </c>
      <c r="C265" s="1349"/>
      <c r="D265" s="801"/>
      <c r="E265" s="966">
        <f>60+30+15</f>
        <v>105</v>
      </c>
      <c r="F265" s="867" t="s">
        <v>438</v>
      </c>
      <c r="G265" s="1249">
        <v>75</v>
      </c>
      <c r="H265" s="796">
        <f t="shared" si="81"/>
        <v>7875</v>
      </c>
      <c r="I265" s="865">
        <v>28</v>
      </c>
      <c r="J265" s="751">
        <f t="shared" si="82"/>
        <v>2940</v>
      </c>
      <c r="K265" s="973">
        <f t="shared" si="83"/>
        <v>10815</v>
      </c>
      <c r="L265" s="1718" t="s">
        <v>2974</v>
      </c>
      <c r="M265" s="1328"/>
      <c r="N265" s="1329">
        <v>225</v>
      </c>
      <c r="O265" s="1329">
        <f t="shared" si="84"/>
        <v>75</v>
      </c>
    </row>
    <row r="266" spans="1:15" s="1329" customFormat="1" ht="24" customHeight="1">
      <c r="A266" s="1330"/>
      <c r="B266" s="720" t="s">
        <v>1185</v>
      </c>
      <c r="C266" s="717"/>
      <c r="D266" s="717"/>
      <c r="E266" s="805"/>
      <c r="F266" s="794" t="s">
        <v>438</v>
      </c>
      <c r="G266" s="806">
        <v>101</v>
      </c>
      <c r="H266" s="796">
        <f t="shared" si="81"/>
        <v>0</v>
      </c>
      <c r="I266" s="807">
        <v>32</v>
      </c>
      <c r="J266" s="796">
        <f t="shared" si="82"/>
        <v>0</v>
      </c>
      <c r="K266" s="914">
        <f t="shared" si="83"/>
        <v>0</v>
      </c>
      <c r="L266" s="1718" t="s">
        <v>2974</v>
      </c>
      <c r="M266" s="1328"/>
      <c r="N266" s="1329">
        <v>303.60000000000002</v>
      </c>
      <c r="O266" s="1329">
        <f t="shared" si="84"/>
        <v>101</v>
      </c>
    </row>
    <row r="267" spans="1:15" s="1329" customFormat="1" ht="24" customHeight="1">
      <c r="A267" s="1330"/>
      <c r="B267" s="720" t="s">
        <v>1186</v>
      </c>
      <c r="C267" s="717"/>
      <c r="D267" s="717"/>
      <c r="E267" s="805"/>
      <c r="F267" s="794" t="s">
        <v>438</v>
      </c>
      <c r="G267" s="806">
        <v>131</v>
      </c>
      <c r="H267" s="796">
        <f t="shared" si="81"/>
        <v>0</v>
      </c>
      <c r="I267" s="807">
        <v>38</v>
      </c>
      <c r="J267" s="796">
        <f t="shared" si="82"/>
        <v>0</v>
      </c>
      <c r="K267" s="914">
        <f t="shared" si="83"/>
        <v>0</v>
      </c>
      <c r="L267" s="1718" t="s">
        <v>2974</v>
      </c>
      <c r="M267" s="1328"/>
      <c r="N267" s="1329">
        <v>391.8</v>
      </c>
      <c r="O267" s="1329">
        <f t="shared" si="84"/>
        <v>131</v>
      </c>
    </row>
    <row r="268" spans="1:15" s="1329" customFormat="1" ht="24" customHeight="1">
      <c r="A268" s="1330"/>
      <c r="B268" s="720" t="s">
        <v>1187</v>
      </c>
      <c r="C268" s="717"/>
      <c r="D268" s="717"/>
      <c r="E268" s="805"/>
      <c r="F268" s="794" t="s">
        <v>438</v>
      </c>
      <c r="G268" s="806">
        <v>160</v>
      </c>
      <c r="H268" s="796">
        <f t="shared" si="81"/>
        <v>0</v>
      </c>
      <c r="I268" s="807">
        <v>42</v>
      </c>
      <c r="J268" s="796">
        <f t="shared" si="82"/>
        <v>0</v>
      </c>
      <c r="K268" s="914">
        <f t="shared" si="83"/>
        <v>0</v>
      </c>
      <c r="L268" s="1718" t="s">
        <v>2974</v>
      </c>
      <c r="M268" s="1328"/>
      <c r="N268" s="1329">
        <v>481.2</v>
      </c>
      <c r="O268" s="1329">
        <f t="shared" si="84"/>
        <v>160</v>
      </c>
    </row>
    <row r="269" spans="1:15" s="1329" customFormat="1" ht="24" customHeight="1">
      <c r="A269" s="1330"/>
      <c r="B269" s="720" t="s">
        <v>1188</v>
      </c>
      <c r="C269" s="717"/>
      <c r="D269" s="717"/>
      <c r="E269" s="805"/>
      <c r="F269" s="794" t="s">
        <v>438</v>
      </c>
      <c r="G269" s="806">
        <v>219</v>
      </c>
      <c r="H269" s="796">
        <f t="shared" si="81"/>
        <v>0</v>
      </c>
      <c r="I269" s="807">
        <v>48</v>
      </c>
      <c r="J269" s="796">
        <f t="shared" si="82"/>
        <v>0</v>
      </c>
      <c r="K269" s="914">
        <f t="shared" si="83"/>
        <v>0</v>
      </c>
      <c r="L269" s="1718" t="s">
        <v>2974</v>
      </c>
      <c r="M269" s="1328"/>
      <c r="N269" s="1329">
        <v>657.6</v>
      </c>
      <c r="O269" s="1329">
        <f t="shared" si="84"/>
        <v>219</v>
      </c>
    </row>
    <row r="270" spans="1:15" s="1329" customFormat="1" ht="24" customHeight="1">
      <c r="A270" s="1330"/>
      <c r="B270" s="1331" t="s">
        <v>1237</v>
      </c>
      <c r="C270" s="1349"/>
      <c r="D270" s="801"/>
      <c r="E270" s="966">
        <v>1</v>
      </c>
      <c r="F270" s="867" t="s">
        <v>948</v>
      </c>
      <c r="G270" s="752">
        <f>ROUND(SUM(H264:H269)*15%,)</f>
        <v>2567</v>
      </c>
      <c r="H270" s="796">
        <f t="shared" si="81"/>
        <v>2567</v>
      </c>
      <c r="I270" s="949">
        <f>ROUND(G270*0.3,)</f>
        <v>770</v>
      </c>
      <c r="J270" s="751">
        <f t="shared" si="82"/>
        <v>770</v>
      </c>
      <c r="K270" s="973">
        <f t="shared" si="83"/>
        <v>3337</v>
      </c>
      <c r="L270" s="867"/>
      <c r="M270" s="1328"/>
    </row>
    <row r="271" spans="1:15" s="1329" customFormat="1" ht="24" customHeight="1">
      <c r="A271" s="1330"/>
      <c r="B271" s="1335" t="s">
        <v>957</v>
      </c>
      <c r="C271" s="1349"/>
      <c r="D271" s="890"/>
      <c r="E271" s="966"/>
      <c r="F271" s="903"/>
      <c r="G271" s="1249"/>
      <c r="H271" s="773"/>
      <c r="I271" s="906"/>
      <c r="J271" s="773"/>
      <c r="K271" s="947"/>
      <c r="L271" s="903"/>
      <c r="M271" s="1328"/>
    </row>
    <row r="272" spans="1:15" s="1329" customFormat="1" ht="24" customHeight="1">
      <c r="A272" s="1510"/>
      <c r="B272" s="2475" t="str">
        <f>"รวมราคารายการที่ "&amp;A242</f>
        <v>รวมราคารายการที่ 7.12</v>
      </c>
      <c r="C272" s="2476"/>
      <c r="D272" s="2477"/>
      <c r="E272" s="1511"/>
      <c r="F272" s="1511"/>
      <c r="G272" s="1513"/>
      <c r="H272" s="1514">
        <f>SUM(H243:H271)</f>
        <v>318212</v>
      </c>
      <c r="I272" s="1515"/>
      <c r="J272" s="1514">
        <f>SUM(J243:J271)</f>
        <v>46010</v>
      </c>
      <c r="K272" s="1514">
        <f>SUM(K243:K271)</f>
        <v>364222</v>
      </c>
      <c r="L272" s="1517"/>
      <c r="M272" s="1328"/>
    </row>
    <row r="273" spans="1:13" s="714" customFormat="1" ht="21.3">
      <c r="A273" s="1482"/>
      <c r="B273" s="886"/>
      <c r="C273" s="886"/>
      <c r="D273" s="886"/>
      <c r="E273" s="886"/>
      <c r="F273" s="886"/>
      <c r="G273" s="886"/>
      <c r="H273" s="886"/>
      <c r="I273" s="886"/>
      <c r="J273" s="886"/>
      <c r="K273" s="886"/>
      <c r="L273" s="886"/>
      <c r="M273" s="1322"/>
    </row>
    <row r="274" spans="1:13" s="714" customFormat="1" ht="21.3">
      <c r="A274" s="1482"/>
      <c r="B274" s="886"/>
      <c r="C274" s="886"/>
      <c r="D274" s="886"/>
      <c r="E274" s="886"/>
      <c r="F274" s="886"/>
      <c r="G274" s="886"/>
      <c r="H274" s="886"/>
      <c r="I274" s="886"/>
      <c r="J274" s="886"/>
      <c r="K274" s="886"/>
      <c r="L274" s="886"/>
      <c r="M274" s="1322"/>
    </row>
    <row r="275" spans="1:13" s="714" customFormat="1" ht="21.3">
      <c r="A275" s="1482"/>
      <c r="B275" s="886"/>
      <c r="C275" s="886"/>
      <c r="D275" s="886"/>
      <c r="E275" s="886"/>
      <c r="F275" s="886"/>
      <c r="G275" s="886"/>
      <c r="H275" s="886"/>
      <c r="I275" s="886"/>
      <c r="J275" s="886"/>
      <c r="K275" s="886"/>
      <c r="L275" s="886"/>
      <c r="M275" s="1322"/>
    </row>
    <row r="276" spans="1:13" s="714" customFormat="1" ht="21.3">
      <c r="A276" s="1482"/>
      <c r="B276" s="886"/>
      <c r="C276" s="886"/>
      <c r="D276" s="886"/>
      <c r="E276" s="886"/>
      <c r="F276" s="886"/>
      <c r="G276" s="886"/>
      <c r="H276" s="886"/>
      <c r="I276" s="886"/>
      <c r="J276" s="886"/>
      <c r="K276" s="886"/>
      <c r="L276" s="886"/>
      <c r="M276" s="1322"/>
    </row>
    <row r="277" spans="1:13">
      <c r="A277" s="1482"/>
      <c r="B277" s="886"/>
      <c r="C277" s="886"/>
      <c r="D277" s="886"/>
      <c r="E277" s="886"/>
      <c r="F277" s="886"/>
      <c r="G277" s="886"/>
      <c r="H277" s="886"/>
      <c r="I277" s="886"/>
      <c r="J277" s="886"/>
      <c r="K277" s="886"/>
      <c r="L277" s="886"/>
    </row>
    <row r="278" spans="1:13">
      <c r="A278" s="1482"/>
      <c r="B278" s="886"/>
      <c r="C278" s="886"/>
      <c r="D278" s="886"/>
      <c r="E278" s="886"/>
      <c r="F278" s="886"/>
      <c r="G278" s="886"/>
      <c r="H278" s="886"/>
      <c r="I278" s="886"/>
      <c r="J278" s="886"/>
      <c r="K278" s="886"/>
      <c r="L278" s="886"/>
    </row>
    <row r="279" spans="1:13">
      <c r="A279" s="1482"/>
      <c r="B279" s="886"/>
      <c r="C279" s="886"/>
      <c r="D279" s="886"/>
      <c r="E279" s="886"/>
      <c r="F279" s="886"/>
      <c r="G279" s="886"/>
      <c r="H279" s="886"/>
      <c r="I279" s="886"/>
      <c r="J279" s="886"/>
      <c r="K279" s="886"/>
      <c r="L279" s="886"/>
    </row>
    <row r="286" spans="1:13">
      <c r="B286" s="1488"/>
    </row>
    <row r="287" spans="1:13">
      <c r="B287" s="1488"/>
    </row>
  </sheetData>
  <mergeCells count="21">
    <mergeCell ref="B99:D99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45:D45"/>
    <mergeCell ref="B70:D70"/>
    <mergeCell ref="B78:D78"/>
    <mergeCell ref="B92:D92"/>
    <mergeCell ref="B272:D272"/>
    <mergeCell ref="B127:D127"/>
    <mergeCell ref="B145:D145"/>
    <mergeCell ref="B170:D170"/>
    <mergeCell ref="B184:D184"/>
    <mergeCell ref="B193:D193"/>
    <mergeCell ref="B241:D241"/>
  </mergeCells>
  <conditionalFormatting sqref="A35:D35 A1:L11 A79:D79 L79 A93:D93 A110:G110 A101:D101 A128:D128 A147:L147 A146:D146 A171:D171 A172:L172 A185:D185 L185 A186:L186 A194:D194 B205:L205 A243:D243 A94:L94 A129:L129 C22:D22 A86:A89 A91:L91 A85:L85 A98:L98 A273:L1048576 C23:E23 A95:F95 L95 A102:F109 A114:L114 A111:F113 I110 L101:L113 A122:L126 A115:F116 A132:L132 A130:F131 A135:L135 A133:F134 A142:L142 L133:L134 L136:L141 A145 A143:F143 L130:L131 A144:J144 L143:L144 A153:L153 A167:L169 A190:G190 I190 L190 A36:L36 F86:G86 F87:F89 A90:G90 A256:L256 A263:K263 A264:A270 L270 A191:L193 A271:L271 L86:L90 I86:I90 A75:L77 L74 A197:A204 F206 C207:L207 A206:A207 A210:L210 A180:L183 L119:L121 A119:F121 A136:F141 A231:L231 A211:A230 A240:L240 A232:A237 F239 A239 L197:L204 L206 A208:F209 L208:L209 F211:F230 L211:L230 F232:F237 L232:L237 L239 A73:A74 A37:F40 A42:L44 A66:L69 A48:F65 L48:L65 A46:L47 C71:L73 A92 E92:L92 A100:L100 A99 E99:L99 A127 E127:L127 E145:L145 A170 E170:L170 A184 E184:L184 A242:L242 A241 E241:L241 A272 E272:L272 B24:L25 B12:L21 G22:L23 A160:L162 A154:A159 L154:L159 A26:L33 A257:A262 A41:G41 I41 L37:L41">
    <cfRule type="expression" dxfId="957" priority="120">
      <formula>SUMPRODUCT(--(ROW()=$O$12:$O$21))&gt;0</formula>
    </cfRule>
  </conditionalFormatting>
  <conditionalFormatting sqref="F23 C244:D248 I244 F244:G248 L244:L248 L250:L253 F250:G253 C250:D253">
    <cfRule type="expression" dxfId="956" priority="119">
      <formula>SUMPRODUCT(--(ROW()=$O$12:$O$21))&gt;0</formula>
    </cfRule>
  </conditionalFormatting>
  <conditionalFormatting sqref="E35:K35">
    <cfRule type="expression" dxfId="955" priority="118">
      <formula>SUMPRODUCT(--(ROW()=$O$12:$O$21))&gt;0</formula>
    </cfRule>
  </conditionalFormatting>
  <conditionalFormatting sqref="L35">
    <cfRule type="expression" dxfId="954" priority="117">
      <formula>SUMPRODUCT(--(ROW()=$O$12:$O$21))&gt;0</formula>
    </cfRule>
  </conditionalFormatting>
  <conditionalFormatting sqref="E79:K79">
    <cfRule type="expression" dxfId="953" priority="116">
      <formula>SUMPRODUCT(--(ROW()=$O$12:$O$21))&gt;0</formula>
    </cfRule>
  </conditionalFormatting>
  <conditionalFormatting sqref="E93:K93">
    <cfRule type="expression" dxfId="952" priority="115">
      <formula>SUMPRODUCT(--(ROW()=$O$12:$O$21))&gt;0</formula>
    </cfRule>
  </conditionalFormatting>
  <conditionalFormatting sqref="L93">
    <cfRule type="expression" dxfId="951" priority="114">
      <formula>SUMPRODUCT(--(ROW()=$O$12:$O$21))&gt;0</formula>
    </cfRule>
  </conditionalFormatting>
  <conditionalFormatting sqref="E101:K101">
    <cfRule type="expression" dxfId="950" priority="113">
      <formula>SUMPRODUCT(--(ROW()=$O$12:$O$21))&gt;0</formula>
    </cfRule>
  </conditionalFormatting>
  <conditionalFormatting sqref="E128:K128">
    <cfRule type="expression" dxfId="949" priority="112">
      <formula>SUMPRODUCT(--(ROW()=$O$12:$O$21))&gt;0</formula>
    </cfRule>
  </conditionalFormatting>
  <conditionalFormatting sqref="L128">
    <cfRule type="expression" dxfId="948" priority="111">
      <formula>SUMPRODUCT(--(ROW()=$O$12:$O$21))&gt;0</formula>
    </cfRule>
  </conditionalFormatting>
  <conditionalFormatting sqref="E146:K146">
    <cfRule type="expression" dxfId="947" priority="110">
      <formula>SUMPRODUCT(--(ROW()=$O$12:$O$21))&gt;0</formula>
    </cfRule>
  </conditionalFormatting>
  <conditionalFormatting sqref="L146">
    <cfRule type="expression" dxfId="946" priority="109">
      <formula>SUMPRODUCT(--(ROW()=$O$12:$O$21))&gt;0</formula>
    </cfRule>
  </conditionalFormatting>
  <conditionalFormatting sqref="E171:K171">
    <cfRule type="expression" dxfId="945" priority="108">
      <formula>SUMPRODUCT(--(ROW()=$O$12:$O$21))&gt;0</formula>
    </cfRule>
  </conditionalFormatting>
  <conditionalFormatting sqref="L171">
    <cfRule type="expression" dxfId="944" priority="107">
      <formula>SUMPRODUCT(--(ROW()=$O$12:$O$21))&gt;0</formula>
    </cfRule>
  </conditionalFormatting>
  <conditionalFormatting sqref="E185:K185">
    <cfRule type="expression" dxfId="943" priority="106">
      <formula>SUMPRODUCT(--(ROW()=$O$12:$O$21))&gt;0</formula>
    </cfRule>
  </conditionalFormatting>
  <conditionalFormatting sqref="E194:K194">
    <cfRule type="expression" dxfId="942" priority="105">
      <formula>SUMPRODUCT(--(ROW()=$O$12:$O$21))&gt;0</formula>
    </cfRule>
  </conditionalFormatting>
  <conditionalFormatting sqref="L194">
    <cfRule type="expression" dxfId="941" priority="104">
      <formula>SUMPRODUCT(--(ROW()=$O$12:$O$21))&gt;0</formula>
    </cfRule>
  </conditionalFormatting>
  <conditionalFormatting sqref="E243:K243">
    <cfRule type="expression" dxfId="940" priority="103">
      <formula>SUMPRODUCT(--(ROW()=$O$12:$O$21))&gt;0</formula>
    </cfRule>
  </conditionalFormatting>
  <conditionalFormatting sqref="L243">
    <cfRule type="expression" dxfId="939" priority="102">
      <formula>SUMPRODUCT(--(ROW()=$O$12:$O$21))&gt;0</formula>
    </cfRule>
  </conditionalFormatting>
  <conditionalFormatting sqref="B22">
    <cfRule type="expression" dxfId="938" priority="101">
      <formula>SUMPRODUCT(--(ROW()=$O$12:$O$21))&gt;0</formula>
    </cfRule>
  </conditionalFormatting>
  <conditionalFormatting sqref="B86:E89">
    <cfRule type="expression" dxfId="937" priority="100">
      <formula>SUMPRODUCT(--(ROW()=$O$12:$O$21))&gt;0</formula>
    </cfRule>
  </conditionalFormatting>
  <conditionalFormatting sqref="E22:F22">
    <cfRule type="expression" dxfId="936" priority="99">
      <formula>SUMPRODUCT(--(ROW()=$O$12:$O$21))&gt;0</formula>
    </cfRule>
  </conditionalFormatting>
  <conditionalFormatting sqref="B23">
    <cfRule type="expression" dxfId="935" priority="98">
      <formula>SUMPRODUCT(--(ROW()=$O$12:$O$21))&gt;0</formula>
    </cfRule>
  </conditionalFormatting>
  <conditionalFormatting sqref="A244:A248 A250:A253">
    <cfRule type="expression" dxfId="934" priority="97">
      <formula>SUMPRODUCT(--(ROW()=$O$12:$O$21))&gt;0</formula>
    </cfRule>
  </conditionalFormatting>
  <conditionalFormatting sqref="E244:E248 E250:E253">
    <cfRule type="expression" dxfId="933" priority="96">
      <formula>SUMPRODUCT(--(ROW()=$O$12:$O$21))&gt;0</formula>
    </cfRule>
  </conditionalFormatting>
  <conditionalFormatting sqref="H244">
    <cfRule type="expression" dxfId="932" priority="87">
      <formula>SUMPRODUCT(--(ROW()=$O$12:$O$21))&gt;0</formula>
    </cfRule>
  </conditionalFormatting>
  <conditionalFormatting sqref="I107:I109">
    <cfRule type="expression" dxfId="931" priority="95">
      <formula>SUMPRODUCT(--(ROW()=$O$12:$O$21))&gt;0</formula>
    </cfRule>
  </conditionalFormatting>
  <conditionalFormatting sqref="G136:G141">
    <cfRule type="expression" dxfId="930" priority="94">
      <formula>SUMPRODUCT(--(ROW()=$O$12:$O$21))&gt;0</formula>
    </cfRule>
  </conditionalFormatting>
  <conditionalFormatting sqref="I136:I141">
    <cfRule type="expression" dxfId="929" priority="93">
      <formula>SUMPRODUCT(--(ROW()=$O$12:$O$21))&gt;0</formula>
    </cfRule>
  </conditionalFormatting>
  <conditionalFormatting sqref="G143">
    <cfRule type="expression" dxfId="928" priority="92">
      <formula>SUMPRODUCT(--(ROW()=$O$12:$O$21))&gt;0</formula>
    </cfRule>
  </conditionalFormatting>
  <conditionalFormatting sqref="I143">
    <cfRule type="expression" dxfId="927" priority="91">
      <formula>SUMPRODUCT(--(ROW()=$O$12:$O$21))&gt;0</formula>
    </cfRule>
  </conditionalFormatting>
  <conditionalFormatting sqref="G87">
    <cfRule type="expression" dxfId="926" priority="90">
      <formula>SUMPRODUCT(--(ROW()=$O$12:$O$21))&gt;0</formula>
    </cfRule>
  </conditionalFormatting>
  <conditionalFormatting sqref="G88">
    <cfRule type="expression" dxfId="925" priority="89">
      <formula>SUMPRODUCT(--(ROW()=$O$12:$O$21))&gt;0</formula>
    </cfRule>
  </conditionalFormatting>
  <conditionalFormatting sqref="G89">
    <cfRule type="expression" dxfId="924" priority="88">
      <formula>SUMPRODUCT(--(ROW()=$O$12:$O$21))&gt;0</formula>
    </cfRule>
  </conditionalFormatting>
  <conditionalFormatting sqref="J250:K250">
    <cfRule type="expression" dxfId="923" priority="71">
      <formula>SUMPRODUCT(--(ROW()=$O$12:$O$21))&gt;0</formula>
    </cfRule>
  </conditionalFormatting>
  <conditionalFormatting sqref="J244:K244">
    <cfRule type="expression" dxfId="922" priority="86">
      <formula>SUMPRODUCT(--(ROW()=$O$12:$O$21))&gt;0</formula>
    </cfRule>
  </conditionalFormatting>
  <conditionalFormatting sqref="I245">
    <cfRule type="expression" dxfId="921" priority="85">
      <formula>SUMPRODUCT(--(ROW()=$O$12:$O$21))&gt;0</formula>
    </cfRule>
  </conditionalFormatting>
  <conditionalFormatting sqref="H245">
    <cfRule type="expression" dxfId="920" priority="84">
      <formula>SUMPRODUCT(--(ROW()=$O$12:$O$21))&gt;0</formula>
    </cfRule>
  </conditionalFormatting>
  <conditionalFormatting sqref="J245:K245">
    <cfRule type="expression" dxfId="919" priority="83">
      <formula>SUMPRODUCT(--(ROW()=$O$12:$O$21))&gt;0</formula>
    </cfRule>
  </conditionalFormatting>
  <conditionalFormatting sqref="I246">
    <cfRule type="expression" dxfId="918" priority="82">
      <formula>SUMPRODUCT(--(ROW()=$O$12:$O$21))&gt;0</formula>
    </cfRule>
  </conditionalFormatting>
  <conditionalFormatting sqref="H246">
    <cfRule type="expression" dxfId="917" priority="81">
      <formula>SUMPRODUCT(--(ROW()=$O$12:$O$21))&gt;0</formula>
    </cfRule>
  </conditionalFormatting>
  <conditionalFormatting sqref="J246:K246">
    <cfRule type="expression" dxfId="916" priority="80">
      <formula>SUMPRODUCT(--(ROW()=$O$12:$O$21))&gt;0</formula>
    </cfRule>
  </conditionalFormatting>
  <conditionalFormatting sqref="I247">
    <cfRule type="expression" dxfId="915" priority="79">
      <formula>SUMPRODUCT(--(ROW()=$O$12:$O$21))&gt;0</formula>
    </cfRule>
  </conditionalFormatting>
  <conditionalFormatting sqref="H247">
    <cfRule type="expression" dxfId="914" priority="78">
      <formula>SUMPRODUCT(--(ROW()=$O$12:$O$21))&gt;0</formula>
    </cfRule>
  </conditionalFormatting>
  <conditionalFormatting sqref="J247:K247">
    <cfRule type="expression" dxfId="913" priority="77">
      <formula>SUMPRODUCT(--(ROW()=$O$12:$O$21))&gt;0</formula>
    </cfRule>
  </conditionalFormatting>
  <conditionalFormatting sqref="I248">
    <cfRule type="expression" dxfId="912" priority="76">
      <formula>SUMPRODUCT(--(ROW()=$O$12:$O$21))&gt;0</formula>
    </cfRule>
  </conditionalFormatting>
  <conditionalFormatting sqref="H248">
    <cfRule type="expression" dxfId="911" priority="75">
      <formula>SUMPRODUCT(--(ROW()=$O$12:$O$21))&gt;0</formula>
    </cfRule>
  </conditionalFormatting>
  <conditionalFormatting sqref="J248:K248">
    <cfRule type="expression" dxfId="910" priority="74">
      <formula>SUMPRODUCT(--(ROW()=$O$12:$O$21))&gt;0</formula>
    </cfRule>
  </conditionalFormatting>
  <conditionalFormatting sqref="I250">
    <cfRule type="expression" dxfId="909" priority="73">
      <formula>SUMPRODUCT(--(ROW()=$O$12:$O$21))&gt;0</formula>
    </cfRule>
  </conditionalFormatting>
  <conditionalFormatting sqref="H250">
    <cfRule type="expression" dxfId="908" priority="72">
      <formula>SUMPRODUCT(--(ROW()=$O$12:$O$21))&gt;0</formula>
    </cfRule>
  </conditionalFormatting>
  <conditionalFormatting sqref="I251">
    <cfRule type="expression" dxfId="907" priority="70">
      <formula>SUMPRODUCT(--(ROW()=$O$12:$O$21))&gt;0</formula>
    </cfRule>
  </conditionalFormatting>
  <conditionalFormatting sqref="H251">
    <cfRule type="expression" dxfId="906" priority="69">
      <formula>SUMPRODUCT(--(ROW()=$O$12:$O$21))&gt;0</formula>
    </cfRule>
  </conditionalFormatting>
  <conditionalFormatting sqref="J251:K251">
    <cfRule type="expression" dxfId="905" priority="68">
      <formula>SUMPRODUCT(--(ROW()=$O$12:$O$21))&gt;0</formula>
    </cfRule>
  </conditionalFormatting>
  <conditionalFormatting sqref="I252">
    <cfRule type="expression" dxfId="904" priority="67">
      <formula>SUMPRODUCT(--(ROW()=$O$12:$O$21))&gt;0</formula>
    </cfRule>
  </conditionalFormatting>
  <conditionalFormatting sqref="H252">
    <cfRule type="expression" dxfId="903" priority="66">
      <formula>SUMPRODUCT(--(ROW()=$O$12:$O$21))&gt;0</formula>
    </cfRule>
  </conditionalFormatting>
  <conditionalFormatting sqref="J252:K252">
    <cfRule type="expression" dxfId="902" priority="65">
      <formula>SUMPRODUCT(--(ROW()=$O$12:$O$21))&gt;0</formula>
    </cfRule>
  </conditionalFormatting>
  <conditionalFormatting sqref="I253">
    <cfRule type="expression" dxfId="901" priority="64">
      <formula>SUMPRODUCT(--(ROW()=$O$12:$O$21))&gt;0</formula>
    </cfRule>
  </conditionalFormatting>
  <conditionalFormatting sqref="H253">
    <cfRule type="expression" dxfId="900" priority="63">
      <formula>SUMPRODUCT(--(ROW()=$O$12:$O$21))&gt;0</formula>
    </cfRule>
  </conditionalFormatting>
  <conditionalFormatting sqref="J253:K253">
    <cfRule type="expression" dxfId="899" priority="62">
      <formula>SUMPRODUCT(--(ROW()=$O$12:$O$21))&gt;0</formula>
    </cfRule>
  </conditionalFormatting>
  <conditionalFormatting sqref="B82:E82">
    <cfRule type="expression" dxfId="898" priority="61">
      <formula>SUMPRODUCT(--(ROW()=$O$12:$O$21))&gt;0</formula>
    </cfRule>
  </conditionalFormatting>
  <conditionalFormatting sqref="M82">
    <cfRule type="cellIs" dxfId="897" priority="60" stopIfTrue="1" operator="equal">
      <formula>1</formula>
    </cfRule>
  </conditionalFormatting>
  <conditionalFormatting sqref="M82">
    <cfRule type="cellIs" dxfId="896" priority="59" stopIfTrue="1" operator="equal">
      <formula>0</formula>
    </cfRule>
  </conditionalFormatting>
  <conditionalFormatting sqref="B81:E81">
    <cfRule type="expression" dxfId="895" priority="58">
      <formula>SUMPRODUCT(--(ROW()=$O$12:$O$21))&gt;0</formula>
    </cfRule>
  </conditionalFormatting>
  <conditionalFormatting sqref="M81">
    <cfRule type="cellIs" dxfId="894" priority="57" stopIfTrue="1" operator="equal">
      <formula>1</formula>
    </cfRule>
  </conditionalFormatting>
  <conditionalFormatting sqref="M81">
    <cfRule type="cellIs" dxfId="893" priority="56" stopIfTrue="1" operator="equal">
      <formula>0</formula>
    </cfRule>
  </conditionalFormatting>
  <conditionalFormatting sqref="B83:E84">
    <cfRule type="expression" dxfId="892" priority="55">
      <formula>SUMPRODUCT(--(ROW()=$O$12:$O$21))&gt;0</formula>
    </cfRule>
  </conditionalFormatting>
  <conditionalFormatting sqref="M83:M84">
    <cfRule type="cellIs" dxfId="891" priority="54" stopIfTrue="1" operator="equal">
      <formula>1</formula>
    </cfRule>
  </conditionalFormatting>
  <conditionalFormatting sqref="M83:M84">
    <cfRule type="cellIs" dxfId="890" priority="53" stopIfTrue="1" operator="equal">
      <formula>0</formula>
    </cfRule>
  </conditionalFormatting>
  <conditionalFormatting sqref="C249:D249 F249:G249 L249">
    <cfRule type="expression" dxfId="889" priority="52">
      <formula>SUMPRODUCT(--(ROW()=$O$12:$O$21))&gt;0</formula>
    </cfRule>
  </conditionalFormatting>
  <conditionalFormatting sqref="A249">
    <cfRule type="expression" dxfId="888" priority="51">
      <formula>SUMPRODUCT(--(ROW()=$O$12:$O$21))&gt;0</formula>
    </cfRule>
  </conditionalFormatting>
  <conditionalFormatting sqref="E249">
    <cfRule type="expression" dxfId="887" priority="50">
      <formula>SUMPRODUCT(--(ROW()=$O$12:$O$21))&gt;0</formula>
    </cfRule>
  </conditionalFormatting>
  <conditionalFormatting sqref="I249">
    <cfRule type="expression" dxfId="886" priority="49">
      <formula>SUMPRODUCT(--(ROW()=$O$12:$O$21))&gt;0</formula>
    </cfRule>
  </conditionalFormatting>
  <conditionalFormatting sqref="H249">
    <cfRule type="expression" dxfId="885" priority="48">
      <formula>SUMPRODUCT(--(ROW()=$O$12:$O$21))&gt;0</formula>
    </cfRule>
  </conditionalFormatting>
  <conditionalFormatting sqref="J249:K249">
    <cfRule type="expression" dxfId="884" priority="47">
      <formula>SUMPRODUCT(--(ROW()=$O$12:$O$21))&gt;0</formula>
    </cfRule>
  </conditionalFormatting>
  <conditionalFormatting sqref="L254 F254 C254:D254">
    <cfRule type="expression" dxfId="883" priority="46">
      <formula>SUMPRODUCT(--(ROW()=$O$12:$O$21))&gt;0</formula>
    </cfRule>
  </conditionalFormatting>
  <conditionalFormatting sqref="A254">
    <cfRule type="expression" dxfId="882" priority="45">
      <formula>SUMPRODUCT(--(ROW()=$O$12:$O$21))&gt;0</formula>
    </cfRule>
  </conditionalFormatting>
  <conditionalFormatting sqref="E254">
    <cfRule type="expression" dxfId="881" priority="44">
      <formula>SUMPRODUCT(--(ROW()=$O$12:$O$21))&gt;0</formula>
    </cfRule>
  </conditionalFormatting>
  <conditionalFormatting sqref="I254">
    <cfRule type="expression" dxfId="880" priority="43">
      <formula>SUMPRODUCT(--(ROW()=$O$12:$O$21))&gt;0</formula>
    </cfRule>
  </conditionalFormatting>
  <conditionalFormatting sqref="H254">
    <cfRule type="expression" dxfId="879" priority="42">
      <formula>SUMPRODUCT(--(ROW()=$O$12:$O$21))&gt;0</formula>
    </cfRule>
  </conditionalFormatting>
  <conditionalFormatting sqref="J254:K254">
    <cfRule type="expression" dxfId="878" priority="41">
      <formula>SUMPRODUCT(--(ROW()=$O$12:$O$21))&gt;0</formula>
    </cfRule>
  </conditionalFormatting>
  <conditionalFormatting sqref="G254">
    <cfRule type="expression" dxfId="877" priority="40">
      <formula>SUMPRODUCT(--(ROW()=$O$12:$O$21))&gt;0</formula>
    </cfRule>
  </conditionalFormatting>
  <conditionalFormatting sqref="B196">
    <cfRule type="expression" dxfId="876" priority="39">
      <formula>SUMPRODUCT(--(ROW()=$O$12:$O$22))&gt;0</formula>
    </cfRule>
  </conditionalFormatting>
  <conditionalFormatting sqref="B197:B204">
    <cfRule type="expression" dxfId="875" priority="38">
      <formula>SUMPRODUCT(--(ROW()=$O$12:$O$22))&gt;0</formula>
    </cfRule>
  </conditionalFormatting>
  <conditionalFormatting sqref="B206">
    <cfRule type="expression" dxfId="874" priority="37">
      <formula>SUMPRODUCT(--(ROW()=$O$12:$O$22))&gt;0</formula>
    </cfRule>
  </conditionalFormatting>
  <conditionalFormatting sqref="F196:F204">
    <cfRule type="expression" dxfId="873" priority="36">
      <formula>SUMPRODUCT(--(ROW()=$O$12:$O$21))&gt;0</formula>
    </cfRule>
  </conditionalFormatting>
  <conditionalFormatting sqref="A117 C117:F117">
    <cfRule type="expression" dxfId="872" priority="35">
      <formula>SUMPRODUCT(--(ROW()=$O$12:$O$22))&gt;0</formula>
    </cfRule>
  </conditionalFormatting>
  <conditionalFormatting sqref="A118:F118">
    <cfRule type="expression" dxfId="871" priority="34">
      <formula>SUMPRODUCT(--(ROW()=$O$12:$O$22))&gt;0</formula>
    </cfRule>
  </conditionalFormatting>
  <conditionalFormatting sqref="B117">
    <cfRule type="expression" dxfId="870" priority="33">
      <formula>SUMPRODUCT(--(ROW()=$O$12:$O$21))&gt;0</formula>
    </cfRule>
  </conditionalFormatting>
  <conditionalFormatting sqref="B211:B230">
    <cfRule type="expression" dxfId="869" priority="32">
      <formula>SUMPRODUCT(--(ROW()=$O$12:$O$22))&gt;0</formula>
    </cfRule>
  </conditionalFormatting>
  <conditionalFormatting sqref="B232:B237 B239">
    <cfRule type="expression" dxfId="868" priority="31">
      <formula>SUMPRODUCT(--(ROW()=$O$12:$O$22))&gt;0</formula>
    </cfRule>
  </conditionalFormatting>
  <conditionalFormatting sqref="G107:G109">
    <cfRule type="expression" dxfId="867" priority="30">
      <formula>SUMPRODUCT(--(ROW()=$O$14:$O$24))&gt;0</formula>
    </cfRule>
  </conditionalFormatting>
  <conditionalFormatting sqref="H112:H113">
    <cfRule type="expression" dxfId="866" priority="29">
      <formula>SUMPRODUCT(--(ROW()=$O$14:$O$24))&gt;0</formula>
    </cfRule>
  </conditionalFormatting>
  <conditionalFormatting sqref="G197">
    <cfRule type="expression" dxfId="865" priority="28">
      <formula>SUMPRODUCT(--(ROW()=$O$14:$O$24))&gt;0</formula>
    </cfRule>
  </conditionalFormatting>
  <conditionalFormatting sqref="G200">
    <cfRule type="expression" dxfId="864" priority="27">
      <formula>SUMPRODUCT(--(ROW()=$O$14:$O$24))&gt;0</formula>
    </cfRule>
  </conditionalFormatting>
  <conditionalFormatting sqref="G204 I204">
    <cfRule type="expression" dxfId="863" priority="26">
      <formula>SUMPRODUCT(--(ROW()=$O$14:$O$24))&gt;0</formula>
    </cfRule>
  </conditionalFormatting>
  <conditionalFormatting sqref="G206">
    <cfRule type="expression" dxfId="862" priority="25">
      <formula>SUMPRODUCT(--(ROW()=$O$14:$O$24))&gt;0</formula>
    </cfRule>
  </conditionalFormatting>
  <conditionalFormatting sqref="G201">
    <cfRule type="expression" dxfId="861" priority="24">
      <formula>SUMPRODUCT(--(ROW()=$O$14:$O$24))&gt;0</formula>
    </cfRule>
  </conditionalFormatting>
  <conditionalFormatting sqref="G239 I239:J239">
    <cfRule type="expression" dxfId="860" priority="23">
      <formula>SUMPRODUCT(--(ROW()=$O$14:$O$24))&gt;0</formula>
    </cfRule>
  </conditionalFormatting>
  <conditionalFormatting sqref="A71:B72">
    <cfRule type="expression" dxfId="859" priority="22">
      <formula>SUMPRODUCT(--(ROW()=$O$12:$O$21))&gt;0</formula>
    </cfRule>
  </conditionalFormatting>
  <conditionalFormatting sqref="G40:K40 I39:K39 G37:G39 H41 J41:K41">
    <cfRule type="expression" dxfId="858" priority="21">
      <formula>SUMPRODUCT(--(ROW()=$O$12:$O$21))&gt;0</formula>
    </cfRule>
  </conditionalFormatting>
  <conditionalFormatting sqref="H37:K38">
    <cfRule type="expression" dxfId="857" priority="20">
      <formula>SUMPRODUCT(--(ROW()=$O$12:$O$21))&gt;0</formula>
    </cfRule>
  </conditionalFormatting>
  <conditionalFormatting sqref="H39">
    <cfRule type="expression" dxfId="856" priority="19">
      <formula>SUMPRODUCT(--(ROW()=$O$12:$O$21))&gt;0</formula>
    </cfRule>
  </conditionalFormatting>
  <conditionalFormatting sqref="G63:K65 H48:K62">
    <cfRule type="expression" dxfId="855" priority="18">
      <formula>SUMPRODUCT(--(ROW()=$O$12:$O$21))&gt;0</formula>
    </cfRule>
  </conditionalFormatting>
  <conditionalFormatting sqref="G54:G55">
    <cfRule type="expression" dxfId="854" priority="17">
      <formula>SUMPRODUCT(--(ROW()=$O$12:$O$21))&gt;0</formula>
    </cfRule>
  </conditionalFormatting>
  <conditionalFormatting sqref="G56">
    <cfRule type="expression" dxfId="853" priority="16">
      <formula>SUMPRODUCT(--(ROW()=$O$12:$O$21))&gt;0</formula>
    </cfRule>
  </conditionalFormatting>
  <conditionalFormatting sqref="G57">
    <cfRule type="expression" dxfId="852" priority="15">
      <formula>SUMPRODUCT(--(ROW()=$O$12:$O$21))&gt;0</formula>
    </cfRule>
  </conditionalFormatting>
  <conditionalFormatting sqref="G61">
    <cfRule type="expression" dxfId="851" priority="14">
      <formula>SUMPRODUCT(--(ROW()=$O$12:$O$21))&gt;0</formula>
    </cfRule>
  </conditionalFormatting>
  <conditionalFormatting sqref="G51:G52">
    <cfRule type="expression" dxfId="850" priority="13">
      <formula>SUMPRODUCT(--(ROW()=$O$12:$O$21))&gt;0</formula>
    </cfRule>
  </conditionalFormatting>
  <conditionalFormatting sqref="G49:G50">
    <cfRule type="expression" dxfId="849" priority="12">
      <formula>SUMPRODUCT(--(ROW()=$O$12:$O$21))&gt;0</formula>
    </cfRule>
  </conditionalFormatting>
  <conditionalFormatting sqref="G59:G60">
    <cfRule type="expression" dxfId="848" priority="11">
      <formula>SUMPRODUCT(--(ROW()=$O$12:$O$21))&gt;0</formula>
    </cfRule>
  </conditionalFormatting>
  <conditionalFormatting sqref="G48">
    <cfRule type="expression" dxfId="847" priority="10">
      <formula>SUMPRODUCT(--(ROW()=$O$12:$O$21))&gt;0</formula>
    </cfRule>
  </conditionalFormatting>
  <conditionalFormatting sqref="G58">
    <cfRule type="expression" dxfId="846" priority="9">
      <formula>SUMPRODUCT(--(ROW()=$O$12:$O$21))&gt;0</formula>
    </cfRule>
  </conditionalFormatting>
  <conditionalFormatting sqref="G53">
    <cfRule type="expression" dxfId="845" priority="8">
      <formula>SUMPRODUCT(--(ROW()=$O$12:$O$21))&gt;0</formula>
    </cfRule>
  </conditionalFormatting>
  <conditionalFormatting sqref="G62">
    <cfRule type="expression" dxfId="844" priority="7">
      <formula>SUMPRODUCT(--(ROW()=$O$12:$O$21))&gt;0</formula>
    </cfRule>
  </conditionalFormatting>
  <conditionalFormatting sqref="A12:A25">
    <cfRule type="expression" dxfId="843" priority="6">
      <formula>SUMPRODUCT(--(ROW()=$O$12:$O$21))&gt;0</formula>
    </cfRule>
  </conditionalFormatting>
  <conditionalFormatting sqref="F156">
    <cfRule type="expression" dxfId="842" priority="2">
      <formula>SUMPRODUCT(--(ROW()=$O$12:$O$22))&gt;0</formula>
    </cfRule>
  </conditionalFormatting>
  <conditionalFormatting sqref="G154:K155 G157:K159">
    <cfRule type="expression" dxfId="841" priority="5">
      <formula>SUMPRODUCT(--(ROW()=$O$12:$O$23))&gt;0</formula>
    </cfRule>
  </conditionalFormatting>
  <conditionalFormatting sqref="B154:F155 B156:E156">
    <cfRule type="expression" dxfId="840" priority="4">
      <formula>SUMPRODUCT(--(ROW()=$O$12:$O$22))&gt;0</formula>
    </cfRule>
  </conditionalFormatting>
  <conditionalFormatting sqref="G156">
    <cfRule type="expression" dxfId="839" priority="3">
      <formula>SUMPRODUCT(--(ROW()=$O$14:$O$24))&gt;0</formula>
    </cfRule>
  </conditionalFormatting>
  <conditionalFormatting sqref="L263">
    <cfRule type="expression" dxfId="838" priority="1">
      <formula>SUMPRODUCT(--(ROW()=$O$14:$O$24))&gt;0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4-อาคารสนับนุน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F0F21-7E66-4063-A15B-8FED450E7EAC}">
  <sheetPr>
    <tabColor rgb="FFFF00FF"/>
  </sheetPr>
  <dimension ref="A1:P296"/>
  <sheetViews>
    <sheetView showGridLines="0" tabSelected="1" view="pageBreakPreview" topLeftCell="A262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1489" customWidth="1"/>
    <col min="2" max="3" width="7.29296875" style="952" customWidth="1"/>
    <col min="4" max="4" width="56.703125" style="952" customWidth="1"/>
    <col min="5" max="5" width="14.703125" style="952" customWidth="1"/>
    <col min="6" max="6" width="10.703125" style="952" customWidth="1"/>
    <col min="7" max="7" width="14.703125" style="952" customWidth="1"/>
    <col min="8" max="8" width="18.703125" style="952" customWidth="1"/>
    <col min="9" max="9" width="14.703125" style="952" customWidth="1"/>
    <col min="10" max="10" width="18.703125" style="952" customWidth="1"/>
    <col min="11" max="11" width="20.703125" style="952" customWidth="1"/>
    <col min="12" max="12" width="25.5859375" style="952" customWidth="1"/>
    <col min="13" max="13" width="7.703125" style="1430" customWidth="1"/>
    <col min="14" max="53" width="7.703125" style="952" customWidth="1"/>
    <col min="54" max="16384" width="9" style="952"/>
  </cols>
  <sheetData>
    <row r="1" spans="1:15" ht="35.1" customHeight="1">
      <c r="A1" s="1428"/>
      <c r="B1" s="1428"/>
      <c r="C1" s="46"/>
      <c r="D1" s="46"/>
      <c r="E1" s="46"/>
      <c r="F1" s="1429" t="s">
        <v>0</v>
      </c>
      <c r="G1" s="733"/>
      <c r="H1" s="733"/>
      <c r="I1" s="733"/>
      <c r="J1" s="735" t="s">
        <v>1</v>
      </c>
      <c r="K1" s="736"/>
      <c r="L1" s="733"/>
    </row>
    <row r="2" spans="1:15" ht="25.15" customHeight="1">
      <c r="A2" s="1431" t="s">
        <v>2</v>
      </c>
      <c r="B2" s="1432"/>
      <c r="C2" s="11"/>
      <c r="D2" s="11" t="s">
        <v>1900</v>
      </c>
      <c r="E2" s="11"/>
      <c r="F2" s="737"/>
      <c r="G2" s="737"/>
      <c r="H2" s="737"/>
      <c r="I2" s="737"/>
      <c r="J2" s="737"/>
      <c r="K2" s="737"/>
      <c r="L2" s="1433"/>
    </row>
    <row r="3" spans="1:15" ht="25.15" customHeight="1">
      <c r="A3" s="1434" t="s">
        <v>22</v>
      </c>
      <c r="B3" s="5"/>
      <c r="C3" s="47"/>
      <c r="D3" s="1435"/>
      <c r="E3" s="47"/>
      <c r="F3" s="739"/>
      <c r="G3" s="739"/>
      <c r="H3" s="739"/>
      <c r="I3" s="739"/>
      <c r="J3" s="740"/>
      <c r="K3" s="739"/>
      <c r="L3" s="1436"/>
    </row>
    <row r="4" spans="1:15" ht="25.15" customHeight="1">
      <c r="A4" s="1434"/>
      <c r="B4" s="5"/>
      <c r="C4" s="47"/>
      <c r="D4" s="41" t="s">
        <v>2970</v>
      </c>
      <c r="E4" s="47"/>
      <c r="F4" s="739"/>
      <c r="G4" s="739"/>
      <c r="H4" s="739"/>
      <c r="I4" s="739"/>
      <c r="J4" s="740"/>
      <c r="K4" s="739"/>
      <c r="L4" s="1436"/>
    </row>
    <row r="5" spans="1:15" ht="25.15" customHeight="1">
      <c r="A5" s="1434" t="s">
        <v>3</v>
      </c>
      <c r="B5" s="1432"/>
      <c r="C5" s="11"/>
      <c r="D5" s="1435" t="s">
        <v>21</v>
      </c>
      <c r="E5" s="736"/>
      <c r="F5" s="737"/>
      <c r="G5" s="741" t="s">
        <v>4</v>
      </c>
      <c r="H5" s="742"/>
      <c r="I5" s="739"/>
      <c r="J5" s="740"/>
      <c r="K5" s="743"/>
      <c r="L5" s="1436"/>
    </row>
    <row r="6" spans="1:15" ht="25.15" customHeight="1">
      <c r="A6" s="5" t="s">
        <v>20</v>
      </c>
      <c r="B6" s="5"/>
      <c r="C6" s="47"/>
      <c r="D6" s="49"/>
      <c r="E6" s="47"/>
      <c r="F6" s="739"/>
      <c r="G6" s="744"/>
      <c r="H6" s="739"/>
      <c r="I6" s="739"/>
      <c r="J6" s="739"/>
      <c r="K6" s="739"/>
      <c r="L6" s="743"/>
    </row>
    <row r="7" spans="1:15" ht="25.15" customHeight="1">
      <c r="A7" s="744" t="s">
        <v>26</v>
      </c>
      <c r="B7" s="20"/>
      <c r="C7" s="20"/>
      <c r="D7" s="21"/>
      <c r="E7" s="20"/>
      <c r="F7" s="1437" t="s">
        <v>5</v>
      </c>
      <c r="G7" s="1438"/>
      <c r="H7" s="1438" t="s">
        <v>6</v>
      </c>
      <c r="I7" s="1439"/>
      <c r="J7" s="744" t="s">
        <v>23</v>
      </c>
      <c r="K7" s="20"/>
      <c r="L7" s="2492" t="s">
        <v>7</v>
      </c>
    </row>
    <row r="8" spans="1:15" ht="10.15" customHeight="1">
      <c r="A8" s="4"/>
      <c r="B8" s="1440"/>
      <c r="C8" s="1440"/>
      <c r="D8" s="25"/>
      <c r="E8" s="25"/>
      <c r="F8" s="1441"/>
      <c r="G8" s="1441"/>
      <c r="H8" s="1442"/>
      <c r="I8" s="1442"/>
      <c r="J8" s="1442"/>
      <c r="K8" s="1441"/>
      <c r="L8" s="2511"/>
    </row>
    <row r="9" spans="1:15" s="1444" customFormat="1" ht="24" customHeight="1">
      <c r="A9" s="2494" t="s">
        <v>8</v>
      </c>
      <c r="B9" s="2496" t="s">
        <v>9</v>
      </c>
      <c r="C9" s="2497"/>
      <c r="D9" s="2497"/>
      <c r="E9" s="2500" t="s">
        <v>10</v>
      </c>
      <c r="F9" s="2502" t="s">
        <v>11</v>
      </c>
      <c r="G9" s="2504" t="s">
        <v>12</v>
      </c>
      <c r="H9" s="2505"/>
      <c r="I9" s="2506" t="s">
        <v>13</v>
      </c>
      <c r="J9" s="2474"/>
      <c r="K9" s="2263" t="s">
        <v>14</v>
      </c>
      <c r="L9" s="2507" t="s">
        <v>15</v>
      </c>
      <c r="M9" s="1443"/>
    </row>
    <row r="10" spans="1:15" s="1444" customFormat="1" ht="24" customHeight="1">
      <c r="A10" s="2495"/>
      <c r="B10" s="2498"/>
      <c r="C10" s="2499"/>
      <c r="D10" s="2499"/>
      <c r="E10" s="2501"/>
      <c r="F10" s="2503"/>
      <c r="G10" s="1445" t="s">
        <v>16</v>
      </c>
      <c r="H10" s="2262" t="s">
        <v>17</v>
      </c>
      <c r="I10" s="1446" t="s">
        <v>16</v>
      </c>
      <c r="J10" s="2262" t="s">
        <v>17</v>
      </c>
      <c r="K10" s="1447" t="s">
        <v>18</v>
      </c>
      <c r="L10" s="2508"/>
      <c r="M10" s="1443"/>
    </row>
    <row r="11" spans="1:15" ht="24" customHeight="1">
      <c r="A11" s="1528" t="s">
        <v>244</v>
      </c>
      <c r="B11" s="1144" t="s">
        <v>2427</v>
      </c>
      <c r="C11" s="1448"/>
      <c r="D11" s="1449"/>
      <c r="E11" s="1450"/>
      <c r="F11" s="1451"/>
      <c r="G11" s="1529"/>
      <c r="H11" s="746"/>
      <c r="I11" s="1454"/>
      <c r="J11" s="1455"/>
      <c r="K11" s="1456"/>
      <c r="L11" s="1456"/>
    </row>
    <row r="12" spans="1:15" s="886" customFormat="1" ht="24" customHeight="1">
      <c r="A12" s="1330" t="str">
        <f>A35</f>
        <v>7.1</v>
      </c>
      <c r="B12" s="1331" t="str">
        <f>B35</f>
        <v>เครื่องส่งลมเย็นแบบ Pre-Cooled Outdoor Air unit</v>
      </c>
      <c r="C12" s="1282"/>
      <c r="D12" s="1457"/>
      <c r="E12" s="1458">
        <v>1</v>
      </c>
      <c r="F12" s="1465" t="s">
        <v>19</v>
      </c>
      <c r="G12" s="1530"/>
      <c r="H12" s="751">
        <f>H45</f>
        <v>1689400</v>
      </c>
      <c r="I12" s="1392"/>
      <c r="J12" s="1393">
        <f>J45</f>
        <v>23146</v>
      </c>
      <c r="K12" s="1022">
        <f>SUM(H12:J12)</f>
        <v>1712546</v>
      </c>
      <c r="L12" s="885"/>
      <c r="M12" s="1342"/>
      <c r="N12" s="886" t="str">
        <f>"รวมราคารายการที่ "&amp;A12</f>
        <v>รวมราคารายการที่ 7.1</v>
      </c>
      <c r="O12" s="1461">
        <f t="array" ref="O12">MAX(IF($B$36:$B$688=N12,ROW($B$36:$B$688)))</f>
        <v>45</v>
      </c>
    </row>
    <row r="13" spans="1:15" s="886" customFormat="1" ht="24" customHeight="1">
      <c r="A13" s="1330" t="str">
        <f>A46</f>
        <v>7.2</v>
      </c>
      <c r="B13" s="1331" t="str">
        <f>B46</f>
        <v>เครื่องส่งลมเย็นขนาดใหญ่ (Air Handling Unit)</v>
      </c>
      <c r="C13" s="1463"/>
      <c r="D13" s="1464"/>
      <c r="E13" s="1458">
        <v>1</v>
      </c>
      <c r="F13" s="1465" t="s">
        <v>19</v>
      </c>
      <c r="G13" s="1531"/>
      <c r="H13" s="751">
        <f>H69</f>
        <v>3393500</v>
      </c>
      <c r="I13" s="1398"/>
      <c r="J13" s="1393">
        <f>J69</f>
        <v>363710</v>
      </c>
      <c r="K13" s="1022">
        <f t="shared" ref="K13:K24" si="0">SUM(H13:J13)</f>
        <v>3757210</v>
      </c>
      <c r="L13" s="1507"/>
      <c r="M13" s="1342"/>
      <c r="N13" s="886" t="str">
        <f t="shared" ref="N13:N22" si="1">"รวมราคารายการที่ "&amp;A13</f>
        <v>รวมราคารายการที่ 7.2</v>
      </c>
      <c r="O13" s="1461">
        <f t="array" ref="O13">MAX(IF($B$36:$B$688=N13,ROW($B$36:$B$688)))</f>
        <v>69</v>
      </c>
    </row>
    <row r="14" spans="1:15" s="886" customFormat="1" ht="24" customHeight="1">
      <c r="A14" s="1330" t="str">
        <f>A70</f>
        <v>7.3</v>
      </c>
      <c r="B14" s="1331" t="str">
        <f>B70</f>
        <v>เครื่องส่งลมเย็นขนาดเล็ก (Fan Coil Unit)</v>
      </c>
      <c r="C14" s="1282"/>
      <c r="D14" s="1457"/>
      <c r="E14" s="1458">
        <v>1</v>
      </c>
      <c r="F14" s="1465" t="s">
        <v>19</v>
      </c>
      <c r="G14" s="1530"/>
      <c r="H14" s="751">
        <f>H84</f>
        <v>59100</v>
      </c>
      <c r="I14" s="1392"/>
      <c r="J14" s="1393">
        <f>J84</f>
        <v>6930</v>
      </c>
      <c r="K14" s="1022">
        <f t="shared" si="0"/>
        <v>66030</v>
      </c>
      <c r="L14" s="885"/>
      <c r="M14" s="1342"/>
      <c r="N14" s="886" t="str">
        <f t="shared" si="1"/>
        <v>รวมราคารายการที่ 7.3</v>
      </c>
      <c r="O14" s="1461">
        <f t="array" ref="O14">MAX(IF($B$36:$B$688=N14,ROW($B$36:$B$688)))</f>
        <v>84</v>
      </c>
    </row>
    <row r="15" spans="1:15" s="886" customFormat="1" ht="24" customHeight="1">
      <c r="A15" s="1330" t="str">
        <f>A85</f>
        <v>7.4</v>
      </c>
      <c r="B15" s="1331" t="str">
        <f>B85</f>
        <v>อุปกรณ์ควบคุมอัตโนมัติ (Automatic Control Equipment)</v>
      </c>
      <c r="C15" s="1282"/>
      <c r="D15" s="1457"/>
      <c r="E15" s="1458">
        <v>1</v>
      </c>
      <c r="F15" s="1465" t="s">
        <v>19</v>
      </c>
      <c r="G15" s="1530"/>
      <c r="H15" s="751">
        <f>H95</f>
        <v>159976</v>
      </c>
      <c r="I15" s="1392"/>
      <c r="J15" s="1393">
        <f>J95</f>
        <v>4450</v>
      </c>
      <c r="K15" s="1022">
        <f t="shared" si="0"/>
        <v>164426</v>
      </c>
      <c r="L15" s="885"/>
      <c r="M15" s="1342"/>
      <c r="N15" s="886" t="str">
        <f t="shared" si="1"/>
        <v>รวมราคารายการที่ 7.4</v>
      </c>
      <c r="O15" s="1461">
        <f t="array" ref="O15">MAX(IF($B$36:$B$688=N15,ROW($B$36:$B$688)))</f>
        <v>95</v>
      </c>
    </row>
    <row r="16" spans="1:15" s="886" customFormat="1" ht="24" customHeight="1">
      <c r="A16" s="1330" t="str">
        <f>A96</f>
        <v>7.5</v>
      </c>
      <c r="B16" s="1331" t="str">
        <f>B96</f>
        <v>พัดลมระบายอากาศ (Ventilating Fan)</v>
      </c>
      <c r="C16" s="1282"/>
      <c r="D16" s="1457"/>
      <c r="E16" s="1458">
        <v>1</v>
      </c>
      <c r="F16" s="1465" t="s">
        <v>19</v>
      </c>
      <c r="G16" s="1530"/>
      <c r="H16" s="751">
        <f>H109</f>
        <v>86160</v>
      </c>
      <c r="I16" s="1392"/>
      <c r="J16" s="1393">
        <f>J109</f>
        <v>11320</v>
      </c>
      <c r="K16" s="1022">
        <f t="shared" si="0"/>
        <v>97480</v>
      </c>
      <c r="L16" s="885"/>
      <c r="M16" s="1342"/>
      <c r="N16" s="886" t="str">
        <f t="shared" si="1"/>
        <v>รวมราคารายการที่ 7.5</v>
      </c>
      <c r="O16" s="1461">
        <f t="array" ref="O16">MAX(IF($B$36:$B$688=N16,ROW($B$36:$B$688)))</f>
        <v>109</v>
      </c>
    </row>
    <row r="17" spans="1:15" s="886" customFormat="1" ht="24" customHeight="1">
      <c r="A17" s="1330" t="str">
        <f>A110</f>
        <v>7.6</v>
      </c>
      <c r="B17" s="1331" t="str">
        <f>B110</f>
        <v>ระบบกรองอากาศ (Air Filtration System)</v>
      </c>
      <c r="C17" s="1282"/>
      <c r="D17" s="1457"/>
      <c r="E17" s="1458">
        <v>1</v>
      </c>
      <c r="F17" s="1465" t="s">
        <v>19</v>
      </c>
      <c r="G17" s="1530"/>
      <c r="H17" s="751">
        <f>H117</f>
        <v>18800</v>
      </c>
      <c r="I17" s="1392"/>
      <c r="J17" s="1393">
        <f>J117</f>
        <v>2950</v>
      </c>
      <c r="K17" s="1022">
        <f t="shared" si="0"/>
        <v>21750</v>
      </c>
      <c r="L17" s="885"/>
      <c r="M17" s="1342"/>
      <c r="N17" s="886" t="str">
        <f t="shared" si="1"/>
        <v>รวมราคารายการที่ 7.6</v>
      </c>
      <c r="O17" s="1461">
        <f t="array" ref="O17">MAX(IF($B$36:$B$688=N17,ROW($B$36:$B$688)))</f>
        <v>117</v>
      </c>
    </row>
    <row r="18" spans="1:15" s="886" customFormat="1" ht="24" customHeight="1">
      <c r="A18" s="1330" t="str">
        <f>A118</f>
        <v>7.7</v>
      </c>
      <c r="B18" s="1331" t="str">
        <f>B118</f>
        <v>งานท่อ (Piping Work)</v>
      </c>
      <c r="C18" s="1469"/>
      <c r="D18" s="1470"/>
      <c r="E18" s="1458">
        <v>1</v>
      </c>
      <c r="F18" s="1465" t="s">
        <v>19</v>
      </c>
      <c r="G18" s="1532"/>
      <c r="H18" s="751">
        <f>H141</f>
        <v>461675</v>
      </c>
      <c r="I18" s="1400"/>
      <c r="J18" s="1393">
        <f>J141</f>
        <v>196060</v>
      </c>
      <c r="K18" s="1022">
        <f t="shared" si="0"/>
        <v>657735</v>
      </c>
      <c r="L18" s="1473"/>
      <c r="M18" s="1342"/>
      <c r="N18" s="886" t="str">
        <f t="shared" si="1"/>
        <v>รวมราคารายการที่ 7.7</v>
      </c>
      <c r="O18" s="1461">
        <f t="array" ref="O18">MAX(IF($B$36:$B$688=N18,ROW($B$36:$B$688)))</f>
        <v>141</v>
      </c>
    </row>
    <row r="19" spans="1:15" s="886" customFormat="1" ht="24" customHeight="1">
      <c r="A19" s="1526" t="str">
        <f>A142</f>
        <v>7.8</v>
      </c>
      <c r="B19" s="1331" t="str">
        <f>B142</f>
        <v>ฉนวนหุ้มท่อ (Pipe Insulation)</v>
      </c>
      <c r="C19" s="1282"/>
      <c r="D19" s="1457"/>
      <c r="E19" s="1458">
        <v>1</v>
      </c>
      <c r="F19" s="1465" t="s">
        <v>19</v>
      </c>
      <c r="G19" s="1530"/>
      <c r="H19" s="751">
        <f>H159</f>
        <v>150195</v>
      </c>
      <c r="I19" s="1392"/>
      <c r="J19" s="1393">
        <f>J159</f>
        <v>41146</v>
      </c>
      <c r="K19" s="1022">
        <f t="shared" si="0"/>
        <v>191341</v>
      </c>
      <c r="L19" s="885"/>
      <c r="M19" s="1342"/>
      <c r="N19" s="886" t="str">
        <f t="shared" si="1"/>
        <v>รวมราคารายการที่ 7.8</v>
      </c>
      <c r="O19" s="1461">
        <f t="array" ref="O19">MAX(IF($B$36:$B$688=N19,ROW($B$36:$B$688)))</f>
        <v>159</v>
      </c>
    </row>
    <row r="20" spans="1:15" s="886" customFormat="1" ht="24" customHeight="1">
      <c r="A20" s="1330" t="str">
        <f>A160</f>
        <v>7.9</v>
      </c>
      <c r="B20" s="1331" t="str">
        <f>B160</f>
        <v>วาล์วและอุปกรณ์ประกอบ  (Valve &amp; Pipe Accessories)</v>
      </c>
      <c r="C20" s="1282"/>
      <c r="D20" s="1457"/>
      <c r="E20" s="1458">
        <v>1</v>
      </c>
      <c r="F20" s="1465" t="s">
        <v>19</v>
      </c>
      <c r="G20" s="1530"/>
      <c r="H20" s="751">
        <f>H184</f>
        <v>127968</v>
      </c>
      <c r="I20" s="1392"/>
      <c r="J20" s="1393">
        <f>J184</f>
        <v>16900</v>
      </c>
      <c r="K20" s="1022">
        <f t="shared" si="0"/>
        <v>144868</v>
      </c>
      <c r="L20" s="885"/>
      <c r="M20" s="1342"/>
      <c r="N20" s="886" t="str">
        <f t="shared" si="1"/>
        <v>รวมราคารายการที่ 7.9</v>
      </c>
      <c r="O20" s="1461">
        <f t="array" ref="O20">MAX(IF($B$36:$B$688=N20,ROW($B$36:$B$688)))</f>
        <v>184</v>
      </c>
    </row>
    <row r="21" spans="1:15" s="886" customFormat="1" ht="24" customHeight="1">
      <c r="A21" s="1330" t="str">
        <f>A185</f>
        <v>7.10</v>
      </c>
      <c r="B21" s="1331" t="str">
        <f>B185</f>
        <v>ระบบท่อลม (Duct Work)</v>
      </c>
      <c r="C21" s="1282"/>
      <c r="D21" s="1457"/>
      <c r="E21" s="1458">
        <v>1</v>
      </c>
      <c r="F21" s="1465" t="s">
        <v>19</v>
      </c>
      <c r="G21" s="1530"/>
      <c r="H21" s="751">
        <f>H195</f>
        <v>322842</v>
      </c>
      <c r="I21" s="1392"/>
      <c r="J21" s="1393">
        <f>J195</f>
        <v>221210</v>
      </c>
      <c r="K21" s="1022">
        <f t="shared" si="0"/>
        <v>544052</v>
      </c>
      <c r="L21" s="885"/>
      <c r="M21" s="1342"/>
      <c r="N21" s="886" t="str">
        <f t="shared" si="1"/>
        <v>รวมราคารายการที่ 7.10</v>
      </c>
      <c r="O21" s="1461">
        <f t="array" ref="O21">MAX(IF($B$36:$B$688=N21,ROW($B$36:$B$688)))</f>
        <v>195</v>
      </c>
    </row>
    <row r="22" spans="1:15" s="886" customFormat="1" ht="24" customHeight="1">
      <c r="A22" s="1330" t="str">
        <f>A196</f>
        <v>7.11</v>
      </c>
      <c r="B22" s="1331" t="str">
        <f>B196</f>
        <v>ฉนวนหุ้มท่อลม (Duct Insulation)</v>
      </c>
      <c r="C22" s="1282"/>
      <c r="D22" s="1457"/>
      <c r="E22" s="1458">
        <v>1</v>
      </c>
      <c r="F22" s="1465" t="s">
        <v>19</v>
      </c>
      <c r="G22" s="1530"/>
      <c r="H22" s="751">
        <f>H203</f>
        <v>137616</v>
      </c>
      <c r="I22" s="1392"/>
      <c r="J22" s="1393">
        <f>J203</f>
        <v>43920</v>
      </c>
      <c r="K22" s="1022">
        <f t="shared" si="0"/>
        <v>181536</v>
      </c>
      <c r="L22" s="885"/>
      <c r="M22" s="1342"/>
      <c r="N22" s="886" t="str">
        <f t="shared" si="1"/>
        <v>รวมราคารายการที่ 7.11</v>
      </c>
      <c r="O22" s="1461">
        <f t="array" ref="O22">MAX(IF($B$36:$B$688=N22,ROW($B$36:$B$688)))</f>
        <v>203</v>
      </c>
    </row>
    <row r="23" spans="1:15" s="886" customFormat="1" ht="24" customHeight="1">
      <c r="A23" s="1330" t="str">
        <f>A204</f>
        <v>7.12</v>
      </c>
      <c r="B23" s="1331" t="str">
        <f>B204</f>
        <v>หน้ากากลม (Air Diffuser, Grille &amp; Register)</v>
      </c>
      <c r="C23" s="1282"/>
      <c r="D23" s="1457"/>
      <c r="E23" s="1458">
        <v>1</v>
      </c>
      <c r="F23" s="1465" t="s">
        <v>19</v>
      </c>
      <c r="G23" s="1530"/>
      <c r="H23" s="751">
        <f>H255</f>
        <v>179750</v>
      </c>
      <c r="I23" s="1392"/>
      <c r="J23" s="1393">
        <f>J255</f>
        <v>25900</v>
      </c>
      <c r="K23" s="1022">
        <f t="shared" si="0"/>
        <v>205650</v>
      </c>
      <c r="L23" s="885"/>
      <c r="M23" s="1342"/>
      <c r="O23" s="1461"/>
    </row>
    <row r="24" spans="1:15" s="886" customFormat="1" ht="24" customHeight="1">
      <c r="A24" s="1330" t="str">
        <f>A256</f>
        <v>7.13</v>
      </c>
      <c r="B24" s="1331" t="str">
        <f>B256</f>
        <v>ระบบไฟฟ้าและควบคุม (Electrical &amp; Control System)</v>
      </c>
      <c r="C24" s="1282"/>
      <c r="D24" s="1457"/>
      <c r="E24" s="1458">
        <v>1</v>
      </c>
      <c r="F24" s="1465" t="s">
        <v>19</v>
      </c>
      <c r="G24" s="1530"/>
      <c r="H24" s="751">
        <f>H282</f>
        <v>282582</v>
      </c>
      <c r="I24" s="1392"/>
      <c r="J24" s="1393">
        <f>J282</f>
        <v>42060</v>
      </c>
      <c r="K24" s="1022">
        <f t="shared" si="0"/>
        <v>324642</v>
      </c>
      <c r="L24" s="885"/>
      <c r="M24" s="1342"/>
    </row>
    <row r="25" spans="1:15" s="886" customFormat="1" ht="24" customHeight="1">
      <c r="A25" s="1533"/>
      <c r="B25" s="1331"/>
      <c r="C25" s="1282"/>
      <c r="D25" s="1457"/>
      <c r="E25" s="1458"/>
      <c r="F25" s="1459"/>
      <c r="G25" s="1530"/>
      <c r="H25" s="751"/>
      <c r="I25" s="1392"/>
      <c r="J25" s="1393"/>
      <c r="K25" s="1022"/>
      <c r="L25" s="885"/>
      <c r="M25" s="1342"/>
    </row>
    <row r="26" spans="1:15" s="886" customFormat="1" ht="24" customHeight="1">
      <c r="A26" s="1533"/>
      <c r="B26" s="1331"/>
      <c r="C26" s="1282"/>
      <c r="D26" s="1457"/>
      <c r="E26" s="1458"/>
      <c r="F26" s="1459"/>
      <c r="G26" s="1530"/>
      <c r="H26" s="751"/>
      <c r="I26" s="1392"/>
      <c r="J26" s="1393"/>
      <c r="K26" s="1022"/>
      <c r="L26" s="885"/>
      <c r="M26" s="1342"/>
    </row>
    <row r="27" spans="1:15" s="886" customFormat="1" ht="24" customHeight="1">
      <c r="A27" s="1533"/>
      <c r="B27" s="1331"/>
      <c r="C27" s="1282"/>
      <c r="D27" s="1457"/>
      <c r="E27" s="1458"/>
      <c r="F27" s="1459"/>
      <c r="G27" s="1530"/>
      <c r="H27" s="751"/>
      <c r="I27" s="1392"/>
      <c r="J27" s="1393"/>
      <c r="K27" s="1022"/>
      <c r="L27" s="885"/>
      <c r="M27" s="1342"/>
    </row>
    <row r="28" spans="1:15" s="886" customFormat="1" ht="24" customHeight="1">
      <c r="A28" s="1533"/>
      <c r="B28" s="1331"/>
      <c r="C28" s="1282"/>
      <c r="D28" s="1457"/>
      <c r="E28" s="1458"/>
      <c r="F28" s="1459"/>
      <c r="G28" s="1530"/>
      <c r="H28" s="751"/>
      <c r="I28" s="1392"/>
      <c r="J28" s="1393"/>
      <c r="K28" s="1022"/>
      <c r="L28" s="885"/>
      <c r="M28" s="1342"/>
    </row>
    <row r="29" spans="1:15" s="886" customFormat="1" ht="24" customHeight="1">
      <c r="A29" s="1533"/>
      <c r="B29" s="1331"/>
      <c r="C29" s="1282"/>
      <c r="D29" s="1457"/>
      <c r="E29" s="1458"/>
      <c r="F29" s="1459"/>
      <c r="G29" s="1530"/>
      <c r="H29" s="751"/>
      <c r="I29" s="1392"/>
      <c r="J29" s="1393"/>
      <c r="K29" s="1022"/>
      <c r="L29" s="885"/>
      <c r="M29" s="1342"/>
    </row>
    <row r="30" spans="1:15" s="886" customFormat="1" ht="24" customHeight="1">
      <c r="A30" s="1533"/>
      <c r="B30" s="1331"/>
      <c r="C30" s="1282"/>
      <c r="D30" s="1457"/>
      <c r="E30" s="1458"/>
      <c r="F30" s="1459"/>
      <c r="G30" s="1530"/>
      <c r="H30" s="751"/>
      <c r="I30" s="1392"/>
      <c r="J30" s="1393"/>
      <c r="K30" s="1022"/>
      <c r="L30" s="885"/>
      <c r="M30" s="1342"/>
    </row>
    <row r="31" spans="1:15" s="886" customFormat="1" ht="24" customHeight="1">
      <c r="A31" s="1533"/>
      <c r="B31" s="1331"/>
      <c r="C31" s="1282"/>
      <c r="D31" s="1457"/>
      <c r="E31" s="1458"/>
      <c r="F31" s="1459"/>
      <c r="G31" s="1530"/>
      <c r="H31" s="751"/>
      <c r="I31" s="1392"/>
      <c r="J31" s="1393"/>
      <c r="K31" s="1022"/>
      <c r="L31" s="885"/>
      <c r="M31" s="1342"/>
    </row>
    <row r="32" spans="1:15" s="886" customFormat="1" ht="24" customHeight="1">
      <c r="A32" s="1533"/>
      <c r="B32" s="1331"/>
      <c r="C32" s="1282"/>
      <c r="D32" s="1457"/>
      <c r="E32" s="1458"/>
      <c r="F32" s="1459"/>
      <c r="G32" s="1530"/>
      <c r="H32" s="751"/>
      <c r="I32" s="1392"/>
      <c r="J32" s="1393"/>
      <c r="K32" s="1022"/>
      <c r="L32" s="885"/>
      <c r="M32" s="1342"/>
    </row>
    <row r="33" spans="1:16" s="886" customFormat="1" ht="24" customHeight="1">
      <c r="A33" s="1533"/>
      <c r="B33" s="1331"/>
      <c r="C33" s="1282"/>
      <c r="D33" s="1457"/>
      <c r="E33" s="1458"/>
      <c r="F33" s="1459"/>
      <c r="G33" s="1530"/>
      <c r="H33" s="751"/>
      <c r="I33" s="1392"/>
      <c r="J33" s="1393"/>
      <c r="K33" s="1022"/>
      <c r="L33" s="885"/>
      <c r="M33" s="1342"/>
    </row>
    <row r="34" spans="1:16" s="714" customFormat="1" ht="30" customHeight="1">
      <c r="A34" s="1166"/>
      <c r="B34" s="2475" t="s">
        <v>2428</v>
      </c>
      <c r="C34" s="2476"/>
      <c r="D34" s="2476"/>
      <c r="E34" s="1167"/>
      <c r="F34" s="1381"/>
      <c r="G34" s="1168"/>
      <c r="H34" s="1169">
        <f>SUM(H11:H33)</f>
        <v>7069564</v>
      </c>
      <c r="I34" s="1170"/>
      <c r="J34" s="1382">
        <f>SUM(J11:J33)</f>
        <v>999702</v>
      </c>
      <c r="K34" s="1171">
        <f>SUM(K11:K33)</f>
        <v>8069266</v>
      </c>
      <c r="L34" s="1171"/>
      <c r="M34" s="1322"/>
      <c r="P34" s="729"/>
    </row>
    <row r="35" spans="1:16" s="1329" customFormat="1" ht="24" customHeight="1">
      <c r="A35" s="1383" t="s">
        <v>1987</v>
      </c>
      <c r="B35" s="1518" t="s">
        <v>2129</v>
      </c>
      <c r="C35" s="1347"/>
      <c r="D35" s="901"/>
      <c r="E35" s="1019"/>
      <c r="F35" s="1310"/>
      <c r="G35" s="1400"/>
      <c r="H35" s="773"/>
      <c r="I35" s="1400"/>
      <c r="J35" s="1401"/>
      <c r="K35" s="1019"/>
      <c r="L35" s="1019"/>
      <c r="M35" s="1328"/>
    </row>
    <row r="36" spans="1:16" s="1329" customFormat="1" ht="24" customHeight="1">
      <c r="A36" s="1330" t="s">
        <v>1904</v>
      </c>
      <c r="B36" s="1331" t="s">
        <v>2130</v>
      </c>
      <c r="C36" s="801"/>
      <c r="D36" s="801"/>
      <c r="E36" s="1019"/>
      <c r="F36" s="1310"/>
      <c r="G36" s="1400"/>
      <c r="H36" s="864"/>
      <c r="I36" s="1400"/>
      <c r="J36" s="1395"/>
      <c r="K36" s="966"/>
      <c r="L36" s="1019"/>
      <c r="M36" s="1328"/>
    </row>
    <row r="37" spans="1:16" s="1329" customFormat="1" ht="24" customHeight="1">
      <c r="A37" s="1330"/>
      <c r="B37" s="1331" t="s">
        <v>2429</v>
      </c>
      <c r="C37" s="801"/>
      <c r="D37" s="801"/>
      <c r="E37" s="1019">
        <v>1</v>
      </c>
      <c r="F37" s="1310" t="s">
        <v>240</v>
      </c>
      <c r="G37" s="1392">
        <v>743600</v>
      </c>
      <c r="H37" s="1175">
        <f>E37*G37</f>
        <v>743600</v>
      </c>
      <c r="I37" s="1492">
        <f>G37*0.01</f>
        <v>7436</v>
      </c>
      <c r="J37" s="1493">
        <f>I37*E37</f>
        <v>7436</v>
      </c>
      <c r="K37" s="825">
        <f>H37+J37</f>
        <v>751036</v>
      </c>
      <c r="L37" s="1019"/>
      <c r="M37" s="1328"/>
    </row>
    <row r="38" spans="1:16" s="1329" customFormat="1" ht="24" customHeight="1">
      <c r="A38" s="1330"/>
      <c r="B38" s="1331" t="s">
        <v>2430</v>
      </c>
      <c r="C38" s="801"/>
      <c r="D38" s="801"/>
      <c r="E38" s="1019">
        <v>1</v>
      </c>
      <c r="F38" s="1310" t="s">
        <v>240</v>
      </c>
      <c r="G38" s="1496">
        <v>915000</v>
      </c>
      <c r="H38" s="1175">
        <f>E38*G38</f>
        <v>915000</v>
      </c>
      <c r="I38" s="1492">
        <f>G38*0.01</f>
        <v>9150</v>
      </c>
      <c r="J38" s="1493">
        <f>I38*E38</f>
        <v>9150</v>
      </c>
      <c r="K38" s="825">
        <f>H38+J38</f>
        <v>924150</v>
      </c>
      <c r="L38" s="1019"/>
      <c r="M38" s="1328"/>
    </row>
    <row r="39" spans="1:16" s="1329" customFormat="1" ht="24" customHeight="1">
      <c r="A39" s="1330" t="s">
        <v>1906</v>
      </c>
      <c r="B39" s="1331" t="s">
        <v>2132</v>
      </c>
      <c r="C39" s="801"/>
      <c r="D39" s="801"/>
      <c r="E39" s="1019">
        <v>2</v>
      </c>
      <c r="F39" s="1310" t="s">
        <v>240</v>
      </c>
      <c r="G39" s="1392">
        <v>1800</v>
      </c>
      <c r="H39" s="864">
        <f>ROUND(E39*G39,)</f>
        <v>3600</v>
      </c>
      <c r="I39" s="1396" t="s">
        <v>974</v>
      </c>
      <c r="J39" s="1395"/>
      <c r="K39" s="966">
        <f>H39+J39</f>
        <v>3600</v>
      </c>
      <c r="L39" s="1019"/>
      <c r="M39" s="1328"/>
    </row>
    <row r="40" spans="1:16" s="1329" customFormat="1" ht="24" customHeight="1">
      <c r="A40" s="1330" t="s">
        <v>1995</v>
      </c>
      <c r="B40" s="1331" t="s">
        <v>1996</v>
      </c>
      <c r="C40" s="801"/>
      <c r="D40" s="801"/>
      <c r="E40" s="1019">
        <v>8</v>
      </c>
      <c r="F40" s="1310" t="s">
        <v>240</v>
      </c>
      <c r="G40" s="1392">
        <v>2400</v>
      </c>
      <c r="H40" s="864">
        <f>ROUND(E40*G40,)</f>
        <v>19200</v>
      </c>
      <c r="I40" s="1392">
        <f>G40*0.3</f>
        <v>720</v>
      </c>
      <c r="J40" s="1395">
        <f>ROUND(E40*I40,)</f>
        <v>5760</v>
      </c>
      <c r="K40" s="966">
        <f>H40+J40</f>
        <v>24960</v>
      </c>
      <c r="L40" s="1019"/>
      <c r="M40" s="1328"/>
    </row>
    <row r="41" spans="1:16" s="1329" customFormat="1" ht="24" customHeight="1">
      <c r="A41" s="1330" t="s">
        <v>2133</v>
      </c>
      <c r="B41" s="1331" t="s">
        <v>2134</v>
      </c>
      <c r="C41" s="801"/>
      <c r="D41" s="801"/>
      <c r="E41" s="1019">
        <v>2</v>
      </c>
      <c r="F41" s="1310" t="s">
        <v>240</v>
      </c>
      <c r="G41" s="1400">
        <v>4000</v>
      </c>
      <c r="H41" s="864">
        <f>ROUND(E41*G41,)</f>
        <v>8000</v>
      </c>
      <c r="I41" s="1400">
        <v>400</v>
      </c>
      <c r="J41" s="1395">
        <f>ROUND(E41*I41,)</f>
        <v>800</v>
      </c>
      <c r="K41" s="966">
        <f>H41+J41</f>
        <v>8800</v>
      </c>
      <c r="L41" s="1019"/>
      <c r="M41" s="1328"/>
    </row>
    <row r="42" spans="1:16" s="1329" customFormat="1" ht="24" customHeight="1">
      <c r="A42" s="1330"/>
      <c r="B42" s="1331" t="s">
        <v>957</v>
      </c>
      <c r="C42" s="801"/>
      <c r="D42" s="801"/>
      <c r="E42" s="1019"/>
      <c r="F42" s="1310"/>
      <c r="G42" s="1400"/>
      <c r="H42" s="864"/>
      <c r="I42" s="1400"/>
      <c r="J42" s="1395"/>
      <c r="K42" s="966"/>
      <c r="L42" s="1019"/>
      <c r="M42" s="1328"/>
    </row>
    <row r="43" spans="1:16" s="1329" customFormat="1" ht="24" customHeight="1">
      <c r="A43" s="1330"/>
      <c r="B43" s="1331"/>
      <c r="C43" s="801"/>
      <c r="D43" s="801"/>
      <c r="E43" s="1019"/>
      <c r="F43" s="1310"/>
      <c r="G43" s="1400"/>
      <c r="H43" s="864"/>
      <c r="I43" s="1400"/>
      <c r="J43" s="1395"/>
      <c r="K43" s="966"/>
      <c r="L43" s="1019"/>
      <c r="M43" s="1328"/>
    </row>
    <row r="44" spans="1:16" s="1329" customFormat="1" ht="24" customHeight="1">
      <c r="A44" s="1330"/>
      <c r="B44" s="1331"/>
      <c r="C44" s="801"/>
      <c r="D44" s="801"/>
      <c r="E44" s="1019"/>
      <c r="F44" s="1310"/>
      <c r="G44" s="1400"/>
      <c r="H44" s="864"/>
      <c r="I44" s="1400"/>
      <c r="J44" s="1395"/>
      <c r="K44" s="966"/>
      <c r="L44" s="1019"/>
      <c r="M44" s="1328"/>
    </row>
    <row r="45" spans="1:16" s="1329" customFormat="1" ht="24" customHeight="1">
      <c r="A45" s="1510"/>
      <c r="B45" s="2475" t="str">
        <f>"รวมราคารายการที่ "&amp;A35</f>
        <v>รวมราคารายการที่ 7.1</v>
      </c>
      <c r="C45" s="2476"/>
      <c r="D45" s="2476"/>
      <c r="E45" s="1511"/>
      <c r="F45" s="1512"/>
      <c r="G45" s="1513"/>
      <c r="H45" s="1514">
        <f>SUM(H35:H44)</f>
        <v>1689400</v>
      </c>
      <c r="I45" s="1515"/>
      <c r="J45" s="1516">
        <f>SUM(J35:J44)</f>
        <v>23146</v>
      </c>
      <c r="K45" s="1517">
        <f>SUM(K35:K44)</f>
        <v>1712546</v>
      </c>
      <c r="L45" s="1517"/>
      <c r="M45" s="1328"/>
    </row>
    <row r="46" spans="1:16" s="1329" customFormat="1" ht="24" customHeight="1">
      <c r="A46" s="1330" t="s">
        <v>1997</v>
      </c>
      <c r="B46" s="1331" t="s">
        <v>2135</v>
      </c>
      <c r="C46" s="801"/>
      <c r="D46" s="801"/>
      <c r="E46" s="1019"/>
      <c r="F46" s="1310"/>
      <c r="G46" s="1400"/>
      <c r="H46" s="864"/>
      <c r="I46" s="1400"/>
      <c r="J46" s="1395"/>
      <c r="K46" s="966"/>
      <c r="L46" s="1019"/>
      <c r="M46" s="1328"/>
    </row>
    <row r="47" spans="1:16" s="1329" customFormat="1" ht="24" customHeight="1">
      <c r="A47" s="1330" t="s">
        <v>1910</v>
      </c>
      <c r="B47" s="1331" t="s">
        <v>2130</v>
      </c>
      <c r="C47" s="801"/>
      <c r="D47" s="801"/>
      <c r="E47" s="1019"/>
      <c r="F47" s="1310"/>
      <c r="G47" s="1400"/>
      <c r="H47" s="864"/>
      <c r="I47" s="1400"/>
      <c r="J47" s="1395"/>
      <c r="K47" s="966"/>
      <c r="L47" s="1019"/>
      <c r="M47" s="1328"/>
    </row>
    <row r="48" spans="1:16" s="1329" customFormat="1" ht="24" customHeight="1">
      <c r="A48" s="1330"/>
      <c r="B48" s="1331" t="s">
        <v>2431</v>
      </c>
      <c r="C48" s="801"/>
      <c r="D48" s="801"/>
      <c r="E48" s="1019">
        <v>1</v>
      </c>
      <c r="F48" s="1310" t="s">
        <v>240</v>
      </c>
      <c r="G48" s="1394">
        <v>224400</v>
      </c>
      <c r="H48" s="864">
        <f t="shared" ref="H48:H61" si="2">ROUND(E48*G48,)</f>
        <v>224400</v>
      </c>
      <c r="I48" s="1392">
        <f t="shared" ref="I48:I61" si="3">G48*0.1</f>
        <v>22440</v>
      </c>
      <c r="J48" s="1395">
        <f t="shared" ref="J48:J61" si="4">ROUND(E48*I48,)</f>
        <v>22440</v>
      </c>
      <c r="K48" s="966">
        <f t="shared" ref="K48:K61" si="5">H48+J48</f>
        <v>246840</v>
      </c>
      <c r="L48" s="1019"/>
      <c r="M48" s="1328"/>
    </row>
    <row r="49" spans="1:13" s="1329" customFormat="1" ht="24" customHeight="1">
      <c r="A49" s="1330"/>
      <c r="B49" s="1331" t="s">
        <v>2432</v>
      </c>
      <c r="C49" s="801"/>
      <c r="D49" s="801"/>
      <c r="E49" s="1019">
        <v>1</v>
      </c>
      <c r="F49" s="1310" t="s">
        <v>240</v>
      </c>
      <c r="G49" s="1394">
        <v>237000</v>
      </c>
      <c r="H49" s="864">
        <f t="shared" si="2"/>
        <v>237000</v>
      </c>
      <c r="I49" s="1392">
        <f t="shared" si="3"/>
        <v>23700</v>
      </c>
      <c r="J49" s="1395">
        <f t="shared" si="4"/>
        <v>23700</v>
      </c>
      <c r="K49" s="966">
        <f t="shared" si="5"/>
        <v>260700</v>
      </c>
      <c r="L49" s="1019"/>
      <c r="M49" s="1328"/>
    </row>
    <row r="50" spans="1:13" s="1329" customFormat="1" ht="24" customHeight="1">
      <c r="A50" s="1330"/>
      <c r="B50" s="1331" t="s">
        <v>2433</v>
      </c>
      <c r="C50" s="801"/>
      <c r="D50" s="801"/>
      <c r="E50" s="1019">
        <v>1</v>
      </c>
      <c r="F50" s="1310" t="s">
        <v>240</v>
      </c>
      <c r="G50" s="1394">
        <v>237000</v>
      </c>
      <c r="H50" s="864">
        <f t="shared" si="2"/>
        <v>237000</v>
      </c>
      <c r="I50" s="1392">
        <f t="shared" si="3"/>
        <v>23700</v>
      </c>
      <c r="J50" s="1395">
        <f t="shared" si="4"/>
        <v>23700</v>
      </c>
      <c r="K50" s="966">
        <f t="shared" si="5"/>
        <v>260700</v>
      </c>
      <c r="L50" s="1019"/>
      <c r="M50" s="1328"/>
    </row>
    <row r="51" spans="1:13" s="1329" customFormat="1" ht="24" customHeight="1">
      <c r="A51" s="1330"/>
      <c r="B51" s="1331" t="s">
        <v>2434</v>
      </c>
      <c r="C51" s="801"/>
      <c r="D51" s="801"/>
      <c r="E51" s="1019">
        <v>1</v>
      </c>
      <c r="F51" s="1310" t="s">
        <v>240</v>
      </c>
      <c r="G51" s="1394">
        <v>237000</v>
      </c>
      <c r="H51" s="864">
        <f t="shared" si="2"/>
        <v>237000</v>
      </c>
      <c r="I51" s="1392">
        <f t="shared" si="3"/>
        <v>23700</v>
      </c>
      <c r="J51" s="1395">
        <f t="shared" si="4"/>
        <v>23700</v>
      </c>
      <c r="K51" s="966">
        <f t="shared" si="5"/>
        <v>260700</v>
      </c>
      <c r="L51" s="1019"/>
      <c r="M51" s="1328"/>
    </row>
    <row r="52" spans="1:13" s="1329" customFormat="1" ht="24" customHeight="1">
      <c r="A52" s="1330"/>
      <c r="B52" s="1331" t="s">
        <v>2435</v>
      </c>
      <c r="C52" s="801"/>
      <c r="D52" s="801"/>
      <c r="E52" s="1019">
        <v>1</v>
      </c>
      <c r="F52" s="1310" t="s">
        <v>240</v>
      </c>
      <c r="G52" s="1394">
        <v>237000</v>
      </c>
      <c r="H52" s="864">
        <f t="shared" si="2"/>
        <v>237000</v>
      </c>
      <c r="I52" s="1392">
        <f t="shared" si="3"/>
        <v>23700</v>
      </c>
      <c r="J52" s="1395">
        <f t="shared" si="4"/>
        <v>23700</v>
      </c>
      <c r="K52" s="966">
        <f t="shared" si="5"/>
        <v>260700</v>
      </c>
      <c r="L52" s="1019"/>
      <c r="M52" s="1328"/>
    </row>
    <row r="53" spans="1:13" s="1329" customFormat="1" ht="24" customHeight="1">
      <c r="A53" s="1330"/>
      <c r="B53" s="1331" t="s">
        <v>2436</v>
      </c>
      <c r="C53" s="801"/>
      <c r="D53" s="801"/>
      <c r="E53" s="1019">
        <v>1</v>
      </c>
      <c r="F53" s="1310" t="s">
        <v>240</v>
      </c>
      <c r="G53" s="1394">
        <v>215000</v>
      </c>
      <c r="H53" s="864">
        <f t="shared" si="2"/>
        <v>215000</v>
      </c>
      <c r="I53" s="1392">
        <f t="shared" si="3"/>
        <v>21500</v>
      </c>
      <c r="J53" s="1395">
        <f t="shared" si="4"/>
        <v>21500</v>
      </c>
      <c r="K53" s="966">
        <f t="shared" si="5"/>
        <v>236500</v>
      </c>
      <c r="L53" s="1019"/>
      <c r="M53" s="1328"/>
    </row>
    <row r="54" spans="1:13" s="1329" customFormat="1" ht="24" customHeight="1">
      <c r="A54" s="1330"/>
      <c r="B54" s="1331" t="s">
        <v>2437</v>
      </c>
      <c r="C54" s="801"/>
      <c r="D54" s="801"/>
      <c r="E54" s="1019">
        <v>1</v>
      </c>
      <c r="F54" s="1310" t="s">
        <v>240</v>
      </c>
      <c r="G54" s="1394">
        <v>157400</v>
      </c>
      <c r="H54" s="864">
        <f t="shared" si="2"/>
        <v>157400</v>
      </c>
      <c r="I54" s="1392">
        <f t="shared" si="3"/>
        <v>15740</v>
      </c>
      <c r="J54" s="1395">
        <f t="shared" si="4"/>
        <v>15740</v>
      </c>
      <c r="K54" s="966">
        <f t="shared" si="5"/>
        <v>173140</v>
      </c>
      <c r="L54" s="1019"/>
      <c r="M54" s="1328"/>
    </row>
    <row r="55" spans="1:13" s="1329" customFormat="1" ht="24" customHeight="1">
      <c r="A55" s="1330"/>
      <c r="B55" s="1331" t="s">
        <v>2438</v>
      </c>
      <c r="C55" s="801"/>
      <c r="D55" s="801"/>
      <c r="E55" s="1019">
        <v>1</v>
      </c>
      <c r="F55" s="1310" t="s">
        <v>240</v>
      </c>
      <c r="G55" s="1394">
        <v>157400</v>
      </c>
      <c r="H55" s="864">
        <f t="shared" si="2"/>
        <v>157400</v>
      </c>
      <c r="I55" s="1392">
        <f t="shared" si="3"/>
        <v>15740</v>
      </c>
      <c r="J55" s="1395">
        <f t="shared" si="4"/>
        <v>15740</v>
      </c>
      <c r="K55" s="966">
        <f t="shared" si="5"/>
        <v>173140</v>
      </c>
      <c r="L55" s="1019"/>
      <c r="M55" s="1328"/>
    </row>
    <row r="56" spans="1:13" s="1329" customFormat="1" ht="24" customHeight="1">
      <c r="A56" s="1330"/>
      <c r="B56" s="1331" t="s">
        <v>2439</v>
      </c>
      <c r="C56" s="801"/>
      <c r="D56" s="801"/>
      <c r="E56" s="1019">
        <v>1</v>
      </c>
      <c r="F56" s="1310" t="s">
        <v>240</v>
      </c>
      <c r="G56" s="1394">
        <v>211600</v>
      </c>
      <c r="H56" s="864">
        <f t="shared" si="2"/>
        <v>211600</v>
      </c>
      <c r="I56" s="1392">
        <f t="shared" si="3"/>
        <v>21160</v>
      </c>
      <c r="J56" s="1395">
        <f t="shared" si="4"/>
        <v>21160</v>
      </c>
      <c r="K56" s="966">
        <f t="shared" si="5"/>
        <v>232760</v>
      </c>
      <c r="L56" s="1019"/>
      <c r="M56" s="1328"/>
    </row>
    <row r="57" spans="1:13" s="1329" customFormat="1" ht="24" customHeight="1">
      <c r="A57" s="1330"/>
      <c r="B57" s="1331" t="s">
        <v>2440</v>
      </c>
      <c r="C57" s="801"/>
      <c r="D57" s="801"/>
      <c r="E57" s="1019">
        <v>1</v>
      </c>
      <c r="F57" s="1310" t="s">
        <v>240</v>
      </c>
      <c r="G57" s="1394">
        <v>224400</v>
      </c>
      <c r="H57" s="864">
        <f t="shared" si="2"/>
        <v>224400</v>
      </c>
      <c r="I57" s="1392">
        <f t="shared" si="3"/>
        <v>22440</v>
      </c>
      <c r="J57" s="1395">
        <f t="shared" si="4"/>
        <v>22440</v>
      </c>
      <c r="K57" s="966">
        <f t="shared" si="5"/>
        <v>246840</v>
      </c>
      <c r="L57" s="1019"/>
      <c r="M57" s="1328"/>
    </row>
    <row r="58" spans="1:13" s="1329" customFormat="1" ht="24" customHeight="1">
      <c r="A58" s="1330"/>
      <c r="B58" s="1331" t="s">
        <v>2441</v>
      </c>
      <c r="C58" s="801"/>
      <c r="D58" s="801"/>
      <c r="E58" s="1019">
        <v>1</v>
      </c>
      <c r="F58" s="1310" t="s">
        <v>240</v>
      </c>
      <c r="G58" s="1394">
        <v>237000</v>
      </c>
      <c r="H58" s="864">
        <f t="shared" si="2"/>
        <v>237000</v>
      </c>
      <c r="I58" s="1392">
        <f t="shared" si="3"/>
        <v>23700</v>
      </c>
      <c r="J58" s="1395">
        <f t="shared" si="4"/>
        <v>23700</v>
      </c>
      <c r="K58" s="966">
        <f t="shared" si="5"/>
        <v>260700</v>
      </c>
      <c r="L58" s="1019"/>
      <c r="M58" s="1328"/>
    </row>
    <row r="59" spans="1:13" s="1329" customFormat="1" ht="24" customHeight="1">
      <c r="A59" s="1330"/>
      <c r="B59" s="1331" t="s">
        <v>2442</v>
      </c>
      <c r="C59" s="801"/>
      <c r="D59" s="801"/>
      <c r="E59" s="1019">
        <v>1</v>
      </c>
      <c r="F59" s="1310" t="s">
        <v>240</v>
      </c>
      <c r="G59" s="1394">
        <v>237000</v>
      </c>
      <c r="H59" s="864">
        <f t="shared" si="2"/>
        <v>237000</v>
      </c>
      <c r="I59" s="1392">
        <f t="shared" si="3"/>
        <v>23700</v>
      </c>
      <c r="J59" s="1395">
        <f t="shared" si="4"/>
        <v>23700</v>
      </c>
      <c r="K59" s="966">
        <f t="shared" si="5"/>
        <v>260700</v>
      </c>
      <c r="L59" s="1019"/>
      <c r="M59" s="1328"/>
    </row>
    <row r="60" spans="1:13" s="1329" customFormat="1" ht="24" customHeight="1">
      <c r="A60" s="1330"/>
      <c r="B60" s="1331" t="s">
        <v>2443</v>
      </c>
      <c r="C60" s="801"/>
      <c r="D60" s="801"/>
      <c r="E60" s="1019">
        <v>1</v>
      </c>
      <c r="F60" s="1310" t="s">
        <v>240</v>
      </c>
      <c r="G60" s="1394">
        <v>215100</v>
      </c>
      <c r="H60" s="864">
        <f t="shared" si="2"/>
        <v>215100</v>
      </c>
      <c r="I60" s="1392">
        <f t="shared" si="3"/>
        <v>21510</v>
      </c>
      <c r="J60" s="1395">
        <f t="shared" si="4"/>
        <v>21510</v>
      </c>
      <c r="K60" s="966">
        <f t="shared" si="5"/>
        <v>236610</v>
      </c>
      <c r="L60" s="1019"/>
      <c r="M60" s="1328"/>
    </row>
    <row r="61" spans="1:13" s="1329" customFormat="1" ht="24" customHeight="1">
      <c r="A61" s="1330"/>
      <c r="B61" s="1331" t="s">
        <v>2444</v>
      </c>
      <c r="C61" s="801"/>
      <c r="D61" s="801"/>
      <c r="E61" s="1019">
        <v>1</v>
      </c>
      <c r="F61" s="1310" t="s">
        <v>240</v>
      </c>
      <c r="G61" s="1394">
        <v>406600</v>
      </c>
      <c r="H61" s="864">
        <f t="shared" si="2"/>
        <v>406600</v>
      </c>
      <c r="I61" s="1392">
        <f t="shared" si="3"/>
        <v>40660</v>
      </c>
      <c r="J61" s="1395">
        <f t="shared" si="4"/>
        <v>40660</v>
      </c>
      <c r="K61" s="966">
        <f t="shared" si="5"/>
        <v>447260</v>
      </c>
      <c r="L61" s="1019"/>
      <c r="M61" s="1328"/>
    </row>
    <row r="62" spans="1:13" s="1329" customFormat="1" ht="24" customHeight="1">
      <c r="A62" s="1330" t="s">
        <v>2000</v>
      </c>
      <c r="B62" s="1331" t="s">
        <v>2153</v>
      </c>
      <c r="C62" s="801"/>
      <c r="D62" s="801"/>
      <c r="E62" s="1019"/>
      <c r="F62" s="1310"/>
      <c r="G62" s="1392"/>
      <c r="H62" s="751"/>
      <c r="I62" s="1392"/>
      <c r="J62" s="1393"/>
      <c r="K62" s="1022"/>
      <c r="L62" s="1019"/>
      <c r="M62" s="1328"/>
    </row>
    <row r="63" spans="1:13" s="1329" customFormat="1" ht="24" customHeight="1">
      <c r="A63" s="1330"/>
      <c r="B63" s="1331" t="s">
        <v>2154</v>
      </c>
      <c r="C63" s="801"/>
      <c r="D63" s="801"/>
      <c r="E63" s="1019">
        <v>14</v>
      </c>
      <c r="F63" s="1310" t="s">
        <v>240</v>
      </c>
      <c r="G63" s="1392">
        <v>1800</v>
      </c>
      <c r="H63" s="864">
        <f>ROUND(E63*G63,)</f>
        <v>25200</v>
      </c>
      <c r="I63" s="1396" t="s">
        <v>974</v>
      </c>
      <c r="J63" s="1395"/>
      <c r="K63" s="966">
        <f>H63+J63</f>
        <v>25200</v>
      </c>
      <c r="L63" s="1019"/>
      <c r="M63" s="1328"/>
    </row>
    <row r="64" spans="1:13" s="1329" customFormat="1" ht="24" customHeight="1">
      <c r="A64" s="1330" t="s">
        <v>2155</v>
      </c>
      <c r="B64" s="1331" t="s">
        <v>1996</v>
      </c>
      <c r="C64" s="801"/>
      <c r="D64" s="801"/>
      <c r="E64" s="1019">
        <v>56</v>
      </c>
      <c r="F64" s="1310" t="s">
        <v>240</v>
      </c>
      <c r="G64" s="1392">
        <v>2400</v>
      </c>
      <c r="H64" s="864">
        <f>ROUND(E64*G64,)</f>
        <v>134400</v>
      </c>
      <c r="I64" s="1392">
        <f>G64*0.3</f>
        <v>720</v>
      </c>
      <c r="J64" s="1395">
        <f>ROUND(E64*I64,)</f>
        <v>40320</v>
      </c>
      <c r="K64" s="966">
        <f>H64+J64</f>
        <v>174720</v>
      </c>
      <c r="L64" s="1019"/>
      <c r="M64" s="1328"/>
    </row>
    <row r="65" spans="1:16" s="1329" customFormat="1" ht="24" customHeight="1">
      <c r="A65" s="1330"/>
      <c r="B65" s="1331" t="s">
        <v>957</v>
      </c>
      <c r="C65" s="801"/>
      <c r="D65" s="801"/>
      <c r="E65" s="1019"/>
      <c r="F65" s="1310"/>
      <c r="G65" s="1400"/>
      <c r="H65" s="864"/>
      <c r="I65" s="1400"/>
      <c r="J65" s="1395"/>
      <c r="K65" s="966"/>
      <c r="L65" s="1019"/>
      <c r="M65" s="1328"/>
    </row>
    <row r="66" spans="1:16" s="1329" customFormat="1" ht="24" customHeight="1">
      <c r="A66" s="1330"/>
      <c r="B66" s="1331" t="s">
        <v>1239</v>
      </c>
      <c r="C66" s="801"/>
      <c r="D66" s="801"/>
      <c r="E66" s="1019"/>
      <c r="F66" s="1310"/>
      <c r="G66" s="1400"/>
      <c r="H66" s="864"/>
      <c r="I66" s="1400"/>
      <c r="J66" s="1395"/>
      <c r="K66" s="966"/>
      <c r="L66" s="1019"/>
      <c r="M66" s="1328"/>
    </row>
    <row r="67" spans="1:16" s="1329" customFormat="1" ht="24" customHeight="1">
      <c r="A67" s="1330"/>
      <c r="B67" s="1331" t="s">
        <v>1239</v>
      </c>
      <c r="C67" s="801"/>
      <c r="D67" s="801"/>
      <c r="E67" s="1019"/>
      <c r="F67" s="1310"/>
      <c r="G67" s="1400"/>
      <c r="H67" s="864"/>
      <c r="I67" s="1400"/>
      <c r="J67" s="1395"/>
      <c r="K67" s="966"/>
      <c r="L67" s="1019"/>
      <c r="M67" s="1328"/>
    </row>
    <row r="68" spans="1:16" s="1329" customFormat="1" ht="24" customHeight="1">
      <c r="A68" s="1330"/>
      <c r="B68" s="1331"/>
      <c r="C68" s="801"/>
      <c r="D68" s="801"/>
      <c r="E68" s="1019"/>
      <c r="F68" s="1310"/>
      <c r="G68" s="1400"/>
      <c r="H68" s="864"/>
      <c r="I68" s="1400"/>
      <c r="J68" s="1395"/>
      <c r="K68" s="966"/>
      <c r="L68" s="1019"/>
      <c r="M68" s="1328"/>
    </row>
    <row r="69" spans="1:16" s="1329" customFormat="1" ht="24" customHeight="1">
      <c r="A69" s="1510"/>
      <c r="B69" s="2475" t="str">
        <f>"รวมราคารายการที่ "&amp;A46</f>
        <v>รวมราคารายการที่ 7.2</v>
      </c>
      <c r="C69" s="2476"/>
      <c r="D69" s="2476"/>
      <c r="E69" s="1511"/>
      <c r="F69" s="1512"/>
      <c r="G69" s="1513"/>
      <c r="H69" s="1514">
        <f>SUM(H46:H68)</f>
        <v>3393500</v>
      </c>
      <c r="I69" s="1515"/>
      <c r="J69" s="1516">
        <f>SUM(J46:J68)</f>
        <v>363710</v>
      </c>
      <c r="K69" s="1517">
        <f>SUM(K46:K68)</f>
        <v>3757210</v>
      </c>
      <c r="L69" s="1517"/>
      <c r="M69" s="1328"/>
    </row>
    <row r="70" spans="1:16" s="1329" customFormat="1" ht="24" customHeight="1">
      <c r="A70" s="1383" t="s">
        <v>1920</v>
      </c>
      <c r="B70" s="1518" t="s">
        <v>1988</v>
      </c>
      <c r="C70" s="1347"/>
      <c r="D70" s="801"/>
      <c r="E70" s="1019"/>
      <c r="F70" s="1310"/>
      <c r="G70" s="1400"/>
      <c r="H70" s="864"/>
      <c r="I70" s="1400"/>
      <c r="J70" s="1395"/>
      <c r="K70" s="966"/>
      <c r="L70" s="1019"/>
      <c r="M70" s="1328"/>
    </row>
    <row r="71" spans="1:16" s="1329" customFormat="1" ht="24" customHeight="1">
      <c r="A71" s="1330" t="s">
        <v>1922</v>
      </c>
      <c r="B71" s="1331" t="s">
        <v>1989</v>
      </c>
      <c r="C71" s="801"/>
      <c r="D71" s="801"/>
      <c r="E71" s="1019"/>
      <c r="F71" s="1310"/>
      <c r="G71" s="1400"/>
      <c r="H71" s="864"/>
      <c r="I71" s="1400"/>
      <c r="J71" s="1395"/>
      <c r="K71" s="966"/>
      <c r="L71" s="1019"/>
      <c r="M71" s="1328"/>
    </row>
    <row r="72" spans="1:16" s="1329" customFormat="1" ht="24" customHeight="1">
      <c r="A72" s="1330"/>
      <c r="B72" s="1331" t="str">
        <f>"  -  "&amp;M72&amp;", ("&amp;P72&amp;" kW,"&amp;N72&amp;" L/s)"</f>
        <v xml:space="preserve">  -  C2-5F-01, (9 kW,560 L/s)</v>
      </c>
      <c r="C72" s="1349"/>
      <c r="D72" s="801"/>
      <c r="E72" s="1022">
        <f>O72</f>
        <v>1</v>
      </c>
      <c r="F72" s="1333" t="s">
        <v>240</v>
      </c>
      <c r="G72" s="1392">
        <v>18300</v>
      </c>
      <c r="H72" s="864">
        <f t="shared" ref="H72:H73" si="6">ROUND(E72*G72,)</f>
        <v>18300</v>
      </c>
      <c r="I72" s="1392">
        <f>G72*0.1</f>
        <v>1830</v>
      </c>
      <c r="J72" s="1395">
        <f t="shared" ref="J72:J73" si="7">ROUND(E72*I72,)</f>
        <v>1830</v>
      </c>
      <c r="K72" s="966">
        <f t="shared" ref="K72:K73" si="8">H72+J72</f>
        <v>20130</v>
      </c>
      <c r="L72" s="1019"/>
      <c r="M72" s="1328" t="s">
        <v>2445</v>
      </c>
      <c r="N72" s="1329">
        <v>560</v>
      </c>
      <c r="O72" s="1329">
        <v>1</v>
      </c>
      <c r="P72" s="1329">
        <v>9</v>
      </c>
    </row>
    <row r="73" spans="1:16" s="1329" customFormat="1" ht="24" customHeight="1">
      <c r="A73" s="1330"/>
      <c r="B73" s="1331" t="str">
        <f>"  -  "&amp;M73&amp;", ("&amp;P73&amp;" kW,"&amp;N73&amp;" L/s)"</f>
        <v xml:space="preserve">  -  C2-5F-02 To 03, (4.5 kW,270 L/s)</v>
      </c>
      <c r="C73" s="1349"/>
      <c r="D73" s="801"/>
      <c r="E73" s="1022">
        <f>O73</f>
        <v>2</v>
      </c>
      <c r="F73" s="1333" t="s">
        <v>240</v>
      </c>
      <c r="G73" s="1392">
        <v>11100</v>
      </c>
      <c r="H73" s="864">
        <f t="shared" si="6"/>
        <v>22200</v>
      </c>
      <c r="I73" s="1392">
        <f>G73*0.1</f>
        <v>1110</v>
      </c>
      <c r="J73" s="1395">
        <f t="shared" si="7"/>
        <v>2220</v>
      </c>
      <c r="K73" s="966">
        <f t="shared" si="8"/>
        <v>24420</v>
      </c>
      <c r="L73" s="1019"/>
      <c r="M73" s="1328" t="s">
        <v>2446</v>
      </c>
      <c r="N73" s="1329">
        <v>270</v>
      </c>
      <c r="O73" s="1329">
        <v>2</v>
      </c>
      <c r="P73" s="1329">
        <v>4.5</v>
      </c>
    </row>
    <row r="74" spans="1:16" s="1329" customFormat="1" ht="24" customHeight="1">
      <c r="A74" s="1330" t="s">
        <v>2020</v>
      </c>
      <c r="B74" s="1331" t="s">
        <v>2158</v>
      </c>
      <c r="C74" s="801"/>
      <c r="D74" s="801"/>
      <c r="E74" s="1022"/>
      <c r="F74" s="1333"/>
      <c r="G74" s="1392"/>
      <c r="H74" s="864"/>
      <c r="I74" s="1392"/>
      <c r="J74" s="1393"/>
      <c r="K74" s="1022"/>
      <c r="L74" s="1022"/>
      <c r="M74" s="1328"/>
    </row>
    <row r="75" spans="1:16" s="1329" customFormat="1" ht="24" customHeight="1">
      <c r="A75" s="1330"/>
      <c r="B75" s="1331" t="s">
        <v>2345</v>
      </c>
      <c r="C75" s="801"/>
      <c r="D75" s="801"/>
      <c r="E75" s="1022">
        <v>3</v>
      </c>
      <c r="F75" s="1333" t="s">
        <v>240</v>
      </c>
      <c r="G75" s="1392">
        <v>3000</v>
      </c>
      <c r="H75" s="864">
        <f t="shared" ref="H75:H76" si="9">ROUND(E75*G75,)</f>
        <v>9000</v>
      </c>
      <c r="I75" s="1396"/>
      <c r="J75" s="1395"/>
      <c r="K75" s="966">
        <f t="shared" ref="K75:K76" si="10">H75+J75</f>
        <v>9000</v>
      </c>
      <c r="L75" s="1022"/>
      <c r="M75" s="1328"/>
    </row>
    <row r="76" spans="1:16" s="1329" customFormat="1" ht="24" customHeight="1">
      <c r="A76" s="1340" t="s">
        <v>2026</v>
      </c>
      <c r="B76" s="1331" t="s">
        <v>1996</v>
      </c>
      <c r="C76" s="801"/>
      <c r="D76" s="801"/>
      <c r="E76" s="1022">
        <f>SUM(E72:E73)*4</f>
        <v>12</v>
      </c>
      <c r="F76" s="1333" t="s">
        <v>240</v>
      </c>
      <c r="G76" s="1392">
        <v>800</v>
      </c>
      <c r="H76" s="864">
        <f t="shared" si="9"/>
        <v>9600</v>
      </c>
      <c r="I76" s="1392">
        <f>G76*0.3</f>
        <v>240</v>
      </c>
      <c r="J76" s="1395">
        <f t="shared" ref="J76" si="11">ROUND(E76*I76,)</f>
        <v>2880</v>
      </c>
      <c r="K76" s="966">
        <f t="shared" si="10"/>
        <v>12480</v>
      </c>
      <c r="L76" s="1022"/>
      <c r="M76" s="1328"/>
    </row>
    <row r="77" spans="1:16" s="1329" customFormat="1" ht="24" customHeight="1">
      <c r="A77" s="1340"/>
      <c r="B77" s="1331" t="s">
        <v>957</v>
      </c>
      <c r="C77" s="801"/>
      <c r="D77" s="801"/>
      <c r="E77" s="1022"/>
      <c r="F77" s="1333"/>
      <c r="G77" s="1392"/>
      <c r="H77" s="864"/>
      <c r="I77" s="1392"/>
      <c r="J77" s="1395"/>
      <c r="K77" s="966"/>
      <c r="L77" s="1022"/>
      <c r="M77" s="1328"/>
    </row>
    <row r="78" spans="1:16" s="1329" customFormat="1" ht="24" customHeight="1">
      <c r="A78" s="1340"/>
      <c r="B78" s="1331" t="s">
        <v>958</v>
      </c>
      <c r="C78" s="801"/>
      <c r="D78" s="801"/>
      <c r="E78" s="1022"/>
      <c r="F78" s="1333"/>
      <c r="G78" s="1392"/>
      <c r="H78" s="864"/>
      <c r="I78" s="1392"/>
      <c r="J78" s="1395"/>
      <c r="K78" s="966"/>
      <c r="L78" s="1022"/>
      <c r="M78" s="1328"/>
    </row>
    <row r="79" spans="1:16" s="1329" customFormat="1" ht="24" customHeight="1">
      <c r="A79" s="1340"/>
      <c r="B79" s="1331" t="s">
        <v>958</v>
      </c>
      <c r="C79" s="801"/>
      <c r="D79" s="801"/>
      <c r="E79" s="1022"/>
      <c r="F79" s="1333"/>
      <c r="G79" s="1392"/>
      <c r="H79" s="864"/>
      <c r="I79" s="1392"/>
      <c r="J79" s="1395"/>
      <c r="K79" s="966"/>
      <c r="L79" s="1022"/>
      <c r="M79" s="1328"/>
    </row>
    <row r="80" spans="1:16" s="1329" customFormat="1" ht="24" customHeight="1">
      <c r="A80" s="1397"/>
      <c r="B80" s="1335"/>
      <c r="C80" s="890"/>
      <c r="D80" s="890"/>
      <c r="E80" s="1080"/>
      <c r="F80" s="1338"/>
      <c r="G80" s="1398"/>
      <c r="H80" s="891"/>
      <c r="I80" s="1398"/>
      <c r="J80" s="1419"/>
      <c r="K80" s="1337"/>
      <c r="L80" s="1080"/>
      <c r="M80" s="1328"/>
    </row>
    <row r="81" spans="1:13" s="1329" customFormat="1" ht="24" customHeight="1">
      <c r="A81" s="1397"/>
      <c r="B81" s="1335"/>
      <c r="C81" s="890"/>
      <c r="D81" s="890"/>
      <c r="E81" s="1080"/>
      <c r="F81" s="1338"/>
      <c r="G81" s="1398"/>
      <c r="H81" s="891"/>
      <c r="I81" s="1398"/>
      <c r="J81" s="1419"/>
      <c r="K81" s="1337"/>
      <c r="L81" s="1080"/>
      <c r="M81" s="1328"/>
    </row>
    <row r="82" spans="1:13" s="1329" customFormat="1" ht="24" customHeight="1">
      <c r="A82" s="1397"/>
      <c r="B82" s="1335"/>
      <c r="C82" s="890"/>
      <c r="D82" s="890"/>
      <c r="E82" s="1080"/>
      <c r="F82" s="1338"/>
      <c r="G82" s="1398"/>
      <c r="H82" s="891"/>
      <c r="I82" s="1398"/>
      <c r="J82" s="1419"/>
      <c r="K82" s="1337"/>
      <c r="L82" s="1080"/>
      <c r="M82" s="1328"/>
    </row>
    <row r="83" spans="1:13" s="1329" customFormat="1" ht="24" customHeight="1">
      <c r="A83" s="1397"/>
      <c r="B83" s="1335"/>
      <c r="C83" s="890"/>
      <c r="D83" s="890"/>
      <c r="E83" s="1080"/>
      <c r="F83" s="1338"/>
      <c r="G83" s="1398"/>
      <c r="H83" s="891"/>
      <c r="I83" s="1398"/>
      <c r="J83" s="1419"/>
      <c r="K83" s="1337"/>
      <c r="L83" s="1080"/>
      <c r="M83" s="1328"/>
    </row>
    <row r="84" spans="1:13" s="886" customFormat="1" ht="24" customHeight="1">
      <c r="A84" s="1510"/>
      <c r="B84" s="2475" t="str">
        <f>"รวมราคารายการที่ "&amp;A70</f>
        <v>รวมราคารายการที่ 7.3</v>
      </c>
      <c r="C84" s="2476"/>
      <c r="D84" s="2476"/>
      <c r="E84" s="1511"/>
      <c r="F84" s="1512"/>
      <c r="G84" s="1513"/>
      <c r="H84" s="1514">
        <f>SUM(H71:H83)</f>
        <v>59100</v>
      </c>
      <c r="I84" s="1515"/>
      <c r="J84" s="1516">
        <f>SUM(J71:J83)</f>
        <v>6930</v>
      </c>
      <c r="K84" s="1517">
        <f>SUM(K71:K83)</f>
        <v>66030</v>
      </c>
      <c r="L84" s="1517"/>
      <c r="M84" s="1342"/>
    </row>
    <row r="85" spans="1:13" s="1329" customFormat="1" ht="24" customHeight="1">
      <c r="A85" s="1325" t="s">
        <v>2027</v>
      </c>
      <c r="B85" s="1326" t="s">
        <v>1903</v>
      </c>
      <c r="C85" s="901"/>
      <c r="D85" s="901"/>
      <c r="E85" s="1019"/>
      <c r="F85" s="1310"/>
      <c r="G85" s="1400"/>
      <c r="H85" s="864"/>
      <c r="I85" s="1400"/>
      <c r="J85" s="1395"/>
      <c r="K85" s="966"/>
      <c r="L85" s="1019"/>
      <c r="M85" s="1328"/>
    </row>
    <row r="86" spans="1:13" s="1329" customFormat="1" ht="24" customHeight="1">
      <c r="A86" s="1330" t="s">
        <v>1928</v>
      </c>
      <c r="B86" s="1331" t="s">
        <v>1998</v>
      </c>
      <c r="C86" s="801"/>
      <c r="D86" s="801"/>
      <c r="E86" s="1022"/>
      <c r="F86" s="1333"/>
      <c r="G86" s="1392"/>
      <c r="H86" s="751"/>
      <c r="I86" s="1392"/>
      <c r="J86" s="1393"/>
      <c r="K86" s="1022"/>
      <c r="L86" s="1022"/>
      <c r="M86" s="1328"/>
    </row>
    <row r="87" spans="1:13" s="1329" customFormat="1" ht="24" customHeight="1">
      <c r="A87" s="1330" t="s">
        <v>2160</v>
      </c>
      <c r="B87" s="1331" t="s">
        <v>1999</v>
      </c>
      <c r="C87" s="801"/>
      <c r="D87" s="801"/>
      <c r="E87" s="1019"/>
      <c r="F87" s="1310"/>
      <c r="G87" s="1400"/>
      <c r="H87" s="773"/>
      <c r="I87" s="1400"/>
      <c r="J87" s="1401"/>
      <c r="K87" s="1019"/>
      <c r="L87" s="1022"/>
      <c r="M87" s="1328"/>
    </row>
    <row r="88" spans="1:13" s="1329" customFormat="1" ht="24" customHeight="1">
      <c r="A88" s="1330"/>
      <c r="B88" s="1331" t="s">
        <v>1715</v>
      </c>
      <c r="C88" s="801"/>
      <c r="D88" s="801"/>
      <c r="E88" s="1019">
        <f>E75</f>
        <v>3</v>
      </c>
      <c r="F88" s="1333" t="s">
        <v>240</v>
      </c>
      <c r="G88" s="1392">
        <v>3672</v>
      </c>
      <c r="H88" s="864">
        <f t="shared" ref="H88" si="12">ROUND(E88*G88,)</f>
        <v>11016</v>
      </c>
      <c r="I88" s="1392">
        <v>150</v>
      </c>
      <c r="J88" s="1395">
        <f t="shared" ref="J88" si="13">ROUND(E88*I88,)</f>
        <v>450</v>
      </c>
      <c r="K88" s="966">
        <f t="shared" ref="K88" si="14">H88+J88</f>
        <v>11466</v>
      </c>
      <c r="L88" s="1022"/>
      <c r="M88" s="1328"/>
    </row>
    <row r="89" spans="1:13" s="1329" customFormat="1" ht="24" customHeight="1">
      <c r="A89" s="1330" t="s">
        <v>2161</v>
      </c>
      <c r="B89" s="1331" t="s">
        <v>2162</v>
      </c>
      <c r="C89" s="801"/>
      <c r="D89" s="801"/>
      <c r="E89" s="1022"/>
      <c r="F89" s="1333"/>
      <c r="G89" s="1392"/>
      <c r="H89" s="751"/>
      <c r="I89" s="1392"/>
      <c r="J89" s="1393"/>
      <c r="K89" s="1022"/>
      <c r="L89" s="1022"/>
      <c r="M89" s="1328"/>
    </row>
    <row r="90" spans="1:13" s="1329" customFormat="1" ht="24" customHeight="1">
      <c r="A90" s="1330"/>
      <c r="B90" s="1331" t="s">
        <v>1747</v>
      </c>
      <c r="C90" s="801"/>
      <c r="D90" s="801"/>
      <c r="E90" s="1022">
        <f>E63+E39</f>
        <v>16</v>
      </c>
      <c r="F90" s="1333" t="s">
        <v>240</v>
      </c>
      <c r="G90" s="1392">
        <v>9310</v>
      </c>
      <c r="H90" s="864">
        <f t="shared" ref="H90" si="15">ROUND(E90*G90,)</f>
        <v>148960</v>
      </c>
      <c r="I90" s="1392">
        <v>250</v>
      </c>
      <c r="J90" s="1395">
        <f t="shared" ref="J90" si="16">ROUND(E90*I90,)</f>
        <v>4000</v>
      </c>
      <c r="K90" s="966">
        <f t="shared" ref="K90" si="17">H90+J90</f>
        <v>152960</v>
      </c>
      <c r="L90" s="1022"/>
      <c r="M90" s="1328"/>
    </row>
    <row r="91" spans="1:13" s="1329" customFormat="1" ht="24" customHeight="1">
      <c r="A91" s="1340"/>
      <c r="B91" s="1331" t="s">
        <v>957</v>
      </c>
      <c r="C91" s="801"/>
      <c r="D91" s="801"/>
      <c r="E91" s="1022"/>
      <c r="F91" s="1333"/>
      <c r="G91" s="1392"/>
      <c r="H91" s="751"/>
      <c r="I91" s="1392"/>
      <c r="J91" s="1393"/>
      <c r="K91" s="1022"/>
      <c r="L91" s="1022"/>
      <c r="M91" s="1328"/>
    </row>
    <row r="92" spans="1:13" s="1329" customFormat="1" ht="24" customHeight="1">
      <c r="A92" s="1340"/>
      <c r="B92" s="1331" t="s">
        <v>958</v>
      </c>
      <c r="C92" s="801"/>
      <c r="D92" s="801"/>
      <c r="E92" s="1022"/>
      <c r="F92" s="1333"/>
      <c r="G92" s="1392"/>
      <c r="H92" s="751"/>
      <c r="I92" s="1392"/>
      <c r="J92" s="1393"/>
      <c r="K92" s="1022"/>
      <c r="L92" s="1022"/>
      <c r="M92" s="1328"/>
    </row>
    <row r="93" spans="1:13" s="1329" customFormat="1" ht="24" customHeight="1">
      <c r="A93" s="1340"/>
      <c r="B93" s="1331" t="s">
        <v>958</v>
      </c>
      <c r="C93" s="801"/>
      <c r="D93" s="801"/>
      <c r="E93" s="1022"/>
      <c r="F93" s="1333"/>
      <c r="G93" s="1392"/>
      <c r="H93" s="751"/>
      <c r="I93" s="1392"/>
      <c r="J93" s="1393"/>
      <c r="K93" s="1022"/>
      <c r="L93" s="1022"/>
      <c r="M93" s="1328"/>
    </row>
    <row r="94" spans="1:13" s="1329" customFormat="1" ht="24" customHeight="1">
      <c r="A94" s="1397"/>
      <c r="B94" s="1191"/>
      <c r="C94" s="890"/>
      <c r="D94" s="890"/>
      <c r="E94" s="1080"/>
      <c r="F94" s="1338"/>
      <c r="G94" s="1398"/>
      <c r="H94" s="765"/>
      <c r="I94" s="1398"/>
      <c r="J94" s="1399"/>
      <c r="K94" s="1080"/>
      <c r="L94" s="1080"/>
      <c r="M94" s="1328"/>
    </row>
    <row r="95" spans="1:13" s="886" customFormat="1" ht="24" customHeight="1">
      <c r="A95" s="1510"/>
      <c r="B95" s="2475" t="str">
        <f>"รวมราคารายการที่ "&amp;A85</f>
        <v>รวมราคารายการที่ 7.4</v>
      </c>
      <c r="C95" s="2476"/>
      <c r="D95" s="2476"/>
      <c r="E95" s="1511"/>
      <c r="F95" s="1512"/>
      <c r="G95" s="1513"/>
      <c r="H95" s="1514">
        <f>SUM(H86:H94)</f>
        <v>159976</v>
      </c>
      <c r="I95" s="1515"/>
      <c r="J95" s="1516">
        <f>SUM(J86:J94)</f>
        <v>4450</v>
      </c>
      <c r="K95" s="1517">
        <f>SUM(K86:K94)</f>
        <v>164426</v>
      </c>
      <c r="L95" s="1517"/>
      <c r="M95" s="1342"/>
    </row>
    <row r="96" spans="1:13" s="1329" customFormat="1" ht="24" customHeight="1">
      <c r="A96" s="1325" t="s">
        <v>2030</v>
      </c>
      <c r="B96" s="1326" t="s">
        <v>2003</v>
      </c>
      <c r="C96" s="1347"/>
      <c r="D96" s="901"/>
      <c r="E96" s="1019"/>
      <c r="F96" s="1310"/>
      <c r="G96" s="1400"/>
      <c r="H96" s="864"/>
      <c r="I96" s="1400"/>
      <c r="J96" s="1395"/>
      <c r="K96" s="966"/>
      <c r="L96" s="1019"/>
      <c r="M96" s="1328"/>
    </row>
    <row r="97" spans="1:16" s="1329" customFormat="1" ht="24" customHeight="1">
      <c r="A97" s="1340" t="s">
        <v>1949</v>
      </c>
      <c r="B97" s="1331" t="s">
        <v>2004</v>
      </c>
      <c r="C97" s="801"/>
      <c r="D97" s="801"/>
      <c r="E97" s="1022"/>
      <c r="F97" s="1333"/>
      <c r="G97" s="1496"/>
      <c r="H97" s="751"/>
      <c r="I97" s="1392"/>
      <c r="J97" s="1393"/>
      <c r="K97" s="1022"/>
      <c r="L97" s="1022"/>
      <c r="M97" s="1328"/>
    </row>
    <row r="98" spans="1:16" s="1329" customFormat="1" ht="24" customHeight="1">
      <c r="A98" s="1340"/>
      <c r="B98" s="1331" t="str">
        <f t="shared" ref="B98:B100" si="18">"  -  "&amp;M98&amp;", ("&amp;N98&amp;" L/s)"</f>
        <v xml:space="preserve">  -  C1-5EAF-03, (1370 L/s)</v>
      </c>
      <c r="C98" s="801"/>
      <c r="D98" s="801"/>
      <c r="E98" s="1022">
        <f t="shared" ref="E98:E100" si="19">O98</f>
        <v>1</v>
      </c>
      <c r="F98" s="1333" t="s">
        <v>240</v>
      </c>
      <c r="G98" s="1496">
        <v>26000</v>
      </c>
      <c r="H98" s="864">
        <f t="shared" ref="H98:H100" si="20">ROUND(E98*G98,)</f>
        <v>26000</v>
      </c>
      <c r="I98" s="1394">
        <f>G98*0.1</f>
        <v>2600</v>
      </c>
      <c r="J98" s="1395">
        <f>ROUND(E98*I98,)</f>
        <v>2600</v>
      </c>
      <c r="K98" s="966">
        <f>H98+J98</f>
        <v>28600</v>
      </c>
      <c r="L98" s="1022"/>
      <c r="M98" s="1328" t="s">
        <v>2447</v>
      </c>
      <c r="N98" s="1329">
        <v>1370</v>
      </c>
      <c r="O98" s="1329">
        <v>1</v>
      </c>
    </row>
    <row r="99" spans="1:16" s="1329" customFormat="1" ht="24" customHeight="1">
      <c r="A99" s="1340"/>
      <c r="B99" s="1331" t="str">
        <f t="shared" si="18"/>
        <v xml:space="preserve">  -  C2-5EAF-03, (870 L/s)</v>
      </c>
      <c r="C99" s="801"/>
      <c r="D99" s="801"/>
      <c r="E99" s="1022">
        <f t="shared" si="19"/>
        <v>1</v>
      </c>
      <c r="F99" s="1333" t="s">
        <v>240</v>
      </c>
      <c r="G99" s="1496">
        <v>19200</v>
      </c>
      <c r="H99" s="864">
        <f t="shared" si="20"/>
        <v>19200</v>
      </c>
      <c r="I99" s="1394">
        <f>G99*0.1</f>
        <v>1920</v>
      </c>
      <c r="J99" s="1395">
        <f>ROUND(E99*I99,)</f>
        <v>1920</v>
      </c>
      <c r="K99" s="966">
        <f>H99+J99</f>
        <v>21120</v>
      </c>
      <c r="L99" s="1022"/>
      <c r="M99" s="1328" t="s">
        <v>2448</v>
      </c>
      <c r="N99" s="1329">
        <v>870</v>
      </c>
      <c r="O99" s="1329">
        <v>1</v>
      </c>
    </row>
    <row r="100" spans="1:16" s="1329" customFormat="1" ht="24" customHeight="1">
      <c r="A100" s="1340"/>
      <c r="B100" s="1331" t="str">
        <f t="shared" si="18"/>
        <v xml:space="preserve">  -  C2-5EAF-04, (1470 L/s)</v>
      </c>
      <c r="C100" s="801"/>
      <c r="D100" s="801"/>
      <c r="E100" s="1022">
        <f t="shared" si="19"/>
        <v>1</v>
      </c>
      <c r="F100" s="1333" t="s">
        <v>240</v>
      </c>
      <c r="G100" s="1496">
        <v>31200</v>
      </c>
      <c r="H100" s="864">
        <f t="shared" si="20"/>
        <v>31200</v>
      </c>
      <c r="I100" s="1394">
        <f>G100*0.1</f>
        <v>3120</v>
      </c>
      <c r="J100" s="1395">
        <f>ROUND(E100*I100,)</f>
        <v>3120</v>
      </c>
      <c r="K100" s="966">
        <f>H100+J100</f>
        <v>34320</v>
      </c>
      <c r="L100" s="1022"/>
      <c r="M100" s="1328" t="s">
        <v>2449</v>
      </c>
      <c r="N100" s="1329">
        <v>1470</v>
      </c>
      <c r="O100" s="1329">
        <v>1</v>
      </c>
    </row>
    <row r="101" spans="1:16" s="1329" customFormat="1" ht="24" customHeight="1">
      <c r="A101" s="1340" t="s">
        <v>1955</v>
      </c>
      <c r="B101" s="1331" t="s">
        <v>2021</v>
      </c>
      <c r="C101" s="801"/>
      <c r="D101" s="801"/>
      <c r="E101" s="1022"/>
      <c r="F101" s="1333"/>
      <c r="G101" s="1496"/>
      <c r="H101" s="751"/>
      <c r="I101" s="1392"/>
      <c r="J101" s="1393"/>
      <c r="K101" s="1022"/>
      <c r="L101" s="1022"/>
      <c r="M101" s="1328"/>
    </row>
    <row r="102" spans="1:16" s="1329" customFormat="1" ht="24" customHeight="1">
      <c r="A102" s="1340"/>
      <c r="B102" s="1331" t="str">
        <f t="shared" ref="B102:B105" si="21">"  -  "&amp;M102&amp;", ("&amp;N102&amp;" L/s)"</f>
        <v xml:space="preserve">  -  C1-5EAF-01, (115 L/s)</v>
      </c>
      <c r="C102" s="801"/>
      <c r="D102" s="801"/>
      <c r="E102" s="1022">
        <f t="shared" ref="E102:E105" si="22">O102</f>
        <v>1</v>
      </c>
      <c r="F102" s="1333" t="s">
        <v>240</v>
      </c>
      <c r="G102" s="1392">
        <v>1040</v>
      </c>
      <c r="H102" s="1180">
        <f>E102*G102</f>
        <v>1040</v>
      </c>
      <c r="I102" s="1392">
        <v>500</v>
      </c>
      <c r="J102" s="1498">
        <f>I102*E102</f>
        <v>500</v>
      </c>
      <c r="K102" s="1182">
        <f>H102+J102</f>
        <v>1540</v>
      </c>
      <c r="L102" s="1022"/>
      <c r="M102" s="1328" t="s">
        <v>2450</v>
      </c>
      <c r="N102" s="1329">
        <v>115</v>
      </c>
      <c r="O102" s="1329">
        <v>1</v>
      </c>
    </row>
    <row r="103" spans="1:16" s="1329" customFormat="1" ht="24" customHeight="1">
      <c r="A103" s="1340"/>
      <c r="B103" s="1331" t="str">
        <f t="shared" si="21"/>
        <v xml:space="preserve">  -  C1-5EAF-02, (115 L/s)</v>
      </c>
      <c r="C103" s="801"/>
      <c r="D103" s="801"/>
      <c r="E103" s="1022">
        <f t="shared" si="22"/>
        <v>1</v>
      </c>
      <c r="F103" s="1333" t="s">
        <v>240</v>
      </c>
      <c r="G103" s="1392">
        <v>1040</v>
      </c>
      <c r="H103" s="1180">
        <f>E103*G103</f>
        <v>1040</v>
      </c>
      <c r="I103" s="1392">
        <v>500</v>
      </c>
      <c r="J103" s="1498">
        <f>I103*E103</f>
        <v>500</v>
      </c>
      <c r="K103" s="1182">
        <f>H103+J103</f>
        <v>1540</v>
      </c>
      <c r="L103" s="1022"/>
      <c r="M103" s="1328" t="s">
        <v>2451</v>
      </c>
      <c r="N103" s="1329">
        <v>115</v>
      </c>
      <c r="O103" s="1329">
        <v>1</v>
      </c>
    </row>
    <row r="104" spans="1:16" s="1329" customFormat="1" ht="24" customHeight="1">
      <c r="A104" s="1340"/>
      <c r="B104" s="1331" t="str">
        <f t="shared" si="21"/>
        <v xml:space="preserve">  -  C2-5EAF-01, (115 L/s)</v>
      </c>
      <c r="C104" s="801"/>
      <c r="D104" s="801"/>
      <c r="E104" s="1022">
        <f t="shared" si="22"/>
        <v>1</v>
      </c>
      <c r="F104" s="1333" t="s">
        <v>240</v>
      </c>
      <c r="G104" s="1392">
        <v>1040</v>
      </c>
      <c r="H104" s="1180">
        <f>E104*G104</f>
        <v>1040</v>
      </c>
      <c r="I104" s="1392">
        <v>500</v>
      </c>
      <c r="J104" s="1498">
        <f>I104*E104</f>
        <v>500</v>
      </c>
      <c r="K104" s="1182">
        <f>H104+J104</f>
        <v>1540</v>
      </c>
      <c r="L104" s="1022"/>
      <c r="M104" s="1328" t="s">
        <v>2452</v>
      </c>
      <c r="N104" s="1329">
        <v>115</v>
      </c>
      <c r="O104" s="1329">
        <v>1</v>
      </c>
    </row>
    <row r="105" spans="1:16" s="1329" customFormat="1" ht="24" customHeight="1">
      <c r="A105" s="1340"/>
      <c r="B105" s="1331" t="str">
        <f t="shared" si="21"/>
        <v xml:space="preserve">  -  C2-5EAF-02, (115 L/s)</v>
      </c>
      <c r="C105" s="801"/>
      <c r="D105" s="801"/>
      <c r="E105" s="1022">
        <f t="shared" si="22"/>
        <v>1</v>
      </c>
      <c r="F105" s="1333" t="s">
        <v>240</v>
      </c>
      <c r="G105" s="1392">
        <v>1040</v>
      </c>
      <c r="H105" s="1180">
        <f>E105*G105</f>
        <v>1040</v>
      </c>
      <c r="I105" s="1392">
        <v>500</v>
      </c>
      <c r="J105" s="1498">
        <f>I105*E105</f>
        <v>500</v>
      </c>
      <c r="K105" s="1182">
        <f>H105+J105</f>
        <v>1540</v>
      </c>
      <c r="L105" s="966"/>
      <c r="M105" s="1534" t="s">
        <v>2453</v>
      </c>
      <c r="N105" s="1535">
        <v>115</v>
      </c>
      <c r="O105" s="1404">
        <v>1</v>
      </c>
      <c r="P105" s="1536"/>
    </row>
    <row r="106" spans="1:16" s="1329" customFormat="1" ht="24" customHeight="1">
      <c r="A106" s="1340" t="s">
        <v>2173</v>
      </c>
      <c r="B106" s="1331" t="s">
        <v>1996</v>
      </c>
      <c r="C106" s="801"/>
      <c r="D106" s="801"/>
      <c r="E106" s="1022">
        <f>SUM(E98:E105)</f>
        <v>7</v>
      </c>
      <c r="F106" s="1333" t="s">
        <v>948</v>
      </c>
      <c r="G106" s="1392">
        <v>800</v>
      </c>
      <c r="H106" s="1180">
        <f>E106*G106</f>
        <v>5600</v>
      </c>
      <c r="I106" s="1392">
        <f>G106*0.3</f>
        <v>240</v>
      </c>
      <c r="J106" s="1498">
        <f>I106*E106</f>
        <v>1680</v>
      </c>
      <c r="K106" s="1182">
        <f>H106+J106</f>
        <v>7280</v>
      </c>
      <c r="L106" s="1022"/>
      <c r="M106" s="1328"/>
    </row>
    <row r="107" spans="1:16" s="1329" customFormat="1" ht="24" customHeight="1">
      <c r="A107" s="1340"/>
      <c r="B107" s="1331" t="s">
        <v>957</v>
      </c>
      <c r="C107" s="801"/>
      <c r="D107" s="801"/>
      <c r="E107" s="1022"/>
      <c r="F107" s="1333"/>
      <c r="G107" s="1392"/>
      <c r="H107" s="751"/>
      <c r="I107" s="1392"/>
      <c r="J107" s="1393"/>
      <c r="K107" s="1022"/>
      <c r="L107" s="1022"/>
      <c r="M107" s="1328"/>
    </row>
    <row r="108" spans="1:16" s="1329" customFormat="1" ht="24" customHeight="1">
      <c r="A108" s="1340"/>
      <c r="B108" s="1331" t="s">
        <v>958</v>
      </c>
      <c r="C108" s="801"/>
      <c r="D108" s="801"/>
      <c r="E108" s="1022"/>
      <c r="F108" s="1333"/>
      <c r="G108" s="1392"/>
      <c r="H108" s="751"/>
      <c r="I108" s="1392"/>
      <c r="J108" s="1393"/>
      <c r="K108" s="1022"/>
      <c r="L108" s="1022"/>
      <c r="M108" s="1328"/>
    </row>
    <row r="109" spans="1:16" s="886" customFormat="1" ht="24" customHeight="1">
      <c r="A109" s="1510"/>
      <c r="B109" s="2475" t="str">
        <f>"รวมราคารายการที่ "&amp;A96</f>
        <v>รวมราคารายการที่ 7.5</v>
      </c>
      <c r="C109" s="2476"/>
      <c r="D109" s="2476"/>
      <c r="E109" s="1511"/>
      <c r="F109" s="1512"/>
      <c r="G109" s="1513"/>
      <c r="H109" s="1514">
        <f>SUM(H96:H108)</f>
        <v>86160</v>
      </c>
      <c r="I109" s="1515"/>
      <c r="J109" s="1516">
        <f>SUM(J96:J108)</f>
        <v>11320</v>
      </c>
      <c r="K109" s="1517">
        <f>SUM(K96:K108)</f>
        <v>97480</v>
      </c>
      <c r="L109" s="1517"/>
      <c r="M109" s="1342"/>
    </row>
    <row r="110" spans="1:16" s="1329" customFormat="1" ht="24" customHeight="1">
      <c r="A110" s="1325" t="s">
        <v>2032</v>
      </c>
      <c r="B110" s="1326" t="s">
        <v>2174</v>
      </c>
      <c r="C110" s="1347"/>
      <c r="D110" s="901"/>
      <c r="E110" s="1019"/>
      <c r="F110" s="1310"/>
      <c r="G110" s="1400"/>
      <c r="H110" s="864"/>
      <c r="I110" s="1400"/>
      <c r="J110" s="1395"/>
      <c r="K110" s="966"/>
      <c r="L110" s="1019"/>
      <c r="M110" s="1328"/>
    </row>
    <row r="111" spans="1:16" s="1329" customFormat="1" ht="24" customHeight="1">
      <c r="A111" s="1330" t="s">
        <v>1960</v>
      </c>
      <c r="B111" s="1331" t="s">
        <v>2175</v>
      </c>
      <c r="C111" s="801"/>
      <c r="D111" s="801"/>
      <c r="E111" s="1022"/>
      <c r="F111" s="1333"/>
      <c r="G111" s="1392"/>
      <c r="H111" s="751"/>
      <c r="I111" s="1392"/>
      <c r="J111" s="1393"/>
      <c r="K111" s="1022"/>
      <c r="L111" s="1022"/>
      <c r="M111" s="1328"/>
    </row>
    <row r="112" spans="1:16" s="1329" customFormat="1" ht="24" customHeight="1">
      <c r="A112" s="1330"/>
      <c r="B112" s="1331" t="s">
        <v>2176</v>
      </c>
      <c r="C112" s="801"/>
      <c r="D112" s="801"/>
      <c r="E112" s="1022">
        <f>E75+E63</f>
        <v>17</v>
      </c>
      <c r="F112" s="1333" t="s">
        <v>240</v>
      </c>
      <c r="G112" s="1497">
        <v>800</v>
      </c>
      <c r="H112" s="1180">
        <f>E112*G112</f>
        <v>13600</v>
      </c>
      <c r="I112" s="849">
        <v>150</v>
      </c>
      <c r="J112" s="1498">
        <f>I112*E112</f>
        <v>2550</v>
      </c>
      <c r="K112" s="1182">
        <f>H112+J112</f>
        <v>16150</v>
      </c>
      <c r="L112" s="1022"/>
      <c r="M112" s="1328"/>
    </row>
    <row r="113" spans="1:13" s="1329" customFormat="1" ht="24" customHeight="1">
      <c r="A113" s="1330" t="s">
        <v>1964</v>
      </c>
      <c r="B113" s="1331" t="s">
        <v>2177</v>
      </c>
      <c r="C113" s="801"/>
      <c r="D113" s="801"/>
      <c r="E113" s="1022"/>
      <c r="F113" s="1333"/>
      <c r="G113" s="1392"/>
      <c r="H113" s="751"/>
      <c r="I113" s="1392"/>
      <c r="J113" s="1393"/>
      <c r="K113" s="1022"/>
      <c r="L113" s="1022"/>
      <c r="M113" s="1328"/>
    </row>
    <row r="114" spans="1:13" s="1329" customFormat="1" ht="24" customHeight="1">
      <c r="A114" s="1330"/>
      <c r="B114" s="1331" t="s">
        <v>2178</v>
      </c>
      <c r="C114" s="801"/>
      <c r="D114" s="801"/>
      <c r="E114" s="1022">
        <f>E39</f>
        <v>2</v>
      </c>
      <c r="F114" s="1333" t="s">
        <v>240</v>
      </c>
      <c r="G114" s="1497">
        <v>2600</v>
      </c>
      <c r="H114" s="1180">
        <f>E114*G114</f>
        <v>5200</v>
      </c>
      <c r="I114" s="849">
        <v>200</v>
      </c>
      <c r="J114" s="1498">
        <f>I114*E114</f>
        <v>400</v>
      </c>
      <c r="K114" s="1182">
        <f>H114+J114</f>
        <v>5600</v>
      </c>
      <c r="L114" s="1022"/>
      <c r="M114" s="1328"/>
    </row>
    <row r="115" spans="1:13" s="1329" customFormat="1" ht="24" customHeight="1">
      <c r="A115" s="1330"/>
      <c r="B115" s="1331" t="s">
        <v>957</v>
      </c>
      <c r="C115" s="801"/>
      <c r="D115" s="801"/>
      <c r="E115" s="1022"/>
      <c r="F115" s="1333"/>
      <c r="G115" s="1392"/>
      <c r="H115" s="751"/>
      <c r="I115" s="1392"/>
      <c r="J115" s="1393"/>
      <c r="K115" s="1022"/>
      <c r="L115" s="1022"/>
      <c r="M115" s="1328"/>
    </row>
    <row r="116" spans="1:13" s="1329" customFormat="1" ht="24" customHeight="1">
      <c r="A116" s="1340"/>
      <c r="B116" s="1331" t="s">
        <v>1102</v>
      </c>
      <c r="C116" s="801"/>
      <c r="D116" s="801"/>
      <c r="E116" s="1022"/>
      <c r="F116" s="1333"/>
      <c r="G116" s="1392"/>
      <c r="H116" s="751"/>
      <c r="I116" s="1392"/>
      <c r="J116" s="1393"/>
      <c r="K116" s="1022"/>
      <c r="L116" s="1022"/>
      <c r="M116" s="1328"/>
    </row>
    <row r="117" spans="1:13" s="1329" customFormat="1" ht="24" customHeight="1">
      <c r="A117" s="1510"/>
      <c r="B117" s="2475" t="str">
        <f>"รวมราคารายการที่ "&amp;A110</f>
        <v>รวมราคารายการที่ 7.6</v>
      </c>
      <c r="C117" s="2476"/>
      <c r="D117" s="2476"/>
      <c r="E117" s="1511"/>
      <c r="F117" s="1512"/>
      <c r="G117" s="1513"/>
      <c r="H117" s="1514">
        <f>SUM(H110:H116)</f>
        <v>18800</v>
      </c>
      <c r="I117" s="1515"/>
      <c r="J117" s="1516">
        <f>SUM(J110:J116)</f>
        <v>2950</v>
      </c>
      <c r="K117" s="1517">
        <f>SUM(K110:K116)</f>
        <v>21750</v>
      </c>
      <c r="L117" s="1517"/>
      <c r="M117" s="1328"/>
    </row>
    <row r="118" spans="1:13" s="1329" customFormat="1" ht="24" customHeight="1">
      <c r="A118" s="1325" t="s">
        <v>1967</v>
      </c>
      <c r="B118" s="1326" t="s">
        <v>1909</v>
      </c>
      <c r="C118" s="901"/>
      <c r="D118" s="901"/>
      <c r="E118" s="1019"/>
      <c r="F118" s="1310"/>
      <c r="G118" s="1400"/>
      <c r="H118" s="864"/>
      <c r="I118" s="1400"/>
      <c r="J118" s="1395"/>
      <c r="K118" s="966"/>
      <c r="L118" s="1019"/>
      <c r="M118" s="1328"/>
    </row>
    <row r="119" spans="1:13" s="1329" customFormat="1" ht="24" customHeight="1">
      <c r="A119" s="1330" t="s">
        <v>1969</v>
      </c>
      <c r="B119" s="1331" t="s">
        <v>1911</v>
      </c>
      <c r="C119" s="801"/>
      <c r="D119" s="801"/>
      <c r="E119" s="1022"/>
      <c r="F119" s="1333"/>
      <c r="G119" s="1392"/>
      <c r="H119" s="751"/>
      <c r="I119" s="1392"/>
      <c r="J119" s="1393"/>
      <c r="K119" s="1022"/>
      <c r="L119" s="1022"/>
      <c r="M119" s="1328"/>
    </row>
    <row r="120" spans="1:13" s="1329" customFormat="1" ht="24" customHeight="1">
      <c r="A120" s="1481"/>
      <c r="B120" s="1331" t="s">
        <v>2028</v>
      </c>
      <c r="C120" s="801"/>
      <c r="D120" s="801"/>
      <c r="E120" s="1019"/>
      <c r="F120" s="1348" t="s">
        <v>438</v>
      </c>
      <c r="G120" s="1479">
        <v>69.5</v>
      </c>
      <c r="H120" s="1499">
        <f>ROUND(E120*G120,)</f>
        <v>0</v>
      </c>
      <c r="I120" s="1480">
        <v>30</v>
      </c>
      <c r="J120" s="1500">
        <f>ROUND(E120*I120,)</f>
        <v>0</v>
      </c>
      <c r="K120" s="1403">
        <f t="shared" ref="K120:K131" si="23">H120+J120</f>
        <v>0</v>
      </c>
      <c r="L120" s="1019"/>
      <c r="M120" s="1328"/>
    </row>
    <row r="121" spans="1:13" s="1329" customFormat="1" ht="24" customHeight="1">
      <c r="A121" s="1481"/>
      <c r="B121" s="1331" t="s">
        <v>1822</v>
      </c>
      <c r="C121" s="801"/>
      <c r="D121" s="801"/>
      <c r="E121" s="1019">
        <v>73</v>
      </c>
      <c r="F121" s="1348" t="s">
        <v>438</v>
      </c>
      <c r="G121" s="1257">
        <v>103.5</v>
      </c>
      <c r="H121" s="1499">
        <f t="shared" ref="H121:H139" si="24">ROUND(E121*G121,)</f>
        <v>7556</v>
      </c>
      <c r="I121" s="849">
        <v>45</v>
      </c>
      <c r="J121" s="1500">
        <f t="shared" ref="J121:J131" si="25">ROUND(E121*I121,)</f>
        <v>3285</v>
      </c>
      <c r="K121" s="1403">
        <f t="shared" si="23"/>
        <v>10841</v>
      </c>
      <c r="L121" s="1019"/>
      <c r="M121" s="1328"/>
    </row>
    <row r="122" spans="1:13" s="1329" customFormat="1" ht="24" customHeight="1">
      <c r="A122" s="1481"/>
      <c r="B122" s="1331" t="s">
        <v>1186</v>
      </c>
      <c r="C122" s="801"/>
      <c r="D122" s="801"/>
      <c r="E122" s="1019">
        <v>2</v>
      </c>
      <c r="F122" s="1348" t="s">
        <v>438</v>
      </c>
      <c r="G122" s="1257">
        <v>140</v>
      </c>
      <c r="H122" s="1499">
        <f t="shared" si="24"/>
        <v>280</v>
      </c>
      <c r="I122" s="849">
        <v>60</v>
      </c>
      <c r="J122" s="1500">
        <f t="shared" si="25"/>
        <v>120</v>
      </c>
      <c r="K122" s="1403">
        <f t="shared" si="23"/>
        <v>400</v>
      </c>
      <c r="L122" s="1019"/>
      <c r="M122" s="1328"/>
    </row>
    <row r="123" spans="1:13" s="1329" customFormat="1" ht="24" customHeight="1">
      <c r="A123" s="1481"/>
      <c r="B123" s="1331" t="s">
        <v>1187</v>
      </c>
      <c r="C123" s="801"/>
      <c r="D123" s="801"/>
      <c r="E123" s="1019">
        <v>100</v>
      </c>
      <c r="F123" s="1348" t="s">
        <v>438</v>
      </c>
      <c r="G123" s="1402">
        <v>168</v>
      </c>
      <c r="H123" s="1499">
        <f t="shared" si="24"/>
        <v>16800</v>
      </c>
      <c r="I123" s="1496">
        <v>70</v>
      </c>
      <c r="J123" s="1500">
        <f t="shared" si="25"/>
        <v>7000</v>
      </c>
      <c r="K123" s="1403">
        <f t="shared" si="23"/>
        <v>23800</v>
      </c>
      <c r="L123" s="1019"/>
      <c r="M123" s="1328"/>
    </row>
    <row r="124" spans="1:13" s="1329" customFormat="1" ht="24" customHeight="1">
      <c r="A124" s="1481"/>
      <c r="B124" s="1331" t="s">
        <v>1188</v>
      </c>
      <c r="C124" s="801"/>
      <c r="D124" s="801"/>
      <c r="E124" s="1019">
        <v>139</v>
      </c>
      <c r="F124" s="1348" t="s">
        <v>438</v>
      </c>
      <c r="G124" s="1402">
        <v>225</v>
      </c>
      <c r="H124" s="1499">
        <f t="shared" si="24"/>
        <v>31275</v>
      </c>
      <c r="I124" s="1496">
        <v>95</v>
      </c>
      <c r="J124" s="1500">
        <f t="shared" si="25"/>
        <v>13205</v>
      </c>
      <c r="K124" s="1403">
        <f t="shared" si="23"/>
        <v>44480</v>
      </c>
      <c r="L124" s="1019"/>
      <c r="M124" s="1328"/>
    </row>
    <row r="125" spans="1:13" s="1329" customFormat="1" ht="24" customHeight="1">
      <c r="A125" s="1481"/>
      <c r="B125" s="1331" t="s">
        <v>1189</v>
      </c>
      <c r="C125" s="801"/>
      <c r="D125" s="801"/>
      <c r="E125" s="1019">
        <v>6</v>
      </c>
      <c r="F125" s="1348" t="s">
        <v>438</v>
      </c>
      <c r="G125" s="1400">
        <v>357</v>
      </c>
      <c r="H125" s="1499">
        <f t="shared" si="24"/>
        <v>2142</v>
      </c>
      <c r="I125" s="1400">
        <v>150</v>
      </c>
      <c r="J125" s="1500">
        <f t="shared" si="25"/>
        <v>900</v>
      </c>
      <c r="K125" s="1403">
        <f t="shared" si="23"/>
        <v>3042</v>
      </c>
      <c r="L125" s="1019"/>
      <c r="M125" s="1328"/>
    </row>
    <row r="126" spans="1:13" s="1329" customFormat="1" ht="24" customHeight="1">
      <c r="A126" s="1481"/>
      <c r="B126" s="1331" t="s">
        <v>1190</v>
      </c>
      <c r="C126" s="801"/>
      <c r="D126" s="801"/>
      <c r="E126" s="1019">
        <v>115</v>
      </c>
      <c r="F126" s="1348" t="s">
        <v>438</v>
      </c>
      <c r="G126" s="1400">
        <v>467</v>
      </c>
      <c r="H126" s="1499">
        <f t="shared" si="24"/>
        <v>53705</v>
      </c>
      <c r="I126" s="1400">
        <v>200</v>
      </c>
      <c r="J126" s="1500">
        <f t="shared" si="25"/>
        <v>23000</v>
      </c>
      <c r="K126" s="1403">
        <f t="shared" si="23"/>
        <v>76705</v>
      </c>
      <c r="L126" s="1019"/>
      <c r="M126" s="1328"/>
    </row>
    <row r="127" spans="1:13" s="1329" customFormat="1" ht="24" customHeight="1">
      <c r="A127" s="1481"/>
      <c r="B127" s="1331" t="s">
        <v>951</v>
      </c>
      <c r="C127" s="801"/>
      <c r="D127" s="801"/>
      <c r="E127" s="1019">
        <v>217</v>
      </c>
      <c r="F127" s="1348" t="s">
        <v>438</v>
      </c>
      <c r="G127" s="1400">
        <v>650</v>
      </c>
      <c r="H127" s="1499">
        <f t="shared" si="24"/>
        <v>141050</v>
      </c>
      <c r="I127" s="1400">
        <v>280</v>
      </c>
      <c r="J127" s="1500">
        <f t="shared" si="25"/>
        <v>60760</v>
      </c>
      <c r="K127" s="1403">
        <f t="shared" si="23"/>
        <v>201810</v>
      </c>
      <c r="L127" s="1019"/>
      <c r="M127" s="1328"/>
    </row>
    <row r="128" spans="1:13" s="1329" customFormat="1" ht="24" customHeight="1">
      <c r="A128" s="1481"/>
      <c r="B128" s="1331" t="s">
        <v>1809</v>
      </c>
      <c r="C128" s="801"/>
      <c r="D128" s="801"/>
      <c r="E128" s="1019"/>
      <c r="F128" s="1348" t="s">
        <v>438</v>
      </c>
      <c r="G128" s="1400">
        <v>1168</v>
      </c>
      <c r="H128" s="1499">
        <f t="shared" si="24"/>
        <v>0</v>
      </c>
      <c r="I128" s="1400">
        <v>420</v>
      </c>
      <c r="J128" s="1500">
        <f t="shared" si="25"/>
        <v>0</v>
      </c>
      <c r="K128" s="1403">
        <f t="shared" si="23"/>
        <v>0</v>
      </c>
      <c r="L128" s="1019"/>
      <c r="M128" s="1328"/>
    </row>
    <row r="129" spans="1:15" s="1329" customFormat="1" ht="24" customHeight="1">
      <c r="A129" s="1481"/>
      <c r="B129" s="1331" t="s">
        <v>1645</v>
      </c>
      <c r="C129" s="801"/>
      <c r="D129" s="801"/>
      <c r="E129" s="1019">
        <v>1</v>
      </c>
      <c r="F129" s="1310" t="s">
        <v>948</v>
      </c>
      <c r="G129" s="1402">
        <f>SUM(H120:H128)*50%</f>
        <v>126404</v>
      </c>
      <c r="H129" s="1499">
        <f t="shared" si="24"/>
        <v>126404</v>
      </c>
      <c r="I129" s="1402">
        <f>G129*0.3</f>
        <v>37921.199999999997</v>
      </c>
      <c r="J129" s="1500">
        <f t="shared" si="25"/>
        <v>37921</v>
      </c>
      <c r="K129" s="1403">
        <f t="shared" si="23"/>
        <v>164325</v>
      </c>
      <c r="L129" s="1019"/>
      <c r="M129" s="1328"/>
    </row>
    <row r="130" spans="1:15" s="1329" customFormat="1" ht="24" customHeight="1">
      <c r="A130" s="1481"/>
      <c r="B130" s="1331" t="s">
        <v>1646</v>
      </c>
      <c r="C130" s="801"/>
      <c r="D130" s="801"/>
      <c r="E130" s="1019">
        <v>1</v>
      </c>
      <c r="F130" s="1310" t="s">
        <v>948</v>
      </c>
      <c r="G130" s="1402">
        <f>SUM(H120:H128)*20%</f>
        <v>50561.600000000006</v>
      </c>
      <c r="H130" s="905">
        <f t="shared" si="24"/>
        <v>50562</v>
      </c>
      <c r="I130" s="1402">
        <f>SUM(J120:J129)*20%</f>
        <v>29238.2</v>
      </c>
      <c r="J130" s="1500">
        <f t="shared" si="25"/>
        <v>29238</v>
      </c>
      <c r="K130" s="1403">
        <f t="shared" si="23"/>
        <v>79800</v>
      </c>
      <c r="L130" s="1019"/>
      <c r="M130" s="1328"/>
    </row>
    <row r="131" spans="1:15" s="1329" customFormat="1" ht="24" customHeight="1">
      <c r="A131" s="1481"/>
      <c r="B131" s="1331" t="s">
        <v>1647</v>
      </c>
      <c r="C131" s="801"/>
      <c r="D131" s="801"/>
      <c r="E131" s="1019">
        <v>1</v>
      </c>
      <c r="F131" s="1310" t="s">
        <v>948</v>
      </c>
      <c r="G131" s="1402">
        <f>SUM(H120:H128)*10%</f>
        <v>25280.800000000003</v>
      </c>
      <c r="H131" s="905">
        <f t="shared" si="24"/>
        <v>25281</v>
      </c>
      <c r="I131" s="1402">
        <f>SUM(J120:J129)*10%</f>
        <v>14619.1</v>
      </c>
      <c r="J131" s="1500">
        <f t="shared" si="25"/>
        <v>14619</v>
      </c>
      <c r="K131" s="1403">
        <f t="shared" si="23"/>
        <v>39900</v>
      </c>
      <c r="L131" s="1019"/>
      <c r="M131" s="1328"/>
    </row>
    <row r="132" spans="1:15" s="1329" customFormat="1" ht="24" customHeight="1">
      <c r="A132" s="1481" t="s">
        <v>1974</v>
      </c>
      <c r="B132" s="1331" t="s">
        <v>1917</v>
      </c>
      <c r="C132" s="801"/>
      <c r="D132" s="801"/>
      <c r="E132" s="1019"/>
      <c r="F132" s="1310"/>
      <c r="G132" s="1400"/>
      <c r="H132" s="773"/>
      <c r="I132" s="1400"/>
      <c r="J132" s="1401"/>
      <c r="K132" s="1019"/>
      <c r="L132" s="1019"/>
      <c r="M132" s="1328"/>
    </row>
    <row r="133" spans="1:15" s="1329" customFormat="1" ht="24" customHeight="1">
      <c r="A133" s="1481"/>
      <c r="B133" s="1331" t="s">
        <v>2028</v>
      </c>
      <c r="C133" s="801"/>
      <c r="D133" s="801"/>
      <c r="E133" s="1019">
        <v>1</v>
      </c>
      <c r="F133" s="1348" t="s">
        <v>438</v>
      </c>
      <c r="G133" s="1402">
        <v>12</v>
      </c>
      <c r="H133" s="905">
        <f t="shared" si="24"/>
        <v>12</v>
      </c>
      <c r="I133" s="1496">
        <v>30</v>
      </c>
      <c r="J133" s="1500">
        <f t="shared" ref="J133:J139" si="26">ROUND(E133*I133,)</f>
        <v>30</v>
      </c>
      <c r="K133" s="1403">
        <f t="shared" ref="K133:K139" si="27">H133+J133</f>
        <v>42</v>
      </c>
      <c r="L133" s="2273" t="s">
        <v>2974</v>
      </c>
      <c r="M133" s="1328"/>
      <c r="N133" s="1720">
        <v>48.23</v>
      </c>
      <c r="O133" s="714">
        <f>ROUND(N133/4,)</f>
        <v>12</v>
      </c>
    </row>
    <row r="134" spans="1:15" s="1329" customFormat="1" ht="24" customHeight="1">
      <c r="A134" s="1481"/>
      <c r="B134" s="1331" t="s">
        <v>2029</v>
      </c>
      <c r="C134" s="801"/>
      <c r="D134" s="801"/>
      <c r="E134" s="1019">
        <v>132</v>
      </c>
      <c r="F134" s="1348" t="s">
        <v>438</v>
      </c>
      <c r="G134" s="1402">
        <v>20</v>
      </c>
      <c r="H134" s="905">
        <f t="shared" si="24"/>
        <v>2640</v>
      </c>
      <c r="I134" s="1496">
        <v>30</v>
      </c>
      <c r="J134" s="1500">
        <f t="shared" si="26"/>
        <v>3960</v>
      </c>
      <c r="K134" s="1403">
        <f t="shared" si="27"/>
        <v>6600</v>
      </c>
      <c r="L134" s="2273" t="s">
        <v>2974</v>
      </c>
      <c r="M134" s="1328"/>
      <c r="N134" s="1719">
        <v>79.17</v>
      </c>
      <c r="O134" s="714">
        <f>ROUND(N134/4,)</f>
        <v>20</v>
      </c>
    </row>
    <row r="135" spans="1:15" s="1329" customFormat="1" ht="24" customHeight="1">
      <c r="A135" s="1330"/>
      <c r="B135" s="1331" t="s">
        <v>1187</v>
      </c>
      <c r="C135" s="801"/>
      <c r="D135" s="801"/>
      <c r="E135" s="1022">
        <v>30</v>
      </c>
      <c r="F135" s="1249" t="s">
        <v>438</v>
      </c>
      <c r="G135" s="1402">
        <v>26</v>
      </c>
      <c r="H135" s="905">
        <f t="shared" si="24"/>
        <v>780</v>
      </c>
      <c r="I135" s="1496">
        <v>30</v>
      </c>
      <c r="J135" s="1500">
        <f t="shared" si="26"/>
        <v>900</v>
      </c>
      <c r="K135" s="1403">
        <f t="shared" si="27"/>
        <v>1680</v>
      </c>
      <c r="L135" s="2273" t="s">
        <v>2974</v>
      </c>
      <c r="M135" s="1328"/>
      <c r="N135" s="1719">
        <v>103.74</v>
      </c>
      <c r="O135" s="714">
        <f>ROUND(N135/4,)</f>
        <v>26</v>
      </c>
    </row>
    <row r="136" spans="1:15" s="1329" customFormat="1" ht="24" customHeight="1">
      <c r="A136" s="1330"/>
      <c r="B136" s="1331" t="s">
        <v>1188</v>
      </c>
      <c r="C136" s="801"/>
      <c r="D136" s="801"/>
      <c r="E136" s="1022">
        <v>6</v>
      </c>
      <c r="F136" s="1249" t="s">
        <v>438</v>
      </c>
      <c r="G136" s="1402">
        <v>41</v>
      </c>
      <c r="H136" s="905">
        <f t="shared" si="24"/>
        <v>246</v>
      </c>
      <c r="I136" s="1496">
        <v>40</v>
      </c>
      <c r="J136" s="1500">
        <f t="shared" si="26"/>
        <v>240</v>
      </c>
      <c r="K136" s="1403">
        <f t="shared" si="27"/>
        <v>486</v>
      </c>
      <c r="L136" s="2273" t="s">
        <v>2974</v>
      </c>
      <c r="M136" s="1328"/>
      <c r="N136" s="1719">
        <v>163.80000000000001</v>
      </c>
      <c r="O136" s="714">
        <f>ROUND(N136/4,)</f>
        <v>41</v>
      </c>
    </row>
    <row r="137" spans="1:15" s="1329" customFormat="1" ht="24" customHeight="1">
      <c r="A137" s="1481"/>
      <c r="B137" s="1331" t="s">
        <v>1645</v>
      </c>
      <c r="C137" s="801"/>
      <c r="D137" s="801"/>
      <c r="E137" s="1019">
        <v>1</v>
      </c>
      <c r="F137" s="1310" t="s">
        <v>948</v>
      </c>
      <c r="G137" s="1402">
        <f>ROUND(SUM(H133:H136)*40%,)</f>
        <v>1471</v>
      </c>
      <c r="H137" s="905">
        <f t="shared" si="24"/>
        <v>1471</v>
      </c>
      <c r="I137" s="1402">
        <f>ROUND(G137*0.3,)</f>
        <v>441</v>
      </c>
      <c r="J137" s="1500">
        <f t="shared" si="26"/>
        <v>441</v>
      </c>
      <c r="K137" s="1403">
        <f t="shared" si="27"/>
        <v>1912</v>
      </c>
      <c r="L137" s="1019"/>
      <c r="M137" s="1328"/>
    </row>
    <row r="138" spans="1:15" s="1329" customFormat="1" ht="24" customHeight="1">
      <c r="A138" s="1481"/>
      <c r="B138" s="1331" t="s">
        <v>1646</v>
      </c>
      <c r="C138" s="801"/>
      <c r="D138" s="801"/>
      <c r="E138" s="1019">
        <v>1</v>
      </c>
      <c r="F138" s="1310" t="s">
        <v>948</v>
      </c>
      <c r="G138" s="1402">
        <f>ROUND(SUM(H133:H136)*30%,)</f>
        <v>1103</v>
      </c>
      <c r="H138" s="1499">
        <f t="shared" si="24"/>
        <v>1103</v>
      </c>
      <c r="I138" s="1402">
        <f>ROUND(G138*0.3,)</f>
        <v>331</v>
      </c>
      <c r="J138" s="1500">
        <f t="shared" si="26"/>
        <v>331</v>
      </c>
      <c r="K138" s="1403">
        <f t="shared" si="27"/>
        <v>1434</v>
      </c>
      <c r="L138" s="1019"/>
      <c r="M138" s="1328"/>
    </row>
    <row r="139" spans="1:15" s="1329" customFormat="1" ht="24" customHeight="1">
      <c r="A139" s="1481"/>
      <c r="B139" s="1331" t="s">
        <v>1647</v>
      </c>
      <c r="C139" s="801"/>
      <c r="D139" s="801"/>
      <c r="E139" s="1019">
        <v>1</v>
      </c>
      <c r="F139" s="1310" t="s">
        <v>948</v>
      </c>
      <c r="G139" s="1402">
        <f>ROUND(SUM(H133:H136)*10%,)</f>
        <v>368</v>
      </c>
      <c r="H139" s="1499">
        <f t="shared" si="24"/>
        <v>368</v>
      </c>
      <c r="I139" s="1402">
        <f>ROUND(G139*0.3,)</f>
        <v>110</v>
      </c>
      <c r="J139" s="1500">
        <f t="shared" si="26"/>
        <v>110</v>
      </c>
      <c r="K139" s="1403">
        <f t="shared" si="27"/>
        <v>478</v>
      </c>
      <c r="L139" s="1019"/>
      <c r="M139" s="1328"/>
    </row>
    <row r="140" spans="1:15" s="1329" customFormat="1" ht="24" customHeight="1">
      <c r="A140" s="1481"/>
      <c r="B140" s="1331" t="s">
        <v>957</v>
      </c>
      <c r="C140" s="801"/>
      <c r="D140" s="801"/>
      <c r="E140" s="1019"/>
      <c r="F140" s="1310"/>
      <c r="G140" s="1400"/>
      <c r="H140" s="773"/>
      <c r="I140" s="1400"/>
      <c r="J140" s="1401"/>
      <c r="K140" s="1019"/>
      <c r="L140" s="1019"/>
      <c r="M140" s="1328"/>
    </row>
    <row r="141" spans="1:15" s="1329" customFormat="1" ht="24" customHeight="1">
      <c r="A141" s="1510"/>
      <c r="B141" s="2475" t="str">
        <f>"รวมราคารายการที่ "&amp;A118</f>
        <v>รวมราคารายการที่ 7.7</v>
      </c>
      <c r="C141" s="2476"/>
      <c r="D141" s="2476"/>
      <c r="E141" s="1511"/>
      <c r="F141" s="1512"/>
      <c r="G141" s="1513"/>
      <c r="H141" s="1514">
        <f>SUM(H118:H140)</f>
        <v>461675</v>
      </c>
      <c r="I141" s="1515"/>
      <c r="J141" s="1516">
        <f>SUM(J118:J140)</f>
        <v>196060</v>
      </c>
      <c r="K141" s="1517">
        <f>SUM(K118:K140)</f>
        <v>657735</v>
      </c>
      <c r="L141" s="1517"/>
      <c r="M141" s="1328"/>
    </row>
    <row r="142" spans="1:15" s="1329" customFormat="1" ht="24" customHeight="1">
      <c r="A142" s="1405" t="s">
        <v>2038</v>
      </c>
      <c r="B142" s="1326" t="s">
        <v>1921</v>
      </c>
      <c r="C142" s="1347"/>
      <c r="D142" s="901"/>
      <c r="E142" s="1019"/>
      <c r="F142" s="1310"/>
      <c r="G142" s="1400"/>
      <c r="H142" s="864"/>
      <c r="I142" s="1400"/>
      <c r="J142" s="1395"/>
      <c r="K142" s="966"/>
      <c r="L142" s="1019"/>
      <c r="M142" s="1328"/>
    </row>
    <row r="143" spans="1:15" s="1329" customFormat="1" ht="24" customHeight="1">
      <c r="A143" s="1330" t="s">
        <v>1979</v>
      </c>
      <c r="B143" s="1331" t="s">
        <v>1923</v>
      </c>
      <c r="C143" s="1349"/>
      <c r="D143" s="801"/>
      <c r="E143" s="966"/>
      <c r="F143" s="1249"/>
      <c r="G143" s="1394"/>
      <c r="H143" s="864"/>
      <c r="I143" s="1394"/>
      <c r="J143" s="1395"/>
      <c r="K143" s="966"/>
      <c r="L143" s="966"/>
      <c r="M143" s="1328"/>
    </row>
    <row r="144" spans="1:15" s="1329" customFormat="1" ht="24" customHeight="1">
      <c r="A144" s="1330"/>
      <c r="B144" s="1331" t="s">
        <v>1822</v>
      </c>
      <c r="C144" s="1349"/>
      <c r="D144" s="890"/>
      <c r="E144" s="1019">
        <f>E133</f>
        <v>1</v>
      </c>
      <c r="F144" s="1348" t="s">
        <v>438</v>
      </c>
      <c r="G144" s="1257">
        <v>69</v>
      </c>
      <c r="H144" s="796">
        <f t="shared" ref="H144:H157" si="28">ROUND(E144*G144,)</f>
        <v>69</v>
      </c>
      <c r="I144" s="849">
        <f>ROUND(20*1*1.3,)</f>
        <v>26</v>
      </c>
      <c r="J144" s="1476">
        <f t="shared" ref="J144:J157" si="29">ROUND(E144*I144,)</f>
        <v>26</v>
      </c>
      <c r="K144" s="1014">
        <f t="shared" ref="K144:K158" si="30">H144+J144</f>
        <v>95</v>
      </c>
      <c r="L144" s="1030"/>
      <c r="M144" s="1328"/>
    </row>
    <row r="145" spans="1:13" s="1329" customFormat="1" ht="24" customHeight="1">
      <c r="A145" s="1330"/>
      <c r="B145" s="1331" t="s">
        <v>2029</v>
      </c>
      <c r="C145" s="1349"/>
      <c r="D145" s="890"/>
      <c r="E145" s="1019"/>
      <c r="F145" s="1348" t="s">
        <v>438</v>
      </c>
      <c r="G145" s="1257">
        <v>92</v>
      </c>
      <c r="H145" s="796">
        <f t="shared" si="28"/>
        <v>0</v>
      </c>
      <c r="I145" s="849">
        <f>ROUND(20*1.25*1.3,)</f>
        <v>33</v>
      </c>
      <c r="J145" s="1476">
        <f t="shared" si="29"/>
        <v>0</v>
      </c>
      <c r="K145" s="1014">
        <f t="shared" si="30"/>
        <v>0</v>
      </c>
      <c r="L145" s="1030"/>
      <c r="M145" s="1328"/>
    </row>
    <row r="146" spans="1:13" s="1329" customFormat="1" ht="24" customHeight="1">
      <c r="A146" s="1330" t="s">
        <v>1980</v>
      </c>
      <c r="B146" s="1331" t="s">
        <v>2031</v>
      </c>
      <c r="C146" s="1349"/>
      <c r="D146" s="890"/>
      <c r="E146" s="966"/>
      <c r="F146" s="1348"/>
      <c r="G146" s="1394"/>
      <c r="H146" s="905"/>
      <c r="I146" s="1406"/>
      <c r="J146" s="1407"/>
      <c r="K146" s="1030"/>
      <c r="L146" s="1030"/>
      <c r="M146" s="1328"/>
    </row>
    <row r="147" spans="1:13" s="1329" customFormat="1" ht="24" customHeight="1">
      <c r="A147" s="1330"/>
      <c r="B147" s="1331" t="s">
        <v>2028</v>
      </c>
      <c r="C147" s="1349"/>
      <c r="D147" s="890"/>
      <c r="E147" s="1019"/>
      <c r="F147" s="1348" t="s">
        <v>438</v>
      </c>
      <c r="G147" s="1479">
        <v>69</v>
      </c>
      <c r="H147" s="796">
        <f t="shared" si="28"/>
        <v>0</v>
      </c>
      <c r="I147" s="1480">
        <f>ROUND(20*0.75*1.3,)</f>
        <v>20</v>
      </c>
      <c r="J147" s="1476">
        <f t="shared" si="29"/>
        <v>0</v>
      </c>
      <c r="K147" s="1014">
        <f t="shared" si="30"/>
        <v>0</v>
      </c>
      <c r="L147" s="1030"/>
      <c r="M147" s="1328"/>
    </row>
    <row r="148" spans="1:13" s="1329" customFormat="1" ht="24" customHeight="1">
      <c r="A148" s="1330"/>
      <c r="B148" s="1331" t="s">
        <v>1822</v>
      </c>
      <c r="C148" s="1349"/>
      <c r="D148" s="801"/>
      <c r="E148" s="1019">
        <f>E121</f>
        <v>73</v>
      </c>
      <c r="F148" s="1249" t="s">
        <v>438</v>
      </c>
      <c r="G148" s="1257">
        <v>85</v>
      </c>
      <c r="H148" s="796">
        <f t="shared" si="28"/>
        <v>6205</v>
      </c>
      <c r="I148" s="849">
        <f>ROUND(20*1*1.3,)</f>
        <v>26</v>
      </c>
      <c r="J148" s="1476">
        <f t="shared" si="29"/>
        <v>1898</v>
      </c>
      <c r="K148" s="1014">
        <f t="shared" si="30"/>
        <v>8103</v>
      </c>
      <c r="L148" s="1030"/>
      <c r="M148" s="1328"/>
    </row>
    <row r="149" spans="1:13" s="1329" customFormat="1" ht="24" customHeight="1">
      <c r="A149" s="1330" t="s">
        <v>1981</v>
      </c>
      <c r="B149" s="1331" t="s">
        <v>2113</v>
      </c>
      <c r="C149" s="1349"/>
      <c r="D149" s="890"/>
      <c r="E149" s="966"/>
      <c r="F149" s="1348"/>
      <c r="G149" s="1394"/>
      <c r="H149" s="905"/>
      <c r="I149" s="1406"/>
      <c r="J149" s="1407"/>
      <c r="K149" s="1030"/>
      <c r="L149" s="1030"/>
      <c r="M149" s="1328"/>
    </row>
    <row r="150" spans="1:13" s="1329" customFormat="1" ht="24" customHeight="1">
      <c r="A150" s="1330"/>
      <c r="B150" s="1331" t="s">
        <v>1186</v>
      </c>
      <c r="C150" s="1349"/>
      <c r="D150" s="801"/>
      <c r="E150" s="1019">
        <f>E122</f>
        <v>2</v>
      </c>
      <c r="F150" s="1249" t="s">
        <v>438</v>
      </c>
      <c r="G150" s="1394">
        <v>108</v>
      </c>
      <c r="H150" s="796">
        <f t="shared" si="28"/>
        <v>216</v>
      </c>
      <c r="I150" s="1406">
        <v>33</v>
      </c>
      <c r="J150" s="1476">
        <f t="shared" si="29"/>
        <v>66</v>
      </c>
      <c r="K150" s="1014">
        <f t="shared" si="30"/>
        <v>282</v>
      </c>
      <c r="L150" s="1030"/>
      <c r="M150" s="1328"/>
    </row>
    <row r="151" spans="1:13" s="1329" customFormat="1" ht="24" customHeight="1">
      <c r="A151" s="1481"/>
      <c r="B151" s="1331" t="s">
        <v>1187</v>
      </c>
      <c r="C151" s="801"/>
      <c r="D151" s="801"/>
      <c r="E151" s="1019"/>
      <c r="F151" s="1348" t="s">
        <v>438</v>
      </c>
      <c r="G151" s="1394">
        <v>164</v>
      </c>
      <c r="H151" s="796">
        <f t="shared" si="28"/>
        <v>0</v>
      </c>
      <c r="I151" s="1406">
        <v>39</v>
      </c>
      <c r="J151" s="1476">
        <f t="shared" si="29"/>
        <v>0</v>
      </c>
      <c r="K151" s="1014">
        <f t="shared" si="30"/>
        <v>0</v>
      </c>
      <c r="L151" s="1019"/>
      <c r="M151" s="1328"/>
    </row>
    <row r="152" spans="1:13" s="1329" customFormat="1" ht="24" customHeight="1">
      <c r="A152" s="1481"/>
      <c r="B152" s="1331" t="s">
        <v>1188</v>
      </c>
      <c r="C152" s="801"/>
      <c r="D152" s="801"/>
      <c r="E152" s="1019">
        <f>E124</f>
        <v>139</v>
      </c>
      <c r="F152" s="1348" t="s">
        <v>438</v>
      </c>
      <c r="G152" s="1394">
        <v>200</v>
      </c>
      <c r="H152" s="796">
        <f t="shared" si="28"/>
        <v>27800</v>
      </c>
      <c r="I152" s="1406">
        <v>52</v>
      </c>
      <c r="J152" s="1476">
        <f t="shared" si="29"/>
        <v>7228</v>
      </c>
      <c r="K152" s="1014">
        <f t="shared" si="30"/>
        <v>35028</v>
      </c>
      <c r="L152" s="1019"/>
      <c r="M152" s="1328"/>
    </row>
    <row r="153" spans="1:13" s="1329" customFormat="1" ht="24" customHeight="1">
      <c r="A153" s="1481"/>
      <c r="B153" s="1331" t="s">
        <v>1189</v>
      </c>
      <c r="C153" s="801"/>
      <c r="D153" s="801"/>
      <c r="E153" s="1019">
        <f>E125</f>
        <v>6</v>
      </c>
      <c r="F153" s="1348" t="s">
        <v>438</v>
      </c>
      <c r="G153" s="1394">
        <v>256</v>
      </c>
      <c r="H153" s="796">
        <f t="shared" si="28"/>
        <v>1536</v>
      </c>
      <c r="I153" s="1406">
        <v>65</v>
      </c>
      <c r="J153" s="1476">
        <f t="shared" si="29"/>
        <v>390</v>
      </c>
      <c r="K153" s="1014">
        <f t="shared" si="30"/>
        <v>1926</v>
      </c>
      <c r="L153" s="1019"/>
      <c r="M153" s="1328"/>
    </row>
    <row r="154" spans="1:13" s="1329" customFormat="1" ht="24" customHeight="1">
      <c r="A154" s="1481"/>
      <c r="B154" s="1331" t="s">
        <v>1190</v>
      </c>
      <c r="C154" s="801"/>
      <c r="D154" s="801"/>
      <c r="E154" s="1019">
        <f>E126</f>
        <v>115</v>
      </c>
      <c r="F154" s="1348" t="s">
        <v>438</v>
      </c>
      <c r="G154" s="1394">
        <v>302</v>
      </c>
      <c r="H154" s="796">
        <f t="shared" si="28"/>
        <v>34730</v>
      </c>
      <c r="I154" s="1406">
        <v>78</v>
      </c>
      <c r="J154" s="1476">
        <f t="shared" si="29"/>
        <v>8970</v>
      </c>
      <c r="K154" s="1014">
        <f t="shared" si="30"/>
        <v>43700</v>
      </c>
      <c r="L154" s="1019"/>
      <c r="M154" s="1328"/>
    </row>
    <row r="155" spans="1:13" s="1329" customFormat="1" ht="24" customHeight="1">
      <c r="A155" s="1481"/>
      <c r="B155" s="1331" t="s">
        <v>951</v>
      </c>
      <c r="C155" s="801"/>
      <c r="D155" s="801"/>
      <c r="E155" s="1019">
        <f>E127</f>
        <v>217</v>
      </c>
      <c r="F155" s="1348" t="s">
        <v>438</v>
      </c>
      <c r="G155" s="1394">
        <v>367</v>
      </c>
      <c r="H155" s="796">
        <f t="shared" si="28"/>
        <v>79639</v>
      </c>
      <c r="I155" s="1406">
        <v>104</v>
      </c>
      <c r="J155" s="1476">
        <f t="shared" si="29"/>
        <v>22568</v>
      </c>
      <c r="K155" s="1014">
        <f t="shared" si="30"/>
        <v>102207</v>
      </c>
      <c r="L155" s="1019"/>
      <c r="M155" s="1328"/>
    </row>
    <row r="156" spans="1:13" s="1329" customFormat="1" ht="24" customHeight="1">
      <c r="A156" s="1330" t="s">
        <v>1982</v>
      </c>
      <c r="B156" s="1331" t="s">
        <v>1925</v>
      </c>
      <c r="C156" s="1349"/>
      <c r="D156" s="890"/>
      <c r="E156" s="966"/>
      <c r="F156" s="1348"/>
      <c r="G156" s="1394"/>
      <c r="H156" s="905"/>
      <c r="I156" s="1406"/>
      <c r="J156" s="1407"/>
      <c r="K156" s="1030"/>
      <c r="L156" s="1030"/>
      <c r="M156" s="1328"/>
    </row>
    <row r="157" spans="1:13" s="1329" customFormat="1" ht="24" customHeight="1">
      <c r="A157" s="1481"/>
      <c r="B157" s="1331" t="s">
        <v>1809</v>
      </c>
      <c r="C157" s="801"/>
      <c r="D157" s="801"/>
      <c r="E157" s="1019"/>
      <c r="F157" s="1348" t="s">
        <v>438</v>
      </c>
      <c r="G157" s="1400">
        <v>465</v>
      </c>
      <c r="H157" s="796">
        <f t="shared" si="28"/>
        <v>0</v>
      </c>
      <c r="I157" s="1400">
        <v>465</v>
      </c>
      <c r="J157" s="1476">
        <f t="shared" si="29"/>
        <v>0</v>
      </c>
      <c r="K157" s="1014">
        <f t="shared" si="30"/>
        <v>0</v>
      </c>
      <c r="L157" s="1019"/>
      <c r="M157" s="1328"/>
    </row>
    <row r="158" spans="1:13" s="1329" customFormat="1" ht="24" customHeight="1">
      <c r="A158" s="1330"/>
      <c r="B158" s="1331" t="s">
        <v>957</v>
      </c>
      <c r="C158" s="1349"/>
      <c r="D158" s="890"/>
      <c r="E158" s="966"/>
      <c r="F158" s="1348"/>
      <c r="G158" s="1394"/>
      <c r="H158" s="905"/>
      <c r="I158" s="1406"/>
      <c r="J158" s="1407"/>
      <c r="K158" s="1014">
        <f t="shared" si="30"/>
        <v>0</v>
      </c>
      <c r="L158" s="1030"/>
      <c r="M158" s="1328"/>
    </row>
    <row r="159" spans="1:13" s="1329" customFormat="1" ht="24" customHeight="1">
      <c r="A159" s="1510"/>
      <c r="B159" s="2475" t="str">
        <f>"รวมราคารายการที่ "&amp;A142</f>
        <v>รวมราคารายการที่ 7.8</v>
      </c>
      <c r="C159" s="2476"/>
      <c r="D159" s="2476"/>
      <c r="E159" s="1511"/>
      <c r="F159" s="1512"/>
      <c r="G159" s="1513"/>
      <c r="H159" s="1514">
        <f>SUM(H142:H158)</f>
        <v>150195</v>
      </c>
      <c r="I159" s="1515"/>
      <c r="J159" s="1516">
        <f>SUM(J142:J158)</f>
        <v>41146</v>
      </c>
      <c r="K159" s="1517">
        <f>SUM(K142:K158)</f>
        <v>191341</v>
      </c>
      <c r="L159" s="1517"/>
      <c r="M159" s="1328"/>
    </row>
    <row r="160" spans="1:13" s="1329" customFormat="1" ht="24" customHeight="1">
      <c r="A160" s="1325" t="s">
        <v>2039</v>
      </c>
      <c r="B160" s="1326" t="s">
        <v>1927</v>
      </c>
      <c r="C160" s="1347"/>
      <c r="D160" s="901"/>
      <c r="E160" s="1019"/>
      <c r="F160" s="1310"/>
      <c r="G160" s="1400"/>
      <c r="H160" s="864"/>
      <c r="I160" s="1400"/>
      <c r="J160" s="1395"/>
      <c r="K160" s="966"/>
      <c r="L160" s="1030"/>
      <c r="M160" s="1328"/>
    </row>
    <row r="161" spans="1:13" s="1329" customFormat="1" ht="24" customHeight="1">
      <c r="A161" s="1330" t="s">
        <v>2040</v>
      </c>
      <c r="B161" s="1331" t="s">
        <v>1929</v>
      </c>
      <c r="C161" s="1349"/>
      <c r="D161" s="801"/>
      <c r="E161" s="966"/>
      <c r="F161" s="1249"/>
      <c r="G161" s="1394"/>
      <c r="H161" s="864"/>
      <c r="I161" s="1394"/>
      <c r="J161" s="1395"/>
      <c r="K161" s="966"/>
      <c r="L161" s="966"/>
      <c r="M161" s="1328"/>
    </row>
    <row r="162" spans="1:13" s="1329" customFormat="1" ht="24" customHeight="1">
      <c r="A162" s="791"/>
      <c r="B162" s="1127" t="s">
        <v>1184</v>
      </c>
      <c r="C162" s="1233"/>
      <c r="D162" s="792"/>
      <c r="E162" s="1501">
        <f>E88*2</f>
        <v>6</v>
      </c>
      <c r="F162" s="1502" t="s">
        <v>240</v>
      </c>
      <c r="G162" s="1503">
        <v>880</v>
      </c>
      <c r="H162" s="1499">
        <f t="shared" ref="H162:H166" si="31">ROUND(E162*G162,)</f>
        <v>5280</v>
      </c>
      <c r="I162" s="1480">
        <v>150</v>
      </c>
      <c r="J162" s="1500">
        <f t="shared" ref="J162:J166" si="32">ROUND(E162*I162,)</f>
        <v>900</v>
      </c>
      <c r="K162" s="1403">
        <f t="shared" ref="K162:K166" si="33">H162+J162</f>
        <v>6180</v>
      </c>
      <c r="L162" s="2273" t="s">
        <v>2974</v>
      </c>
      <c r="M162" s="1328"/>
    </row>
    <row r="163" spans="1:13" s="1329" customFormat="1" ht="24" customHeight="1">
      <c r="A163" s="791"/>
      <c r="B163" s="1127" t="s">
        <v>1185</v>
      </c>
      <c r="C163" s="1233"/>
      <c r="D163" s="792"/>
      <c r="E163" s="1345"/>
      <c r="F163" s="1140" t="s">
        <v>240</v>
      </c>
      <c r="G163" s="1504">
        <v>1316</v>
      </c>
      <c r="H163" s="796">
        <f t="shared" si="31"/>
        <v>0</v>
      </c>
      <c r="I163" s="849">
        <v>200</v>
      </c>
      <c r="J163" s="1476">
        <f t="shared" si="32"/>
        <v>0</v>
      </c>
      <c r="K163" s="1014">
        <f t="shared" si="33"/>
        <v>0</v>
      </c>
      <c r="L163" s="2273" t="s">
        <v>2974</v>
      </c>
      <c r="M163" s="1328"/>
    </row>
    <row r="164" spans="1:13" s="1329" customFormat="1" ht="24" customHeight="1">
      <c r="A164" s="791"/>
      <c r="B164" s="1127" t="s">
        <v>1186</v>
      </c>
      <c r="C164" s="1233"/>
      <c r="D164" s="792"/>
      <c r="E164" s="1345">
        <f>E90*2</f>
        <v>32</v>
      </c>
      <c r="F164" s="1140" t="s">
        <v>240</v>
      </c>
      <c r="G164" s="1504">
        <v>1984</v>
      </c>
      <c r="H164" s="796">
        <f t="shared" si="31"/>
        <v>63488</v>
      </c>
      <c r="I164" s="849">
        <v>250</v>
      </c>
      <c r="J164" s="1476">
        <f t="shared" si="32"/>
        <v>8000</v>
      </c>
      <c r="K164" s="1014">
        <f t="shared" si="33"/>
        <v>71488</v>
      </c>
      <c r="L164" s="2273" t="s">
        <v>2974</v>
      </c>
      <c r="M164" s="1328"/>
    </row>
    <row r="165" spans="1:13" s="1329" customFormat="1" ht="24" customHeight="1">
      <c r="A165" s="791"/>
      <c r="B165" s="1127" t="s">
        <v>1187</v>
      </c>
      <c r="C165" s="1233"/>
      <c r="D165" s="792"/>
      <c r="E165" s="1345"/>
      <c r="F165" s="1140" t="s">
        <v>240</v>
      </c>
      <c r="G165" s="1504">
        <v>2610</v>
      </c>
      <c r="H165" s="796">
        <f t="shared" si="31"/>
        <v>0</v>
      </c>
      <c r="I165" s="849">
        <v>300</v>
      </c>
      <c r="J165" s="1476">
        <f t="shared" si="32"/>
        <v>0</v>
      </c>
      <c r="K165" s="1014">
        <f t="shared" si="33"/>
        <v>0</v>
      </c>
      <c r="L165" s="2273" t="s">
        <v>2974</v>
      </c>
      <c r="M165" s="1328"/>
    </row>
    <row r="166" spans="1:13" s="1329" customFormat="1" ht="24" customHeight="1">
      <c r="A166" s="791"/>
      <c r="B166" s="1127" t="s">
        <v>1188</v>
      </c>
      <c r="C166" s="1233"/>
      <c r="D166" s="792"/>
      <c r="E166" s="1345"/>
      <c r="F166" s="1140" t="s">
        <v>240</v>
      </c>
      <c r="G166" s="1504">
        <v>4040</v>
      </c>
      <c r="H166" s="796">
        <f t="shared" si="31"/>
        <v>0</v>
      </c>
      <c r="I166" s="849">
        <v>400</v>
      </c>
      <c r="J166" s="1476">
        <f t="shared" si="32"/>
        <v>0</v>
      </c>
      <c r="K166" s="1014">
        <f t="shared" si="33"/>
        <v>0</v>
      </c>
      <c r="L166" s="2273" t="s">
        <v>2974</v>
      </c>
      <c r="M166" s="1328"/>
    </row>
    <row r="167" spans="1:13" s="1329" customFormat="1" ht="24" customHeight="1">
      <c r="A167" s="1330" t="s">
        <v>2183</v>
      </c>
      <c r="B167" s="1331" t="s">
        <v>1942</v>
      </c>
      <c r="C167" s="1349"/>
      <c r="D167" s="801"/>
      <c r="E167" s="966"/>
      <c r="F167" s="1249"/>
      <c r="G167" s="1394"/>
      <c r="H167" s="864"/>
      <c r="I167" s="1394"/>
      <c r="J167" s="1395"/>
      <c r="K167" s="966"/>
      <c r="L167" s="966"/>
      <c r="M167" s="1328"/>
    </row>
    <row r="168" spans="1:13" s="1329" customFormat="1" ht="24" customHeight="1">
      <c r="A168" s="1330"/>
      <c r="B168" s="1331" t="s">
        <v>1184</v>
      </c>
      <c r="C168" s="1349"/>
      <c r="D168" s="890"/>
      <c r="E168" s="966"/>
      <c r="F168" s="1348" t="s">
        <v>240</v>
      </c>
      <c r="G168" s="1394"/>
      <c r="H168" s="905"/>
      <c r="I168" s="1406"/>
      <c r="J168" s="1395"/>
      <c r="K168" s="1030"/>
      <c r="L168" s="966"/>
      <c r="M168" s="1328"/>
    </row>
    <row r="169" spans="1:13" s="1329" customFormat="1" ht="24" customHeight="1">
      <c r="A169" s="1330"/>
      <c r="B169" s="1331" t="s">
        <v>1185</v>
      </c>
      <c r="C169" s="1349"/>
      <c r="D169" s="890"/>
      <c r="E169" s="966"/>
      <c r="F169" s="1348" t="s">
        <v>240</v>
      </c>
      <c r="G169" s="1394"/>
      <c r="H169" s="905"/>
      <c r="I169" s="1406"/>
      <c r="J169" s="1407"/>
      <c r="K169" s="1030"/>
      <c r="L169" s="966"/>
      <c r="M169" s="1328"/>
    </row>
    <row r="170" spans="1:13" s="1329" customFormat="1" ht="24" customHeight="1">
      <c r="A170" s="1330"/>
      <c r="B170" s="1331" t="s">
        <v>1186</v>
      </c>
      <c r="C170" s="1349"/>
      <c r="D170" s="890"/>
      <c r="E170" s="966">
        <f>E164</f>
        <v>32</v>
      </c>
      <c r="F170" s="1348" t="s">
        <v>240</v>
      </c>
      <c r="G170" s="1394">
        <f>3700*0.5</f>
        <v>1850</v>
      </c>
      <c r="H170" s="796">
        <f t="shared" ref="H170" si="34">ROUND(E170*G170,)</f>
        <v>59200</v>
      </c>
      <c r="I170" s="849">
        <v>250</v>
      </c>
      <c r="J170" s="1476">
        <f t="shared" ref="J170" si="35">ROUND(E170*I170,)</f>
        <v>8000</v>
      </c>
      <c r="K170" s="1014">
        <f t="shared" ref="K170" si="36">H170+J170</f>
        <v>67200</v>
      </c>
      <c r="L170" s="966"/>
      <c r="M170" s="1328"/>
    </row>
    <row r="171" spans="1:13" s="1329" customFormat="1" ht="24" customHeight="1">
      <c r="A171" s="1330"/>
      <c r="B171" s="1127" t="s">
        <v>1187</v>
      </c>
      <c r="C171" s="1233"/>
      <c r="D171" s="792"/>
      <c r="E171" s="1345"/>
      <c r="F171" s="1140" t="s">
        <v>240</v>
      </c>
      <c r="G171" s="1394"/>
      <c r="H171" s="905"/>
      <c r="I171" s="1406"/>
      <c r="J171" s="1407"/>
      <c r="K171" s="1030"/>
      <c r="L171" s="966"/>
      <c r="M171" s="1328"/>
    </row>
    <row r="172" spans="1:13" s="1329" customFormat="1" ht="24" customHeight="1">
      <c r="A172" s="1330"/>
      <c r="B172" s="1127" t="s">
        <v>1188</v>
      </c>
      <c r="C172" s="1233"/>
      <c r="D172" s="792"/>
      <c r="E172" s="1345"/>
      <c r="F172" s="1140" t="s">
        <v>240</v>
      </c>
      <c r="G172" s="1394"/>
      <c r="H172" s="905"/>
      <c r="I172" s="1406"/>
      <c r="J172" s="1407"/>
      <c r="K172" s="1030"/>
      <c r="L172" s="966"/>
      <c r="M172" s="1328"/>
    </row>
    <row r="173" spans="1:13" s="1329" customFormat="1" ht="24" customHeight="1">
      <c r="A173" s="1330" t="s">
        <v>2184</v>
      </c>
      <c r="B173" s="1331" t="s">
        <v>1656</v>
      </c>
      <c r="C173" s="1349"/>
      <c r="D173" s="801"/>
      <c r="E173" s="966"/>
      <c r="F173" s="1249"/>
      <c r="G173" s="1394"/>
      <c r="H173" s="864"/>
      <c r="I173" s="1394"/>
      <c r="J173" s="1395"/>
      <c r="K173" s="966"/>
      <c r="L173" s="966"/>
      <c r="M173" s="1328"/>
    </row>
    <row r="174" spans="1:13" s="1329" customFormat="1" ht="24" customHeight="1">
      <c r="A174" s="1330"/>
      <c r="B174" s="1331" t="s">
        <v>1185</v>
      </c>
      <c r="C174" s="1349"/>
      <c r="D174" s="801"/>
      <c r="E174" s="966"/>
      <c r="F174" s="1249" t="s">
        <v>240</v>
      </c>
      <c r="G174" s="1394"/>
      <c r="H174" s="864"/>
      <c r="I174" s="1394"/>
      <c r="J174" s="1395"/>
      <c r="K174" s="966"/>
      <c r="L174" s="1022"/>
      <c r="M174" s="1328"/>
    </row>
    <row r="175" spans="1:13" s="1329" customFormat="1" ht="24" customHeight="1">
      <c r="A175" s="1330" t="s">
        <v>2185</v>
      </c>
      <c r="B175" s="1331" t="s">
        <v>1940</v>
      </c>
      <c r="C175" s="1349"/>
      <c r="D175" s="801"/>
      <c r="E175" s="966"/>
      <c r="F175" s="1249"/>
      <c r="G175" s="1394"/>
      <c r="H175" s="864"/>
      <c r="I175" s="1394"/>
      <c r="J175" s="1395"/>
      <c r="K175" s="966"/>
      <c r="L175" s="966"/>
      <c r="M175" s="1328"/>
    </row>
    <row r="176" spans="1:13" s="1329" customFormat="1" ht="24" customHeight="1">
      <c r="A176" s="791"/>
      <c r="B176" s="1127" t="s">
        <v>1184</v>
      </c>
      <c r="C176" s="1233"/>
      <c r="D176" s="792"/>
      <c r="E176" s="1501"/>
      <c r="F176" s="1502" t="s">
        <v>240</v>
      </c>
      <c r="G176" s="1479">
        <v>350</v>
      </c>
      <c r="H176" s="1499">
        <f t="shared" ref="H176:H179" si="37">ROUND(E176*G176,)</f>
        <v>0</v>
      </c>
      <c r="I176" s="1480">
        <v>150</v>
      </c>
      <c r="J176" s="1500">
        <f t="shared" ref="J176:J179" si="38">ROUND(E176*I176,)</f>
        <v>0</v>
      </c>
      <c r="K176" s="1403">
        <f t="shared" ref="K176:K179" si="39">H176+J176</f>
        <v>0</v>
      </c>
      <c r="L176" s="1014"/>
      <c r="M176" s="1328"/>
    </row>
    <row r="177" spans="1:13" s="1329" customFormat="1" ht="24" customHeight="1">
      <c r="A177" s="791"/>
      <c r="B177" s="1127" t="s">
        <v>1186</v>
      </c>
      <c r="C177" s="1233"/>
      <c r="D177" s="792"/>
      <c r="E177" s="1345"/>
      <c r="F177" s="1140" t="s">
        <v>240</v>
      </c>
      <c r="G177" s="1257">
        <v>1084</v>
      </c>
      <c r="H177" s="796">
        <f t="shared" si="37"/>
        <v>0</v>
      </c>
      <c r="I177" s="849">
        <v>250</v>
      </c>
      <c r="J177" s="1476">
        <f t="shared" si="38"/>
        <v>0</v>
      </c>
      <c r="K177" s="1014">
        <f t="shared" si="39"/>
        <v>0</v>
      </c>
      <c r="L177" s="1014"/>
      <c r="M177" s="1328"/>
    </row>
    <row r="178" spans="1:13" s="1329" customFormat="1" ht="24" customHeight="1">
      <c r="A178" s="791"/>
      <c r="B178" s="1127" t="s">
        <v>1187</v>
      </c>
      <c r="C178" s="1233"/>
      <c r="D178" s="792"/>
      <c r="E178" s="1345"/>
      <c r="F178" s="1140" t="s">
        <v>240</v>
      </c>
      <c r="G178" s="1257">
        <v>1710</v>
      </c>
      <c r="H178" s="796">
        <f t="shared" si="37"/>
        <v>0</v>
      </c>
      <c r="I178" s="849">
        <v>300</v>
      </c>
      <c r="J178" s="1476">
        <f t="shared" si="38"/>
        <v>0</v>
      </c>
      <c r="K178" s="1014">
        <f t="shared" si="39"/>
        <v>0</v>
      </c>
      <c r="L178" s="1014"/>
      <c r="M178" s="1328"/>
    </row>
    <row r="179" spans="1:13" s="1329" customFormat="1" ht="24" customHeight="1">
      <c r="A179" s="791"/>
      <c r="B179" s="1127" t="s">
        <v>1188</v>
      </c>
      <c r="C179" s="1233"/>
      <c r="D179" s="792"/>
      <c r="E179" s="1345"/>
      <c r="F179" s="1140" t="s">
        <v>240</v>
      </c>
      <c r="G179" s="1402">
        <v>2839</v>
      </c>
      <c r="H179" s="796">
        <f t="shared" si="37"/>
        <v>0</v>
      </c>
      <c r="I179" s="849">
        <v>400</v>
      </c>
      <c r="J179" s="1476">
        <f t="shared" si="38"/>
        <v>0</v>
      </c>
      <c r="K179" s="1014">
        <f t="shared" si="39"/>
        <v>0</v>
      </c>
      <c r="L179" s="1014"/>
      <c r="M179" s="1328"/>
    </row>
    <row r="180" spans="1:13" s="1329" customFormat="1" ht="24" customHeight="1">
      <c r="A180" s="1330"/>
      <c r="B180" s="1331" t="s">
        <v>957</v>
      </c>
      <c r="C180" s="1349"/>
      <c r="D180" s="890"/>
      <c r="E180" s="966"/>
      <c r="F180" s="1348"/>
      <c r="G180" s="1394"/>
      <c r="H180" s="905"/>
      <c r="I180" s="1406"/>
      <c r="J180" s="1407"/>
      <c r="K180" s="1030"/>
      <c r="L180" s="1030"/>
      <c r="M180" s="1328"/>
    </row>
    <row r="181" spans="1:13" s="1329" customFormat="1" ht="24" customHeight="1">
      <c r="A181" s="1330"/>
      <c r="B181" s="1331"/>
      <c r="C181" s="1349"/>
      <c r="D181" s="890"/>
      <c r="E181" s="966"/>
      <c r="F181" s="1348"/>
      <c r="G181" s="1394"/>
      <c r="H181" s="905"/>
      <c r="I181" s="1406"/>
      <c r="J181" s="1407"/>
      <c r="K181" s="1030"/>
      <c r="L181" s="1030"/>
      <c r="M181" s="1328"/>
    </row>
    <row r="182" spans="1:13" s="1329" customFormat="1" ht="24" customHeight="1">
      <c r="A182" s="1330"/>
      <c r="B182" s="1331"/>
      <c r="C182" s="1349"/>
      <c r="D182" s="890"/>
      <c r="E182" s="966"/>
      <c r="F182" s="1348"/>
      <c r="G182" s="1394"/>
      <c r="H182" s="905"/>
      <c r="I182" s="1406"/>
      <c r="J182" s="1407"/>
      <c r="K182" s="1030"/>
      <c r="L182" s="1030"/>
      <c r="M182" s="1328"/>
    </row>
    <row r="183" spans="1:13" s="1329" customFormat="1" ht="24" customHeight="1">
      <c r="A183" s="1330"/>
      <c r="B183" s="1331" t="s">
        <v>958</v>
      </c>
      <c r="C183" s="1349"/>
      <c r="D183" s="801"/>
      <c r="E183" s="966"/>
      <c r="F183" s="1249"/>
      <c r="G183" s="1394"/>
      <c r="H183" s="864"/>
      <c r="I183" s="1394"/>
      <c r="J183" s="1395"/>
      <c r="K183" s="966"/>
      <c r="L183" s="966"/>
      <c r="M183" s="1328"/>
    </row>
    <row r="184" spans="1:13" s="1329" customFormat="1" ht="24" customHeight="1">
      <c r="A184" s="1510"/>
      <c r="B184" s="2475" t="str">
        <f>"รวมราคารายการที่ "&amp;A160</f>
        <v>รวมราคารายการที่ 7.9</v>
      </c>
      <c r="C184" s="2476"/>
      <c r="D184" s="2476"/>
      <c r="E184" s="1511"/>
      <c r="F184" s="1512"/>
      <c r="G184" s="1513"/>
      <c r="H184" s="1514">
        <f>SUM(H160:H183)</f>
        <v>127968</v>
      </c>
      <c r="I184" s="1515"/>
      <c r="J184" s="1516">
        <f>SUM(J160:J183)</f>
        <v>16900</v>
      </c>
      <c r="K184" s="1517">
        <f>SUM(K160:K183)</f>
        <v>144868</v>
      </c>
      <c r="L184" s="1517"/>
      <c r="M184" s="1328"/>
    </row>
    <row r="185" spans="1:13" s="1329" customFormat="1" ht="24" customHeight="1">
      <c r="A185" s="1325" t="s">
        <v>2065</v>
      </c>
      <c r="B185" s="1326" t="s">
        <v>1948</v>
      </c>
      <c r="C185" s="1347"/>
      <c r="D185" s="901"/>
      <c r="E185" s="1019"/>
      <c r="F185" s="1310"/>
      <c r="G185" s="1400"/>
      <c r="H185" s="864"/>
      <c r="I185" s="1400"/>
      <c r="J185" s="1395"/>
      <c r="K185" s="966"/>
      <c r="L185" s="1030"/>
      <c r="M185" s="1328"/>
    </row>
    <row r="186" spans="1:13" s="1329" customFormat="1" ht="24" customHeight="1">
      <c r="A186" s="1330" t="s">
        <v>2067</v>
      </c>
      <c r="B186" s="1331" t="s">
        <v>1950</v>
      </c>
      <c r="C186" s="1349"/>
      <c r="D186" s="801"/>
      <c r="E186" s="966"/>
      <c r="F186" s="1249"/>
      <c r="G186" s="1394"/>
      <c r="H186" s="864"/>
      <c r="I186" s="1394"/>
      <c r="J186" s="1395"/>
      <c r="K186" s="966"/>
      <c r="L186" s="966"/>
      <c r="M186" s="1328"/>
    </row>
    <row r="187" spans="1:13" s="1329" customFormat="1" ht="24" customHeight="1">
      <c r="A187" s="1330"/>
      <c r="B187" s="1331" t="s">
        <v>2035</v>
      </c>
      <c r="C187" s="1349"/>
      <c r="D187" s="801"/>
      <c r="E187" s="966">
        <v>133</v>
      </c>
      <c r="F187" s="1249" t="s">
        <v>1952</v>
      </c>
      <c r="G187" s="1406">
        <v>218</v>
      </c>
      <c r="H187" s="864">
        <f t="shared" ref="H187:H193" si="40">ROUND(E187*G187,)</f>
        <v>28994</v>
      </c>
      <c r="I187" s="1406">
        <v>194</v>
      </c>
      <c r="J187" s="1395">
        <f t="shared" ref="J187:J193" si="41">ROUND(E187*I187,)</f>
        <v>25802</v>
      </c>
      <c r="K187" s="966">
        <f t="shared" ref="K187:K193" si="42">H187+J187</f>
        <v>54796</v>
      </c>
      <c r="L187" s="966"/>
      <c r="M187" s="1527"/>
    </row>
    <row r="188" spans="1:13" s="1329" customFormat="1" ht="24" customHeight="1">
      <c r="A188" s="1330"/>
      <c r="B188" s="1331" t="s">
        <v>2036</v>
      </c>
      <c r="C188" s="1349"/>
      <c r="D188" s="801"/>
      <c r="E188" s="966">
        <v>225</v>
      </c>
      <c r="F188" s="1249" t="s">
        <v>1952</v>
      </c>
      <c r="G188" s="1406">
        <v>263</v>
      </c>
      <c r="H188" s="864">
        <f t="shared" si="40"/>
        <v>59175</v>
      </c>
      <c r="I188" s="1406">
        <v>259</v>
      </c>
      <c r="J188" s="1395">
        <f t="shared" si="41"/>
        <v>58275</v>
      </c>
      <c r="K188" s="966">
        <f t="shared" si="42"/>
        <v>117450</v>
      </c>
      <c r="L188" s="966"/>
      <c r="M188" s="1527"/>
    </row>
    <row r="189" spans="1:13" s="1329" customFormat="1" ht="24" customHeight="1">
      <c r="A189" s="1330"/>
      <c r="B189" s="1331" t="s">
        <v>1951</v>
      </c>
      <c r="C189" s="1349"/>
      <c r="D189" s="801"/>
      <c r="E189" s="966">
        <v>334</v>
      </c>
      <c r="F189" s="1249" t="s">
        <v>1952</v>
      </c>
      <c r="G189" s="1406">
        <v>314</v>
      </c>
      <c r="H189" s="864">
        <f t="shared" si="40"/>
        <v>104876</v>
      </c>
      <c r="I189" s="1406">
        <v>269</v>
      </c>
      <c r="J189" s="1395">
        <f t="shared" si="41"/>
        <v>89846</v>
      </c>
      <c r="K189" s="966">
        <f t="shared" si="42"/>
        <v>194722</v>
      </c>
      <c r="L189" s="966"/>
      <c r="M189" s="1328"/>
    </row>
    <row r="190" spans="1:13" s="1329" customFormat="1" ht="24" customHeight="1">
      <c r="A190" s="1330"/>
      <c r="B190" s="1331" t="s">
        <v>1953</v>
      </c>
      <c r="C190" s="1349"/>
      <c r="D190" s="801"/>
      <c r="E190" s="966">
        <v>40</v>
      </c>
      <c r="F190" s="1249" t="s">
        <v>1952</v>
      </c>
      <c r="G190" s="1406">
        <v>381</v>
      </c>
      <c r="H190" s="864">
        <f t="shared" si="40"/>
        <v>15240</v>
      </c>
      <c r="I190" s="1406">
        <v>323</v>
      </c>
      <c r="J190" s="1395">
        <f t="shared" si="41"/>
        <v>12920</v>
      </c>
      <c r="K190" s="966">
        <f t="shared" si="42"/>
        <v>28160</v>
      </c>
      <c r="L190" s="966"/>
      <c r="M190" s="1328"/>
    </row>
    <row r="191" spans="1:13" s="1329" customFormat="1" ht="24" customHeight="1">
      <c r="A191" s="1330"/>
      <c r="B191" s="1331" t="s">
        <v>1954</v>
      </c>
      <c r="C191" s="1349"/>
      <c r="D191" s="801"/>
      <c r="E191" s="966"/>
      <c r="F191" s="1249" t="s">
        <v>1952</v>
      </c>
      <c r="G191" s="1406">
        <v>443</v>
      </c>
      <c r="H191" s="864">
        <f t="shared" si="40"/>
        <v>0</v>
      </c>
      <c r="I191" s="1406">
        <v>377</v>
      </c>
      <c r="J191" s="1395">
        <f t="shared" si="41"/>
        <v>0</v>
      </c>
      <c r="K191" s="966">
        <f t="shared" si="42"/>
        <v>0</v>
      </c>
      <c r="L191" s="966"/>
      <c r="M191" s="1328"/>
    </row>
    <row r="192" spans="1:13" s="1329" customFormat="1" ht="24" customHeight="1">
      <c r="A192" s="1330"/>
      <c r="B192" s="1331" t="s">
        <v>1645</v>
      </c>
      <c r="C192" s="1349"/>
      <c r="D192" s="801"/>
      <c r="E192" s="966">
        <v>1</v>
      </c>
      <c r="F192" s="1249" t="s">
        <v>948</v>
      </c>
      <c r="G192" s="1406">
        <f>ROUND(SUM(H187:H191)*40%,)</f>
        <v>83314</v>
      </c>
      <c r="H192" s="864">
        <f t="shared" si="40"/>
        <v>83314</v>
      </c>
      <c r="I192" s="1406">
        <f>ROUND(G192*30%,)</f>
        <v>24994</v>
      </c>
      <c r="J192" s="1395">
        <f t="shared" si="41"/>
        <v>24994</v>
      </c>
      <c r="K192" s="966">
        <f t="shared" si="42"/>
        <v>108308</v>
      </c>
      <c r="L192" s="966"/>
      <c r="M192" s="1328"/>
    </row>
    <row r="193" spans="1:14" s="1329" customFormat="1" ht="24" customHeight="1">
      <c r="A193" s="1330"/>
      <c r="B193" s="1331" t="s">
        <v>1646</v>
      </c>
      <c r="C193" s="1349"/>
      <c r="D193" s="801"/>
      <c r="E193" s="966">
        <v>1</v>
      </c>
      <c r="F193" s="1249" t="s">
        <v>948</v>
      </c>
      <c r="G193" s="1406">
        <f>ROUND(SUM(H187:H191)*15%,)</f>
        <v>31243</v>
      </c>
      <c r="H193" s="864">
        <f t="shared" si="40"/>
        <v>31243</v>
      </c>
      <c r="I193" s="1406">
        <f>ROUND(G193*30%,)</f>
        <v>9373</v>
      </c>
      <c r="J193" s="1395">
        <f t="shared" si="41"/>
        <v>9373</v>
      </c>
      <c r="K193" s="966">
        <f t="shared" si="42"/>
        <v>40616</v>
      </c>
      <c r="L193" s="966"/>
      <c r="M193" s="1328"/>
    </row>
    <row r="194" spans="1:14" s="1329" customFormat="1" ht="24" customHeight="1">
      <c r="A194" s="1355"/>
      <c r="B194" s="1331" t="s">
        <v>957</v>
      </c>
      <c r="C194" s="1349"/>
      <c r="D194" s="890"/>
      <c r="E194" s="966"/>
      <c r="F194" s="1348"/>
      <c r="G194" s="1394"/>
      <c r="H194" s="905"/>
      <c r="I194" s="1406"/>
      <c r="J194" s="1407"/>
      <c r="K194" s="1030"/>
      <c r="L194" s="1030"/>
      <c r="M194" s="1328"/>
    </row>
    <row r="195" spans="1:14" s="886" customFormat="1" ht="24" customHeight="1">
      <c r="A195" s="1510"/>
      <c r="B195" s="2475" t="str">
        <f>"รวมราคารายการที่ "&amp;A185</f>
        <v>รวมราคารายการที่ 7.10</v>
      </c>
      <c r="C195" s="2476"/>
      <c r="D195" s="2476"/>
      <c r="E195" s="1511"/>
      <c r="F195" s="1512"/>
      <c r="G195" s="1513"/>
      <c r="H195" s="1514">
        <f>SUM(H185:H194)</f>
        <v>322842</v>
      </c>
      <c r="I195" s="1515"/>
      <c r="J195" s="1516">
        <f>SUM(J185:J194)</f>
        <v>221210</v>
      </c>
      <c r="K195" s="1517">
        <f>SUM(K185:K194)</f>
        <v>544052</v>
      </c>
      <c r="L195" s="1517"/>
      <c r="M195" s="1342"/>
    </row>
    <row r="196" spans="1:14" s="1329" customFormat="1" ht="24" customHeight="1">
      <c r="A196" s="1325" t="s">
        <v>2077</v>
      </c>
      <c r="B196" s="1326" t="s">
        <v>1959</v>
      </c>
      <c r="C196" s="1347"/>
      <c r="D196" s="901"/>
      <c r="E196" s="1019"/>
      <c r="F196" s="1310"/>
      <c r="G196" s="1400"/>
      <c r="H196" s="864"/>
      <c r="I196" s="1400"/>
      <c r="J196" s="1395"/>
      <c r="K196" s="966"/>
      <c r="L196" s="1030"/>
      <c r="M196" s="1328"/>
    </row>
    <row r="197" spans="1:14" s="1329" customFormat="1" ht="24" customHeight="1">
      <c r="A197" s="1330" t="s">
        <v>2079</v>
      </c>
      <c r="B197" s="1331" t="s">
        <v>1961</v>
      </c>
      <c r="C197" s="1349"/>
      <c r="D197" s="801"/>
      <c r="E197" s="966"/>
      <c r="F197" s="1249"/>
      <c r="G197" s="1394"/>
      <c r="H197" s="864"/>
      <c r="I197" s="1394"/>
      <c r="J197" s="1395"/>
      <c r="K197" s="966"/>
      <c r="L197" s="966"/>
      <c r="M197" s="1328"/>
    </row>
    <row r="198" spans="1:14" s="1329" customFormat="1" ht="24" customHeight="1">
      <c r="A198" s="1038"/>
      <c r="B198" s="1127" t="s">
        <v>1962</v>
      </c>
      <c r="C198" s="1233"/>
      <c r="D198" s="809"/>
      <c r="E198" s="1345">
        <f>SUM(E187:E191)</f>
        <v>732</v>
      </c>
      <c r="F198" s="874" t="s">
        <v>1952</v>
      </c>
      <c r="G198" s="1257">
        <v>148</v>
      </c>
      <c r="H198" s="854">
        <f t="shared" ref="H198:H201" si="43">ROUND(E198*G198,)</f>
        <v>108336</v>
      </c>
      <c r="I198" s="1477">
        <v>45</v>
      </c>
      <c r="J198" s="1476">
        <f t="shared" ref="J198:J201" si="44">ROUND(E198*I198,)</f>
        <v>32940</v>
      </c>
      <c r="K198" s="1014">
        <f t="shared" ref="K198:K201" si="45">H198+J198</f>
        <v>141276</v>
      </c>
      <c r="L198" s="1007"/>
      <c r="M198" s="1328"/>
    </row>
    <row r="199" spans="1:14" s="1329" customFormat="1" ht="24" customHeight="1">
      <c r="A199" s="1038"/>
      <c r="B199" s="1127" t="s">
        <v>2115</v>
      </c>
      <c r="C199" s="1233"/>
      <c r="D199" s="809"/>
      <c r="E199" s="1345"/>
      <c r="F199" s="874" t="s">
        <v>1952</v>
      </c>
      <c r="G199" s="1257">
        <v>212</v>
      </c>
      <c r="H199" s="854">
        <f t="shared" si="43"/>
        <v>0</v>
      </c>
      <c r="I199" s="1477">
        <v>45</v>
      </c>
      <c r="J199" s="1476">
        <f t="shared" si="44"/>
        <v>0</v>
      </c>
      <c r="K199" s="1014">
        <f t="shared" si="45"/>
        <v>0</v>
      </c>
      <c r="L199" s="1007"/>
      <c r="M199" s="1328"/>
    </row>
    <row r="200" spans="1:14" s="1329" customFormat="1" ht="24" customHeight="1">
      <c r="A200" s="1038"/>
      <c r="B200" s="1127" t="s">
        <v>2116</v>
      </c>
      <c r="C200" s="1233"/>
      <c r="D200" s="809"/>
      <c r="E200" s="1345"/>
      <c r="F200" s="874" t="s">
        <v>1952</v>
      </c>
      <c r="G200" s="1257">
        <v>454</v>
      </c>
      <c r="H200" s="854">
        <f t="shared" si="43"/>
        <v>0</v>
      </c>
      <c r="I200" s="1477">
        <f>ROUND(G200*0.3,)</f>
        <v>136</v>
      </c>
      <c r="J200" s="1476">
        <f t="shared" si="44"/>
        <v>0</v>
      </c>
      <c r="K200" s="1014">
        <f t="shared" si="45"/>
        <v>0</v>
      </c>
      <c r="L200" s="1007"/>
      <c r="M200" s="1328"/>
    </row>
    <row r="201" spans="1:14" s="1329" customFormat="1" ht="24" customHeight="1">
      <c r="A201" s="1330" t="s">
        <v>2196</v>
      </c>
      <c r="B201" s="1331" t="s">
        <v>1965</v>
      </c>
      <c r="C201" s="1349"/>
      <c r="D201" s="890"/>
      <c r="E201" s="966">
        <v>1</v>
      </c>
      <c r="F201" s="1348" t="s">
        <v>948</v>
      </c>
      <c r="G201" s="1394">
        <f>E198*40</f>
        <v>29280</v>
      </c>
      <c r="H201" s="854">
        <f t="shared" si="43"/>
        <v>29280</v>
      </c>
      <c r="I201" s="1406">
        <f>E198*15</f>
        <v>10980</v>
      </c>
      <c r="J201" s="1476">
        <f t="shared" si="44"/>
        <v>10980</v>
      </c>
      <c r="K201" s="1014">
        <f t="shared" si="45"/>
        <v>40260</v>
      </c>
      <c r="L201" s="1030"/>
      <c r="M201" s="1328"/>
    </row>
    <row r="202" spans="1:14" s="1329" customFormat="1" ht="24" customHeight="1">
      <c r="A202" s="1355"/>
      <c r="B202" s="1331" t="s">
        <v>957</v>
      </c>
      <c r="C202" s="1349"/>
      <c r="D202" s="890"/>
      <c r="E202" s="966"/>
      <c r="F202" s="1348"/>
      <c r="G202" s="1394"/>
      <c r="H202" s="905"/>
      <c r="I202" s="1406"/>
      <c r="J202" s="1407"/>
      <c r="K202" s="1030"/>
      <c r="L202" s="1030"/>
      <c r="M202" s="1328"/>
    </row>
    <row r="203" spans="1:14" s="1329" customFormat="1" ht="24" customHeight="1">
      <c r="A203" s="1510"/>
      <c r="B203" s="2475" t="str">
        <f>"รวมราคารายการที่ "&amp;A196</f>
        <v>รวมราคารายการที่ 7.11</v>
      </c>
      <c r="C203" s="2476"/>
      <c r="D203" s="2476"/>
      <c r="E203" s="1511"/>
      <c r="F203" s="1512"/>
      <c r="G203" s="1513"/>
      <c r="H203" s="1514">
        <f>SUM(H196:H202)</f>
        <v>137616</v>
      </c>
      <c r="I203" s="1515"/>
      <c r="J203" s="1516">
        <f>SUM(J196:J202)</f>
        <v>43920</v>
      </c>
      <c r="K203" s="1517">
        <f>SUM(K196:K202)</f>
        <v>181536</v>
      </c>
      <c r="L203" s="1517"/>
      <c r="M203" s="1328"/>
    </row>
    <row r="204" spans="1:14" s="1329" customFormat="1" ht="24" customHeight="1">
      <c r="A204" s="1325" t="s">
        <v>2197</v>
      </c>
      <c r="B204" s="1326" t="s">
        <v>1968</v>
      </c>
      <c r="C204" s="1347"/>
      <c r="D204" s="901"/>
      <c r="E204" s="1019"/>
      <c r="F204" s="1310"/>
      <c r="G204" s="1400"/>
      <c r="H204" s="864"/>
      <c r="I204" s="1400"/>
      <c r="J204" s="1395"/>
      <c r="K204" s="966"/>
      <c r="L204" s="1030"/>
      <c r="M204" s="1328"/>
    </row>
    <row r="205" spans="1:14" s="1329" customFormat="1" ht="24" customHeight="1">
      <c r="A205" s="1330" t="s">
        <v>2198</v>
      </c>
      <c r="B205" s="1331" t="s">
        <v>2041</v>
      </c>
      <c r="C205" s="1349"/>
      <c r="D205" s="801"/>
      <c r="E205" s="966"/>
      <c r="F205" s="1249"/>
      <c r="G205" s="1394"/>
      <c r="H205" s="864"/>
      <c r="I205" s="1394"/>
      <c r="J205" s="1395"/>
      <c r="K205" s="966"/>
      <c r="L205" s="966"/>
      <c r="M205" s="1328"/>
    </row>
    <row r="206" spans="1:14" s="1329" customFormat="1" ht="24" customHeight="1">
      <c r="A206" s="1330"/>
      <c r="B206" s="1331" t="str">
        <f t="shared" ref="B206:B216" si="46">"  -  "&amp;M206&amp;" มม."</f>
        <v xml:space="preserve">  -  200x150 มม.</v>
      </c>
      <c r="C206" s="1349"/>
      <c r="D206" s="801"/>
      <c r="E206" s="1350">
        <f t="shared" ref="E206:E216" si="47">N206</f>
        <v>2</v>
      </c>
      <c r="F206" s="1348" t="str">
        <f t="shared" ref="F206:F216" si="48">IF(E206="","","ชุด")</f>
        <v>ชุด</v>
      </c>
      <c r="G206" s="1394">
        <v>500</v>
      </c>
      <c r="H206" s="854">
        <f t="shared" ref="H206:H216" si="49">ROUND(E206*G206,)</f>
        <v>1000</v>
      </c>
      <c r="I206" s="1394">
        <v>100</v>
      </c>
      <c r="J206" s="1395">
        <f t="shared" ref="J206:J216" si="50">ROUND(E206*I206,)</f>
        <v>200</v>
      </c>
      <c r="K206" s="966">
        <f t="shared" ref="K206:K216" si="51">H206+J206</f>
        <v>1200</v>
      </c>
      <c r="L206" s="966"/>
      <c r="M206" s="1420" t="s">
        <v>2199</v>
      </c>
      <c r="N206">
        <v>2</v>
      </c>
    </row>
    <row r="207" spans="1:14" s="1329" customFormat="1" ht="24" customHeight="1">
      <c r="A207" s="1330"/>
      <c r="B207" s="1331" t="str">
        <f t="shared" si="46"/>
        <v xml:space="preserve">  -  200x200 มม.</v>
      </c>
      <c r="C207" s="1349"/>
      <c r="D207" s="801"/>
      <c r="E207" s="1350">
        <f t="shared" si="47"/>
        <v>10</v>
      </c>
      <c r="F207" s="1348" t="str">
        <f t="shared" si="48"/>
        <v>ชุด</v>
      </c>
      <c r="G207" s="1394">
        <v>500</v>
      </c>
      <c r="H207" s="854">
        <f t="shared" si="49"/>
        <v>5000</v>
      </c>
      <c r="I207" s="1394">
        <v>100</v>
      </c>
      <c r="J207" s="1395">
        <f t="shared" si="50"/>
        <v>1000</v>
      </c>
      <c r="K207" s="966">
        <f t="shared" si="51"/>
        <v>6000</v>
      </c>
      <c r="L207" s="966"/>
      <c r="M207" s="1420" t="s">
        <v>2042</v>
      </c>
      <c r="N207">
        <v>10</v>
      </c>
    </row>
    <row r="208" spans="1:14" s="1329" customFormat="1" ht="24" customHeight="1">
      <c r="A208" s="1330"/>
      <c r="B208" s="1331" t="str">
        <f t="shared" si="46"/>
        <v xml:space="preserve">  -  200x500 มม.</v>
      </c>
      <c r="C208" s="1349"/>
      <c r="D208" s="801"/>
      <c r="E208" s="1350">
        <f t="shared" si="47"/>
        <v>1</v>
      </c>
      <c r="F208" s="1348" t="str">
        <f t="shared" si="48"/>
        <v>ชุด</v>
      </c>
      <c r="G208" s="1394">
        <v>700</v>
      </c>
      <c r="H208" s="854">
        <f t="shared" si="49"/>
        <v>700</v>
      </c>
      <c r="I208" s="1394">
        <v>100</v>
      </c>
      <c r="J208" s="1395">
        <f t="shared" si="50"/>
        <v>100</v>
      </c>
      <c r="K208" s="966">
        <f t="shared" si="51"/>
        <v>800</v>
      </c>
      <c r="L208" s="966"/>
      <c r="M208" s="1420" t="s">
        <v>2352</v>
      </c>
      <c r="N208">
        <v>1</v>
      </c>
    </row>
    <row r="209" spans="1:15" s="1329" customFormat="1" ht="24" customHeight="1">
      <c r="A209" s="1330"/>
      <c r="B209" s="1331" t="str">
        <f t="shared" si="46"/>
        <v xml:space="preserve">  -  250x200 มม.</v>
      </c>
      <c r="C209" s="1349"/>
      <c r="D209" s="801"/>
      <c r="E209" s="1350">
        <f t="shared" si="47"/>
        <v>2</v>
      </c>
      <c r="F209" s="1348" t="str">
        <f t="shared" si="48"/>
        <v>ชุด</v>
      </c>
      <c r="G209" s="1394">
        <v>500</v>
      </c>
      <c r="H209" s="854">
        <f t="shared" si="49"/>
        <v>1000</v>
      </c>
      <c r="I209" s="1394">
        <v>100</v>
      </c>
      <c r="J209" s="1395">
        <f t="shared" si="50"/>
        <v>200</v>
      </c>
      <c r="K209" s="966">
        <f t="shared" si="51"/>
        <v>1200</v>
      </c>
      <c r="L209" s="966"/>
      <c r="M209" s="1420" t="s">
        <v>2056</v>
      </c>
      <c r="N209">
        <v>2</v>
      </c>
    </row>
    <row r="210" spans="1:15" s="1329" customFormat="1" ht="24" customHeight="1">
      <c r="A210" s="1330"/>
      <c r="B210" s="1331" t="str">
        <f t="shared" si="46"/>
        <v xml:space="preserve">  -  300x250 มม.</v>
      </c>
      <c r="C210" s="1349"/>
      <c r="D210" s="801"/>
      <c r="E210" s="1350">
        <f t="shared" si="47"/>
        <v>32</v>
      </c>
      <c r="F210" s="1348" t="str">
        <f t="shared" si="48"/>
        <v>ชุด</v>
      </c>
      <c r="G210" s="1394">
        <v>500</v>
      </c>
      <c r="H210" s="854">
        <f t="shared" si="49"/>
        <v>16000</v>
      </c>
      <c r="I210" s="1394">
        <v>100</v>
      </c>
      <c r="J210" s="1395">
        <f t="shared" si="50"/>
        <v>3200</v>
      </c>
      <c r="K210" s="966">
        <f t="shared" si="51"/>
        <v>19200</v>
      </c>
      <c r="L210" s="966"/>
      <c r="M210" s="1420" t="s">
        <v>2200</v>
      </c>
      <c r="N210">
        <v>32</v>
      </c>
    </row>
    <row r="211" spans="1:15" s="1329" customFormat="1" ht="24" customHeight="1">
      <c r="A211" s="1330"/>
      <c r="B211" s="1331" t="str">
        <f t="shared" si="46"/>
        <v xml:space="preserve">  -  350x350 มม.</v>
      </c>
      <c r="C211" s="1349"/>
      <c r="D211" s="801"/>
      <c r="E211" s="1350">
        <f t="shared" si="47"/>
        <v>4</v>
      </c>
      <c r="F211" s="1348" t="str">
        <f t="shared" si="48"/>
        <v>ชุด</v>
      </c>
      <c r="G211" s="1394">
        <v>500</v>
      </c>
      <c r="H211" s="854">
        <f t="shared" si="49"/>
        <v>2000</v>
      </c>
      <c r="I211" s="1394">
        <v>100</v>
      </c>
      <c r="J211" s="1395">
        <f t="shared" si="50"/>
        <v>400</v>
      </c>
      <c r="K211" s="966">
        <f t="shared" si="51"/>
        <v>2400</v>
      </c>
      <c r="L211" s="966"/>
      <c r="M211" s="1420" t="s">
        <v>2410</v>
      </c>
      <c r="N211">
        <v>4</v>
      </c>
    </row>
    <row r="212" spans="1:15" s="1329" customFormat="1" ht="24" customHeight="1">
      <c r="A212" s="1330"/>
      <c r="B212" s="1331" t="str">
        <f t="shared" si="46"/>
        <v xml:space="preserve">  -  650x650 มม.</v>
      </c>
      <c r="C212" s="1349"/>
      <c r="D212" s="801"/>
      <c r="E212" s="1350">
        <f t="shared" si="47"/>
        <v>4</v>
      </c>
      <c r="F212" s="1348" t="str">
        <f t="shared" si="48"/>
        <v>ชุด</v>
      </c>
      <c r="G212" s="1394">
        <v>1300</v>
      </c>
      <c r="H212" s="854">
        <f t="shared" si="49"/>
        <v>5200</v>
      </c>
      <c r="I212" s="1394">
        <v>100</v>
      </c>
      <c r="J212" s="1395">
        <f t="shared" si="50"/>
        <v>400</v>
      </c>
      <c r="K212" s="966">
        <f t="shared" si="51"/>
        <v>5600</v>
      </c>
      <c r="L212" s="966"/>
      <c r="M212" s="1420" t="s">
        <v>2045</v>
      </c>
      <c r="N212">
        <v>4</v>
      </c>
    </row>
    <row r="213" spans="1:15" s="1329" customFormat="1" ht="24" customHeight="1">
      <c r="A213" s="1330"/>
      <c r="B213" s="1331" t="str">
        <f t="shared" si="46"/>
        <v xml:space="preserve">  -  150x150 มม.</v>
      </c>
      <c r="C213" s="1349"/>
      <c r="D213" s="801"/>
      <c r="E213" s="1350">
        <f t="shared" si="47"/>
        <v>3</v>
      </c>
      <c r="F213" s="1348" t="str">
        <f t="shared" si="48"/>
        <v>ชุด</v>
      </c>
      <c r="G213" s="1394">
        <v>500</v>
      </c>
      <c r="H213" s="854">
        <f t="shared" si="49"/>
        <v>1500</v>
      </c>
      <c r="I213" s="1394">
        <v>100</v>
      </c>
      <c r="J213" s="1395">
        <f t="shared" si="50"/>
        <v>300</v>
      </c>
      <c r="K213" s="966">
        <f t="shared" si="51"/>
        <v>1800</v>
      </c>
      <c r="L213" s="966"/>
      <c r="M213" s="1420" t="s">
        <v>2225</v>
      </c>
      <c r="N213">
        <v>3</v>
      </c>
    </row>
    <row r="214" spans="1:15" s="1329" customFormat="1" ht="24" customHeight="1">
      <c r="A214" s="1330"/>
      <c r="B214" s="1331" t="str">
        <f t="shared" si="46"/>
        <v xml:space="preserve">  -  500x200 มม.</v>
      </c>
      <c r="C214" s="1349"/>
      <c r="D214" s="801"/>
      <c r="E214" s="1350">
        <f t="shared" si="47"/>
        <v>4</v>
      </c>
      <c r="F214" s="1348" t="str">
        <f t="shared" si="48"/>
        <v>ชุด</v>
      </c>
      <c r="G214" s="1394">
        <v>700</v>
      </c>
      <c r="H214" s="854">
        <f t="shared" si="49"/>
        <v>2800</v>
      </c>
      <c r="I214" s="1394">
        <v>100</v>
      </c>
      <c r="J214" s="1395">
        <f t="shared" si="50"/>
        <v>400</v>
      </c>
      <c r="K214" s="966">
        <f t="shared" si="51"/>
        <v>3200</v>
      </c>
      <c r="L214" s="966"/>
      <c r="M214" s="1420" t="s">
        <v>2296</v>
      </c>
      <c r="N214">
        <v>4</v>
      </c>
    </row>
    <row r="215" spans="1:15" s="1329" customFormat="1" ht="24" customHeight="1">
      <c r="A215" s="1330"/>
      <c r="B215" s="1331" t="str">
        <f t="shared" si="46"/>
        <v xml:space="preserve">  -  200x150 มม.</v>
      </c>
      <c r="C215" s="1349"/>
      <c r="D215" s="801"/>
      <c r="E215" s="1350">
        <f t="shared" si="47"/>
        <v>2</v>
      </c>
      <c r="F215" s="1348" t="str">
        <f t="shared" si="48"/>
        <v>ชุด</v>
      </c>
      <c r="G215" s="1394">
        <v>500</v>
      </c>
      <c r="H215" s="854">
        <f t="shared" si="49"/>
        <v>1000</v>
      </c>
      <c r="I215" s="1394">
        <v>100</v>
      </c>
      <c r="J215" s="1395">
        <f t="shared" si="50"/>
        <v>200</v>
      </c>
      <c r="K215" s="966">
        <f t="shared" si="51"/>
        <v>1200</v>
      </c>
      <c r="L215" s="966"/>
      <c r="M215" s="1420" t="s">
        <v>2199</v>
      </c>
      <c r="N215">
        <v>2</v>
      </c>
    </row>
    <row r="216" spans="1:15" s="1329" customFormat="1" ht="24" customHeight="1">
      <c r="A216" s="1330"/>
      <c r="B216" s="1331" t="str">
        <f t="shared" si="46"/>
        <v xml:space="preserve">  -  200x150 มม.</v>
      </c>
      <c r="C216" s="1349"/>
      <c r="D216" s="801"/>
      <c r="E216" s="1350">
        <f t="shared" si="47"/>
        <v>2</v>
      </c>
      <c r="F216" s="1348" t="str">
        <f t="shared" si="48"/>
        <v>ชุด</v>
      </c>
      <c r="G216" s="1394">
        <v>500</v>
      </c>
      <c r="H216" s="854">
        <f t="shared" si="49"/>
        <v>1000</v>
      </c>
      <c r="I216" s="1394">
        <v>100</v>
      </c>
      <c r="J216" s="1395">
        <f t="shared" si="50"/>
        <v>200</v>
      </c>
      <c r="K216" s="966">
        <f t="shared" si="51"/>
        <v>1200</v>
      </c>
      <c r="L216" s="966"/>
      <c r="M216" s="1420" t="s">
        <v>2199</v>
      </c>
      <c r="N216">
        <v>2</v>
      </c>
    </row>
    <row r="217" spans="1:15" s="1329" customFormat="1" ht="24" customHeight="1">
      <c r="A217" s="1330" t="s">
        <v>2208</v>
      </c>
      <c r="B217" s="1335" t="s">
        <v>2049</v>
      </c>
      <c r="C217" s="1349"/>
      <c r="D217" s="890"/>
      <c r="E217" s="966"/>
      <c r="F217" s="1348"/>
      <c r="G217" s="1394"/>
      <c r="H217" s="905"/>
      <c r="I217" s="1406"/>
      <c r="J217" s="1407"/>
      <c r="K217" s="1030"/>
      <c r="L217" s="1030"/>
      <c r="M217" s="1328"/>
    </row>
    <row r="218" spans="1:15" s="1329" customFormat="1" ht="24" customHeight="1">
      <c r="A218" s="1330"/>
      <c r="B218" s="1331" t="str">
        <f t="shared" ref="B218:B219" si="52">"  -  "&amp;M218&amp;" มม."</f>
        <v xml:space="preserve">  -  300x200 มม.</v>
      </c>
      <c r="C218" s="1349"/>
      <c r="D218" s="801"/>
      <c r="E218" s="1350">
        <f t="shared" ref="E218:E219" si="53">N218</f>
        <v>10</v>
      </c>
      <c r="F218" s="1348" t="str">
        <f t="shared" ref="F218:F219" si="54">IF(E218="","","ชุด")</f>
        <v>ชุด</v>
      </c>
      <c r="G218" s="1394">
        <v>500</v>
      </c>
      <c r="H218" s="854">
        <f t="shared" ref="H218:H219" si="55">ROUND(E218*G218,)</f>
        <v>5000</v>
      </c>
      <c r="I218" s="1394">
        <v>100</v>
      </c>
      <c r="J218" s="1395">
        <f t="shared" ref="J218:J219" si="56">ROUND(E218*I218,)</f>
        <v>1000</v>
      </c>
      <c r="K218" s="966">
        <f t="shared" ref="K218:K219" si="57">H218+J218</f>
        <v>6000</v>
      </c>
      <c r="L218" s="1030"/>
      <c r="M218" s="1420" t="s">
        <v>2050</v>
      </c>
      <c r="N218">
        <v>10</v>
      </c>
    </row>
    <row r="219" spans="1:15" s="1329" customFormat="1" ht="24" customHeight="1">
      <c r="A219" s="1330"/>
      <c r="B219" s="1331" t="str">
        <f t="shared" si="52"/>
        <v xml:space="preserve">  -  600x400 มม.</v>
      </c>
      <c r="C219" s="1349"/>
      <c r="D219" s="801"/>
      <c r="E219" s="1350">
        <f t="shared" si="53"/>
        <v>2</v>
      </c>
      <c r="F219" s="1348" t="str">
        <f t="shared" si="54"/>
        <v>ชุด</v>
      </c>
      <c r="G219" s="1394">
        <v>600</v>
      </c>
      <c r="H219" s="854">
        <f t="shared" si="55"/>
        <v>1200</v>
      </c>
      <c r="I219" s="1406">
        <v>100</v>
      </c>
      <c r="J219" s="1395">
        <f t="shared" si="56"/>
        <v>200</v>
      </c>
      <c r="K219" s="966">
        <f t="shared" si="57"/>
        <v>1400</v>
      </c>
      <c r="L219" s="1030"/>
      <c r="M219" s="1420" t="s">
        <v>2454</v>
      </c>
      <c r="N219">
        <v>2</v>
      </c>
    </row>
    <row r="220" spans="1:15" s="1329" customFormat="1" ht="24" customHeight="1">
      <c r="A220" s="1330" t="s">
        <v>2211</v>
      </c>
      <c r="B220" s="1331" t="s">
        <v>2219</v>
      </c>
      <c r="C220" s="1349"/>
      <c r="D220" s="890"/>
      <c r="E220" s="966"/>
      <c r="F220" s="1348"/>
      <c r="G220" s="1394"/>
      <c r="H220" s="905"/>
      <c r="I220" s="1406"/>
      <c r="J220" s="1407"/>
      <c r="K220" s="1030"/>
      <c r="L220" s="1030"/>
      <c r="M220" s="1328"/>
    </row>
    <row r="221" spans="1:15" s="1329" customFormat="1" ht="24" customHeight="1">
      <c r="A221" s="1330"/>
      <c r="B221" s="1331" t="s">
        <v>2220</v>
      </c>
      <c r="C221" s="1349"/>
      <c r="D221" s="801"/>
      <c r="E221" s="966">
        <v>1</v>
      </c>
      <c r="F221" s="1249" t="str">
        <f t="shared" ref="F221:F222" si="58">IF(E221="","","ชุด")</f>
        <v>ชุด</v>
      </c>
      <c r="G221" s="1394">
        <v>1500</v>
      </c>
      <c r="H221" s="854">
        <f t="shared" ref="H221:H222" si="59">ROUND(E221*G221,)</f>
        <v>1500</v>
      </c>
      <c r="I221" s="1394">
        <v>500</v>
      </c>
      <c r="J221" s="1395">
        <f t="shared" ref="J221:J222" si="60">ROUND(E221*I221,)</f>
        <v>500</v>
      </c>
      <c r="K221" s="966">
        <f t="shared" ref="K221:K222" si="61">H221+J221</f>
        <v>2000</v>
      </c>
      <c r="L221" s="966"/>
      <c r="M221" s="1328"/>
      <c r="N221" s="1404"/>
      <c r="O221" s="1404"/>
    </row>
    <row r="222" spans="1:15" s="1329" customFormat="1" ht="24" customHeight="1">
      <c r="A222" s="1330"/>
      <c r="B222" s="1331" t="s">
        <v>2221</v>
      </c>
      <c r="C222" s="1349"/>
      <c r="D222" s="801"/>
      <c r="E222" s="966">
        <v>1</v>
      </c>
      <c r="F222" s="1249" t="str">
        <f t="shared" si="58"/>
        <v>ชุด</v>
      </c>
      <c r="G222" s="1394">
        <v>2000</v>
      </c>
      <c r="H222" s="854">
        <f t="shared" si="59"/>
        <v>2000</v>
      </c>
      <c r="I222" s="1394">
        <v>500</v>
      </c>
      <c r="J222" s="1395">
        <f t="shared" si="60"/>
        <v>500</v>
      </c>
      <c r="K222" s="966">
        <f t="shared" si="61"/>
        <v>2500</v>
      </c>
      <c r="L222" s="966"/>
      <c r="M222" s="1328"/>
      <c r="N222" s="1404"/>
      <c r="O222" s="1404"/>
    </row>
    <row r="223" spans="1:15" s="1329" customFormat="1" ht="24" customHeight="1">
      <c r="A223" s="1330" t="s">
        <v>2213</v>
      </c>
      <c r="B223" s="1331" t="s">
        <v>2055</v>
      </c>
      <c r="C223" s="1349"/>
      <c r="D223" s="801"/>
      <c r="E223" s="966"/>
      <c r="F223" s="1249"/>
      <c r="G223" s="1394"/>
      <c r="H223" s="864"/>
      <c r="I223" s="1394"/>
      <c r="J223" s="1395"/>
      <c r="K223" s="966"/>
      <c r="L223" s="966"/>
      <c r="M223" s="1328"/>
    </row>
    <row r="224" spans="1:15" s="1329" customFormat="1" ht="24" customHeight="1">
      <c r="A224" s="1330"/>
      <c r="B224" s="1331" t="str">
        <f t="shared" ref="B224:B244" si="62">"  -  "&amp;M224&amp;" มม."</f>
        <v xml:space="preserve">  -  100x100 มม.</v>
      </c>
      <c r="C224" s="1349"/>
      <c r="D224" s="801"/>
      <c r="E224" s="1350">
        <f t="shared" ref="E224:E244" si="63">N224</f>
        <v>6</v>
      </c>
      <c r="F224" s="865" t="str">
        <f t="shared" ref="F224:F242" si="64">IF(E224="","","ชุด")</f>
        <v>ชุด</v>
      </c>
      <c r="G224" s="1394">
        <v>1000</v>
      </c>
      <c r="H224" s="854">
        <f t="shared" ref="H224:H244" si="65">ROUND(E224*G224,)</f>
        <v>6000</v>
      </c>
      <c r="I224" s="1394">
        <v>300</v>
      </c>
      <c r="J224" s="1395">
        <f t="shared" ref="J224:J244" si="66">ROUND(E224*I224,)</f>
        <v>1800</v>
      </c>
      <c r="K224" s="966">
        <f t="shared" ref="K224:K244" si="67">H224+J224</f>
        <v>7800</v>
      </c>
      <c r="L224" s="966"/>
      <c r="M224" s="1328" t="s">
        <v>2356</v>
      </c>
      <c r="N224" s="1404">
        <v>6</v>
      </c>
      <c r="O224" s="1404"/>
    </row>
    <row r="225" spans="1:15" s="1329" customFormat="1" ht="24" customHeight="1">
      <c r="A225" s="1330"/>
      <c r="B225" s="1331" t="str">
        <f t="shared" si="62"/>
        <v xml:space="preserve">  -  150x150 มม.</v>
      </c>
      <c r="C225" s="1349"/>
      <c r="D225" s="801"/>
      <c r="E225" s="1350">
        <f t="shared" si="63"/>
        <v>8</v>
      </c>
      <c r="F225" s="865" t="str">
        <f t="shared" si="64"/>
        <v>ชุด</v>
      </c>
      <c r="G225" s="1394">
        <v>1000</v>
      </c>
      <c r="H225" s="854">
        <f t="shared" si="65"/>
        <v>8000</v>
      </c>
      <c r="I225" s="1394">
        <v>300</v>
      </c>
      <c r="J225" s="1395">
        <f t="shared" si="66"/>
        <v>2400</v>
      </c>
      <c r="K225" s="966">
        <f t="shared" si="67"/>
        <v>10400</v>
      </c>
      <c r="L225" s="966"/>
      <c r="M225" s="1328" t="s">
        <v>2225</v>
      </c>
      <c r="N225" s="1404">
        <v>8</v>
      </c>
      <c r="O225" s="1404"/>
    </row>
    <row r="226" spans="1:15" s="1329" customFormat="1" ht="24" customHeight="1">
      <c r="A226" s="1330"/>
      <c r="B226" s="1331" t="str">
        <f t="shared" si="62"/>
        <v xml:space="preserve">  -  150x400 มม.</v>
      </c>
      <c r="C226" s="1349"/>
      <c r="D226" s="801"/>
      <c r="E226" s="1350">
        <f t="shared" si="63"/>
        <v>1</v>
      </c>
      <c r="F226" s="865" t="str">
        <f t="shared" si="64"/>
        <v>ชุด</v>
      </c>
      <c r="G226" s="1394">
        <v>1000</v>
      </c>
      <c r="H226" s="854">
        <f t="shared" si="65"/>
        <v>1000</v>
      </c>
      <c r="I226" s="1394">
        <v>300</v>
      </c>
      <c r="J226" s="1395">
        <f t="shared" si="66"/>
        <v>300</v>
      </c>
      <c r="K226" s="966">
        <f t="shared" si="67"/>
        <v>1300</v>
      </c>
      <c r="L226" s="966"/>
      <c r="M226" s="1328" t="s">
        <v>2357</v>
      </c>
      <c r="N226" s="1404">
        <v>1</v>
      </c>
      <c r="O226" s="1404"/>
    </row>
    <row r="227" spans="1:15" s="1329" customFormat="1" ht="24" customHeight="1">
      <c r="A227" s="1330"/>
      <c r="B227" s="1331" t="str">
        <f t="shared" si="62"/>
        <v xml:space="preserve">  -  250x200 มม.</v>
      </c>
      <c r="C227" s="1349"/>
      <c r="D227" s="801"/>
      <c r="E227" s="1350">
        <f t="shared" si="63"/>
        <v>5</v>
      </c>
      <c r="F227" s="865" t="str">
        <f t="shared" si="64"/>
        <v>ชุด</v>
      </c>
      <c r="G227" s="1394">
        <v>1100</v>
      </c>
      <c r="H227" s="854">
        <f t="shared" si="65"/>
        <v>5500</v>
      </c>
      <c r="I227" s="865">
        <v>300</v>
      </c>
      <c r="J227" s="1395">
        <f t="shared" si="66"/>
        <v>1500</v>
      </c>
      <c r="K227" s="966">
        <f t="shared" si="67"/>
        <v>7000</v>
      </c>
      <c r="L227" s="966"/>
      <c r="M227" s="1328" t="s">
        <v>2056</v>
      </c>
      <c r="N227" s="1404">
        <v>5</v>
      </c>
      <c r="O227" s="1404"/>
    </row>
    <row r="228" spans="1:15" s="1329" customFormat="1" ht="24" customHeight="1">
      <c r="A228" s="1330"/>
      <c r="B228" s="1331" t="str">
        <f t="shared" si="62"/>
        <v xml:space="preserve">  -  350x200 มม.</v>
      </c>
      <c r="C228" s="1349"/>
      <c r="D228" s="801"/>
      <c r="E228" s="1350">
        <f t="shared" si="63"/>
        <v>1</v>
      </c>
      <c r="F228" s="865" t="str">
        <f t="shared" si="64"/>
        <v>ชุด</v>
      </c>
      <c r="G228" s="1394">
        <v>1300</v>
      </c>
      <c r="H228" s="864">
        <f t="shared" si="65"/>
        <v>1300</v>
      </c>
      <c r="I228" s="865">
        <v>300</v>
      </c>
      <c r="J228" s="1395">
        <f t="shared" si="66"/>
        <v>300</v>
      </c>
      <c r="K228" s="966">
        <f t="shared" si="67"/>
        <v>1600</v>
      </c>
      <c r="L228" s="966"/>
      <c r="M228" s="1328" t="s">
        <v>2209</v>
      </c>
      <c r="N228" s="1404">
        <v>1</v>
      </c>
      <c r="O228" s="1404"/>
    </row>
    <row r="229" spans="1:15" s="1329" customFormat="1" ht="24" customHeight="1">
      <c r="A229" s="1330"/>
      <c r="B229" s="1331" t="str">
        <f t="shared" si="62"/>
        <v xml:space="preserve">  -  500x250 มม.</v>
      </c>
      <c r="C229" s="1349"/>
      <c r="D229" s="801"/>
      <c r="E229" s="1350">
        <f t="shared" si="63"/>
        <v>1</v>
      </c>
      <c r="F229" s="865" t="str">
        <f t="shared" si="64"/>
        <v>ชุด</v>
      </c>
      <c r="G229" s="1394">
        <v>1500</v>
      </c>
      <c r="H229" s="854">
        <f t="shared" si="65"/>
        <v>1500</v>
      </c>
      <c r="I229" s="865">
        <v>300</v>
      </c>
      <c r="J229" s="1395">
        <f t="shared" si="66"/>
        <v>300</v>
      </c>
      <c r="K229" s="966">
        <f t="shared" si="67"/>
        <v>1800</v>
      </c>
      <c r="L229" s="966"/>
      <c r="M229" s="1328" t="s">
        <v>2227</v>
      </c>
      <c r="N229" s="1404">
        <v>1</v>
      </c>
      <c r="O229" s="1404"/>
    </row>
    <row r="230" spans="1:15" s="1329" customFormat="1" ht="24" customHeight="1">
      <c r="A230" s="1330"/>
      <c r="B230" s="1331" t="str">
        <f t="shared" si="62"/>
        <v xml:space="preserve">  -  500x500 มม.</v>
      </c>
      <c r="C230" s="1349"/>
      <c r="D230" s="801"/>
      <c r="E230" s="1350">
        <f t="shared" si="63"/>
        <v>2</v>
      </c>
      <c r="F230" s="865" t="str">
        <f t="shared" si="64"/>
        <v>ชุด</v>
      </c>
      <c r="G230" s="1394">
        <v>2500</v>
      </c>
      <c r="H230" s="854">
        <f t="shared" si="65"/>
        <v>5000</v>
      </c>
      <c r="I230" s="865">
        <v>300</v>
      </c>
      <c r="J230" s="1395">
        <f t="shared" si="66"/>
        <v>600</v>
      </c>
      <c r="K230" s="966">
        <f t="shared" si="67"/>
        <v>5600</v>
      </c>
      <c r="L230" s="966"/>
      <c r="M230" s="1328" t="s">
        <v>2043</v>
      </c>
      <c r="N230" s="1404">
        <v>2</v>
      </c>
      <c r="O230" s="1404"/>
    </row>
    <row r="231" spans="1:15" s="1329" customFormat="1" ht="24" customHeight="1">
      <c r="A231" s="1330"/>
      <c r="B231" s="1331" t="str">
        <f t="shared" si="62"/>
        <v xml:space="preserve">  -  600x300 มม.</v>
      </c>
      <c r="C231" s="1349"/>
      <c r="D231" s="801"/>
      <c r="E231" s="1350">
        <f t="shared" si="63"/>
        <v>1</v>
      </c>
      <c r="F231" s="865" t="str">
        <f t="shared" si="64"/>
        <v>ชุด</v>
      </c>
      <c r="G231" s="1394">
        <v>2300</v>
      </c>
      <c r="H231" s="864">
        <f t="shared" si="65"/>
        <v>2300</v>
      </c>
      <c r="I231" s="865">
        <v>300</v>
      </c>
      <c r="J231" s="1395">
        <f t="shared" si="66"/>
        <v>300</v>
      </c>
      <c r="K231" s="966">
        <f t="shared" si="67"/>
        <v>2600</v>
      </c>
      <c r="L231" s="966"/>
      <c r="M231" s="1328" t="s">
        <v>2201</v>
      </c>
      <c r="N231" s="1404">
        <v>1</v>
      </c>
      <c r="O231" s="1404"/>
    </row>
    <row r="232" spans="1:15" s="1329" customFormat="1" ht="24" customHeight="1">
      <c r="A232" s="1330"/>
      <c r="B232" s="1331" t="str">
        <f t="shared" si="62"/>
        <v xml:space="preserve">  -  600x400 มม.</v>
      </c>
      <c r="C232" s="1349"/>
      <c r="D232" s="801"/>
      <c r="E232" s="1350">
        <f t="shared" si="63"/>
        <v>1</v>
      </c>
      <c r="F232" s="865" t="str">
        <f t="shared" si="64"/>
        <v>ชุด</v>
      </c>
      <c r="G232" s="1394">
        <v>2500</v>
      </c>
      <c r="H232" s="854">
        <f t="shared" si="65"/>
        <v>2500</v>
      </c>
      <c r="I232" s="865">
        <v>300</v>
      </c>
      <c r="J232" s="1395">
        <f t="shared" si="66"/>
        <v>300</v>
      </c>
      <c r="K232" s="966">
        <f t="shared" si="67"/>
        <v>2800</v>
      </c>
      <c r="L232" s="966"/>
      <c r="M232" s="1328" t="s">
        <v>2454</v>
      </c>
      <c r="N232" s="1404">
        <v>1</v>
      </c>
      <c r="O232" s="1404"/>
    </row>
    <row r="233" spans="1:15" s="1329" customFormat="1" ht="24" customHeight="1">
      <c r="A233" s="1330"/>
      <c r="B233" s="1331" t="str">
        <f t="shared" si="62"/>
        <v xml:space="preserve">  -  600x600 มม.</v>
      </c>
      <c r="C233" s="1349"/>
      <c r="D233" s="801"/>
      <c r="E233" s="1350">
        <f t="shared" si="63"/>
        <v>1</v>
      </c>
      <c r="F233" s="865" t="str">
        <f t="shared" si="64"/>
        <v>ชุด</v>
      </c>
      <c r="G233" s="1394">
        <v>3000</v>
      </c>
      <c r="H233" s="864">
        <f t="shared" si="65"/>
        <v>3000</v>
      </c>
      <c r="I233" s="865">
        <v>300</v>
      </c>
      <c r="J233" s="1395">
        <f t="shared" si="66"/>
        <v>300</v>
      </c>
      <c r="K233" s="966">
        <f t="shared" si="67"/>
        <v>3300</v>
      </c>
      <c r="L233" s="966"/>
      <c r="M233" s="1328" t="s">
        <v>2455</v>
      </c>
      <c r="N233" s="1404">
        <v>1</v>
      </c>
      <c r="O233" s="1404"/>
    </row>
    <row r="234" spans="1:15" s="1329" customFormat="1" ht="24" customHeight="1">
      <c r="A234" s="1330"/>
      <c r="B234" s="1331" t="str">
        <f t="shared" si="62"/>
        <v xml:space="preserve">  -  650x650 มม.</v>
      </c>
      <c r="C234" s="1349"/>
      <c r="D234" s="801"/>
      <c r="E234" s="1350">
        <f t="shared" si="63"/>
        <v>4</v>
      </c>
      <c r="F234" s="865" t="str">
        <f t="shared" si="64"/>
        <v>ชุด</v>
      </c>
      <c r="G234" s="1394">
        <v>2600</v>
      </c>
      <c r="H234" s="854">
        <f t="shared" si="65"/>
        <v>10400</v>
      </c>
      <c r="I234" s="865">
        <v>300</v>
      </c>
      <c r="J234" s="1395">
        <f t="shared" si="66"/>
        <v>1200</v>
      </c>
      <c r="K234" s="966">
        <f t="shared" si="67"/>
        <v>11600</v>
      </c>
      <c r="L234" s="966"/>
      <c r="M234" s="1328" t="s">
        <v>2045</v>
      </c>
      <c r="N234" s="1404">
        <v>4</v>
      </c>
      <c r="O234" s="1404"/>
    </row>
    <row r="235" spans="1:15" s="1329" customFormat="1" ht="24" customHeight="1">
      <c r="A235" s="1330"/>
      <c r="B235" s="1331" t="str">
        <f t="shared" si="62"/>
        <v xml:space="preserve">  -  800x250 มม.</v>
      </c>
      <c r="C235" s="1349"/>
      <c r="D235" s="801"/>
      <c r="E235" s="1350">
        <f t="shared" si="63"/>
        <v>1</v>
      </c>
      <c r="F235" s="865" t="str">
        <f t="shared" si="64"/>
        <v>ชุด</v>
      </c>
      <c r="G235" s="1394">
        <v>2600</v>
      </c>
      <c r="H235" s="854">
        <f t="shared" si="65"/>
        <v>2600</v>
      </c>
      <c r="I235" s="865">
        <v>300</v>
      </c>
      <c r="J235" s="1395">
        <f t="shared" si="66"/>
        <v>300</v>
      </c>
      <c r="K235" s="966">
        <f t="shared" si="67"/>
        <v>2900</v>
      </c>
      <c r="L235" s="966"/>
      <c r="M235" s="1328" t="s">
        <v>2413</v>
      </c>
      <c r="N235" s="1404">
        <v>1</v>
      </c>
      <c r="O235" s="1404"/>
    </row>
    <row r="236" spans="1:15" s="1329" customFormat="1" ht="24" customHeight="1">
      <c r="A236" s="1330"/>
      <c r="B236" s="1331" t="str">
        <f t="shared" si="62"/>
        <v xml:space="preserve">  -  800x800 มม.</v>
      </c>
      <c r="C236" s="1349"/>
      <c r="D236" s="801"/>
      <c r="E236" s="1350">
        <f t="shared" si="63"/>
        <v>2</v>
      </c>
      <c r="F236" s="865" t="str">
        <f t="shared" si="64"/>
        <v>ชุด</v>
      </c>
      <c r="G236" s="1394">
        <v>4000</v>
      </c>
      <c r="H236" s="864">
        <f t="shared" si="65"/>
        <v>8000</v>
      </c>
      <c r="I236" s="865">
        <v>300</v>
      </c>
      <c r="J236" s="1395">
        <f t="shared" si="66"/>
        <v>600</v>
      </c>
      <c r="K236" s="966">
        <f t="shared" si="67"/>
        <v>8600</v>
      </c>
      <c r="L236" s="966"/>
      <c r="M236" s="1328" t="s">
        <v>2456</v>
      </c>
      <c r="N236" s="1404">
        <v>2</v>
      </c>
      <c r="O236" s="1404"/>
    </row>
    <row r="237" spans="1:15" s="1329" customFormat="1" ht="24" customHeight="1">
      <c r="A237" s="1330"/>
      <c r="B237" s="1331" t="str">
        <f t="shared" si="62"/>
        <v xml:space="preserve">  -  850x500 มม.</v>
      </c>
      <c r="C237" s="1349"/>
      <c r="D237" s="801"/>
      <c r="E237" s="1350">
        <f t="shared" si="63"/>
        <v>1</v>
      </c>
      <c r="F237" s="865" t="str">
        <f t="shared" si="64"/>
        <v>ชุด</v>
      </c>
      <c r="G237" s="1394">
        <v>2700</v>
      </c>
      <c r="H237" s="854">
        <f t="shared" si="65"/>
        <v>2700</v>
      </c>
      <c r="I237" s="865">
        <v>300</v>
      </c>
      <c r="J237" s="1395">
        <f t="shared" si="66"/>
        <v>300</v>
      </c>
      <c r="K237" s="966">
        <f t="shared" si="67"/>
        <v>3000</v>
      </c>
      <c r="L237" s="966"/>
      <c r="M237" s="1328" t="s">
        <v>2361</v>
      </c>
      <c r="N237" s="1404">
        <v>1</v>
      </c>
      <c r="O237" s="1404"/>
    </row>
    <row r="238" spans="1:15" s="1329" customFormat="1" ht="24" customHeight="1">
      <c r="A238" s="1330"/>
      <c r="B238" s="1331" t="str">
        <f t="shared" si="62"/>
        <v xml:space="preserve">  -  1050x300 มม.</v>
      </c>
      <c r="C238" s="1349"/>
      <c r="D238" s="801"/>
      <c r="E238" s="1350">
        <f t="shared" si="63"/>
        <v>3</v>
      </c>
      <c r="F238" s="867" t="str">
        <f t="shared" si="64"/>
        <v>ชุด</v>
      </c>
      <c r="G238" s="1249">
        <v>2700</v>
      </c>
      <c r="H238" s="854">
        <f t="shared" si="65"/>
        <v>8100</v>
      </c>
      <c r="I238" s="865">
        <v>325</v>
      </c>
      <c r="J238" s="864">
        <f t="shared" si="66"/>
        <v>975</v>
      </c>
      <c r="K238" s="867">
        <f t="shared" si="67"/>
        <v>9075</v>
      </c>
      <c r="L238" s="867"/>
      <c r="M238" s="1328" t="s">
        <v>2240</v>
      </c>
      <c r="N238" s="1404">
        <v>3</v>
      </c>
      <c r="O238" s="1404"/>
    </row>
    <row r="239" spans="1:15" s="1329" customFormat="1" ht="24" customHeight="1">
      <c r="A239" s="1330"/>
      <c r="B239" s="1331" t="str">
        <f t="shared" si="62"/>
        <v xml:space="preserve">  -  1100x400 มม.</v>
      </c>
      <c r="C239" s="1349"/>
      <c r="D239" s="801"/>
      <c r="E239" s="1350">
        <f t="shared" si="63"/>
        <v>1</v>
      </c>
      <c r="F239" s="867" t="str">
        <f t="shared" si="64"/>
        <v>ชุด</v>
      </c>
      <c r="G239" s="1249">
        <v>3000</v>
      </c>
      <c r="H239" s="854">
        <f t="shared" si="65"/>
        <v>3000</v>
      </c>
      <c r="I239" s="865">
        <v>325</v>
      </c>
      <c r="J239" s="864">
        <f t="shared" si="66"/>
        <v>325</v>
      </c>
      <c r="K239" s="867">
        <f t="shared" si="67"/>
        <v>3325</v>
      </c>
      <c r="L239" s="867"/>
      <c r="M239" s="1328" t="s">
        <v>2364</v>
      </c>
      <c r="N239" s="1404">
        <v>1</v>
      </c>
      <c r="O239" s="1404"/>
    </row>
    <row r="240" spans="1:15" s="1329" customFormat="1" ht="24" customHeight="1">
      <c r="A240" s="1330"/>
      <c r="B240" s="1331" t="str">
        <f t="shared" si="62"/>
        <v xml:space="preserve">  -  1150x400 มม.</v>
      </c>
      <c r="C240" s="1349"/>
      <c r="D240" s="801"/>
      <c r="E240" s="1350">
        <f t="shared" si="63"/>
        <v>4</v>
      </c>
      <c r="F240" s="867" t="str">
        <f t="shared" si="64"/>
        <v>ชุด</v>
      </c>
      <c r="G240" s="1249">
        <v>3100</v>
      </c>
      <c r="H240" s="854">
        <f t="shared" si="65"/>
        <v>12400</v>
      </c>
      <c r="I240" s="865">
        <v>325</v>
      </c>
      <c r="J240" s="864">
        <f t="shared" si="66"/>
        <v>1300</v>
      </c>
      <c r="K240" s="867">
        <f t="shared" si="67"/>
        <v>13700</v>
      </c>
      <c r="L240" s="867"/>
      <c r="M240" s="1328" t="s">
        <v>2229</v>
      </c>
      <c r="N240" s="1404">
        <v>4</v>
      </c>
      <c r="O240" s="1404"/>
    </row>
    <row r="241" spans="1:15" s="1329" customFormat="1" ht="24" customHeight="1">
      <c r="A241" s="1330"/>
      <c r="B241" s="1331" t="str">
        <f t="shared" si="62"/>
        <v xml:space="preserve">  -  1250x650 มม.</v>
      </c>
      <c r="C241" s="1349"/>
      <c r="D241" s="801"/>
      <c r="E241" s="1350">
        <f t="shared" si="63"/>
        <v>1</v>
      </c>
      <c r="F241" s="867" t="str">
        <f t="shared" si="64"/>
        <v>ชุด</v>
      </c>
      <c r="G241" s="1249">
        <v>3800</v>
      </c>
      <c r="H241" s="854">
        <f t="shared" si="65"/>
        <v>3800</v>
      </c>
      <c r="I241" s="865">
        <v>325</v>
      </c>
      <c r="J241" s="864">
        <f t="shared" si="66"/>
        <v>325</v>
      </c>
      <c r="K241" s="867">
        <f t="shared" si="67"/>
        <v>4125</v>
      </c>
      <c r="L241" s="867"/>
      <c r="M241" s="1328" t="s">
        <v>2305</v>
      </c>
      <c r="N241" s="1404">
        <v>1</v>
      </c>
      <c r="O241" s="1404"/>
    </row>
    <row r="242" spans="1:15" s="1329" customFormat="1" ht="24" customHeight="1">
      <c r="A242" s="1330"/>
      <c r="B242" s="1331" t="str">
        <f t="shared" si="62"/>
        <v xml:space="preserve">  -  1300x350 มม.</v>
      </c>
      <c r="C242" s="1349"/>
      <c r="D242" s="801"/>
      <c r="E242" s="1350">
        <f t="shared" si="63"/>
        <v>1</v>
      </c>
      <c r="F242" s="867" t="str">
        <f t="shared" si="64"/>
        <v>ชุด</v>
      </c>
      <c r="G242" s="1249">
        <v>3300</v>
      </c>
      <c r="H242" s="854">
        <f t="shared" si="65"/>
        <v>3300</v>
      </c>
      <c r="I242" s="865">
        <v>325</v>
      </c>
      <c r="J242" s="864">
        <f t="shared" si="66"/>
        <v>325</v>
      </c>
      <c r="K242" s="867">
        <f t="shared" si="67"/>
        <v>3625</v>
      </c>
      <c r="L242" s="867"/>
      <c r="M242" s="1328" t="s">
        <v>2368</v>
      </c>
      <c r="N242" s="1404">
        <v>1</v>
      </c>
      <c r="O242" s="1404"/>
    </row>
    <row r="243" spans="1:15" s="1329" customFormat="1" ht="24" customHeight="1">
      <c r="A243" s="1330"/>
      <c r="B243" s="1331" t="str">
        <f t="shared" si="62"/>
        <v xml:space="preserve">  -  1350x400 มม.</v>
      </c>
      <c r="C243" s="1349"/>
      <c r="D243" s="801"/>
      <c r="E243" s="1350">
        <f t="shared" si="63"/>
        <v>3</v>
      </c>
      <c r="F243" s="867"/>
      <c r="G243" s="1249">
        <v>4500</v>
      </c>
      <c r="H243" s="864">
        <f t="shared" si="65"/>
        <v>13500</v>
      </c>
      <c r="I243" s="865">
        <v>325</v>
      </c>
      <c r="J243" s="864">
        <f t="shared" si="66"/>
        <v>975</v>
      </c>
      <c r="K243" s="867">
        <f t="shared" si="67"/>
        <v>14475</v>
      </c>
      <c r="L243" s="867"/>
      <c r="M243" s="1328" t="s">
        <v>2232</v>
      </c>
      <c r="N243" s="1404">
        <v>3</v>
      </c>
      <c r="O243" s="1404"/>
    </row>
    <row r="244" spans="1:15" s="1329" customFormat="1" ht="24" customHeight="1">
      <c r="A244" s="1330"/>
      <c r="B244" s="1331" t="str">
        <f t="shared" si="62"/>
        <v xml:space="preserve">  -  1500x400 มม.</v>
      </c>
      <c r="C244" s="1349"/>
      <c r="D244" s="801"/>
      <c r="E244" s="1350">
        <f t="shared" si="63"/>
        <v>1</v>
      </c>
      <c r="F244" s="867"/>
      <c r="G244" s="1249">
        <v>4750</v>
      </c>
      <c r="H244" s="864">
        <f t="shared" si="65"/>
        <v>4750</v>
      </c>
      <c r="I244" s="865">
        <v>325</v>
      </c>
      <c r="J244" s="864">
        <f t="shared" si="66"/>
        <v>325</v>
      </c>
      <c r="K244" s="867">
        <f t="shared" si="67"/>
        <v>5075</v>
      </c>
      <c r="L244" s="867"/>
      <c r="M244" s="1328" t="s">
        <v>2457</v>
      </c>
      <c r="N244" s="1404">
        <v>1</v>
      </c>
      <c r="O244" s="1404"/>
    </row>
    <row r="245" spans="1:15" s="1329" customFormat="1" ht="24" customHeight="1">
      <c r="A245" s="1330" t="s">
        <v>2218</v>
      </c>
      <c r="B245" s="1331" t="s">
        <v>2063</v>
      </c>
      <c r="C245" s="1349"/>
      <c r="D245" s="801"/>
      <c r="E245" s="966"/>
      <c r="F245" s="867"/>
      <c r="G245" s="1249"/>
      <c r="H245" s="864"/>
      <c r="I245" s="865"/>
      <c r="J245" s="864"/>
      <c r="K245" s="867"/>
      <c r="L245" s="867"/>
      <c r="M245" s="1328"/>
    </row>
    <row r="246" spans="1:15" s="1329" customFormat="1" ht="24" customHeight="1">
      <c r="A246" s="1330"/>
      <c r="B246" s="1331" t="str">
        <f t="shared" ref="B246:B250" si="68">"  -  "&amp;M246&amp;" มม."</f>
        <v xml:space="preserve">  -  800x800 มม.</v>
      </c>
      <c r="C246" s="1349"/>
      <c r="D246" s="801"/>
      <c r="E246" s="1350">
        <f t="shared" ref="E246:E250" si="69">N246</f>
        <v>2</v>
      </c>
      <c r="F246" s="867" t="str">
        <f t="shared" ref="F246:F250" si="70">IF(E246="","","ชุด")</f>
        <v>ชุด</v>
      </c>
      <c r="G246" s="1140">
        <v>3850</v>
      </c>
      <c r="H246" s="854">
        <f t="shared" ref="H246:H250" si="71">ROUND(E246*G246,)</f>
        <v>7700</v>
      </c>
      <c r="I246" s="855">
        <v>325</v>
      </c>
      <c r="J246" s="796">
        <f t="shared" ref="J246:J250" si="72">ROUND(E246*I246,)</f>
        <v>650</v>
      </c>
      <c r="K246" s="914">
        <f t="shared" ref="K246:K250" si="73">H246+J246</f>
        <v>8350</v>
      </c>
      <c r="L246" s="867"/>
      <c r="M246" s="1328" t="s">
        <v>2456</v>
      </c>
      <c r="N246" s="1404">
        <v>2</v>
      </c>
      <c r="O246" s="1404"/>
    </row>
    <row r="247" spans="1:15" s="1329" customFormat="1" ht="24" customHeight="1">
      <c r="A247" s="1330"/>
      <c r="B247" s="1331" t="str">
        <f t="shared" si="68"/>
        <v xml:space="preserve">  -  850x500 มม.</v>
      </c>
      <c r="C247" s="1349"/>
      <c r="D247" s="801"/>
      <c r="E247" s="1350">
        <f t="shared" si="69"/>
        <v>1</v>
      </c>
      <c r="F247" s="867" t="str">
        <f t="shared" si="70"/>
        <v>ชุด</v>
      </c>
      <c r="G247" s="1249">
        <v>2025</v>
      </c>
      <c r="H247" s="854">
        <f t="shared" si="71"/>
        <v>2025</v>
      </c>
      <c r="I247" s="865">
        <v>200</v>
      </c>
      <c r="J247" s="864">
        <f t="shared" si="72"/>
        <v>200</v>
      </c>
      <c r="K247" s="867">
        <f t="shared" si="73"/>
        <v>2225</v>
      </c>
      <c r="L247" s="867"/>
      <c r="M247" s="1328" t="s">
        <v>2361</v>
      </c>
      <c r="N247" s="1404">
        <v>1</v>
      </c>
      <c r="O247" s="1404"/>
    </row>
    <row r="248" spans="1:15" s="1329" customFormat="1" ht="24" customHeight="1">
      <c r="A248" s="1330"/>
      <c r="B248" s="1331" t="str">
        <f t="shared" si="68"/>
        <v xml:space="preserve">  -  1050x300 มม.</v>
      </c>
      <c r="C248" s="1349"/>
      <c r="D248" s="801"/>
      <c r="E248" s="1350">
        <f t="shared" si="69"/>
        <v>1</v>
      </c>
      <c r="F248" s="867" t="str">
        <f t="shared" si="70"/>
        <v>ชุด</v>
      </c>
      <c r="G248" s="1249">
        <v>2700</v>
      </c>
      <c r="H248" s="854">
        <f t="shared" si="71"/>
        <v>2700</v>
      </c>
      <c r="I248" s="865">
        <v>200</v>
      </c>
      <c r="J248" s="864">
        <f t="shared" si="72"/>
        <v>200</v>
      </c>
      <c r="K248" s="867">
        <f t="shared" si="73"/>
        <v>2900</v>
      </c>
      <c r="L248" s="867"/>
      <c r="M248" s="1328" t="s">
        <v>2240</v>
      </c>
      <c r="N248" s="1404">
        <v>1</v>
      </c>
      <c r="O248" s="1404"/>
    </row>
    <row r="249" spans="1:15" s="1329" customFormat="1" ht="24" customHeight="1">
      <c r="A249" s="1330"/>
      <c r="B249" s="1331" t="str">
        <f t="shared" si="68"/>
        <v xml:space="preserve">  -  1150x400 มม.</v>
      </c>
      <c r="C249" s="1349"/>
      <c r="D249" s="801"/>
      <c r="E249" s="1350">
        <f t="shared" si="69"/>
        <v>2</v>
      </c>
      <c r="F249" s="867" t="str">
        <f t="shared" si="70"/>
        <v>ชุด</v>
      </c>
      <c r="G249" s="1249">
        <v>2700</v>
      </c>
      <c r="H249" s="854">
        <f t="shared" si="71"/>
        <v>5400</v>
      </c>
      <c r="I249" s="865">
        <v>200</v>
      </c>
      <c r="J249" s="864">
        <f t="shared" si="72"/>
        <v>400</v>
      </c>
      <c r="K249" s="867">
        <f t="shared" si="73"/>
        <v>5800</v>
      </c>
      <c r="L249" s="867"/>
      <c r="M249" s="1328" t="s">
        <v>2229</v>
      </c>
      <c r="N249" s="1404">
        <v>2</v>
      </c>
      <c r="O249" s="1404"/>
    </row>
    <row r="250" spans="1:15" s="1329" customFormat="1" ht="24" customHeight="1">
      <c r="A250" s="1330"/>
      <c r="B250" s="1331" t="str">
        <f t="shared" si="68"/>
        <v xml:space="preserve">  -  1150x700 มม.</v>
      </c>
      <c r="C250" s="1349"/>
      <c r="D250" s="801"/>
      <c r="E250" s="1350">
        <f t="shared" si="69"/>
        <v>1</v>
      </c>
      <c r="F250" s="867" t="str">
        <f t="shared" si="70"/>
        <v>ชุด</v>
      </c>
      <c r="G250" s="1249">
        <v>2775</v>
      </c>
      <c r="H250" s="854">
        <f t="shared" si="71"/>
        <v>2775</v>
      </c>
      <c r="I250" s="865">
        <v>200</v>
      </c>
      <c r="J250" s="864">
        <f t="shared" si="72"/>
        <v>200</v>
      </c>
      <c r="K250" s="867">
        <f t="shared" si="73"/>
        <v>2975</v>
      </c>
      <c r="L250" s="867"/>
      <c r="M250" s="1328" t="s">
        <v>2370</v>
      </c>
      <c r="N250" s="1404">
        <v>1</v>
      </c>
      <c r="O250" s="1404"/>
    </row>
    <row r="251" spans="1:15" s="1329" customFormat="1" ht="24" customHeight="1">
      <c r="A251" s="1330" t="s">
        <v>2224</v>
      </c>
      <c r="B251" s="1331" t="s">
        <v>2239</v>
      </c>
      <c r="C251" s="1349"/>
      <c r="D251" s="801"/>
      <c r="E251" s="966"/>
      <c r="F251" s="867"/>
      <c r="G251" s="1249"/>
      <c r="H251" s="864"/>
      <c r="I251" s="865"/>
      <c r="J251" s="864"/>
      <c r="K251" s="867"/>
      <c r="L251" s="867"/>
      <c r="M251" s="1328"/>
    </row>
    <row r="252" spans="1:15" s="1329" customFormat="1" ht="24" customHeight="1">
      <c r="A252" s="1330"/>
      <c r="B252" s="1331" t="str">
        <f t="shared" ref="B252" si="74">"  -  "&amp;M252&amp;" มม."</f>
        <v xml:space="preserve">  -  1050x300 มม.</v>
      </c>
      <c r="C252" s="1349"/>
      <c r="D252" s="801"/>
      <c r="E252" s="1350">
        <f t="shared" ref="E252" si="75">N252</f>
        <v>2</v>
      </c>
      <c r="F252" s="867" t="str">
        <f t="shared" ref="F252" si="76">IF(E252="","","ชุด")</f>
        <v>ชุด</v>
      </c>
      <c r="G252" s="1249">
        <v>1800</v>
      </c>
      <c r="H252" s="864">
        <f t="shared" ref="H252" si="77">ROUND(E252*G252,)</f>
        <v>3600</v>
      </c>
      <c r="I252" s="865">
        <v>200</v>
      </c>
      <c r="J252" s="864">
        <f t="shared" ref="J252" si="78">ROUND(E252*I252,)</f>
        <v>400</v>
      </c>
      <c r="K252" s="867">
        <f t="shared" ref="K252" si="79">H252+J252</f>
        <v>4000</v>
      </c>
      <c r="L252" s="867"/>
      <c r="M252" s="1328" t="s">
        <v>2240</v>
      </c>
      <c r="N252" s="1404">
        <v>2</v>
      </c>
      <c r="O252" s="1404"/>
    </row>
    <row r="253" spans="1:15" s="1329" customFormat="1" ht="24" customHeight="1">
      <c r="A253" s="1330"/>
      <c r="B253" s="1331" t="s">
        <v>957</v>
      </c>
      <c r="C253" s="1349"/>
      <c r="D253" s="801"/>
      <c r="E253" s="966"/>
      <c r="F253" s="867"/>
      <c r="G253" s="1249"/>
      <c r="H253" s="864"/>
      <c r="I253" s="865"/>
      <c r="J253" s="864"/>
      <c r="K253" s="867"/>
      <c r="L253" s="867"/>
      <c r="M253" s="1328"/>
    </row>
    <row r="254" spans="1:15" s="1329" customFormat="1" ht="24" customHeight="1">
      <c r="A254" s="1334"/>
      <c r="B254" s="1335" t="s">
        <v>958</v>
      </c>
      <c r="C254" s="1352"/>
      <c r="D254" s="890"/>
      <c r="E254" s="1337"/>
      <c r="F254" s="910"/>
      <c r="G254" s="1353"/>
      <c r="H254" s="891"/>
      <c r="I254" s="892"/>
      <c r="J254" s="891"/>
      <c r="K254" s="910"/>
      <c r="L254" s="910"/>
      <c r="M254" s="1328"/>
    </row>
    <row r="255" spans="1:15" s="1329" customFormat="1" ht="24" customHeight="1">
      <c r="A255" s="1510"/>
      <c r="B255" s="2475" t="str">
        <f>"รวมราคารายการที่ "&amp;A204</f>
        <v>รวมราคารายการที่ 7.12</v>
      </c>
      <c r="C255" s="2476"/>
      <c r="D255" s="2477"/>
      <c r="E255" s="1511"/>
      <c r="F255" s="1511"/>
      <c r="G255" s="1513"/>
      <c r="H255" s="1514">
        <f>SUM(H204:H254)</f>
        <v>179750</v>
      </c>
      <c r="I255" s="1515"/>
      <c r="J255" s="1514">
        <f>SUM(J204:J254)</f>
        <v>25900</v>
      </c>
      <c r="K255" s="1514">
        <f>SUM(K204:K254)</f>
        <v>205650</v>
      </c>
      <c r="L255" s="1517"/>
      <c r="M255" s="1328"/>
    </row>
    <row r="256" spans="1:15" s="1329" customFormat="1" ht="24" customHeight="1">
      <c r="A256" s="1325" t="s">
        <v>2241</v>
      </c>
      <c r="B256" s="1326" t="s">
        <v>2066</v>
      </c>
      <c r="C256" s="1347"/>
      <c r="D256" s="901"/>
      <c r="E256" s="1019"/>
      <c r="F256" s="947"/>
      <c r="G256" s="1310"/>
      <c r="H256" s="864"/>
      <c r="I256" s="774"/>
      <c r="J256" s="864"/>
      <c r="K256" s="966"/>
      <c r="L256" s="1019"/>
      <c r="M256" s="1328"/>
    </row>
    <row r="257" spans="1:15" s="1329" customFormat="1" ht="24" customHeight="1">
      <c r="A257" s="1330" t="s">
        <v>2242</v>
      </c>
      <c r="B257" s="1331" t="s">
        <v>2068</v>
      </c>
      <c r="C257" s="1349"/>
      <c r="D257" s="801"/>
      <c r="E257" s="966"/>
      <c r="F257" s="867"/>
      <c r="G257" s="1249"/>
      <c r="H257" s="864"/>
      <c r="I257" s="865"/>
      <c r="J257" s="864"/>
      <c r="K257" s="867"/>
      <c r="L257" s="867"/>
      <c r="M257" s="1328"/>
    </row>
    <row r="258" spans="1:15" s="1329" customFormat="1" ht="24" customHeight="1">
      <c r="A258" s="1330"/>
      <c r="B258" s="1331" t="s">
        <v>2458</v>
      </c>
      <c r="C258" s="1349"/>
      <c r="D258" s="801"/>
      <c r="E258" s="1022">
        <v>1</v>
      </c>
      <c r="F258" s="867" t="s">
        <v>240</v>
      </c>
      <c r="G258" s="1249">
        <v>55000</v>
      </c>
      <c r="H258" s="864">
        <f t="shared" ref="H258:H265" si="80">ROUND(E258*G258,)</f>
        <v>55000</v>
      </c>
      <c r="I258" s="1249">
        <f>G258*0.1</f>
        <v>5500</v>
      </c>
      <c r="J258" s="864">
        <f t="shared" ref="J258:J265" si="81">ROUND(E258*I258,)</f>
        <v>5500</v>
      </c>
      <c r="K258" s="966">
        <f t="shared" ref="K258:K265" si="82">H258+J258</f>
        <v>60500</v>
      </c>
      <c r="L258" s="867"/>
      <c r="M258" s="1328"/>
    </row>
    <row r="259" spans="1:15" s="1329" customFormat="1" ht="24" customHeight="1">
      <c r="A259" s="1330"/>
      <c r="B259" s="1331" t="s">
        <v>2459</v>
      </c>
      <c r="C259" s="1349"/>
      <c r="D259" s="801"/>
      <c r="E259" s="1022">
        <v>1</v>
      </c>
      <c r="F259" s="867" t="s">
        <v>240</v>
      </c>
      <c r="G259" s="1249">
        <v>25000</v>
      </c>
      <c r="H259" s="864">
        <f t="shared" si="80"/>
        <v>25000</v>
      </c>
      <c r="I259" s="1249">
        <f t="shared" ref="I259:I265" si="83">G259*0.1</f>
        <v>2500</v>
      </c>
      <c r="J259" s="864">
        <f t="shared" si="81"/>
        <v>2500</v>
      </c>
      <c r="K259" s="966">
        <f t="shared" si="82"/>
        <v>27500</v>
      </c>
      <c r="L259" s="867"/>
      <c r="M259" s="1328"/>
    </row>
    <row r="260" spans="1:15" s="1329" customFormat="1" ht="24" customHeight="1">
      <c r="A260" s="1330"/>
      <c r="B260" s="1331" t="s">
        <v>2460</v>
      </c>
      <c r="C260" s="1349"/>
      <c r="D260" s="801"/>
      <c r="E260" s="1022">
        <v>1</v>
      </c>
      <c r="F260" s="867" t="s">
        <v>240</v>
      </c>
      <c r="G260" s="1249">
        <v>30000</v>
      </c>
      <c r="H260" s="864">
        <f t="shared" si="80"/>
        <v>30000</v>
      </c>
      <c r="I260" s="1249">
        <f t="shared" si="83"/>
        <v>3000</v>
      </c>
      <c r="J260" s="864">
        <f t="shared" si="81"/>
        <v>3000</v>
      </c>
      <c r="K260" s="966">
        <f t="shared" si="82"/>
        <v>33000</v>
      </c>
      <c r="L260" s="867"/>
      <c r="M260" s="1328"/>
    </row>
    <row r="261" spans="1:15" s="1329" customFormat="1" ht="24" customHeight="1">
      <c r="A261" s="1330"/>
      <c r="B261" s="1331" t="s">
        <v>2461</v>
      </c>
      <c r="C261" s="1349"/>
      <c r="D261" s="801"/>
      <c r="E261" s="1022">
        <v>1</v>
      </c>
      <c r="F261" s="867" t="s">
        <v>240</v>
      </c>
      <c r="G261" s="1249">
        <v>15000</v>
      </c>
      <c r="H261" s="864">
        <f t="shared" si="80"/>
        <v>15000</v>
      </c>
      <c r="I261" s="1249">
        <f t="shared" si="83"/>
        <v>1500</v>
      </c>
      <c r="J261" s="864">
        <f t="shared" si="81"/>
        <v>1500</v>
      </c>
      <c r="K261" s="966">
        <f t="shared" si="82"/>
        <v>16500</v>
      </c>
      <c r="L261" s="867"/>
      <c r="M261" s="1328"/>
    </row>
    <row r="262" spans="1:15" s="1329" customFormat="1" ht="24" customHeight="1">
      <c r="A262" s="1330"/>
      <c r="B262" s="1331" t="s">
        <v>2462</v>
      </c>
      <c r="C262" s="1349"/>
      <c r="D262" s="801"/>
      <c r="E262" s="1022">
        <v>1</v>
      </c>
      <c r="F262" s="867" t="s">
        <v>240</v>
      </c>
      <c r="G262" s="1249">
        <v>55000</v>
      </c>
      <c r="H262" s="864">
        <f t="shared" si="80"/>
        <v>55000</v>
      </c>
      <c r="I262" s="1249">
        <f t="shared" si="83"/>
        <v>5500</v>
      </c>
      <c r="J262" s="864">
        <f t="shared" si="81"/>
        <v>5500</v>
      </c>
      <c r="K262" s="966">
        <f t="shared" si="82"/>
        <v>60500</v>
      </c>
      <c r="L262" s="867"/>
      <c r="M262" s="1328"/>
    </row>
    <row r="263" spans="1:15" s="1329" customFormat="1" ht="24" customHeight="1">
      <c r="A263" s="1330"/>
      <c r="B263" s="1331" t="s">
        <v>2463</v>
      </c>
      <c r="C263" s="1349"/>
      <c r="D263" s="801"/>
      <c r="E263" s="1022">
        <v>1</v>
      </c>
      <c r="F263" s="867" t="s">
        <v>240</v>
      </c>
      <c r="G263" s="1249">
        <v>25000</v>
      </c>
      <c r="H263" s="864">
        <f t="shared" si="80"/>
        <v>25000</v>
      </c>
      <c r="I263" s="1249">
        <f t="shared" si="83"/>
        <v>2500</v>
      </c>
      <c r="J263" s="864">
        <f t="shared" si="81"/>
        <v>2500</v>
      </c>
      <c r="K263" s="966">
        <f t="shared" si="82"/>
        <v>27500</v>
      </c>
      <c r="L263" s="867"/>
      <c r="M263" s="1328"/>
    </row>
    <row r="264" spans="1:15" s="1329" customFormat="1" ht="24" customHeight="1">
      <c r="A264" s="1330"/>
      <c r="B264" s="1331" t="s">
        <v>2464</v>
      </c>
      <c r="C264" s="1349"/>
      <c r="D264" s="801"/>
      <c r="E264" s="1022">
        <v>1</v>
      </c>
      <c r="F264" s="867" t="s">
        <v>240</v>
      </c>
      <c r="G264" s="1249">
        <v>30000</v>
      </c>
      <c r="H264" s="864">
        <f t="shared" si="80"/>
        <v>30000</v>
      </c>
      <c r="I264" s="1249">
        <f t="shared" si="83"/>
        <v>3000</v>
      </c>
      <c r="J264" s="864">
        <f t="shared" si="81"/>
        <v>3000</v>
      </c>
      <c r="K264" s="966">
        <f t="shared" si="82"/>
        <v>33000</v>
      </c>
      <c r="L264" s="867"/>
      <c r="M264" s="1328"/>
    </row>
    <row r="265" spans="1:15" s="1329" customFormat="1" ht="24" customHeight="1">
      <c r="A265" s="1330"/>
      <c r="B265" s="1331" t="s">
        <v>2465</v>
      </c>
      <c r="C265" s="1349"/>
      <c r="D265" s="801"/>
      <c r="E265" s="1022">
        <v>1</v>
      </c>
      <c r="F265" s="867" t="s">
        <v>240</v>
      </c>
      <c r="G265" s="1249">
        <v>15000</v>
      </c>
      <c r="H265" s="864">
        <f t="shared" si="80"/>
        <v>15000</v>
      </c>
      <c r="I265" s="1249">
        <f t="shared" si="83"/>
        <v>1500</v>
      </c>
      <c r="J265" s="864">
        <f t="shared" si="81"/>
        <v>1500</v>
      </c>
      <c r="K265" s="966">
        <f t="shared" si="82"/>
        <v>16500</v>
      </c>
      <c r="L265" s="867"/>
      <c r="M265" s="1328"/>
    </row>
    <row r="266" spans="1:15" s="1329" customFormat="1" ht="24" customHeight="1">
      <c r="A266" s="1330" t="s">
        <v>2255</v>
      </c>
      <c r="B266" s="1331" t="s">
        <v>1207</v>
      </c>
      <c r="C266" s="1349"/>
      <c r="D266" s="801"/>
      <c r="E266" s="966"/>
      <c r="F266" s="867"/>
      <c r="G266" s="1249"/>
      <c r="H266" s="864"/>
      <c r="I266" s="865"/>
      <c r="J266" s="864"/>
      <c r="K266" s="867"/>
      <c r="L266" s="867"/>
      <c r="M266" s="1328"/>
    </row>
    <row r="267" spans="1:15" s="1329" customFormat="1" ht="24" customHeight="1">
      <c r="A267" s="1330"/>
      <c r="B267" s="1331" t="s">
        <v>1737</v>
      </c>
      <c r="C267" s="1349"/>
      <c r="D267" s="801"/>
      <c r="E267" s="966">
        <f>180+240+60+120+60</f>
        <v>660</v>
      </c>
      <c r="F267" s="867" t="s">
        <v>438</v>
      </c>
      <c r="G267" s="752">
        <v>9</v>
      </c>
      <c r="H267" s="796">
        <f t="shared" ref="H267:H272" si="84">ROUND(E267*G267,)</f>
        <v>5940</v>
      </c>
      <c r="I267" s="865">
        <v>7</v>
      </c>
      <c r="J267" s="751">
        <f t="shared" ref="J267:J272" si="85">ROUND(E267*I267,)</f>
        <v>4620</v>
      </c>
      <c r="K267" s="973">
        <f t="shared" ref="K267:K272" si="86">H267+J267</f>
        <v>10560</v>
      </c>
      <c r="L267" s="1718" t="s">
        <v>2974</v>
      </c>
      <c r="N267" s="1404">
        <v>912.1</v>
      </c>
      <c r="O267" s="1404">
        <f t="shared" ref="O267:O272" si="87">ROUND(N267/100,)</f>
        <v>9</v>
      </c>
    </row>
    <row r="268" spans="1:15" s="1329" customFormat="1" ht="24" customHeight="1">
      <c r="A268" s="1330"/>
      <c r="B268" s="720" t="s">
        <v>1166</v>
      </c>
      <c r="C268" s="792"/>
      <c r="D268" s="792"/>
      <c r="E268" s="805">
        <f>180+60+60</f>
        <v>300</v>
      </c>
      <c r="F268" s="794" t="s">
        <v>438</v>
      </c>
      <c r="G268" s="806">
        <v>14</v>
      </c>
      <c r="H268" s="796">
        <f t="shared" si="84"/>
        <v>4200</v>
      </c>
      <c r="I268" s="797">
        <v>10</v>
      </c>
      <c r="J268" s="796">
        <f t="shared" si="85"/>
        <v>3000</v>
      </c>
      <c r="K268" s="914">
        <f t="shared" si="86"/>
        <v>7200</v>
      </c>
      <c r="L268" s="1718" t="s">
        <v>2974</v>
      </c>
      <c r="N268" s="1404">
        <v>1375.8</v>
      </c>
      <c r="O268" s="1404">
        <f t="shared" si="87"/>
        <v>14</v>
      </c>
    </row>
    <row r="269" spans="1:15" s="1329" customFormat="1" ht="24" customHeight="1">
      <c r="A269" s="1330"/>
      <c r="B269" s="720" t="s">
        <v>1167</v>
      </c>
      <c r="C269" s="792"/>
      <c r="D269" s="792"/>
      <c r="E269" s="805">
        <f>60+60</f>
        <v>120</v>
      </c>
      <c r="F269" s="794" t="s">
        <v>438</v>
      </c>
      <c r="G269" s="806">
        <v>23</v>
      </c>
      <c r="H269" s="796">
        <f t="shared" si="84"/>
        <v>2760</v>
      </c>
      <c r="I269" s="797">
        <v>12</v>
      </c>
      <c r="J269" s="796">
        <f t="shared" si="85"/>
        <v>1440</v>
      </c>
      <c r="K269" s="914">
        <f t="shared" si="86"/>
        <v>4200</v>
      </c>
      <c r="L269" s="1718" t="s">
        <v>2974</v>
      </c>
      <c r="N269" s="1404">
        <v>2264.1999999999998</v>
      </c>
      <c r="O269" s="1404">
        <f t="shared" si="87"/>
        <v>23</v>
      </c>
    </row>
    <row r="270" spans="1:15" s="1329" customFormat="1" ht="24" customHeight="1">
      <c r="A270" s="1330"/>
      <c r="B270" s="720" t="s">
        <v>1168</v>
      </c>
      <c r="C270" s="792"/>
      <c r="D270" s="792"/>
      <c r="E270" s="805"/>
      <c r="F270" s="794" t="s">
        <v>438</v>
      </c>
      <c r="G270" s="806">
        <v>39</v>
      </c>
      <c r="H270" s="796">
        <f t="shared" si="84"/>
        <v>0</v>
      </c>
      <c r="I270" s="797">
        <v>16</v>
      </c>
      <c r="J270" s="796">
        <f t="shared" si="85"/>
        <v>0</v>
      </c>
      <c r="K270" s="914">
        <f t="shared" si="86"/>
        <v>0</v>
      </c>
      <c r="L270" s="1718" t="s">
        <v>2974</v>
      </c>
      <c r="N270" s="1404">
        <v>3944.2</v>
      </c>
      <c r="O270" s="1404">
        <f t="shared" si="87"/>
        <v>39</v>
      </c>
    </row>
    <row r="271" spans="1:15" s="1329" customFormat="1" ht="24" customHeight="1">
      <c r="A271" s="1330"/>
      <c r="B271" s="720" t="s">
        <v>1169</v>
      </c>
      <c r="C271" s="792"/>
      <c r="D271" s="792"/>
      <c r="E271" s="805"/>
      <c r="F271" s="794" t="s">
        <v>438</v>
      </c>
      <c r="G271" s="806">
        <v>61</v>
      </c>
      <c r="H271" s="796">
        <f t="shared" si="84"/>
        <v>0</v>
      </c>
      <c r="I271" s="797">
        <v>20</v>
      </c>
      <c r="J271" s="796">
        <f t="shared" si="85"/>
        <v>0</v>
      </c>
      <c r="K271" s="914">
        <f t="shared" si="86"/>
        <v>0</v>
      </c>
      <c r="L271" s="1718" t="s">
        <v>2974</v>
      </c>
      <c r="N271" s="1404">
        <v>6120</v>
      </c>
      <c r="O271" s="1404">
        <f t="shared" si="87"/>
        <v>61</v>
      </c>
    </row>
    <row r="272" spans="1:15" s="1329" customFormat="1" ht="24" customHeight="1">
      <c r="A272" s="1330"/>
      <c r="B272" s="720" t="s">
        <v>1163</v>
      </c>
      <c r="C272" s="792"/>
      <c r="D272" s="792"/>
      <c r="E272" s="805"/>
      <c r="F272" s="794" t="s">
        <v>438</v>
      </c>
      <c r="G272" s="806">
        <v>183</v>
      </c>
      <c r="H272" s="796">
        <f t="shared" si="84"/>
        <v>0</v>
      </c>
      <c r="I272" s="797">
        <v>40</v>
      </c>
      <c r="J272" s="796">
        <f t="shared" si="85"/>
        <v>0</v>
      </c>
      <c r="K272" s="914">
        <f t="shared" si="86"/>
        <v>0</v>
      </c>
      <c r="L272" s="1718" t="s">
        <v>2974</v>
      </c>
      <c r="N272" s="1404">
        <v>18335.8</v>
      </c>
      <c r="O272" s="1404">
        <f t="shared" si="87"/>
        <v>183</v>
      </c>
    </row>
    <row r="273" spans="1:15" s="1329" customFormat="1" ht="24" customHeight="1">
      <c r="A273" s="1330" t="s">
        <v>2258</v>
      </c>
      <c r="B273" s="1331" t="s">
        <v>950</v>
      </c>
      <c r="C273" s="1349"/>
      <c r="D273" s="801"/>
      <c r="E273" s="966"/>
      <c r="F273" s="867"/>
      <c r="G273" s="1249"/>
      <c r="H273" s="864"/>
      <c r="I273" s="865"/>
      <c r="J273" s="864"/>
      <c r="K273" s="867"/>
      <c r="L273" s="867"/>
      <c r="M273" s="1328"/>
    </row>
    <row r="274" spans="1:15" s="1329" customFormat="1" ht="24" customHeight="1">
      <c r="A274" s="1330"/>
      <c r="B274" s="1331" t="s">
        <v>1201</v>
      </c>
      <c r="C274" s="1349"/>
      <c r="D274" s="801"/>
      <c r="E274" s="966">
        <f>45+60+15+30+15</f>
        <v>165</v>
      </c>
      <c r="F274" s="867" t="s">
        <v>438</v>
      </c>
      <c r="G274" s="1249">
        <v>56</v>
      </c>
      <c r="H274" s="796">
        <f t="shared" ref="H274:H280" si="88">ROUND(E274*G274,)</f>
        <v>9240</v>
      </c>
      <c r="I274" s="865">
        <v>26</v>
      </c>
      <c r="J274" s="751">
        <f t="shared" ref="J274:J280" si="89">ROUND(E274*I274,)</f>
        <v>4290</v>
      </c>
      <c r="K274" s="973">
        <f t="shared" ref="K274:K280" si="90">H274+J274</f>
        <v>13530</v>
      </c>
      <c r="L274" s="1718" t="s">
        <v>2974</v>
      </c>
      <c r="M274" s="1328"/>
      <c r="N274" s="1329">
        <v>169.2</v>
      </c>
      <c r="O274" s="1329">
        <f t="shared" ref="O274:O279" si="91">ROUND(N274/3,)</f>
        <v>56</v>
      </c>
    </row>
    <row r="275" spans="1:15" s="1329" customFormat="1" ht="24" customHeight="1">
      <c r="A275" s="1330"/>
      <c r="B275" s="1331" t="s">
        <v>1184</v>
      </c>
      <c r="C275" s="1349"/>
      <c r="D275" s="801"/>
      <c r="E275" s="966">
        <f>60+30+15</f>
        <v>105</v>
      </c>
      <c r="F275" s="867" t="s">
        <v>438</v>
      </c>
      <c r="G275" s="1249">
        <v>75</v>
      </c>
      <c r="H275" s="796">
        <f t="shared" si="88"/>
        <v>7875</v>
      </c>
      <c r="I275" s="865">
        <v>28</v>
      </c>
      <c r="J275" s="751">
        <f t="shared" si="89"/>
        <v>2940</v>
      </c>
      <c r="K275" s="973">
        <f t="shared" si="90"/>
        <v>10815</v>
      </c>
      <c r="L275" s="1718" t="s">
        <v>2974</v>
      </c>
      <c r="M275" s="1328"/>
      <c r="N275" s="1329">
        <v>225</v>
      </c>
      <c r="O275" s="1329">
        <f t="shared" si="91"/>
        <v>75</v>
      </c>
    </row>
    <row r="276" spans="1:15" s="1329" customFormat="1" ht="24" customHeight="1">
      <c r="A276" s="1330"/>
      <c r="B276" s="720" t="s">
        <v>1185</v>
      </c>
      <c r="C276" s="717"/>
      <c r="D276" s="717"/>
      <c r="E276" s="805"/>
      <c r="F276" s="794" t="s">
        <v>438</v>
      </c>
      <c r="G276" s="806">
        <v>101</v>
      </c>
      <c r="H276" s="796">
        <f t="shared" si="88"/>
        <v>0</v>
      </c>
      <c r="I276" s="807">
        <v>32</v>
      </c>
      <c r="J276" s="796">
        <f t="shared" si="89"/>
        <v>0</v>
      </c>
      <c r="K276" s="914">
        <f t="shared" si="90"/>
        <v>0</v>
      </c>
      <c r="L276" s="1718" t="s">
        <v>2974</v>
      </c>
      <c r="M276" s="1328"/>
      <c r="N276" s="1329">
        <v>303.60000000000002</v>
      </c>
      <c r="O276" s="1329">
        <f t="shared" si="91"/>
        <v>101</v>
      </c>
    </row>
    <row r="277" spans="1:15" s="1329" customFormat="1" ht="24" customHeight="1">
      <c r="A277" s="1330"/>
      <c r="B277" s="720" t="s">
        <v>1186</v>
      </c>
      <c r="C277" s="717"/>
      <c r="D277" s="717"/>
      <c r="E277" s="805"/>
      <c r="F277" s="794" t="s">
        <v>438</v>
      </c>
      <c r="G277" s="806">
        <v>131</v>
      </c>
      <c r="H277" s="796">
        <f t="shared" si="88"/>
        <v>0</v>
      </c>
      <c r="I277" s="807">
        <v>38</v>
      </c>
      <c r="J277" s="796">
        <f t="shared" si="89"/>
        <v>0</v>
      </c>
      <c r="K277" s="914">
        <f t="shared" si="90"/>
        <v>0</v>
      </c>
      <c r="L277" s="1718" t="s">
        <v>2974</v>
      </c>
      <c r="M277" s="1328"/>
      <c r="N277" s="1329">
        <v>391.8</v>
      </c>
      <c r="O277" s="1329">
        <f t="shared" si="91"/>
        <v>131</v>
      </c>
    </row>
    <row r="278" spans="1:15" s="1329" customFormat="1" ht="24" customHeight="1">
      <c r="A278" s="1330"/>
      <c r="B278" s="720" t="s">
        <v>1187</v>
      </c>
      <c r="C278" s="717"/>
      <c r="D278" s="717"/>
      <c r="E278" s="805"/>
      <c r="F278" s="794" t="s">
        <v>438</v>
      </c>
      <c r="G278" s="806">
        <v>160</v>
      </c>
      <c r="H278" s="796">
        <f t="shared" si="88"/>
        <v>0</v>
      </c>
      <c r="I278" s="807">
        <v>42</v>
      </c>
      <c r="J278" s="796">
        <f t="shared" si="89"/>
        <v>0</v>
      </c>
      <c r="K278" s="914">
        <f t="shared" si="90"/>
        <v>0</v>
      </c>
      <c r="L278" s="1718" t="s">
        <v>2974</v>
      </c>
      <c r="M278" s="1328"/>
      <c r="N278" s="1329">
        <v>481.2</v>
      </c>
      <c r="O278" s="1329">
        <f t="shared" si="91"/>
        <v>160</v>
      </c>
    </row>
    <row r="279" spans="1:15" s="1329" customFormat="1" ht="24" customHeight="1">
      <c r="A279" s="1330"/>
      <c r="B279" s="720" t="s">
        <v>1188</v>
      </c>
      <c r="C279" s="717"/>
      <c r="D279" s="717"/>
      <c r="E279" s="805"/>
      <c r="F279" s="794" t="s">
        <v>438</v>
      </c>
      <c r="G279" s="806">
        <v>219</v>
      </c>
      <c r="H279" s="796">
        <f t="shared" si="88"/>
        <v>0</v>
      </c>
      <c r="I279" s="807">
        <v>48</v>
      </c>
      <c r="J279" s="796">
        <f t="shared" si="89"/>
        <v>0</v>
      </c>
      <c r="K279" s="914">
        <f t="shared" si="90"/>
        <v>0</v>
      </c>
      <c r="L279" s="1718" t="s">
        <v>2974</v>
      </c>
      <c r="M279" s="1328"/>
      <c r="N279" s="1329">
        <v>657.6</v>
      </c>
      <c r="O279" s="1329">
        <f t="shared" si="91"/>
        <v>219</v>
      </c>
    </row>
    <row r="280" spans="1:15" s="1329" customFormat="1" ht="24" customHeight="1">
      <c r="A280" s="1330"/>
      <c r="B280" s="1331" t="s">
        <v>1237</v>
      </c>
      <c r="C280" s="1349"/>
      <c r="D280" s="801"/>
      <c r="E280" s="966">
        <v>1</v>
      </c>
      <c r="F280" s="867" t="s">
        <v>948</v>
      </c>
      <c r="G280" s="752">
        <f>ROUND(SUM(H274:H279)*15%,)</f>
        <v>2567</v>
      </c>
      <c r="H280" s="796">
        <f t="shared" si="88"/>
        <v>2567</v>
      </c>
      <c r="I280" s="949">
        <f>ROUND(G280*0.3,)</f>
        <v>770</v>
      </c>
      <c r="J280" s="751">
        <f t="shared" si="89"/>
        <v>770</v>
      </c>
      <c r="K280" s="973">
        <f t="shared" si="90"/>
        <v>3337</v>
      </c>
      <c r="L280" s="867"/>
      <c r="M280" s="1328"/>
    </row>
    <row r="281" spans="1:15" s="1329" customFormat="1" ht="24" customHeight="1">
      <c r="A281" s="1330"/>
      <c r="B281" s="1331" t="s">
        <v>957</v>
      </c>
      <c r="C281" s="1349"/>
      <c r="D281" s="801"/>
      <c r="E281" s="966"/>
      <c r="F281" s="867"/>
      <c r="G281" s="752"/>
      <c r="H281" s="751"/>
      <c r="I281" s="949"/>
      <c r="J281" s="751"/>
      <c r="K281" s="973"/>
      <c r="L281" s="867"/>
      <c r="M281" s="1328"/>
    </row>
    <row r="282" spans="1:15" s="1329" customFormat="1" ht="24" customHeight="1">
      <c r="A282" s="1510"/>
      <c r="B282" s="2475" t="str">
        <f>"รวมราคารายการที่ "&amp;A256</f>
        <v>รวมราคารายการที่ 7.13</v>
      </c>
      <c r="C282" s="2476"/>
      <c r="D282" s="2477"/>
      <c r="E282" s="1511"/>
      <c r="F282" s="1511"/>
      <c r="G282" s="1513"/>
      <c r="H282" s="1514">
        <f>SUM(H256:H281)</f>
        <v>282582</v>
      </c>
      <c r="I282" s="1515"/>
      <c r="J282" s="1514">
        <f>SUM(J256:J281)</f>
        <v>42060</v>
      </c>
      <c r="K282" s="1514">
        <f>SUM(K256:K281)</f>
        <v>324642</v>
      </c>
      <c r="L282" s="1517"/>
      <c r="M282" s="1328"/>
    </row>
    <row r="283" spans="1:15" s="886" customFormat="1" ht="21.3">
      <c r="A283" s="1482"/>
      <c r="M283" s="1342"/>
    </row>
    <row r="284" spans="1:15" s="886" customFormat="1" ht="21.3">
      <c r="A284" s="1482"/>
      <c r="M284" s="1342"/>
    </row>
    <row r="285" spans="1:15" s="886" customFormat="1" ht="21.3">
      <c r="A285" s="1482"/>
      <c r="M285" s="1342"/>
    </row>
    <row r="286" spans="1:15">
      <c r="A286" s="1482"/>
      <c r="B286" s="886"/>
      <c r="C286" s="886"/>
      <c r="D286" s="886"/>
      <c r="E286" s="886"/>
      <c r="F286" s="886"/>
      <c r="G286" s="886"/>
      <c r="H286" s="886"/>
      <c r="I286" s="886"/>
      <c r="J286" s="886"/>
      <c r="K286" s="886"/>
      <c r="L286" s="886"/>
    </row>
    <row r="287" spans="1:15">
      <c r="A287" s="1482"/>
      <c r="B287" s="886"/>
      <c r="C287" s="886"/>
      <c r="D287" s="886"/>
      <c r="E287" s="886"/>
      <c r="F287" s="886"/>
      <c r="G287" s="886"/>
      <c r="H287" s="886"/>
      <c r="I287" s="886"/>
      <c r="J287" s="886"/>
      <c r="K287" s="886"/>
      <c r="L287" s="886"/>
    </row>
    <row r="288" spans="1:15">
      <c r="A288" s="1482"/>
      <c r="B288" s="886"/>
      <c r="C288" s="886"/>
      <c r="D288" s="886"/>
      <c r="E288" s="886"/>
      <c r="F288" s="886"/>
      <c r="G288" s="886"/>
      <c r="H288" s="886"/>
      <c r="I288" s="886"/>
      <c r="J288" s="886"/>
      <c r="K288" s="886"/>
      <c r="L288" s="886"/>
    </row>
    <row r="295" spans="2:2">
      <c r="B295" s="1488"/>
    </row>
    <row r="296" spans="2:2">
      <c r="B296" s="1488"/>
    </row>
  </sheetData>
  <mergeCells count="22">
    <mergeCell ref="B109:D109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45:D45"/>
    <mergeCell ref="B69:D69"/>
    <mergeCell ref="B84:D84"/>
    <mergeCell ref="B95:D95"/>
    <mergeCell ref="B255:D255"/>
    <mergeCell ref="B282:D282"/>
    <mergeCell ref="B117:D117"/>
    <mergeCell ref="B141:D141"/>
    <mergeCell ref="B159:D159"/>
    <mergeCell ref="B184:D184"/>
    <mergeCell ref="B195:D195"/>
    <mergeCell ref="B203:D203"/>
  </mergeCells>
  <conditionalFormatting sqref="N221">
    <cfRule type="containsText" dxfId="837" priority="145" operator="containsText" text="Diffus">
      <formula>NOT(ISERROR(SEARCH("Diffus",N221)))</formula>
    </cfRule>
    <cfRule type="containsText" dxfId="836" priority="146" operator="containsText" text="Counter">
      <formula>NOT(ISERROR(SEARCH("Counter",N221)))</formula>
    </cfRule>
    <cfRule type="containsText" dxfId="835" priority="147" operator="containsText" text="Damper">
      <formula>NOT(ISERROR(SEARCH("Damper",N221)))</formula>
    </cfRule>
    <cfRule type="containsText" dxfId="834" priority="148" operator="containsText" text="Register">
      <formula>NOT(ISERROR(SEARCH("Register",N221)))</formula>
    </cfRule>
    <cfRule type="containsText" dxfId="833" priority="149" operator="containsText" text="Grille">
      <formula>NOT(ISERROR(SEARCH("Grille",N221)))</formula>
    </cfRule>
    <cfRule type="containsText" dxfId="832" priority="150" operator="containsText" text="FFL">
      <formula>NOT(ISERROR(SEARCH("FFL",N221)))</formula>
    </cfRule>
  </conditionalFormatting>
  <conditionalFormatting sqref="N246:N250">
    <cfRule type="containsText" dxfId="831" priority="139" operator="containsText" text="Diffus">
      <formula>NOT(ISERROR(SEARCH("Diffus",N246)))</formula>
    </cfRule>
    <cfRule type="containsText" dxfId="830" priority="140" operator="containsText" text="Counter">
      <formula>NOT(ISERROR(SEARCH("Counter",N246)))</formula>
    </cfRule>
    <cfRule type="containsText" dxfId="829" priority="141" operator="containsText" text="Damper">
      <formula>NOT(ISERROR(SEARCH("Damper",N246)))</formula>
    </cfRule>
    <cfRule type="containsText" dxfId="828" priority="142" operator="containsText" text="Register">
      <formula>NOT(ISERROR(SEARCH("Register",N246)))</formula>
    </cfRule>
    <cfRule type="containsText" dxfId="827" priority="143" operator="containsText" text="Grille">
      <formula>NOT(ISERROR(SEARCH("Grille",N246)))</formula>
    </cfRule>
    <cfRule type="containsText" dxfId="826" priority="144" operator="containsText" text="FFL">
      <formula>NOT(ISERROR(SEARCH("FFL",N246)))</formula>
    </cfRule>
  </conditionalFormatting>
  <conditionalFormatting sqref="N252">
    <cfRule type="containsText" dxfId="825" priority="133" operator="containsText" text="Diffus">
      <formula>NOT(ISERROR(SEARCH("Diffus",N252)))</formula>
    </cfRule>
    <cfRule type="containsText" dxfId="824" priority="134" operator="containsText" text="Counter">
      <formula>NOT(ISERROR(SEARCH("Counter",N252)))</formula>
    </cfRule>
    <cfRule type="containsText" dxfId="823" priority="135" operator="containsText" text="Damper">
      <formula>NOT(ISERROR(SEARCH("Damper",N252)))</formula>
    </cfRule>
    <cfRule type="containsText" dxfId="822" priority="136" operator="containsText" text="Register">
      <formula>NOT(ISERROR(SEARCH("Register",N252)))</formula>
    </cfRule>
    <cfRule type="containsText" dxfId="821" priority="137" operator="containsText" text="Grille">
      <formula>NOT(ISERROR(SEARCH("Grille",N252)))</formula>
    </cfRule>
    <cfRule type="containsText" dxfId="820" priority="138" operator="containsText" text="FFL">
      <formula>NOT(ISERROR(SEARCH("FFL",N252)))</formula>
    </cfRule>
  </conditionalFormatting>
  <conditionalFormatting sqref="N224:N244">
    <cfRule type="containsText" dxfId="819" priority="127" operator="containsText" text="Diffus">
      <formula>NOT(ISERROR(SEARCH("Diffus",N224)))</formula>
    </cfRule>
    <cfRule type="containsText" dxfId="818" priority="128" operator="containsText" text="Counter">
      <formula>NOT(ISERROR(SEARCH("Counter",N224)))</formula>
    </cfRule>
    <cfRule type="containsText" dxfId="817" priority="129" operator="containsText" text="Damper">
      <formula>NOT(ISERROR(SEARCH("Damper",N224)))</formula>
    </cfRule>
    <cfRule type="containsText" dxfId="816" priority="130" operator="containsText" text="Register">
      <formula>NOT(ISERROR(SEARCH("Register",N224)))</formula>
    </cfRule>
    <cfRule type="containsText" dxfId="815" priority="131" operator="containsText" text="Grille">
      <formula>NOT(ISERROR(SEARCH("Grille",N224)))</formula>
    </cfRule>
    <cfRule type="containsText" dxfId="814" priority="132" operator="containsText" text="FFL">
      <formula>NOT(ISERROR(SEARCH("FFL",N224)))</formula>
    </cfRule>
  </conditionalFormatting>
  <conditionalFormatting sqref="A35:A44 A1:L11 A85:D85 L85 A96:D96 L96 A119:L119 A118:D118 L118 A142:D142 A143:L143 A160:D160 L160 A185:D185 L185 A186:L186 A196:D196 L196 A204:D204 L204 A256:D256 A110:D110 L110 A111:L111 A74:L75 A161:L161 A197:L197 A257:L257 A102:A105 A101:L101 A283:L1048576 A264 A266:L266 A76:D76 F76:L76 A112:F112 L112 A195 A203 A183:L183 F102:G102 F103:F105 A106:G106 L102:L106 A273:K273 A274:A280 L280 A107:L108 A115:L116 A159 A86:L86 L72:L73 A281:L281 C23:D24 C258:D260 F263:F264 F258:G260 I258 L258:L260 I102:I106 L90 L262:L264 F262:G262 C262:D264 A221:F221 A223:L223 A245:L245 A224:A244 A251:L251 A246:A250 A253:L254 A252 F252 C89:L89 L87:L88 A87:A90 L221 F224:F232 F233:H233 F234:F235 F236:H236 F237:F244 L224:L244 F246:F250 L246:L250 L252 A72:A73 A77:L83 A46:A68 E70:L71 A84 E84:L84 A95 E95:L95 A109 E109:L109 A117 E117:L117 A141 E141:L141 E159:L159 A184 E184:L184 E195:L195 E203:L203 A255 E255:L255 A282 E282:L282 B12:D22 G12:L24 A25:L33 A91:L94 A267:A272">
    <cfRule type="expression" dxfId="813" priority="126">
      <formula>SUMPRODUCT(--(ROW()=$O$12:$O$22))&gt;0</formula>
    </cfRule>
  </conditionalFormatting>
  <conditionalFormatting sqref="C35:L35 A120:F127 A132:L132 A129:D131 I128 L120:L131 A140:L140 A133:F134 A201:G201 I201 L201 A180:L182 A144:F145 A149:L149 A147:F148 A156:L156 L147:L148 L150:L155 A157:F157 L144:L145 A158:J158 L157:L158 A194:L194 L137:L139 A137:D139 A150:F155">
    <cfRule type="expression" dxfId="812" priority="125">
      <formula>SUMPRODUCT(--(ROW()=$O$12:$O$22))&gt;0</formula>
    </cfRule>
  </conditionalFormatting>
  <conditionalFormatting sqref="E36:L36 E42:L44 E37:F40 E46:L47 E65:L68 E48:F64 L48:L64 E41:G41 I41 L37:L41">
    <cfRule type="expression" dxfId="811" priority="124">
      <formula>SUMPRODUCT(--(ROW()=$O$12:$O$22))&gt;0</formula>
    </cfRule>
  </conditionalFormatting>
  <conditionalFormatting sqref="F72:F73">
    <cfRule type="expression" dxfId="810" priority="123">
      <formula>SUMPRODUCT(--(ROW()=$O$12:$O$22))&gt;0</formula>
    </cfRule>
  </conditionalFormatting>
  <conditionalFormatting sqref="E85:K85">
    <cfRule type="expression" dxfId="809" priority="122">
      <formula>SUMPRODUCT(--(ROW()=$O$12:$O$22))&gt;0</formula>
    </cfRule>
  </conditionalFormatting>
  <conditionalFormatting sqref="E96:K96">
    <cfRule type="expression" dxfId="808" priority="121">
      <formula>SUMPRODUCT(--(ROW()=$O$12:$O$22))&gt;0</formula>
    </cfRule>
  </conditionalFormatting>
  <conditionalFormatting sqref="E118:K118">
    <cfRule type="expression" dxfId="807" priority="120">
      <formula>SUMPRODUCT(--(ROW()=$O$12:$O$22))&gt;0</formula>
    </cfRule>
  </conditionalFormatting>
  <conditionalFormatting sqref="E142:K142">
    <cfRule type="expression" dxfId="806" priority="119">
      <formula>SUMPRODUCT(--(ROW()=$O$12:$O$22))&gt;0</formula>
    </cfRule>
  </conditionalFormatting>
  <conditionalFormatting sqref="L142">
    <cfRule type="expression" dxfId="805" priority="118">
      <formula>SUMPRODUCT(--(ROW()=$O$12:$O$22))&gt;0</formula>
    </cfRule>
  </conditionalFormatting>
  <conditionalFormatting sqref="E160:K160">
    <cfRule type="expression" dxfId="804" priority="117">
      <formula>SUMPRODUCT(--(ROW()=$O$12:$O$22))&gt;0</formula>
    </cfRule>
  </conditionalFormatting>
  <conditionalFormatting sqref="E185:K185">
    <cfRule type="expression" dxfId="803" priority="116">
      <formula>SUMPRODUCT(--(ROW()=$O$12:$O$22))&gt;0</formula>
    </cfRule>
  </conditionalFormatting>
  <conditionalFormatting sqref="E196:K196">
    <cfRule type="expression" dxfId="802" priority="115">
      <formula>SUMPRODUCT(--(ROW()=$O$12:$O$22))&gt;0</formula>
    </cfRule>
  </conditionalFormatting>
  <conditionalFormatting sqref="E204:K204">
    <cfRule type="expression" dxfId="801" priority="114">
      <formula>SUMPRODUCT(--(ROW()=$O$12:$O$22))&gt;0</formula>
    </cfRule>
  </conditionalFormatting>
  <conditionalFormatting sqref="E256:K256">
    <cfRule type="expression" dxfId="800" priority="113">
      <formula>SUMPRODUCT(--(ROW()=$O$12:$O$22))&gt;0</formula>
    </cfRule>
  </conditionalFormatting>
  <conditionalFormatting sqref="L256">
    <cfRule type="expression" dxfId="799" priority="112">
      <formula>SUMPRODUCT(--(ROW()=$O$12:$O$22))&gt;0</formula>
    </cfRule>
  </conditionalFormatting>
  <conditionalFormatting sqref="E110:K110">
    <cfRule type="expression" dxfId="798" priority="111">
      <formula>SUMPRODUCT(--(ROW()=$O$12:$O$22))&gt;0</formula>
    </cfRule>
  </conditionalFormatting>
  <conditionalFormatting sqref="B35">
    <cfRule type="expression" dxfId="797" priority="110">
      <formula>SUMPRODUCT(--(ROW()=$O$12:$O$22))&gt;0</formula>
    </cfRule>
  </conditionalFormatting>
  <conditionalFormatting sqref="B23">
    <cfRule type="expression" dxfId="796" priority="109">
      <formula>SUMPRODUCT(--(ROW()=$O$12:$O$22))&gt;0</formula>
    </cfRule>
  </conditionalFormatting>
  <conditionalFormatting sqref="B72:E73">
    <cfRule type="expression" dxfId="795" priority="108">
      <formula>SUMPRODUCT(--(ROW()=$O$12:$O$22))&gt;0</formula>
    </cfRule>
  </conditionalFormatting>
  <conditionalFormatting sqref="B102:E105">
    <cfRule type="expression" dxfId="794" priority="107">
      <formula>SUMPRODUCT(--(ROW()=$O$12:$O$22))&gt;0</formula>
    </cfRule>
  </conditionalFormatting>
  <conditionalFormatting sqref="B24">
    <cfRule type="expression" dxfId="793" priority="106">
      <formula>SUMPRODUCT(--(ROW()=$O$12:$O$22))&gt;0</formula>
    </cfRule>
  </conditionalFormatting>
  <conditionalFormatting sqref="A258:A260 A262:A263">
    <cfRule type="expression" dxfId="792" priority="105">
      <formula>SUMPRODUCT(--(ROW()=$O$12:$O$22))&gt;0</formula>
    </cfRule>
  </conditionalFormatting>
  <conditionalFormatting sqref="E258:E260 E262:E263">
    <cfRule type="expression" dxfId="791" priority="104">
      <formula>SUMPRODUCT(--(ROW()=$O$12:$O$22))&gt;0</formula>
    </cfRule>
  </conditionalFormatting>
  <conditionalFormatting sqref="E264">
    <cfRule type="expression" dxfId="790" priority="103">
      <formula>SUMPRODUCT(--(ROW()=$O$12:$O$22))&gt;0</formula>
    </cfRule>
  </conditionalFormatting>
  <conditionalFormatting sqref="I125:I127">
    <cfRule type="expression" dxfId="789" priority="101">
      <formula>SUMPRODUCT(--(ROW()=$O$12:$O$22))&gt;0</formula>
    </cfRule>
  </conditionalFormatting>
  <conditionalFormatting sqref="A128:G128">
    <cfRule type="expression" dxfId="788" priority="102">
      <formula>SUMPRODUCT(--(ROW()=$O$12:$O$22))&gt;0</formula>
    </cfRule>
  </conditionalFormatting>
  <conditionalFormatting sqref="G263:G264">
    <cfRule type="expression" dxfId="787" priority="90">
      <formula>SUMPRODUCT(--(ROW()=$O$12:$O$22))&gt;0</formula>
    </cfRule>
  </conditionalFormatting>
  <conditionalFormatting sqref="A202:L202">
    <cfRule type="expression" dxfId="786" priority="100">
      <formula>SUMPRODUCT(--(ROW()=$O$12:$O$22))&gt;0</formula>
    </cfRule>
  </conditionalFormatting>
  <conditionalFormatting sqref="A167:L167 A173:L175 A168:A172 L168:L172">
    <cfRule type="expression" dxfId="785" priority="99">
      <formula>SUMPRODUCT(--(ROW()=$O$12:$O$22))&gt;0</formula>
    </cfRule>
  </conditionalFormatting>
  <conditionalFormatting sqref="A146:L146">
    <cfRule type="expression" dxfId="784" priority="98">
      <formula>SUMPRODUCT(--(ROW()=$O$12:$O$22))&gt;0</formula>
    </cfRule>
  </conditionalFormatting>
  <conditionalFormatting sqref="G150:G155">
    <cfRule type="expression" dxfId="783" priority="97">
      <formula>SUMPRODUCT(--(ROW()=$O$12:$O$22))&gt;0</formula>
    </cfRule>
  </conditionalFormatting>
  <conditionalFormatting sqref="I150:I155">
    <cfRule type="expression" dxfId="782" priority="96">
      <formula>SUMPRODUCT(--(ROW()=$O$12:$O$22))&gt;0</formula>
    </cfRule>
  </conditionalFormatting>
  <conditionalFormatting sqref="G157">
    <cfRule type="expression" dxfId="781" priority="95">
      <formula>SUMPRODUCT(--(ROW()=$O$12:$O$22))&gt;0</formula>
    </cfRule>
  </conditionalFormatting>
  <conditionalFormatting sqref="I157">
    <cfRule type="expression" dxfId="780" priority="94">
      <formula>SUMPRODUCT(--(ROW()=$O$12:$O$22))&gt;0</formula>
    </cfRule>
  </conditionalFormatting>
  <conditionalFormatting sqref="G105">
    <cfRule type="expression" dxfId="779" priority="91">
      <formula>SUMPRODUCT(--(ROW()=$O$12:$O$22))&gt;0</formula>
    </cfRule>
  </conditionalFormatting>
  <conditionalFormatting sqref="G103">
    <cfRule type="expression" dxfId="778" priority="93">
      <formula>SUMPRODUCT(--(ROW()=$O$12:$O$22))&gt;0</formula>
    </cfRule>
  </conditionalFormatting>
  <conditionalFormatting sqref="G104">
    <cfRule type="expression" dxfId="777" priority="92">
      <formula>SUMPRODUCT(--(ROW()=$O$12:$O$22))&gt;0</formula>
    </cfRule>
  </conditionalFormatting>
  <conditionalFormatting sqref="I259:I260 I262:I264">
    <cfRule type="expression" dxfId="776" priority="87">
      <formula>SUMPRODUCT(--(ROW()=$O$12:$O$22))&gt;0</formula>
    </cfRule>
  </conditionalFormatting>
  <conditionalFormatting sqref="C261:D261 F261:G261 L261">
    <cfRule type="expression" dxfId="775" priority="75">
      <formula>SUMPRODUCT(--(ROW()=$O$12:$O$22))&gt;0</formula>
    </cfRule>
  </conditionalFormatting>
  <conditionalFormatting sqref="H258">
    <cfRule type="expression" dxfId="774" priority="89">
      <formula>SUMPRODUCT(--(ROW()=$O$12:$O$22))&gt;0</formula>
    </cfRule>
  </conditionalFormatting>
  <conditionalFormatting sqref="J258:K258">
    <cfRule type="expression" dxfId="773" priority="88">
      <formula>SUMPRODUCT(--(ROW()=$O$12:$O$22))&gt;0</formula>
    </cfRule>
  </conditionalFormatting>
  <conditionalFormatting sqref="H259:H260 H262:H264">
    <cfRule type="expression" dxfId="772" priority="86">
      <formula>SUMPRODUCT(--(ROW()=$O$12:$O$22))&gt;0</formula>
    </cfRule>
  </conditionalFormatting>
  <conditionalFormatting sqref="J259:K260 J262:K264">
    <cfRule type="expression" dxfId="771" priority="85">
      <formula>SUMPRODUCT(--(ROW()=$O$12:$O$22))&gt;0</formula>
    </cfRule>
  </conditionalFormatting>
  <conditionalFormatting sqref="B99:E99">
    <cfRule type="expression" dxfId="770" priority="84">
      <formula>SUMPRODUCT(--(ROW()=$O$12:$O$22))&gt;0</formula>
    </cfRule>
  </conditionalFormatting>
  <conditionalFormatting sqref="M99">
    <cfRule type="cellIs" dxfId="769" priority="83" stopIfTrue="1" operator="equal">
      <formula>1</formula>
    </cfRule>
  </conditionalFormatting>
  <conditionalFormatting sqref="M99">
    <cfRule type="cellIs" dxfId="768" priority="82" stopIfTrue="1" operator="equal">
      <formula>0</formula>
    </cfRule>
  </conditionalFormatting>
  <conditionalFormatting sqref="B98:E98">
    <cfRule type="expression" dxfId="767" priority="81">
      <formula>SUMPRODUCT(--(ROW()=$O$12:$O$22))&gt;0</formula>
    </cfRule>
  </conditionalFormatting>
  <conditionalFormatting sqref="M98">
    <cfRule type="cellIs" dxfId="766" priority="80" stopIfTrue="1" operator="equal">
      <formula>1</formula>
    </cfRule>
  </conditionalFormatting>
  <conditionalFormatting sqref="M98">
    <cfRule type="cellIs" dxfId="765" priority="79" stopIfTrue="1" operator="equal">
      <formula>0</formula>
    </cfRule>
  </conditionalFormatting>
  <conditionalFormatting sqref="B100:E100">
    <cfRule type="expression" dxfId="764" priority="78">
      <formula>SUMPRODUCT(--(ROW()=$O$12:$O$22))&gt;0</formula>
    </cfRule>
  </conditionalFormatting>
  <conditionalFormatting sqref="M100">
    <cfRule type="cellIs" dxfId="763" priority="77" stopIfTrue="1" operator="equal">
      <formula>1</formula>
    </cfRule>
  </conditionalFormatting>
  <conditionalFormatting sqref="M100">
    <cfRule type="cellIs" dxfId="762" priority="76" stopIfTrue="1" operator="equal">
      <formula>0</formula>
    </cfRule>
  </conditionalFormatting>
  <conditionalFormatting sqref="A261">
    <cfRule type="expression" dxfId="761" priority="74">
      <formula>SUMPRODUCT(--(ROW()=$O$12:$O$22))&gt;0</formula>
    </cfRule>
  </conditionalFormatting>
  <conditionalFormatting sqref="E261">
    <cfRule type="expression" dxfId="760" priority="73">
      <formula>SUMPRODUCT(--(ROW()=$O$12:$O$22))&gt;0</formula>
    </cfRule>
  </conditionalFormatting>
  <conditionalFormatting sqref="I261">
    <cfRule type="expression" dxfId="759" priority="72">
      <formula>SUMPRODUCT(--(ROW()=$O$12:$O$22))&gt;0</formula>
    </cfRule>
  </conditionalFormatting>
  <conditionalFormatting sqref="H261">
    <cfRule type="expression" dxfId="758" priority="71">
      <formula>SUMPRODUCT(--(ROW()=$O$12:$O$22))&gt;0</formula>
    </cfRule>
  </conditionalFormatting>
  <conditionalFormatting sqref="J261:K261">
    <cfRule type="expression" dxfId="757" priority="70">
      <formula>SUMPRODUCT(--(ROW()=$O$12:$O$22))&gt;0</formula>
    </cfRule>
  </conditionalFormatting>
  <conditionalFormatting sqref="C265:D265 F265:G265 L265">
    <cfRule type="expression" dxfId="756" priority="69">
      <formula>SUMPRODUCT(--(ROW()=$O$12:$O$22))&gt;0</formula>
    </cfRule>
  </conditionalFormatting>
  <conditionalFormatting sqref="A265">
    <cfRule type="expression" dxfId="755" priority="68">
      <formula>SUMPRODUCT(--(ROW()=$O$12:$O$22))&gt;0</formula>
    </cfRule>
  </conditionalFormatting>
  <conditionalFormatting sqref="E265">
    <cfRule type="expression" dxfId="754" priority="67">
      <formula>SUMPRODUCT(--(ROW()=$O$12:$O$22))&gt;0</formula>
    </cfRule>
  </conditionalFormatting>
  <conditionalFormatting sqref="I265">
    <cfRule type="expression" dxfId="753" priority="66">
      <formula>SUMPRODUCT(--(ROW()=$O$12:$O$22))&gt;0</formula>
    </cfRule>
  </conditionalFormatting>
  <conditionalFormatting sqref="H265">
    <cfRule type="expression" dxfId="752" priority="65">
      <formula>SUMPRODUCT(--(ROW()=$O$12:$O$22))&gt;0</formula>
    </cfRule>
  </conditionalFormatting>
  <conditionalFormatting sqref="J265:K265">
    <cfRule type="expression" dxfId="751" priority="64">
      <formula>SUMPRODUCT(--(ROW()=$O$12:$O$22))&gt;0</formula>
    </cfRule>
  </conditionalFormatting>
  <conditionalFormatting sqref="B206">
    <cfRule type="expression" dxfId="750" priority="63">
      <formula>SUMPRODUCT(--(ROW()=$O$12:$O$22))&gt;0</formula>
    </cfRule>
  </conditionalFormatting>
  <conditionalFormatting sqref="F206">
    <cfRule type="expression" dxfId="749" priority="62">
      <formula>SUMPRODUCT(--(ROW()=$O$12:$O$21))&gt;0</formula>
    </cfRule>
  </conditionalFormatting>
  <conditionalFormatting sqref="B207:B208 B212:B216">
    <cfRule type="expression" dxfId="748" priority="61">
      <formula>SUMPRODUCT(--(ROW()=$O$12:$O$22))&gt;0</formula>
    </cfRule>
  </conditionalFormatting>
  <conditionalFormatting sqref="F207:F208 F212:F216">
    <cfRule type="expression" dxfId="747" priority="60">
      <formula>SUMPRODUCT(--(ROW()=$O$12:$O$21))&gt;0</formula>
    </cfRule>
  </conditionalFormatting>
  <conditionalFormatting sqref="B209">
    <cfRule type="expression" dxfId="746" priority="59">
      <formula>SUMPRODUCT(--(ROW()=$O$12:$O$22))&gt;0</formula>
    </cfRule>
  </conditionalFormatting>
  <conditionalFormatting sqref="F209">
    <cfRule type="expression" dxfId="745" priority="58">
      <formula>SUMPRODUCT(--(ROW()=$O$12:$O$21))&gt;0</formula>
    </cfRule>
  </conditionalFormatting>
  <conditionalFormatting sqref="B210:B211">
    <cfRule type="expression" dxfId="744" priority="57">
      <formula>SUMPRODUCT(--(ROW()=$O$12:$O$22))&gt;0</formula>
    </cfRule>
  </conditionalFormatting>
  <conditionalFormatting sqref="F210:F211">
    <cfRule type="expression" dxfId="743" priority="56">
      <formula>SUMPRODUCT(--(ROW()=$O$12:$O$21))&gt;0</formula>
    </cfRule>
  </conditionalFormatting>
  <conditionalFormatting sqref="B217:L217 F218 A218 C220:L220 A220 L218">
    <cfRule type="expression" dxfId="742" priority="55">
      <formula>SUMPRODUCT(--(ROW()=$O$12:$O$21))&gt;0</formula>
    </cfRule>
  </conditionalFormatting>
  <conditionalFormatting sqref="B218">
    <cfRule type="expression" dxfId="741" priority="54">
      <formula>SUMPRODUCT(--(ROW()=$O$12:$O$22))&gt;0</formula>
    </cfRule>
  </conditionalFormatting>
  <conditionalFormatting sqref="F219 A219 L219">
    <cfRule type="expression" dxfId="740" priority="53">
      <formula>SUMPRODUCT(--(ROW()=$O$12:$O$21))&gt;0</formula>
    </cfRule>
  </conditionalFormatting>
  <conditionalFormatting sqref="B219">
    <cfRule type="expression" dxfId="739" priority="52">
      <formula>SUMPRODUCT(--(ROW()=$O$12:$O$22))&gt;0</formula>
    </cfRule>
  </conditionalFormatting>
  <conditionalFormatting sqref="N222">
    <cfRule type="containsText" dxfId="738" priority="46" operator="containsText" text="Diffus">
      <formula>NOT(ISERROR(SEARCH("Diffus",N222)))</formula>
    </cfRule>
    <cfRule type="containsText" dxfId="737" priority="47" operator="containsText" text="Counter">
      <formula>NOT(ISERROR(SEARCH("Counter",N222)))</formula>
    </cfRule>
    <cfRule type="containsText" dxfId="736" priority="48" operator="containsText" text="Damper">
      <formula>NOT(ISERROR(SEARCH("Damper",N222)))</formula>
    </cfRule>
    <cfRule type="containsText" dxfId="735" priority="49" operator="containsText" text="Register">
      <formula>NOT(ISERROR(SEARCH("Register",N222)))</formula>
    </cfRule>
    <cfRule type="containsText" dxfId="734" priority="50" operator="containsText" text="Grille">
      <formula>NOT(ISERROR(SEARCH("Grille",N222)))</formula>
    </cfRule>
    <cfRule type="containsText" dxfId="733" priority="51" operator="containsText" text="FFL">
      <formula>NOT(ISERROR(SEARCH("FFL",N222)))</formula>
    </cfRule>
  </conditionalFormatting>
  <conditionalFormatting sqref="A222:F222 L222">
    <cfRule type="expression" dxfId="732" priority="45">
      <formula>SUMPRODUCT(--(ROW()=$O$12:$O$22))&gt;0</formula>
    </cfRule>
  </conditionalFormatting>
  <conditionalFormatting sqref="A135 C135:F135">
    <cfRule type="expression" dxfId="731" priority="44">
      <formula>SUMPRODUCT(--(ROW()=$O$12:$O$22))&gt;0</formula>
    </cfRule>
  </conditionalFormatting>
  <conditionalFormatting sqref="A136:F136">
    <cfRule type="expression" dxfId="730" priority="43">
      <formula>SUMPRODUCT(--(ROW()=$O$12:$O$22))&gt;0</formula>
    </cfRule>
  </conditionalFormatting>
  <conditionalFormatting sqref="B135">
    <cfRule type="expression" dxfId="729" priority="42">
      <formula>SUMPRODUCT(--(ROW()=$O$12:$O$21))&gt;0</formula>
    </cfRule>
  </conditionalFormatting>
  <conditionalFormatting sqref="B224:B244">
    <cfRule type="expression" dxfId="728" priority="41">
      <formula>SUMPRODUCT(--(ROW()=$O$12:$O$22))&gt;0</formula>
    </cfRule>
  </conditionalFormatting>
  <conditionalFormatting sqref="B246:B250">
    <cfRule type="expression" dxfId="727" priority="40">
      <formula>SUMPRODUCT(--(ROW()=$O$12:$O$22))&gt;0</formula>
    </cfRule>
  </conditionalFormatting>
  <conditionalFormatting sqref="B252">
    <cfRule type="expression" dxfId="726" priority="39">
      <formula>SUMPRODUCT(--(ROW()=$O$12:$O$22))&gt;0</formula>
    </cfRule>
  </conditionalFormatting>
  <conditionalFormatting sqref="E87:K87 E88">
    <cfRule type="expression" dxfId="725" priority="38">
      <formula>SUMPRODUCT(--(ROW()=$O$14:$O$24))&gt;0</formula>
    </cfRule>
  </conditionalFormatting>
  <conditionalFormatting sqref="G125:G127">
    <cfRule type="expression" dxfId="724" priority="37">
      <formula>SUMPRODUCT(--(ROW()=$O$14:$O$24))&gt;0</formula>
    </cfRule>
  </conditionalFormatting>
  <conditionalFormatting sqref="E129:F131">
    <cfRule type="expression" dxfId="723" priority="36">
      <formula>SUMPRODUCT(--(ROW()=$O$12:$O$21))&gt;0</formula>
    </cfRule>
  </conditionalFormatting>
  <conditionalFormatting sqref="H130:H131">
    <cfRule type="expression" dxfId="722" priority="35">
      <formula>SUMPRODUCT(--(ROW()=$O$14:$O$24))&gt;0</formula>
    </cfRule>
  </conditionalFormatting>
  <conditionalFormatting sqref="E137:F139">
    <cfRule type="expression" dxfId="721" priority="34">
      <formula>SUMPRODUCT(--(ROW()=$O$12:$O$21))&gt;0</formula>
    </cfRule>
  </conditionalFormatting>
  <conditionalFormatting sqref="H133:H137">
    <cfRule type="expression" dxfId="720" priority="33">
      <formula>SUMPRODUCT(--(ROW()=$O$14:$O$24))&gt;0</formula>
    </cfRule>
  </conditionalFormatting>
  <conditionalFormatting sqref="G207">
    <cfRule type="expression" dxfId="719" priority="32">
      <formula>SUMPRODUCT(--(ROW()=$O$14:$O$24))&gt;0</formula>
    </cfRule>
  </conditionalFormatting>
  <conditionalFormatting sqref="G210">
    <cfRule type="expression" dxfId="718" priority="31">
      <formula>SUMPRODUCT(--(ROW()=$O$14:$O$24))&gt;0</formula>
    </cfRule>
  </conditionalFormatting>
  <conditionalFormatting sqref="G211">
    <cfRule type="expression" dxfId="717" priority="30">
      <formula>SUMPRODUCT(--(ROW()=$O$14:$O$24))&gt;0</formula>
    </cfRule>
  </conditionalFormatting>
  <conditionalFormatting sqref="G214">
    <cfRule type="expression" dxfId="716" priority="29">
      <formula>SUMPRODUCT(--(ROW()=$O$14:$O$24))&gt;0</formula>
    </cfRule>
  </conditionalFormatting>
  <conditionalFormatting sqref="G215">
    <cfRule type="expression" dxfId="715" priority="28">
      <formula>SUMPRODUCT(--(ROW()=$O$14:$O$24))&gt;0</formula>
    </cfRule>
  </conditionalFormatting>
  <conditionalFormatting sqref="G216">
    <cfRule type="expression" dxfId="714" priority="27">
      <formula>SUMPRODUCT(--(ROW()=$O$14:$O$24))&gt;0</formula>
    </cfRule>
  </conditionalFormatting>
  <conditionalFormatting sqref="G218">
    <cfRule type="expression" dxfId="713" priority="26">
      <formula>SUMPRODUCT(--(ROW()=$O$14:$O$24))&gt;0</formula>
    </cfRule>
  </conditionalFormatting>
  <conditionalFormatting sqref="G219 I219:K219">
    <cfRule type="expression" dxfId="712" priority="25">
      <formula>SUMPRODUCT(--(ROW()=$O$14:$O$24))&gt;0</formula>
    </cfRule>
  </conditionalFormatting>
  <conditionalFormatting sqref="G252 I252:J252">
    <cfRule type="expression" dxfId="711" priority="24">
      <formula>SUMPRODUCT(--(ROW()=$O$14:$O$24))&gt;0</formula>
    </cfRule>
  </conditionalFormatting>
  <conditionalFormatting sqref="A70:A71">
    <cfRule type="expression" dxfId="710" priority="23">
      <formula>SUMPRODUCT(--(ROW()=$O$12:$O$22))&gt;0</formula>
    </cfRule>
  </conditionalFormatting>
  <conditionalFormatting sqref="C70">
    <cfRule type="expression" dxfId="709" priority="22">
      <formula>SUMPRODUCT(--(ROW()=$O$12:$O$22))&gt;0</formula>
    </cfRule>
  </conditionalFormatting>
  <conditionalFormatting sqref="B70">
    <cfRule type="expression" dxfId="708" priority="21">
      <formula>SUMPRODUCT(--(ROW()=$O$12:$O$22))&gt;0</formula>
    </cfRule>
  </conditionalFormatting>
  <conditionalFormatting sqref="G37:G38">
    <cfRule type="expression" dxfId="707" priority="20">
      <formula>SUMPRODUCT(--(ROW()=$O$12:$O$22))&gt;0</formula>
    </cfRule>
  </conditionalFormatting>
  <conditionalFormatting sqref="H37:K38">
    <cfRule type="expression" dxfId="706" priority="19">
      <formula>SUMPRODUCT(--(ROW()=$O$12:$O$22))&gt;0</formula>
    </cfRule>
  </conditionalFormatting>
  <conditionalFormatting sqref="G39:K40 H41 J41:K41">
    <cfRule type="expression" dxfId="705" priority="18">
      <formula>SUMPRODUCT(--(ROW()=$O$12:$O$22))&gt;0</formula>
    </cfRule>
  </conditionalFormatting>
  <conditionalFormatting sqref="A45 E45:L45">
    <cfRule type="expression" dxfId="704" priority="17">
      <formula>SUMPRODUCT(--(ROW()=$O$12:$O$22))&gt;0</formula>
    </cfRule>
  </conditionalFormatting>
  <conditionalFormatting sqref="H53:K57 G62:K64 G48:K52 G58:K59 H60:K61">
    <cfRule type="expression" dxfId="703" priority="16">
      <formula>SUMPRODUCT(--(ROW()=$O$12:$O$22))&gt;0</formula>
    </cfRule>
  </conditionalFormatting>
  <conditionalFormatting sqref="G54:G55">
    <cfRule type="expression" dxfId="702" priority="15">
      <formula>SUMPRODUCT(--(ROW()=$O$12:$O$22))&gt;0</formula>
    </cfRule>
  </conditionalFormatting>
  <conditionalFormatting sqref="G56">
    <cfRule type="expression" dxfId="701" priority="14">
      <formula>SUMPRODUCT(--(ROW()=$O$12:$O$22))&gt;0</formula>
    </cfRule>
  </conditionalFormatting>
  <conditionalFormatting sqref="G53">
    <cfRule type="expression" dxfId="700" priority="13">
      <formula>SUMPRODUCT(--(ROW()=$O$12:$O$22))&gt;0</formula>
    </cfRule>
  </conditionalFormatting>
  <conditionalFormatting sqref="G60">
    <cfRule type="expression" dxfId="699" priority="12">
      <formula>SUMPRODUCT(--(ROW()=$O$12:$O$22))&gt;0</formula>
    </cfRule>
  </conditionalFormatting>
  <conditionalFormatting sqref="G57">
    <cfRule type="expression" dxfId="698" priority="11">
      <formula>SUMPRODUCT(--(ROW()=$O$12:$O$22))&gt;0</formula>
    </cfRule>
  </conditionalFormatting>
  <conditionalFormatting sqref="G61">
    <cfRule type="expression" dxfId="697" priority="10">
      <formula>SUMPRODUCT(--(ROW()=$O$12:$O$22))&gt;0</formula>
    </cfRule>
  </conditionalFormatting>
  <conditionalFormatting sqref="A69 E69:L69">
    <cfRule type="expression" dxfId="696" priority="9">
      <formula>SUMPRODUCT(--(ROW()=$O$12:$O$22))&gt;0</formula>
    </cfRule>
  </conditionalFormatting>
  <conditionalFormatting sqref="A12:A24">
    <cfRule type="expression" dxfId="695" priority="8">
      <formula>SUMPRODUCT(--(ROW()=$O$12:$O$22))&gt;0</formula>
    </cfRule>
  </conditionalFormatting>
  <conditionalFormatting sqref="E12:F23">
    <cfRule type="expression" dxfId="694" priority="7">
      <formula>SUMPRODUCT(--(ROW()=$O$12:$O$21))&gt;0</formula>
    </cfRule>
  </conditionalFormatting>
  <conditionalFormatting sqref="E24:F24">
    <cfRule type="expression" dxfId="693" priority="6">
      <formula>SUMPRODUCT(--(ROW()=$O$12:$O$21))&gt;0</formula>
    </cfRule>
  </conditionalFormatting>
  <conditionalFormatting sqref="G168:K169 G171:K172">
    <cfRule type="expression" dxfId="692" priority="5">
      <formula>SUMPRODUCT(--(ROW()=$O$12:$O$23))&gt;0</formula>
    </cfRule>
  </conditionalFormatting>
  <conditionalFormatting sqref="B168:F169 B170:E170">
    <cfRule type="expression" dxfId="691" priority="4">
      <formula>SUMPRODUCT(--(ROW()=$O$12:$O$22))&gt;0</formula>
    </cfRule>
  </conditionalFormatting>
  <conditionalFormatting sqref="F170">
    <cfRule type="expression" dxfId="690" priority="2">
      <formula>SUMPRODUCT(--(ROW()=$O$12:$O$22))&gt;0</formula>
    </cfRule>
  </conditionalFormatting>
  <conditionalFormatting sqref="G170">
    <cfRule type="expression" dxfId="689" priority="3">
      <formula>SUMPRODUCT(--(ROW()=$O$14:$O$24))&gt;0</formula>
    </cfRule>
  </conditionalFormatting>
  <conditionalFormatting sqref="L273">
    <cfRule type="expression" dxfId="688" priority="1">
      <formula>SUMPRODUCT(--(ROW()=$O$14:$O$24))&gt;0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5-อาคารสนับนุน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B8B29-52C0-4809-840E-9AE8DA3450F6}">
  <sheetPr>
    <tabColor rgb="FF92D050"/>
  </sheetPr>
  <dimension ref="A1:P315"/>
  <sheetViews>
    <sheetView showGridLines="0" tabSelected="1" view="pageBreakPreview" topLeftCell="A278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1489" customWidth="1"/>
    <col min="2" max="3" width="7.29296875" style="952" customWidth="1"/>
    <col min="4" max="4" width="56.703125" style="952" customWidth="1"/>
    <col min="5" max="5" width="14.703125" style="952" customWidth="1"/>
    <col min="6" max="6" width="10.703125" style="952" customWidth="1"/>
    <col min="7" max="7" width="14.703125" style="952" customWidth="1"/>
    <col min="8" max="8" width="18.703125" style="952" customWidth="1"/>
    <col min="9" max="9" width="14.703125" style="952" customWidth="1"/>
    <col min="10" max="10" width="18.703125" style="952" customWidth="1"/>
    <col min="11" max="11" width="20.703125" style="952" customWidth="1"/>
    <col min="12" max="12" width="25.1171875" style="952" customWidth="1"/>
    <col min="13" max="13" width="7.703125" style="1430" customWidth="1"/>
    <col min="14" max="53" width="7.703125" style="952" customWidth="1"/>
    <col min="54" max="16384" width="9" style="952"/>
  </cols>
  <sheetData>
    <row r="1" spans="1:15" ht="35.1" customHeight="1">
      <c r="A1" s="1428"/>
      <c r="B1" s="1428"/>
      <c r="C1" s="46"/>
      <c r="D1" s="46"/>
      <c r="E1" s="46"/>
      <c r="F1" s="1429" t="s">
        <v>0</v>
      </c>
      <c r="G1" s="733"/>
      <c r="H1" s="733"/>
      <c r="I1" s="733"/>
      <c r="J1" s="735" t="s">
        <v>1</v>
      </c>
      <c r="K1" s="736"/>
      <c r="L1" s="733"/>
    </row>
    <row r="2" spans="1:15" ht="25.15" customHeight="1">
      <c r="A2" s="1431" t="s">
        <v>2</v>
      </c>
      <c r="B2" s="1432"/>
      <c r="C2" s="11"/>
      <c r="D2" s="11" t="s">
        <v>1900</v>
      </c>
      <c r="E2" s="11"/>
      <c r="F2" s="737"/>
      <c r="G2" s="737"/>
      <c r="H2" s="737"/>
      <c r="I2" s="737"/>
      <c r="J2" s="737"/>
      <c r="K2" s="737"/>
      <c r="L2" s="1433"/>
    </row>
    <row r="3" spans="1:15" ht="25.15" customHeight="1">
      <c r="A3" s="1434" t="s">
        <v>22</v>
      </c>
      <c r="B3" s="5"/>
      <c r="C3" s="47"/>
      <c r="D3" s="1435"/>
      <c r="E3" s="47"/>
      <c r="F3" s="739"/>
      <c r="G3" s="739"/>
      <c r="H3" s="739"/>
      <c r="I3" s="739"/>
      <c r="J3" s="740"/>
      <c r="K3" s="739"/>
      <c r="L3" s="1436"/>
    </row>
    <row r="4" spans="1:15" ht="25.15" customHeight="1">
      <c r="A4" s="1434"/>
      <c r="B4" s="5"/>
      <c r="C4" s="47"/>
      <c r="D4" s="41" t="s">
        <v>2970</v>
      </c>
      <c r="E4" s="47"/>
      <c r="F4" s="739"/>
      <c r="G4" s="739"/>
      <c r="H4" s="739"/>
      <c r="I4" s="739"/>
      <c r="J4" s="740"/>
      <c r="K4" s="739"/>
      <c r="L4" s="1436"/>
    </row>
    <row r="5" spans="1:15" ht="25.15" customHeight="1">
      <c r="A5" s="1434" t="s">
        <v>3</v>
      </c>
      <c r="B5" s="1432"/>
      <c r="C5" s="11"/>
      <c r="D5" s="1435" t="s">
        <v>21</v>
      </c>
      <c r="E5" s="736"/>
      <c r="F5" s="737"/>
      <c r="G5" s="741" t="s">
        <v>4</v>
      </c>
      <c r="H5" s="742"/>
      <c r="I5" s="739"/>
      <c r="J5" s="740"/>
      <c r="K5" s="743"/>
      <c r="L5" s="1436"/>
    </row>
    <row r="6" spans="1:15" ht="25.15" customHeight="1">
      <c r="A6" s="5" t="s">
        <v>20</v>
      </c>
      <c r="B6" s="5"/>
      <c r="C6" s="47"/>
      <c r="D6" s="49"/>
      <c r="E6" s="47"/>
      <c r="F6" s="739"/>
      <c r="G6" s="744"/>
      <c r="H6" s="739"/>
      <c r="I6" s="739"/>
      <c r="J6" s="739"/>
      <c r="K6" s="739"/>
      <c r="L6" s="743"/>
    </row>
    <row r="7" spans="1:15" ht="25.15" customHeight="1">
      <c r="A7" s="744" t="s">
        <v>26</v>
      </c>
      <c r="B7" s="20"/>
      <c r="C7" s="20"/>
      <c r="D7" s="21"/>
      <c r="E7" s="20"/>
      <c r="F7" s="1437" t="s">
        <v>5</v>
      </c>
      <c r="G7" s="1438"/>
      <c r="H7" s="1438" t="s">
        <v>6</v>
      </c>
      <c r="I7" s="1439"/>
      <c r="J7" s="744" t="s">
        <v>23</v>
      </c>
      <c r="K7" s="20"/>
      <c r="L7" s="2492" t="s">
        <v>7</v>
      </c>
    </row>
    <row r="8" spans="1:15" ht="10.15" customHeight="1">
      <c r="A8" s="4"/>
      <c r="B8" s="1440"/>
      <c r="C8" s="1440"/>
      <c r="D8" s="25"/>
      <c r="E8" s="25"/>
      <c r="F8" s="1441"/>
      <c r="G8" s="1441"/>
      <c r="H8" s="1442"/>
      <c r="I8" s="1442"/>
      <c r="J8" s="1442"/>
      <c r="K8" s="1441"/>
      <c r="L8" s="2511"/>
    </row>
    <row r="9" spans="1:15" s="1444" customFormat="1" ht="24" customHeight="1">
      <c r="A9" s="2494" t="s">
        <v>8</v>
      </c>
      <c r="B9" s="2496" t="s">
        <v>9</v>
      </c>
      <c r="C9" s="2497"/>
      <c r="D9" s="2497"/>
      <c r="E9" s="2500" t="s">
        <v>10</v>
      </c>
      <c r="F9" s="2502" t="s">
        <v>11</v>
      </c>
      <c r="G9" s="2504" t="s">
        <v>12</v>
      </c>
      <c r="H9" s="2505"/>
      <c r="I9" s="2506" t="s">
        <v>13</v>
      </c>
      <c r="J9" s="2474"/>
      <c r="K9" s="2263" t="s">
        <v>14</v>
      </c>
      <c r="L9" s="2507" t="s">
        <v>15</v>
      </c>
      <c r="M9" s="1443"/>
    </row>
    <row r="10" spans="1:15" s="1444" customFormat="1" ht="24" customHeight="1">
      <c r="A10" s="2495"/>
      <c r="B10" s="2498"/>
      <c r="C10" s="2499"/>
      <c r="D10" s="2499"/>
      <c r="E10" s="2501"/>
      <c r="F10" s="2503"/>
      <c r="G10" s="1445" t="s">
        <v>16</v>
      </c>
      <c r="H10" s="2262" t="s">
        <v>17</v>
      </c>
      <c r="I10" s="1446" t="s">
        <v>16</v>
      </c>
      <c r="J10" s="2262" t="s">
        <v>17</v>
      </c>
      <c r="K10" s="1447" t="s">
        <v>18</v>
      </c>
      <c r="L10" s="2508"/>
      <c r="M10" s="1443"/>
    </row>
    <row r="11" spans="1:15" ht="24" customHeight="1">
      <c r="A11" s="1143" t="s">
        <v>244</v>
      </c>
      <c r="B11" s="1144" t="s">
        <v>2466</v>
      </c>
      <c r="C11" s="1448"/>
      <c r="D11" s="1449"/>
      <c r="E11" s="1450"/>
      <c r="F11" s="1451"/>
      <c r="G11" s="1529"/>
      <c r="H11" s="746"/>
      <c r="I11" s="1454"/>
      <c r="J11" s="1455"/>
      <c r="K11" s="1456"/>
      <c r="L11" s="1456"/>
    </row>
    <row r="12" spans="1:15" s="886" customFormat="1" ht="24" customHeight="1">
      <c r="A12" s="1330" t="str">
        <f>A35</f>
        <v>7.1</v>
      </c>
      <c r="B12" s="1331" t="str">
        <f>B35</f>
        <v>เครื่องส่งลมเย็นแบบ Pre-Cooled Outdoor Air unit</v>
      </c>
      <c r="C12" s="1282"/>
      <c r="D12" s="1457"/>
      <c r="E12" s="1458">
        <v>1</v>
      </c>
      <c r="F12" s="1459" t="s">
        <v>19</v>
      </c>
      <c r="G12" s="1530"/>
      <c r="H12" s="751">
        <f>H45</f>
        <v>1654100</v>
      </c>
      <c r="I12" s="1392"/>
      <c r="J12" s="1393">
        <f>J45</f>
        <v>22793</v>
      </c>
      <c r="K12" s="1022">
        <f>SUM(H12:J12)</f>
        <v>1676893</v>
      </c>
      <c r="L12" s="885"/>
      <c r="M12" s="1342"/>
      <c r="N12" s="886" t="str">
        <f>"รวมราคารายการที่ "&amp;A12</f>
        <v>รวมราคารายการที่ 7.1</v>
      </c>
      <c r="O12" s="1461">
        <f t="array" ref="O12">MAX(IF($B$36:$B$693=N12,ROW($B$36:$B$693)))</f>
        <v>45</v>
      </c>
    </row>
    <row r="13" spans="1:15" s="886" customFormat="1" ht="24" customHeight="1">
      <c r="A13" s="1330" t="str">
        <f>A46</f>
        <v>7.2</v>
      </c>
      <c r="B13" s="1331" t="str">
        <f>B46</f>
        <v>เครื่องส่งลมเย็นขนาดใหญ่ (Air Handling Unit)</v>
      </c>
      <c r="C13" s="1463"/>
      <c r="D13" s="1464"/>
      <c r="E13" s="1458">
        <v>1</v>
      </c>
      <c r="F13" s="1465" t="s">
        <v>19</v>
      </c>
      <c r="G13" s="1531"/>
      <c r="H13" s="751">
        <f>H68</f>
        <v>3291700</v>
      </c>
      <c r="I13" s="1398"/>
      <c r="J13" s="1393">
        <f>J68</f>
        <v>353530</v>
      </c>
      <c r="K13" s="1022">
        <f t="shared" ref="K13:K24" si="0">SUM(H13:J13)</f>
        <v>3645230</v>
      </c>
      <c r="L13" s="1507"/>
      <c r="M13" s="1342"/>
      <c r="N13" s="886" t="str">
        <f t="shared" ref="N13:N23" si="1">"รวมราคารายการที่ "&amp;A13</f>
        <v>รวมราคารายการที่ 7.2</v>
      </c>
      <c r="O13" s="1461">
        <f t="array" ref="O13">MAX(IF($B$36:$B$693=N13,ROW($B$36:$B$693)))</f>
        <v>68</v>
      </c>
    </row>
    <row r="14" spans="1:15" s="886" customFormat="1" ht="24" customHeight="1">
      <c r="A14" s="1330" t="str">
        <f>A69</f>
        <v>7.3</v>
      </c>
      <c r="B14" s="1331" t="str">
        <f>B69</f>
        <v>เครื่องส่งลมเย็นขนาดเล็ก (Fan Coil Unit)</v>
      </c>
      <c r="C14" s="1282"/>
      <c r="D14" s="1457"/>
      <c r="E14" s="1458">
        <v>1</v>
      </c>
      <c r="F14" s="1459" t="s">
        <v>19</v>
      </c>
      <c r="G14" s="1530"/>
      <c r="H14" s="751">
        <f>H75</f>
        <v>34600</v>
      </c>
      <c r="I14" s="1392"/>
      <c r="J14" s="1393">
        <f>J75</f>
        <v>4681</v>
      </c>
      <c r="K14" s="1022">
        <f t="shared" si="0"/>
        <v>39281</v>
      </c>
      <c r="L14" s="885"/>
      <c r="M14" s="1342"/>
      <c r="N14" s="886" t="str">
        <f t="shared" si="1"/>
        <v>รวมราคารายการที่ 7.3</v>
      </c>
      <c r="O14" s="1461">
        <f t="array" ref="O14">MAX(IF($B$36:$B$693=N14,ROW($B$36:$B$693)))</f>
        <v>75</v>
      </c>
    </row>
    <row r="15" spans="1:15" s="886" customFormat="1" ht="24" customHeight="1">
      <c r="A15" s="1330" t="str">
        <f>A76</f>
        <v>7.4</v>
      </c>
      <c r="B15" s="1331" t="str">
        <f>B76</f>
        <v>อุปกรณ์ควบคุมอัตโนมัติ (Automatic Control Equipment)</v>
      </c>
      <c r="C15" s="1282"/>
      <c r="D15" s="1457"/>
      <c r="E15" s="1458">
        <v>1</v>
      </c>
      <c r="F15" s="1459" t="s">
        <v>19</v>
      </c>
      <c r="G15" s="1530"/>
      <c r="H15" s="751">
        <f>H84</f>
        <v>156304</v>
      </c>
      <c r="I15" s="1392"/>
      <c r="J15" s="1393">
        <f>J84</f>
        <v>4300</v>
      </c>
      <c r="K15" s="1022">
        <f t="shared" si="0"/>
        <v>160604</v>
      </c>
      <c r="L15" s="885"/>
      <c r="M15" s="1342"/>
      <c r="N15" s="886" t="str">
        <f t="shared" si="1"/>
        <v>รวมราคารายการที่ 7.4</v>
      </c>
      <c r="O15" s="1461">
        <f t="array" ref="O15">MAX(IF($B$36:$B$693=N15,ROW($B$36:$B$693)))</f>
        <v>84</v>
      </c>
    </row>
    <row r="16" spans="1:15" s="886" customFormat="1" ht="24" customHeight="1">
      <c r="A16" s="1330" t="str">
        <f>A85</f>
        <v>7.5</v>
      </c>
      <c r="B16" s="1331" t="str">
        <f>B85</f>
        <v>พัดลมระบายอากาศ (Ventilating Fan)</v>
      </c>
      <c r="C16" s="1282"/>
      <c r="D16" s="1457"/>
      <c r="E16" s="1458">
        <v>1</v>
      </c>
      <c r="F16" s="1459" t="s">
        <v>19</v>
      </c>
      <c r="G16" s="1530"/>
      <c r="H16" s="751">
        <f>H99</f>
        <v>54960</v>
      </c>
      <c r="I16" s="1392"/>
      <c r="J16" s="1393">
        <f>J99</f>
        <v>5740</v>
      </c>
      <c r="K16" s="1022">
        <f t="shared" si="0"/>
        <v>60700</v>
      </c>
      <c r="L16" s="885"/>
      <c r="M16" s="1342"/>
      <c r="N16" s="886" t="str">
        <f t="shared" si="1"/>
        <v>รวมราคารายการที่ 7.5</v>
      </c>
      <c r="O16" s="1461">
        <f t="array" ref="O16">MAX(IF($B$36:$B$693=N16,ROW($B$36:$B$693)))</f>
        <v>99</v>
      </c>
    </row>
    <row r="17" spans="1:15" s="886" customFormat="1" ht="24" customHeight="1">
      <c r="A17" s="1330" t="str">
        <f>A100</f>
        <v>7.6</v>
      </c>
      <c r="B17" s="1331" t="str">
        <f>B100</f>
        <v>ระบบกรองอากาศ (Air Filtration System)</v>
      </c>
      <c r="C17" s="1282"/>
      <c r="D17" s="1457"/>
      <c r="E17" s="1458">
        <v>1</v>
      </c>
      <c r="F17" s="1459" t="s">
        <v>19</v>
      </c>
      <c r="G17" s="1530"/>
      <c r="H17" s="751">
        <f>H109</f>
        <v>18000</v>
      </c>
      <c r="I17" s="1392"/>
      <c r="J17" s="1393">
        <f>J109</f>
        <v>2800</v>
      </c>
      <c r="K17" s="1022">
        <f t="shared" si="0"/>
        <v>20800</v>
      </c>
      <c r="L17" s="885"/>
      <c r="M17" s="1342"/>
      <c r="N17" s="886" t="str">
        <f t="shared" si="1"/>
        <v>รวมราคารายการที่ 7.6</v>
      </c>
      <c r="O17" s="1461">
        <f t="array" ref="O17">MAX(IF($B$36:$B$693=N17,ROW($B$36:$B$693)))</f>
        <v>109</v>
      </c>
    </row>
    <row r="18" spans="1:15" s="886" customFormat="1" ht="24" customHeight="1">
      <c r="A18" s="1330" t="str">
        <f>A110</f>
        <v>7.7</v>
      </c>
      <c r="B18" s="1331" t="str">
        <f>B110</f>
        <v>งานท่อ (Piping Work)</v>
      </c>
      <c r="C18" s="1469"/>
      <c r="D18" s="1470"/>
      <c r="E18" s="1458">
        <v>1</v>
      </c>
      <c r="F18" s="1459" t="s">
        <v>19</v>
      </c>
      <c r="G18" s="1532"/>
      <c r="H18" s="751">
        <f>H134</f>
        <v>501991</v>
      </c>
      <c r="I18" s="1400"/>
      <c r="J18" s="1393">
        <f>J134</f>
        <v>211235</v>
      </c>
      <c r="K18" s="1022">
        <f t="shared" si="0"/>
        <v>713226</v>
      </c>
      <c r="L18" s="1473"/>
      <c r="M18" s="1342"/>
      <c r="N18" s="886" t="str">
        <f t="shared" si="1"/>
        <v>รวมราคารายการที่ 7.7</v>
      </c>
      <c r="O18" s="1461">
        <f t="array" ref="O18">MAX(IF($B$36:$B$693=N18,ROW($B$36:$B$693)))</f>
        <v>134</v>
      </c>
    </row>
    <row r="19" spans="1:15" s="886" customFormat="1" ht="24" customHeight="1">
      <c r="A19" s="1526" t="str">
        <f>A135</f>
        <v>7.8</v>
      </c>
      <c r="B19" s="1331" t="str">
        <f>B135</f>
        <v>ฉนวนหุ้มท่อ (Pipe Insulation)</v>
      </c>
      <c r="C19" s="1282"/>
      <c r="D19" s="1457"/>
      <c r="E19" s="1458">
        <v>1</v>
      </c>
      <c r="F19" s="1459" t="s">
        <v>19</v>
      </c>
      <c r="G19" s="1530"/>
      <c r="H19" s="751">
        <f>H152</f>
        <v>187499</v>
      </c>
      <c r="I19" s="1392"/>
      <c r="J19" s="1393">
        <f>J152</f>
        <v>51166</v>
      </c>
      <c r="K19" s="1022">
        <f t="shared" si="0"/>
        <v>238665</v>
      </c>
      <c r="L19" s="885"/>
      <c r="M19" s="1342"/>
      <c r="N19" s="886" t="str">
        <f t="shared" si="1"/>
        <v>รวมราคารายการที่ 7.8</v>
      </c>
      <c r="O19" s="1461">
        <f t="array" ref="O19">MAX(IF($B$36:$B$693=N19,ROW($B$36:$B$693)))</f>
        <v>152</v>
      </c>
    </row>
    <row r="20" spans="1:15" s="886" customFormat="1" ht="24" customHeight="1">
      <c r="A20" s="1330">
        <f>A153</f>
        <v>7.9</v>
      </c>
      <c r="B20" s="1331" t="str">
        <f>B153</f>
        <v>วาล์วและอุปกรณ์ประกอบ  (Valve &amp; Pipe Accessories)</v>
      </c>
      <c r="C20" s="1282"/>
      <c r="D20" s="1457"/>
      <c r="E20" s="1458">
        <v>1</v>
      </c>
      <c r="F20" s="1459" t="s">
        <v>19</v>
      </c>
      <c r="G20" s="1530"/>
      <c r="H20" s="751">
        <f>H176</f>
        <v>143552</v>
      </c>
      <c r="I20" s="1392"/>
      <c r="J20" s="1393">
        <f>J176</f>
        <v>20600</v>
      </c>
      <c r="K20" s="1022">
        <f t="shared" si="0"/>
        <v>164152</v>
      </c>
      <c r="L20" s="885"/>
      <c r="M20" s="1342"/>
      <c r="N20" s="886" t="str">
        <f t="shared" si="1"/>
        <v>รวมราคารายการที่ 7.9</v>
      </c>
      <c r="O20" s="1461">
        <f t="array" ref="O20">MAX(IF($B$36:$B$693=N20,ROW($B$36:$B$693)))</f>
        <v>176</v>
      </c>
    </row>
    <row r="21" spans="1:15" s="886" customFormat="1" ht="24" customHeight="1">
      <c r="A21" s="1330" t="str">
        <f>A177</f>
        <v>7.10</v>
      </c>
      <c r="B21" s="1331" t="str">
        <f>B177</f>
        <v>ระบบท่อลม (Duct Work)</v>
      </c>
      <c r="C21" s="1282"/>
      <c r="D21" s="1457"/>
      <c r="E21" s="1458">
        <v>1</v>
      </c>
      <c r="F21" s="1459" t="s">
        <v>19</v>
      </c>
      <c r="G21" s="1530"/>
      <c r="H21" s="751">
        <f>H187</f>
        <v>454815</v>
      </c>
      <c r="I21" s="1392"/>
      <c r="J21" s="1393">
        <f>J187</f>
        <v>314952</v>
      </c>
      <c r="K21" s="1022">
        <f t="shared" si="0"/>
        <v>769767</v>
      </c>
      <c r="L21" s="885"/>
      <c r="M21" s="1342"/>
      <c r="N21" s="886" t="str">
        <f t="shared" si="1"/>
        <v>รวมราคารายการที่ 7.10</v>
      </c>
      <c r="O21" s="1461">
        <f t="array" ref="O21">MAX(IF($B$36:$B$693=N21,ROW($B$36:$B$693)))</f>
        <v>187</v>
      </c>
    </row>
    <row r="22" spans="1:15" s="886" customFormat="1" ht="24" customHeight="1">
      <c r="A22" s="1330" t="str">
        <f>A188</f>
        <v>7.11</v>
      </c>
      <c r="B22" s="1331" t="str">
        <f>B188</f>
        <v>ฉนวนหุ้มท่อลม (Duct Insulation)</v>
      </c>
      <c r="C22" s="1282"/>
      <c r="D22" s="1457"/>
      <c r="E22" s="1458">
        <v>1</v>
      </c>
      <c r="F22" s="1459" t="s">
        <v>19</v>
      </c>
      <c r="G22" s="1530"/>
      <c r="H22" s="751">
        <f>H196</f>
        <v>193264</v>
      </c>
      <c r="I22" s="1392"/>
      <c r="J22" s="1393">
        <f>J196</f>
        <v>61680</v>
      </c>
      <c r="K22" s="1022">
        <f t="shared" si="0"/>
        <v>254944</v>
      </c>
      <c r="L22" s="885"/>
      <c r="M22" s="1342"/>
      <c r="N22" s="886" t="str">
        <f t="shared" si="1"/>
        <v>รวมราคารายการที่ 7.11</v>
      </c>
      <c r="O22" s="1461">
        <f t="array" ref="O22">MAX(IF($B$36:$B$693=N22,ROW($B$36:$B$693)))</f>
        <v>196</v>
      </c>
    </row>
    <row r="23" spans="1:15" s="886" customFormat="1" ht="24" customHeight="1">
      <c r="A23" s="1330" t="str">
        <f>A197</f>
        <v>7.12</v>
      </c>
      <c r="B23" s="1331" t="str">
        <f>B197</f>
        <v>หน้ากากลม (Air Diffuser, Grille &amp; Register)</v>
      </c>
      <c r="C23" s="1282"/>
      <c r="D23" s="1457"/>
      <c r="E23" s="1458">
        <v>1</v>
      </c>
      <c r="F23" s="1459" t="s">
        <v>19</v>
      </c>
      <c r="G23" s="1530"/>
      <c r="H23" s="751">
        <f>H252</f>
        <v>264950</v>
      </c>
      <c r="I23" s="1392"/>
      <c r="J23" s="1393">
        <f>J252</f>
        <v>35025</v>
      </c>
      <c r="K23" s="1022">
        <f t="shared" si="0"/>
        <v>299975</v>
      </c>
      <c r="L23" s="885"/>
      <c r="M23" s="1342"/>
      <c r="N23" s="886" t="str">
        <f t="shared" si="1"/>
        <v>รวมราคารายการที่ 7.12</v>
      </c>
      <c r="O23" s="1461">
        <f t="array" ref="O23">MAX(IF($B$36:$B$693=N23,ROW($B$36:$B$693)))</f>
        <v>252</v>
      </c>
    </row>
    <row r="24" spans="1:15" s="886" customFormat="1" ht="24" customHeight="1">
      <c r="A24" s="1330" t="str">
        <f>A253</f>
        <v>7.13</v>
      </c>
      <c r="B24" s="1331" t="str">
        <f>B253</f>
        <v>ระบบไฟฟ้าและควบคุม (Electrical &amp; Control System)</v>
      </c>
      <c r="C24" s="1282"/>
      <c r="D24" s="1457"/>
      <c r="E24" s="1458">
        <v>1</v>
      </c>
      <c r="F24" s="1459" t="s">
        <v>19</v>
      </c>
      <c r="G24" s="1530"/>
      <c r="H24" s="751">
        <f>H282</f>
        <v>282949</v>
      </c>
      <c r="I24" s="1392"/>
      <c r="J24" s="1393">
        <f>J282</f>
        <v>42993</v>
      </c>
      <c r="K24" s="1022">
        <f t="shared" si="0"/>
        <v>325942</v>
      </c>
      <c r="L24" s="885"/>
      <c r="M24" s="1342"/>
    </row>
    <row r="25" spans="1:15" s="886" customFormat="1" ht="24" customHeight="1">
      <c r="A25" s="1330"/>
      <c r="B25" s="1331"/>
      <c r="C25" s="1282"/>
      <c r="D25" s="1457"/>
      <c r="E25" s="1458"/>
      <c r="F25" s="1459"/>
      <c r="G25" s="1530"/>
      <c r="H25" s="751"/>
      <c r="I25" s="1392"/>
      <c r="J25" s="1393"/>
      <c r="K25" s="1022"/>
      <c r="L25" s="885"/>
      <c r="M25" s="1342"/>
    </row>
    <row r="26" spans="1:15" s="886" customFormat="1" ht="24" customHeight="1">
      <c r="A26" s="1330"/>
      <c r="B26" s="1331"/>
      <c r="C26" s="1282"/>
      <c r="D26" s="1457"/>
      <c r="E26" s="1458"/>
      <c r="F26" s="1459"/>
      <c r="G26" s="1530"/>
      <c r="H26" s="751"/>
      <c r="I26" s="1392"/>
      <c r="J26" s="1393"/>
      <c r="K26" s="1022"/>
      <c r="L26" s="885"/>
      <c r="M26" s="1342"/>
    </row>
    <row r="27" spans="1:15" s="886" customFormat="1" ht="24" customHeight="1">
      <c r="A27" s="1474"/>
      <c r="B27" s="1331"/>
      <c r="C27" s="1282"/>
      <c r="D27" s="1457"/>
      <c r="E27" s="1458"/>
      <c r="F27" s="1459"/>
      <c r="G27" s="1530"/>
      <c r="H27" s="751"/>
      <c r="I27" s="1392"/>
      <c r="J27" s="1393"/>
      <c r="K27" s="1022"/>
      <c r="L27" s="885"/>
      <c r="M27" s="1342"/>
    </row>
    <row r="28" spans="1:15" s="886" customFormat="1" ht="24" customHeight="1">
      <c r="A28" s="1474"/>
      <c r="B28" s="1331"/>
      <c r="C28" s="1282"/>
      <c r="D28" s="1457"/>
      <c r="E28" s="1458"/>
      <c r="F28" s="1459"/>
      <c r="G28" s="1530"/>
      <c r="H28" s="751"/>
      <c r="I28" s="1392"/>
      <c r="J28" s="1393"/>
      <c r="K28" s="1022"/>
      <c r="L28" s="885"/>
      <c r="M28" s="1342"/>
    </row>
    <row r="29" spans="1:15" s="886" customFormat="1" ht="24" customHeight="1">
      <c r="A29" s="1474"/>
      <c r="B29" s="1331"/>
      <c r="C29" s="1282"/>
      <c r="D29" s="1457"/>
      <c r="E29" s="1458"/>
      <c r="F29" s="1459"/>
      <c r="G29" s="1530"/>
      <c r="H29" s="751"/>
      <c r="I29" s="1392"/>
      <c r="J29" s="1393"/>
      <c r="K29" s="1022"/>
      <c r="L29" s="885"/>
      <c r="M29" s="1342"/>
    </row>
    <row r="30" spans="1:15" s="886" customFormat="1" ht="24" customHeight="1">
      <c r="A30" s="1474"/>
      <c r="B30" s="1331"/>
      <c r="C30" s="1282"/>
      <c r="D30" s="1457"/>
      <c r="E30" s="1458"/>
      <c r="F30" s="1459"/>
      <c r="G30" s="1530"/>
      <c r="H30" s="751"/>
      <c r="I30" s="1392"/>
      <c r="J30" s="1393"/>
      <c r="K30" s="1022"/>
      <c r="L30" s="885"/>
      <c r="M30" s="1342"/>
    </row>
    <row r="31" spans="1:15" s="886" customFormat="1" ht="24" customHeight="1">
      <c r="A31" s="1474"/>
      <c r="B31" s="1331"/>
      <c r="C31" s="1282"/>
      <c r="D31" s="1457"/>
      <c r="E31" s="1458"/>
      <c r="F31" s="1459"/>
      <c r="G31" s="1530"/>
      <c r="H31" s="751"/>
      <c r="I31" s="1392"/>
      <c r="J31" s="1393"/>
      <c r="K31" s="1022"/>
      <c r="L31" s="885"/>
      <c r="M31" s="1342"/>
    </row>
    <row r="32" spans="1:15" s="886" customFormat="1" ht="24" customHeight="1">
      <c r="A32" s="1474"/>
      <c r="B32" s="1331"/>
      <c r="C32" s="1282"/>
      <c r="D32" s="1457"/>
      <c r="E32" s="1458"/>
      <c r="F32" s="1459"/>
      <c r="G32" s="1530"/>
      <c r="H32" s="751"/>
      <c r="I32" s="1392"/>
      <c r="J32" s="1393"/>
      <c r="K32" s="1022"/>
      <c r="L32" s="885"/>
      <c r="M32" s="1342"/>
    </row>
    <row r="33" spans="1:16" s="886" customFormat="1" ht="24" customHeight="1">
      <c r="A33" s="1474"/>
      <c r="B33" s="1331"/>
      <c r="C33" s="1282"/>
      <c r="D33" s="1457"/>
      <c r="E33" s="1458"/>
      <c r="F33" s="1459"/>
      <c r="G33" s="1530"/>
      <c r="H33" s="751"/>
      <c r="I33" s="1392"/>
      <c r="J33" s="1393"/>
      <c r="K33" s="1022"/>
      <c r="L33" s="885"/>
      <c r="M33" s="1342"/>
    </row>
    <row r="34" spans="1:16" s="714" customFormat="1" ht="30" customHeight="1">
      <c r="A34" s="1166"/>
      <c r="B34" s="2475" t="s">
        <v>2467</v>
      </c>
      <c r="C34" s="2476"/>
      <c r="D34" s="2476"/>
      <c r="E34" s="1167"/>
      <c r="F34" s="1381"/>
      <c r="G34" s="1168"/>
      <c r="H34" s="1169">
        <f>SUM(H11:H33)</f>
        <v>7238684</v>
      </c>
      <c r="I34" s="1170"/>
      <c r="J34" s="1382">
        <f>SUM(J11:J33)</f>
        <v>1131495</v>
      </c>
      <c r="K34" s="1171">
        <f>SUM(K11:K33)</f>
        <v>8370179</v>
      </c>
      <c r="L34" s="1171"/>
      <c r="M34" s="1322"/>
      <c r="P34" s="729"/>
    </row>
    <row r="35" spans="1:16" s="1329" customFormat="1" ht="24" customHeight="1">
      <c r="A35" s="1383" t="s">
        <v>1987</v>
      </c>
      <c r="B35" s="1518" t="s">
        <v>2129</v>
      </c>
      <c r="C35" s="1347"/>
      <c r="D35" s="901"/>
      <c r="E35" s="1019"/>
      <c r="F35" s="1310"/>
      <c r="G35" s="1400"/>
      <c r="H35" s="773"/>
      <c r="I35" s="1400"/>
      <c r="J35" s="1401"/>
      <c r="K35" s="1019"/>
      <c r="L35" s="1019"/>
      <c r="M35" s="1328"/>
    </row>
    <row r="36" spans="1:16" s="1329" customFormat="1" ht="24" customHeight="1">
      <c r="A36" s="1330" t="s">
        <v>1904</v>
      </c>
      <c r="B36" s="1331" t="s">
        <v>2130</v>
      </c>
      <c r="C36" s="801"/>
      <c r="D36" s="801"/>
      <c r="E36" s="1019"/>
      <c r="F36" s="1310"/>
      <c r="G36" s="1400"/>
      <c r="H36" s="864"/>
      <c r="I36" s="1400"/>
      <c r="J36" s="1395"/>
      <c r="K36" s="966"/>
      <c r="L36" s="1019"/>
      <c r="M36" s="1328"/>
    </row>
    <row r="37" spans="1:16" s="1329" customFormat="1" ht="24" customHeight="1">
      <c r="A37" s="1330"/>
      <c r="B37" s="1331" t="s">
        <v>2468</v>
      </c>
      <c r="C37" s="801"/>
      <c r="D37" s="801"/>
      <c r="E37" s="1019">
        <v>1</v>
      </c>
      <c r="F37" s="1310" t="s">
        <v>240</v>
      </c>
      <c r="G37" s="1392">
        <v>743600</v>
      </c>
      <c r="H37" s="1175">
        <f>E37*G37</f>
        <v>743600</v>
      </c>
      <c r="I37" s="1492">
        <f>G37*0.01</f>
        <v>7436</v>
      </c>
      <c r="J37" s="1493">
        <f>I37*E37</f>
        <v>7436</v>
      </c>
      <c r="K37" s="825">
        <f>H37+J37</f>
        <v>751036</v>
      </c>
      <c r="L37" s="1019"/>
      <c r="M37" s="1328"/>
    </row>
    <row r="38" spans="1:16" s="1329" customFormat="1" ht="24" customHeight="1">
      <c r="A38" s="1330"/>
      <c r="B38" s="1331" t="s">
        <v>2469</v>
      </c>
      <c r="C38" s="801"/>
      <c r="D38" s="801"/>
      <c r="E38" s="1019">
        <v>1</v>
      </c>
      <c r="F38" s="1310" t="s">
        <v>240</v>
      </c>
      <c r="G38" s="1496">
        <v>879700</v>
      </c>
      <c r="H38" s="1175">
        <f>E38*G38</f>
        <v>879700</v>
      </c>
      <c r="I38" s="1492">
        <f>G38*0.01</f>
        <v>8797</v>
      </c>
      <c r="J38" s="1493">
        <f>I38*E38</f>
        <v>8797</v>
      </c>
      <c r="K38" s="825">
        <f>H38+J38</f>
        <v>888497</v>
      </c>
      <c r="L38" s="1019"/>
      <c r="M38" s="1328"/>
    </row>
    <row r="39" spans="1:16" s="1329" customFormat="1" ht="24" customHeight="1">
      <c r="A39" s="1330" t="s">
        <v>1906</v>
      </c>
      <c r="B39" s="1331" t="s">
        <v>2132</v>
      </c>
      <c r="C39" s="801"/>
      <c r="D39" s="801"/>
      <c r="E39" s="1019">
        <v>2</v>
      </c>
      <c r="F39" s="1310" t="s">
        <v>240</v>
      </c>
      <c r="G39" s="1392">
        <v>1800</v>
      </c>
      <c r="H39" s="864">
        <f>ROUND(E39*G39,)</f>
        <v>3600</v>
      </c>
      <c r="I39" s="1396" t="s">
        <v>974</v>
      </c>
      <c r="J39" s="1395"/>
      <c r="K39" s="966">
        <f>H39+J39</f>
        <v>3600</v>
      </c>
      <c r="L39" s="1019"/>
      <c r="M39" s="1328"/>
    </row>
    <row r="40" spans="1:16" s="1329" customFormat="1" ht="24" customHeight="1">
      <c r="A40" s="1330" t="s">
        <v>1995</v>
      </c>
      <c r="B40" s="1331" t="s">
        <v>1996</v>
      </c>
      <c r="C40" s="801"/>
      <c r="D40" s="801"/>
      <c r="E40" s="1019">
        <v>8</v>
      </c>
      <c r="F40" s="1310" t="s">
        <v>240</v>
      </c>
      <c r="G40" s="1392">
        <v>2400</v>
      </c>
      <c r="H40" s="864">
        <f>ROUND(E40*G40,)</f>
        <v>19200</v>
      </c>
      <c r="I40" s="1392">
        <f>G40*0.3</f>
        <v>720</v>
      </c>
      <c r="J40" s="1395">
        <f>ROUND(E40*I40,)</f>
        <v>5760</v>
      </c>
      <c r="K40" s="966">
        <f>H40+J40</f>
        <v>24960</v>
      </c>
      <c r="L40" s="1019"/>
      <c r="M40" s="1328"/>
    </row>
    <row r="41" spans="1:16" s="1329" customFormat="1" ht="24" customHeight="1">
      <c r="A41" s="1330" t="s">
        <v>2133</v>
      </c>
      <c r="B41" s="1331" t="s">
        <v>2134</v>
      </c>
      <c r="C41" s="801"/>
      <c r="D41" s="801"/>
      <c r="E41" s="1019">
        <v>2</v>
      </c>
      <c r="F41" s="1310" t="s">
        <v>240</v>
      </c>
      <c r="G41" s="1400">
        <v>4000</v>
      </c>
      <c r="H41" s="864">
        <f>ROUND(E41*G41,)</f>
        <v>8000</v>
      </c>
      <c r="I41" s="1400">
        <v>400</v>
      </c>
      <c r="J41" s="1395">
        <f>ROUND(E41*I41,)</f>
        <v>800</v>
      </c>
      <c r="K41" s="966">
        <f>H41+J41</f>
        <v>8800</v>
      </c>
      <c r="L41" s="1019"/>
      <c r="M41" s="1328"/>
    </row>
    <row r="42" spans="1:16" s="1329" customFormat="1" ht="24" customHeight="1">
      <c r="A42" s="1330"/>
      <c r="B42" s="1331" t="s">
        <v>957</v>
      </c>
      <c r="C42" s="801"/>
      <c r="D42" s="801"/>
      <c r="E42" s="1019"/>
      <c r="F42" s="1310"/>
      <c r="G42" s="1400"/>
      <c r="H42" s="864"/>
      <c r="I42" s="1400"/>
      <c r="J42" s="1395"/>
      <c r="K42" s="966"/>
      <c r="L42" s="1019"/>
      <c r="M42" s="1328"/>
    </row>
    <row r="43" spans="1:16" s="1329" customFormat="1" ht="24" customHeight="1">
      <c r="A43" s="1330"/>
      <c r="B43" s="1331"/>
      <c r="C43" s="801"/>
      <c r="D43" s="801"/>
      <c r="E43" s="1019"/>
      <c r="F43" s="1310"/>
      <c r="G43" s="1400"/>
      <c r="H43" s="864"/>
      <c r="I43" s="1400"/>
      <c r="J43" s="1395"/>
      <c r="K43" s="966"/>
      <c r="L43" s="1019"/>
      <c r="M43" s="1328"/>
    </row>
    <row r="44" spans="1:16" s="1329" customFormat="1" ht="24" customHeight="1">
      <c r="A44" s="1330"/>
      <c r="B44" s="1331"/>
      <c r="C44" s="801"/>
      <c r="D44" s="801"/>
      <c r="E44" s="1019"/>
      <c r="F44" s="1310"/>
      <c r="G44" s="1400"/>
      <c r="H44" s="864"/>
      <c r="I44" s="1400"/>
      <c r="J44" s="1395"/>
      <c r="K44" s="966"/>
      <c r="L44" s="1019"/>
      <c r="M44" s="1328"/>
    </row>
    <row r="45" spans="1:16" s="1329" customFormat="1" ht="24" customHeight="1">
      <c r="A45" s="1510"/>
      <c r="B45" s="2475" t="str">
        <f>"รวมราคารายการที่ "&amp;A35</f>
        <v>รวมราคารายการที่ 7.1</v>
      </c>
      <c r="C45" s="2476"/>
      <c r="D45" s="2476"/>
      <c r="E45" s="1511"/>
      <c r="F45" s="1512"/>
      <c r="G45" s="1513"/>
      <c r="H45" s="1514">
        <f>SUM(H35:H44)</f>
        <v>1654100</v>
      </c>
      <c r="I45" s="1515"/>
      <c r="J45" s="1516">
        <f>SUM(J35:J44)</f>
        <v>22793</v>
      </c>
      <c r="K45" s="1517">
        <f>SUM(K35:K44)</f>
        <v>1676893</v>
      </c>
      <c r="L45" s="1517"/>
      <c r="M45" s="1328"/>
    </row>
    <row r="46" spans="1:16" s="1329" customFormat="1" ht="24" customHeight="1">
      <c r="A46" s="1355" t="s">
        <v>1997</v>
      </c>
      <c r="B46" s="1518" t="s">
        <v>2135</v>
      </c>
      <c r="C46" s="801"/>
      <c r="D46" s="801"/>
      <c r="E46" s="1019"/>
      <c r="F46" s="1310"/>
      <c r="G46" s="1400"/>
      <c r="H46" s="864"/>
      <c r="I46" s="1400"/>
      <c r="J46" s="1395"/>
      <c r="K46" s="966"/>
      <c r="L46" s="1019"/>
      <c r="M46" s="1328"/>
    </row>
    <row r="47" spans="1:16" s="1329" customFormat="1" ht="24" customHeight="1">
      <c r="A47" s="1330" t="s">
        <v>1910</v>
      </c>
      <c r="B47" s="1331" t="s">
        <v>2130</v>
      </c>
      <c r="C47" s="801"/>
      <c r="D47" s="801"/>
      <c r="E47" s="1019"/>
      <c r="F47" s="1310"/>
      <c r="G47" s="1400"/>
      <c r="H47" s="864"/>
      <c r="I47" s="1400"/>
      <c r="J47" s="1395"/>
      <c r="K47" s="966"/>
      <c r="L47" s="1019"/>
      <c r="M47" s="1328"/>
    </row>
    <row r="48" spans="1:16" s="1329" customFormat="1" ht="24" customHeight="1">
      <c r="A48" s="1330"/>
      <c r="B48" s="1331" t="s">
        <v>2470</v>
      </c>
      <c r="C48" s="801"/>
      <c r="D48" s="801"/>
      <c r="E48" s="1019">
        <v>1</v>
      </c>
      <c r="F48" s="1310" t="s">
        <v>240</v>
      </c>
      <c r="G48" s="1394">
        <v>224400</v>
      </c>
      <c r="H48" s="864">
        <f t="shared" ref="H48:H61" si="2">ROUND(E48*G48,)</f>
        <v>224400</v>
      </c>
      <c r="I48" s="1392">
        <f t="shared" ref="I48:I61" si="3">G48*0.1</f>
        <v>22440</v>
      </c>
      <c r="J48" s="1395">
        <f t="shared" ref="J48:J61" si="4">ROUND(E48*I48,)</f>
        <v>22440</v>
      </c>
      <c r="K48" s="966">
        <f t="shared" ref="K48:K61" si="5">H48+J48</f>
        <v>246840</v>
      </c>
      <c r="L48" s="1019"/>
      <c r="M48" s="1328"/>
    </row>
    <row r="49" spans="1:13" s="1329" customFormat="1" ht="24" customHeight="1">
      <c r="A49" s="1330"/>
      <c r="B49" s="1331" t="s">
        <v>2471</v>
      </c>
      <c r="C49" s="801"/>
      <c r="D49" s="801"/>
      <c r="E49" s="1019">
        <v>1</v>
      </c>
      <c r="F49" s="1310" t="s">
        <v>240</v>
      </c>
      <c r="G49" s="1394">
        <v>282300</v>
      </c>
      <c r="H49" s="864">
        <f t="shared" si="2"/>
        <v>282300</v>
      </c>
      <c r="I49" s="1392">
        <f t="shared" si="3"/>
        <v>28230</v>
      </c>
      <c r="J49" s="1395">
        <f t="shared" si="4"/>
        <v>28230</v>
      </c>
      <c r="K49" s="966">
        <f t="shared" si="5"/>
        <v>310530</v>
      </c>
      <c r="L49" s="1019"/>
      <c r="M49" s="1328"/>
    </row>
    <row r="50" spans="1:13" s="1329" customFormat="1" ht="24" customHeight="1">
      <c r="A50" s="1330"/>
      <c r="B50" s="1331" t="s">
        <v>2472</v>
      </c>
      <c r="C50" s="801"/>
      <c r="D50" s="801"/>
      <c r="E50" s="1019">
        <v>1</v>
      </c>
      <c r="F50" s="1310" t="s">
        <v>240</v>
      </c>
      <c r="G50" s="1394">
        <v>282300</v>
      </c>
      <c r="H50" s="864">
        <f t="shared" si="2"/>
        <v>282300</v>
      </c>
      <c r="I50" s="1392">
        <f t="shared" si="3"/>
        <v>28230</v>
      </c>
      <c r="J50" s="1395">
        <f t="shared" si="4"/>
        <v>28230</v>
      </c>
      <c r="K50" s="966">
        <f t="shared" si="5"/>
        <v>310530</v>
      </c>
      <c r="L50" s="1019"/>
      <c r="M50" s="1328"/>
    </row>
    <row r="51" spans="1:13" s="1329" customFormat="1" ht="24" customHeight="1">
      <c r="A51" s="1330"/>
      <c r="B51" s="1331" t="s">
        <v>2473</v>
      </c>
      <c r="C51" s="801"/>
      <c r="D51" s="801"/>
      <c r="E51" s="1019">
        <v>1</v>
      </c>
      <c r="F51" s="1310" t="s">
        <v>240</v>
      </c>
      <c r="G51" s="1394">
        <v>215100</v>
      </c>
      <c r="H51" s="864">
        <f t="shared" si="2"/>
        <v>215100</v>
      </c>
      <c r="I51" s="1392">
        <f t="shared" si="3"/>
        <v>21510</v>
      </c>
      <c r="J51" s="1395">
        <f t="shared" si="4"/>
        <v>21510</v>
      </c>
      <c r="K51" s="966">
        <f t="shared" si="5"/>
        <v>236610</v>
      </c>
      <c r="L51" s="1019"/>
      <c r="M51" s="1328"/>
    </row>
    <row r="52" spans="1:13" s="1329" customFormat="1" ht="24" customHeight="1">
      <c r="A52" s="1330"/>
      <c r="B52" s="1331" t="s">
        <v>2474</v>
      </c>
      <c r="C52" s="801"/>
      <c r="D52" s="801"/>
      <c r="E52" s="1019">
        <v>1</v>
      </c>
      <c r="F52" s="1310" t="s">
        <v>240</v>
      </c>
      <c r="G52" s="1394">
        <v>157400</v>
      </c>
      <c r="H52" s="864">
        <f t="shared" si="2"/>
        <v>157400</v>
      </c>
      <c r="I52" s="1392">
        <f t="shared" si="3"/>
        <v>15740</v>
      </c>
      <c r="J52" s="1395">
        <f t="shared" si="4"/>
        <v>15740</v>
      </c>
      <c r="K52" s="966">
        <f t="shared" si="5"/>
        <v>173140</v>
      </c>
      <c r="L52" s="1019"/>
      <c r="M52" s="1328"/>
    </row>
    <row r="53" spans="1:13" s="1329" customFormat="1" ht="24" customHeight="1">
      <c r="A53" s="1330"/>
      <c r="B53" s="1331" t="s">
        <v>2475</v>
      </c>
      <c r="C53" s="801"/>
      <c r="D53" s="801"/>
      <c r="E53" s="1019">
        <v>1</v>
      </c>
      <c r="F53" s="1310" t="s">
        <v>240</v>
      </c>
      <c r="G53" s="1394">
        <v>157400</v>
      </c>
      <c r="H53" s="864">
        <f t="shared" si="2"/>
        <v>157400</v>
      </c>
      <c r="I53" s="1392">
        <f t="shared" si="3"/>
        <v>15740</v>
      </c>
      <c r="J53" s="1395">
        <f t="shared" si="4"/>
        <v>15740</v>
      </c>
      <c r="K53" s="966">
        <f t="shared" si="5"/>
        <v>173140</v>
      </c>
      <c r="L53" s="1019"/>
      <c r="M53" s="1328"/>
    </row>
    <row r="54" spans="1:13" s="1329" customFormat="1" ht="24" customHeight="1">
      <c r="A54" s="1330"/>
      <c r="B54" s="1331" t="s">
        <v>2476</v>
      </c>
      <c r="C54" s="801"/>
      <c r="D54" s="801"/>
      <c r="E54" s="1019">
        <v>1</v>
      </c>
      <c r="F54" s="1310" t="s">
        <v>240</v>
      </c>
      <c r="G54" s="1394">
        <v>211600</v>
      </c>
      <c r="H54" s="864">
        <f t="shared" si="2"/>
        <v>211600</v>
      </c>
      <c r="I54" s="1392">
        <f t="shared" si="3"/>
        <v>21160</v>
      </c>
      <c r="J54" s="1395">
        <f t="shared" si="4"/>
        <v>21160</v>
      </c>
      <c r="K54" s="966">
        <f t="shared" si="5"/>
        <v>232760</v>
      </c>
      <c r="L54" s="1019"/>
      <c r="M54" s="1328"/>
    </row>
    <row r="55" spans="1:13" s="1329" customFormat="1" ht="24" customHeight="1">
      <c r="A55" s="1330"/>
      <c r="B55" s="1331" t="s">
        <v>2477</v>
      </c>
      <c r="C55" s="801"/>
      <c r="D55" s="801"/>
      <c r="E55" s="1019">
        <v>1</v>
      </c>
      <c r="F55" s="1310" t="s">
        <v>240</v>
      </c>
      <c r="G55" s="1394">
        <v>215000</v>
      </c>
      <c r="H55" s="864">
        <f t="shared" si="2"/>
        <v>215000</v>
      </c>
      <c r="I55" s="1392">
        <f t="shared" si="3"/>
        <v>21500</v>
      </c>
      <c r="J55" s="1395">
        <f t="shared" si="4"/>
        <v>21500</v>
      </c>
      <c r="K55" s="966">
        <f t="shared" si="5"/>
        <v>236500</v>
      </c>
      <c r="L55" s="1019"/>
      <c r="M55" s="1328"/>
    </row>
    <row r="56" spans="1:13" s="1329" customFormat="1" ht="24" customHeight="1">
      <c r="A56" s="1330"/>
      <c r="B56" s="1331" t="s">
        <v>2478</v>
      </c>
      <c r="C56" s="801"/>
      <c r="D56" s="801"/>
      <c r="E56" s="1019">
        <v>1</v>
      </c>
      <c r="F56" s="1310" t="s">
        <v>240</v>
      </c>
      <c r="G56" s="1394">
        <v>224400</v>
      </c>
      <c r="H56" s="864">
        <f t="shared" si="2"/>
        <v>224400</v>
      </c>
      <c r="I56" s="1392">
        <f t="shared" si="3"/>
        <v>22440</v>
      </c>
      <c r="J56" s="1395">
        <f t="shared" si="4"/>
        <v>22440</v>
      </c>
      <c r="K56" s="966">
        <f t="shared" si="5"/>
        <v>246840</v>
      </c>
      <c r="L56" s="1019"/>
      <c r="M56" s="1328"/>
    </row>
    <row r="57" spans="1:13" s="1329" customFormat="1" ht="24" customHeight="1">
      <c r="A57" s="1330"/>
      <c r="B57" s="1331" t="s">
        <v>2479</v>
      </c>
      <c r="C57" s="801"/>
      <c r="D57" s="801"/>
      <c r="E57" s="1019">
        <v>1</v>
      </c>
      <c r="F57" s="1310" t="s">
        <v>240</v>
      </c>
      <c r="G57" s="1394">
        <v>188900</v>
      </c>
      <c r="H57" s="864">
        <f t="shared" si="2"/>
        <v>188900</v>
      </c>
      <c r="I57" s="1392">
        <f t="shared" si="3"/>
        <v>18890</v>
      </c>
      <c r="J57" s="1395">
        <f t="shared" si="4"/>
        <v>18890</v>
      </c>
      <c r="K57" s="966">
        <f t="shared" si="5"/>
        <v>207790</v>
      </c>
      <c r="L57" s="1019"/>
      <c r="M57" s="1328"/>
    </row>
    <row r="58" spans="1:13" s="1329" customFormat="1" ht="24" customHeight="1">
      <c r="A58" s="1330"/>
      <c r="B58" s="1331" t="s">
        <v>2480</v>
      </c>
      <c r="C58" s="801"/>
      <c r="D58" s="801"/>
      <c r="E58" s="1019">
        <v>1</v>
      </c>
      <c r="F58" s="1310" t="s">
        <v>240</v>
      </c>
      <c r="G58" s="1394">
        <v>188900</v>
      </c>
      <c r="H58" s="864">
        <f t="shared" si="2"/>
        <v>188900</v>
      </c>
      <c r="I58" s="1392">
        <f t="shared" si="3"/>
        <v>18890</v>
      </c>
      <c r="J58" s="1395">
        <f t="shared" si="4"/>
        <v>18890</v>
      </c>
      <c r="K58" s="966">
        <f t="shared" si="5"/>
        <v>207790</v>
      </c>
      <c r="L58" s="1019"/>
      <c r="M58" s="1328"/>
    </row>
    <row r="59" spans="1:13" s="1329" customFormat="1" ht="24" customHeight="1">
      <c r="A59" s="1330"/>
      <c r="B59" s="1331" t="s">
        <v>2481</v>
      </c>
      <c r="C59" s="801"/>
      <c r="D59" s="801"/>
      <c r="E59" s="1019">
        <v>1</v>
      </c>
      <c r="F59" s="1310" t="s">
        <v>240</v>
      </c>
      <c r="G59" s="1394">
        <v>188900</v>
      </c>
      <c r="H59" s="864">
        <f t="shared" si="2"/>
        <v>188900</v>
      </c>
      <c r="I59" s="1392">
        <f t="shared" si="3"/>
        <v>18890</v>
      </c>
      <c r="J59" s="1395">
        <f t="shared" si="4"/>
        <v>18890</v>
      </c>
      <c r="K59" s="966">
        <f t="shared" si="5"/>
        <v>207790</v>
      </c>
      <c r="L59" s="1019"/>
      <c r="M59" s="1328"/>
    </row>
    <row r="60" spans="1:13" s="1329" customFormat="1" ht="24" customHeight="1">
      <c r="A60" s="1330"/>
      <c r="B60" s="1331" t="s">
        <v>2482</v>
      </c>
      <c r="C60" s="801"/>
      <c r="D60" s="801"/>
      <c r="E60" s="1019">
        <v>1</v>
      </c>
      <c r="F60" s="1310" t="s">
        <v>240</v>
      </c>
      <c r="G60" s="1394">
        <v>406600</v>
      </c>
      <c r="H60" s="864">
        <f t="shared" si="2"/>
        <v>406600</v>
      </c>
      <c r="I60" s="1392">
        <f t="shared" si="3"/>
        <v>40660</v>
      </c>
      <c r="J60" s="1395">
        <f t="shared" si="4"/>
        <v>40660</v>
      </c>
      <c r="K60" s="966">
        <f t="shared" si="5"/>
        <v>447260</v>
      </c>
      <c r="L60" s="1019"/>
      <c r="M60" s="1328"/>
    </row>
    <row r="61" spans="1:13" s="1329" customFormat="1" ht="24" customHeight="1">
      <c r="A61" s="1330"/>
      <c r="B61" s="1331" t="s">
        <v>2483</v>
      </c>
      <c r="C61" s="801"/>
      <c r="D61" s="801"/>
      <c r="E61" s="1019">
        <v>1</v>
      </c>
      <c r="F61" s="1310" t="s">
        <v>240</v>
      </c>
      <c r="G61" s="1394">
        <v>188900</v>
      </c>
      <c r="H61" s="864">
        <f t="shared" si="2"/>
        <v>188900</v>
      </c>
      <c r="I61" s="1392">
        <f t="shared" si="3"/>
        <v>18890</v>
      </c>
      <c r="J61" s="1395">
        <f t="shared" si="4"/>
        <v>18890</v>
      </c>
      <c r="K61" s="966">
        <f t="shared" si="5"/>
        <v>207790</v>
      </c>
      <c r="L61" s="1019"/>
      <c r="M61" s="1328"/>
    </row>
    <row r="62" spans="1:13" s="1329" customFormat="1" ht="24" customHeight="1">
      <c r="A62" s="1330" t="s">
        <v>2000</v>
      </c>
      <c r="B62" s="1331" t="s">
        <v>2153</v>
      </c>
      <c r="C62" s="801"/>
      <c r="D62" s="801"/>
      <c r="E62" s="1019"/>
      <c r="F62" s="1310"/>
      <c r="G62" s="1392"/>
      <c r="H62" s="751"/>
      <c r="I62" s="1392"/>
      <c r="J62" s="1393"/>
      <c r="K62" s="1022"/>
      <c r="L62" s="1019"/>
      <c r="M62" s="1328"/>
    </row>
    <row r="63" spans="1:13" s="1329" customFormat="1" ht="24" customHeight="1">
      <c r="A63" s="1330"/>
      <c r="B63" s="1331" t="s">
        <v>2154</v>
      </c>
      <c r="C63" s="801"/>
      <c r="D63" s="801"/>
      <c r="E63" s="1019">
        <v>14</v>
      </c>
      <c r="F63" s="1310" t="s">
        <v>240</v>
      </c>
      <c r="G63" s="1392">
        <v>1800</v>
      </c>
      <c r="H63" s="864">
        <f>ROUND(E63*G63,)</f>
        <v>25200</v>
      </c>
      <c r="I63" s="1396" t="s">
        <v>974</v>
      </c>
      <c r="J63" s="1395"/>
      <c r="K63" s="966">
        <f>H63+J63</f>
        <v>25200</v>
      </c>
      <c r="L63" s="1019"/>
      <c r="M63" s="1328"/>
    </row>
    <row r="64" spans="1:13" s="1329" customFormat="1" ht="24" customHeight="1">
      <c r="A64" s="1330" t="s">
        <v>2155</v>
      </c>
      <c r="B64" s="1331" t="s">
        <v>1996</v>
      </c>
      <c r="C64" s="801"/>
      <c r="D64" s="801"/>
      <c r="E64" s="1019">
        <v>56</v>
      </c>
      <c r="F64" s="1310" t="s">
        <v>240</v>
      </c>
      <c r="G64" s="1392">
        <v>2400</v>
      </c>
      <c r="H64" s="864">
        <f>ROUND(E64*G64,)</f>
        <v>134400</v>
      </c>
      <c r="I64" s="1392">
        <f>G64*0.3</f>
        <v>720</v>
      </c>
      <c r="J64" s="1395">
        <f>ROUND(E64*I64,)</f>
        <v>40320</v>
      </c>
      <c r="K64" s="966">
        <f>H64+J64</f>
        <v>174720</v>
      </c>
      <c r="L64" s="1019"/>
      <c r="M64" s="1328"/>
    </row>
    <row r="65" spans="1:16" s="1329" customFormat="1" ht="24" customHeight="1">
      <c r="A65" s="1330"/>
      <c r="B65" s="1331" t="s">
        <v>957</v>
      </c>
      <c r="C65" s="801"/>
      <c r="D65" s="801"/>
      <c r="E65" s="1019"/>
      <c r="F65" s="1310"/>
      <c r="G65" s="1400"/>
      <c r="H65" s="864"/>
      <c r="I65" s="1400"/>
      <c r="J65" s="1395"/>
      <c r="K65" s="966"/>
      <c r="L65" s="1019"/>
      <c r="M65" s="1328"/>
    </row>
    <row r="66" spans="1:16" s="1329" customFormat="1" ht="24" customHeight="1">
      <c r="A66" s="1330"/>
      <c r="B66" s="1331" t="s">
        <v>1239</v>
      </c>
      <c r="C66" s="801"/>
      <c r="D66" s="801"/>
      <c r="E66" s="1019"/>
      <c r="F66" s="1310"/>
      <c r="G66" s="1400"/>
      <c r="H66" s="864"/>
      <c r="I66" s="1400"/>
      <c r="J66" s="1395"/>
      <c r="K66" s="966"/>
      <c r="L66" s="1019"/>
      <c r="M66" s="1328"/>
    </row>
    <row r="67" spans="1:16" s="1329" customFormat="1" ht="24" customHeight="1">
      <c r="A67" s="1330"/>
      <c r="B67" s="1331" t="s">
        <v>1239</v>
      </c>
      <c r="C67" s="801"/>
      <c r="D67" s="801"/>
      <c r="E67" s="1019"/>
      <c r="F67" s="1310"/>
      <c r="G67" s="1400"/>
      <c r="H67" s="864"/>
      <c r="I67" s="1400"/>
      <c r="J67" s="1395"/>
      <c r="K67" s="966"/>
      <c r="L67" s="1019"/>
      <c r="M67" s="1328"/>
    </row>
    <row r="68" spans="1:16" s="1329" customFormat="1" ht="24" customHeight="1">
      <c r="A68" s="1510"/>
      <c r="B68" s="2475" t="str">
        <f>"รวมราคารายการที่ "&amp;A46</f>
        <v>รวมราคารายการที่ 7.2</v>
      </c>
      <c r="C68" s="2476"/>
      <c r="D68" s="2476"/>
      <c r="E68" s="1511"/>
      <c r="F68" s="1512"/>
      <c r="G68" s="1513"/>
      <c r="H68" s="1514">
        <f>SUM(H46:H67)</f>
        <v>3291700</v>
      </c>
      <c r="I68" s="1515"/>
      <c r="J68" s="1516">
        <f>SUM(J46:J67)</f>
        <v>353530</v>
      </c>
      <c r="K68" s="1517">
        <f>SUM(K46:K67)</f>
        <v>3645230</v>
      </c>
      <c r="L68" s="1517"/>
      <c r="M68" s="1328"/>
    </row>
    <row r="69" spans="1:16" s="1329" customFormat="1" ht="24" customHeight="1">
      <c r="A69" s="1383" t="s">
        <v>1920</v>
      </c>
      <c r="B69" s="1518" t="s">
        <v>1988</v>
      </c>
      <c r="C69" s="801"/>
      <c r="D69" s="801"/>
      <c r="E69" s="1019"/>
      <c r="F69" s="1310"/>
      <c r="G69" s="1400"/>
      <c r="H69" s="864"/>
      <c r="I69" s="1400"/>
      <c r="J69" s="1395"/>
      <c r="K69" s="966"/>
      <c r="L69" s="1019"/>
      <c r="M69" s="1328"/>
    </row>
    <row r="70" spans="1:16" s="1329" customFormat="1" ht="24" customHeight="1">
      <c r="A70" s="1330" t="s">
        <v>1922</v>
      </c>
      <c r="B70" s="1331" t="s">
        <v>1989</v>
      </c>
      <c r="C70" s="801"/>
      <c r="D70" s="801"/>
      <c r="E70" s="1019"/>
      <c r="F70" s="1310"/>
      <c r="G70" s="1400"/>
      <c r="H70" s="864"/>
      <c r="I70" s="1400"/>
      <c r="J70" s="1395"/>
      <c r="K70" s="966"/>
      <c r="L70" s="1019"/>
      <c r="M70" s="1328"/>
    </row>
    <row r="71" spans="1:16" customFormat="1" ht="21.3">
      <c r="A71" s="1340"/>
      <c r="B71" s="1331" t="str">
        <f>"  -  "&amp;M71&amp;", ("&amp;P71&amp;" kW,"&amp;N71&amp;" L/s)"</f>
        <v xml:space="preserve">  -  C2-6F-01 To 02, (4.5 kW,270 L/s)</v>
      </c>
      <c r="C71" s="1349"/>
      <c r="D71" s="801"/>
      <c r="E71" s="1022">
        <f>O71</f>
        <v>2</v>
      </c>
      <c r="F71" s="1333" t="s">
        <v>240</v>
      </c>
      <c r="G71" s="1392">
        <v>11100</v>
      </c>
      <c r="H71" s="864">
        <f t="shared" ref="H71" si="6">ROUND(E71*G71,)</f>
        <v>22200</v>
      </c>
      <c r="I71" s="1392">
        <v>1380.6000000000001</v>
      </c>
      <c r="J71" s="1395">
        <f t="shared" ref="J71" si="7">ROUND(E71*I71,)</f>
        <v>2761</v>
      </c>
      <c r="K71" s="966">
        <f t="shared" ref="K71" si="8">H71+J71</f>
        <v>24961</v>
      </c>
      <c r="L71" s="1022"/>
      <c r="M71" s="1420" t="s">
        <v>2484</v>
      </c>
      <c r="N71">
        <v>270</v>
      </c>
      <c r="O71">
        <v>2</v>
      </c>
      <c r="P71">
        <v>4.5</v>
      </c>
    </row>
    <row r="72" spans="1:16" s="1329" customFormat="1" ht="24" customHeight="1">
      <c r="A72" s="1330" t="s">
        <v>1924</v>
      </c>
      <c r="B72" s="1331" t="s">
        <v>2158</v>
      </c>
      <c r="C72" s="801"/>
      <c r="D72" s="801"/>
      <c r="E72" s="1022"/>
      <c r="F72" s="1333"/>
      <c r="G72" s="1392"/>
      <c r="H72" s="864"/>
      <c r="I72" s="1392"/>
      <c r="J72" s="1393"/>
      <c r="K72" s="1022"/>
      <c r="L72" s="1022"/>
      <c r="M72" s="1328"/>
    </row>
    <row r="73" spans="1:16" s="1329" customFormat="1" ht="24" customHeight="1">
      <c r="A73" s="1330"/>
      <c r="B73" s="1331" t="s">
        <v>2345</v>
      </c>
      <c r="C73" s="801"/>
      <c r="D73" s="801"/>
      <c r="E73" s="1022">
        <v>2</v>
      </c>
      <c r="F73" s="1333" t="s">
        <v>240</v>
      </c>
      <c r="G73" s="1392">
        <v>3000</v>
      </c>
      <c r="H73" s="864">
        <f t="shared" ref="H73:H74" si="9">ROUND(E73*G73,)</f>
        <v>6000</v>
      </c>
      <c r="I73" s="1396" t="s">
        <v>974</v>
      </c>
      <c r="J73" s="1395"/>
      <c r="K73" s="966">
        <f t="shared" ref="K73:K74" si="10">H73+J73</f>
        <v>6000</v>
      </c>
      <c r="L73" s="1022"/>
      <c r="M73" s="1328"/>
    </row>
    <row r="74" spans="1:16" s="1329" customFormat="1" ht="24" customHeight="1">
      <c r="A74" s="1340" t="s">
        <v>2020</v>
      </c>
      <c r="B74" s="1331" t="s">
        <v>1996</v>
      </c>
      <c r="C74" s="801"/>
      <c r="D74" s="801"/>
      <c r="E74" s="1022">
        <f>SUM(E71)*4</f>
        <v>8</v>
      </c>
      <c r="F74" s="1333" t="s">
        <v>240</v>
      </c>
      <c r="G74" s="1392">
        <v>800</v>
      </c>
      <c r="H74" s="864">
        <f t="shared" si="9"/>
        <v>6400</v>
      </c>
      <c r="I74" s="1392">
        <v>240</v>
      </c>
      <c r="J74" s="1395">
        <f t="shared" ref="J74" si="11">ROUND(E74*I74,)</f>
        <v>1920</v>
      </c>
      <c r="K74" s="966">
        <f t="shared" si="10"/>
        <v>8320</v>
      </c>
      <c r="L74" s="1022"/>
      <c r="M74" s="1328"/>
    </row>
    <row r="75" spans="1:16" s="1329" customFormat="1" ht="24" customHeight="1">
      <c r="A75" s="1510"/>
      <c r="B75" s="2475" t="str">
        <f>"รวมราคารายการที่ "&amp;A69</f>
        <v>รวมราคารายการที่ 7.3</v>
      </c>
      <c r="C75" s="2476"/>
      <c r="D75" s="2476"/>
      <c r="E75" s="1511"/>
      <c r="F75" s="1512"/>
      <c r="G75" s="1513"/>
      <c r="H75" s="1514">
        <f>SUM(H69:H74)</f>
        <v>34600</v>
      </c>
      <c r="I75" s="1515"/>
      <c r="J75" s="1516">
        <f>SUM(J69:J74)</f>
        <v>4681</v>
      </c>
      <c r="K75" s="1517">
        <f>SUM(K69:K74)</f>
        <v>39281</v>
      </c>
      <c r="L75" s="1517"/>
      <c r="M75" s="1328"/>
    </row>
    <row r="76" spans="1:16" s="1329" customFormat="1" ht="24" customHeight="1">
      <c r="A76" s="1325" t="s">
        <v>2027</v>
      </c>
      <c r="B76" s="1326" t="s">
        <v>1903</v>
      </c>
      <c r="C76" s="901"/>
      <c r="D76" s="901"/>
      <c r="E76" s="1019"/>
      <c r="F76" s="1310"/>
      <c r="G76" s="1400"/>
      <c r="H76" s="864">
        <f t="shared" ref="H76" si="12">ROUND(E76*G76,)</f>
        <v>0</v>
      </c>
      <c r="I76" s="1400">
        <f>G76*0.1</f>
        <v>0</v>
      </c>
      <c r="J76" s="1395">
        <f t="shared" ref="J76" si="13">ROUND(E76*I76,)</f>
        <v>0</v>
      </c>
      <c r="K76" s="966">
        <f t="shared" ref="K76" si="14">H76+J76</f>
        <v>0</v>
      </c>
      <c r="L76" s="1019"/>
      <c r="M76" s="1328"/>
    </row>
    <row r="77" spans="1:16" s="1329" customFormat="1" ht="24" customHeight="1">
      <c r="A77" s="1330" t="s">
        <v>1928</v>
      </c>
      <c r="B77" s="1331" t="s">
        <v>1998</v>
      </c>
      <c r="C77" s="801"/>
      <c r="D77" s="801"/>
      <c r="E77" s="1022"/>
      <c r="F77" s="1333"/>
      <c r="G77" s="1392"/>
      <c r="H77" s="751"/>
      <c r="I77" s="1392"/>
      <c r="J77" s="1393"/>
      <c r="K77" s="1022"/>
      <c r="L77" s="1022"/>
      <c r="M77" s="1328"/>
    </row>
    <row r="78" spans="1:16" s="1329" customFormat="1" ht="24" customHeight="1">
      <c r="A78" s="1330" t="s">
        <v>2160</v>
      </c>
      <c r="B78" s="1331" t="s">
        <v>1999</v>
      </c>
      <c r="C78" s="801"/>
      <c r="D78" s="801"/>
      <c r="E78" s="1019"/>
      <c r="F78" s="1310"/>
      <c r="G78" s="1400"/>
      <c r="H78" s="773"/>
      <c r="I78" s="1400"/>
      <c r="J78" s="1401"/>
      <c r="K78" s="1019"/>
      <c r="L78" s="1022"/>
      <c r="M78" s="1328"/>
    </row>
    <row r="79" spans="1:16" s="1329" customFormat="1" ht="24" customHeight="1">
      <c r="A79" s="1330"/>
      <c r="B79" s="1331" t="s">
        <v>1715</v>
      </c>
      <c r="C79" s="801"/>
      <c r="D79" s="801"/>
      <c r="E79" s="1019">
        <f>E73</f>
        <v>2</v>
      </c>
      <c r="F79" s="1333" t="s">
        <v>240</v>
      </c>
      <c r="G79" s="1392">
        <v>3672</v>
      </c>
      <c r="H79" s="864">
        <f t="shared" ref="H79" si="15">ROUND(E79*G79,)</f>
        <v>7344</v>
      </c>
      <c r="I79" s="1392">
        <v>150</v>
      </c>
      <c r="J79" s="1395">
        <f t="shared" ref="J79" si="16">ROUND(E79*I79,)</f>
        <v>300</v>
      </c>
      <c r="K79" s="966">
        <f t="shared" ref="K79" si="17">H79+J79</f>
        <v>7644</v>
      </c>
      <c r="L79" s="1022"/>
      <c r="M79" s="1328"/>
    </row>
    <row r="80" spans="1:16" s="1329" customFormat="1" ht="24" customHeight="1">
      <c r="A80" s="1330" t="s">
        <v>2161</v>
      </c>
      <c r="B80" s="1331" t="s">
        <v>2162</v>
      </c>
      <c r="C80" s="801"/>
      <c r="D80" s="801"/>
      <c r="E80" s="1022"/>
      <c r="F80" s="1333"/>
      <c r="G80" s="1392"/>
      <c r="H80" s="751"/>
      <c r="I80" s="1392"/>
      <c r="J80" s="1393"/>
      <c r="K80" s="1022"/>
      <c r="L80" s="1022"/>
      <c r="M80" s="1328"/>
    </row>
    <row r="81" spans="1:16" s="1329" customFormat="1" ht="24" customHeight="1">
      <c r="A81" s="1330"/>
      <c r="B81" s="1331" t="s">
        <v>1747</v>
      </c>
      <c r="C81" s="801"/>
      <c r="D81" s="801"/>
      <c r="E81" s="1022">
        <f>E63+E39</f>
        <v>16</v>
      </c>
      <c r="F81" s="1333" t="s">
        <v>240</v>
      </c>
      <c r="G81" s="1392">
        <v>9310</v>
      </c>
      <c r="H81" s="864">
        <f t="shared" ref="H81" si="18">ROUND(E81*G81,)</f>
        <v>148960</v>
      </c>
      <c r="I81" s="1392">
        <v>250</v>
      </c>
      <c r="J81" s="1395">
        <f t="shared" ref="J81" si="19">ROUND(E81*I81,)</f>
        <v>4000</v>
      </c>
      <c r="K81" s="966">
        <f t="shared" ref="K81" si="20">H81+J81</f>
        <v>152960</v>
      </c>
      <c r="L81" s="1022"/>
      <c r="M81" s="1328"/>
    </row>
    <row r="82" spans="1:16" s="1329" customFormat="1" ht="24" customHeight="1">
      <c r="A82" s="1340"/>
      <c r="B82" s="1331" t="s">
        <v>957</v>
      </c>
      <c r="C82" s="801"/>
      <c r="D82" s="801"/>
      <c r="E82" s="1022"/>
      <c r="F82" s="1333"/>
      <c r="G82" s="1392"/>
      <c r="H82" s="751"/>
      <c r="I82" s="1392"/>
      <c r="J82" s="1393"/>
      <c r="K82" s="1022"/>
      <c r="L82" s="1022"/>
      <c r="M82" s="1328"/>
    </row>
    <row r="83" spans="1:16" s="1329" customFormat="1" ht="24" customHeight="1">
      <c r="A83" s="1340"/>
      <c r="B83" s="1331" t="s">
        <v>958</v>
      </c>
      <c r="C83" s="801"/>
      <c r="D83" s="801"/>
      <c r="E83" s="1022"/>
      <c r="F83" s="1333"/>
      <c r="G83" s="1392"/>
      <c r="H83" s="751"/>
      <c r="I83" s="1392"/>
      <c r="J83" s="1393"/>
      <c r="K83" s="1022"/>
      <c r="L83" s="1022"/>
      <c r="M83" s="1328"/>
    </row>
    <row r="84" spans="1:16" s="1329" customFormat="1" ht="24" customHeight="1">
      <c r="A84" s="1510"/>
      <c r="B84" s="2475" t="str">
        <f>"รวมราคารายการที่ "&amp;A76</f>
        <v>รวมราคารายการที่ 7.4</v>
      </c>
      <c r="C84" s="2476"/>
      <c r="D84" s="2476"/>
      <c r="E84" s="1511"/>
      <c r="F84" s="1512"/>
      <c r="G84" s="1513"/>
      <c r="H84" s="1514">
        <f>SUM(H76:H83)</f>
        <v>156304</v>
      </c>
      <c r="I84" s="1515"/>
      <c r="J84" s="1516">
        <f>SUM(J76:J83)</f>
        <v>4300</v>
      </c>
      <c r="K84" s="1517">
        <f>SUM(K76:K83)</f>
        <v>160604</v>
      </c>
      <c r="L84" s="1517"/>
      <c r="M84" s="1328"/>
    </row>
    <row r="85" spans="1:16" s="1329" customFormat="1" ht="24" customHeight="1">
      <c r="A85" s="1325" t="s">
        <v>2030</v>
      </c>
      <c r="B85" s="1326" t="s">
        <v>2003</v>
      </c>
      <c r="C85" s="1347"/>
      <c r="D85" s="901"/>
      <c r="E85" s="1019"/>
      <c r="F85" s="1310"/>
      <c r="G85" s="1400"/>
      <c r="H85" s="864"/>
      <c r="I85" s="1400"/>
      <c r="J85" s="1395"/>
      <c r="K85" s="966"/>
      <c r="L85" s="1019"/>
      <c r="M85" s="1328"/>
    </row>
    <row r="86" spans="1:16" s="1329" customFormat="1" ht="24" customHeight="1">
      <c r="A86" s="1340" t="s">
        <v>1949</v>
      </c>
      <c r="B86" s="1331" t="s">
        <v>2004</v>
      </c>
      <c r="C86" s="801"/>
      <c r="D86" s="801"/>
      <c r="E86" s="1022"/>
      <c r="F86" s="1333"/>
      <c r="G86" s="1392"/>
      <c r="H86" s="751"/>
      <c r="I86" s="1392"/>
      <c r="J86" s="1393"/>
      <c r="K86" s="1022"/>
      <c r="L86" s="1022"/>
      <c r="M86" s="1328"/>
    </row>
    <row r="87" spans="1:16" s="1329" customFormat="1" ht="24" customHeight="1">
      <c r="A87" s="1340"/>
      <c r="B87" s="1331" t="str">
        <f t="shared" ref="B87:B88" si="21">"  -  "&amp;M87&amp;", ("&amp;N87&amp;" L/s)"</f>
        <v xml:space="preserve">  -  C1-6EAF-03, (1370 L/s)</v>
      </c>
      <c r="C87" s="801"/>
      <c r="D87" s="801"/>
      <c r="E87" s="1022">
        <f t="shared" ref="E87:E88" si="22">O87</f>
        <v>1</v>
      </c>
      <c r="F87" s="1333" t="s">
        <v>240</v>
      </c>
      <c r="G87" s="1400">
        <v>20000</v>
      </c>
      <c r="H87" s="864">
        <f t="shared" ref="H87:H88" si="23">ROUND(E87*G87,)</f>
        <v>20000</v>
      </c>
      <c r="I87" s="1400">
        <v>1000</v>
      </c>
      <c r="J87" s="1395">
        <f t="shared" ref="J87:J88" si="24">ROUND(E87*I87,)</f>
        <v>1000</v>
      </c>
      <c r="K87" s="966">
        <f t="shared" ref="K87:K88" si="25">H87+J87</f>
        <v>21000</v>
      </c>
      <c r="L87" s="1022"/>
      <c r="M87" s="1328" t="s">
        <v>2485</v>
      </c>
      <c r="N87" s="1329">
        <v>1370</v>
      </c>
      <c r="O87" s="1329">
        <v>1</v>
      </c>
    </row>
    <row r="88" spans="1:16" s="1329" customFormat="1" ht="24" customHeight="1">
      <c r="A88" s="1340"/>
      <c r="B88" s="1331" t="str">
        <f t="shared" si="21"/>
        <v xml:space="preserve">  -  C2-6EAF-03, (1470 L/s)</v>
      </c>
      <c r="C88" s="801"/>
      <c r="D88" s="801"/>
      <c r="E88" s="1022">
        <f t="shared" si="22"/>
        <v>1</v>
      </c>
      <c r="F88" s="1333" t="s">
        <v>240</v>
      </c>
      <c r="G88" s="1400">
        <v>26000</v>
      </c>
      <c r="H88" s="864">
        <f t="shared" si="23"/>
        <v>26000</v>
      </c>
      <c r="I88" s="1400">
        <v>1300</v>
      </c>
      <c r="J88" s="1395">
        <f t="shared" si="24"/>
        <v>1300</v>
      </c>
      <c r="K88" s="966">
        <f t="shared" si="25"/>
        <v>27300</v>
      </c>
      <c r="L88" s="1022"/>
      <c r="M88" s="1328" t="s">
        <v>2486</v>
      </c>
      <c r="N88" s="1329">
        <v>1470</v>
      </c>
      <c r="O88" s="1329">
        <v>1</v>
      </c>
    </row>
    <row r="89" spans="1:16" s="1329" customFormat="1" ht="24" customHeight="1">
      <c r="A89" s="1340" t="s">
        <v>1955</v>
      </c>
      <c r="B89" s="1331" t="s">
        <v>2021</v>
      </c>
      <c r="C89" s="801"/>
      <c r="D89" s="801"/>
      <c r="E89" s="1022"/>
      <c r="F89" s="1333"/>
      <c r="G89" s="1392"/>
      <c r="H89" s="751"/>
      <c r="I89" s="1392"/>
      <c r="J89" s="1393"/>
      <c r="K89" s="1022"/>
      <c r="L89" s="1022"/>
      <c r="M89" s="1328"/>
    </row>
    <row r="90" spans="1:16" s="1329" customFormat="1" ht="24" customHeight="1">
      <c r="A90" s="1340"/>
      <c r="B90" s="1331" t="str">
        <f t="shared" ref="B90:B93" si="26">"  -  "&amp;M90&amp;", ("&amp;N90&amp;" L/s)"</f>
        <v xml:space="preserve">  -  C1-6EAF-01, (115 L/s)</v>
      </c>
      <c r="C90" s="801"/>
      <c r="D90" s="801"/>
      <c r="E90" s="1022">
        <f t="shared" ref="E90:E93" si="27">O90</f>
        <v>1</v>
      </c>
      <c r="F90" s="1333" t="s">
        <v>240</v>
      </c>
      <c r="G90" s="1392">
        <v>1040</v>
      </c>
      <c r="H90" s="864">
        <f t="shared" ref="H90:H94" si="28">ROUND(E90*G90,)</f>
        <v>1040</v>
      </c>
      <c r="I90" s="1392">
        <v>500</v>
      </c>
      <c r="J90" s="1395">
        <f t="shared" ref="J90:J94" si="29">ROUND(E90*I90,)</f>
        <v>500</v>
      </c>
      <c r="K90" s="966">
        <f t="shared" ref="K90:K94" si="30">H90+J90</f>
        <v>1540</v>
      </c>
      <c r="L90" s="1022"/>
      <c r="M90" s="1328" t="s">
        <v>2487</v>
      </c>
      <c r="N90" s="1329">
        <v>115</v>
      </c>
      <c r="O90" s="1329">
        <v>1</v>
      </c>
    </row>
    <row r="91" spans="1:16" s="1329" customFormat="1" ht="24" customHeight="1">
      <c r="A91" s="1340"/>
      <c r="B91" s="1331" t="str">
        <f t="shared" si="26"/>
        <v xml:space="preserve">  -  C1-6EAF-02, (115 L/s)</v>
      </c>
      <c r="C91" s="801"/>
      <c r="D91" s="801"/>
      <c r="E91" s="1022">
        <f t="shared" si="27"/>
        <v>1</v>
      </c>
      <c r="F91" s="1333" t="s">
        <v>240</v>
      </c>
      <c r="G91" s="1392">
        <v>1040</v>
      </c>
      <c r="H91" s="864">
        <f t="shared" si="28"/>
        <v>1040</v>
      </c>
      <c r="I91" s="1392">
        <v>500</v>
      </c>
      <c r="J91" s="1395">
        <f t="shared" si="29"/>
        <v>500</v>
      </c>
      <c r="K91" s="966">
        <f t="shared" si="30"/>
        <v>1540</v>
      </c>
      <c r="L91" s="1022"/>
      <c r="M91" s="1328" t="s">
        <v>2488</v>
      </c>
      <c r="N91" s="1329">
        <v>115</v>
      </c>
      <c r="O91" s="1329">
        <v>1</v>
      </c>
    </row>
    <row r="92" spans="1:16" s="1329" customFormat="1" ht="24" customHeight="1">
      <c r="A92" s="1340"/>
      <c r="B92" s="1331" t="str">
        <f t="shared" si="26"/>
        <v xml:space="preserve">  -  C2-6EAF-01, (115 L/s)</v>
      </c>
      <c r="C92" s="801"/>
      <c r="D92" s="801"/>
      <c r="E92" s="1022">
        <f t="shared" si="27"/>
        <v>1</v>
      </c>
      <c r="F92" s="1333" t="s">
        <v>240</v>
      </c>
      <c r="G92" s="1392">
        <v>1040</v>
      </c>
      <c r="H92" s="864">
        <f t="shared" si="28"/>
        <v>1040</v>
      </c>
      <c r="I92" s="1392">
        <v>500</v>
      </c>
      <c r="J92" s="1395">
        <f t="shared" si="29"/>
        <v>500</v>
      </c>
      <c r="K92" s="966">
        <f t="shared" si="30"/>
        <v>1540</v>
      </c>
      <c r="L92" s="1022"/>
      <c r="M92" s="1328" t="s">
        <v>2489</v>
      </c>
      <c r="N92" s="1329">
        <v>115</v>
      </c>
      <c r="O92" s="1329">
        <v>1</v>
      </c>
    </row>
    <row r="93" spans="1:16" s="1329" customFormat="1" ht="24" customHeight="1">
      <c r="A93" s="1340"/>
      <c r="B93" s="1331" t="str">
        <f t="shared" si="26"/>
        <v xml:space="preserve">  -  C2-6EAF-02, (115 L/s)</v>
      </c>
      <c r="C93" s="801"/>
      <c r="D93" s="801"/>
      <c r="E93" s="1022">
        <f t="shared" si="27"/>
        <v>1</v>
      </c>
      <c r="F93" s="1333" t="s">
        <v>240</v>
      </c>
      <c r="G93" s="1392">
        <v>1040</v>
      </c>
      <c r="H93" s="864">
        <f t="shared" si="28"/>
        <v>1040</v>
      </c>
      <c r="I93" s="1392">
        <v>500</v>
      </c>
      <c r="J93" s="1395">
        <f t="shared" si="29"/>
        <v>500</v>
      </c>
      <c r="K93" s="966">
        <f t="shared" si="30"/>
        <v>1540</v>
      </c>
      <c r="L93" s="966"/>
      <c r="M93" s="1534" t="s">
        <v>2490</v>
      </c>
      <c r="N93" s="1535">
        <v>115</v>
      </c>
      <c r="O93" s="1404">
        <v>1</v>
      </c>
      <c r="P93" s="1536"/>
    </row>
    <row r="94" spans="1:16" s="1329" customFormat="1" ht="24" customHeight="1">
      <c r="A94" s="1340" t="s">
        <v>2173</v>
      </c>
      <c r="B94" s="1331" t="s">
        <v>1996</v>
      </c>
      <c r="C94" s="801"/>
      <c r="D94" s="801"/>
      <c r="E94" s="1022">
        <f>SUM(E87:E93)</f>
        <v>6</v>
      </c>
      <c r="F94" s="1333" t="s">
        <v>948</v>
      </c>
      <c r="G94" s="1392">
        <v>800</v>
      </c>
      <c r="H94" s="864">
        <f t="shared" si="28"/>
        <v>4800</v>
      </c>
      <c r="I94" s="1392">
        <f>G94*0.3</f>
        <v>240</v>
      </c>
      <c r="J94" s="1395">
        <f t="shared" si="29"/>
        <v>1440</v>
      </c>
      <c r="K94" s="966">
        <f t="shared" si="30"/>
        <v>6240</v>
      </c>
      <c r="L94" s="1022"/>
      <c r="M94" s="1328"/>
    </row>
    <row r="95" spans="1:16" s="1329" customFormat="1" ht="24" customHeight="1">
      <c r="A95" s="1340"/>
      <c r="B95" s="1331" t="s">
        <v>957</v>
      </c>
      <c r="C95" s="801"/>
      <c r="D95" s="801"/>
      <c r="E95" s="1022"/>
      <c r="F95" s="1333"/>
      <c r="G95" s="1392"/>
      <c r="H95" s="751"/>
      <c r="I95" s="1392"/>
      <c r="J95" s="1393"/>
      <c r="K95" s="1022"/>
      <c r="L95" s="1022"/>
      <c r="M95" s="1328"/>
    </row>
    <row r="96" spans="1:16" s="1329" customFormat="1" ht="24" customHeight="1">
      <c r="A96" s="1340"/>
      <c r="B96" s="1331" t="s">
        <v>958</v>
      </c>
      <c r="C96" s="801"/>
      <c r="D96" s="801"/>
      <c r="E96" s="1022"/>
      <c r="F96" s="1333"/>
      <c r="G96" s="1392"/>
      <c r="H96" s="751"/>
      <c r="I96" s="1392"/>
      <c r="J96" s="1393"/>
      <c r="K96" s="1022"/>
      <c r="L96" s="1022"/>
      <c r="M96" s="1328"/>
    </row>
    <row r="97" spans="1:13" s="1329" customFormat="1" ht="24" customHeight="1">
      <c r="A97" s="1340"/>
      <c r="B97" s="1331" t="s">
        <v>958</v>
      </c>
      <c r="C97" s="801"/>
      <c r="D97" s="801"/>
      <c r="E97" s="1022"/>
      <c r="F97" s="1333"/>
      <c r="G97" s="1392"/>
      <c r="H97" s="751"/>
      <c r="I97" s="1392"/>
      <c r="J97" s="1393"/>
      <c r="K97" s="1022"/>
      <c r="L97" s="1022"/>
      <c r="M97" s="1328"/>
    </row>
    <row r="98" spans="1:13" s="1329" customFormat="1" ht="24" customHeight="1">
      <c r="A98" s="1397"/>
      <c r="B98" s="1335"/>
      <c r="C98" s="890"/>
      <c r="D98" s="890"/>
      <c r="E98" s="1080"/>
      <c r="F98" s="1338"/>
      <c r="G98" s="1398"/>
      <c r="H98" s="765"/>
      <c r="I98" s="1398"/>
      <c r="J98" s="1399"/>
      <c r="K98" s="1080"/>
      <c r="L98" s="1080"/>
      <c r="M98" s="1328"/>
    </row>
    <row r="99" spans="1:13" s="886" customFormat="1" ht="24" customHeight="1">
      <c r="A99" s="1510"/>
      <c r="B99" s="2475" t="str">
        <f>"รวมราคารายการที่ "&amp;A85</f>
        <v>รวมราคารายการที่ 7.5</v>
      </c>
      <c r="C99" s="2476"/>
      <c r="D99" s="2476"/>
      <c r="E99" s="1511"/>
      <c r="F99" s="1512"/>
      <c r="G99" s="1513"/>
      <c r="H99" s="1514">
        <f>SUM(H85:H98)</f>
        <v>54960</v>
      </c>
      <c r="I99" s="1515"/>
      <c r="J99" s="1516">
        <f>SUM(J85:J98)</f>
        <v>5740</v>
      </c>
      <c r="K99" s="1517">
        <f>SUM(K85:K98)</f>
        <v>60700</v>
      </c>
      <c r="L99" s="1517"/>
      <c r="M99" s="1342"/>
    </row>
    <row r="100" spans="1:13" s="1329" customFormat="1" ht="24" customHeight="1">
      <c r="A100" s="1325" t="s">
        <v>2032</v>
      </c>
      <c r="B100" s="1326" t="s">
        <v>2174</v>
      </c>
      <c r="C100" s="1347"/>
      <c r="D100" s="901"/>
      <c r="E100" s="1019"/>
      <c r="F100" s="1310"/>
      <c r="G100" s="1400"/>
      <c r="H100" s="864"/>
      <c r="I100" s="1400"/>
      <c r="J100" s="1395"/>
      <c r="K100" s="966"/>
      <c r="L100" s="1019"/>
      <c r="M100" s="1328"/>
    </row>
    <row r="101" spans="1:13" s="1329" customFormat="1" ht="24" customHeight="1">
      <c r="A101" s="1330" t="s">
        <v>1960</v>
      </c>
      <c r="B101" s="1331" t="s">
        <v>2175</v>
      </c>
      <c r="C101" s="801"/>
      <c r="D101" s="801"/>
      <c r="E101" s="1022"/>
      <c r="F101" s="1333"/>
      <c r="G101" s="1392"/>
      <c r="H101" s="751"/>
      <c r="I101" s="1392"/>
      <c r="J101" s="1393"/>
      <c r="K101" s="1022"/>
      <c r="L101" s="1022"/>
      <c r="M101" s="1328"/>
    </row>
    <row r="102" spans="1:13" s="1329" customFormat="1" ht="24" customHeight="1">
      <c r="A102" s="1330"/>
      <c r="B102" s="1331" t="s">
        <v>2176</v>
      </c>
      <c r="C102" s="801"/>
      <c r="D102" s="801"/>
      <c r="E102" s="1022">
        <f>E63+E73</f>
        <v>16</v>
      </c>
      <c r="F102" s="1333" t="s">
        <v>240</v>
      </c>
      <c r="G102" s="1497">
        <v>800</v>
      </c>
      <c r="H102" s="1180">
        <f>E102*G102</f>
        <v>12800</v>
      </c>
      <c r="I102" s="849">
        <v>150</v>
      </c>
      <c r="J102" s="1498">
        <f>I102*E102</f>
        <v>2400</v>
      </c>
      <c r="K102" s="1182">
        <f>H102+J102</f>
        <v>15200</v>
      </c>
      <c r="L102" s="1022"/>
      <c r="M102" s="1328"/>
    </row>
    <row r="103" spans="1:13" s="1329" customFormat="1" ht="24" customHeight="1">
      <c r="A103" s="1330" t="s">
        <v>1964</v>
      </c>
      <c r="B103" s="1331" t="s">
        <v>2177</v>
      </c>
      <c r="C103" s="801"/>
      <c r="D103" s="801"/>
      <c r="E103" s="1022"/>
      <c r="F103" s="1333"/>
      <c r="G103" s="1392"/>
      <c r="H103" s="751"/>
      <c r="I103" s="1392"/>
      <c r="J103" s="1393"/>
      <c r="K103" s="1022"/>
      <c r="L103" s="1022"/>
      <c r="M103" s="1328"/>
    </row>
    <row r="104" spans="1:13" s="1329" customFormat="1" ht="24" customHeight="1">
      <c r="A104" s="1330"/>
      <c r="B104" s="1331" t="s">
        <v>2178</v>
      </c>
      <c r="C104" s="801"/>
      <c r="D104" s="801"/>
      <c r="E104" s="1022">
        <f>E39</f>
        <v>2</v>
      </c>
      <c r="F104" s="1333" t="s">
        <v>240</v>
      </c>
      <c r="G104" s="1497">
        <v>2600</v>
      </c>
      <c r="H104" s="1180">
        <f>E104*G104</f>
        <v>5200</v>
      </c>
      <c r="I104" s="849">
        <v>200</v>
      </c>
      <c r="J104" s="1498">
        <f>I104*E104</f>
        <v>400</v>
      </c>
      <c r="K104" s="1182">
        <f>H104+J104</f>
        <v>5600</v>
      </c>
      <c r="L104" s="1022"/>
      <c r="M104" s="1328"/>
    </row>
    <row r="105" spans="1:13" s="1329" customFormat="1" ht="24" customHeight="1">
      <c r="A105" s="1330"/>
      <c r="B105" s="1331" t="s">
        <v>957</v>
      </c>
      <c r="C105" s="801"/>
      <c r="D105" s="801"/>
      <c r="E105" s="1022"/>
      <c r="F105" s="1333"/>
      <c r="G105" s="1392"/>
      <c r="H105" s="751"/>
      <c r="I105" s="1392"/>
      <c r="J105" s="1393"/>
      <c r="K105" s="1022"/>
      <c r="L105" s="1022"/>
      <c r="M105" s="1328"/>
    </row>
    <row r="106" spans="1:13" s="1329" customFormat="1" ht="24" customHeight="1">
      <c r="A106" s="1340"/>
      <c r="B106" s="1331" t="s">
        <v>1102</v>
      </c>
      <c r="C106" s="801"/>
      <c r="D106" s="801"/>
      <c r="E106" s="1022"/>
      <c r="F106" s="1333"/>
      <c r="G106" s="1392"/>
      <c r="H106" s="751"/>
      <c r="I106" s="1392"/>
      <c r="J106" s="1393"/>
      <c r="K106" s="1022"/>
      <c r="L106" s="1022"/>
      <c r="M106" s="1328"/>
    </row>
    <row r="107" spans="1:13" s="1329" customFormat="1" ht="24" customHeight="1">
      <c r="A107" s="1340"/>
      <c r="B107" s="1331" t="s">
        <v>1102</v>
      </c>
      <c r="C107" s="801"/>
      <c r="D107" s="801"/>
      <c r="E107" s="1022"/>
      <c r="F107" s="1333"/>
      <c r="G107" s="1392"/>
      <c r="H107" s="751"/>
      <c r="I107" s="1392"/>
      <c r="J107" s="1393"/>
      <c r="K107" s="1022"/>
      <c r="L107" s="1022"/>
      <c r="M107" s="1328"/>
    </row>
    <row r="108" spans="1:13" s="1329" customFormat="1" ht="24" customHeight="1">
      <c r="A108" s="1397"/>
      <c r="B108" s="1335"/>
      <c r="C108" s="890"/>
      <c r="D108" s="890"/>
      <c r="E108" s="1080"/>
      <c r="F108" s="1338"/>
      <c r="G108" s="1398"/>
      <c r="H108" s="765"/>
      <c r="I108" s="1398"/>
      <c r="J108" s="1399"/>
      <c r="K108" s="1080"/>
      <c r="L108" s="1080"/>
      <c r="M108" s="1328"/>
    </row>
    <row r="109" spans="1:13" s="1329" customFormat="1" ht="24" customHeight="1">
      <c r="A109" s="1510"/>
      <c r="B109" s="2475" t="str">
        <f>"รวมราคารายการที่ "&amp;A100</f>
        <v>รวมราคารายการที่ 7.6</v>
      </c>
      <c r="C109" s="2476"/>
      <c r="D109" s="2476"/>
      <c r="E109" s="1511"/>
      <c r="F109" s="1512"/>
      <c r="G109" s="1513"/>
      <c r="H109" s="1514">
        <f>SUM(H100:H108)</f>
        <v>18000</v>
      </c>
      <c r="I109" s="1515"/>
      <c r="J109" s="1516">
        <f>SUM(J100:J108)</f>
        <v>2800</v>
      </c>
      <c r="K109" s="1517">
        <f>SUM(K100:K108)</f>
        <v>20800</v>
      </c>
      <c r="L109" s="1517"/>
      <c r="M109" s="1328"/>
    </row>
    <row r="110" spans="1:13" s="1329" customFormat="1" ht="24" customHeight="1">
      <c r="A110" s="1325" t="s">
        <v>1967</v>
      </c>
      <c r="B110" s="1326" t="s">
        <v>1909</v>
      </c>
      <c r="C110" s="901"/>
      <c r="D110" s="901"/>
      <c r="E110" s="1019"/>
      <c r="F110" s="1310"/>
      <c r="G110" s="1400"/>
      <c r="H110" s="864"/>
      <c r="I110" s="1400"/>
      <c r="J110" s="1395"/>
      <c r="K110" s="966"/>
      <c r="L110" s="1019"/>
      <c r="M110" s="1328"/>
    </row>
    <row r="111" spans="1:13" s="1329" customFormat="1" ht="24" customHeight="1">
      <c r="A111" s="1330" t="s">
        <v>1969</v>
      </c>
      <c r="B111" s="1331" t="s">
        <v>1911</v>
      </c>
      <c r="C111" s="801"/>
      <c r="D111" s="801"/>
      <c r="E111" s="1022"/>
      <c r="F111" s="1333"/>
      <c r="G111" s="1392"/>
      <c r="H111" s="751"/>
      <c r="I111" s="1392"/>
      <c r="J111" s="1393"/>
      <c r="K111" s="1022"/>
      <c r="L111" s="1022"/>
      <c r="M111" s="1328"/>
    </row>
    <row r="112" spans="1:13" s="1329" customFormat="1" ht="24" customHeight="1">
      <c r="A112" s="1481"/>
      <c r="B112" s="1331" t="s">
        <v>2028</v>
      </c>
      <c r="C112" s="801"/>
      <c r="D112" s="801"/>
      <c r="E112" s="1019"/>
      <c r="F112" s="1348" t="s">
        <v>438</v>
      </c>
      <c r="G112" s="1479">
        <v>69.5</v>
      </c>
      <c r="H112" s="1499">
        <f>ROUND(E112*G112,)</f>
        <v>0</v>
      </c>
      <c r="I112" s="1480">
        <v>30</v>
      </c>
      <c r="J112" s="1500">
        <f>ROUND(E112*I112,)</f>
        <v>0</v>
      </c>
      <c r="K112" s="1403">
        <f t="shared" ref="K112:K123" si="31">H112+J112</f>
        <v>0</v>
      </c>
      <c r="L112" s="1019"/>
      <c r="M112" s="1328"/>
    </row>
    <row r="113" spans="1:15" s="1329" customFormat="1" ht="24" customHeight="1">
      <c r="A113" s="1481"/>
      <c r="B113" s="1331" t="s">
        <v>1822</v>
      </c>
      <c r="C113" s="801"/>
      <c r="D113" s="801"/>
      <c r="E113" s="1019">
        <v>5</v>
      </c>
      <c r="F113" s="1348" t="s">
        <v>438</v>
      </c>
      <c r="G113" s="1257">
        <v>103.5</v>
      </c>
      <c r="H113" s="1499">
        <f t="shared" ref="H113:H123" si="32">ROUND(E113*G113,)</f>
        <v>518</v>
      </c>
      <c r="I113" s="849">
        <v>45</v>
      </c>
      <c r="J113" s="1500">
        <f t="shared" ref="J113:J123" si="33">ROUND(E113*I113,)</f>
        <v>225</v>
      </c>
      <c r="K113" s="1403">
        <f t="shared" si="31"/>
        <v>743</v>
      </c>
      <c r="L113" s="1019"/>
      <c r="M113" s="1328"/>
    </row>
    <row r="114" spans="1:15" s="1329" customFormat="1" ht="24" customHeight="1">
      <c r="A114" s="1481"/>
      <c r="B114" s="1331" t="s">
        <v>1186</v>
      </c>
      <c r="C114" s="801"/>
      <c r="D114" s="801"/>
      <c r="E114" s="1019">
        <v>11</v>
      </c>
      <c r="F114" s="1348" t="s">
        <v>438</v>
      </c>
      <c r="G114" s="1257">
        <v>140</v>
      </c>
      <c r="H114" s="1499">
        <f t="shared" si="32"/>
        <v>1540</v>
      </c>
      <c r="I114" s="849">
        <v>60</v>
      </c>
      <c r="J114" s="1500">
        <f t="shared" si="33"/>
        <v>660</v>
      </c>
      <c r="K114" s="1403">
        <f t="shared" si="31"/>
        <v>2200</v>
      </c>
      <c r="L114" s="1019"/>
      <c r="M114" s="1328"/>
    </row>
    <row r="115" spans="1:15" s="1329" customFormat="1" ht="24" customHeight="1">
      <c r="A115" s="1481"/>
      <c r="B115" s="1331" t="s">
        <v>1187</v>
      </c>
      <c r="C115" s="801"/>
      <c r="D115" s="801"/>
      <c r="E115" s="1019">
        <v>152</v>
      </c>
      <c r="F115" s="1348" t="s">
        <v>438</v>
      </c>
      <c r="G115" s="1402">
        <v>168</v>
      </c>
      <c r="H115" s="1499">
        <f t="shared" si="32"/>
        <v>25536</v>
      </c>
      <c r="I115" s="1496">
        <v>70</v>
      </c>
      <c r="J115" s="1500">
        <f t="shared" si="33"/>
        <v>10640</v>
      </c>
      <c r="K115" s="1403">
        <f t="shared" si="31"/>
        <v>36176</v>
      </c>
      <c r="L115" s="1019"/>
      <c r="M115" s="1328"/>
    </row>
    <row r="116" spans="1:15" s="1329" customFormat="1" ht="24" customHeight="1">
      <c r="A116" s="1481"/>
      <c r="B116" s="1331" t="s">
        <v>1188</v>
      </c>
      <c r="C116" s="801"/>
      <c r="D116" s="801"/>
      <c r="E116" s="1019">
        <v>65</v>
      </c>
      <c r="F116" s="1348" t="s">
        <v>438</v>
      </c>
      <c r="G116" s="1402">
        <v>225</v>
      </c>
      <c r="H116" s="1499">
        <f t="shared" si="32"/>
        <v>14625</v>
      </c>
      <c r="I116" s="1496">
        <v>95</v>
      </c>
      <c r="J116" s="1500">
        <f t="shared" si="33"/>
        <v>6175</v>
      </c>
      <c r="K116" s="1403">
        <f t="shared" si="31"/>
        <v>20800</v>
      </c>
      <c r="L116" s="1019"/>
      <c r="M116" s="1328"/>
    </row>
    <row r="117" spans="1:15" s="1329" customFormat="1" ht="24" customHeight="1">
      <c r="A117" s="1481"/>
      <c r="B117" s="1331" t="s">
        <v>1189</v>
      </c>
      <c r="C117" s="801"/>
      <c r="D117" s="801"/>
      <c r="E117" s="1019">
        <v>76</v>
      </c>
      <c r="F117" s="1348" t="s">
        <v>438</v>
      </c>
      <c r="G117" s="1400">
        <v>357</v>
      </c>
      <c r="H117" s="1499">
        <f t="shared" si="32"/>
        <v>27132</v>
      </c>
      <c r="I117" s="1400">
        <v>150</v>
      </c>
      <c r="J117" s="1500">
        <f t="shared" si="33"/>
        <v>11400</v>
      </c>
      <c r="K117" s="1403">
        <f t="shared" si="31"/>
        <v>38532</v>
      </c>
      <c r="L117" s="1019"/>
      <c r="M117" s="1328"/>
    </row>
    <row r="118" spans="1:15" s="1329" customFormat="1" ht="24" customHeight="1">
      <c r="A118" s="1481"/>
      <c r="B118" s="1331" t="s">
        <v>1190</v>
      </c>
      <c r="C118" s="801"/>
      <c r="D118" s="801"/>
      <c r="E118" s="1019">
        <v>80</v>
      </c>
      <c r="F118" s="1348" t="s">
        <v>438</v>
      </c>
      <c r="G118" s="1400">
        <v>467</v>
      </c>
      <c r="H118" s="1499">
        <f t="shared" si="32"/>
        <v>37360</v>
      </c>
      <c r="I118" s="1400">
        <v>200</v>
      </c>
      <c r="J118" s="1500">
        <f t="shared" si="33"/>
        <v>16000</v>
      </c>
      <c r="K118" s="1403">
        <f t="shared" si="31"/>
        <v>53360</v>
      </c>
      <c r="L118" s="1019"/>
      <c r="M118" s="1328"/>
    </row>
    <row r="119" spans="1:15" s="1329" customFormat="1" ht="24" customHeight="1">
      <c r="A119" s="1481"/>
      <c r="B119" s="1331" t="s">
        <v>951</v>
      </c>
      <c r="C119" s="801"/>
      <c r="D119" s="801"/>
      <c r="E119" s="1019">
        <v>262</v>
      </c>
      <c r="F119" s="1348" t="s">
        <v>438</v>
      </c>
      <c r="G119" s="1400">
        <v>650</v>
      </c>
      <c r="H119" s="1499">
        <f t="shared" si="32"/>
        <v>170300</v>
      </c>
      <c r="I119" s="1400">
        <v>280</v>
      </c>
      <c r="J119" s="1500">
        <f t="shared" si="33"/>
        <v>73360</v>
      </c>
      <c r="K119" s="1403">
        <f t="shared" si="31"/>
        <v>243660</v>
      </c>
      <c r="L119" s="1019"/>
      <c r="M119" s="1328"/>
    </row>
    <row r="120" spans="1:15" s="1329" customFormat="1" ht="24" customHeight="1">
      <c r="A120" s="1481"/>
      <c r="B120" s="1331" t="s">
        <v>1809</v>
      </c>
      <c r="C120" s="801"/>
      <c r="D120" s="801"/>
      <c r="E120" s="1019"/>
      <c r="F120" s="1348" t="s">
        <v>438</v>
      </c>
      <c r="G120" s="1400">
        <v>1168</v>
      </c>
      <c r="H120" s="1499">
        <f t="shared" si="32"/>
        <v>0</v>
      </c>
      <c r="I120" s="1400">
        <v>420</v>
      </c>
      <c r="J120" s="1500">
        <f t="shared" si="33"/>
        <v>0</v>
      </c>
      <c r="K120" s="1403">
        <f t="shared" si="31"/>
        <v>0</v>
      </c>
      <c r="L120" s="1019"/>
      <c r="M120" s="1328"/>
    </row>
    <row r="121" spans="1:15" s="1329" customFormat="1" ht="24" customHeight="1">
      <c r="A121" s="1481"/>
      <c r="B121" s="1331" t="s">
        <v>1645</v>
      </c>
      <c r="C121" s="801"/>
      <c r="D121" s="801"/>
      <c r="E121" s="1019">
        <v>1</v>
      </c>
      <c r="F121" s="1310" t="s">
        <v>948</v>
      </c>
      <c r="G121" s="1402">
        <f>ROUND(SUM(H112:H120)*50%,)</f>
        <v>138506</v>
      </c>
      <c r="H121" s="1499">
        <f t="shared" si="32"/>
        <v>138506</v>
      </c>
      <c r="I121" s="1402">
        <f>ROUND(G121*0.3,)</f>
        <v>41552</v>
      </c>
      <c r="J121" s="1500">
        <f t="shared" si="33"/>
        <v>41552</v>
      </c>
      <c r="K121" s="1403">
        <f t="shared" si="31"/>
        <v>180058</v>
      </c>
      <c r="L121" s="1019"/>
      <c r="M121" s="1328"/>
    </row>
    <row r="122" spans="1:15" s="1329" customFormat="1" ht="24" customHeight="1">
      <c r="A122" s="1481"/>
      <c r="B122" s="1331" t="s">
        <v>1646</v>
      </c>
      <c r="C122" s="801"/>
      <c r="D122" s="801"/>
      <c r="E122" s="1019">
        <v>1</v>
      </c>
      <c r="F122" s="1310" t="s">
        <v>948</v>
      </c>
      <c r="G122" s="1402">
        <f>ROUND(SUM(H112:H120)*20%,)</f>
        <v>55402</v>
      </c>
      <c r="H122" s="905">
        <f t="shared" si="32"/>
        <v>55402</v>
      </c>
      <c r="I122" s="1402">
        <f>ROUND(SUM(J112:J121)*20%,)</f>
        <v>32002</v>
      </c>
      <c r="J122" s="1500">
        <f t="shared" si="33"/>
        <v>32002</v>
      </c>
      <c r="K122" s="1403">
        <f t="shared" si="31"/>
        <v>87404</v>
      </c>
      <c r="L122" s="1019"/>
      <c r="M122" s="1328"/>
    </row>
    <row r="123" spans="1:15" s="1329" customFormat="1" ht="24" customHeight="1">
      <c r="A123" s="1481"/>
      <c r="B123" s="1331" t="s">
        <v>1647</v>
      </c>
      <c r="C123" s="801"/>
      <c r="D123" s="801"/>
      <c r="E123" s="1019">
        <v>1</v>
      </c>
      <c r="F123" s="1310" t="s">
        <v>948</v>
      </c>
      <c r="G123" s="1402">
        <f>ROUND(SUM(H112:H120)*10%,)</f>
        <v>27701</v>
      </c>
      <c r="H123" s="905">
        <f t="shared" si="32"/>
        <v>27701</v>
      </c>
      <c r="I123" s="1402">
        <f>ROUND(SUM(J112:J121)*10%,)</f>
        <v>16001</v>
      </c>
      <c r="J123" s="1500">
        <f t="shared" si="33"/>
        <v>16001</v>
      </c>
      <c r="K123" s="1403">
        <f t="shared" si="31"/>
        <v>43702</v>
      </c>
      <c r="L123" s="1019"/>
      <c r="M123" s="1328"/>
    </row>
    <row r="124" spans="1:15" s="1329" customFormat="1" ht="24" customHeight="1">
      <c r="A124" s="1481" t="s">
        <v>1974</v>
      </c>
      <c r="B124" s="1331" t="s">
        <v>1917</v>
      </c>
      <c r="C124" s="801"/>
      <c r="D124" s="801"/>
      <c r="E124" s="1019"/>
      <c r="F124" s="1310"/>
      <c r="G124" s="1400"/>
      <c r="H124" s="773"/>
      <c r="I124" s="1400"/>
      <c r="J124" s="1401"/>
      <c r="K124" s="1019"/>
      <c r="L124" s="1019"/>
      <c r="M124" s="1328"/>
    </row>
    <row r="125" spans="1:15" s="1329" customFormat="1" ht="24" customHeight="1">
      <c r="A125" s="1481"/>
      <c r="B125" s="1331" t="s">
        <v>1822</v>
      </c>
      <c r="C125" s="801"/>
      <c r="D125" s="801"/>
      <c r="E125" s="1019"/>
      <c r="F125" s="1348" t="s">
        <v>438</v>
      </c>
      <c r="G125" s="1402">
        <v>16</v>
      </c>
      <c r="H125" s="1499">
        <f t="shared" ref="H125:H131" si="34">ROUND(E125*G125,)</f>
        <v>0</v>
      </c>
      <c r="I125" s="1496">
        <v>30</v>
      </c>
      <c r="J125" s="1500">
        <f t="shared" ref="J125:J131" si="35">ROUND(E125*I125,)</f>
        <v>0</v>
      </c>
      <c r="K125" s="1403">
        <f t="shared" ref="K125:K131" si="36">H125+J125</f>
        <v>0</v>
      </c>
      <c r="L125" s="2273" t="s">
        <v>2974</v>
      </c>
      <c r="M125" s="1328"/>
      <c r="N125" s="1329">
        <v>63.7</v>
      </c>
      <c r="O125" s="714">
        <f>ROUND(N125/4,)</f>
        <v>16</v>
      </c>
    </row>
    <row r="126" spans="1:15" s="1329" customFormat="1" ht="24" customHeight="1">
      <c r="A126" s="1481"/>
      <c r="B126" s="1331" t="s">
        <v>2029</v>
      </c>
      <c r="C126" s="801"/>
      <c r="D126" s="801"/>
      <c r="E126" s="1019">
        <v>89</v>
      </c>
      <c r="F126" s="1348" t="s">
        <v>438</v>
      </c>
      <c r="G126" s="1402">
        <v>20</v>
      </c>
      <c r="H126" s="1499">
        <f t="shared" si="34"/>
        <v>1780</v>
      </c>
      <c r="I126" s="1496">
        <v>30</v>
      </c>
      <c r="J126" s="1500">
        <f t="shared" si="35"/>
        <v>2670</v>
      </c>
      <c r="K126" s="1403">
        <f t="shared" si="36"/>
        <v>4450</v>
      </c>
      <c r="L126" s="2273" t="s">
        <v>2974</v>
      </c>
      <c r="M126" s="1328"/>
      <c r="N126" s="1719">
        <v>79.17</v>
      </c>
      <c r="O126" s="714">
        <f>ROUND(N126/4,)</f>
        <v>20</v>
      </c>
    </row>
    <row r="127" spans="1:15" s="1329" customFormat="1" ht="24" customHeight="1">
      <c r="A127" s="1481"/>
      <c r="B127" s="1331" t="s">
        <v>2182</v>
      </c>
      <c r="C127" s="801"/>
      <c r="D127" s="801"/>
      <c r="E127" s="1019">
        <v>2</v>
      </c>
      <c r="F127" s="1348" t="s">
        <v>438</v>
      </c>
      <c r="G127" s="1402">
        <v>26</v>
      </c>
      <c r="H127" s="1499">
        <f t="shared" si="34"/>
        <v>52</v>
      </c>
      <c r="I127" s="1496">
        <v>30</v>
      </c>
      <c r="J127" s="1500">
        <f t="shared" si="35"/>
        <v>60</v>
      </c>
      <c r="K127" s="1403">
        <f t="shared" si="36"/>
        <v>112</v>
      </c>
      <c r="L127" s="2273" t="s">
        <v>2974</v>
      </c>
      <c r="M127" s="1328"/>
      <c r="N127" s="1719">
        <v>103.74</v>
      </c>
      <c r="O127" s="714">
        <f>ROUND(N127/4,)</f>
        <v>26</v>
      </c>
    </row>
    <row r="128" spans="1:15" s="1329" customFormat="1" ht="24" customHeight="1">
      <c r="A128" s="1481"/>
      <c r="B128" s="1331" t="s">
        <v>1188</v>
      </c>
      <c r="C128" s="801"/>
      <c r="D128" s="801"/>
      <c r="E128" s="1019">
        <v>1</v>
      </c>
      <c r="F128" s="1348" t="s">
        <v>438</v>
      </c>
      <c r="G128" s="1402">
        <v>41</v>
      </c>
      <c r="H128" s="1499">
        <f t="shared" si="34"/>
        <v>41</v>
      </c>
      <c r="I128" s="1496">
        <v>40</v>
      </c>
      <c r="J128" s="1500">
        <f t="shared" si="35"/>
        <v>40</v>
      </c>
      <c r="K128" s="1403">
        <f t="shared" si="36"/>
        <v>81</v>
      </c>
      <c r="L128" s="2273" t="s">
        <v>2974</v>
      </c>
      <c r="M128" s="1328"/>
      <c r="N128" s="1719">
        <v>163.80000000000001</v>
      </c>
      <c r="O128" s="714">
        <f>ROUND(N128/4,)</f>
        <v>41</v>
      </c>
    </row>
    <row r="129" spans="1:13" s="1329" customFormat="1" ht="24" customHeight="1">
      <c r="A129" s="1481"/>
      <c r="B129" s="1331" t="s">
        <v>1645</v>
      </c>
      <c r="C129" s="801"/>
      <c r="D129" s="801"/>
      <c r="E129" s="1019">
        <v>1</v>
      </c>
      <c r="F129" s="1310" t="s">
        <v>948</v>
      </c>
      <c r="G129" s="1402">
        <f>ROUND(SUM(H125:H128)*40%,)</f>
        <v>749</v>
      </c>
      <c r="H129" s="1499">
        <f t="shared" si="34"/>
        <v>749</v>
      </c>
      <c r="I129" s="1402">
        <f>ROUND(G129*0.3,)</f>
        <v>225</v>
      </c>
      <c r="J129" s="1500">
        <f t="shared" si="35"/>
        <v>225</v>
      </c>
      <c r="K129" s="1403">
        <f t="shared" si="36"/>
        <v>974</v>
      </c>
      <c r="L129" s="1019"/>
      <c r="M129" s="1328"/>
    </row>
    <row r="130" spans="1:13" s="1329" customFormat="1" ht="24" customHeight="1">
      <c r="A130" s="1481"/>
      <c r="B130" s="1331" t="s">
        <v>1646</v>
      </c>
      <c r="C130" s="801"/>
      <c r="D130" s="801"/>
      <c r="E130" s="1019">
        <v>1</v>
      </c>
      <c r="F130" s="1310" t="s">
        <v>948</v>
      </c>
      <c r="G130" s="1402">
        <f>ROUND(SUM(H125:H128)*30%,)</f>
        <v>562</v>
      </c>
      <c r="H130" s="1499">
        <f t="shared" si="34"/>
        <v>562</v>
      </c>
      <c r="I130" s="1402">
        <f>ROUND(G130*0.3,)</f>
        <v>169</v>
      </c>
      <c r="J130" s="1500">
        <f t="shared" si="35"/>
        <v>169</v>
      </c>
      <c r="K130" s="1403">
        <f t="shared" si="36"/>
        <v>731</v>
      </c>
      <c r="L130" s="1019"/>
      <c r="M130" s="1328"/>
    </row>
    <row r="131" spans="1:13" s="1329" customFormat="1" ht="24" customHeight="1">
      <c r="A131" s="1481"/>
      <c r="B131" s="1331" t="s">
        <v>1647</v>
      </c>
      <c r="C131" s="801"/>
      <c r="D131" s="801"/>
      <c r="E131" s="1019">
        <v>1</v>
      </c>
      <c r="F131" s="1310" t="s">
        <v>948</v>
      </c>
      <c r="G131" s="1402">
        <f>ROUND(SUM(H125:H128)*10%,)</f>
        <v>187</v>
      </c>
      <c r="H131" s="1499">
        <f t="shared" si="34"/>
        <v>187</v>
      </c>
      <c r="I131" s="1402">
        <f>ROUND(G131*0.3,)</f>
        <v>56</v>
      </c>
      <c r="J131" s="1500">
        <f t="shared" si="35"/>
        <v>56</v>
      </c>
      <c r="K131" s="1403">
        <f t="shared" si="36"/>
        <v>243</v>
      </c>
      <c r="L131" s="1019"/>
      <c r="M131" s="1328"/>
    </row>
    <row r="132" spans="1:13" s="1329" customFormat="1" ht="24" customHeight="1">
      <c r="A132" s="1481"/>
      <c r="B132" s="1331" t="s">
        <v>957</v>
      </c>
      <c r="C132" s="801"/>
      <c r="D132" s="801"/>
      <c r="E132" s="1019"/>
      <c r="F132" s="1310"/>
      <c r="G132" s="1400"/>
      <c r="H132" s="773"/>
      <c r="I132" s="1400"/>
      <c r="J132" s="1401"/>
      <c r="K132" s="1019"/>
      <c r="L132" s="1019"/>
      <c r="M132" s="1328"/>
    </row>
    <row r="133" spans="1:13" s="1329" customFormat="1" ht="24" customHeight="1">
      <c r="A133" s="1334"/>
      <c r="B133" s="1335" t="s">
        <v>958</v>
      </c>
      <c r="C133" s="890"/>
      <c r="D133" s="890"/>
      <c r="E133" s="1080"/>
      <c r="F133" s="1338"/>
      <c r="G133" s="1398"/>
      <c r="H133" s="765"/>
      <c r="I133" s="1398"/>
      <c r="J133" s="1399"/>
      <c r="K133" s="1080"/>
      <c r="L133" s="1080"/>
      <c r="M133" s="1328"/>
    </row>
    <row r="134" spans="1:13" s="1329" customFormat="1" ht="24" customHeight="1">
      <c r="A134" s="1510"/>
      <c r="B134" s="2475" t="str">
        <f>"รวมราคารายการที่ "&amp;A110</f>
        <v>รวมราคารายการที่ 7.7</v>
      </c>
      <c r="C134" s="2476"/>
      <c r="D134" s="2476"/>
      <c r="E134" s="1511"/>
      <c r="F134" s="1512"/>
      <c r="G134" s="1513"/>
      <c r="H134" s="1514">
        <f>SUM(H110:H133)</f>
        <v>501991</v>
      </c>
      <c r="I134" s="1515"/>
      <c r="J134" s="1516">
        <f>SUM(J110:J133)</f>
        <v>211235</v>
      </c>
      <c r="K134" s="1517">
        <f>SUM(K110:K133)</f>
        <v>713226</v>
      </c>
      <c r="L134" s="1517"/>
      <c r="M134" s="1328"/>
    </row>
    <row r="135" spans="1:13" s="1329" customFormat="1" ht="24" customHeight="1">
      <c r="A135" s="1405" t="s">
        <v>2038</v>
      </c>
      <c r="B135" s="1326" t="s">
        <v>1921</v>
      </c>
      <c r="C135" s="1347"/>
      <c r="D135" s="901"/>
      <c r="E135" s="1019"/>
      <c r="F135" s="1310"/>
      <c r="G135" s="1400"/>
      <c r="H135" s="864"/>
      <c r="I135" s="1400"/>
      <c r="J135" s="1395"/>
      <c r="K135" s="966"/>
      <c r="L135" s="1030"/>
      <c r="M135" s="1328"/>
    </row>
    <row r="136" spans="1:13" s="1329" customFormat="1" ht="24" customHeight="1">
      <c r="A136" s="1330" t="s">
        <v>1979</v>
      </c>
      <c r="B136" s="1331" t="s">
        <v>1923</v>
      </c>
      <c r="C136" s="1349"/>
      <c r="D136" s="801"/>
      <c r="E136" s="966"/>
      <c r="F136" s="1249"/>
      <c r="G136" s="1394"/>
      <c r="H136" s="864"/>
      <c r="I136" s="1394"/>
      <c r="J136" s="1395"/>
      <c r="K136" s="966"/>
      <c r="L136" s="966"/>
      <c r="M136" s="1328"/>
    </row>
    <row r="137" spans="1:13" s="1329" customFormat="1" ht="24" customHeight="1">
      <c r="A137" s="1330"/>
      <c r="B137" s="1331" t="s">
        <v>1822</v>
      </c>
      <c r="C137" s="1349"/>
      <c r="D137" s="890"/>
      <c r="E137" s="1019"/>
      <c r="F137" s="1348" t="s">
        <v>438</v>
      </c>
      <c r="G137" s="1257">
        <v>69</v>
      </c>
      <c r="H137" s="796">
        <f t="shared" ref="H137:H150" si="37">ROUND(E137*G137,)</f>
        <v>0</v>
      </c>
      <c r="I137" s="849">
        <f>ROUND(20*1*1.3,)</f>
        <v>26</v>
      </c>
      <c r="J137" s="1476">
        <f t="shared" ref="J137:J150" si="38">ROUND(E137*I137,)</f>
        <v>0</v>
      </c>
      <c r="K137" s="1014">
        <f t="shared" ref="K137:K151" si="39">H137+J137</f>
        <v>0</v>
      </c>
      <c r="L137" s="1030"/>
      <c r="M137" s="1328"/>
    </row>
    <row r="138" spans="1:13" s="1329" customFormat="1" ht="24" customHeight="1">
      <c r="A138" s="1330"/>
      <c r="B138" s="1331" t="s">
        <v>2029</v>
      </c>
      <c r="C138" s="1349"/>
      <c r="D138" s="890"/>
      <c r="E138" s="1019">
        <f>E126</f>
        <v>89</v>
      </c>
      <c r="F138" s="1348" t="s">
        <v>438</v>
      </c>
      <c r="G138" s="1257">
        <v>92</v>
      </c>
      <c r="H138" s="796">
        <f t="shared" si="37"/>
        <v>8188</v>
      </c>
      <c r="I138" s="849">
        <f>ROUND(20*1.25*1.3,)</f>
        <v>33</v>
      </c>
      <c r="J138" s="1476">
        <f t="shared" si="38"/>
        <v>2937</v>
      </c>
      <c r="K138" s="1014">
        <f t="shared" si="39"/>
        <v>11125</v>
      </c>
      <c r="L138" s="1030"/>
      <c r="M138" s="1328"/>
    </row>
    <row r="139" spans="1:13" s="1329" customFormat="1" ht="24" customHeight="1">
      <c r="A139" s="1330" t="s">
        <v>1980</v>
      </c>
      <c r="B139" s="1331" t="s">
        <v>2031</v>
      </c>
      <c r="C139" s="1349"/>
      <c r="D139" s="890"/>
      <c r="E139" s="966"/>
      <c r="F139" s="1348"/>
      <c r="G139" s="1394"/>
      <c r="H139" s="905"/>
      <c r="I139" s="1406"/>
      <c r="J139" s="1407"/>
      <c r="K139" s="1030"/>
      <c r="L139" s="1030"/>
      <c r="M139" s="1328"/>
    </row>
    <row r="140" spans="1:13" s="1329" customFormat="1" ht="24" customHeight="1">
      <c r="A140" s="1330"/>
      <c r="B140" s="1331" t="s">
        <v>2028</v>
      </c>
      <c r="C140" s="1349"/>
      <c r="D140" s="890"/>
      <c r="E140" s="1019"/>
      <c r="F140" s="1348" t="s">
        <v>438</v>
      </c>
      <c r="G140" s="1479">
        <v>69</v>
      </c>
      <c r="H140" s="796">
        <f t="shared" si="37"/>
        <v>0</v>
      </c>
      <c r="I140" s="1480">
        <f>ROUND(20*0.75*1.3,)</f>
        <v>20</v>
      </c>
      <c r="J140" s="1476">
        <f t="shared" si="38"/>
        <v>0</v>
      </c>
      <c r="K140" s="1014">
        <f t="shared" si="39"/>
        <v>0</v>
      </c>
      <c r="L140" s="1030"/>
      <c r="M140" s="1328"/>
    </row>
    <row r="141" spans="1:13" s="1329" customFormat="1" ht="24" customHeight="1">
      <c r="A141" s="1330"/>
      <c r="B141" s="1331" t="s">
        <v>1822</v>
      </c>
      <c r="C141" s="1349"/>
      <c r="D141" s="801"/>
      <c r="E141" s="1019">
        <f>E113</f>
        <v>5</v>
      </c>
      <c r="F141" s="1249" t="s">
        <v>438</v>
      </c>
      <c r="G141" s="1257">
        <v>85</v>
      </c>
      <c r="H141" s="796">
        <f t="shared" si="37"/>
        <v>425</v>
      </c>
      <c r="I141" s="849">
        <f>ROUND(20*1*1.3,)</f>
        <v>26</v>
      </c>
      <c r="J141" s="1476">
        <f t="shared" si="38"/>
        <v>130</v>
      </c>
      <c r="K141" s="1014">
        <f t="shared" si="39"/>
        <v>555</v>
      </c>
      <c r="L141" s="1030"/>
      <c r="M141" s="1328"/>
    </row>
    <row r="142" spans="1:13" s="1329" customFormat="1" ht="24" customHeight="1">
      <c r="A142" s="1330" t="s">
        <v>1981</v>
      </c>
      <c r="B142" s="1331" t="s">
        <v>2113</v>
      </c>
      <c r="C142" s="1349"/>
      <c r="D142" s="890"/>
      <c r="E142" s="966"/>
      <c r="F142" s="1348"/>
      <c r="G142" s="1394"/>
      <c r="H142" s="905"/>
      <c r="I142" s="1406"/>
      <c r="J142" s="1407"/>
      <c r="K142" s="1030"/>
      <c r="L142" s="1030"/>
      <c r="M142" s="1328"/>
    </row>
    <row r="143" spans="1:13" s="1329" customFormat="1" ht="24" customHeight="1">
      <c r="A143" s="1330"/>
      <c r="B143" s="1331" t="s">
        <v>1186</v>
      </c>
      <c r="C143" s="1349"/>
      <c r="D143" s="801"/>
      <c r="E143" s="1019">
        <f t="shared" ref="E143:E148" si="40">E114</f>
        <v>11</v>
      </c>
      <c r="F143" s="1249" t="s">
        <v>438</v>
      </c>
      <c r="G143" s="1394">
        <v>108</v>
      </c>
      <c r="H143" s="796">
        <f t="shared" si="37"/>
        <v>1188</v>
      </c>
      <c r="I143" s="1406">
        <v>33</v>
      </c>
      <c r="J143" s="1476">
        <f t="shared" si="38"/>
        <v>363</v>
      </c>
      <c r="K143" s="1014">
        <f t="shared" si="39"/>
        <v>1551</v>
      </c>
      <c r="L143" s="1030"/>
      <c r="M143" s="1328"/>
    </row>
    <row r="144" spans="1:13" s="1329" customFormat="1" ht="24" customHeight="1">
      <c r="A144" s="1481"/>
      <c r="B144" s="1331" t="s">
        <v>1187</v>
      </c>
      <c r="C144" s="801"/>
      <c r="D144" s="801"/>
      <c r="E144" s="1019">
        <f t="shared" si="40"/>
        <v>152</v>
      </c>
      <c r="F144" s="1348" t="s">
        <v>438</v>
      </c>
      <c r="G144" s="1394">
        <v>164</v>
      </c>
      <c r="H144" s="796">
        <f t="shared" si="37"/>
        <v>24928</v>
      </c>
      <c r="I144" s="1406">
        <v>39</v>
      </c>
      <c r="J144" s="1476">
        <f t="shared" si="38"/>
        <v>5928</v>
      </c>
      <c r="K144" s="1014">
        <f t="shared" si="39"/>
        <v>30856</v>
      </c>
      <c r="L144" s="1019"/>
      <c r="M144" s="1328"/>
    </row>
    <row r="145" spans="1:13" s="1329" customFormat="1" ht="24" customHeight="1">
      <c r="A145" s="1481"/>
      <c r="B145" s="1331" t="s">
        <v>1188</v>
      </c>
      <c r="C145" s="801"/>
      <c r="D145" s="801"/>
      <c r="E145" s="1019">
        <f t="shared" si="40"/>
        <v>65</v>
      </c>
      <c r="F145" s="1348" t="s">
        <v>438</v>
      </c>
      <c r="G145" s="1394">
        <v>200</v>
      </c>
      <c r="H145" s="796">
        <f t="shared" si="37"/>
        <v>13000</v>
      </c>
      <c r="I145" s="1406">
        <v>52</v>
      </c>
      <c r="J145" s="1476">
        <f t="shared" si="38"/>
        <v>3380</v>
      </c>
      <c r="K145" s="1014">
        <f t="shared" si="39"/>
        <v>16380</v>
      </c>
      <c r="L145" s="1019"/>
      <c r="M145" s="1328"/>
    </row>
    <row r="146" spans="1:13" s="1329" customFormat="1" ht="24" customHeight="1">
      <c r="A146" s="1481"/>
      <c r="B146" s="1331" t="s">
        <v>1189</v>
      </c>
      <c r="C146" s="801"/>
      <c r="D146" s="801"/>
      <c r="E146" s="1019">
        <f t="shared" si="40"/>
        <v>76</v>
      </c>
      <c r="F146" s="1348" t="s">
        <v>438</v>
      </c>
      <c r="G146" s="1394">
        <v>256</v>
      </c>
      <c r="H146" s="796">
        <f t="shared" si="37"/>
        <v>19456</v>
      </c>
      <c r="I146" s="1406">
        <v>65</v>
      </c>
      <c r="J146" s="1476">
        <f t="shared" si="38"/>
        <v>4940</v>
      </c>
      <c r="K146" s="1014">
        <f t="shared" si="39"/>
        <v>24396</v>
      </c>
      <c r="L146" s="1019"/>
      <c r="M146" s="1328"/>
    </row>
    <row r="147" spans="1:13" s="1329" customFormat="1" ht="24" customHeight="1">
      <c r="A147" s="1481"/>
      <c r="B147" s="1331" t="s">
        <v>1190</v>
      </c>
      <c r="C147" s="801"/>
      <c r="D147" s="801"/>
      <c r="E147" s="1019">
        <f t="shared" si="40"/>
        <v>80</v>
      </c>
      <c r="F147" s="1348" t="s">
        <v>438</v>
      </c>
      <c r="G147" s="1394">
        <v>302</v>
      </c>
      <c r="H147" s="796">
        <f t="shared" si="37"/>
        <v>24160</v>
      </c>
      <c r="I147" s="1406">
        <v>78</v>
      </c>
      <c r="J147" s="1476">
        <f t="shared" si="38"/>
        <v>6240</v>
      </c>
      <c r="K147" s="1014">
        <f t="shared" si="39"/>
        <v>30400</v>
      </c>
      <c r="L147" s="1019"/>
      <c r="M147" s="1328"/>
    </row>
    <row r="148" spans="1:13" s="1329" customFormat="1" ht="24" customHeight="1">
      <c r="A148" s="1481"/>
      <c r="B148" s="1331" t="s">
        <v>951</v>
      </c>
      <c r="C148" s="801"/>
      <c r="D148" s="801"/>
      <c r="E148" s="1019">
        <f t="shared" si="40"/>
        <v>262</v>
      </c>
      <c r="F148" s="1348" t="s">
        <v>438</v>
      </c>
      <c r="G148" s="1394">
        <v>367</v>
      </c>
      <c r="H148" s="796">
        <f t="shared" si="37"/>
        <v>96154</v>
      </c>
      <c r="I148" s="1406">
        <v>104</v>
      </c>
      <c r="J148" s="1476">
        <f t="shared" si="38"/>
        <v>27248</v>
      </c>
      <c r="K148" s="1014">
        <f t="shared" si="39"/>
        <v>123402</v>
      </c>
      <c r="L148" s="1019"/>
      <c r="M148" s="1328"/>
    </row>
    <row r="149" spans="1:13" s="1329" customFormat="1" ht="24" customHeight="1">
      <c r="A149" s="1330" t="s">
        <v>1982</v>
      </c>
      <c r="B149" s="1331" t="s">
        <v>1925</v>
      </c>
      <c r="C149" s="1349"/>
      <c r="D149" s="890"/>
      <c r="E149" s="966"/>
      <c r="F149" s="1348"/>
      <c r="G149" s="1394"/>
      <c r="H149" s="905"/>
      <c r="I149" s="1406"/>
      <c r="J149" s="1407"/>
      <c r="K149" s="1030"/>
      <c r="L149" s="1030"/>
      <c r="M149" s="1328"/>
    </row>
    <row r="150" spans="1:13" s="1329" customFormat="1" ht="24" customHeight="1">
      <c r="A150" s="1481"/>
      <c r="B150" s="1331" t="s">
        <v>1809</v>
      </c>
      <c r="C150" s="801"/>
      <c r="D150" s="801"/>
      <c r="E150" s="1019"/>
      <c r="F150" s="1348" t="s">
        <v>438</v>
      </c>
      <c r="G150" s="1400">
        <v>465</v>
      </c>
      <c r="H150" s="796">
        <f t="shared" si="37"/>
        <v>0</v>
      </c>
      <c r="I150" s="1400">
        <v>465</v>
      </c>
      <c r="J150" s="1476">
        <f t="shared" si="38"/>
        <v>0</v>
      </c>
      <c r="K150" s="1014">
        <f t="shared" si="39"/>
        <v>0</v>
      </c>
      <c r="L150" s="1019"/>
      <c r="M150" s="1328"/>
    </row>
    <row r="151" spans="1:13" s="1329" customFormat="1" ht="24" customHeight="1">
      <c r="A151" s="1330"/>
      <c r="B151" s="1331" t="s">
        <v>957</v>
      </c>
      <c r="C151" s="1349"/>
      <c r="D151" s="890"/>
      <c r="E151" s="966"/>
      <c r="F151" s="1348"/>
      <c r="G151" s="1394"/>
      <c r="H151" s="905"/>
      <c r="I151" s="1406"/>
      <c r="J151" s="1407"/>
      <c r="K151" s="1014">
        <f t="shared" si="39"/>
        <v>0</v>
      </c>
      <c r="L151" s="1030"/>
      <c r="M151" s="1328"/>
    </row>
    <row r="152" spans="1:13" s="1329" customFormat="1" ht="24" customHeight="1">
      <c r="A152" s="1510"/>
      <c r="B152" s="2475" t="str">
        <f>"รวมราคารายการที่ "&amp;A135</f>
        <v>รวมราคารายการที่ 7.8</v>
      </c>
      <c r="C152" s="2476"/>
      <c r="D152" s="2476"/>
      <c r="E152" s="1511"/>
      <c r="F152" s="1512"/>
      <c r="G152" s="1513"/>
      <c r="H152" s="1514">
        <f>SUM(H135:H151)</f>
        <v>187499</v>
      </c>
      <c r="I152" s="1515"/>
      <c r="J152" s="1516">
        <f>SUM(J135:J151)</f>
        <v>51166</v>
      </c>
      <c r="K152" s="1517">
        <f>SUM(K135:K151)</f>
        <v>238665</v>
      </c>
      <c r="L152" s="1517"/>
      <c r="M152" s="1328"/>
    </row>
    <row r="153" spans="1:13" s="1329" customFormat="1" ht="24" customHeight="1">
      <c r="A153" s="1325">
        <v>7.9</v>
      </c>
      <c r="B153" s="1326" t="s">
        <v>1927</v>
      </c>
      <c r="C153" s="1347"/>
      <c r="D153" s="901"/>
      <c r="E153" s="1019"/>
      <c r="F153" s="1310"/>
      <c r="G153" s="1400"/>
      <c r="H153" s="864"/>
      <c r="I153" s="1400"/>
      <c r="J153" s="1395"/>
      <c r="K153" s="966"/>
      <c r="L153" s="1030"/>
      <c r="M153" s="1328"/>
    </row>
    <row r="154" spans="1:13" s="1329" customFormat="1" ht="24" customHeight="1">
      <c r="A154" s="1330" t="s">
        <v>2040</v>
      </c>
      <c r="B154" s="1331" t="s">
        <v>1929</v>
      </c>
      <c r="C154" s="1349"/>
      <c r="D154" s="801"/>
      <c r="E154" s="966"/>
      <c r="F154" s="1249"/>
      <c r="G154" s="1394"/>
      <c r="H154" s="864"/>
      <c r="I154" s="1394"/>
      <c r="J154" s="1395"/>
      <c r="K154" s="966"/>
      <c r="L154" s="966"/>
      <c r="M154" s="1328"/>
    </row>
    <row r="155" spans="1:13" s="1329" customFormat="1" ht="24" customHeight="1">
      <c r="A155" s="791"/>
      <c r="B155" s="1127" t="s">
        <v>1184</v>
      </c>
      <c r="C155" s="1233"/>
      <c r="D155" s="792"/>
      <c r="E155" s="1501">
        <f>E79*2</f>
        <v>4</v>
      </c>
      <c r="F155" s="1502" t="s">
        <v>240</v>
      </c>
      <c r="G155" s="1503">
        <v>880</v>
      </c>
      <c r="H155" s="1499">
        <f t="shared" ref="H155:H159" si="41">ROUND(E155*G155,)</f>
        <v>3520</v>
      </c>
      <c r="I155" s="1480">
        <v>150</v>
      </c>
      <c r="J155" s="1500">
        <f t="shared" ref="J155:J159" si="42">ROUND(E155*I155,)</f>
        <v>600</v>
      </c>
      <c r="K155" s="1403">
        <f t="shared" ref="K155:K159" si="43">H155+J155</f>
        <v>4120</v>
      </c>
      <c r="L155" s="2273" t="s">
        <v>2974</v>
      </c>
      <c r="M155" s="1328"/>
    </row>
    <row r="156" spans="1:13" s="1329" customFormat="1" ht="24" customHeight="1">
      <c r="A156" s="791"/>
      <c r="B156" s="1127" t="s">
        <v>1185</v>
      </c>
      <c r="C156" s="1233"/>
      <c r="D156" s="792"/>
      <c r="E156" s="1345"/>
      <c r="F156" s="1140" t="s">
        <v>240</v>
      </c>
      <c r="G156" s="1504">
        <v>1316</v>
      </c>
      <c r="H156" s="796">
        <f t="shared" si="41"/>
        <v>0</v>
      </c>
      <c r="I156" s="849">
        <v>200</v>
      </c>
      <c r="J156" s="1476">
        <f t="shared" si="42"/>
        <v>0</v>
      </c>
      <c r="K156" s="1014">
        <f t="shared" si="43"/>
        <v>0</v>
      </c>
      <c r="L156" s="2273" t="s">
        <v>2974</v>
      </c>
      <c r="M156" s="1328"/>
    </row>
    <row r="157" spans="1:13" s="1329" customFormat="1" ht="24" customHeight="1">
      <c r="A157" s="791"/>
      <c r="B157" s="1127" t="s">
        <v>1186</v>
      </c>
      <c r="C157" s="1233"/>
      <c r="D157" s="792"/>
      <c r="E157" s="1345">
        <f>E81*2</f>
        <v>32</v>
      </c>
      <c r="F157" s="1140" t="s">
        <v>240</v>
      </c>
      <c r="G157" s="1504">
        <v>1984</v>
      </c>
      <c r="H157" s="796">
        <f t="shared" si="41"/>
        <v>63488</v>
      </c>
      <c r="I157" s="849">
        <v>250</v>
      </c>
      <c r="J157" s="1476">
        <f t="shared" si="42"/>
        <v>8000</v>
      </c>
      <c r="K157" s="1014">
        <f t="shared" si="43"/>
        <v>71488</v>
      </c>
      <c r="L157" s="2273" t="s">
        <v>2974</v>
      </c>
      <c r="M157" s="1328"/>
    </row>
    <row r="158" spans="1:13" s="1329" customFormat="1" ht="24" customHeight="1">
      <c r="A158" s="791"/>
      <c r="B158" s="1127" t="s">
        <v>1187</v>
      </c>
      <c r="C158" s="1233"/>
      <c r="D158" s="792"/>
      <c r="E158" s="1345"/>
      <c r="F158" s="1140" t="s">
        <v>240</v>
      </c>
      <c r="G158" s="1504">
        <v>2610</v>
      </c>
      <c r="H158" s="796">
        <f t="shared" si="41"/>
        <v>0</v>
      </c>
      <c r="I158" s="849">
        <v>300</v>
      </c>
      <c r="J158" s="1476">
        <f t="shared" si="42"/>
        <v>0</v>
      </c>
      <c r="K158" s="1014">
        <f t="shared" si="43"/>
        <v>0</v>
      </c>
      <c r="L158" s="2273" t="s">
        <v>2974</v>
      </c>
      <c r="M158" s="1328"/>
    </row>
    <row r="159" spans="1:13" s="1329" customFormat="1" ht="24" customHeight="1">
      <c r="A159" s="791"/>
      <c r="B159" s="1127" t="s">
        <v>1188</v>
      </c>
      <c r="C159" s="1233"/>
      <c r="D159" s="792"/>
      <c r="E159" s="1345"/>
      <c r="F159" s="1140" t="s">
        <v>240</v>
      </c>
      <c r="G159" s="1504">
        <v>4040</v>
      </c>
      <c r="H159" s="796">
        <f t="shared" si="41"/>
        <v>0</v>
      </c>
      <c r="I159" s="849">
        <v>400</v>
      </c>
      <c r="J159" s="1476">
        <f t="shared" si="42"/>
        <v>0</v>
      </c>
      <c r="K159" s="1014">
        <f t="shared" si="43"/>
        <v>0</v>
      </c>
      <c r="L159" s="2273" t="s">
        <v>2974</v>
      </c>
      <c r="M159" s="1328"/>
    </row>
    <row r="160" spans="1:13" s="1329" customFormat="1" ht="24" customHeight="1">
      <c r="A160" s="1330" t="s">
        <v>2183</v>
      </c>
      <c r="B160" s="1331" t="s">
        <v>1942</v>
      </c>
      <c r="C160" s="1349"/>
      <c r="D160" s="801"/>
      <c r="E160" s="966"/>
      <c r="F160" s="1249"/>
      <c r="G160" s="1394"/>
      <c r="H160" s="864"/>
      <c r="I160" s="1394"/>
      <c r="J160" s="1395"/>
      <c r="K160" s="966"/>
      <c r="L160" s="966"/>
      <c r="M160" s="1328"/>
    </row>
    <row r="161" spans="1:13" s="1329" customFormat="1" ht="24" customHeight="1">
      <c r="A161" s="1330"/>
      <c r="B161" s="1331" t="s">
        <v>1184</v>
      </c>
      <c r="C161" s="1349"/>
      <c r="D161" s="890"/>
      <c r="E161" s="966"/>
      <c r="F161" s="1348" t="s">
        <v>240</v>
      </c>
      <c r="G161" s="1394"/>
      <c r="H161" s="905"/>
      <c r="I161" s="1406"/>
      <c r="J161" s="1395"/>
      <c r="K161" s="1030"/>
      <c r="L161" s="966"/>
      <c r="M161" s="1328"/>
    </row>
    <row r="162" spans="1:13" s="1329" customFormat="1" ht="24" customHeight="1">
      <c r="A162" s="1330"/>
      <c r="B162" s="1331" t="s">
        <v>1185</v>
      </c>
      <c r="C162" s="1349"/>
      <c r="D162" s="890"/>
      <c r="E162" s="966"/>
      <c r="F162" s="1348" t="s">
        <v>240</v>
      </c>
      <c r="G162" s="1394"/>
      <c r="H162" s="905"/>
      <c r="I162" s="1406"/>
      <c r="J162" s="1407"/>
      <c r="K162" s="1030"/>
      <c r="L162" s="966"/>
      <c r="M162" s="1328"/>
    </row>
    <row r="163" spans="1:13" s="1329" customFormat="1" ht="24" customHeight="1">
      <c r="A163" s="1330"/>
      <c r="B163" s="1331" t="s">
        <v>1186</v>
      </c>
      <c r="C163" s="1349"/>
      <c r="D163" s="890"/>
      <c r="E163" s="966">
        <f>E157</f>
        <v>32</v>
      </c>
      <c r="F163" s="1348" t="s">
        <v>240</v>
      </c>
      <c r="G163" s="1394">
        <f>3700*0.5</f>
        <v>1850</v>
      </c>
      <c r="H163" s="796">
        <f t="shared" ref="H163" si="44">ROUND(E163*G163,)</f>
        <v>59200</v>
      </c>
      <c r="I163" s="849">
        <v>250</v>
      </c>
      <c r="J163" s="1476">
        <f t="shared" ref="J163" si="45">ROUND(E163*I163,)</f>
        <v>8000</v>
      </c>
      <c r="K163" s="1014">
        <f t="shared" ref="K163" si="46">H163+J163</f>
        <v>67200</v>
      </c>
      <c r="L163" s="966"/>
      <c r="M163" s="1328"/>
    </row>
    <row r="164" spans="1:13" s="1329" customFormat="1" ht="24" customHeight="1">
      <c r="A164" s="1330"/>
      <c r="B164" s="1127" t="s">
        <v>1187</v>
      </c>
      <c r="C164" s="1233"/>
      <c r="D164" s="792"/>
      <c r="E164" s="1345"/>
      <c r="F164" s="1140" t="s">
        <v>240</v>
      </c>
      <c r="G164" s="1394"/>
      <c r="H164" s="905"/>
      <c r="I164" s="1406"/>
      <c r="J164" s="1407"/>
      <c r="K164" s="1030"/>
      <c r="L164" s="966"/>
      <c r="M164" s="1328"/>
    </row>
    <row r="165" spans="1:13" s="1329" customFormat="1" ht="24" customHeight="1">
      <c r="A165" s="1330"/>
      <c r="B165" s="1127" t="s">
        <v>1188</v>
      </c>
      <c r="C165" s="1233"/>
      <c r="D165" s="792"/>
      <c r="E165" s="1345"/>
      <c r="F165" s="1140" t="s">
        <v>240</v>
      </c>
      <c r="G165" s="1394"/>
      <c r="H165" s="905"/>
      <c r="I165" s="1406"/>
      <c r="J165" s="1407"/>
      <c r="K165" s="1030"/>
      <c r="L165" s="966"/>
      <c r="M165" s="1328"/>
    </row>
    <row r="166" spans="1:13" s="1329" customFormat="1" ht="24" customHeight="1">
      <c r="A166" s="1330" t="s">
        <v>2184</v>
      </c>
      <c r="B166" s="1331" t="s">
        <v>1656</v>
      </c>
      <c r="C166" s="1349"/>
      <c r="D166" s="801"/>
      <c r="E166" s="966"/>
      <c r="F166" s="1249"/>
      <c r="G166" s="1394"/>
      <c r="H166" s="864"/>
      <c r="I166" s="1394"/>
      <c r="J166" s="1395"/>
      <c r="K166" s="966"/>
      <c r="L166" s="966"/>
      <c r="M166" s="1328"/>
    </row>
    <row r="167" spans="1:13" s="1329" customFormat="1" ht="24" customHeight="1">
      <c r="A167" s="1330"/>
      <c r="B167" s="1331" t="s">
        <v>1185</v>
      </c>
      <c r="C167" s="1349"/>
      <c r="D167" s="801"/>
      <c r="E167" s="966"/>
      <c r="F167" s="1249" t="s">
        <v>240</v>
      </c>
      <c r="G167" s="1394"/>
      <c r="H167" s="864"/>
      <c r="I167" s="1394"/>
      <c r="J167" s="1395"/>
      <c r="K167" s="966"/>
      <c r="L167" s="1022"/>
      <c r="M167" s="1328"/>
    </row>
    <row r="168" spans="1:13" s="1329" customFormat="1" ht="24" customHeight="1">
      <c r="A168" s="1330" t="s">
        <v>2185</v>
      </c>
      <c r="B168" s="1331" t="s">
        <v>1940</v>
      </c>
      <c r="C168" s="1349"/>
      <c r="D168" s="801"/>
      <c r="E168" s="966"/>
      <c r="F168" s="1249"/>
      <c r="G168" s="1394"/>
      <c r="H168" s="864"/>
      <c r="I168" s="1394"/>
      <c r="J168" s="1395"/>
      <c r="K168" s="966"/>
      <c r="L168" s="966"/>
      <c r="M168" s="1328"/>
    </row>
    <row r="169" spans="1:13" s="1329" customFormat="1" ht="24" customHeight="1">
      <c r="A169" s="791"/>
      <c r="B169" s="1127" t="s">
        <v>1184</v>
      </c>
      <c r="C169" s="1233"/>
      <c r="D169" s="792"/>
      <c r="E169" s="1501"/>
      <c r="F169" s="1502" t="s">
        <v>240</v>
      </c>
      <c r="G169" s="1479">
        <v>350</v>
      </c>
      <c r="H169" s="1499">
        <f t="shared" ref="H169:H172" si="47">ROUND(E169*G169,)</f>
        <v>0</v>
      </c>
      <c r="I169" s="1480">
        <v>150</v>
      </c>
      <c r="J169" s="1500">
        <f t="shared" ref="J169:J172" si="48">ROUND(E169*I169,)</f>
        <v>0</v>
      </c>
      <c r="K169" s="1403">
        <f t="shared" ref="K169:K172" si="49">H169+J169</f>
        <v>0</v>
      </c>
      <c r="L169" s="1014"/>
      <c r="M169" s="1328"/>
    </row>
    <row r="170" spans="1:13" s="1329" customFormat="1" ht="24" customHeight="1">
      <c r="A170" s="791"/>
      <c r="B170" s="1127" t="s">
        <v>1186</v>
      </c>
      <c r="C170" s="1233"/>
      <c r="D170" s="792"/>
      <c r="E170" s="1345">
        <f>E163/2</f>
        <v>16</v>
      </c>
      <c r="F170" s="1140" t="s">
        <v>240</v>
      </c>
      <c r="G170" s="1257">
        <v>1084</v>
      </c>
      <c r="H170" s="796">
        <f t="shared" si="47"/>
        <v>17344</v>
      </c>
      <c r="I170" s="849">
        <v>250</v>
      </c>
      <c r="J170" s="1476">
        <f t="shared" si="48"/>
        <v>4000</v>
      </c>
      <c r="K170" s="1014">
        <f t="shared" si="49"/>
        <v>21344</v>
      </c>
      <c r="L170" s="1014"/>
      <c r="M170" s="1328"/>
    </row>
    <row r="171" spans="1:13" s="1329" customFormat="1" ht="24" customHeight="1">
      <c r="A171" s="791"/>
      <c r="B171" s="1127" t="s">
        <v>1187</v>
      </c>
      <c r="C171" s="1233"/>
      <c r="D171" s="792"/>
      <c r="E171" s="1345"/>
      <c r="F171" s="1140" t="s">
        <v>240</v>
      </c>
      <c r="G171" s="1257">
        <v>1710</v>
      </c>
      <c r="H171" s="796">
        <f t="shared" si="47"/>
        <v>0</v>
      </c>
      <c r="I171" s="849">
        <v>300</v>
      </c>
      <c r="J171" s="1476">
        <f t="shared" si="48"/>
        <v>0</v>
      </c>
      <c r="K171" s="1014">
        <f t="shared" si="49"/>
        <v>0</v>
      </c>
      <c r="L171" s="1014"/>
      <c r="M171" s="1328"/>
    </row>
    <row r="172" spans="1:13" s="1329" customFormat="1" ht="24" customHeight="1">
      <c r="A172" s="791"/>
      <c r="B172" s="1127" t="s">
        <v>1188</v>
      </c>
      <c r="C172" s="1233"/>
      <c r="D172" s="792"/>
      <c r="E172" s="1345"/>
      <c r="F172" s="1140" t="s">
        <v>240</v>
      </c>
      <c r="G172" s="1504">
        <v>2839</v>
      </c>
      <c r="H172" s="796">
        <f t="shared" si="47"/>
        <v>0</v>
      </c>
      <c r="I172" s="849">
        <v>400</v>
      </c>
      <c r="J172" s="1476">
        <f t="shared" si="48"/>
        <v>0</v>
      </c>
      <c r="K172" s="1014">
        <f t="shared" si="49"/>
        <v>0</v>
      </c>
      <c r="L172" s="1014"/>
      <c r="M172" s="1328"/>
    </row>
    <row r="173" spans="1:13" s="1329" customFormat="1" ht="24" customHeight="1">
      <c r="A173" s="1330"/>
      <c r="B173" s="1331" t="s">
        <v>957</v>
      </c>
      <c r="C173" s="1349"/>
      <c r="D173" s="801"/>
      <c r="E173" s="966"/>
      <c r="F173" s="1249"/>
      <c r="G173" s="1394"/>
      <c r="H173" s="864"/>
      <c r="I173" s="1394"/>
      <c r="J173" s="1395"/>
      <c r="K173" s="966"/>
      <c r="L173" s="966"/>
      <c r="M173" s="1328"/>
    </row>
    <row r="174" spans="1:13" s="1329" customFormat="1" ht="24" customHeight="1">
      <c r="A174" s="1330"/>
      <c r="B174" s="1331"/>
      <c r="C174" s="1349"/>
      <c r="D174" s="801"/>
      <c r="E174" s="966"/>
      <c r="F174" s="1249"/>
      <c r="G174" s="1394"/>
      <c r="H174" s="864"/>
      <c r="I174" s="1394"/>
      <c r="J174" s="1395"/>
      <c r="K174" s="966"/>
      <c r="L174" s="966"/>
      <c r="M174" s="1328"/>
    </row>
    <row r="175" spans="1:13" s="1329" customFormat="1" ht="24" customHeight="1">
      <c r="A175" s="1334"/>
      <c r="B175" s="1335" t="s">
        <v>958</v>
      </c>
      <c r="C175" s="1352"/>
      <c r="D175" s="890"/>
      <c r="E175" s="1337"/>
      <c r="F175" s="1353"/>
      <c r="G175" s="1418"/>
      <c r="H175" s="891"/>
      <c r="I175" s="1418"/>
      <c r="J175" s="1419"/>
      <c r="K175" s="1337"/>
      <c r="L175" s="1337"/>
      <c r="M175" s="1328"/>
    </row>
    <row r="176" spans="1:13" s="1329" customFormat="1" ht="24" customHeight="1">
      <c r="A176" s="1510"/>
      <c r="B176" s="2475" t="str">
        <f>"รวมราคารายการที่ "&amp;A153</f>
        <v>รวมราคารายการที่ 7.9</v>
      </c>
      <c r="C176" s="2476"/>
      <c r="D176" s="2476"/>
      <c r="E176" s="1511"/>
      <c r="F176" s="1512"/>
      <c r="G176" s="1513"/>
      <c r="H176" s="1514">
        <f>SUM(H153:H175)</f>
        <v>143552</v>
      </c>
      <c r="I176" s="1515"/>
      <c r="J176" s="1516">
        <f>SUM(J153:J175)</f>
        <v>20600</v>
      </c>
      <c r="K176" s="1517">
        <f>SUM(K153:K175)</f>
        <v>164152</v>
      </c>
      <c r="L176" s="1517"/>
      <c r="M176" s="1328"/>
    </row>
    <row r="177" spans="1:13" s="1329" customFormat="1" ht="24" customHeight="1">
      <c r="A177" s="1325" t="s">
        <v>2065</v>
      </c>
      <c r="B177" s="1326" t="s">
        <v>1948</v>
      </c>
      <c r="C177" s="1347"/>
      <c r="D177" s="901"/>
      <c r="E177" s="1019"/>
      <c r="F177" s="1310"/>
      <c r="G177" s="1400"/>
      <c r="H177" s="864"/>
      <c r="I177" s="1400"/>
      <c r="J177" s="1395"/>
      <c r="K177" s="966"/>
      <c r="L177" s="1030"/>
      <c r="M177" s="1328"/>
    </row>
    <row r="178" spans="1:13" s="1329" customFormat="1" ht="24" customHeight="1">
      <c r="A178" s="1330" t="s">
        <v>2067</v>
      </c>
      <c r="B178" s="1331" t="s">
        <v>1950</v>
      </c>
      <c r="C178" s="1349"/>
      <c r="D178" s="801"/>
      <c r="E178" s="966"/>
      <c r="F178" s="1249"/>
      <c r="G178" s="1394"/>
      <c r="H178" s="864"/>
      <c r="I178" s="1394"/>
      <c r="J178" s="1395"/>
      <c r="K178" s="966"/>
      <c r="L178" s="966"/>
      <c r="M178" s="1328"/>
    </row>
    <row r="179" spans="1:13" s="1329" customFormat="1" ht="24" customHeight="1">
      <c r="A179" s="1330"/>
      <c r="B179" s="1331" t="s">
        <v>2035</v>
      </c>
      <c r="C179" s="1349"/>
      <c r="D179" s="801"/>
      <c r="E179" s="966">
        <v>98</v>
      </c>
      <c r="F179" s="1249" t="s">
        <v>1952</v>
      </c>
      <c r="G179" s="1406">
        <v>218</v>
      </c>
      <c r="H179" s="864">
        <f t="shared" ref="H179:H185" si="50">ROUND(E179*G179,)</f>
        <v>21364</v>
      </c>
      <c r="I179" s="1406">
        <v>194</v>
      </c>
      <c r="J179" s="1395">
        <f t="shared" ref="J179:J185" si="51">ROUND(E179*I179,)</f>
        <v>19012</v>
      </c>
      <c r="K179" s="966">
        <f t="shared" ref="K179:K185" si="52">H179+J179</f>
        <v>40376</v>
      </c>
      <c r="L179" s="966"/>
      <c r="M179" s="1527"/>
    </row>
    <row r="180" spans="1:13" s="1329" customFormat="1" ht="24" customHeight="1">
      <c r="A180" s="1330"/>
      <c r="B180" s="1331" t="s">
        <v>2036</v>
      </c>
      <c r="C180" s="1349"/>
      <c r="D180" s="801"/>
      <c r="E180" s="966">
        <v>432</v>
      </c>
      <c r="F180" s="1249" t="s">
        <v>1952</v>
      </c>
      <c r="G180" s="1406">
        <v>263</v>
      </c>
      <c r="H180" s="864">
        <f t="shared" si="50"/>
        <v>113616</v>
      </c>
      <c r="I180" s="1406">
        <v>259</v>
      </c>
      <c r="J180" s="1395">
        <f t="shared" si="51"/>
        <v>111888</v>
      </c>
      <c r="K180" s="966">
        <f t="shared" si="52"/>
        <v>225504</v>
      </c>
      <c r="L180" s="966"/>
      <c r="M180" s="1527"/>
    </row>
    <row r="181" spans="1:13" s="1329" customFormat="1" ht="24" customHeight="1">
      <c r="A181" s="1330"/>
      <c r="B181" s="1331" t="s">
        <v>1951</v>
      </c>
      <c r="C181" s="1349"/>
      <c r="D181" s="801"/>
      <c r="E181" s="966">
        <v>467</v>
      </c>
      <c r="F181" s="1249" t="s">
        <v>1952</v>
      </c>
      <c r="G181" s="1406">
        <v>314</v>
      </c>
      <c r="H181" s="864">
        <f t="shared" si="50"/>
        <v>146638</v>
      </c>
      <c r="I181" s="1406">
        <v>269</v>
      </c>
      <c r="J181" s="1395">
        <f t="shared" si="51"/>
        <v>125623</v>
      </c>
      <c r="K181" s="966">
        <f t="shared" si="52"/>
        <v>272261</v>
      </c>
      <c r="L181" s="966"/>
      <c r="M181" s="1328"/>
    </row>
    <row r="182" spans="1:13" s="1329" customFormat="1" ht="24" customHeight="1">
      <c r="A182" s="1330"/>
      <c r="B182" s="1331" t="s">
        <v>1953</v>
      </c>
      <c r="C182" s="1349"/>
      <c r="D182" s="801"/>
      <c r="E182" s="966">
        <v>31</v>
      </c>
      <c r="F182" s="1249" t="s">
        <v>1952</v>
      </c>
      <c r="G182" s="1406">
        <v>381</v>
      </c>
      <c r="H182" s="864">
        <f t="shared" si="50"/>
        <v>11811</v>
      </c>
      <c r="I182" s="1406">
        <v>323</v>
      </c>
      <c r="J182" s="1395">
        <f t="shared" si="51"/>
        <v>10013</v>
      </c>
      <c r="K182" s="966">
        <f t="shared" si="52"/>
        <v>21824</v>
      </c>
      <c r="L182" s="966"/>
      <c r="M182" s="1328"/>
    </row>
    <row r="183" spans="1:13" s="1329" customFormat="1" ht="24" customHeight="1">
      <c r="A183" s="1330"/>
      <c r="B183" s="1331" t="s">
        <v>1954</v>
      </c>
      <c r="C183" s="1349"/>
      <c r="D183" s="801"/>
      <c r="E183" s="966"/>
      <c r="F183" s="1249" t="s">
        <v>1952</v>
      </c>
      <c r="G183" s="1406">
        <v>443</v>
      </c>
      <c r="H183" s="864">
        <f t="shared" si="50"/>
        <v>0</v>
      </c>
      <c r="I183" s="1406">
        <v>377</v>
      </c>
      <c r="J183" s="1395">
        <f t="shared" si="51"/>
        <v>0</v>
      </c>
      <c r="K183" s="966">
        <f t="shared" si="52"/>
        <v>0</v>
      </c>
      <c r="L183" s="966"/>
      <c r="M183" s="1328"/>
    </row>
    <row r="184" spans="1:13" s="1329" customFormat="1" ht="24" customHeight="1">
      <c r="A184" s="1330"/>
      <c r="B184" s="1331" t="s">
        <v>1645</v>
      </c>
      <c r="C184" s="1349"/>
      <c r="D184" s="801"/>
      <c r="E184" s="966">
        <v>1</v>
      </c>
      <c r="F184" s="1249" t="s">
        <v>948</v>
      </c>
      <c r="G184" s="1406">
        <f>ROUND(SUM(H179:H183)*40%,)</f>
        <v>117372</v>
      </c>
      <c r="H184" s="864">
        <f t="shared" si="50"/>
        <v>117372</v>
      </c>
      <c r="I184" s="1406">
        <f>ROUND(G184*30%,)</f>
        <v>35212</v>
      </c>
      <c r="J184" s="1395">
        <f t="shared" si="51"/>
        <v>35212</v>
      </c>
      <c r="K184" s="966">
        <f t="shared" si="52"/>
        <v>152584</v>
      </c>
      <c r="L184" s="966"/>
      <c r="M184" s="1328"/>
    </row>
    <row r="185" spans="1:13" s="1329" customFormat="1" ht="24" customHeight="1">
      <c r="A185" s="1330"/>
      <c r="B185" s="1331" t="s">
        <v>1646</v>
      </c>
      <c r="C185" s="1349"/>
      <c r="D185" s="801"/>
      <c r="E185" s="966">
        <v>1</v>
      </c>
      <c r="F185" s="1249" t="s">
        <v>948</v>
      </c>
      <c r="G185" s="1406">
        <f>ROUND(SUM(H179:H183)*15%,)</f>
        <v>44014</v>
      </c>
      <c r="H185" s="864">
        <f t="shared" si="50"/>
        <v>44014</v>
      </c>
      <c r="I185" s="1406">
        <f>ROUND(G185*30%,)</f>
        <v>13204</v>
      </c>
      <c r="J185" s="1395">
        <f t="shared" si="51"/>
        <v>13204</v>
      </c>
      <c r="K185" s="966">
        <f t="shared" si="52"/>
        <v>57218</v>
      </c>
      <c r="L185" s="966"/>
      <c r="M185" s="1328"/>
    </row>
    <row r="186" spans="1:13" s="1329" customFormat="1" ht="24" customHeight="1">
      <c r="A186" s="1355"/>
      <c r="B186" s="1331" t="s">
        <v>957</v>
      </c>
      <c r="C186" s="1349"/>
      <c r="D186" s="890"/>
      <c r="E186" s="966"/>
      <c r="F186" s="1348"/>
      <c r="G186" s="1394"/>
      <c r="H186" s="905"/>
      <c r="I186" s="1406"/>
      <c r="J186" s="1407"/>
      <c r="K186" s="1030"/>
      <c r="L186" s="1030"/>
      <c r="M186" s="1328"/>
    </row>
    <row r="187" spans="1:13" s="886" customFormat="1" ht="24" customHeight="1">
      <c r="A187" s="1510"/>
      <c r="B187" s="2475" t="str">
        <f>"รวมราคารายการที่ "&amp;A177</f>
        <v>รวมราคารายการที่ 7.10</v>
      </c>
      <c r="C187" s="2476"/>
      <c r="D187" s="2476"/>
      <c r="E187" s="1511"/>
      <c r="F187" s="1512"/>
      <c r="G187" s="1513"/>
      <c r="H187" s="1514">
        <f>SUM(H177:H186)</f>
        <v>454815</v>
      </c>
      <c r="I187" s="1515"/>
      <c r="J187" s="1516">
        <f>SUM(J177:J186)</f>
        <v>314952</v>
      </c>
      <c r="K187" s="1517">
        <f>SUM(K177:K186)</f>
        <v>769767</v>
      </c>
      <c r="L187" s="1517"/>
      <c r="M187" s="1342"/>
    </row>
    <row r="188" spans="1:13" s="1329" customFormat="1" ht="24" customHeight="1">
      <c r="A188" s="1325" t="s">
        <v>2077</v>
      </c>
      <c r="B188" s="1326" t="s">
        <v>1959</v>
      </c>
      <c r="C188" s="1347"/>
      <c r="D188" s="901"/>
      <c r="E188" s="1019"/>
      <c r="F188" s="1310"/>
      <c r="G188" s="1400"/>
      <c r="H188" s="864"/>
      <c r="I188" s="1400"/>
      <c r="J188" s="1395"/>
      <c r="K188" s="966"/>
      <c r="L188" s="1030"/>
      <c r="M188" s="1328"/>
    </row>
    <row r="189" spans="1:13" s="1329" customFormat="1" ht="24" customHeight="1">
      <c r="A189" s="1330" t="s">
        <v>2079</v>
      </c>
      <c r="B189" s="1331" t="s">
        <v>1961</v>
      </c>
      <c r="C189" s="1349"/>
      <c r="D189" s="801"/>
      <c r="E189" s="966"/>
      <c r="F189" s="1249"/>
      <c r="G189" s="1394"/>
      <c r="H189" s="864"/>
      <c r="I189" s="1394"/>
      <c r="J189" s="1395"/>
      <c r="K189" s="966"/>
      <c r="L189" s="966"/>
      <c r="M189" s="1328"/>
    </row>
    <row r="190" spans="1:13" s="1329" customFormat="1" ht="24" customHeight="1">
      <c r="A190" s="1038"/>
      <c r="B190" s="1127" t="s">
        <v>1962</v>
      </c>
      <c r="C190" s="1233"/>
      <c r="D190" s="809"/>
      <c r="E190" s="1345">
        <f>SUM(E179:E183)</f>
        <v>1028</v>
      </c>
      <c r="F190" s="874" t="s">
        <v>1952</v>
      </c>
      <c r="G190" s="1257">
        <v>148</v>
      </c>
      <c r="H190" s="854">
        <f t="shared" ref="H190:H193" si="53">ROUND(E190*G190,)</f>
        <v>152144</v>
      </c>
      <c r="I190" s="1477">
        <v>45</v>
      </c>
      <c r="J190" s="1476">
        <f t="shared" ref="J190:J193" si="54">ROUND(E190*I190,)</f>
        <v>46260</v>
      </c>
      <c r="K190" s="1014">
        <f t="shared" ref="K190:K193" si="55">H190+J190</f>
        <v>198404</v>
      </c>
      <c r="L190" s="1007"/>
      <c r="M190" s="1328"/>
    </row>
    <row r="191" spans="1:13" s="1329" customFormat="1" ht="24" customHeight="1">
      <c r="A191" s="1038"/>
      <c r="B191" s="1127" t="s">
        <v>2115</v>
      </c>
      <c r="C191" s="1233"/>
      <c r="D191" s="809"/>
      <c r="E191" s="1345"/>
      <c r="F191" s="874" t="s">
        <v>1952</v>
      </c>
      <c r="G191" s="1257">
        <v>212</v>
      </c>
      <c r="H191" s="854">
        <f t="shared" si="53"/>
        <v>0</v>
      </c>
      <c r="I191" s="1477">
        <v>45</v>
      </c>
      <c r="J191" s="1476">
        <f t="shared" si="54"/>
        <v>0</v>
      </c>
      <c r="K191" s="1014">
        <f t="shared" si="55"/>
        <v>0</v>
      </c>
      <c r="L191" s="1007"/>
      <c r="M191" s="1328"/>
    </row>
    <row r="192" spans="1:13" s="1329" customFormat="1" ht="24" customHeight="1">
      <c r="A192" s="1038"/>
      <c r="B192" s="1127" t="s">
        <v>2116</v>
      </c>
      <c r="C192" s="1233"/>
      <c r="D192" s="809"/>
      <c r="E192" s="1345"/>
      <c r="F192" s="874" t="s">
        <v>1952</v>
      </c>
      <c r="G192" s="1257">
        <v>454</v>
      </c>
      <c r="H192" s="854">
        <f t="shared" si="53"/>
        <v>0</v>
      </c>
      <c r="I192" s="1477">
        <f>ROUND(G192*0.3,)</f>
        <v>136</v>
      </c>
      <c r="J192" s="1476">
        <f t="shared" si="54"/>
        <v>0</v>
      </c>
      <c r="K192" s="1014">
        <f t="shared" si="55"/>
        <v>0</v>
      </c>
      <c r="L192" s="1007"/>
      <c r="M192" s="1328"/>
    </row>
    <row r="193" spans="1:15" s="1329" customFormat="1" ht="24" customHeight="1">
      <c r="A193" s="1330" t="s">
        <v>2196</v>
      </c>
      <c r="B193" s="1331" t="s">
        <v>1965</v>
      </c>
      <c r="C193" s="1349"/>
      <c r="D193" s="890"/>
      <c r="E193" s="966">
        <v>1</v>
      </c>
      <c r="F193" s="1348" t="s">
        <v>948</v>
      </c>
      <c r="G193" s="1394">
        <f>E190*40</f>
        <v>41120</v>
      </c>
      <c r="H193" s="854">
        <f t="shared" si="53"/>
        <v>41120</v>
      </c>
      <c r="I193" s="1406">
        <f>E190*15</f>
        <v>15420</v>
      </c>
      <c r="J193" s="1476">
        <f t="shared" si="54"/>
        <v>15420</v>
      </c>
      <c r="K193" s="1014">
        <f t="shared" si="55"/>
        <v>56540</v>
      </c>
      <c r="L193" s="1030"/>
      <c r="M193" s="1328"/>
    </row>
    <row r="194" spans="1:15" s="1329" customFormat="1" ht="24" customHeight="1">
      <c r="A194" s="1355"/>
      <c r="B194" s="1331" t="s">
        <v>957</v>
      </c>
      <c r="C194" s="1349"/>
      <c r="D194" s="890"/>
      <c r="E194" s="966"/>
      <c r="F194" s="1348"/>
      <c r="G194" s="1394"/>
      <c r="H194" s="905"/>
      <c r="I194" s="1406"/>
      <c r="J194" s="1407"/>
      <c r="K194" s="1030"/>
      <c r="L194" s="1030"/>
      <c r="M194" s="1328"/>
    </row>
    <row r="195" spans="1:15" s="1329" customFormat="1" ht="24" customHeight="1">
      <c r="A195" s="1417"/>
      <c r="B195" s="1335"/>
      <c r="C195" s="1352"/>
      <c r="D195" s="890"/>
      <c r="E195" s="1337"/>
      <c r="F195" s="1353"/>
      <c r="G195" s="1418"/>
      <c r="H195" s="891"/>
      <c r="I195" s="1418"/>
      <c r="J195" s="1419"/>
      <c r="K195" s="1337"/>
      <c r="L195" s="1337"/>
      <c r="M195" s="1328"/>
    </row>
    <row r="196" spans="1:15" s="1329" customFormat="1" ht="24" customHeight="1">
      <c r="A196" s="1510"/>
      <c r="B196" s="2475" t="str">
        <f>"รวมราคารายการที่ "&amp;A188</f>
        <v>รวมราคารายการที่ 7.11</v>
      </c>
      <c r="C196" s="2476"/>
      <c r="D196" s="2476"/>
      <c r="E196" s="1511"/>
      <c r="F196" s="1512"/>
      <c r="G196" s="1513"/>
      <c r="H196" s="1514">
        <f>SUM(H188:H195)</f>
        <v>193264</v>
      </c>
      <c r="I196" s="1515"/>
      <c r="J196" s="1516">
        <f>SUM(J188:J195)</f>
        <v>61680</v>
      </c>
      <c r="K196" s="1517">
        <f>SUM(K188:K195)</f>
        <v>254944</v>
      </c>
      <c r="L196" s="1517"/>
      <c r="M196" s="1328"/>
    </row>
    <row r="197" spans="1:15" s="1329" customFormat="1" ht="24" customHeight="1">
      <c r="A197" s="1325" t="s">
        <v>2197</v>
      </c>
      <c r="B197" s="1326" t="s">
        <v>1968</v>
      </c>
      <c r="C197" s="1347"/>
      <c r="D197" s="901"/>
      <c r="E197" s="1019"/>
      <c r="F197" s="1310"/>
      <c r="G197" s="1400"/>
      <c r="H197" s="864"/>
      <c r="I197" s="1400"/>
      <c r="J197" s="1395"/>
      <c r="K197" s="966"/>
      <c r="L197" s="1030"/>
      <c r="M197" s="1328"/>
    </row>
    <row r="198" spans="1:15" s="1329" customFormat="1" ht="24" customHeight="1">
      <c r="A198" s="1330" t="s">
        <v>2198</v>
      </c>
      <c r="B198" s="1331" t="s">
        <v>2041</v>
      </c>
      <c r="C198" s="1349"/>
      <c r="D198" s="801"/>
      <c r="E198" s="966"/>
      <c r="F198" s="1249"/>
      <c r="G198" s="1394"/>
      <c r="H198" s="864"/>
      <c r="I198" s="1394"/>
      <c r="J198" s="1395"/>
      <c r="K198" s="966"/>
      <c r="L198" s="966"/>
      <c r="M198" s="1328"/>
    </row>
    <row r="199" spans="1:15" s="1329" customFormat="1" ht="24" customHeight="1">
      <c r="A199" s="1330"/>
      <c r="B199" s="1331" t="str">
        <f t="shared" ref="B199:B206" si="56">"  -  "&amp;M199&amp;" มม."</f>
        <v xml:space="preserve">  -  200x150 มม.</v>
      </c>
      <c r="C199" s="1349"/>
      <c r="D199" s="801"/>
      <c r="E199" s="1350">
        <f t="shared" ref="E199:E206" si="57">N199</f>
        <v>2</v>
      </c>
      <c r="F199" s="1348" t="str">
        <f t="shared" ref="F199:F209" si="58">IF(E199="","","ชุด")</f>
        <v>ชุด</v>
      </c>
      <c r="G199" s="1394">
        <v>500</v>
      </c>
      <c r="H199" s="854">
        <f t="shared" ref="H199:H206" si="59">ROUND(E199*G199,)</f>
        <v>1000</v>
      </c>
      <c r="I199" s="1394">
        <v>100</v>
      </c>
      <c r="J199" s="1395">
        <f t="shared" ref="J199:J206" si="60">ROUND(E199*I199,)</f>
        <v>200</v>
      </c>
      <c r="K199" s="966">
        <f t="shared" ref="K199:K206" si="61">H199+J199</f>
        <v>1200</v>
      </c>
      <c r="L199" s="966"/>
      <c r="M199" s="1420" t="s">
        <v>2199</v>
      </c>
      <c r="N199">
        <v>2</v>
      </c>
    </row>
    <row r="200" spans="1:15" s="1329" customFormat="1" ht="24" customHeight="1">
      <c r="A200" s="1330"/>
      <c r="B200" s="1331" t="str">
        <f t="shared" si="56"/>
        <v xml:space="preserve">  -  200x200 มม.</v>
      </c>
      <c r="C200" s="1349"/>
      <c r="D200" s="801"/>
      <c r="E200" s="1350">
        <f t="shared" si="57"/>
        <v>10</v>
      </c>
      <c r="F200" s="1348" t="str">
        <f t="shared" si="58"/>
        <v>ชุด</v>
      </c>
      <c r="G200" s="1394">
        <v>500</v>
      </c>
      <c r="H200" s="854">
        <f t="shared" si="59"/>
        <v>5000</v>
      </c>
      <c r="I200" s="1394">
        <v>100</v>
      </c>
      <c r="J200" s="1395">
        <f t="shared" si="60"/>
        <v>1000</v>
      </c>
      <c r="K200" s="966">
        <f t="shared" si="61"/>
        <v>6000</v>
      </c>
      <c r="L200" s="966"/>
      <c r="M200" s="1420" t="s">
        <v>2042</v>
      </c>
      <c r="N200">
        <v>10</v>
      </c>
    </row>
    <row r="201" spans="1:15" s="1329" customFormat="1" ht="24" customHeight="1">
      <c r="A201" s="1330"/>
      <c r="B201" s="1331" t="str">
        <f t="shared" si="56"/>
        <v xml:space="preserve">  -  250x200 มม.</v>
      </c>
      <c r="C201" s="1349"/>
      <c r="D201" s="801"/>
      <c r="E201" s="1350">
        <f t="shared" si="57"/>
        <v>1</v>
      </c>
      <c r="F201" s="1348" t="str">
        <f t="shared" si="58"/>
        <v>ชุด</v>
      </c>
      <c r="G201" s="1394">
        <v>500</v>
      </c>
      <c r="H201" s="854">
        <f t="shared" si="59"/>
        <v>500</v>
      </c>
      <c r="I201" s="1394">
        <v>100</v>
      </c>
      <c r="J201" s="1395">
        <f t="shared" si="60"/>
        <v>100</v>
      </c>
      <c r="K201" s="966">
        <f t="shared" si="61"/>
        <v>600</v>
      </c>
      <c r="L201" s="966"/>
      <c r="M201" s="1420" t="s">
        <v>2056</v>
      </c>
      <c r="N201">
        <v>1</v>
      </c>
    </row>
    <row r="202" spans="1:15" s="1329" customFormat="1" ht="24" customHeight="1">
      <c r="A202" s="1330"/>
      <c r="B202" s="1331" t="str">
        <f t="shared" si="56"/>
        <v xml:space="preserve">  -  300x250 มม.</v>
      </c>
      <c r="C202" s="1349"/>
      <c r="D202" s="801"/>
      <c r="E202" s="1350">
        <f t="shared" si="57"/>
        <v>33</v>
      </c>
      <c r="F202" s="1348" t="str">
        <f t="shared" si="58"/>
        <v>ชุด</v>
      </c>
      <c r="G202" s="1394">
        <v>500</v>
      </c>
      <c r="H202" s="854">
        <f t="shared" si="59"/>
        <v>16500</v>
      </c>
      <c r="I202" s="1394">
        <v>100</v>
      </c>
      <c r="J202" s="1395">
        <f t="shared" si="60"/>
        <v>3300</v>
      </c>
      <c r="K202" s="966">
        <f t="shared" si="61"/>
        <v>19800</v>
      </c>
      <c r="L202" s="966"/>
      <c r="M202" s="1420" t="s">
        <v>2200</v>
      </c>
      <c r="N202">
        <v>33</v>
      </c>
    </row>
    <row r="203" spans="1:15" s="1329" customFormat="1" ht="24" customHeight="1">
      <c r="A203" s="1330"/>
      <c r="B203" s="1331" t="str">
        <f t="shared" si="56"/>
        <v xml:space="preserve">  -  650x650 มม.</v>
      </c>
      <c r="C203" s="1349"/>
      <c r="D203" s="801"/>
      <c r="E203" s="1350">
        <f t="shared" si="57"/>
        <v>4</v>
      </c>
      <c r="F203" s="1348" t="str">
        <f t="shared" si="58"/>
        <v>ชุด</v>
      </c>
      <c r="G203" s="1394">
        <v>1300</v>
      </c>
      <c r="H203" s="854">
        <f t="shared" si="59"/>
        <v>5200</v>
      </c>
      <c r="I203" s="1394">
        <v>100</v>
      </c>
      <c r="J203" s="1395">
        <f t="shared" si="60"/>
        <v>400</v>
      </c>
      <c r="K203" s="966">
        <f t="shared" si="61"/>
        <v>5600</v>
      </c>
      <c r="L203" s="966"/>
      <c r="M203" s="1420" t="s">
        <v>2045</v>
      </c>
      <c r="N203">
        <v>4</v>
      </c>
    </row>
    <row r="204" spans="1:15" s="1329" customFormat="1" ht="24" customHeight="1">
      <c r="A204" s="1330"/>
      <c r="B204" s="1331" t="str">
        <f t="shared" si="56"/>
        <v xml:space="preserve">  -  150x150 มม.</v>
      </c>
      <c r="C204" s="1349"/>
      <c r="D204" s="801"/>
      <c r="E204" s="1350">
        <f t="shared" si="57"/>
        <v>3</v>
      </c>
      <c r="F204" s="1348" t="str">
        <f t="shared" si="58"/>
        <v>ชุด</v>
      </c>
      <c r="G204" s="1394">
        <v>500</v>
      </c>
      <c r="H204" s="854">
        <f t="shared" si="59"/>
        <v>1500</v>
      </c>
      <c r="I204" s="1394">
        <v>100</v>
      </c>
      <c r="J204" s="1395">
        <f t="shared" si="60"/>
        <v>300</v>
      </c>
      <c r="K204" s="966">
        <f t="shared" si="61"/>
        <v>1800</v>
      </c>
      <c r="L204" s="966"/>
      <c r="M204" s="1420" t="s">
        <v>2225</v>
      </c>
      <c r="N204">
        <v>3</v>
      </c>
    </row>
    <row r="205" spans="1:15" s="1329" customFormat="1" ht="24" customHeight="1">
      <c r="A205" s="1330"/>
      <c r="B205" s="1331" t="str">
        <f t="shared" si="56"/>
        <v xml:space="preserve">  -  500x200 มม.</v>
      </c>
      <c r="C205" s="1349"/>
      <c r="D205" s="801"/>
      <c r="E205" s="1350">
        <f t="shared" si="57"/>
        <v>5</v>
      </c>
      <c r="F205" s="1348" t="str">
        <f t="shared" si="58"/>
        <v>ชุด</v>
      </c>
      <c r="G205" s="1394">
        <v>700</v>
      </c>
      <c r="H205" s="854">
        <f t="shared" si="59"/>
        <v>3500</v>
      </c>
      <c r="I205" s="1394">
        <v>100</v>
      </c>
      <c r="J205" s="1395">
        <f t="shared" si="60"/>
        <v>500</v>
      </c>
      <c r="K205" s="966">
        <f t="shared" si="61"/>
        <v>4000</v>
      </c>
      <c r="L205" s="966"/>
      <c r="M205" s="1420" t="s">
        <v>2296</v>
      </c>
      <c r="N205">
        <f>4+1</f>
        <v>5</v>
      </c>
    </row>
    <row r="206" spans="1:15" s="1329" customFormat="1" ht="24" customHeight="1">
      <c r="A206" s="1330"/>
      <c r="B206" s="1331" t="str">
        <f t="shared" si="56"/>
        <v xml:space="preserve">  -  500x500 มม.</v>
      </c>
      <c r="C206" s="1349"/>
      <c r="D206" s="801"/>
      <c r="E206" s="1350">
        <f t="shared" si="57"/>
        <v>2</v>
      </c>
      <c r="F206" s="1348" t="str">
        <f t="shared" si="58"/>
        <v>ชุด</v>
      </c>
      <c r="G206" s="1394">
        <v>1000</v>
      </c>
      <c r="H206" s="854">
        <f t="shared" si="59"/>
        <v>2000</v>
      </c>
      <c r="I206" s="1406">
        <v>200</v>
      </c>
      <c r="J206" s="1395">
        <f t="shared" si="60"/>
        <v>400</v>
      </c>
      <c r="K206" s="966">
        <f t="shared" si="61"/>
        <v>2400</v>
      </c>
      <c r="L206" s="966"/>
      <c r="M206" s="1420" t="s">
        <v>2043</v>
      </c>
      <c r="N206">
        <v>2</v>
      </c>
    </row>
    <row r="207" spans="1:15" s="1329" customFormat="1" ht="24" customHeight="1">
      <c r="A207" s="1330" t="s">
        <v>2208</v>
      </c>
      <c r="B207" s="1335" t="s">
        <v>2049</v>
      </c>
      <c r="C207" s="1349"/>
      <c r="D207" s="801"/>
      <c r="E207" s="966"/>
      <c r="F207" s="1249"/>
      <c r="G207" s="1394"/>
      <c r="H207" s="864"/>
      <c r="I207" s="1394"/>
      <c r="J207" s="1395"/>
      <c r="K207" s="966"/>
      <c r="L207" s="966"/>
      <c r="M207" s="1328"/>
    </row>
    <row r="208" spans="1:15" s="1329" customFormat="1" ht="24" customHeight="1">
      <c r="A208" s="1330"/>
      <c r="B208" s="1331" t="str">
        <f t="shared" ref="B208:B209" si="62">"  -  "&amp;M208&amp;" มม."</f>
        <v xml:space="preserve">  -  300x200 มม.</v>
      </c>
      <c r="C208" s="1349"/>
      <c r="D208" s="801"/>
      <c r="E208" s="1350">
        <f t="shared" ref="E208:E209" si="63">N208</f>
        <v>10</v>
      </c>
      <c r="F208" s="1348" t="str">
        <f t="shared" si="58"/>
        <v>ชุด</v>
      </c>
      <c r="G208" s="1394">
        <v>500</v>
      </c>
      <c r="H208" s="854">
        <f t="shared" ref="H208:H209" si="64">ROUND(E208*G208,)</f>
        <v>5000</v>
      </c>
      <c r="I208" s="1394">
        <v>100</v>
      </c>
      <c r="J208" s="1395">
        <f t="shared" ref="J208:J209" si="65">ROUND(E208*I208,)</f>
        <v>1000</v>
      </c>
      <c r="K208" s="966">
        <f t="shared" ref="K208:K209" si="66">H208+J208</f>
        <v>6000</v>
      </c>
      <c r="L208" s="966"/>
      <c r="M208" s="1328" t="s">
        <v>2050</v>
      </c>
      <c r="N208" s="1404">
        <v>10</v>
      </c>
      <c r="O208" s="1404"/>
    </row>
    <row r="209" spans="1:15" s="1329" customFormat="1" ht="24" customHeight="1">
      <c r="A209" s="1330"/>
      <c r="B209" s="1331" t="str">
        <f t="shared" si="62"/>
        <v xml:space="preserve">  -  400x250 มม.</v>
      </c>
      <c r="C209" s="1349"/>
      <c r="D209" s="801"/>
      <c r="E209" s="1350">
        <f t="shared" si="63"/>
        <v>8</v>
      </c>
      <c r="F209" s="1348" t="str">
        <f t="shared" si="58"/>
        <v>ชุด</v>
      </c>
      <c r="G209" s="1394">
        <v>600</v>
      </c>
      <c r="H209" s="854">
        <f t="shared" si="64"/>
        <v>4800</v>
      </c>
      <c r="I209" s="1406">
        <v>100</v>
      </c>
      <c r="J209" s="1395">
        <f t="shared" si="65"/>
        <v>800</v>
      </c>
      <c r="K209" s="966">
        <f t="shared" si="66"/>
        <v>5600</v>
      </c>
      <c r="L209" s="966"/>
      <c r="M209" s="1328" t="s">
        <v>2210</v>
      </c>
      <c r="N209" s="1404">
        <v>8</v>
      </c>
      <c r="O209" s="1404"/>
    </row>
    <row r="210" spans="1:15" s="1329" customFormat="1" ht="24" customHeight="1">
      <c r="A210" s="1330" t="s">
        <v>2211</v>
      </c>
      <c r="B210" s="1331" t="s">
        <v>2219</v>
      </c>
      <c r="C210" s="1349"/>
      <c r="D210" s="890"/>
      <c r="E210" s="966"/>
      <c r="F210" s="1348"/>
      <c r="G210" s="1394"/>
      <c r="H210" s="905"/>
      <c r="I210" s="1406"/>
      <c r="J210" s="1407"/>
      <c r="K210" s="1030"/>
      <c r="L210" s="1030"/>
      <c r="M210" s="1328"/>
    </row>
    <row r="211" spans="1:15" s="1329" customFormat="1" ht="24" customHeight="1">
      <c r="A211" s="1330"/>
      <c r="B211" s="1331" t="s">
        <v>2220</v>
      </c>
      <c r="C211" s="1349"/>
      <c r="D211" s="801"/>
      <c r="E211" s="966">
        <v>1</v>
      </c>
      <c r="F211" s="1249" t="str">
        <f t="shared" ref="F211:F212" si="67">IF(E211="","","ชุด")</f>
        <v>ชุด</v>
      </c>
      <c r="G211" s="1394">
        <v>1500</v>
      </c>
      <c r="H211" s="854">
        <f t="shared" ref="H211:H212" si="68">ROUND(E211*G211,)</f>
        <v>1500</v>
      </c>
      <c r="I211" s="1394">
        <v>500</v>
      </c>
      <c r="J211" s="1395">
        <f t="shared" ref="J211:J212" si="69">ROUND(E211*I211,)</f>
        <v>500</v>
      </c>
      <c r="K211" s="966">
        <f t="shared" ref="K211:K212" si="70">H211+J211</f>
        <v>2000</v>
      </c>
      <c r="L211" s="966"/>
      <c r="M211" s="1328"/>
      <c r="N211" s="1404"/>
      <c r="O211" s="1404"/>
    </row>
    <row r="212" spans="1:15" s="1329" customFormat="1" ht="24" customHeight="1">
      <c r="A212" s="1330"/>
      <c r="B212" s="1331" t="s">
        <v>2221</v>
      </c>
      <c r="C212" s="1349"/>
      <c r="D212" s="801"/>
      <c r="E212" s="966">
        <v>1</v>
      </c>
      <c r="F212" s="1249" t="str">
        <f t="shared" si="67"/>
        <v>ชุด</v>
      </c>
      <c r="G212" s="1394">
        <v>2000</v>
      </c>
      <c r="H212" s="854">
        <f t="shared" si="68"/>
        <v>2000</v>
      </c>
      <c r="I212" s="1394">
        <v>500</v>
      </c>
      <c r="J212" s="1395">
        <f t="shared" si="69"/>
        <v>500</v>
      </c>
      <c r="K212" s="966">
        <f t="shared" si="70"/>
        <v>2500</v>
      </c>
      <c r="L212" s="966"/>
      <c r="M212" s="1328"/>
      <c r="N212" s="1404"/>
      <c r="O212" s="1404"/>
    </row>
    <row r="213" spans="1:15" s="1329" customFormat="1" ht="24" customHeight="1">
      <c r="A213" s="1330" t="s">
        <v>2213</v>
      </c>
      <c r="B213" s="1331" t="s">
        <v>2055</v>
      </c>
      <c r="C213" s="1349"/>
      <c r="D213" s="801"/>
      <c r="E213" s="966"/>
      <c r="F213" s="1249"/>
      <c r="G213" s="1394"/>
      <c r="H213" s="864"/>
      <c r="I213" s="1394"/>
      <c r="J213" s="1395"/>
      <c r="K213" s="966"/>
      <c r="L213" s="966"/>
      <c r="M213" s="1328"/>
    </row>
    <row r="214" spans="1:15" s="1329" customFormat="1" ht="24" customHeight="1">
      <c r="A214" s="1330"/>
      <c r="B214" s="1331" t="str">
        <f t="shared" ref="B214:B238" si="71">"  -  "&amp;M214&amp;" มม."</f>
        <v xml:space="preserve">  -  100x100 มม.</v>
      </c>
      <c r="C214" s="1349"/>
      <c r="D214" s="801"/>
      <c r="E214" s="1350">
        <f t="shared" ref="E214:E238" si="72">N214</f>
        <v>6</v>
      </c>
      <c r="F214" s="1249" t="str">
        <f t="shared" ref="F214:F238" si="73">IF(E214="","","ชุด")</f>
        <v>ชุด</v>
      </c>
      <c r="G214" s="1394">
        <v>1000</v>
      </c>
      <c r="H214" s="854">
        <f t="shared" ref="H214:H238" si="74">ROUND(E214*G214,)</f>
        <v>6000</v>
      </c>
      <c r="I214" s="1394">
        <v>300</v>
      </c>
      <c r="J214" s="1395">
        <f t="shared" ref="J214:J238" si="75">ROUND(E214*I214,)</f>
        <v>1800</v>
      </c>
      <c r="K214" s="966">
        <f t="shared" ref="K214:K238" si="76">H214+J214</f>
        <v>7800</v>
      </c>
      <c r="L214" s="966"/>
      <c r="M214" s="1328" t="s">
        <v>2356</v>
      </c>
      <c r="N214">
        <v>6</v>
      </c>
      <c r="O214" s="1404"/>
    </row>
    <row r="215" spans="1:15" s="1329" customFormat="1" ht="24" customHeight="1">
      <c r="A215" s="1330"/>
      <c r="B215" s="1331" t="str">
        <f t="shared" si="71"/>
        <v xml:space="preserve">  -  150x150 มม.</v>
      </c>
      <c r="C215" s="1349"/>
      <c r="D215" s="801"/>
      <c r="E215" s="1350">
        <f t="shared" si="72"/>
        <v>8</v>
      </c>
      <c r="F215" s="1249" t="str">
        <f t="shared" si="73"/>
        <v>ชุด</v>
      </c>
      <c r="G215" s="1394">
        <v>1000</v>
      </c>
      <c r="H215" s="854">
        <f t="shared" si="74"/>
        <v>8000</v>
      </c>
      <c r="I215" s="1394">
        <v>300</v>
      </c>
      <c r="J215" s="1395">
        <f t="shared" si="75"/>
        <v>2400</v>
      </c>
      <c r="K215" s="966">
        <f t="shared" si="76"/>
        <v>10400</v>
      </c>
      <c r="L215" s="966"/>
      <c r="M215" s="1328" t="s">
        <v>2225</v>
      </c>
      <c r="N215">
        <v>8</v>
      </c>
      <c r="O215" s="1404"/>
    </row>
    <row r="216" spans="1:15" s="1329" customFormat="1" ht="24" customHeight="1">
      <c r="A216" s="1330"/>
      <c r="B216" s="1331" t="str">
        <f t="shared" si="71"/>
        <v xml:space="preserve">  -  150x400 มม.</v>
      </c>
      <c r="C216" s="1349"/>
      <c r="D216" s="801"/>
      <c r="E216" s="1350">
        <f t="shared" si="72"/>
        <v>1</v>
      </c>
      <c r="F216" s="1249" t="str">
        <f t="shared" si="73"/>
        <v>ชุด</v>
      </c>
      <c r="G216" s="1394">
        <v>1000</v>
      </c>
      <c r="H216" s="854">
        <f t="shared" si="74"/>
        <v>1000</v>
      </c>
      <c r="I216" s="1394">
        <v>300</v>
      </c>
      <c r="J216" s="1395">
        <f t="shared" si="75"/>
        <v>300</v>
      </c>
      <c r="K216" s="966">
        <f t="shared" si="76"/>
        <v>1300</v>
      </c>
      <c r="L216" s="966"/>
      <c r="M216" s="1328" t="s">
        <v>2357</v>
      </c>
      <c r="N216">
        <v>1</v>
      </c>
      <c r="O216" s="1404"/>
    </row>
    <row r="217" spans="1:15" s="1329" customFormat="1" ht="24" customHeight="1">
      <c r="A217" s="1330"/>
      <c r="B217" s="1331" t="str">
        <f t="shared" si="71"/>
        <v xml:space="preserve">  -  250x200 มม.</v>
      </c>
      <c r="C217" s="1349"/>
      <c r="D217" s="801"/>
      <c r="E217" s="1350">
        <f t="shared" si="72"/>
        <v>7</v>
      </c>
      <c r="F217" s="1249" t="str">
        <f t="shared" si="73"/>
        <v>ชุด</v>
      </c>
      <c r="G217" s="1394">
        <v>1100</v>
      </c>
      <c r="H217" s="854">
        <f t="shared" si="74"/>
        <v>7700</v>
      </c>
      <c r="I217" s="1394">
        <v>300</v>
      </c>
      <c r="J217" s="1395">
        <f t="shared" si="75"/>
        <v>2100</v>
      </c>
      <c r="K217" s="966">
        <f t="shared" si="76"/>
        <v>9800</v>
      </c>
      <c r="L217" s="966"/>
      <c r="M217" s="1328" t="s">
        <v>2056</v>
      </c>
      <c r="N217">
        <v>7</v>
      </c>
      <c r="O217" s="1404"/>
    </row>
    <row r="218" spans="1:15" s="1329" customFormat="1" ht="24" customHeight="1">
      <c r="A218" s="1330"/>
      <c r="B218" s="1331" t="str">
        <f t="shared" si="71"/>
        <v xml:space="preserve">  -  350x200 มม.</v>
      </c>
      <c r="C218" s="1349"/>
      <c r="D218" s="801"/>
      <c r="E218" s="1350">
        <f t="shared" si="72"/>
        <v>1</v>
      </c>
      <c r="F218" s="1249" t="str">
        <f t="shared" si="73"/>
        <v>ชุด</v>
      </c>
      <c r="G218" s="1394">
        <v>1300</v>
      </c>
      <c r="H218" s="864">
        <f t="shared" si="74"/>
        <v>1300</v>
      </c>
      <c r="I218" s="1394">
        <v>300</v>
      </c>
      <c r="J218" s="1395">
        <f t="shared" si="75"/>
        <v>300</v>
      </c>
      <c r="K218" s="966">
        <f t="shared" si="76"/>
        <v>1600</v>
      </c>
      <c r="L218" s="966"/>
      <c r="M218" s="1328" t="s">
        <v>2209</v>
      </c>
      <c r="N218">
        <v>1</v>
      </c>
      <c r="O218" s="1404"/>
    </row>
    <row r="219" spans="1:15" s="1329" customFormat="1" ht="24" customHeight="1">
      <c r="A219" s="1330"/>
      <c r="B219" s="1331" t="str">
        <f t="shared" si="71"/>
        <v xml:space="preserve">  -  500x250 มม.</v>
      </c>
      <c r="C219" s="1349"/>
      <c r="D219" s="801"/>
      <c r="E219" s="1350">
        <f t="shared" si="72"/>
        <v>1</v>
      </c>
      <c r="F219" s="1249" t="str">
        <f t="shared" si="73"/>
        <v>ชุด</v>
      </c>
      <c r="G219" s="1394">
        <v>1500</v>
      </c>
      <c r="H219" s="854">
        <f t="shared" si="74"/>
        <v>1500</v>
      </c>
      <c r="I219" s="1394">
        <v>300</v>
      </c>
      <c r="J219" s="1395">
        <f t="shared" si="75"/>
        <v>300</v>
      </c>
      <c r="K219" s="966">
        <f t="shared" si="76"/>
        <v>1800</v>
      </c>
      <c r="L219" s="966"/>
      <c r="M219" s="1328" t="s">
        <v>2227</v>
      </c>
      <c r="N219">
        <v>1</v>
      </c>
      <c r="O219" s="1404"/>
    </row>
    <row r="220" spans="1:15" s="1329" customFormat="1" ht="24" customHeight="1">
      <c r="A220" s="1330"/>
      <c r="B220" s="1331" t="str">
        <f t="shared" si="71"/>
        <v xml:space="preserve">  -  500x500 มม.</v>
      </c>
      <c r="C220" s="1349"/>
      <c r="D220" s="801"/>
      <c r="E220" s="1350">
        <f t="shared" si="72"/>
        <v>2</v>
      </c>
      <c r="F220" s="1249" t="str">
        <f t="shared" si="73"/>
        <v>ชุด</v>
      </c>
      <c r="G220" s="1394">
        <v>2500</v>
      </c>
      <c r="H220" s="854">
        <f t="shared" si="74"/>
        <v>5000</v>
      </c>
      <c r="I220" s="1394">
        <v>300</v>
      </c>
      <c r="J220" s="1395">
        <f t="shared" si="75"/>
        <v>600</v>
      </c>
      <c r="K220" s="966">
        <f t="shared" si="76"/>
        <v>5600</v>
      </c>
      <c r="L220" s="966"/>
      <c r="M220" s="1328" t="s">
        <v>2043</v>
      </c>
      <c r="N220">
        <v>2</v>
      </c>
      <c r="O220" s="1404"/>
    </row>
    <row r="221" spans="1:15" s="1329" customFormat="1" ht="24" customHeight="1">
      <c r="A221" s="1330"/>
      <c r="B221" s="1331" t="str">
        <f t="shared" si="71"/>
        <v xml:space="preserve">  -  550x500 มม.</v>
      </c>
      <c r="C221" s="1349"/>
      <c r="D221" s="801"/>
      <c r="E221" s="1350">
        <f t="shared" si="72"/>
        <v>3</v>
      </c>
      <c r="F221" s="1249" t="str">
        <f t="shared" si="73"/>
        <v>ชุด</v>
      </c>
      <c r="G221" s="1394">
        <v>2600</v>
      </c>
      <c r="H221" s="854">
        <f t="shared" si="74"/>
        <v>7800</v>
      </c>
      <c r="I221" s="1394">
        <v>300</v>
      </c>
      <c r="J221" s="1395">
        <f t="shared" si="75"/>
        <v>900</v>
      </c>
      <c r="K221" s="966">
        <f t="shared" si="76"/>
        <v>8700</v>
      </c>
      <c r="L221" s="966"/>
      <c r="M221" s="1328" t="s">
        <v>2491</v>
      </c>
      <c r="N221">
        <v>3</v>
      </c>
      <c r="O221" s="1404"/>
    </row>
    <row r="222" spans="1:15" s="1329" customFormat="1" ht="24" customHeight="1">
      <c r="A222" s="1330"/>
      <c r="B222" s="1331" t="str">
        <f t="shared" si="71"/>
        <v xml:space="preserve">  -  600x550 มม.</v>
      </c>
      <c r="C222" s="1349"/>
      <c r="D222" s="801"/>
      <c r="E222" s="1350">
        <f t="shared" si="72"/>
        <v>3</v>
      </c>
      <c r="F222" s="1249" t="str">
        <f t="shared" si="73"/>
        <v>ชุด</v>
      </c>
      <c r="G222" s="1394">
        <v>2600</v>
      </c>
      <c r="H222" s="854">
        <f t="shared" si="74"/>
        <v>7800</v>
      </c>
      <c r="I222" s="1394">
        <v>300</v>
      </c>
      <c r="J222" s="1395">
        <f t="shared" si="75"/>
        <v>900</v>
      </c>
      <c r="K222" s="966">
        <f t="shared" si="76"/>
        <v>8700</v>
      </c>
      <c r="L222" s="966"/>
      <c r="M222" s="1328" t="s">
        <v>2044</v>
      </c>
      <c r="N222">
        <v>3</v>
      </c>
      <c r="O222" s="1404"/>
    </row>
    <row r="223" spans="1:15" s="1329" customFormat="1" ht="24" customHeight="1">
      <c r="A223" s="1330"/>
      <c r="B223" s="1331" t="str">
        <f t="shared" si="71"/>
        <v xml:space="preserve">  -  650x650 มม.</v>
      </c>
      <c r="C223" s="1349"/>
      <c r="D223" s="801"/>
      <c r="E223" s="1350">
        <f t="shared" si="72"/>
        <v>4</v>
      </c>
      <c r="F223" s="1249" t="str">
        <f t="shared" si="73"/>
        <v>ชุด</v>
      </c>
      <c r="G223" s="1394">
        <v>2600</v>
      </c>
      <c r="H223" s="854">
        <f t="shared" si="74"/>
        <v>10400</v>
      </c>
      <c r="I223" s="1394">
        <v>300</v>
      </c>
      <c r="J223" s="1395">
        <f t="shared" si="75"/>
        <v>1200</v>
      </c>
      <c r="K223" s="966">
        <f t="shared" si="76"/>
        <v>11600</v>
      </c>
      <c r="L223" s="966"/>
      <c r="M223" s="1328" t="s">
        <v>2045</v>
      </c>
      <c r="N223">
        <v>4</v>
      </c>
      <c r="O223" s="1404"/>
    </row>
    <row r="224" spans="1:15" s="1329" customFormat="1" ht="24" customHeight="1">
      <c r="A224" s="1330"/>
      <c r="B224" s="1331" t="str">
        <f t="shared" si="71"/>
        <v xml:space="preserve">  -  700x650 มม.</v>
      </c>
      <c r="C224" s="1349"/>
      <c r="D224" s="801"/>
      <c r="E224" s="1350">
        <f t="shared" si="72"/>
        <v>2</v>
      </c>
      <c r="F224" s="865" t="str">
        <f t="shared" si="73"/>
        <v>ชุด</v>
      </c>
      <c r="G224" s="1394">
        <v>2600</v>
      </c>
      <c r="H224" s="854">
        <f t="shared" si="74"/>
        <v>5200</v>
      </c>
      <c r="I224" s="1394">
        <v>300</v>
      </c>
      <c r="J224" s="1395">
        <f t="shared" si="75"/>
        <v>600</v>
      </c>
      <c r="K224" s="966">
        <f t="shared" si="76"/>
        <v>5800</v>
      </c>
      <c r="L224" s="966"/>
      <c r="M224" s="1328" t="s">
        <v>2492</v>
      </c>
      <c r="N224">
        <v>2</v>
      </c>
      <c r="O224" s="1404"/>
    </row>
    <row r="225" spans="1:15" s="1329" customFormat="1" ht="24" customHeight="1">
      <c r="A225" s="1330"/>
      <c r="B225" s="1331" t="str">
        <f t="shared" si="71"/>
        <v xml:space="preserve">  -  800x800 มม.</v>
      </c>
      <c r="C225" s="1349"/>
      <c r="D225" s="801"/>
      <c r="E225" s="1350">
        <f t="shared" si="72"/>
        <v>2</v>
      </c>
      <c r="F225" s="865" t="str">
        <f t="shared" si="73"/>
        <v>ชุด</v>
      </c>
      <c r="G225" s="1394">
        <v>4000</v>
      </c>
      <c r="H225" s="864">
        <f t="shared" si="74"/>
        <v>8000</v>
      </c>
      <c r="I225" s="1394">
        <v>300</v>
      </c>
      <c r="J225" s="1395">
        <f t="shared" si="75"/>
        <v>600</v>
      </c>
      <c r="K225" s="966">
        <f t="shared" si="76"/>
        <v>8600</v>
      </c>
      <c r="L225" s="966"/>
      <c r="M225" s="1328" t="s">
        <v>2456</v>
      </c>
      <c r="N225">
        <v>2</v>
      </c>
      <c r="O225" s="1404"/>
    </row>
    <row r="226" spans="1:15" s="1329" customFormat="1" ht="24" customHeight="1">
      <c r="A226" s="1330"/>
      <c r="B226" s="1331" t="str">
        <f t="shared" si="71"/>
        <v xml:space="preserve">  -  850x300 มม.</v>
      </c>
      <c r="C226" s="1349"/>
      <c r="D226" s="801"/>
      <c r="E226" s="1350">
        <f t="shared" si="72"/>
        <v>2</v>
      </c>
      <c r="F226" s="865" t="str">
        <f t="shared" si="73"/>
        <v>ชุด</v>
      </c>
      <c r="G226" s="1394">
        <v>2700</v>
      </c>
      <c r="H226" s="854">
        <f t="shared" si="74"/>
        <v>5400</v>
      </c>
      <c r="I226" s="1394">
        <v>300</v>
      </c>
      <c r="J226" s="1395">
        <f t="shared" si="75"/>
        <v>600</v>
      </c>
      <c r="K226" s="966">
        <f t="shared" si="76"/>
        <v>6000</v>
      </c>
      <c r="L226" s="966"/>
      <c r="M226" s="1328" t="s">
        <v>2228</v>
      </c>
      <c r="N226">
        <v>2</v>
      </c>
      <c r="O226" s="1404"/>
    </row>
    <row r="227" spans="1:15" s="1329" customFormat="1" ht="24" customHeight="1">
      <c r="A227" s="1330"/>
      <c r="B227" s="1331" t="str">
        <f t="shared" si="71"/>
        <v xml:space="preserve">  -  850x500 มม.</v>
      </c>
      <c r="C227" s="1349"/>
      <c r="D227" s="801"/>
      <c r="E227" s="1350">
        <f t="shared" si="72"/>
        <v>1</v>
      </c>
      <c r="F227" s="865" t="str">
        <f t="shared" si="73"/>
        <v>ชุด</v>
      </c>
      <c r="G227" s="1394">
        <v>2700</v>
      </c>
      <c r="H227" s="854">
        <f t="shared" si="74"/>
        <v>2700</v>
      </c>
      <c r="I227" s="865">
        <v>300</v>
      </c>
      <c r="J227" s="1395">
        <f t="shared" si="75"/>
        <v>300</v>
      </c>
      <c r="K227" s="966">
        <f t="shared" si="76"/>
        <v>3000</v>
      </c>
      <c r="L227" s="966"/>
      <c r="M227" s="1328" t="s">
        <v>2361</v>
      </c>
      <c r="N227">
        <v>1</v>
      </c>
      <c r="O227" s="1404"/>
    </row>
    <row r="228" spans="1:15" s="1329" customFormat="1" ht="24" customHeight="1">
      <c r="A228" s="1330"/>
      <c r="B228" s="1331" t="str">
        <f t="shared" si="71"/>
        <v xml:space="preserve">  -  1000x400 มม.</v>
      </c>
      <c r="C228" s="1349"/>
      <c r="D228" s="801"/>
      <c r="E228" s="1350">
        <f t="shared" si="72"/>
        <v>7</v>
      </c>
      <c r="F228" s="865" t="str">
        <f t="shared" si="73"/>
        <v>ชุด</v>
      </c>
      <c r="G228" s="1394">
        <v>2700</v>
      </c>
      <c r="H228" s="854">
        <f t="shared" si="74"/>
        <v>18900</v>
      </c>
      <c r="I228" s="865">
        <v>325</v>
      </c>
      <c r="J228" s="1395">
        <f t="shared" si="75"/>
        <v>2275</v>
      </c>
      <c r="K228" s="966">
        <f t="shared" si="76"/>
        <v>21175</v>
      </c>
      <c r="L228" s="966"/>
      <c r="M228" s="1328" t="s">
        <v>2493</v>
      </c>
      <c r="N228">
        <v>7</v>
      </c>
      <c r="O228" s="1404"/>
    </row>
    <row r="229" spans="1:15" s="1329" customFormat="1" ht="24" customHeight="1">
      <c r="A229" s="1330"/>
      <c r="B229" s="1331" t="str">
        <f t="shared" si="71"/>
        <v xml:space="preserve">  -  1050x300 มม.</v>
      </c>
      <c r="C229" s="1349"/>
      <c r="D229" s="801"/>
      <c r="E229" s="1350">
        <f t="shared" si="72"/>
        <v>5</v>
      </c>
      <c r="F229" s="865" t="str">
        <f t="shared" si="73"/>
        <v>ชุด</v>
      </c>
      <c r="G229" s="1394">
        <v>2700</v>
      </c>
      <c r="H229" s="854">
        <f t="shared" si="74"/>
        <v>13500</v>
      </c>
      <c r="I229" s="865">
        <v>325</v>
      </c>
      <c r="J229" s="1395">
        <f t="shared" si="75"/>
        <v>1625</v>
      </c>
      <c r="K229" s="966">
        <f t="shared" si="76"/>
        <v>15125</v>
      </c>
      <c r="L229" s="966"/>
      <c r="M229" s="1328" t="s">
        <v>2240</v>
      </c>
      <c r="N229">
        <v>5</v>
      </c>
      <c r="O229" s="1404"/>
    </row>
    <row r="230" spans="1:15" s="1329" customFormat="1" ht="24" customHeight="1">
      <c r="A230" s="1330"/>
      <c r="B230" s="1331" t="str">
        <f t="shared" si="71"/>
        <v xml:space="preserve">  -  1150x300 มม.</v>
      </c>
      <c r="C230" s="1349"/>
      <c r="D230" s="801"/>
      <c r="E230" s="1350">
        <f t="shared" si="72"/>
        <v>1</v>
      </c>
      <c r="F230" s="865" t="str">
        <f t="shared" si="73"/>
        <v>ชุด</v>
      </c>
      <c r="G230" s="1394">
        <v>2700</v>
      </c>
      <c r="H230" s="854">
        <f t="shared" si="74"/>
        <v>2700</v>
      </c>
      <c r="I230" s="865">
        <v>325</v>
      </c>
      <c r="J230" s="1395">
        <f t="shared" si="75"/>
        <v>325</v>
      </c>
      <c r="K230" s="966">
        <f t="shared" si="76"/>
        <v>3025</v>
      </c>
      <c r="L230" s="966"/>
      <c r="M230" s="1328" t="s">
        <v>2494</v>
      </c>
      <c r="N230">
        <v>1</v>
      </c>
      <c r="O230" s="1404"/>
    </row>
    <row r="231" spans="1:15" s="1329" customFormat="1" ht="24" customHeight="1">
      <c r="A231" s="1330"/>
      <c r="B231" s="1331" t="str">
        <f t="shared" si="71"/>
        <v xml:space="preserve">  -  1150x400 มม.</v>
      </c>
      <c r="C231" s="1349"/>
      <c r="D231" s="801"/>
      <c r="E231" s="1350">
        <f t="shared" si="72"/>
        <v>4</v>
      </c>
      <c r="F231" s="865" t="str">
        <f t="shared" si="73"/>
        <v>ชุด</v>
      </c>
      <c r="G231" s="1394">
        <v>3100</v>
      </c>
      <c r="H231" s="854">
        <f t="shared" si="74"/>
        <v>12400</v>
      </c>
      <c r="I231" s="865">
        <v>325</v>
      </c>
      <c r="J231" s="1395">
        <f t="shared" si="75"/>
        <v>1300</v>
      </c>
      <c r="K231" s="966">
        <f t="shared" si="76"/>
        <v>13700</v>
      </c>
      <c r="L231" s="966"/>
      <c r="M231" s="1328" t="s">
        <v>2229</v>
      </c>
      <c r="N231">
        <v>4</v>
      </c>
      <c r="O231" s="1404"/>
    </row>
    <row r="232" spans="1:15" s="1329" customFormat="1" ht="24" customHeight="1">
      <c r="A232" s="1330"/>
      <c r="B232" s="1331" t="str">
        <f t="shared" si="71"/>
        <v xml:space="preserve">  -  1200x350 มม.</v>
      </c>
      <c r="C232" s="1349"/>
      <c r="D232" s="801"/>
      <c r="E232" s="1350">
        <f t="shared" si="72"/>
        <v>3</v>
      </c>
      <c r="F232" s="865" t="str">
        <f t="shared" si="73"/>
        <v>ชุด</v>
      </c>
      <c r="G232" s="1394">
        <v>3100</v>
      </c>
      <c r="H232" s="854">
        <f t="shared" si="74"/>
        <v>9300</v>
      </c>
      <c r="I232" s="865">
        <v>325</v>
      </c>
      <c r="J232" s="1395">
        <f t="shared" si="75"/>
        <v>975</v>
      </c>
      <c r="K232" s="966">
        <f t="shared" si="76"/>
        <v>10275</v>
      </c>
      <c r="L232" s="966"/>
      <c r="M232" s="1328" t="s">
        <v>2365</v>
      </c>
      <c r="N232">
        <v>3</v>
      </c>
      <c r="O232" s="1404"/>
    </row>
    <row r="233" spans="1:15" s="1329" customFormat="1" ht="24" customHeight="1">
      <c r="A233" s="1330"/>
      <c r="B233" s="1331" t="str">
        <f t="shared" si="71"/>
        <v xml:space="preserve">  -  1200x600 มม.</v>
      </c>
      <c r="C233" s="1349"/>
      <c r="D233" s="801"/>
      <c r="E233" s="1350">
        <f t="shared" si="72"/>
        <v>2</v>
      </c>
      <c r="F233" s="865" t="str">
        <f t="shared" si="73"/>
        <v>ชุด</v>
      </c>
      <c r="G233" s="1394">
        <v>3800</v>
      </c>
      <c r="H233" s="854">
        <f t="shared" si="74"/>
        <v>7600</v>
      </c>
      <c r="I233" s="865">
        <v>325</v>
      </c>
      <c r="J233" s="1395">
        <f t="shared" si="75"/>
        <v>650</v>
      </c>
      <c r="K233" s="966">
        <f t="shared" si="76"/>
        <v>8250</v>
      </c>
      <c r="L233" s="966"/>
      <c r="M233" s="1328" t="s">
        <v>2202</v>
      </c>
      <c r="N233">
        <v>2</v>
      </c>
      <c r="O233" s="1404"/>
    </row>
    <row r="234" spans="1:15" s="1329" customFormat="1" ht="24" customHeight="1">
      <c r="A234" s="1330"/>
      <c r="B234" s="1331" t="str">
        <f t="shared" si="71"/>
        <v xml:space="preserve">  -  1250x400 มม.</v>
      </c>
      <c r="C234" s="1349"/>
      <c r="D234" s="801"/>
      <c r="E234" s="1350">
        <f t="shared" si="72"/>
        <v>3</v>
      </c>
      <c r="F234" s="865" t="str">
        <f t="shared" si="73"/>
        <v>ชุด</v>
      </c>
      <c r="G234" s="1394">
        <v>3300</v>
      </c>
      <c r="H234" s="854">
        <f t="shared" si="74"/>
        <v>9900</v>
      </c>
      <c r="I234" s="865">
        <v>325</v>
      </c>
      <c r="J234" s="1395">
        <f t="shared" si="75"/>
        <v>975</v>
      </c>
      <c r="K234" s="966">
        <f t="shared" si="76"/>
        <v>10875</v>
      </c>
      <c r="L234" s="966"/>
      <c r="M234" s="1328" t="s">
        <v>2367</v>
      </c>
      <c r="N234">
        <v>3</v>
      </c>
      <c r="O234" s="1404"/>
    </row>
    <row r="235" spans="1:15" s="1329" customFormat="1" ht="24" customHeight="1">
      <c r="A235" s="1330"/>
      <c r="B235" s="1331" t="str">
        <f t="shared" si="71"/>
        <v xml:space="preserve">  -  1250x650 มม.</v>
      </c>
      <c r="C235" s="1349"/>
      <c r="D235" s="801"/>
      <c r="E235" s="1350">
        <f t="shared" si="72"/>
        <v>1</v>
      </c>
      <c r="F235" s="865" t="str">
        <f t="shared" si="73"/>
        <v>ชุด</v>
      </c>
      <c r="G235" s="1394">
        <v>3800</v>
      </c>
      <c r="H235" s="854">
        <f t="shared" si="74"/>
        <v>3800</v>
      </c>
      <c r="I235" s="865">
        <v>325</v>
      </c>
      <c r="J235" s="1395">
        <f t="shared" si="75"/>
        <v>325</v>
      </c>
      <c r="K235" s="966">
        <f t="shared" si="76"/>
        <v>4125</v>
      </c>
      <c r="L235" s="966"/>
      <c r="M235" s="1328" t="s">
        <v>2305</v>
      </c>
      <c r="N235">
        <v>1</v>
      </c>
      <c r="O235" s="1404"/>
    </row>
    <row r="236" spans="1:15" s="1329" customFormat="1" ht="24" customHeight="1">
      <c r="A236" s="1330"/>
      <c r="B236" s="1331" t="str">
        <f t="shared" si="71"/>
        <v xml:space="preserve">  -  1300x350 มม.</v>
      </c>
      <c r="C236" s="1349"/>
      <c r="D236" s="801"/>
      <c r="E236" s="1350">
        <f t="shared" si="72"/>
        <v>1</v>
      </c>
      <c r="F236" s="865" t="str">
        <f t="shared" si="73"/>
        <v>ชุด</v>
      </c>
      <c r="G236" s="1394">
        <v>3300</v>
      </c>
      <c r="H236" s="854">
        <f t="shared" si="74"/>
        <v>3300</v>
      </c>
      <c r="I236" s="865">
        <v>325</v>
      </c>
      <c r="J236" s="1395">
        <f t="shared" si="75"/>
        <v>325</v>
      </c>
      <c r="K236" s="966">
        <f t="shared" si="76"/>
        <v>3625</v>
      </c>
      <c r="L236" s="966"/>
      <c r="M236" s="1328" t="s">
        <v>2368</v>
      </c>
      <c r="N236">
        <v>1</v>
      </c>
      <c r="O236" s="1404"/>
    </row>
    <row r="237" spans="1:15" s="1329" customFormat="1" ht="24" customHeight="1">
      <c r="A237" s="1330"/>
      <c r="B237" s="1331" t="str">
        <f t="shared" si="71"/>
        <v xml:space="preserve">  -  1500x400 มม.</v>
      </c>
      <c r="C237" s="1349"/>
      <c r="D237" s="801"/>
      <c r="E237" s="1350">
        <f t="shared" si="72"/>
        <v>1</v>
      </c>
      <c r="F237" s="865" t="str">
        <f t="shared" si="73"/>
        <v>ชุด</v>
      </c>
      <c r="G237" s="1394">
        <v>4750</v>
      </c>
      <c r="H237" s="864">
        <f t="shared" si="74"/>
        <v>4750</v>
      </c>
      <c r="I237" s="865">
        <v>325</v>
      </c>
      <c r="J237" s="1395">
        <f t="shared" si="75"/>
        <v>325</v>
      </c>
      <c r="K237" s="966">
        <f t="shared" si="76"/>
        <v>5075</v>
      </c>
      <c r="L237" s="966"/>
      <c r="M237" s="1328" t="s">
        <v>2457</v>
      </c>
      <c r="N237">
        <v>1</v>
      </c>
      <c r="O237" s="1404"/>
    </row>
    <row r="238" spans="1:15" s="1329" customFormat="1" ht="24" customHeight="1">
      <c r="A238" s="1330"/>
      <c r="B238" s="1331" t="str">
        <f t="shared" si="71"/>
        <v xml:space="preserve">  -  1600x900 มม.</v>
      </c>
      <c r="C238" s="1349"/>
      <c r="D238" s="801"/>
      <c r="E238" s="1350">
        <f t="shared" si="72"/>
        <v>1</v>
      </c>
      <c r="F238" s="867" t="str">
        <f t="shared" si="73"/>
        <v>ชุด</v>
      </c>
      <c r="G238" s="1249">
        <v>6250</v>
      </c>
      <c r="H238" s="864">
        <f t="shared" si="74"/>
        <v>6250</v>
      </c>
      <c r="I238" s="865">
        <v>325</v>
      </c>
      <c r="J238" s="864">
        <f t="shared" si="75"/>
        <v>325</v>
      </c>
      <c r="K238" s="867">
        <f t="shared" si="76"/>
        <v>6575</v>
      </c>
      <c r="L238" s="867"/>
      <c r="M238" s="1328" t="s">
        <v>2495</v>
      </c>
      <c r="N238">
        <v>1</v>
      </c>
      <c r="O238" s="1404"/>
    </row>
    <row r="239" spans="1:15" s="1329" customFormat="1" ht="24" customHeight="1">
      <c r="A239" s="1330" t="s">
        <v>2218</v>
      </c>
      <c r="B239" s="1331" t="s">
        <v>2063</v>
      </c>
      <c r="C239" s="1349"/>
      <c r="D239" s="801"/>
      <c r="E239" s="966"/>
      <c r="F239" s="867"/>
      <c r="G239" s="1249"/>
      <c r="H239" s="864"/>
      <c r="I239" s="865"/>
      <c r="J239" s="864"/>
      <c r="K239" s="867"/>
      <c r="L239" s="867"/>
      <c r="M239" s="1328"/>
    </row>
    <row r="240" spans="1:15" s="1329" customFormat="1" ht="24" customHeight="1">
      <c r="A240" s="1330"/>
      <c r="B240" s="1331" t="str">
        <f t="shared" ref="B240:B247" si="77">"  -  "&amp;M240&amp;" มม."</f>
        <v xml:space="preserve">  -  550x500 มม.</v>
      </c>
      <c r="C240" s="1349"/>
      <c r="D240" s="801"/>
      <c r="E240" s="1350">
        <f t="shared" ref="E240:E247" si="78">N240</f>
        <v>2</v>
      </c>
      <c r="F240" s="867" t="str">
        <f t="shared" ref="F240:F247" si="79">IF(E240="","","ชุด")</f>
        <v>ชุด</v>
      </c>
      <c r="G240" s="1140">
        <v>2400</v>
      </c>
      <c r="H240" s="854">
        <f t="shared" ref="H240:H247" si="80">ROUND(E240*G240,)</f>
        <v>4800</v>
      </c>
      <c r="I240" s="855">
        <v>200</v>
      </c>
      <c r="J240" s="796">
        <f t="shared" ref="J240:J247" si="81">ROUND(E240*I240,)</f>
        <v>400</v>
      </c>
      <c r="K240" s="914">
        <f t="shared" ref="K240:K247" si="82">H240+J240</f>
        <v>5200</v>
      </c>
      <c r="L240" s="867"/>
      <c r="M240" s="1328" t="s">
        <v>2491</v>
      </c>
      <c r="N240" s="1404">
        <v>2</v>
      </c>
      <c r="O240" s="1404"/>
    </row>
    <row r="241" spans="1:15" s="1329" customFormat="1" ht="24" customHeight="1">
      <c r="A241" s="1330"/>
      <c r="B241" s="1331" t="str">
        <f t="shared" si="77"/>
        <v xml:space="preserve">  -  600x550 มม.</v>
      </c>
      <c r="C241" s="1349"/>
      <c r="D241" s="801"/>
      <c r="E241" s="1350">
        <f t="shared" si="78"/>
        <v>2</v>
      </c>
      <c r="F241" s="867" t="str">
        <f t="shared" si="79"/>
        <v>ชุด</v>
      </c>
      <c r="G241" s="1140">
        <v>3200</v>
      </c>
      <c r="H241" s="854">
        <f t="shared" si="80"/>
        <v>6400</v>
      </c>
      <c r="I241" s="855">
        <v>200</v>
      </c>
      <c r="J241" s="796">
        <f t="shared" si="81"/>
        <v>400</v>
      </c>
      <c r="K241" s="914">
        <f t="shared" si="82"/>
        <v>6800</v>
      </c>
      <c r="L241" s="867"/>
      <c r="M241" s="1328" t="s">
        <v>2044</v>
      </c>
      <c r="N241" s="1404">
        <v>2</v>
      </c>
      <c r="O241" s="1404"/>
    </row>
    <row r="242" spans="1:15" s="1329" customFormat="1" ht="24" customHeight="1">
      <c r="A242" s="1330"/>
      <c r="B242" s="1331" t="str">
        <f t="shared" si="77"/>
        <v xml:space="preserve">  -  800x800 มม.</v>
      </c>
      <c r="C242" s="1349"/>
      <c r="D242" s="801"/>
      <c r="E242" s="1350">
        <f t="shared" si="78"/>
        <v>2</v>
      </c>
      <c r="F242" s="867" t="str">
        <f t="shared" si="79"/>
        <v>ชุด</v>
      </c>
      <c r="G242" s="1140">
        <v>2900</v>
      </c>
      <c r="H242" s="854">
        <f t="shared" si="80"/>
        <v>5800</v>
      </c>
      <c r="I242" s="855">
        <v>250</v>
      </c>
      <c r="J242" s="796">
        <f t="shared" si="81"/>
        <v>500</v>
      </c>
      <c r="K242" s="914">
        <f t="shared" si="82"/>
        <v>6300</v>
      </c>
      <c r="L242" s="867"/>
      <c r="M242" s="1328" t="s">
        <v>2456</v>
      </c>
      <c r="N242" s="1404">
        <v>2</v>
      </c>
      <c r="O242" s="1404"/>
    </row>
    <row r="243" spans="1:15" s="1329" customFormat="1" ht="24" customHeight="1">
      <c r="A243" s="1330"/>
      <c r="B243" s="1331" t="str">
        <f t="shared" si="77"/>
        <v xml:space="preserve">  -  850x500 มม.</v>
      </c>
      <c r="C243" s="1349"/>
      <c r="D243" s="801"/>
      <c r="E243" s="1350">
        <f t="shared" si="78"/>
        <v>1</v>
      </c>
      <c r="F243" s="867" t="str">
        <f t="shared" si="79"/>
        <v>ชุด</v>
      </c>
      <c r="G243" s="1249">
        <v>2025</v>
      </c>
      <c r="H243" s="854">
        <f t="shared" si="80"/>
        <v>2025</v>
      </c>
      <c r="I243" s="865">
        <v>200</v>
      </c>
      <c r="J243" s="864">
        <f t="shared" si="81"/>
        <v>200</v>
      </c>
      <c r="K243" s="867">
        <f t="shared" si="82"/>
        <v>2225</v>
      </c>
      <c r="L243" s="867"/>
      <c r="M243" s="1328" t="s">
        <v>2361</v>
      </c>
      <c r="N243" s="1404">
        <v>1</v>
      </c>
      <c r="O243" s="1404"/>
    </row>
    <row r="244" spans="1:15" s="1329" customFormat="1" ht="24" customHeight="1">
      <c r="A244" s="1330"/>
      <c r="B244" s="1331" t="str">
        <f t="shared" si="77"/>
        <v xml:space="preserve">  -  1000x400 มม.</v>
      </c>
      <c r="C244" s="1349"/>
      <c r="D244" s="801"/>
      <c r="E244" s="1350">
        <f t="shared" si="78"/>
        <v>3</v>
      </c>
      <c r="F244" s="867" t="str">
        <f t="shared" si="79"/>
        <v>ชุด</v>
      </c>
      <c r="G244" s="1249">
        <v>2700</v>
      </c>
      <c r="H244" s="854">
        <f t="shared" si="80"/>
        <v>8100</v>
      </c>
      <c r="I244" s="865">
        <v>200</v>
      </c>
      <c r="J244" s="864">
        <f t="shared" si="81"/>
        <v>600</v>
      </c>
      <c r="K244" s="867">
        <f t="shared" si="82"/>
        <v>8700</v>
      </c>
      <c r="L244" s="867"/>
      <c r="M244" s="1328" t="s">
        <v>2493</v>
      </c>
      <c r="N244" s="1404">
        <v>3</v>
      </c>
      <c r="O244" s="1404"/>
    </row>
    <row r="245" spans="1:15" s="1329" customFormat="1" ht="24" customHeight="1">
      <c r="A245" s="1330"/>
      <c r="B245" s="1331" t="str">
        <f t="shared" si="77"/>
        <v xml:space="preserve">  -  1150x400 มม.</v>
      </c>
      <c r="C245" s="1349"/>
      <c r="D245" s="801"/>
      <c r="E245" s="1350">
        <f t="shared" si="78"/>
        <v>2</v>
      </c>
      <c r="F245" s="867" t="str">
        <f t="shared" si="79"/>
        <v>ชุด</v>
      </c>
      <c r="G245" s="1249">
        <v>2700</v>
      </c>
      <c r="H245" s="854">
        <f t="shared" si="80"/>
        <v>5400</v>
      </c>
      <c r="I245" s="865">
        <v>200</v>
      </c>
      <c r="J245" s="864">
        <f t="shared" si="81"/>
        <v>400</v>
      </c>
      <c r="K245" s="867">
        <f t="shared" si="82"/>
        <v>5800</v>
      </c>
      <c r="L245" s="867"/>
      <c r="M245" s="1328" t="s">
        <v>2229</v>
      </c>
      <c r="N245" s="1404">
        <v>2</v>
      </c>
      <c r="O245" s="1404"/>
    </row>
    <row r="246" spans="1:15" s="1329" customFormat="1" ht="24" customHeight="1">
      <c r="A246" s="1330"/>
      <c r="B246" s="1331" t="str">
        <f t="shared" si="77"/>
        <v xml:space="preserve">  -  1150x700 มม.</v>
      </c>
      <c r="C246" s="1349"/>
      <c r="D246" s="801"/>
      <c r="E246" s="1350">
        <f t="shared" si="78"/>
        <v>1</v>
      </c>
      <c r="F246" s="867" t="str">
        <f t="shared" si="79"/>
        <v>ชุด</v>
      </c>
      <c r="G246" s="1249">
        <v>2775</v>
      </c>
      <c r="H246" s="854">
        <f t="shared" si="80"/>
        <v>2775</v>
      </c>
      <c r="I246" s="865">
        <v>200</v>
      </c>
      <c r="J246" s="864">
        <f t="shared" si="81"/>
        <v>200</v>
      </c>
      <c r="K246" s="867">
        <f t="shared" si="82"/>
        <v>2975</v>
      </c>
      <c r="L246" s="867"/>
      <c r="M246" s="1328" t="s">
        <v>2370</v>
      </c>
      <c r="N246" s="1404">
        <v>1</v>
      </c>
      <c r="O246" s="1404"/>
    </row>
    <row r="247" spans="1:15" s="1329" customFormat="1" ht="24" customHeight="1">
      <c r="A247" s="1330"/>
      <c r="B247" s="1331" t="str">
        <f t="shared" si="77"/>
        <v xml:space="preserve">  -  1200x600 มม.</v>
      </c>
      <c r="C247" s="1349"/>
      <c r="D247" s="801"/>
      <c r="E247" s="1350">
        <f t="shared" si="78"/>
        <v>2</v>
      </c>
      <c r="F247" s="867" t="str">
        <f t="shared" si="79"/>
        <v>ชุด</v>
      </c>
      <c r="G247" s="1249">
        <v>2775</v>
      </c>
      <c r="H247" s="854">
        <f t="shared" si="80"/>
        <v>5550</v>
      </c>
      <c r="I247" s="865">
        <v>200</v>
      </c>
      <c r="J247" s="864">
        <f t="shared" si="81"/>
        <v>400</v>
      </c>
      <c r="K247" s="867">
        <f t="shared" si="82"/>
        <v>5950</v>
      </c>
      <c r="L247" s="867"/>
      <c r="M247" s="1328" t="s">
        <v>2202</v>
      </c>
      <c r="N247" s="1404">
        <v>2</v>
      </c>
      <c r="O247" s="1404"/>
    </row>
    <row r="248" spans="1:15" s="1329" customFormat="1" ht="24" customHeight="1">
      <c r="A248" s="1330" t="s">
        <v>2224</v>
      </c>
      <c r="B248" s="1331" t="s">
        <v>2239</v>
      </c>
      <c r="C248" s="1349"/>
      <c r="D248" s="801"/>
      <c r="E248" s="966"/>
      <c r="F248" s="867"/>
      <c r="G248" s="1249"/>
      <c r="H248" s="864"/>
      <c r="I248" s="865"/>
      <c r="J248" s="864"/>
      <c r="K248" s="867"/>
      <c r="L248" s="867"/>
      <c r="M248" s="1328"/>
    </row>
    <row r="249" spans="1:15" s="1329" customFormat="1" ht="24" customHeight="1">
      <c r="A249" s="1330"/>
      <c r="B249" s="1331" t="str">
        <f t="shared" ref="B249" si="83">"  -  "&amp;M249&amp;" มม."</f>
        <v xml:space="preserve">  -  1050x300 มม.</v>
      </c>
      <c r="C249" s="1349"/>
      <c r="D249" s="801"/>
      <c r="E249" s="1350">
        <f t="shared" ref="E249" si="84">N249</f>
        <v>3</v>
      </c>
      <c r="F249" s="867" t="str">
        <f t="shared" ref="F249" si="85">IF(E249="","","ชุด")</f>
        <v>ชุด</v>
      </c>
      <c r="G249" s="1249">
        <v>1800</v>
      </c>
      <c r="H249" s="864">
        <f t="shared" ref="H249" si="86">ROUND(E249*G249,)</f>
        <v>5400</v>
      </c>
      <c r="I249" s="865">
        <v>200</v>
      </c>
      <c r="J249" s="864">
        <f t="shared" ref="J249" si="87">ROUND(E249*I249,)</f>
        <v>600</v>
      </c>
      <c r="K249" s="867">
        <f t="shared" ref="K249" si="88">H249+J249</f>
        <v>6000</v>
      </c>
      <c r="L249" s="867"/>
      <c r="M249" s="1328" t="s">
        <v>2240</v>
      </c>
      <c r="N249" s="1404">
        <v>3</v>
      </c>
      <c r="O249" s="1404"/>
    </row>
    <row r="250" spans="1:15" s="1329" customFormat="1" ht="24" customHeight="1">
      <c r="A250" s="1330"/>
      <c r="B250" s="1331" t="s">
        <v>957</v>
      </c>
      <c r="C250" s="1349"/>
      <c r="D250" s="801"/>
      <c r="E250" s="966"/>
      <c r="F250" s="867"/>
      <c r="G250" s="1249"/>
      <c r="H250" s="864"/>
      <c r="I250" s="865"/>
      <c r="J250" s="864"/>
      <c r="K250" s="867"/>
      <c r="L250" s="867"/>
      <c r="M250" s="1328"/>
    </row>
    <row r="251" spans="1:15" s="1329" customFormat="1" ht="24" customHeight="1">
      <c r="A251" s="1330"/>
      <c r="B251" s="1331" t="s">
        <v>958</v>
      </c>
      <c r="C251" s="1349"/>
      <c r="D251" s="801"/>
      <c r="E251" s="966"/>
      <c r="F251" s="867"/>
      <c r="G251" s="1249"/>
      <c r="H251" s="864"/>
      <c r="I251" s="865"/>
      <c r="J251" s="864"/>
      <c r="K251" s="867"/>
      <c r="L251" s="867"/>
      <c r="M251" s="1328"/>
    </row>
    <row r="252" spans="1:15" s="1329" customFormat="1" ht="24" customHeight="1">
      <c r="A252" s="1510"/>
      <c r="B252" s="2475" t="str">
        <f>"รวมราคารายการที่ "&amp;A197</f>
        <v>รวมราคารายการที่ 7.12</v>
      </c>
      <c r="C252" s="2476"/>
      <c r="D252" s="2477"/>
      <c r="E252" s="1511"/>
      <c r="F252" s="1511"/>
      <c r="G252" s="1513"/>
      <c r="H252" s="1514">
        <f>SUM(H197:H251)</f>
        <v>264950</v>
      </c>
      <c r="I252" s="1515"/>
      <c r="J252" s="1514">
        <f>SUM(J197:J251)</f>
        <v>35025</v>
      </c>
      <c r="K252" s="1514">
        <f>SUM(K197:K251)</f>
        <v>299975</v>
      </c>
      <c r="L252" s="1517"/>
      <c r="M252" s="1328"/>
    </row>
    <row r="253" spans="1:15" s="1329" customFormat="1" ht="24" customHeight="1">
      <c r="A253" s="1325" t="s">
        <v>2241</v>
      </c>
      <c r="B253" s="1326" t="s">
        <v>2066</v>
      </c>
      <c r="C253" s="1347"/>
      <c r="D253" s="901"/>
      <c r="E253" s="1030"/>
      <c r="F253" s="903"/>
      <c r="G253" s="1348"/>
      <c r="H253" s="905"/>
      <c r="I253" s="906"/>
      <c r="J253" s="905"/>
      <c r="K253" s="903"/>
      <c r="L253" s="903"/>
      <c r="M253" s="1328"/>
    </row>
    <row r="254" spans="1:15" s="1329" customFormat="1" ht="24" customHeight="1">
      <c r="A254" s="1330" t="s">
        <v>2242</v>
      </c>
      <c r="B254" s="1331" t="s">
        <v>2068</v>
      </c>
      <c r="C254" s="1349"/>
      <c r="D254" s="801"/>
      <c r="E254" s="1019"/>
      <c r="F254" s="947"/>
      <c r="G254" s="1310"/>
      <c r="H254" s="864"/>
      <c r="I254" s="774"/>
      <c r="J254" s="864"/>
      <c r="K254" s="966"/>
      <c r="L254" s="867"/>
      <c r="M254" s="1328"/>
    </row>
    <row r="255" spans="1:15" s="1329" customFormat="1" ht="24" customHeight="1">
      <c r="A255" s="1330"/>
      <c r="B255" s="1331" t="s">
        <v>2496</v>
      </c>
      <c r="C255" s="1349"/>
      <c r="D255" s="801"/>
      <c r="E255" s="1022">
        <v>1</v>
      </c>
      <c r="F255" s="867" t="s">
        <v>240</v>
      </c>
      <c r="G255" s="1249">
        <v>55000</v>
      </c>
      <c r="H255" s="864">
        <f t="shared" ref="H255:H263" si="89">ROUND(E255*G255,)</f>
        <v>55000</v>
      </c>
      <c r="I255" s="1249">
        <f t="shared" ref="I255:I263" si="90">G255*0.1</f>
        <v>5500</v>
      </c>
      <c r="J255" s="864">
        <f t="shared" ref="J255:J263" si="91">ROUND(E255*I255,)</f>
        <v>5500</v>
      </c>
      <c r="K255" s="966">
        <f t="shared" ref="K255:K263" si="92">H255+J255</f>
        <v>60500</v>
      </c>
      <c r="L255" s="867"/>
      <c r="M255" s="1328"/>
    </row>
    <row r="256" spans="1:15" s="1329" customFormat="1" ht="24" customHeight="1">
      <c r="A256" s="1330"/>
      <c r="B256" s="1331" t="s">
        <v>2497</v>
      </c>
      <c r="C256" s="1349"/>
      <c r="D256" s="801"/>
      <c r="E256" s="1022">
        <v>1</v>
      </c>
      <c r="F256" s="867" t="s">
        <v>240</v>
      </c>
      <c r="G256" s="1249">
        <v>25000</v>
      </c>
      <c r="H256" s="864">
        <f t="shared" si="89"/>
        <v>25000</v>
      </c>
      <c r="I256" s="1249">
        <f t="shared" si="90"/>
        <v>2500</v>
      </c>
      <c r="J256" s="864">
        <f t="shared" si="91"/>
        <v>2500</v>
      </c>
      <c r="K256" s="966">
        <f t="shared" si="92"/>
        <v>27500</v>
      </c>
      <c r="L256" s="867"/>
      <c r="M256" s="1328"/>
    </row>
    <row r="257" spans="1:15" s="1329" customFormat="1" ht="24" customHeight="1">
      <c r="A257" s="1330"/>
      <c r="B257" s="1331" t="s">
        <v>2498</v>
      </c>
      <c r="C257" s="1349"/>
      <c r="D257" s="801"/>
      <c r="E257" s="1022">
        <v>1</v>
      </c>
      <c r="F257" s="867" t="s">
        <v>240</v>
      </c>
      <c r="G257" s="1249">
        <v>25000</v>
      </c>
      <c r="H257" s="864">
        <f t="shared" si="89"/>
        <v>25000</v>
      </c>
      <c r="I257" s="1249">
        <f t="shared" si="90"/>
        <v>2500</v>
      </c>
      <c r="J257" s="864">
        <f t="shared" si="91"/>
        <v>2500</v>
      </c>
      <c r="K257" s="966">
        <f t="shared" si="92"/>
        <v>27500</v>
      </c>
      <c r="L257" s="867"/>
      <c r="M257" s="1328"/>
    </row>
    <row r="258" spans="1:15" s="1329" customFormat="1" ht="24" customHeight="1">
      <c r="A258" s="1330"/>
      <c r="B258" s="1331" t="s">
        <v>2499</v>
      </c>
      <c r="C258" s="1349"/>
      <c r="D258" s="801"/>
      <c r="E258" s="1022">
        <v>1</v>
      </c>
      <c r="F258" s="867" t="s">
        <v>240</v>
      </c>
      <c r="G258" s="1249">
        <v>15000</v>
      </c>
      <c r="H258" s="864">
        <f t="shared" si="89"/>
        <v>15000</v>
      </c>
      <c r="I258" s="1249">
        <f t="shared" si="90"/>
        <v>1500</v>
      </c>
      <c r="J258" s="864">
        <f t="shared" si="91"/>
        <v>1500</v>
      </c>
      <c r="K258" s="966">
        <f t="shared" si="92"/>
        <v>16500</v>
      </c>
      <c r="L258" s="867"/>
      <c r="M258" s="1328"/>
    </row>
    <row r="259" spans="1:15" s="1329" customFormat="1" ht="24" customHeight="1">
      <c r="A259" s="1330"/>
      <c r="B259" s="1331" t="s">
        <v>2500</v>
      </c>
      <c r="C259" s="1349"/>
      <c r="D259" s="801"/>
      <c r="E259" s="1022">
        <v>1</v>
      </c>
      <c r="F259" s="867" t="s">
        <v>240</v>
      </c>
      <c r="G259" s="1249">
        <v>55000</v>
      </c>
      <c r="H259" s="864">
        <f t="shared" si="89"/>
        <v>55000</v>
      </c>
      <c r="I259" s="1249">
        <f t="shared" si="90"/>
        <v>5500</v>
      </c>
      <c r="J259" s="864">
        <f t="shared" si="91"/>
        <v>5500</v>
      </c>
      <c r="K259" s="966">
        <f t="shared" si="92"/>
        <v>60500</v>
      </c>
      <c r="L259" s="867"/>
      <c r="M259" s="1328"/>
    </row>
    <row r="260" spans="1:15" s="1329" customFormat="1" ht="24" customHeight="1">
      <c r="A260" s="1330"/>
      <c r="B260" s="1331" t="s">
        <v>2501</v>
      </c>
      <c r="C260" s="1349"/>
      <c r="D260" s="801"/>
      <c r="E260" s="1022">
        <v>1</v>
      </c>
      <c r="F260" s="867" t="s">
        <v>240</v>
      </c>
      <c r="G260" s="1249">
        <v>15000</v>
      </c>
      <c r="H260" s="864">
        <f t="shared" si="89"/>
        <v>15000</v>
      </c>
      <c r="I260" s="1249">
        <f t="shared" si="90"/>
        <v>1500</v>
      </c>
      <c r="J260" s="864">
        <f t="shared" si="91"/>
        <v>1500</v>
      </c>
      <c r="K260" s="966">
        <f t="shared" si="92"/>
        <v>16500</v>
      </c>
      <c r="L260" s="867"/>
      <c r="M260" s="1328"/>
    </row>
    <row r="261" spans="1:15" s="1329" customFormat="1" ht="24" customHeight="1">
      <c r="A261" s="1330"/>
      <c r="B261" s="1331" t="s">
        <v>2502</v>
      </c>
      <c r="C261" s="1349"/>
      <c r="D261" s="801"/>
      <c r="E261" s="1022">
        <v>1</v>
      </c>
      <c r="F261" s="867" t="s">
        <v>240</v>
      </c>
      <c r="G261" s="1249">
        <v>15000</v>
      </c>
      <c r="H261" s="864">
        <f t="shared" si="89"/>
        <v>15000</v>
      </c>
      <c r="I261" s="1249">
        <f t="shared" si="90"/>
        <v>1500</v>
      </c>
      <c r="J261" s="864">
        <f t="shared" si="91"/>
        <v>1500</v>
      </c>
      <c r="K261" s="966">
        <f t="shared" si="92"/>
        <v>16500</v>
      </c>
      <c r="L261" s="867"/>
      <c r="M261" s="1328"/>
    </row>
    <row r="262" spans="1:15" s="1329" customFormat="1" ht="24" customHeight="1">
      <c r="A262" s="1330"/>
      <c r="B262" s="1331" t="s">
        <v>2503</v>
      </c>
      <c r="C262" s="1349"/>
      <c r="D262" s="801"/>
      <c r="E262" s="1022">
        <v>1</v>
      </c>
      <c r="F262" s="867" t="s">
        <v>240</v>
      </c>
      <c r="G262" s="1249">
        <v>25000</v>
      </c>
      <c r="H262" s="864">
        <f t="shared" si="89"/>
        <v>25000</v>
      </c>
      <c r="I262" s="1249">
        <f t="shared" si="90"/>
        <v>2500</v>
      </c>
      <c r="J262" s="864">
        <f t="shared" si="91"/>
        <v>2500</v>
      </c>
      <c r="K262" s="966">
        <f t="shared" si="92"/>
        <v>27500</v>
      </c>
      <c r="L262" s="867"/>
      <c r="M262" s="1328"/>
    </row>
    <row r="263" spans="1:15" s="1329" customFormat="1" ht="24" customHeight="1">
      <c r="A263" s="1330"/>
      <c r="B263" s="1331" t="s">
        <v>2504</v>
      </c>
      <c r="C263" s="1349"/>
      <c r="D263" s="801"/>
      <c r="E263" s="1022">
        <v>1</v>
      </c>
      <c r="F263" s="867" t="s">
        <v>240</v>
      </c>
      <c r="G263" s="1249">
        <v>15000</v>
      </c>
      <c r="H263" s="864">
        <f t="shared" si="89"/>
        <v>15000</v>
      </c>
      <c r="I263" s="1249">
        <f t="shared" si="90"/>
        <v>1500</v>
      </c>
      <c r="J263" s="864">
        <f t="shared" si="91"/>
        <v>1500</v>
      </c>
      <c r="K263" s="966">
        <f t="shared" si="92"/>
        <v>16500</v>
      </c>
      <c r="L263" s="867"/>
      <c r="M263" s="1328"/>
    </row>
    <row r="264" spans="1:15" s="1329" customFormat="1" ht="24" customHeight="1">
      <c r="A264" s="1330"/>
      <c r="B264" s="1331"/>
      <c r="C264" s="1349"/>
      <c r="D264" s="801"/>
      <c r="E264" s="966"/>
      <c r="F264" s="867"/>
      <c r="G264" s="1249"/>
      <c r="H264" s="751"/>
      <c r="I264" s="865"/>
      <c r="J264" s="751"/>
      <c r="K264" s="973"/>
      <c r="L264" s="867"/>
      <c r="M264" s="1328"/>
    </row>
    <row r="265" spans="1:15" s="1329" customFormat="1" ht="24" customHeight="1">
      <c r="A265" s="1330" t="s">
        <v>2255</v>
      </c>
      <c r="B265" s="1331" t="s">
        <v>1207</v>
      </c>
      <c r="C265" s="1349"/>
      <c r="D265" s="801"/>
      <c r="E265" s="966"/>
      <c r="F265" s="867"/>
      <c r="G265" s="1249"/>
      <c r="H265" s="864"/>
      <c r="I265" s="865"/>
      <c r="J265" s="864"/>
      <c r="K265" s="867"/>
      <c r="L265" s="867"/>
      <c r="M265" s="1328"/>
    </row>
    <row r="266" spans="1:15" s="1329" customFormat="1" ht="24" customHeight="1">
      <c r="A266" s="1330"/>
      <c r="B266" s="1331" t="s">
        <v>1737</v>
      </c>
      <c r="C266" s="1349"/>
      <c r="D266" s="801"/>
      <c r="E266" s="966"/>
      <c r="F266" s="867" t="s">
        <v>438</v>
      </c>
      <c r="G266" s="752">
        <v>9</v>
      </c>
      <c r="H266" s="796">
        <f t="shared" ref="H266:H271" si="93">ROUND(E266*G266,)</f>
        <v>0</v>
      </c>
      <c r="I266" s="865">
        <v>7</v>
      </c>
      <c r="J266" s="751">
        <f t="shared" ref="J266:J271" si="94">ROUND(E266*I266,)</f>
        <v>0</v>
      </c>
      <c r="K266" s="973">
        <f t="shared" ref="K266:K271" si="95">H266+J266</f>
        <v>0</v>
      </c>
      <c r="L266" s="1718" t="s">
        <v>2974</v>
      </c>
      <c r="N266" s="1404">
        <v>912.1</v>
      </c>
      <c r="O266" s="1404">
        <f t="shared" ref="O266:O271" si="96">ROUND(N266/100,)</f>
        <v>9</v>
      </c>
    </row>
    <row r="267" spans="1:15" s="1329" customFormat="1" ht="24" customHeight="1">
      <c r="A267" s="1330"/>
      <c r="B267" s="720" t="s">
        <v>1166</v>
      </c>
      <c r="C267" s="792"/>
      <c r="D267" s="792"/>
      <c r="E267" s="805">
        <f>180+60+120+60+60+60</f>
        <v>540</v>
      </c>
      <c r="F267" s="794" t="s">
        <v>438</v>
      </c>
      <c r="G267" s="806">
        <v>14</v>
      </c>
      <c r="H267" s="796">
        <f t="shared" si="93"/>
        <v>7560</v>
      </c>
      <c r="I267" s="797">
        <v>10</v>
      </c>
      <c r="J267" s="796">
        <f t="shared" si="94"/>
        <v>5400</v>
      </c>
      <c r="K267" s="914">
        <f t="shared" si="95"/>
        <v>12960</v>
      </c>
      <c r="L267" s="1718" t="s">
        <v>2974</v>
      </c>
      <c r="N267" s="1404">
        <v>1375.8</v>
      </c>
      <c r="O267" s="1404">
        <f t="shared" si="96"/>
        <v>14</v>
      </c>
    </row>
    <row r="268" spans="1:15" s="1329" customFormat="1" ht="24" customHeight="1">
      <c r="A268" s="1330"/>
      <c r="B268" s="720" t="s">
        <v>1167</v>
      </c>
      <c r="C268" s="792"/>
      <c r="D268" s="792"/>
      <c r="E268" s="805">
        <f>60+60+60+120+105</f>
        <v>405</v>
      </c>
      <c r="F268" s="794" t="s">
        <v>438</v>
      </c>
      <c r="G268" s="806">
        <v>23</v>
      </c>
      <c r="H268" s="796">
        <f t="shared" si="93"/>
        <v>9315</v>
      </c>
      <c r="I268" s="797">
        <v>12</v>
      </c>
      <c r="J268" s="796">
        <f t="shared" si="94"/>
        <v>4860</v>
      </c>
      <c r="K268" s="914">
        <f t="shared" si="95"/>
        <v>14175</v>
      </c>
      <c r="L268" s="1718" t="s">
        <v>2974</v>
      </c>
      <c r="N268" s="1404">
        <v>2264.1999999999998</v>
      </c>
      <c r="O268" s="1404">
        <f t="shared" si="96"/>
        <v>23</v>
      </c>
    </row>
    <row r="269" spans="1:15" s="1329" customFormat="1" ht="24" customHeight="1">
      <c r="A269" s="1330"/>
      <c r="B269" s="720" t="s">
        <v>1168</v>
      </c>
      <c r="C269" s="792"/>
      <c r="D269" s="792"/>
      <c r="E269" s="805">
        <f>60</f>
        <v>60</v>
      </c>
      <c r="F269" s="794" t="s">
        <v>438</v>
      </c>
      <c r="G269" s="806">
        <v>39</v>
      </c>
      <c r="H269" s="796">
        <f t="shared" si="93"/>
        <v>2340</v>
      </c>
      <c r="I269" s="797">
        <v>16</v>
      </c>
      <c r="J269" s="796">
        <f t="shared" si="94"/>
        <v>960</v>
      </c>
      <c r="K269" s="914">
        <f t="shared" si="95"/>
        <v>3300</v>
      </c>
      <c r="L269" s="1718" t="s">
        <v>2974</v>
      </c>
      <c r="N269" s="1404">
        <v>3944.2</v>
      </c>
      <c r="O269" s="1404">
        <f t="shared" si="96"/>
        <v>39</v>
      </c>
    </row>
    <row r="270" spans="1:15" s="1329" customFormat="1" ht="24" customHeight="1">
      <c r="A270" s="1330"/>
      <c r="B270" s="720" t="s">
        <v>1169</v>
      </c>
      <c r="C270" s="792"/>
      <c r="D270" s="792"/>
      <c r="E270" s="805"/>
      <c r="F270" s="794" t="s">
        <v>438</v>
      </c>
      <c r="G270" s="806">
        <v>61</v>
      </c>
      <c r="H270" s="796">
        <f t="shared" si="93"/>
        <v>0</v>
      </c>
      <c r="I270" s="797">
        <v>20</v>
      </c>
      <c r="J270" s="796">
        <f t="shared" si="94"/>
        <v>0</v>
      </c>
      <c r="K270" s="914">
        <f t="shared" si="95"/>
        <v>0</v>
      </c>
      <c r="L270" s="1718" t="s">
        <v>2974</v>
      </c>
      <c r="N270" s="1404">
        <v>6120</v>
      </c>
      <c r="O270" s="1404">
        <f t="shared" si="96"/>
        <v>61</v>
      </c>
    </row>
    <row r="271" spans="1:15" s="1329" customFormat="1" ht="24" customHeight="1">
      <c r="A271" s="1330"/>
      <c r="B271" s="720" t="s">
        <v>1163</v>
      </c>
      <c r="C271" s="792"/>
      <c r="D271" s="792"/>
      <c r="E271" s="805"/>
      <c r="F271" s="794" t="s">
        <v>438</v>
      </c>
      <c r="G271" s="806">
        <v>183</v>
      </c>
      <c r="H271" s="796">
        <f t="shared" si="93"/>
        <v>0</v>
      </c>
      <c r="I271" s="797">
        <v>40</v>
      </c>
      <c r="J271" s="796">
        <f t="shared" si="94"/>
        <v>0</v>
      </c>
      <c r="K271" s="914">
        <f t="shared" si="95"/>
        <v>0</v>
      </c>
      <c r="L271" s="1718" t="s">
        <v>2974</v>
      </c>
      <c r="N271" s="1404">
        <v>18335.8</v>
      </c>
      <c r="O271" s="1404">
        <f t="shared" si="96"/>
        <v>183</v>
      </c>
    </row>
    <row r="272" spans="1:15" s="1329" customFormat="1" ht="24" customHeight="1">
      <c r="A272" s="1330" t="s">
        <v>2258</v>
      </c>
      <c r="B272" s="1331" t="s">
        <v>950</v>
      </c>
      <c r="C272" s="1349"/>
      <c r="D272" s="801"/>
      <c r="E272" s="966"/>
      <c r="F272" s="867"/>
      <c r="G272" s="1249"/>
      <c r="H272" s="864"/>
      <c r="I272" s="865"/>
      <c r="J272" s="864"/>
      <c r="K272" s="867"/>
      <c r="L272" s="867"/>
      <c r="M272" s="1328"/>
    </row>
    <row r="273" spans="1:15" s="1329" customFormat="1" ht="24" customHeight="1">
      <c r="A273" s="1330"/>
      <c r="B273" s="1331" t="s">
        <v>1201</v>
      </c>
      <c r="C273" s="1349"/>
      <c r="D273" s="801"/>
      <c r="E273" s="966">
        <f>15+30+15+15+15</f>
        <v>90</v>
      </c>
      <c r="F273" s="867" t="s">
        <v>438</v>
      </c>
      <c r="G273" s="1249">
        <v>56</v>
      </c>
      <c r="H273" s="796">
        <f t="shared" ref="H273:H279" si="97">ROUND(E273*G273,)</f>
        <v>5040</v>
      </c>
      <c r="I273" s="865">
        <v>26</v>
      </c>
      <c r="J273" s="751">
        <f t="shared" ref="J273:J279" si="98">ROUND(E273*I273,)</f>
        <v>2340</v>
      </c>
      <c r="K273" s="973">
        <f t="shared" ref="K273:K279" si="99">H273+J273</f>
        <v>7380</v>
      </c>
      <c r="L273" s="1718" t="s">
        <v>2974</v>
      </c>
      <c r="M273" s="1328"/>
      <c r="N273" s="1329">
        <v>169.2</v>
      </c>
      <c r="O273" s="1329">
        <f t="shared" ref="O273:O278" si="100">ROUND(N273/3,)</f>
        <v>56</v>
      </c>
    </row>
    <row r="274" spans="1:15" s="1329" customFormat="1" ht="24" customHeight="1">
      <c r="A274" s="1330"/>
      <c r="B274" s="1331" t="s">
        <v>1184</v>
      </c>
      <c r="C274" s="1349"/>
      <c r="D274" s="801"/>
      <c r="E274" s="966">
        <f>60+15+15+45 +15</f>
        <v>150</v>
      </c>
      <c r="F274" s="867" t="s">
        <v>438</v>
      </c>
      <c r="G274" s="1249">
        <v>75</v>
      </c>
      <c r="H274" s="796">
        <f t="shared" si="97"/>
        <v>11250</v>
      </c>
      <c r="I274" s="865">
        <v>28</v>
      </c>
      <c r="J274" s="751">
        <f t="shared" si="98"/>
        <v>4200</v>
      </c>
      <c r="K274" s="973">
        <f t="shared" si="99"/>
        <v>15450</v>
      </c>
      <c r="L274" s="1718" t="s">
        <v>2974</v>
      </c>
      <c r="M274" s="1328"/>
      <c r="N274" s="1329">
        <v>225</v>
      </c>
      <c r="O274" s="1329">
        <f t="shared" si="100"/>
        <v>75</v>
      </c>
    </row>
    <row r="275" spans="1:15" s="1329" customFormat="1" ht="24" customHeight="1">
      <c r="A275" s="1330"/>
      <c r="B275" s="720" t="s">
        <v>1185</v>
      </c>
      <c r="C275" s="717"/>
      <c r="D275" s="717"/>
      <c r="E275" s="805"/>
      <c r="F275" s="794" t="s">
        <v>438</v>
      </c>
      <c r="G275" s="806">
        <v>101</v>
      </c>
      <c r="H275" s="796">
        <f t="shared" si="97"/>
        <v>0</v>
      </c>
      <c r="I275" s="807">
        <v>32</v>
      </c>
      <c r="J275" s="796">
        <f t="shared" si="98"/>
        <v>0</v>
      </c>
      <c r="K275" s="914">
        <f t="shared" si="99"/>
        <v>0</v>
      </c>
      <c r="L275" s="1718" t="s">
        <v>2974</v>
      </c>
      <c r="M275" s="1328"/>
      <c r="N275" s="1329">
        <v>303.60000000000002</v>
      </c>
      <c r="O275" s="1329">
        <f t="shared" si="100"/>
        <v>101</v>
      </c>
    </row>
    <row r="276" spans="1:15" s="1329" customFormat="1" ht="24" customHeight="1">
      <c r="A276" s="1330"/>
      <c r="B276" s="720" t="s">
        <v>1186</v>
      </c>
      <c r="C276" s="717"/>
      <c r="D276" s="717"/>
      <c r="E276" s="805"/>
      <c r="F276" s="794" t="s">
        <v>438</v>
      </c>
      <c r="G276" s="806">
        <v>131</v>
      </c>
      <c r="H276" s="796">
        <f t="shared" si="97"/>
        <v>0</v>
      </c>
      <c r="I276" s="807">
        <v>38</v>
      </c>
      <c r="J276" s="796">
        <f t="shared" si="98"/>
        <v>0</v>
      </c>
      <c r="K276" s="914">
        <f t="shared" si="99"/>
        <v>0</v>
      </c>
      <c r="L276" s="1718" t="s">
        <v>2974</v>
      </c>
      <c r="M276" s="1328"/>
      <c r="N276" s="1329">
        <v>391.8</v>
      </c>
      <c r="O276" s="1329">
        <f t="shared" si="100"/>
        <v>131</v>
      </c>
    </row>
    <row r="277" spans="1:15" s="1329" customFormat="1" ht="24" customHeight="1">
      <c r="A277" s="1330"/>
      <c r="B277" s="720" t="s">
        <v>1187</v>
      </c>
      <c r="C277" s="717"/>
      <c r="D277" s="717"/>
      <c r="E277" s="805"/>
      <c r="F277" s="794" t="s">
        <v>438</v>
      </c>
      <c r="G277" s="806">
        <v>160</v>
      </c>
      <c r="H277" s="796">
        <f t="shared" si="97"/>
        <v>0</v>
      </c>
      <c r="I277" s="807">
        <v>42</v>
      </c>
      <c r="J277" s="796">
        <f t="shared" si="98"/>
        <v>0</v>
      </c>
      <c r="K277" s="914">
        <f t="shared" si="99"/>
        <v>0</v>
      </c>
      <c r="L277" s="1718" t="s">
        <v>2974</v>
      </c>
      <c r="M277" s="1328"/>
      <c r="N277" s="1329">
        <v>481.2</v>
      </c>
      <c r="O277" s="1329">
        <f t="shared" si="100"/>
        <v>160</v>
      </c>
    </row>
    <row r="278" spans="1:15" s="1329" customFormat="1" ht="24" customHeight="1">
      <c r="A278" s="1330"/>
      <c r="B278" s="720" t="s">
        <v>1188</v>
      </c>
      <c r="C278" s="717"/>
      <c r="D278" s="717"/>
      <c r="E278" s="805"/>
      <c r="F278" s="794" t="s">
        <v>438</v>
      </c>
      <c r="G278" s="806">
        <v>219</v>
      </c>
      <c r="H278" s="796">
        <f t="shared" si="97"/>
        <v>0</v>
      </c>
      <c r="I278" s="807">
        <v>48</v>
      </c>
      <c r="J278" s="796">
        <f t="shared" si="98"/>
        <v>0</v>
      </c>
      <c r="K278" s="914">
        <f t="shared" si="99"/>
        <v>0</v>
      </c>
      <c r="L278" s="1718" t="s">
        <v>2974</v>
      </c>
      <c r="M278" s="1328"/>
      <c r="N278" s="1329">
        <v>657.6</v>
      </c>
      <c r="O278" s="1329">
        <f t="shared" si="100"/>
        <v>219</v>
      </c>
    </row>
    <row r="279" spans="1:15" s="1329" customFormat="1" ht="24" customHeight="1">
      <c r="A279" s="1330"/>
      <c r="B279" s="1331" t="s">
        <v>1237</v>
      </c>
      <c r="C279" s="1349"/>
      <c r="D279" s="801"/>
      <c r="E279" s="966">
        <v>1</v>
      </c>
      <c r="F279" s="867" t="s">
        <v>948</v>
      </c>
      <c r="G279" s="752">
        <f>ROUND(SUM(H273:H278)*15%,)</f>
        <v>2444</v>
      </c>
      <c r="H279" s="796">
        <f t="shared" si="97"/>
        <v>2444</v>
      </c>
      <c r="I279" s="949">
        <f>ROUND(G279*0.3,)</f>
        <v>733</v>
      </c>
      <c r="J279" s="751">
        <f t="shared" si="98"/>
        <v>733</v>
      </c>
      <c r="K279" s="973">
        <f t="shared" si="99"/>
        <v>3177</v>
      </c>
      <c r="L279" s="867"/>
      <c r="M279" s="1328"/>
    </row>
    <row r="280" spans="1:15" s="1329" customFormat="1" ht="24" customHeight="1">
      <c r="A280" s="1330"/>
      <c r="B280" s="1331" t="s">
        <v>957</v>
      </c>
      <c r="C280" s="1349"/>
      <c r="D280" s="801"/>
      <c r="E280" s="966"/>
      <c r="F280" s="867"/>
      <c r="G280" s="1249"/>
      <c r="H280" s="864"/>
      <c r="I280" s="865"/>
      <c r="J280" s="864"/>
      <c r="K280" s="867"/>
      <c r="L280" s="867"/>
      <c r="M280" s="1328"/>
    </row>
    <row r="281" spans="1:15" s="1329" customFormat="1" ht="24" customHeight="1">
      <c r="A281" s="1537"/>
      <c r="B281" s="1538"/>
      <c r="C281" s="1539"/>
      <c r="D281" s="1540"/>
      <c r="E281" s="1541"/>
      <c r="F281" s="1542"/>
      <c r="G281" s="1543"/>
      <c r="H281" s="1544"/>
      <c r="I281" s="1545"/>
      <c r="J281" s="1544"/>
      <c r="K281" s="1542"/>
      <c r="L281" s="1542"/>
      <c r="M281" s="1328"/>
    </row>
    <row r="282" spans="1:15" s="1329" customFormat="1" ht="24" customHeight="1">
      <c r="A282" s="1510"/>
      <c r="B282" s="2475" t="str">
        <f>"รวมราคารายการที่ "&amp;A253</f>
        <v>รวมราคารายการที่ 7.13</v>
      </c>
      <c r="C282" s="2476"/>
      <c r="D282" s="2477"/>
      <c r="E282" s="1511"/>
      <c r="F282" s="1511"/>
      <c r="G282" s="1513"/>
      <c r="H282" s="1514">
        <f>SUM(H254:H281)</f>
        <v>282949</v>
      </c>
      <c r="I282" s="1515"/>
      <c r="J282" s="1514">
        <f>SUM(J254:J281)</f>
        <v>42993</v>
      </c>
      <c r="K282" s="1517">
        <f>SUM(K254:K281)</f>
        <v>325942</v>
      </c>
      <c r="L282" s="1517"/>
      <c r="M282" s="1328"/>
    </row>
    <row r="283" spans="1:15" s="886" customFormat="1" ht="22.15" customHeight="1">
      <c r="A283" s="1482"/>
      <c r="M283" s="1342"/>
    </row>
    <row r="284" spans="1:15" s="886" customFormat="1" ht="22.15" customHeight="1">
      <c r="A284" s="1482"/>
      <c r="M284" s="1342"/>
    </row>
    <row r="285" spans="1:15" s="886" customFormat="1" ht="22.15" customHeight="1">
      <c r="A285" s="1482"/>
      <c r="M285" s="1342"/>
    </row>
    <row r="286" spans="1:15" s="886" customFormat="1" ht="22.15" customHeight="1">
      <c r="A286" s="1482"/>
      <c r="M286" s="1342"/>
    </row>
    <row r="287" spans="1:15" s="886" customFormat="1" ht="22.15" customHeight="1">
      <c r="A287" s="1482"/>
      <c r="M287" s="1342"/>
    </row>
    <row r="288" spans="1:15" s="886" customFormat="1" ht="22.15" customHeight="1">
      <c r="A288" s="1482"/>
      <c r="M288" s="1342"/>
    </row>
    <row r="289" spans="1:13" s="886" customFormat="1" ht="22.15" customHeight="1">
      <c r="A289" s="1482"/>
      <c r="M289" s="1342"/>
    </row>
    <row r="290" spans="1:13" s="886" customFormat="1" ht="22.15" customHeight="1">
      <c r="A290" s="1482"/>
      <c r="M290" s="1342"/>
    </row>
    <row r="291" spans="1:13" s="886" customFormat="1" ht="21.3">
      <c r="A291" s="1482"/>
      <c r="M291" s="1342"/>
    </row>
    <row r="292" spans="1:13" s="886" customFormat="1" ht="21.3">
      <c r="A292" s="1482"/>
      <c r="M292" s="1342"/>
    </row>
    <row r="293" spans="1:13" s="886" customFormat="1" ht="21.3">
      <c r="A293" s="1482"/>
      <c r="M293" s="1342"/>
    </row>
    <row r="294" spans="1:13" s="886" customFormat="1" ht="21.3">
      <c r="A294" s="1482"/>
      <c r="M294" s="1342"/>
    </row>
    <row r="295" spans="1:13" s="886" customFormat="1" ht="21.3">
      <c r="A295" s="1482"/>
      <c r="M295" s="1342"/>
    </row>
    <row r="296" spans="1:13" s="886" customFormat="1" ht="21.3">
      <c r="A296" s="1482"/>
      <c r="M296" s="1342"/>
    </row>
    <row r="297" spans="1:13" s="886" customFormat="1" ht="21.3">
      <c r="A297" s="1482"/>
      <c r="M297" s="1342"/>
    </row>
    <row r="298" spans="1:13" s="886" customFormat="1" ht="21.3">
      <c r="A298" s="1482"/>
      <c r="M298" s="1342"/>
    </row>
    <row r="299" spans="1:13" s="886" customFormat="1" ht="21.3">
      <c r="A299" s="1482"/>
      <c r="M299" s="1342"/>
    </row>
    <row r="300" spans="1:13" s="886" customFormat="1" ht="21.3">
      <c r="A300" s="1482"/>
      <c r="M300" s="1342"/>
    </row>
    <row r="301" spans="1:13" s="886" customFormat="1" ht="21.3">
      <c r="A301" s="1482"/>
      <c r="M301" s="1342"/>
    </row>
    <row r="302" spans="1:13" s="886" customFormat="1" ht="21.3">
      <c r="A302" s="1482"/>
      <c r="M302" s="1342"/>
    </row>
    <row r="303" spans="1:13" s="886" customFormat="1" ht="21.3">
      <c r="A303" s="1482"/>
      <c r="M303" s="1342"/>
    </row>
    <row r="304" spans="1:13" s="886" customFormat="1" ht="21.3">
      <c r="A304" s="1482"/>
      <c r="M304" s="1342"/>
    </row>
    <row r="305" spans="1:12">
      <c r="A305" s="1482"/>
      <c r="B305" s="886"/>
      <c r="C305" s="886"/>
      <c r="D305" s="886"/>
      <c r="E305" s="886"/>
      <c r="F305" s="886"/>
      <c r="G305" s="886"/>
      <c r="H305" s="886"/>
      <c r="I305" s="886"/>
      <c r="J305" s="886"/>
      <c r="K305" s="886"/>
      <c r="L305" s="886"/>
    </row>
    <row r="306" spans="1:12">
      <c r="A306" s="1482"/>
      <c r="B306" s="886"/>
      <c r="C306" s="886"/>
      <c r="D306" s="886"/>
      <c r="E306" s="886"/>
      <c r="F306" s="886"/>
      <c r="G306" s="886"/>
      <c r="H306" s="886"/>
      <c r="I306" s="886"/>
      <c r="J306" s="886"/>
      <c r="K306" s="886"/>
      <c r="L306" s="886"/>
    </row>
    <row r="307" spans="1:12">
      <c r="A307" s="1482"/>
      <c r="B307" s="886"/>
      <c r="C307" s="886"/>
      <c r="D307" s="886"/>
      <c r="E307" s="886"/>
      <c r="F307" s="886"/>
      <c r="G307" s="886"/>
      <c r="H307" s="886"/>
      <c r="I307" s="886"/>
      <c r="J307" s="886"/>
      <c r="K307" s="886"/>
      <c r="L307" s="886"/>
    </row>
    <row r="314" spans="1:12">
      <c r="B314" s="1488"/>
    </row>
    <row r="315" spans="1:12">
      <c r="B315" s="1488"/>
    </row>
  </sheetData>
  <mergeCells count="22">
    <mergeCell ref="B99:D99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45:D45"/>
    <mergeCell ref="B68:D68"/>
    <mergeCell ref="B75:D75"/>
    <mergeCell ref="B84:D84"/>
    <mergeCell ref="B252:D252"/>
    <mergeCell ref="B282:D282"/>
    <mergeCell ref="B109:D109"/>
    <mergeCell ref="B134:D134"/>
    <mergeCell ref="B152:D152"/>
    <mergeCell ref="B176:D176"/>
    <mergeCell ref="B187:D187"/>
    <mergeCell ref="B196:D196"/>
  </mergeCells>
  <conditionalFormatting sqref="N208">
    <cfRule type="containsText" dxfId="687" priority="178" operator="containsText" text="Diffus">
      <formula>NOT(ISERROR(SEARCH("Diffus",N208)))</formula>
    </cfRule>
    <cfRule type="containsText" dxfId="686" priority="179" operator="containsText" text="Counter">
      <formula>NOT(ISERROR(SEARCH("Counter",N208)))</formula>
    </cfRule>
    <cfRule type="containsText" dxfId="685" priority="180" operator="containsText" text="Damper">
      <formula>NOT(ISERROR(SEARCH("Damper",N208)))</formula>
    </cfRule>
    <cfRule type="containsText" dxfId="684" priority="181" operator="containsText" text="Register">
      <formula>NOT(ISERROR(SEARCH("Register",N208)))</formula>
    </cfRule>
    <cfRule type="containsText" dxfId="683" priority="182" operator="containsText" text="Grille">
      <formula>NOT(ISERROR(SEARCH("Grille",N208)))</formula>
    </cfRule>
    <cfRule type="containsText" dxfId="682" priority="183" operator="containsText" text="FFL">
      <formula>NOT(ISERROR(SEARCH("FFL",N208)))</formula>
    </cfRule>
  </conditionalFormatting>
  <conditionalFormatting sqref="N240:N247">
    <cfRule type="containsText" dxfId="681" priority="172" operator="containsText" text="Diffus">
      <formula>NOT(ISERROR(SEARCH("Diffus",N240)))</formula>
    </cfRule>
    <cfRule type="containsText" dxfId="680" priority="173" operator="containsText" text="Counter">
      <formula>NOT(ISERROR(SEARCH("Counter",N240)))</formula>
    </cfRule>
    <cfRule type="containsText" dxfId="679" priority="174" operator="containsText" text="Damper">
      <formula>NOT(ISERROR(SEARCH("Damper",N240)))</formula>
    </cfRule>
    <cfRule type="containsText" dxfId="678" priority="175" operator="containsText" text="Register">
      <formula>NOT(ISERROR(SEARCH("Register",N240)))</formula>
    </cfRule>
    <cfRule type="containsText" dxfId="677" priority="176" operator="containsText" text="Grille">
      <formula>NOT(ISERROR(SEARCH("Grille",N240)))</formula>
    </cfRule>
    <cfRule type="containsText" dxfId="676" priority="177" operator="containsText" text="FFL">
      <formula>NOT(ISERROR(SEARCH("FFL",N240)))</formula>
    </cfRule>
  </conditionalFormatting>
  <conditionalFormatting sqref="N249">
    <cfRule type="containsText" dxfId="675" priority="166" operator="containsText" text="Diffus">
      <formula>NOT(ISERROR(SEARCH("Diffus",N249)))</formula>
    </cfRule>
    <cfRule type="containsText" dxfId="674" priority="167" operator="containsText" text="Counter">
      <formula>NOT(ISERROR(SEARCH("Counter",N249)))</formula>
    </cfRule>
    <cfRule type="containsText" dxfId="673" priority="168" operator="containsText" text="Damper">
      <formula>NOT(ISERROR(SEARCH("Damper",N249)))</formula>
    </cfRule>
    <cfRule type="containsText" dxfId="672" priority="169" operator="containsText" text="Register">
      <formula>NOT(ISERROR(SEARCH("Register",N249)))</formula>
    </cfRule>
    <cfRule type="containsText" dxfId="671" priority="170" operator="containsText" text="Grille">
      <formula>NOT(ISERROR(SEARCH("Grille",N249)))</formula>
    </cfRule>
    <cfRule type="containsText" dxfId="670" priority="171" operator="containsText" text="FFL">
      <formula>NOT(ISERROR(SEARCH("FFL",N249)))</formula>
    </cfRule>
  </conditionalFormatting>
  <conditionalFormatting sqref="N219:N238">
    <cfRule type="containsText" dxfId="669" priority="160" operator="containsText" text="Diffus">
      <formula>NOT(ISERROR(SEARCH("Diffus",N219)))</formula>
    </cfRule>
    <cfRule type="containsText" dxfId="668" priority="161" operator="containsText" text="Counter">
      <formula>NOT(ISERROR(SEARCH("Counter",N219)))</formula>
    </cfRule>
    <cfRule type="containsText" dxfId="667" priority="162" operator="containsText" text="Damper">
      <formula>NOT(ISERROR(SEARCH("Damper",N219)))</formula>
    </cfRule>
    <cfRule type="containsText" dxfId="666" priority="163" operator="containsText" text="Register">
      <formula>NOT(ISERROR(SEARCH("Register",N219)))</formula>
    </cfRule>
    <cfRule type="containsText" dxfId="665" priority="164" operator="containsText" text="Grille">
      <formula>NOT(ISERROR(SEARCH("Grille",N219)))</formula>
    </cfRule>
    <cfRule type="containsText" dxfId="664" priority="165" operator="containsText" text="FFL">
      <formula>NOT(ISERROR(SEARCH("FFL",N219)))</formula>
    </cfRule>
  </conditionalFormatting>
  <conditionalFormatting sqref="A72:L73 A76:D76 L76 A85:D85 L85 A110:D110 L110 A100:D100 L100 A101:L101 A135:D135 L135 A136:L136 A154:L154 A153:D153 L153 A177:D177 L177 A188:D188 L188 A189:L189 A197:D197 L197 A254:D254 A111:L111 A178:L178 C23:D23 A35:A44 F71 A90:A93 A95:L98 A89:L89 A105:L108 A260:A262 A264:L265 A74:D74 F74:L74 A102:F102 L102 H71:L71 A133:L133 A187 A195:L195 A174:L175 F90:G90 F91:F93 A94:G94 L90:L94 F262 A272:K272 A273:A279 L279 A77:L77 A152 C24:F24 C255:D257 I255 F255:G257 L254:L257 I90:I94 A82:L83 L259:L262 F259:G261 C259:D262 A207:A208 C207:L207 A213:L213 L208 A239:L239 A219:A238 F238:H238 A248:L248 A240:A247 A250:L251 A249 F249 A71 A46:A67 E69:L70 A75 L78:L81 A78:A81 F219:F237 L219:L238 F240:F247 L240:L247 L249 A280:L281 E75:L75 A84 E84:L84 A99 E99:L99 A109 E109:L109 A134 E134:L134 E152:L152 A176 E176:L176 E187:L187 A196 E196:L196 A253:L253 A252 E252:L252 A283:L1048576 A282 E282:L282 A1:L22 B25:L26 G23:L24 A27:L34 A266:A271">
    <cfRule type="expression" dxfId="663" priority="159">
      <formula>SUMPRODUCT(--(ROW()=$O$12:$O$22))&gt;0</formula>
    </cfRule>
  </conditionalFormatting>
  <conditionalFormatting sqref="C35:L35 A112:F119 A124:L124 A121:D123 I120 L112:L123 A132:L132 A125:F126 A193:G193 I193 L193 A173:L173 A137:F138 A142:L142 A140:F141 A149:L149 L140:L141 L143:L148 A150:F150 L137:L138 A151:J151 L150:L151 A186:L186 L129:L131 A129:D131 A143:F148 F129:F131">
    <cfRule type="expression" dxfId="662" priority="158">
      <formula>SUMPRODUCT(--(ROW()=$O$12:$O$22))&gt;0</formula>
    </cfRule>
  </conditionalFormatting>
  <conditionalFormatting sqref="E36:L36 E42:L44 E37:F40 E46:L47 E65:L67 E48:F64 L48:L64 E41:G41 I41 L37:L41">
    <cfRule type="expression" dxfId="661" priority="157">
      <formula>SUMPRODUCT(--(ROW()=$O$12:$O$22))&gt;0</formula>
    </cfRule>
  </conditionalFormatting>
  <conditionalFormatting sqref="E76:K76">
    <cfRule type="expression" dxfId="660" priority="156">
      <formula>SUMPRODUCT(--(ROW()=$O$12:$O$22))&gt;0</formula>
    </cfRule>
  </conditionalFormatting>
  <conditionalFormatting sqref="E85:K85">
    <cfRule type="expression" dxfId="659" priority="155">
      <formula>SUMPRODUCT(--(ROW()=$O$12:$O$22))&gt;0</formula>
    </cfRule>
  </conditionalFormatting>
  <conditionalFormatting sqref="E110:K110">
    <cfRule type="expression" dxfId="658" priority="154">
      <formula>SUMPRODUCT(--(ROW()=$O$12:$O$22))&gt;0</formula>
    </cfRule>
  </conditionalFormatting>
  <conditionalFormatting sqref="E100:K100">
    <cfRule type="expression" dxfId="657" priority="153">
      <formula>SUMPRODUCT(--(ROW()=$O$12:$O$22))&gt;0</formula>
    </cfRule>
  </conditionalFormatting>
  <conditionalFormatting sqref="E135:K135">
    <cfRule type="expression" dxfId="656" priority="152">
      <formula>SUMPRODUCT(--(ROW()=$O$12:$O$22))&gt;0</formula>
    </cfRule>
  </conditionalFormatting>
  <conditionalFormatting sqref="E153:K153">
    <cfRule type="expression" dxfId="655" priority="151">
      <formula>SUMPRODUCT(--(ROW()=$O$12:$O$22))&gt;0</formula>
    </cfRule>
  </conditionalFormatting>
  <conditionalFormatting sqref="E177:K177">
    <cfRule type="expression" dxfId="654" priority="150">
      <formula>SUMPRODUCT(--(ROW()=$O$12:$O$22))&gt;0</formula>
    </cfRule>
  </conditionalFormatting>
  <conditionalFormatting sqref="E188:K188">
    <cfRule type="expression" dxfId="653" priority="149">
      <formula>SUMPRODUCT(--(ROW()=$O$12:$O$22))&gt;0</formula>
    </cfRule>
  </conditionalFormatting>
  <conditionalFormatting sqref="E197:K197">
    <cfRule type="expression" dxfId="652" priority="148">
      <formula>SUMPRODUCT(--(ROW()=$O$12:$O$22))&gt;0</formula>
    </cfRule>
  </conditionalFormatting>
  <conditionalFormatting sqref="E254:K254">
    <cfRule type="expression" dxfId="651" priority="147">
      <formula>SUMPRODUCT(--(ROW()=$O$12:$O$22))&gt;0</formula>
    </cfRule>
  </conditionalFormatting>
  <conditionalFormatting sqref="B35">
    <cfRule type="expression" dxfId="650" priority="146">
      <formula>SUMPRODUCT(--(ROW()=$O$12:$O$22))&gt;0</formula>
    </cfRule>
  </conditionalFormatting>
  <conditionalFormatting sqref="B23">
    <cfRule type="expression" dxfId="649" priority="145">
      <formula>SUMPRODUCT(--(ROW()=$O$12:$O$22))&gt;0</formula>
    </cfRule>
  </conditionalFormatting>
  <conditionalFormatting sqref="B71:E71">
    <cfRule type="expression" dxfId="648" priority="144">
      <formula>SUMPRODUCT(--(ROW()=$O$12:$O$22))&gt;0</formula>
    </cfRule>
  </conditionalFormatting>
  <conditionalFormatting sqref="B92:E93">
    <cfRule type="expression" dxfId="647" priority="142">
      <formula>SUMPRODUCT(--(ROW()=$O$12:$O$22))&gt;0</formula>
    </cfRule>
  </conditionalFormatting>
  <conditionalFormatting sqref="B90:E91">
    <cfRule type="expression" dxfId="646" priority="143">
      <formula>SUMPRODUCT(--(ROW()=$O$12:$O$22))&gt;0</formula>
    </cfRule>
  </conditionalFormatting>
  <conditionalFormatting sqref="E23:F23">
    <cfRule type="expression" dxfId="645" priority="141">
      <formula>SUMPRODUCT(--(ROW()=$O$12:$O$22))&gt;0</formula>
    </cfRule>
  </conditionalFormatting>
  <conditionalFormatting sqref="B24">
    <cfRule type="expression" dxfId="644" priority="140">
      <formula>SUMPRODUCT(--(ROW()=$O$12:$O$22))&gt;0</formula>
    </cfRule>
  </conditionalFormatting>
  <conditionalFormatting sqref="A255:A257 A259">
    <cfRule type="expression" dxfId="643" priority="139">
      <formula>SUMPRODUCT(--(ROW()=$O$12:$O$22))&gt;0</formula>
    </cfRule>
  </conditionalFormatting>
  <conditionalFormatting sqref="E255:E257 E259">
    <cfRule type="expression" dxfId="642" priority="138">
      <formula>SUMPRODUCT(--(ROW()=$O$12:$O$22))&gt;0</formula>
    </cfRule>
  </conditionalFormatting>
  <conditionalFormatting sqref="E260:E262">
    <cfRule type="expression" dxfId="641" priority="137">
      <formula>SUMPRODUCT(--(ROW()=$O$12:$O$22))&gt;0</formula>
    </cfRule>
  </conditionalFormatting>
  <conditionalFormatting sqref="A120:G120">
    <cfRule type="expression" dxfId="640" priority="136">
      <formula>SUMPRODUCT(--(ROW()=$O$12:$O$22))&gt;0</formula>
    </cfRule>
  </conditionalFormatting>
  <conditionalFormatting sqref="G262">
    <cfRule type="expression" dxfId="639" priority="124">
      <formula>SUMPRODUCT(--(ROW()=$O$12:$O$22))&gt;0</formula>
    </cfRule>
  </conditionalFormatting>
  <conditionalFormatting sqref="I117:I119">
    <cfRule type="expression" dxfId="638" priority="135">
      <formula>SUMPRODUCT(--(ROW()=$O$12:$O$22))&gt;0</formula>
    </cfRule>
  </conditionalFormatting>
  <conditionalFormatting sqref="A194:L194">
    <cfRule type="expression" dxfId="637" priority="134">
      <formula>SUMPRODUCT(--(ROW()=$O$12:$O$22))&gt;0</formula>
    </cfRule>
  </conditionalFormatting>
  <conditionalFormatting sqref="A160:L160 A166:L168 A161:A165 L161:L165">
    <cfRule type="expression" dxfId="636" priority="133">
      <formula>SUMPRODUCT(--(ROW()=$O$12:$O$22))&gt;0</formula>
    </cfRule>
  </conditionalFormatting>
  <conditionalFormatting sqref="A139:L139">
    <cfRule type="expression" dxfId="635" priority="132">
      <formula>SUMPRODUCT(--(ROW()=$O$12:$O$22))&gt;0</formula>
    </cfRule>
  </conditionalFormatting>
  <conditionalFormatting sqref="G143:G148">
    <cfRule type="expression" dxfId="634" priority="131">
      <formula>SUMPRODUCT(--(ROW()=$O$12:$O$22))&gt;0</formula>
    </cfRule>
  </conditionalFormatting>
  <conditionalFormatting sqref="I143:I148">
    <cfRule type="expression" dxfId="633" priority="130">
      <formula>SUMPRODUCT(--(ROW()=$O$12:$O$22))&gt;0</formula>
    </cfRule>
  </conditionalFormatting>
  <conditionalFormatting sqref="G150">
    <cfRule type="expression" dxfId="632" priority="129">
      <formula>SUMPRODUCT(--(ROW()=$O$12:$O$22))&gt;0</formula>
    </cfRule>
  </conditionalFormatting>
  <conditionalFormatting sqref="I150">
    <cfRule type="expression" dxfId="631" priority="128">
      <formula>SUMPRODUCT(--(ROW()=$O$12:$O$22))&gt;0</formula>
    </cfRule>
  </conditionalFormatting>
  <conditionalFormatting sqref="G91">
    <cfRule type="expression" dxfId="630" priority="127">
      <formula>SUMPRODUCT(--(ROW()=$O$12:$O$22))&gt;0</formula>
    </cfRule>
  </conditionalFormatting>
  <conditionalFormatting sqref="G92">
    <cfRule type="expression" dxfId="629" priority="126">
      <formula>SUMPRODUCT(--(ROW()=$O$12:$O$22))&gt;0</formula>
    </cfRule>
  </conditionalFormatting>
  <conditionalFormatting sqref="G93">
    <cfRule type="expression" dxfId="628" priority="125">
      <formula>SUMPRODUCT(--(ROW()=$O$12:$O$22))&gt;0</formula>
    </cfRule>
  </conditionalFormatting>
  <conditionalFormatting sqref="H255">
    <cfRule type="expression" dxfId="627" priority="123">
      <formula>SUMPRODUCT(--(ROW()=$O$12:$O$22))&gt;0</formula>
    </cfRule>
  </conditionalFormatting>
  <conditionalFormatting sqref="J255:K255">
    <cfRule type="expression" dxfId="626" priority="122">
      <formula>SUMPRODUCT(--(ROW()=$O$12:$O$22))&gt;0</formula>
    </cfRule>
  </conditionalFormatting>
  <conditionalFormatting sqref="I256">
    <cfRule type="expression" dxfId="625" priority="121">
      <formula>SUMPRODUCT(--(ROW()=$O$12:$O$22))&gt;0</formula>
    </cfRule>
  </conditionalFormatting>
  <conditionalFormatting sqref="H256">
    <cfRule type="expression" dxfId="624" priority="120">
      <formula>SUMPRODUCT(--(ROW()=$O$12:$O$22))&gt;0</formula>
    </cfRule>
  </conditionalFormatting>
  <conditionalFormatting sqref="J256:K256">
    <cfRule type="expression" dxfId="623" priority="119">
      <formula>SUMPRODUCT(--(ROW()=$O$12:$O$22))&gt;0</formula>
    </cfRule>
  </conditionalFormatting>
  <conditionalFormatting sqref="I257">
    <cfRule type="expression" dxfId="622" priority="118">
      <formula>SUMPRODUCT(--(ROW()=$O$12:$O$22))&gt;0</formula>
    </cfRule>
  </conditionalFormatting>
  <conditionalFormatting sqref="H257">
    <cfRule type="expression" dxfId="621" priority="117">
      <formula>SUMPRODUCT(--(ROW()=$O$12:$O$22))&gt;0</formula>
    </cfRule>
  </conditionalFormatting>
  <conditionalFormatting sqref="J257:K257">
    <cfRule type="expression" dxfId="620" priority="116">
      <formula>SUMPRODUCT(--(ROW()=$O$12:$O$22))&gt;0</formula>
    </cfRule>
  </conditionalFormatting>
  <conditionalFormatting sqref="I259">
    <cfRule type="expression" dxfId="619" priority="115">
      <formula>SUMPRODUCT(--(ROW()=$O$12:$O$22))&gt;0</formula>
    </cfRule>
  </conditionalFormatting>
  <conditionalFormatting sqref="H259">
    <cfRule type="expression" dxfId="618" priority="114">
      <formula>SUMPRODUCT(--(ROW()=$O$12:$O$22))&gt;0</formula>
    </cfRule>
  </conditionalFormatting>
  <conditionalFormatting sqref="J259:K259">
    <cfRule type="expression" dxfId="617" priority="113">
      <formula>SUMPRODUCT(--(ROW()=$O$12:$O$22))&gt;0</formula>
    </cfRule>
  </conditionalFormatting>
  <conditionalFormatting sqref="I260">
    <cfRule type="expression" dxfId="616" priority="112">
      <formula>SUMPRODUCT(--(ROW()=$O$12:$O$22))&gt;0</formula>
    </cfRule>
  </conditionalFormatting>
  <conditionalFormatting sqref="H260">
    <cfRule type="expression" dxfId="615" priority="111">
      <formula>SUMPRODUCT(--(ROW()=$O$12:$O$22))&gt;0</formula>
    </cfRule>
  </conditionalFormatting>
  <conditionalFormatting sqref="J260:K260">
    <cfRule type="expression" dxfId="614" priority="110">
      <formula>SUMPRODUCT(--(ROW()=$O$12:$O$22))&gt;0</formula>
    </cfRule>
  </conditionalFormatting>
  <conditionalFormatting sqref="I261">
    <cfRule type="expression" dxfId="613" priority="109">
      <formula>SUMPRODUCT(--(ROW()=$O$12:$O$22))&gt;0</formula>
    </cfRule>
  </conditionalFormatting>
  <conditionalFormatting sqref="H261">
    <cfRule type="expression" dxfId="612" priority="108">
      <formula>SUMPRODUCT(--(ROW()=$O$12:$O$22))&gt;0</formula>
    </cfRule>
  </conditionalFormatting>
  <conditionalFormatting sqref="J261:K261">
    <cfRule type="expression" dxfId="611" priority="107">
      <formula>SUMPRODUCT(--(ROW()=$O$12:$O$22))&gt;0</formula>
    </cfRule>
  </conditionalFormatting>
  <conditionalFormatting sqref="I262">
    <cfRule type="expression" dxfId="610" priority="106">
      <formula>SUMPRODUCT(--(ROW()=$O$12:$O$22))&gt;0</formula>
    </cfRule>
  </conditionalFormatting>
  <conditionalFormatting sqref="H262">
    <cfRule type="expression" dxfId="609" priority="105">
      <formula>SUMPRODUCT(--(ROW()=$O$12:$O$22))&gt;0</formula>
    </cfRule>
  </conditionalFormatting>
  <conditionalFormatting sqref="J262:K262">
    <cfRule type="expression" dxfId="608" priority="104">
      <formula>SUMPRODUCT(--(ROW()=$O$12:$O$22))&gt;0</formula>
    </cfRule>
  </conditionalFormatting>
  <conditionalFormatting sqref="B87:E87">
    <cfRule type="expression" dxfId="607" priority="103">
      <formula>SUMPRODUCT(--(ROW()=$O$12:$O$22))&gt;0</formula>
    </cfRule>
  </conditionalFormatting>
  <conditionalFormatting sqref="M87">
    <cfRule type="cellIs" dxfId="606" priority="102" stopIfTrue="1" operator="equal">
      <formula>1</formula>
    </cfRule>
  </conditionalFormatting>
  <conditionalFormatting sqref="M87">
    <cfRule type="cellIs" dxfId="605" priority="101" stopIfTrue="1" operator="equal">
      <formula>0</formula>
    </cfRule>
  </conditionalFormatting>
  <conditionalFormatting sqref="B88:E88">
    <cfRule type="expression" dxfId="604" priority="100">
      <formula>SUMPRODUCT(--(ROW()=$O$12:$O$22))&gt;0</formula>
    </cfRule>
  </conditionalFormatting>
  <conditionalFormatting sqref="M88">
    <cfRule type="cellIs" dxfId="603" priority="99" stopIfTrue="1" operator="equal">
      <formula>1</formula>
    </cfRule>
  </conditionalFormatting>
  <conditionalFormatting sqref="M88">
    <cfRule type="cellIs" dxfId="602" priority="98" stopIfTrue="1" operator="equal">
      <formula>0</formula>
    </cfRule>
  </conditionalFormatting>
  <conditionalFormatting sqref="C258:D258 F258 L258">
    <cfRule type="expression" dxfId="601" priority="97">
      <formula>SUMPRODUCT(--(ROW()=$O$12:$O$22))&gt;0</formula>
    </cfRule>
  </conditionalFormatting>
  <conditionalFormatting sqref="A258">
    <cfRule type="expression" dxfId="600" priority="96">
      <formula>SUMPRODUCT(--(ROW()=$O$12:$O$22))&gt;0</formula>
    </cfRule>
  </conditionalFormatting>
  <conditionalFormatting sqref="E258">
    <cfRule type="expression" dxfId="599" priority="95">
      <formula>SUMPRODUCT(--(ROW()=$O$12:$O$22))&gt;0</formula>
    </cfRule>
  </conditionalFormatting>
  <conditionalFormatting sqref="I258">
    <cfRule type="expression" dxfId="598" priority="94">
      <formula>SUMPRODUCT(--(ROW()=$O$12:$O$22))&gt;0</formula>
    </cfRule>
  </conditionalFormatting>
  <conditionalFormatting sqref="H258">
    <cfRule type="expression" dxfId="597" priority="93">
      <formula>SUMPRODUCT(--(ROW()=$O$12:$O$22))&gt;0</formula>
    </cfRule>
  </conditionalFormatting>
  <conditionalFormatting sqref="J258:K258">
    <cfRule type="expression" dxfId="596" priority="92">
      <formula>SUMPRODUCT(--(ROW()=$O$12:$O$22))&gt;0</formula>
    </cfRule>
  </conditionalFormatting>
  <conditionalFormatting sqref="A263 F263 L263 C263:D263">
    <cfRule type="expression" dxfId="595" priority="91">
      <formula>SUMPRODUCT(--(ROW()=$O$12:$O$22))&gt;0</formula>
    </cfRule>
  </conditionalFormatting>
  <conditionalFormatting sqref="E263">
    <cfRule type="expression" dxfId="594" priority="90">
      <formula>SUMPRODUCT(--(ROW()=$O$12:$O$22))&gt;0</formula>
    </cfRule>
  </conditionalFormatting>
  <conditionalFormatting sqref="I263">
    <cfRule type="expression" dxfId="593" priority="89">
      <formula>SUMPRODUCT(--(ROW()=$O$12:$O$22))&gt;0</formula>
    </cfRule>
  </conditionalFormatting>
  <conditionalFormatting sqref="H263">
    <cfRule type="expression" dxfId="592" priority="88">
      <formula>SUMPRODUCT(--(ROW()=$O$12:$O$22))&gt;0</formula>
    </cfRule>
  </conditionalFormatting>
  <conditionalFormatting sqref="J263:K263">
    <cfRule type="expression" dxfId="591" priority="87">
      <formula>SUMPRODUCT(--(ROW()=$O$12:$O$22))&gt;0</formula>
    </cfRule>
  </conditionalFormatting>
  <conditionalFormatting sqref="G258">
    <cfRule type="expression" dxfId="590" priority="86">
      <formula>SUMPRODUCT(--(ROW()=$O$12:$O$22))&gt;0</formula>
    </cfRule>
  </conditionalFormatting>
  <conditionalFormatting sqref="G263">
    <cfRule type="expression" dxfId="589" priority="85">
      <formula>SUMPRODUCT(--(ROW()=$O$12:$O$22))&gt;0</formula>
    </cfRule>
  </conditionalFormatting>
  <conditionalFormatting sqref="B199">
    <cfRule type="expression" dxfId="588" priority="84">
      <formula>SUMPRODUCT(--(ROW()=$O$12:$O$22))&gt;0</formula>
    </cfRule>
  </conditionalFormatting>
  <conditionalFormatting sqref="F199">
    <cfRule type="expression" dxfId="587" priority="83">
      <formula>SUMPRODUCT(--(ROW()=$O$12:$O$21))&gt;0</formula>
    </cfRule>
  </conditionalFormatting>
  <conditionalFormatting sqref="B200:B206">
    <cfRule type="expression" dxfId="586" priority="82">
      <formula>SUMPRODUCT(--(ROW()=$O$12:$O$22))&gt;0</formula>
    </cfRule>
  </conditionalFormatting>
  <conditionalFormatting sqref="F200:F206">
    <cfRule type="expression" dxfId="585" priority="81">
      <formula>SUMPRODUCT(--(ROW()=$O$12:$O$21))&gt;0</formula>
    </cfRule>
  </conditionalFormatting>
  <conditionalFormatting sqref="B207">
    <cfRule type="expression" dxfId="584" priority="80">
      <formula>SUMPRODUCT(--(ROW()=$O$12:$O$21))&gt;0</formula>
    </cfRule>
  </conditionalFormatting>
  <conditionalFormatting sqref="N209">
    <cfRule type="containsText" dxfId="583" priority="74" operator="containsText" text="Diffus">
      <formula>NOT(ISERROR(SEARCH("Diffus",N209)))</formula>
    </cfRule>
    <cfRule type="containsText" dxfId="582" priority="75" operator="containsText" text="Counter">
      <formula>NOT(ISERROR(SEARCH("Counter",N209)))</formula>
    </cfRule>
    <cfRule type="containsText" dxfId="581" priority="76" operator="containsText" text="Damper">
      <formula>NOT(ISERROR(SEARCH("Damper",N209)))</formula>
    </cfRule>
    <cfRule type="containsText" dxfId="580" priority="77" operator="containsText" text="Register">
      <formula>NOT(ISERROR(SEARCH("Register",N209)))</formula>
    </cfRule>
    <cfRule type="containsText" dxfId="579" priority="78" operator="containsText" text="Grille">
      <formula>NOT(ISERROR(SEARCH("Grille",N209)))</formula>
    </cfRule>
    <cfRule type="containsText" dxfId="578" priority="79" operator="containsText" text="FFL">
      <formula>NOT(ISERROR(SEARCH("FFL",N209)))</formula>
    </cfRule>
  </conditionalFormatting>
  <conditionalFormatting sqref="A209 L209">
    <cfRule type="expression" dxfId="577" priority="73">
      <formula>SUMPRODUCT(--(ROW()=$O$12:$O$22))&gt;0</formula>
    </cfRule>
  </conditionalFormatting>
  <conditionalFormatting sqref="C210:L210 A210">
    <cfRule type="expression" dxfId="576" priority="72">
      <formula>SUMPRODUCT(--(ROW()=$O$12:$O$21))&gt;0</formula>
    </cfRule>
  </conditionalFormatting>
  <conditionalFormatting sqref="N211">
    <cfRule type="containsText" dxfId="575" priority="66" operator="containsText" text="Diffus">
      <formula>NOT(ISERROR(SEARCH("Diffus",N211)))</formula>
    </cfRule>
    <cfRule type="containsText" dxfId="574" priority="67" operator="containsText" text="Counter">
      <formula>NOT(ISERROR(SEARCH("Counter",N211)))</formula>
    </cfRule>
    <cfRule type="containsText" dxfId="573" priority="68" operator="containsText" text="Damper">
      <formula>NOT(ISERROR(SEARCH("Damper",N211)))</formula>
    </cfRule>
    <cfRule type="containsText" dxfId="572" priority="69" operator="containsText" text="Register">
      <formula>NOT(ISERROR(SEARCH("Register",N211)))</formula>
    </cfRule>
    <cfRule type="containsText" dxfId="571" priority="70" operator="containsText" text="Grille">
      <formula>NOT(ISERROR(SEARCH("Grille",N211)))</formula>
    </cfRule>
    <cfRule type="containsText" dxfId="570" priority="71" operator="containsText" text="FFL">
      <formula>NOT(ISERROR(SEARCH("FFL",N211)))</formula>
    </cfRule>
  </conditionalFormatting>
  <conditionalFormatting sqref="A211:F211 L211">
    <cfRule type="expression" dxfId="569" priority="65">
      <formula>SUMPRODUCT(--(ROW()=$O$12:$O$22))&gt;0</formula>
    </cfRule>
  </conditionalFormatting>
  <conditionalFormatting sqref="N212">
    <cfRule type="containsText" dxfId="568" priority="59" operator="containsText" text="Diffus">
      <formula>NOT(ISERROR(SEARCH("Diffus",N212)))</formula>
    </cfRule>
    <cfRule type="containsText" dxfId="567" priority="60" operator="containsText" text="Counter">
      <formula>NOT(ISERROR(SEARCH("Counter",N212)))</formula>
    </cfRule>
    <cfRule type="containsText" dxfId="566" priority="61" operator="containsText" text="Damper">
      <formula>NOT(ISERROR(SEARCH("Damper",N212)))</formula>
    </cfRule>
    <cfRule type="containsText" dxfId="565" priority="62" operator="containsText" text="Register">
      <formula>NOT(ISERROR(SEARCH("Register",N212)))</formula>
    </cfRule>
    <cfRule type="containsText" dxfId="564" priority="63" operator="containsText" text="Grille">
      <formula>NOT(ISERROR(SEARCH("Grille",N212)))</formula>
    </cfRule>
    <cfRule type="containsText" dxfId="563" priority="64" operator="containsText" text="FFL">
      <formula>NOT(ISERROR(SEARCH("FFL",N212)))</formula>
    </cfRule>
  </conditionalFormatting>
  <conditionalFormatting sqref="A212:F212 L212">
    <cfRule type="expression" dxfId="562" priority="58">
      <formula>SUMPRODUCT(--(ROW()=$O$12:$O$22))&gt;0</formula>
    </cfRule>
  </conditionalFormatting>
  <conditionalFormatting sqref="F208:F209">
    <cfRule type="expression" dxfId="561" priority="57">
      <formula>SUMPRODUCT(--(ROW()=$O$12:$O$21))&gt;0</formula>
    </cfRule>
  </conditionalFormatting>
  <conditionalFormatting sqref="B208:B209">
    <cfRule type="expression" dxfId="560" priority="56">
      <formula>SUMPRODUCT(--(ROW()=$O$12:$O$22))&gt;0</formula>
    </cfRule>
  </conditionalFormatting>
  <conditionalFormatting sqref="A127:F128">
    <cfRule type="expression" dxfId="559" priority="55">
      <formula>SUMPRODUCT(--(ROW()=$O$12:$O$22))&gt;0</formula>
    </cfRule>
  </conditionalFormatting>
  <conditionalFormatting sqref="B219:B238">
    <cfRule type="expression" dxfId="558" priority="54">
      <formula>SUMPRODUCT(--(ROW()=$O$12:$O$22))&gt;0</formula>
    </cfRule>
  </conditionalFormatting>
  <conditionalFormatting sqref="B240:B247">
    <cfRule type="expression" dxfId="557" priority="53">
      <formula>SUMPRODUCT(--(ROW()=$O$12:$O$22))&gt;0</formula>
    </cfRule>
  </conditionalFormatting>
  <conditionalFormatting sqref="B249">
    <cfRule type="expression" dxfId="556" priority="52">
      <formula>SUMPRODUCT(--(ROW()=$O$12:$O$22))&gt;0</formula>
    </cfRule>
  </conditionalFormatting>
  <conditionalFormatting sqref="N214:N218">
    <cfRule type="containsText" dxfId="555" priority="46" operator="containsText" text="Diffus">
      <formula>NOT(ISERROR(SEARCH("Diffus",N214)))</formula>
    </cfRule>
    <cfRule type="containsText" dxfId="554" priority="47" operator="containsText" text="Counter">
      <formula>NOT(ISERROR(SEARCH("Counter",N214)))</formula>
    </cfRule>
    <cfRule type="containsText" dxfId="553" priority="48" operator="containsText" text="Damper">
      <formula>NOT(ISERROR(SEARCH("Damper",N214)))</formula>
    </cfRule>
    <cfRule type="containsText" dxfId="552" priority="49" operator="containsText" text="Register">
      <formula>NOT(ISERROR(SEARCH("Register",N214)))</formula>
    </cfRule>
    <cfRule type="containsText" dxfId="551" priority="50" operator="containsText" text="Grille">
      <formula>NOT(ISERROR(SEARCH("Grille",N214)))</formula>
    </cfRule>
    <cfRule type="containsText" dxfId="550" priority="51" operator="containsText" text="FFL">
      <formula>NOT(ISERROR(SEARCH("FFL",N214)))</formula>
    </cfRule>
  </conditionalFormatting>
  <conditionalFormatting sqref="A214:A218 F214:F218 L214:L218">
    <cfRule type="expression" dxfId="549" priority="45">
      <formula>SUMPRODUCT(--(ROW()=$O$12:$O$22))&gt;0</formula>
    </cfRule>
  </conditionalFormatting>
  <conditionalFormatting sqref="B214:B218">
    <cfRule type="expression" dxfId="548" priority="44">
      <formula>SUMPRODUCT(--(ROW()=$O$12:$O$22))&gt;0</formula>
    </cfRule>
  </conditionalFormatting>
  <conditionalFormatting sqref="A69:A70">
    <cfRule type="expression" dxfId="547" priority="43">
      <formula>SUMPRODUCT(--(ROW()=$O$12:$O$22))&gt;0</formula>
    </cfRule>
  </conditionalFormatting>
  <conditionalFormatting sqref="B69">
    <cfRule type="expression" dxfId="546" priority="42">
      <formula>SUMPRODUCT(--(ROW()=$O$12:$O$22))&gt;0</formula>
    </cfRule>
  </conditionalFormatting>
  <conditionalFormatting sqref="G52:G53">
    <cfRule type="expression" dxfId="545" priority="36">
      <formula>SUMPRODUCT(--(ROW()=$O$12:$O$22))&gt;0</formula>
    </cfRule>
  </conditionalFormatting>
  <conditionalFormatting sqref="G37">
    <cfRule type="expression" dxfId="544" priority="41">
      <formula>SUMPRODUCT(--(ROW()=$O$12:$O$22))&gt;0</formula>
    </cfRule>
  </conditionalFormatting>
  <conditionalFormatting sqref="H37:K37">
    <cfRule type="expression" dxfId="543" priority="40">
      <formula>SUMPRODUCT(--(ROW()=$O$12:$O$22))&gt;0</formula>
    </cfRule>
  </conditionalFormatting>
  <conditionalFormatting sqref="G39:K40 H41 J41:K41">
    <cfRule type="expression" dxfId="542" priority="39">
      <formula>SUMPRODUCT(--(ROW()=$O$12:$O$22))&gt;0</formula>
    </cfRule>
  </conditionalFormatting>
  <conditionalFormatting sqref="A45 E45:L45">
    <cfRule type="expression" dxfId="541" priority="38">
      <formula>SUMPRODUCT(--(ROW()=$O$12:$O$22))&gt;0</formula>
    </cfRule>
  </conditionalFormatting>
  <conditionalFormatting sqref="A68 E68:L68">
    <cfRule type="expression" dxfId="540" priority="30">
      <formula>SUMPRODUCT(--(ROW()=$O$12:$O$22))&gt;0</formula>
    </cfRule>
  </conditionalFormatting>
  <conditionalFormatting sqref="G62:K64 H61:K61 G60:K60 H48:K48 H51:K53 G49:K50 H56:K59">
    <cfRule type="expression" dxfId="539" priority="37">
      <formula>SUMPRODUCT(--(ROW()=$O$12:$O$22))&gt;0</formula>
    </cfRule>
  </conditionalFormatting>
  <conditionalFormatting sqref="G51">
    <cfRule type="expression" dxfId="538" priority="31">
      <formula>SUMPRODUCT(--(ROW()=$O$12:$O$22))&gt;0</formula>
    </cfRule>
  </conditionalFormatting>
  <conditionalFormatting sqref="H55:K55">
    <cfRule type="expression" dxfId="537" priority="26">
      <formula>SUMPRODUCT(--(ROW()=$O$12:$O$22))&gt;0</formula>
    </cfRule>
  </conditionalFormatting>
  <conditionalFormatting sqref="G58:G59">
    <cfRule type="expression" dxfId="536" priority="35">
      <formula>SUMPRODUCT(--(ROW()=$O$12:$O$22))&gt;0</formula>
    </cfRule>
  </conditionalFormatting>
  <conditionalFormatting sqref="G55">
    <cfRule type="expression" dxfId="535" priority="25">
      <formula>SUMPRODUCT(--(ROW()=$O$12:$O$22))&gt;0</formula>
    </cfRule>
  </conditionalFormatting>
  <conditionalFormatting sqref="G57">
    <cfRule type="expression" dxfId="534" priority="34">
      <formula>SUMPRODUCT(--(ROW()=$O$12:$O$22))&gt;0</formula>
    </cfRule>
  </conditionalFormatting>
  <conditionalFormatting sqref="G48">
    <cfRule type="expression" dxfId="533" priority="33">
      <formula>SUMPRODUCT(--(ROW()=$O$12:$O$22))&gt;0</formula>
    </cfRule>
  </conditionalFormatting>
  <conditionalFormatting sqref="G56">
    <cfRule type="expression" dxfId="532" priority="32">
      <formula>SUMPRODUCT(--(ROW()=$O$12:$O$22))&gt;0</formula>
    </cfRule>
  </conditionalFormatting>
  <conditionalFormatting sqref="G61">
    <cfRule type="expression" dxfId="531" priority="29">
      <formula>SUMPRODUCT(--(ROW()=$O$12:$O$22))&gt;0</formula>
    </cfRule>
  </conditionalFormatting>
  <conditionalFormatting sqref="H54:K54">
    <cfRule type="expression" dxfId="530" priority="28">
      <formula>SUMPRODUCT(--(ROW()=$O$12:$O$22))&gt;0</formula>
    </cfRule>
  </conditionalFormatting>
  <conditionalFormatting sqref="G54">
    <cfRule type="expression" dxfId="529" priority="27">
      <formula>SUMPRODUCT(--(ROW()=$O$12:$O$22))&gt;0</formula>
    </cfRule>
  </conditionalFormatting>
  <conditionalFormatting sqref="C80:K80">
    <cfRule type="expression" dxfId="528" priority="24">
      <formula>SUMPRODUCT(--(ROW()=$O$12:$O$22))&gt;0</formula>
    </cfRule>
  </conditionalFormatting>
  <conditionalFormatting sqref="E78:K78 E79">
    <cfRule type="expression" dxfId="527" priority="23">
      <formula>SUMPRODUCT(--(ROW()=$O$14:$O$24))&gt;0</formula>
    </cfRule>
  </conditionalFormatting>
  <conditionalFormatting sqref="G87:K87">
    <cfRule type="expression" dxfId="526" priority="22">
      <formula>SUMPRODUCT(--(ROW()=$R$12:$R$23))&gt;0</formula>
    </cfRule>
  </conditionalFormatting>
  <conditionalFormatting sqref="G88:K88">
    <cfRule type="expression" dxfId="525" priority="21">
      <formula>SUMPRODUCT(--(ROW()=$R$12:$R$23))&gt;0</formula>
    </cfRule>
  </conditionalFormatting>
  <conditionalFormatting sqref="G38">
    <cfRule type="expression" dxfId="524" priority="20">
      <formula>SUMPRODUCT(--(ROW()=$O$12:$O$22))&gt;0</formula>
    </cfRule>
  </conditionalFormatting>
  <conditionalFormatting sqref="H38:K38">
    <cfRule type="expression" dxfId="523" priority="19">
      <formula>SUMPRODUCT(--(ROW()=$O$12:$O$22))&gt;0</formula>
    </cfRule>
  </conditionalFormatting>
  <conditionalFormatting sqref="G117:G119">
    <cfRule type="expression" dxfId="522" priority="18">
      <formula>SUMPRODUCT(--(ROW()=$O$14:$O$24))&gt;0</formula>
    </cfRule>
  </conditionalFormatting>
  <conditionalFormatting sqref="E121:F123">
    <cfRule type="expression" dxfId="521" priority="17">
      <formula>SUMPRODUCT(--(ROW()=$O$12:$O$21))&gt;0</formula>
    </cfRule>
  </conditionalFormatting>
  <conditionalFormatting sqref="H122:H123">
    <cfRule type="expression" dxfId="520" priority="16">
      <formula>SUMPRODUCT(--(ROW()=$O$14:$O$24))&gt;0</formula>
    </cfRule>
  </conditionalFormatting>
  <conditionalFormatting sqref="E129:E131">
    <cfRule type="expression" dxfId="519" priority="15">
      <formula>SUMPRODUCT(--(ROW()=$O$12:$O$21))&gt;0</formula>
    </cfRule>
  </conditionalFormatting>
  <conditionalFormatting sqref="G161:K162 G164:K165">
    <cfRule type="expression" dxfId="518" priority="14">
      <formula>SUMPRODUCT(--(ROW()=$O$12:$O$23))&gt;0</formula>
    </cfRule>
  </conditionalFormatting>
  <conditionalFormatting sqref="B161:F162 B163:E163">
    <cfRule type="expression" dxfId="517" priority="13">
      <formula>SUMPRODUCT(--(ROW()=$O$12:$O$22))&gt;0</formula>
    </cfRule>
  </conditionalFormatting>
  <conditionalFormatting sqref="F163">
    <cfRule type="expression" dxfId="516" priority="11">
      <formula>SUMPRODUCT(--(ROW()=$O$12:$O$22))&gt;0</formula>
    </cfRule>
  </conditionalFormatting>
  <conditionalFormatting sqref="G163">
    <cfRule type="expression" dxfId="515" priority="12">
      <formula>SUMPRODUCT(--(ROW()=$O$14:$O$24))&gt;0</formula>
    </cfRule>
  </conditionalFormatting>
  <conditionalFormatting sqref="G249 I249:J249">
    <cfRule type="expression" dxfId="514" priority="3">
      <formula>SUMPRODUCT(--(ROW()=$O$14:$O$24))&gt;0</formula>
    </cfRule>
  </conditionalFormatting>
  <conditionalFormatting sqref="G200">
    <cfRule type="expression" dxfId="513" priority="10">
      <formula>SUMPRODUCT(--(ROW()=$O$14:$O$24))&gt;0</formula>
    </cfRule>
  </conditionalFormatting>
  <conditionalFormatting sqref="G202">
    <cfRule type="expression" dxfId="512" priority="9">
      <formula>SUMPRODUCT(--(ROW()=$O$14:$O$24))&gt;0</formula>
    </cfRule>
  </conditionalFormatting>
  <conditionalFormatting sqref="G205">
    <cfRule type="expression" dxfId="511" priority="8">
      <formula>SUMPRODUCT(--(ROW()=$O$14:$O$24))&gt;0</formula>
    </cfRule>
  </conditionalFormatting>
  <conditionalFormatting sqref="G206 I206">
    <cfRule type="expression" dxfId="510" priority="7">
      <formula>SUMPRODUCT(--(ROW()=$O$14:$O$24))&gt;0</formula>
    </cfRule>
  </conditionalFormatting>
  <conditionalFormatting sqref="G208">
    <cfRule type="expression" dxfId="509" priority="6">
      <formula>SUMPRODUCT(--(ROW()=$O$14:$O$24))&gt;0</formula>
    </cfRule>
  </conditionalFormatting>
  <conditionalFormatting sqref="G209 I209:K209">
    <cfRule type="expression" dxfId="508" priority="5">
      <formula>SUMPRODUCT(--(ROW()=$O$14:$O$24))&gt;0</formula>
    </cfRule>
  </conditionalFormatting>
  <conditionalFormatting sqref="G225:H225">
    <cfRule type="expression" dxfId="507" priority="4">
      <formula>SUMPRODUCT(--(ROW()=$O$12:$O$22))&gt;0</formula>
    </cfRule>
  </conditionalFormatting>
  <conditionalFormatting sqref="A23:A26">
    <cfRule type="expression" dxfId="506" priority="2">
      <formula>SUMPRODUCT(--(ROW()=$O$12:$O$22))&gt;0</formula>
    </cfRule>
  </conditionalFormatting>
  <conditionalFormatting sqref="L272">
    <cfRule type="expression" dxfId="505" priority="1">
      <formula>SUMPRODUCT(--(ROW()=$O$14:$O$24))&gt;0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6-อาคารสนับนุน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0F990-D828-45C2-9823-F3D072891189}">
  <sheetPr>
    <tabColor rgb="FFFF00FF"/>
  </sheetPr>
  <dimension ref="A1:P311"/>
  <sheetViews>
    <sheetView showGridLines="0" tabSelected="1" view="pageBreakPreview" topLeftCell="A262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1489" customWidth="1"/>
    <col min="2" max="3" width="7.29296875" style="952" customWidth="1"/>
    <col min="4" max="4" width="56.703125" style="952" customWidth="1"/>
    <col min="5" max="5" width="14.703125" style="952" customWidth="1"/>
    <col min="6" max="6" width="10.703125" style="952" customWidth="1"/>
    <col min="7" max="7" width="14.703125" style="952" customWidth="1"/>
    <col min="8" max="8" width="18.703125" style="952" customWidth="1"/>
    <col min="9" max="9" width="14.703125" style="952" customWidth="1"/>
    <col min="10" max="10" width="18.703125" style="952" customWidth="1"/>
    <col min="11" max="11" width="20.703125" style="952" customWidth="1"/>
    <col min="12" max="12" width="24.1171875" style="952" customWidth="1"/>
    <col min="13" max="13" width="7.703125" style="1430" customWidth="1"/>
    <col min="14" max="56" width="7.703125" style="952" customWidth="1"/>
    <col min="57" max="16384" width="9" style="952"/>
  </cols>
  <sheetData>
    <row r="1" spans="1:15" ht="35.1" customHeight="1">
      <c r="A1" s="1428"/>
      <c r="B1" s="1428"/>
      <c r="C1" s="46"/>
      <c r="D1" s="46"/>
      <c r="E1" s="46"/>
      <c r="F1" s="1429" t="s">
        <v>0</v>
      </c>
      <c r="G1" s="733"/>
      <c r="H1" s="733"/>
      <c r="I1" s="733"/>
      <c r="J1" s="735" t="s">
        <v>1</v>
      </c>
      <c r="K1" s="736"/>
      <c r="L1" s="733"/>
    </row>
    <row r="2" spans="1:15" ht="25.15" customHeight="1">
      <c r="A2" s="1431" t="s">
        <v>2</v>
      </c>
      <c r="B2" s="1432"/>
      <c r="C2" s="11"/>
      <c r="D2" s="11" t="s">
        <v>1900</v>
      </c>
      <c r="E2" s="11"/>
      <c r="F2" s="737"/>
      <c r="G2" s="737"/>
      <c r="H2" s="737"/>
      <c r="I2" s="737"/>
      <c r="J2" s="737"/>
      <c r="K2" s="737"/>
      <c r="L2" s="1433"/>
    </row>
    <row r="3" spans="1:15" ht="25.15" customHeight="1">
      <c r="A3" s="1434" t="s">
        <v>22</v>
      </c>
      <c r="B3" s="5"/>
      <c r="C3" s="47"/>
      <c r="D3" s="1435"/>
      <c r="E3" s="47"/>
      <c r="F3" s="739"/>
      <c r="G3" s="739"/>
      <c r="H3" s="739"/>
      <c r="I3" s="739"/>
      <c r="J3" s="740"/>
      <c r="K3" s="739"/>
      <c r="L3" s="1436"/>
    </row>
    <row r="4" spans="1:15" ht="25.15" customHeight="1">
      <c r="A4" s="1434"/>
      <c r="B4" s="5"/>
      <c r="C4" s="47"/>
      <c r="D4" s="41" t="s">
        <v>2970</v>
      </c>
      <c r="E4" s="47"/>
      <c r="F4" s="739"/>
      <c r="G4" s="739"/>
      <c r="H4" s="739"/>
      <c r="I4" s="739"/>
      <c r="J4" s="740"/>
      <c r="K4" s="739"/>
      <c r="L4" s="1436"/>
    </row>
    <row r="5" spans="1:15" ht="25.15" customHeight="1">
      <c r="A5" s="1434" t="s">
        <v>3</v>
      </c>
      <c r="B5" s="1432"/>
      <c r="C5" s="11"/>
      <c r="D5" s="1435" t="s">
        <v>21</v>
      </c>
      <c r="E5" s="736"/>
      <c r="F5" s="737"/>
      <c r="G5" s="741" t="s">
        <v>4</v>
      </c>
      <c r="H5" s="742"/>
      <c r="I5" s="739"/>
      <c r="J5" s="740"/>
      <c r="K5" s="743"/>
      <c r="L5" s="1436"/>
    </row>
    <row r="6" spans="1:15" ht="25.15" customHeight="1">
      <c r="A6" s="5" t="s">
        <v>20</v>
      </c>
      <c r="B6" s="5"/>
      <c r="C6" s="47"/>
      <c r="D6" s="49"/>
      <c r="E6" s="47"/>
      <c r="F6" s="739"/>
      <c r="G6" s="744"/>
      <c r="H6" s="739"/>
      <c r="I6" s="739"/>
      <c r="J6" s="739"/>
      <c r="K6" s="739"/>
      <c r="L6" s="743"/>
    </row>
    <row r="7" spans="1:15" ht="25.15" customHeight="1">
      <c r="A7" s="744" t="s">
        <v>26</v>
      </c>
      <c r="B7" s="20"/>
      <c r="C7" s="20"/>
      <c r="D7" s="21"/>
      <c r="E7" s="20"/>
      <c r="F7" s="1437" t="s">
        <v>5</v>
      </c>
      <c r="G7" s="1438"/>
      <c r="H7" s="1438" t="s">
        <v>6</v>
      </c>
      <c r="I7" s="1439"/>
      <c r="J7" s="744" t="s">
        <v>23</v>
      </c>
      <c r="K7" s="20"/>
      <c r="L7" s="2492" t="s">
        <v>7</v>
      </c>
    </row>
    <row r="8" spans="1:15" ht="10.15" customHeight="1">
      <c r="A8" s="4"/>
      <c r="B8" s="1440"/>
      <c r="C8" s="1440"/>
      <c r="D8" s="25"/>
      <c r="E8" s="25"/>
      <c r="F8" s="1441"/>
      <c r="G8" s="1441"/>
      <c r="H8" s="1442"/>
      <c r="I8" s="1442"/>
      <c r="J8" s="1442"/>
      <c r="K8" s="1441"/>
      <c r="L8" s="2511"/>
    </row>
    <row r="9" spans="1:15" s="1444" customFormat="1" ht="24" customHeight="1">
      <c r="A9" s="2494" t="s">
        <v>8</v>
      </c>
      <c r="B9" s="2496" t="s">
        <v>9</v>
      </c>
      <c r="C9" s="2497"/>
      <c r="D9" s="2497"/>
      <c r="E9" s="2500" t="s">
        <v>10</v>
      </c>
      <c r="F9" s="2502" t="s">
        <v>11</v>
      </c>
      <c r="G9" s="2504" t="s">
        <v>12</v>
      </c>
      <c r="H9" s="2505"/>
      <c r="I9" s="2506" t="s">
        <v>13</v>
      </c>
      <c r="J9" s="2474"/>
      <c r="K9" s="2263" t="s">
        <v>14</v>
      </c>
      <c r="L9" s="2507" t="s">
        <v>15</v>
      </c>
      <c r="M9" s="1443"/>
    </row>
    <row r="10" spans="1:15" s="1444" customFormat="1" ht="24" customHeight="1">
      <c r="A10" s="2495"/>
      <c r="B10" s="2498"/>
      <c r="C10" s="2499"/>
      <c r="D10" s="2499"/>
      <c r="E10" s="2501"/>
      <c r="F10" s="2503"/>
      <c r="G10" s="1445" t="s">
        <v>16</v>
      </c>
      <c r="H10" s="2262" t="s">
        <v>17</v>
      </c>
      <c r="I10" s="1446" t="s">
        <v>16</v>
      </c>
      <c r="J10" s="2262" t="s">
        <v>17</v>
      </c>
      <c r="K10" s="1447" t="s">
        <v>18</v>
      </c>
      <c r="L10" s="2508"/>
      <c r="M10" s="1443"/>
    </row>
    <row r="11" spans="1:15" ht="24" customHeight="1">
      <c r="A11" s="1143" t="s">
        <v>244</v>
      </c>
      <c r="B11" s="1144" t="s">
        <v>2505</v>
      </c>
      <c r="C11" s="1448"/>
      <c r="D11" s="1449"/>
      <c r="E11" s="1450"/>
      <c r="F11" s="1451"/>
      <c r="G11" s="1529"/>
      <c r="H11" s="746"/>
      <c r="I11" s="1454"/>
      <c r="J11" s="1455"/>
      <c r="K11" s="1456"/>
      <c r="L11" s="1456"/>
    </row>
    <row r="12" spans="1:15" s="886" customFormat="1" ht="24" customHeight="1">
      <c r="A12" s="1330" t="str">
        <f>A35</f>
        <v>7.1</v>
      </c>
      <c r="B12" s="1331" t="str">
        <f>B35</f>
        <v>เครื่องส่งลมเย็นแบบ Pre-Cooled Outdoor Air unit</v>
      </c>
      <c r="C12" s="1282"/>
      <c r="D12" s="1457"/>
      <c r="E12" s="1458">
        <v>1</v>
      </c>
      <c r="F12" s="1459" t="s">
        <v>19</v>
      </c>
      <c r="G12" s="1530"/>
      <c r="H12" s="751">
        <f>H44</f>
        <v>545700</v>
      </c>
      <c r="I12" s="1392"/>
      <c r="J12" s="1393">
        <f>J44</f>
        <v>8583</v>
      </c>
      <c r="K12" s="1022">
        <f>SUM(H12:J12)</f>
        <v>554283</v>
      </c>
      <c r="L12" s="885"/>
      <c r="M12" s="1342"/>
      <c r="N12" s="886" t="str">
        <f>"รวมราคารายการที่ "&amp;A12</f>
        <v>รวมราคารายการที่ 7.1</v>
      </c>
      <c r="O12" s="1461">
        <f t="array" ref="O12">MAX(IF($B$36:$B$714=N12,ROW($B$36:$B$714)))</f>
        <v>44</v>
      </c>
    </row>
    <row r="13" spans="1:15" s="886" customFormat="1" ht="24" customHeight="1">
      <c r="A13" s="1330" t="str">
        <f>A45</f>
        <v>7.2</v>
      </c>
      <c r="B13" s="1331" t="str">
        <f>B45</f>
        <v>เครื่องส่งลมเย็นขนาดใหญ่ (Air Handling Unit)</v>
      </c>
      <c r="C13" s="1463"/>
      <c r="D13" s="1464"/>
      <c r="E13" s="1458">
        <v>1</v>
      </c>
      <c r="F13" s="1465" t="s">
        <v>19</v>
      </c>
      <c r="G13" s="1531"/>
      <c r="H13" s="751">
        <f>H59</f>
        <v>395200</v>
      </c>
      <c r="I13" s="1398"/>
      <c r="J13" s="1393">
        <f>J59</f>
        <v>43000</v>
      </c>
      <c r="K13" s="1022">
        <f t="shared" ref="K13:K24" si="0">SUM(H13:J13)</f>
        <v>438200</v>
      </c>
      <c r="L13" s="1507"/>
      <c r="M13" s="1342"/>
      <c r="N13" s="886" t="str">
        <f t="shared" ref="N13:N23" si="1">"รวมราคารายการที่ "&amp;A13</f>
        <v>รวมราคารายการที่ 7.2</v>
      </c>
      <c r="O13" s="1461">
        <f t="array" ref="O13">MAX(IF($B$36:$B$714=N13,ROW($B$36:$B$714)))</f>
        <v>59</v>
      </c>
    </row>
    <row r="14" spans="1:15" s="886" customFormat="1" ht="24" customHeight="1">
      <c r="A14" s="1330" t="str">
        <f>A60</f>
        <v>7.3</v>
      </c>
      <c r="B14" s="1331" t="str">
        <f>B60</f>
        <v>เครื่องส่งลมเย็นขนาดเล็ก (Fan Coil Unit)</v>
      </c>
      <c r="C14" s="1282"/>
      <c r="D14" s="1457"/>
      <c r="E14" s="1458">
        <v>1</v>
      </c>
      <c r="F14" s="1459" t="s">
        <v>19</v>
      </c>
      <c r="G14" s="1530"/>
      <c r="H14" s="751">
        <f>H74</f>
        <v>82200</v>
      </c>
      <c r="I14" s="1392"/>
      <c r="J14" s="1393">
        <f>J74</f>
        <v>9180</v>
      </c>
      <c r="K14" s="1022">
        <f t="shared" si="0"/>
        <v>91380</v>
      </c>
      <c r="L14" s="885"/>
      <c r="M14" s="1342"/>
      <c r="N14" s="886" t="str">
        <f t="shared" si="1"/>
        <v>รวมราคารายการที่ 7.3</v>
      </c>
      <c r="O14" s="1461">
        <f t="array" ref="O14">MAX(IF($B$36:$B$714=N14,ROW($B$36:$B$714)))</f>
        <v>74</v>
      </c>
    </row>
    <row r="15" spans="1:15" s="886" customFormat="1" ht="24" customHeight="1">
      <c r="A15" s="1330" t="str">
        <f>A75</f>
        <v>7.4</v>
      </c>
      <c r="B15" s="1331" t="str">
        <f>B75</f>
        <v>อุปกรณ์ควบคุมอัตโนมัติ (Automatic Control Equipment)</v>
      </c>
      <c r="C15" s="1282"/>
      <c r="D15" s="1457"/>
      <c r="E15" s="1458">
        <v>1</v>
      </c>
      <c r="F15" s="1459" t="s">
        <v>19</v>
      </c>
      <c r="G15" s="1530"/>
      <c r="H15" s="751">
        <f>H84</f>
        <v>49962</v>
      </c>
      <c r="I15" s="1392"/>
      <c r="J15" s="1393">
        <f>J84</f>
        <v>1650</v>
      </c>
      <c r="K15" s="1022">
        <f t="shared" si="0"/>
        <v>51612</v>
      </c>
      <c r="L15" s="885"/>
      <c r="M15" s="1342"/>
      <c r="N15" s="886" t="str">
        <f t="shared" si="1"/>
        <v>รวมราคารายการที่ 7.4</v>
      </c>
      <c r="O15" s="1461">
        <f t="array" ref="O15">MAX(IF($B$36:$B$714=N15,ROW($B$36:$B$714)))</f>
        <v>84</v>
      </c>
    </row>
    <row r="16" spans="1:15" s="886" customFormat="1" ht="24" customHeight="1">
      <c r="A16" s="1330" t="str">
        <f>A85</f>
        <v>7.5</v>
      </c>
      <c r="B16" s="1331" t="str">
        <f>B85</f>
        <v>พัดลมระบายอากาศ (Ventilating Fan)</v>
      </c>
      <c r="C16" s="1282"/>
      <c r="D16" s="1457"/>
      <c r="E16" s="1458">
        <v>1</v>
      </c>
      <c r="F16" s="1459" t="s">
        <v>19</v>
      </c>
      <c r="G16" s="1530"/>
      <c r="H16" s="751">
        <f>H102</f>
        <v>100460</v>
      </c>
      <c r="I16" s="1392"/>
      <c r="J16" s="1393">
        <f>J102</f>
        <v>8690</v>
      </c>
      <c r="K16" s="1022">
        <f t="shared" si="0"/>
        <v>109150</v>
      </c>
      <c r="L16" s="885"/>
      <c r="M16" s="1342"/>
      <c r="N16" s="886" t="str">
        <f t="shared" si="1"/>
        <v>รวมราคารายการที่ 7.5</v>
      </c>
      <c r="O16" s="1461">
        <f t="array" ref="O16">MAX(IF($B$36:$B$714=N16,ROW($B$36:$B$714)))</f>
        <v>102</v>
      </c>
    </row>
    <row r="17" spans="1:15" s="886" customFormat="1" ht="24" customHeight="1">
      <c r="A17" s="1330" t="str">
        <f>A103</f>
        <v>7.6</v>
      </c>
      <c r="B17" s="1331" t="str">
        <f>B103</f>
        <v>ระบบกรองอากาศ (Air Filtration System)</v>
      </c>
      <c r="C17" s="1282"/>
      <c r="D17" s="1457"/>
      <c r="E17" s="1458">
        <v>1</v>
      </c>
      <c r="F17" s="1459" t="s">
        <v>19</v>
      </c>
      <c r="G17" s="1530"/>
      <c r="H17" s="751">
        <f>H109</f>
        <v>10200</v>
      </c>
      <c r="I17" s="1392"/>
      <c r="J17" s="1393">
        <f>J109</f>
        <v>1050</v>
      </c>
      <c r="K17" s="1022">
        <f t="shared" si="0"/>
        <v>11250</v>
      </c>
      <c r="L17" s="885"/>
      <c r="M17" s="1342"/>
      <c r="N17" s="886" t="str">
        <f t="shared" si="1"/>
        <v>รวมราคารายการที่ 7.6</v>
      </c>
      <c r="O17" s="1461">
        <f t="array" ref="O17">MAX(IF($B$36:$B$714=N17,ROW($B$36:$B$714)))</f>
        <v>109</v>
      </c>
    </row>
    <row r="18" spans="1:15" s="886" customFormat="1" ht="24" customHeight="1">
      <c r="A18" s="1330" t="str">
        <f>A110</f>
        <v>7.7</v>
      </c>
      <c r="B18" s="1331" t="str">
        <f>B110</f>
        <v>งานท่อ (Piping Work)</v>
      </c>
      <c r="C18" s="1469"/>
      <c r="D18" s="1470"/>
      <c r="E18" s="1458">
        <v>1</v>
      </c>
      <c r="F18" s="1459" t="s">
        <v>19</v>
      </c>
      <c r="G18" s="1532"/>
      <c r="H18" s="751">
        <f>H134</f>
        <v>74551</v>
      </c>
      <c r="I18" s="1400"/>
      <c r="J18" s="1393">
        <f>J134</f>
        <v>31141</v>
      </c>
      <c r="K18" s="1022">
        <f t="shared" si="0"/>
        <v>105692</v>
      </c>
      <c r="L18" s="1473"/>
      <c r="M18" s="1342"/>
      <c r="N18" s="886" t="str">
        <f t="shared" si="1"/>
        <v>รวมราคารายการที่ 7.7</v>
      </c>
      <c r="O18" s="1461">
        <f t="array" ref="O18">MAX(IF($B$36:$B$714=N18,ROW($B$36:$B$714)))</f>
        <v>134</v>
      </c>
    </row>
    <row r="19" spans="1:15" s="886" customFormat="1" ht="24" customHeight="1">
      <c r="A19" s="1526" t="str">
        <f>A135</f>
        <v>7.8</v>
      </c>
      <c r="B19" s="1331" t="str">
        <f>B135</f>
        <v>ฉนวนหุ้มท่อ (Pipe Insulation)</v>
      </c>
      <c r="C19" s="1282"/>
      <c r="D19" s="1457"/>
      <c r="E19" s="1458">
        <v>1</v>
      </c>
      <c r="F19" s="1459" t="s">
        <v>19</v>
      </c>
      <c r="G19" s="1530"/>
      <c r="H19" s="751">
        <f>H152</f>
        <v>28509</v>
      </c>
      <c r="I19" s="1392"/>
      <c r="J19" s="1393">
        <f>J152</f>
        <v>7385</v>
      </c>
      <c r="K19" s="1022">
        <f t="shared" si="0"/>
        <v>35894</v>
      </c>
      <c r="L19" s="885"/>
      <c r="M19" s="1342"/>
      <c r="N19" s="886" t="str">
        <f t="shared" si="1"/>
        <v>รวมราคารายการที่ 7.8</v>
      </c>
      <c r="O19" s="1461">
        <f t="array" ref="O19">MAX(IF($B$36:$B$714=N19,ROW($B$36:$B$714)))</f>
        <v>152</v>
      </c>
    </row>
    <row r="20" spans="1:15" s="886" customFormat="1" ht="24" customHeight="1">
      <c r="A20" s="1330" t="str">
        <f>A153</f>
        <v>7.9</v>
      </c>
      <c r="B20" s="1331" t="str">
        <f>B153</f>
        <v>วาล์วและอุปกรณ์ประกอบ  (Valve &amp; Pipe Accessories)</v>
      </c>
      <c r="C20" s="1282"/>
      <c r="D20" s="1457"/>
      <c r="E20" s="1458">
        <v>1</v>
      </c>
      <c r="F20" s="1459" t="s">
        <v>19</v>
      </c>
      <c r="G20" s="1530"/>
      <c r="H20" s="751">
        <f>H175</f>
        <v>36816</v>
      </c>
      <c r="I20" s="1392"/>
      <c r="J20" s="1393">
        <f>J175</f>
        <v>5550</v>
      </c>
      <c r="K20" s="1022">
        <f t="shared" si="0"/>
        <v>42366</v>
      </c>
      <c r="L20" s="885"/>
      <c r="M20" s="1342"/>
      <c r="N20" s="886" t="str">
        <f t="shared" si="1"/>
        <v>รวมราคารายการที่ 7.9</v>
      </c>
      <c r="O20" s="1461">
        <f t="array" ref="O20">MAX(IF($B$36:$B$714=N20,ROW($B$36:$B$714)))</f>
        <v>175</v>
      </c>
    </row>
    <row r="21" spans="1:15" s="886" customFormat="1" ht="24" customHeight="1">
      <c r="A21" s="1330" t="str">
        <f>A176</f>
        <v>7.10</v>
      </c>
      <c r="B21" s="1331" t="str">
        <f>B176</f>
        <v>ระบบท่อลม (Duct Work)</v>
      </c>
      <c r="C21" s="1282"/>
      <c r="D21" s="1457"/>
      <c r="E21" s="1458">
        <v>1</v>
      </c>
      <c r="F21" s="1459" t="s">
        <v>19</v>
      </c>
      <c r="G21" s="1530"/>
      <c r="H21" s="751">
        <f>H189</f>
        <v>450156</v>
      </c>
      <c r="I21" s="1392"/>
      <c r="J21" s="1393">
        <f>J189</f>
        <v>303802</v>
      </c>
      <c r="K21" s="1022">
        <f t="shared" si="0"/>
        <v>753958</v>
      </c>
      <c r="L21" s="885"/>
      <c r="M21" s="1342"/>
      <c r="N21" s="886" t="str">
        <f t="shared" si="1"/>
        <v>รวมราคารายการที่ 7.10</v>
      </c>
      <c r="O21" s="1461">
        <f t="array" ref="O21">MAX(IF($B$36:$B$714=N21,ROW($B$36:$B$714)))</f>
        <v>189</v>
      </c>
    </row>
    <row r="22" spans="1:15" s="886" customFormat="1" ht="24" customHeight="1">
      <c r="A22" s="1330" t="str">
        <f>A190</f>
        <v>7.11</v>
      </c>
      <c r="B22" s="1331" t="str">
        <f>B190</f>
        <v>ฉนวนหุ้มท่อลม (Duct Insulation)</v>
      </c>
      <c r="C22" s="1282"/>
      <c r="D22" s="1457"/>
      <c r="E22" s="1458">
        <v>1</v>
      </c>
      <c r="F22" s="1459" t="s">
        <v>19</v>
      </c>
      <c r="G22" s="1530"/>
      <c r="H22" s="751">
        <f>H200</f>
        <v>159800</v>
      </c>
      <c r="I22" s="1392"/>
      <c r="J22" s="1393">
        <f>J200</f>
        <v>51000</v>
      </c>
      <c r="K22" s="1022">
        <f t="shared" si="0"/>
        <v>210800</v>
      </c>
      <c r="L22" s="885"/>
      <c r="M22" s="1342"/>
      <c r="N22" s="886" t="str">
        <f t="shared" si="1"/>
        <v>รวมราคารายการที่ 7.11</v>
      </c>
      <c r="O22" s="1461">
        <f t="array" ref="O22">MAX(IF($B$36:$B$714=N22,ROW($B$36:$B$714)))</f>
        <v>200</v>
      </c>
    </row>
    <row r="23" spans="1:15" s="886" customFormat="1" ht="24" customHeight="1">
      <c r="A23" s="1330" t="str">
        <f>A201</f>
        <v>7.12</v>
      </c>
      <c r="B23" s="1331" t="str">
        <f>B201</f>
        <v>หน้ากากลม (Air Diffuser, Grille &amp; Register)</v>
      </c>
      <c r="C23" s="1282"/>
      <c r="D23" s="1457"/>
      <c r="E23" s="1458">
        <v>1</v>
      </c>
      <c r="F23" s="1459" t="s">
        <v>19</v>
      </c>
      <c r="G23" s="1530"/>
      <c r="H23" s="751">
        <f>H249</f>
        <v>203150</v>
      </c>
      <c r="I23" s="1392"/>
      <c r="J23" s="1393">
        <f>J249</f>
        <v>26875</v>
      </c>
      <c r="K23" s="1022">
        <f t="shared" si="0"/>
        <v>230025</v>
      </c>
      <c r="L23" s="885"/>
      <c r="M23" s="1342"/>
      <c r="N23" s="886" t="str">
        <f t="shared" si="1"/>
        <v>รวมราคารายการที่ 7.12</v>
      </c>
      <c r="O23" s="1461">
        <f t="array" ref="O23">MAX(IF($B$36:$B$714=N23,ROW($B$36:$B$714)))</f>
        <v>249</v>
      </c>
    </row>
    <row r="24" spans="1:15" s="886" customFormat="1" ht="24" customHeight="1">
      <c r="A24" s="1330" t="str">
        <f>A250</f>
        <v>7.13</v>
      </c>
      <c r="B24" s="1331" t="str">
        <f>B250</f>
        <v>ระบบไฟฟ้าและควบคุม (Electrical &amp; Control System)</v>
      </c>
      <c r="C24" s="1282"/>
      <c r="D24" s="1457"/>
      <c r="E24" s="1458">
        <v>1</v>
      </c>
      <c r="F24" s="1459" t="s">
        <v>19</v>
      </c>
      <c r="G24" s="1530"/>
      <c r="H24" s="751">
        <f>H277</f>
        <v>107907</v>
      </c>
      <c r="I24" s="1392"/>
      <c r="J24" s="1393">
        <f>J277</f>
        <v>14060</v>
      </c>
      <c r="K24" s="1022">
        <f t="shared" si="0"/>
        <v>121967</v>
      </c>
      <c r="L24" s="885"/>
      <c r="M24" s="1342"/>
    </row>
    <row r="25" spans="1:15" s="886" customFormat="1" ht="24" customHeight="1">
      <c r="A25" s="1330"/>
      <c r="B25" s="1331"/>
      <c r="C25" s="1282"/>
      <c r="D25" s="1457"/>
      <c r="E25" s="1458"/>
      <c r="F25" s="1459"/>
      <c r="G25" s="1530"/>
      <c r="H25" s="751"/>
      <c r="I25" s="1392"/>
      <c r="J25" s="1393"/>
      <c r="K25" s="1022"/>
      <c r="L25" s="885"/>
      <c r="M25" s="1342"/>
    </row>
    <row r="26" spans="1:15" s="886" customFormat="1" ht="24" customHeight="1">
      <c r="A26" s="1474"/>
      <c r="B26" s="1331"/>
      <c r="C26" s="1282"/>
      <c r="D26" s="1457"/>
      <c r="E26" s="1458"/>
      <c r="F26" s="1459"/>
      <c r="G26" s="1530"/>
      <c r="H26" s="751"/>
      <c r="I26" s="1392"/>
      <c r="J26" s="1393"/>
      <c r="K26" s="1022"/>
      <c r="L26" s="885"/>
      <c r="M26" s="1342"/>
    </row>
    <row r="27" spans="1:15" s="886" customFormat="1" ht="24" customHeight="1">
      <c r="A27" s="1474"/>
      <c r="B27" s="1331"/>
      <c r="C27" s="1282"/>
      <c r="D27" s="1457"/>
      <c r="E27" s="1458"/>
      <c r="F27" s="1459"/>
      <c r="G27" s="1530"/>
      <c r="H27" s="751"/>
      <c r="I27" s="1392"/>
      <c r="J27" s="1393"/>
      <c r="K27" s="1022"/>
      <c r="L27" s="885"/>
      <c r="M27" s="1342"/>
    </row>
    <row r="28" spans="1:15" s="886" customFormat="1" ht="24" customHeight="1">
      <c r="A28" s="1474"/>
      <c r="B28" s="1331"/>
      <c r="C28" s="1282"/>
      <c r="D28" s="1457"/>
      <c r="E28" s="1458"/>
      <c r="F28" s="1459"/>
      <c r="G28" s="1530"/>
      <c r="H28" s="751"/>
      <c r="I28" s="1392"/>
      <c r="J28" s="1393"/>
      <c r="K28" s="1022"/>
      <c r="L28" s="885"/>
      <c r="M28" s="1342"/>
    </row>
    <row r="29" spans="1:15" s="886" customFormat="1" ht="24" customHeight="1">
      <c r="A29" s="1474"/>
      <c r="B29" s="1331"/>
      <c r="C29" s="1282"/>
      <c r="D29" s="1457"/>
      <c r="E29" s="1458"/>
      <c r="F29" s="1459"/>
      <c r="G29" s="1530"/>
      <c r="H29" s="751"/>
      <c r="I29" s="1392"/>
      <c r="J29" s="1393"/>
      <c r="K29" s="1022"/>
      <c r="L29" s="885"/>
      <c r="M29" s="1342"/>
    </row>
    <row r="30" spans="1:15" s="886" customFormat="1" ht="24" customHeight="1">
      <c r="A30" s="1474"/>
      <c r="B30" s="1331"/>
      <c r="C30" s="1282"/>
      <c r="D30" s="1457"/>
      <c r="E30" s="1458"/>
      <c r="F30" s="1459"/>
      <c r="G30" s="1530"/>
      <c r="H30" s="751"/>
      <c r="I30" s="1392"/>
      <c r="J30" s="1393"/>
      <c r="K30" s="1022"/>
      <c r="L30" s="885"/>
      <c r="M30" s="1342"/>
    </row>
    <row r="31" spans="1:15" s="886" customFormat="1" ht="24" customHeight="1">
      <c r="A31" s="1474"/>
      <c r="B31" s="1331"/>
      <c r="C31" s="1282"/>
      <c r="D31" s="1457"/>
      <c r="E31" s="1458"/>
      <c r="F31" s="1459"/>
      <c r="G31" s="1530"/>
      <c r="H31" s="751"/>
      <c r="I31" s="1392"/>
      <c r="J31" s="1393"/>
      <c r="K31" s="1022"/>
      <c r="L31" s="885"/>
      <c r="M31" s="1342"/>
    </row>
    <row r="32" spans="1:15" s="886" customFormat="1" ht="24" customHeight="1">
      <c r="A32" s="1474"/>
      <c r="B32" s="1331"/>
      <c r="C32" s="1282"/>
      <c r="D32" s="1457"/>
      <c r="E32" s="1458"/>
      <c r="F32" s="1459"/>
      <c r="G32" s="1530"/>
      <c r="H32" s="751"/>
      <c r="I32" s="1392"/>
      <c r="J32" s="1393"/>
      <c r="K32" s="1022"/>
      <c r="L32" s="885"/>
      <c r="M32" s="1342"/>
    </row>
    <row r="33" spans="1:16" s="886" customFormat="1" ht="24" customHeight="1">
      <c r="A33" s="1474"/>
      <c r="B33" s="1331"/>
      <c r="C33" s="1282"/>
      <c r="D33" s="1457"/>
      <c r="E33" s="1458"/>
      <c r="F33" s="1459"/>
      <c r="G33" s="1530"/>
      <c r="H33" s="751"/>
      <c r="I33" s="1392"/>
      <c r="J33" s="1393"/>
      <c r="K33" s="1022"/>
      <c r="L33" s="885"/>
      <c r="M33" s="1342"/>
    </row>
    <row r="34" spans="1:16" s="714" customFormat="1" ht="30" customHeight="1">
      <c r="A34" s="1166"/>
      <c r="B34" s="2475" t="s">
        <v>2506</v>
      </c>
      <c r="C34" s="2476"/>
      <c r="D34" s="2476"/>
      <c r="E34" s="1167"/>
      <c r="F34" s="1381"/>
      <c r="G34" s="1168"/>
      <c r="H34" s="1169">
        <f>SUM(H11:H33)</f>
        <v>2244611</v>
      </c>
      <c r="I34" s="1170"/>
      <c r="J34" s="1382">
        <f>SUM(J11:J33)</f>
        <v>511966</v>
      </c>
      <c r="K34" s="1171">
        <f>SUM(K11:K33)</f>
        <v>2756577</v>
      </c>
      <c r="L34" s="1171"/>
      <c r="M34" s="1322"/>
      <c r="P34" s="729"/>
    </row>
    <row r="35" spans="1:16" s="1329" customFormat="1" ht="24" customHeight="1">
      <c r="A35" s="1383" t="s">
        <v>1987</v>
      </c>
      <c r="B35" s="1518" t="s">
        <v>2129</v>
      </c>
      <c r="C35" s="1347"/>
      <c r="D35" s="901"/>
      <c r="E35" s="1019"/>
      <c r="F35" s="1310"/>
      <c r="G35" s="1400"/>
      <c r="H35" s="773"/>
      <c r="I35" s="1400"/>
      <c r="J35" s="1401"/>
      <c r="K35" s="1019"/>
      <c r="L35" s="1019"/>
      <c r="M35" s="1328"/>
    </row>
    <row r="36" spans="1:16" s="1329" customFormat="1" ht="24" customHeight="1">
      <c r="A36" s="1330" t="s">
        <v>1904</v>
      </c>
      <c r="B36" s="1331" t="s">
        <v>2130</v>
      </c>
      <c r="C36" s="801"/>
      <c r="D36" s="801"/>
      <c r="E36" s="1019"/>
      <c r="F36" s="1310"/>
      <c r="G36" s="1400"/>
      <c r="H36" s="864"/>
      <c r="I36" s="1400"/>
      <c r="J36" s="1395"/>
      <c r="K36" s="966"/>
      <c r="L36" s="1019"/>
      <c r="M36" s="1328"/>
    </row>
    <row r="37" spans="1:16" s="1329" customFormat="1" ht="24" customHeight="1">
      <c r="A37" s="1330"/>
      <c r="B37" s="1331" t="s">
        <v>2507</v>
      </c>
      <c r="C37" s="801"/>
      <c r="D37" s="801"/>
      <c r="E37" s="1019">
        <v>1</v>
      </c>
      <c r="F37" s="1310" t="s">
        <v>240</v>
      </c>
      <c r="G37" s="1392">
        <v>530300</v>
      </c>
      <c r="H37" s="1175">
        <f>E37*G37</f>
        <v>530300</v>
      </c>
      <c r="I37" s="1492">
        <f>G37*0.01</f>
        <v>5303</v>
      </c>
      <c r="J37" s="1493">
        <f>I37*E37</f>
        <v>5303</v>
      </c>
      <c r="K37" s="825">
        <f>H37+J37</f>
        <v>535603</v>
      </c>
      <c r="L37" s="1019"/>
      <c r="M37" s="1328"/>
    </row>
    <row r="38" spans="1:16" s="1329" customFormat="1" ht="24" customHeight="1">
      <c r="A38" s="1330" t="s">
        <v>1906</v>
      </c>
      <c r="B38" s="1331" t="s">
        <v>2132</v>
      </c>
      <c r="C38" s="801"/>
      <c r="D38" s="801"/>
      <c r="E38" s="1019">
        <v>1</v>
      </c>
      <c r="F38" s="1310" t="s">
        <v>240</v>
      </c>
      <c r="G38" s="1392">
        <v>1800</v>
      </c>
      <c r="H38" s="864">
        <f>ROUND(E38*G38,)</f>
        <v>1800</v>
      </c>
      <c r="I38" s="1396" t="s">
        <v>974</v>
      </c>
      <c r="J38" s="1395"/>
      <c r="K38" s="966">
        <f>H38+J38</f>
        <v>1800</v>
      </c>
      <c r="L38" s="1019"/>
      <c r="M38" s="1328"/>
    </row>
    <row r="39" spans="1:16" s="1329" customFormat="1" ht="24" customHeight="1">
      <c r="A39" s="1330" t="s">
        <v>1995</v>
      </c>
      <c r="B39" s="1331" t="s">
        <v>1996</v>
      </c>
      <c r="C39" s="801"/>
      <c r="D39" s="801"/>
      <c r="E39" s="1019">
        <v>4</v>
      </c>
      <c r="F39" s="1310" t="s">
        <v>240</v>
      </c>
      <c r="G39" s="1392">
        <v>2400</v>
      </c>
      <c r="H39" s="864">
        <f>ROUND(E39*G39,)</f>
        <v>9600</v>
      </c>
      <c r="I39" s="1392">
        <f>G39*0.3</f>
        <v>720</v>
      </c>
      <c r="J39" s="1395">
        <f>ROUND(E39*I39,)</f>
        <v>2880</v>
      </c>
      <c r="K39" s="966">
        <f>H39+J39</f>
        <v>12480</v>
      </c>
      <c r="L39" s="1019"/>
      <c r="M39" s="1328"/>
    </row>
    <row r="40" spans="1:16" s="1329" customFormat="1" ht="24" customHeight="1">
      <c r="A40" s="1330" t="s">
        <v>2133</v>
      </c>
      <c r="B40" s="1331" t="s">
        <v>2134</v>
      </c>
      <c r="C40" s="801"/>
      <c r="D40" s="801"/>
      <c r="E40" s="1019">
        <v>1</v>
      </c>
      <c r="F40" s="1310" t="s">
        <v>240</v>
      </c>
      <c r="G40" s="1400">
        <v>4000</v>
      </c>
      <c r="H40" s="864">
        <f>ROUND(E40*G40,)</f>
        <v>4000</v>
      </c>
      <c r="I40" s="1400">
        <v>400</v>
      </c>
      <c r="J40" s="1395">
        <f>ROUND(E40*I40,)</f>
        <v>400</v>
      </c>
      <c r="K40" s="966">
        <f>H40+J40</f>
        <v>4400</v>
      </c>
      <c r="L40" s="1019"/>
      <c r="M40" s="1328"/>
    </row>
    <row r="41" spans="1:16" s="1329" customFormat="1" ht="24" customHeight="1">
      <c r="A41" s="1330"/>
      <c r="B41" s="1331" t="s">
        <v>957</v>
      </c>
      <c r="C41" s="801"/>
      <c r="D41" s="801"/>
      <c r="E41" s="1019"/>
      <c r="F41" s="1310"/>
      <c r="G41" s="1400"/>
      <c r="H41" s="864"/>
      <c r="I41" s="1400"/>
      <c r="J41" s="1395"/>
      <c r="K41" s="966"/>
      <c r="L41" s="1019"/>
      <c r="M41" s="1328"/>
    </row>
    <row r="42" spans="1:16" s="1329" customFormat="1" ht="24" customHeight="1">
      <c r="A42" s="1330"/>
      <c r="B42" s="1331"/>
      <c r="C42" s="801"/>
      <c r="D42" s="801"/>
      <c r="E42" s="1019"/>
      <c r="F42" s="1310"/>
      <c r="G42" s="1400"/>
      <c r="H42" s="864"/>
      <c r="I42" s="1400"/>
      <c r="J42" s="1395"/>
      <c r="K42" s="966"/>
      <c r="L42" s="1019"/>
      <c r="M42" s="1328"/>
    </row>
    <row r="43" spans="1:16" s="1329" customFormat="1" ht="24" customHeight="1">
      <c r="A43" s="1330"/>
      <c r="B43" s="1331"/>
      <c r="C43" s="801"/>
      <c r="D43" s="801"/>
      <c r="E43" s="1019"/>
      <c r="F43" s="1310"/>
      <c r="G43" s="1400"/>
      <c r="H43" s="864"/>
      <c r="I43" s="1400"/>
      <c r="J43" s="1395"/>
      <c r="K43" s="966"/>
      <c r="L43" s="1019"/>
      <c r="M43" s="1328"/>
    </row>
    <row r="44" spans="1:16" s="1329" customFormat="1" ht="24" customHeight="1">
      <c r="A44" s="1166"/>
      <c r="B44" s="2475" t="str">
        <f>"รวมราคารายการที่ "&amp;A35</f>
        <v>รวมราคารายการที่ 7.1</v>
      </c>
      <c r="C44" s="2476"/>
      <c r="D44" s="2476"/>
      <c r="E44" s="1167"/>
      <c r="F44" s="1381"/>
      <c r="G44" s="1168"/>
      <c r="H44" s="1169">
        <f>SUM(H35:H43)</f>
        <v>545700</v>
      </c>
      <c r="I44" s="1170"/>
      <c r="J44" s="1382">
        <f>SUM(J35:J43)</f>
        <v>8583</v>
      </c>
      <c r="K44" s="1171">
        <f>SUM(K35:K43)</f>
        <v>554283</v>
      </c>
      <c r="L44" s="1171"/>
      <c r="M44" s="1328"/>
    </row>
    <row r="45" spans="1:16" s="1329" customFormat="1" ht="24" customHeight="1">
      <c r="A45" s="1355" t="s">
        <v>1997</v>
      </c>
      <c r="B45" s="1518" t="s">
        <v>2135</v>
      </c>
      <c r="C45" s="801"/>
      <c r="D45" s="801"/>
      <c r="E45" s="1019"/>
      <c r="F45" s="1310"/>
      <c r="G45" s="1400"/>
      <c r="H45" s="864"/>
      <c r="I45" s="1400"/>
      <c r="J45" s="1395"/>
      <c r="K45" s="966"/>
      <c r="L45" s="1019"/>
      <c r="M45" s="1328"/>
    </row>
    <row r="46" spans="1:16" s="1329" customFormat="1" ht="24" customHeight="1">
      <c r="A46" s="1330" t="s">
        <v>1910</v>
      </c>
      <c r="B46" s="1331" t="s">
        <v>2130</v>
      </c>
      <c r="C46" s="801"/>
      <c r="D46" s="801"/>
      <c r="E46" s="1019"/>
      <c r="F46" s="1310"/>
      <c r="G46" s="1400"/>
      <c r="H46" s="864"/>
      <c r="I46" s="1400"/>
      <c r="J46" s="1395"/>
      <c r="K46" s="966"/>
      <c r="L46" s="1019"/>
      <c r="M46" s="1328"/>
    </row>
    <row r="47" spans="1:16" s="1329" customFormat="1" ht="24" customHeight="1">
      <c r="A47" s="1330"/>
      <c r="B47" s="1331" t="s">
        <v>2508</v>
      </c>
      <c r="C47" s="801"/>
      <c r="D47" s="801"/>
      <c r="E47" s="1019">
        <v>1</v>
      </c>
      <c r="F47" s="1310" t="s">
        <v>240</v>
      </c>
      <c r="G47" s="1394">
        <v>215000</v>
      </c>
      <c r="H47" s="864">
        <f t="shared" ref="H47:H48" si="2">ROUND(E47*G47,)</f>
        <v>215000</v>
      </c>
      <c r="I47" s="1392">
        <f t="shared" ref="I47:I48" si="3">G47*0.1</f>
        <v>21500</v>
      </c>
      <c r="J47" s="1395">
        <f>ROUND(E47*I47,)</f>
        <v>21500</v>
      </c>
      <c r="K47" s="966">
        <f>H47+J47</f>
        <v>236500</v>
      </c>
      <c r="L47" s="1019" t="s">
        <v>68</v>
      </c>
      <c r="M47" s="1328"/>
    </row>
    <row r="48" spans="1:16" s="1329" customFormat="1" ht="24" customHeight="1">
      <c r="A48" s="1330"/>
      <c r="B48" s="1331" t="s">
        <v>2509</v>
      </c>
      <c r="C48" s="801"/>
      <c r="D48" s="801"/>
      <c r="E48" s="1019">
        <v>1</v>
      </c>
      <c r="F48" s="1310" t="s">
        <v>240</v>
      </c>
      <c r="G48" s="1394">
        <v>157400</v>
      </c>
      <c r="H48" s="864">
        <f t="shared" si="2"/>
        <v>157400</v>
      </c>
      <c r="I48" s="1392">
        <f t="shared" si="3"/>
        <v>15740</v>
      </c>
      <c r="J48" s="1395">
        <f t="shared" ref="J48" si="4">ROUND(E48*I48,)</f>
        <v>15740</v>
      </c>
      <c r="K48" s="966">
        <f>H48+J48</f>
        <v>173140</v>
      </c>
      <c r="L48" s="1019"/>
      <c r="M48" s="1328"/>
    </row>
    <row r="49" spans="1:15" s="1329" customFormat="1" ht="24" customHeight="1">
      <c r="A49" s="1330"/>
      <c r="B49" s="1331"/>
      <c r="C49" s="801"/>
      <c r="D49" s="801"/>
      <c r="E49" s="1019"/>
      <c r="F49" s="1310"/>
      <c r="G49" s="1394"/>
      <c r="H49" s="864"/>
      <c r="I49" s="1392"/>
      <c r="J49" s="1395"/>
      <c r="K49" s="966"/>
      <c r="L49" s="1019"/>
      <c r="M49" s="1328"/>
    </row>
    <row r="50" spans="1:15" s="1329" customFormat="1" ht="24" customHeight="1">
      <c r="A50" s="1330" t="s">
        <v>2000</v>
      </c>
      <c r="B50" s="1331" t="s">
        <v>2153</v>
      </c>
      <c r="C50" s="801"/>
      <c r="D50" s="801"/>
      <c r="E50" s="1019"/>
      <c r="F50" s="1310"/>
      <c r="G50" s="1392"/>
      <c r="H50" s="751"/>
      <c r="I50" s="1392"/>
      <c r="J50" s="1393"/>
      <c r="K50" s="1022"/>
      <c r="L50" s="1019"/>
      <c r="M50" s="1328"/>
    </row>
    <row r="51" spans="1:15" s="1329" customFormat="1" ht="24" customHeight="1">
      <c r="A51" s="1330"/>
      <c r="B51" s="1331" t="s">
        <v>2154</v>
      </c>
      <c r="C51" s="801"/>
      <c r="D51" s="801"/>
      <c r="E51" s="1019">
        <v>2</v>
      </c>
      <c r="F51" s="1310" t="s">
        <v>240</v>
      </c>
      <c r="G51" s="1392">
        <v>1800</v>
      </c>
      <c r="H51" s="864">
        <f>ROUND(E51*G51,)</f>
        <v>3600</v>
      </c>
      <c r="I51" s="1396" t="s">
        <v>974</v>
      </c>
      <c r="J51" s="1395"/>
      <c r="K51" s="966">
        <f>H51+J51</f>
        <v>3600</v>
      </c>
      <c r="L51" s="1019"/>
      <c r="M51" s="1328"/>
    </row>
    <row r="52" spans="1:15" s="1329" customFormat="1" ht="24" customHeight="1">
      <c r="A52" s="1330" t="s">
        <v>2155</v>
      </c>
      <c r="B52" s="1331" t="s">
        <v>1996</v>
      </c>
      <c r="C52" s="801"/>
      <c r="D52" s="801"/>
      <c r="E52" s="1019">
        <v>8</v>
      </c>
      <c r="F52" s="1310" t="s">
        <v>240</v>
      </c>
      <c r="G52" s="1392">
        <v>2400</v>
      </c>
      <c r="H52" s="864">
        <f>ROUND(E52*G52,)</f>
        <v>19200</v>
      </c>
      <c r="I52" s="1392">
        <f>G52*0.3</f>
        <v>720</v>
      </c>
      <c r="J52" s="1395">
        <f>ROUND(E52*I52,)</f>
        <v>5760</v>
      </c>
      <c r="K52" s="966">
        <f>H52+J52</f>
        <v>24960</v>
      </c>
      <c r="L52" s="1019"/>
      <c r="M52" s="1328"/>
    </row>
    <row r="53" spans="1:15" s="1329" customFormat="1" ht="24" customHeight="1">
      <c r="A53" s="1330"/>
      <c r="B53" s="1331" t="s">
        <v>957</v>
      </c>
      <c r="C53" s="801"/>
      <c r="D53" s="801"/>
      <c r="E53" s="1019"/>
      <c r="F53" s="1310"/>
      <c r="G53" s="1400"/>
      <c r="H53" s="864"/>
      <c r="I53" s="1400"/>
      <c r="J53" s="1395"/>
      <c r="K53" s="966"/>
      <c r="L53" s="1019"/>
      <c r="M53" s="1328"/>
    </row>
    <row r="54" spans="1:15" s="1329" customFormat="1" ht="24" customHeight="1">
      <c r="A54" s="1330"/>
      <c r="B54" s="1331" t="s">
        <v>1239</v>
      </c>
      <c r="C54" s="801"/>
      <c r="D54" s="801"/>
      <c r="E54" s="1019"/>
      <c r="F54" s="1310"/>
      <c r="G54" s="1400"/>
      <c r="H54" s="864"/>
      <c r="I54" s="1400"/>
      <c r="J54" s="1395"/>
      <c r="K54" s="966"/>
      <c r="L54" s="1019"/>
      <c r="M54" s="1328"/>
    </row>
    <row r="55" spans="1:15" s="1329" customFormat="1" ht="24" customHeight="1">
      <c r="A55" s="1330"/>
      <c r="B55" s="1331" t="s">
        <v>1239</v>
      </c>
      <c r="C55" s="801"/>
      <c r="D55" s="801"/>
      <c r="E55" s="1019"/>
      <c r="F55" s="1310"/>
      <c r="G55" s="1400"/>
      <c r="H55" s="864"/>
      <c r="I55" s="1400"/>
      <c r="J55" s="1395"/>
      <c r="K55" s="966"/>
      <c r="L55" s="1019"/>
      <c r="M55" s="1328"/>
    </row>
    <row r="56" spans="1:15" s="1329" customFormat="1" ht="24" customHeight="1">
      <c r="A56" s="1330"/>
      <c r="B56" s="1331"/>
      <c r="C56" s="801"/>
      <c r="D56" s="801"/>
      <c r="E56" s="1019"/>
      <c r="F56" s="1310"/>
      <c r="G56" s="1400"/>
      <c r="H56" s="864"/>
      <c r="I56" s="1400"/>
      <c r="J56" s="1395"/>
      <c r="K56" s="966"/>
      <c r="L56" s="1019"/>
      <c r="M56" s="1328"/>
    </row>
    <row r="57" spans="1:15" s="1329" customFormat="1" ht="24" customHeight="1">
      <c r="A57" s="1330"/>
      <c r="B57" s="1331"/>
      <c r="C57" s="801"/>
      <c r="D57" s="801"/>
      <c r="E57" s="1019"/>
      <c r="F57" s="1310"/>
      <c r="G57" s="1400"/>
      <c r="H57" s="864"/>
      <c r="I57" s="1400"/>
      <c r="J57" s="1395"/>
      <c r="K57" s="966"/>
      <c r="L57" s="1019"/>
      <c r="M57" s="1328"/>
    </row>
    <row r="58" spans="1:15" s="1329" customFormat="1" ht="24" customHeight="1">
      <c r="A58" s="1330"/>
      <c r="B58" s="1331"/>
      <c r="C58" s="801"/>
      <c r="D58" s="801"/>
      <c r="E58" s="1019"/>
      <c r="F58" s="1310"/>
      <c r="G58" s="1400"/>
      <c r="H58" s="864"/>
      <c r="I58" s="1400"/>
      <c r="J58" s="1395"/>
      <c r="K58" s="966"/>
      <c r="L58" s="1019"/>
      <c r="M58" s="1328"/>
    </row>
    <row r="59" spans="1:15" s="1329" customFormat="1" ht="24" customHeight="1">
      <c r="A59" s="1166"/>
      <c r="B59" s="2475" t="str">
        <f>"รวมราคารายการที่ "&amp;A45</f>
        <v>รวมราคารายการที่ 7.2</v>
      </c>
      <c r="C59" s="2476"/>
      <c r="D59" s="2476"/>
      <c r="E59" s="1167"/>
      <c r="F59" s="1381"/>
      <c r="G59" s="1168"/>
      <c r="H59" s="1169">
        <f>SUM(H45:H58)</f>
        <v>395200</v>
      </c>
      <c r="I59" s="1170"/>
      <c r="J59" s="1382">
        <f>SUM(J45:J58)</f>
        <v>43000</v>
      </c>
      <c r="K59" s="1171">
        <f>SUM(K45:K58)</f>
        <v>438200</v>
      </c>
      <c r="L59" s="1171"/>
      <c r="M59" s="1328"/>
    </row>
    <row r="60" spans="1:15" s="1329" customFormat="1" ht="24" customHeight="1">
      <c r="A60" s="1383" t="s">
        <v>1920</v>
      </c>
      <c r="B60" s="1518" t="s">
        <v>1988</v>
      </c>
      <c r="C60" s="801"/>
      <c r="D60" s="801"/>
      <c r="E60" s="1019"/>
      <c r="F60" s="1310"/>
      <c r="G60" s="1400"/>
      <c r="H60" s="864"/>
      <c r="I60" s="1400"/>
      <c r="J60" s="1395"/>
      <c r="K60" s="966"/>
      <c r="L60" s="1019"/>
      <c r="M60" s="1328"/>
    </row>
    <row r="61" spans="1:15" s="1329" customFormat="1" ht="24" customHeight="1">
      <c r="A61" s="1330" t="s">
        <v>1922</v>
      </c>
      <c r="B61" s="1331" t="s">
        <v>1989</v>
      </c>
      <c r="C61" s="801"/>
      <c r="D61" s="801"/>
      <c r="E61" s="1019"/>
      <c r="F61" s="1310"/>
      <c r="G61" s="1400"/>
      <c r="H61" s="864"/>
      <c r="I61" s="1400"/>
      <c r="J61" s="1395"/>
      <c r="K61" s="966"/>
      <c r="L61" s="1019"/>
      <c r="M61" s="1328"/>
    </row>
    <row r="62" spans="1:15" customFormat="1" ht="21.3">
      <c r="A62" s="1340"/>
      <c r="B62" s="1331" t="str">
        <f>"  -  "&amp;M62&amp;", ("&amp;P62&amp;" kW,"&amp;N62&amp;" L/s)"</f>
        <v xml:space="preserve">  -  C2-7F-01, ( kW,540 L/s)</v>
      </c>
      <c r="C62" s="1349"/>
      <c r="D62" s="801"/>
      <c r="E62" s="1022">
        <f>O62</f>
        <v>1</v>
      </c>
      <c r="F62" s="1333" t="s">
        <v>240</v>
      </c>
      <c r="G62" s="1392">
        <v>15400</v>
      </c>
      <c r="H62" s="864">
        <f t="shared" ref="H62:H65" si="5">ROUND(E62*G62,)</f>
        <v>15400</v>
      </c>
      <c r="I62" s="1392">
        <f>G62*0.1</f>
        <v>1540</v>
      </c>
      <c r="J62" s="1395">
        <f t="shared" ref="J62:J65" si="6">ROUND(E62*I62,)</f>
        <v>1540</v>
      </c>
      <c r="K62" s="966">
        <f t="shared" ref="K62:K65" si="7">H62+J62</f>
        <v>16940</v>
      </c>
      <c r="L62" s="1022"/>
      <c r="M62" s="1420" t="s">
        <v>2510</v>
      </c>
      <c r="N62">
        <v>540</v>
      </c>
      <c r="O62">
        <v>1</v>
      </c>
    </row>
    <row r="63" spans="1:15" customFormat="1" ht="21.3">
      <c r="A63" s="1340"/>
      <c r="B63" s="1331" t="str">
        <f>"  -  "&amp;M63&amp;", ("&amp;P63&amp;" kW,"&amp;N63&amp;" L/s)"</f>
        <v xml:space="preserve">  -  C2-7F-02, ( kW,640 L/s)</v>
      </c>
      <c r="C63" s="1349"/>
      <c r="D63" s="801"/>
      <c r="E63" s="1022">
        <f>O63</f>
        <v>1</v>
      </c>
      <c r="F63" s="1333" t="s">
        <v>240</v>
      </c>
      <c r="G63" s="1392">
        <v>20200</v>
      </c>
      <c r="H63" s="864">
        <f t="shared" si="5"/>
        <v>20200</v>
      </c>
      <c r="I63" s="1392">
        <f>G63*0.1</f>
        <v>2020</v>
      </c>
      <c r="J63" s="1395">
        <f t="shared" si="6"/>
        <v>2020</v>
      </c>
      <c r="K63" s="966">
        <f t="shared" si="7"/>
        <v>22220</v>
      </c>
      <c r="L63" s="1022"/>
      <c r="M63" s="1420" t="s">
        <v>2511</v>
      </c>
      <c r="N63">
        <v>640</v>
      </c>
      <c r="O63">
        <v>1</v>
      </c>
    </row>
    <row r="64" spans="1:15" customFormat="1" ht="21.3">
      <c r="A64" s="1340"/>
      <c r="B64" s="1331" t="str">
        <f>"  -  "&amp;M64&amp;", ("&amp;P64&amp;" kW,"&amp;N64&amp;" L/s)"</f>
        <v xml:space="preserve">  -  C2-7F-03, ( kW,540 L/s)</v>
      </c>
      <c r="C64" s="1349"/>
      <c r="D64" s="801"/>
      <c r="E64" s="1022">
        <f>O64</f>
        <v>1</v>
      </c>
      <c r="F64" s="1333" t="s">
        <v>240</v>
      </c>
      <c r="G64" s="1392">
        <v>15400</v>
      </c>
      <c r="H64" s="864">
        <f t="shared" si="5"/>
        <v>15400</v>
      </c>
      <c r="I64" s="1392">
        <f>G64*0.1</f>
        <v>1540</v>
      </c>
      <c r="J64" s="1395">
        <f t="shared" si="6"/>
        <v>1540</v>
      </c>
      <c r="K64" s="966">
        <f t="shared" si="7"/>
        <v>16940</v>
      </c>
      <c r="L64" s="1022"/>
      <c r="M64" s="1420" t="s">
        <v>2512</v>
      </c>
      <c r="N64">
        <v>540</v>
      </c>
      <c r="O64">
        <v>1</v>
      </c>
    </row>
    <row r="65" spans="1:15" customFormat="1" ht="21.3">
      <c r="A65" s="1340"/>
      <c r="B65" s="1331" t="str">
        <f>"  -  "&amp;M65&amp;", ("&amp;P65&amp;" kW,"&amp;N65&amp;" L/s)"</f>
        <v xml:space="preserve">  -  C2-7F-04 To 06, ( kW,150 L/s)</v>
      </c>
      <c r="C65" s="1349"/>
      <c r="D65" s="801"/>
      <c r="E65" s="1022">
        <f>O65</f>
        <v>3</v>
      </c>
      <c r="F65" s="1333" t="s">
        <v>240</v>
      </c>
      <c r="G65" s="1392">
        <v>8800</v>
      </c>
      <c r="H65" s="864">
        <f t="shared" si="5"/>
        <v>26400</v>
      </c>
      <c r="I65" s="1392">
        <f>G65*0.1</f>
        <v>880</v>
      </c>
      <c r="J65" s="1395">
        <f t="shared" si="6"/>
        <v>2640</v>
      </c>
      <c r="K65" s="966">
        <f t="shared" si="7"/>
        <v>29040</v>
      </c>
      <c r="L65" s="1022"/>
      <c r="M65" s="1420" t="s">
        <v>2513</v>
      </c>
      <c r="N65">
        <v>150</v>
      </c>
      <c r="O65">
        <v>3</v>
      </c>
    </row>
    <row r="66" spans="1:15" s="1329" customFormat="1" ht="24" customHeight="1">
      <c r="A66" s="1330" t="s">
        <v>1924</v>
      </c>
      <c r="B66" s="1331" t="s">
        <v>2158</v>
      </c>
      <c r="C66" s="801"/>
      <c r="D66" s="801"/>
      <c r="E66" s="1022"/>
      <c r="F66" s="1333"/>
      <c r="G66" s="1392"/>
      <c r="H66" s="864"/>
      <c r="I66" s="1392"/>
      <c r="J66" s="1393"/>
      <c r="K66" s="1022"/>
      <c r="L66" s="1022"/>
      <c r="M66" s="1328"/>
    </row>
    <row r="67" spans="1:15" s="1329" customFormat="1" ht="24" customHeight="1">
      <c r="A67" s="1330"/>
      <c r="B67" s="1331" t="s">
        <v>2345</v>
      </c>
      <c r="C67" s="801"/>
      <c r="D67" s="801"/>
      <c r="E67" s="1022">
        <v>6</v>
      </c>
      <c r="F67" s="1333" t="s">
        <v>240</v>
      </c>
      <c r="G67" s="1392">
        <v>3000</v>
      </c>
      <c r="H67" s="864"/>
      <c r="I67" s="1396"/>
      <c r="J67" s="1395">
        <f t="shared" ref="J67:J68" si="8">ROUND(E67*I67,)</f>
        <v>0</v>
      </c>
      <c r="K67" s="966">
        <f t="shared" ref="K67:K68" si="9">H67+J67</f>
        <v>0</v>
      </c>
      <c r="L67" s="1022"/>
      <c r="M67" s="1328"/>
    </row>
    <row r="68" spans="1:15" s="1329" customFormat="1" ht="24" customHeight="1">
      <c r="A68" s="1340" t="s">
        <v>2020</v>
      </c>
      <c r="B68" s="1331" t="s">
        <v>1996</v>
      </c>
      <c r="C68" s="801"/>
      <c r="D68" s="801"/>
      <c r="E68" s="1022">
        <f>SUM(E62:E65)</f>
        <v>6</v>
      </c>
      <c r="F68" s="1333" t="s">
        <v>240</v>
      </c>
      <c r="G68" s="1392">
        <v>800</v>
      </c>
      <c r="H68" s="864">
        <f t="shared" ref="H68" si="10">ROUND(E68*G68,)</f>
        <v>4800</v>
      </c>
      <c r="I68" s="1392">
        <f>G68*0.3</f>
        <v>240</v>
      </c>
      <c r="J68" s="1395">
        <f t="shared" si="8"/>
        <v>1440</v>
      </c>
      <c r="K68" s="966">
        <f t="shared" si="9"/>
        <v>6240</v>
      </c>
      <c r="L68" s="1022"/>
      <c r="M68" s="1328"/>
    </row>
    <row r="69" spans="1:15" s="1329" customFormat="1" ht="24" customHeight="1">
      <c r="A69" s="1340"/>
      <c r="B69" s="1331" t="s">
        <v>957</v>
      </c>
      <c r="C69" s="801"/>
      <c r="D69" s="801"/>
      <c r="E69" s="1022"/>
      <c r="F69" s="1333"/>
      <c r="G69" s="1392"/>
      <c r="H69" s="751"/>
      <c r="I69" s="1392"/>
      <c r="J69" s="1393"/>
      <c r="K69" s="1022"/>
      <c r="L69" s="1022"/>
      <c r="M69" s="1328"/>
    </row>
    <row r="70" spans="1:15" s="1329" customFormat="1" ht="24" customHeight="1">
      <c r="A70" s="1340"/>
      <c r="B70" s="1331" t="s">
        <v>958</v>
      </c>
      <c r="C70" s="801"/>
      <c r="D70" s="801"/>
      <c r="E70" s="1022"/>
      <c r="F70" s="1333"/>
      <c r="G70" s="1392"/>
      <c r="H70" s="751"/>
      <c r="I70" s="1392"/>
      <c r="J70" s="1393"/>
      <c r="K70" s="1022"/>
      <c r="L70" s="1022"/>
      <c r="M70" s="1328"/>
    </row>
    <row r="71" spans="1:15" s="1329" customFormat="1" ht="24" customHeight="1">
      <c r="A71" s="1340"/>
      <c r="B71" s="1331" t="s">
        <v>958</v>
      </c>
      <c r="C71" s="801"/>
      <c r="D71" s="801"/>
      <c r="E71" s="1022"/>
      <c r="F71" s="1333"/>
      <c r="G71" s="1392"/>
      <c r="H71" s="751"/>
      <c r="I71" s="1392"/>
      <c r="J71" s="1393"/>
      <c r="K71" s="1022"/>
      <c r="L71" s="1022"/>
      <c r="M71" s="1328"/>
    </row>
    <row r="72" spans="1:15" s="1329" customFormat="1" ht="24" customHeight="1">
      <c r="A72" s="1397"/>
      <c r="B72" s="1335"/>
      <c r="C72" s="890"/>
      <c r="D72" s="890"/>
      <c r="E72" s="1080"/>
      <c r="F72" s="1338"/>
      <c r="G72" s="1398"/>
      <c r="H72" s="765"/>
      <c r="I72" s="1398"/>
      <c r="J72" s="1399"/>
      <c r="K72" s="1080"/>
      <c r="L72" s="1080"/>
      <c r="M72" s="1328"/>
    </row>
    <row r="73" spans="1:15" s="1329" customFormat="1" ht="24" customHeight="1">
      <c r="A73" s="1397"/>
      <c r="B73" s="1191"/>
      <c r="C73" s="890"/>
      <c r="D73" s="890"/>
      <c r="E73" s="1080"/>
      <c r="F73" s="1338"/>
      <c r="G73" s="1398"/>
      <c r="H73" s="765"/>
      <c r="I73" s="1398"/>
      <c r="J73" s="1399"/>
      <c r="K73" s="1080"/>
      <c r="L73" s="1080"/>
      <c r="M73" s="1328"/>
    </row>
    <row r="74" spans="1:15" s="886" customFormat="1" ht="24" customHeight="1">
      <c r="A74" s="1166"/>
      <c r="B74" s="2475" t="str">
        <f>"รวมราคารายการที่ "&amp;A60</f>
        <v>รวมราคารายการที่ 7.3</v>
      </c>
      <c r="C74" s="2476"/>
      <c r="D74" s="2476"/>
      <c r="E74" s="1167"/>
      <c r="F74" s="1381"/>
      <c r="G74" s="1168"/>
      <c r="H74" s="1169">
        <f>SUM(H60:H73)</f>
        <v>82200</v>
      </c>
      <c r="I74" s="1170"/>
      <c r="J74" s="1382">
        <f>SUM(J60:J73)</f>
        <v>9180</v>
      </c>
      <c r="K74" s="1171">
        <f>SUM(K60:K73)</f>
        <v>91380</v>
      </c>
      <c r="L74" s="1171"/>
      <c r="M74" s="1342"/>
    </row>
    <row r="75" spans="1:15" s="1329" customFormat="1" ht="24" customHeight="1">
      <c r="A75" s="1325" t="s">
        <v>2027</v>
      </c>
      <c r="B75" s="1326" t="s">
        <v>1903</v>
      </c>
      <c r="C75" s="901"/>
      <c r="D75" s="901"/>
      <c r="E75" s="1019"/>
      <c r="F75" s="1310"/>
      <c r="G75" s="1400"/>
      <c r="H75" s="864"/>
      <c r="I75" s="1400"/>
      <c r="J75" s="1395"/>
      <c r="K75" s="966"/>
      <c r="L75" s="1019"/>
      <c r="M75" s="1328"/>
    </row>
    <row r="76" spans="1:15" s="1329" customFormat="1" ht="24" customHeight="1">
      <c r="A76" s="1330" t="s">
        <v>1928</v>
      </c>
      <c r="B76" s="1331" t="s">
        <v>1998</v>
      </c>
      <c r="C76" s="801"/>
      <c r="D76" s="801"/>
      <c r="E76" s="1022"/>
      <c r="F76" s="1333"/>
      <c r="G76" s="1392"/>
      <c r="H76" s="751"/>
      <c r="I76" s="1392"/>
      <c r="J76" s="1393"/>
      <c r="K76" s="1022"/>
      <c r="L76" s="1022"/>
      <c r="M76" s="1328"/>
    </row>
    <row r="77" spans="1:15" s="1329" customFormat="1" ht="24" customHeight="1">
      <c r="A77" s="1330" t="s">
        <v>2160</v>
      </c>
      <c r="B77" s="1331" t="s">
        <v>1999</v>
      </c>
      <c r="C77" s="801"/>
      <c r="D77" s="801"/>
      <c r="E77" s="1019"/>
      <c r="F77" s="1310"/>
      <c r="G77" s="1400"/>
      <c r="H77" s="773"/>
      <c r="I77" s="1400"/>
      <c r="J77" s="1401"/>
      <c r="K77" s="1022"/>
      <c r="L77" s="1022"/>
      <c r="M77" s="1328"/>
    </row>
    <row r="78" spans="1:15" s="1329" customFormat="1" ht="24" customHeight="1">
      <c r="A78" s="1330"/>
      <c r="B78" s="1331" t="s">
        <v>1715</v>
      </c>
      <c r="C78" s="801"/>
      <c r="D78" s="801"/>
      <c r="E78" s="1019">
        <f>E67</f>
        <v>6</v>
      </c>
      <c r="F78" s="1333" t="s">
        <v>240</v>
      </c>
      <c r="G78" s="1392">
        <v>3672</v>
      </c>
      <c r="H78" s="864">
        <f t="shared" ref="H78" si="11">ROUND(E78*G78,)</f>
        <v>22032</v>
      </c>
      <c r="I78" s="1392">
        <v>150</v>
      </c>
      <c r="J78" s="1395">
        <f t="shared" ref="J78" si="12">ROUND(E78*I78,)</f>
        <v>900</v>
      </c>
      <c r="K78" s="966">
        <f t="shared" ref="K78:K80" si="13">H78+J78</f>
        <v>22932</v>
      </c>
      <c r="L78" s="1022"/>
      <c r="M78" s="1328"/>
    </row>
    <row r="79" spans="1:15" s="1329" customFormat="1" ht="24" customHeight="1">
      <c r="A79" s="1330" t="s">
        <v>2161</v>
      </c>
      <c r="B79" s="1331" t="s">
        <v>2162</v>
      </c>
      <c r="C79" s="801"/>
      <c r="D79" s="801"/>
      <c r="E79" s="1022"/>
      <c r="F79" s="1333"/>
      <c r="G79" s="1392"/>
      <c r="H79" s="751"/>
      <c r="I79" s="1392"/>
      <c r="J79" s="1393"/>
      <c r="K79" s="1022"/>
      <c r="L79" s="1022"/>
      <c r="M79" s="1328"/>
    </row>
    <row r="80" spans="1:15" s="1329" customFormat="1" ht="24" customHeight="1">
      <c r="A80" s="1330"/>
      <c r="B80" s="1331" t="s">
        <v>1747</v>
      </c>
      <c r="C80" s="801"/>
      <c r="D80" s="801"/>
      <c r="E80" s="1022">
        <f>E51+E38</f>
        <v>3</v>
      </c>
      <c r="F80" s="1333" t="s">
        <v>240</v>
      </c>
      <c r="G80" s="1392">
        <v>9310</v>
      </c>
      <c r="H80" s="864">
        <f t="shared" ref="H80" si="14">ROUND(E80*G80,)</f>
        <v>27930</v>
      </c>
      <c r="I80" s="1392">
        <v>250</v>
      </c>
      <c r="J80" s="1395">
        <f t="shared" ref="J80" si="15">ROUND(E80*I80,)</f>
        <v>750</v>
      </c>
      <c r="K80" s="966">
        <f t="shared" si="13"/>
        <v>28680</v>
      </c>
      <c r="L80" s="1022"/>
      <c r="M80" s="1328"/>
    </row>
    <row r="81" spans="1:16" s="1329" customFormat="1" ht="24" customHeight="1">
      <c r="A81" s="1340"/>
      <c r="B81" s="1331" t="s">
        <v>957</v>
      </c>
      <c r="C81" s="801"/>
      <c r="D81" s="801"/>
      <c r="E81" s="1022"/>
      <c r="F81" s="1333"/>
      <c r="G81" s="1392"/>
      <c r="H81" s="751"/>
      <c r="I81" s="1392"/>
      <c r="J81" s="1393"/>
      <c r="K81" s="1022"/>
      <c r="L81" s="1022"/>
      <c r="M81" s="1328"/>
    </row>
    <row r="82" spans="1:16" s="1329" customFormat="1" ht="24" customHeight="1">
      <c r="A82" s="1340"/>
      <c r="B82" s="1331" t="s">
        <v>958</v>
      </c>
      <c r="C82" s="801"/>
      <c r="D82" s="801"/>
      <c r="E82" s="1022"/>
      <c r="F82" s="1333"/>
      <c r="G82" s="1392"/>
      <c r="H82" s="751"/>
      <c r="I82" s="1392"/>
      <c r="J82" s="1393"/>
      <c r="K82" s="1022"/>
      <c r="L82" s="1022"/>
      <c r="M82" s="1328"/>
    </row>
    <row r="83" spans="1:16" s="1329" customFormat="1" ht="24" customHeight="1">
      <c r="A83" s="1340"/>
      <c r="B83" s="1331" t="s">
        <v>958</v>
      </c>
      <c r="C83" s="801"/>
      <c r="D83" s="801"/>
      <c r="E83" s="1022"/>
      <c r="F83" s="1333"/>
      <c r="G83" s="1392"/>
      <c r="H83" s="751"/>
      <c r="I83" s="1392"/>
      <c r="J83" s="1393"/>
      <c r="K83" s="1022"/>
      <c r="L83" s="1022"/>
      <c r="M83" s="1328"/>
    </row>
    <row r="84" spans="1:16" s="886" customFormat="1" ht="24" customHeight="1">
      <c r="A84" s="1166"/>
      <c r="B84" s="2475" t="str">
        <f>"รวมราคารายการที่ "&amp;A75</f>
        <v>รวมราคารายการที่ 7.4</v>
      </c>
      <c r="C84" s="2476"/>
      <c r="D84" s="2476"/>
      <c r="E84" s="1167"/>
      <c r="F84" s="1381"/>
      <c r="G84" s="1168"/>
      <c r="H84" s="1169">
        <f>SUM(H75:H83)</f>
        <v>49962</v>
      </c>
      <c r="I84" s="1170"/>
      <c r="J84" s="1382">
        <f>SUM(J75:J83)</f>
        <v>1650</v>
      </c>
      <c r="K84" s="1171">
        <f>SUM(K75:K83)</f>
        <v>51612</v>
      </c>
      <c r="L84" s="1171"/>
      <c r="M84" s="1342"/>
    </row>
    <row r="85" spans="1:16" s="1329" customFormat="1" ht="24" customHeight="1">
      <c r="A85" s="1325" t="s">
        <v>2030</v>
      </c>
      <c r="B85" s="1326" t="s">
        <v>2003</v>
      </c>
      <c r="C85" s="1347"/>
      <c r="D85" s="901"/>
      <c r="E85" s="1019"/>
      <c r="F85" s="1310"/>
      <c r="G85" s="1400"/>
      <c r="H85" s="864"/>
      <c r="I85" s="1400"/>
      <c r="J85" s="1395"/>
      <c r="K85" s="966"/>
      <c r="L85" s="1019"/>
      <c r="M85" s="1328"/>
    </row>
    <row r="86" spans="1:16" s="1329" customFormat="1" ht="24" customHeight="1">
      <c r="A86" s="1340" t="s">
        <v>1949</v>
      </c>
      <c r="B86" s="1331" t="s">
        <v>2168</v>
      </c>
      <c r="C86" s="801"/>
      <c r="D86" s="801"/>
      <c r="E86" s="1022"/>
      <c r="F86" s="1333"/>
      <c r="G86" s="1392"/>
      <c r="H86" s="751"/>
      <c r="I86" s="1392"/>
      <c r="J86" s="1393"/>
      <c r="K86" s="1022"/>
      <c r="L86" s="1022"/>
      <c r="M86" s="1328"/>
    </row>
    <row r="87" spans="1:16" s="1329" customFormat="1" ht="24" customHeight="1">
      <c r="A87" s="1340"/>
      <c r="B87" s="1331" t="str">
        <f t="shared" ref="B87:B90" si="16">"  -  "&amp;M87&amp;", ("&amp;N87&amp;" L/s)"</f>
        <v xml:space="preserve">  -  C1-7EAF-03, (925 L/s)</v>
      </c>
      <c r="C87" s="801"/>
      <c r="D87" s="801"/>
      <c r="E87" s="1022">
        <f t="shared" ref="E87:E90" si="17">O87</f>
        <v>1</v>
      </c>
      <c r="F87" s="1333" t="s">
        <v>240</v>
      </c>
      <c r="G87" s="1496">
        <v>20600</v>
      </c>
      <c r="H87" s="1180">
        <f>E87*G87</f>
        <v>20600</v>
      </c>
      <c r="I87" s="1394">
        <f>G87*0.1</f>
        <v>2060</v>
      </c>
      <c r="J87" s="1498">
        <f>I87*E87</f>
        <v>2060</v>
      </c>
      <c r="K87" s="1182">
        <f>H87+J87</f>
        <v>22660</v>
      </c>
      <c r="L87" s="1022"/>
      <c r="M87" s="1328" t="s">
        <v>2514</v>
      </c>
      <c r="N87" s="1329">
        <v>925</v>
      </c>
      <c r="O87" s="1329">
        <v>1</v>
      </c>
    </row>
    <row r="88" spans="1:16" s="1329" customFormat="1" ht="24" customHeight="1">
      <c r="A88" s="1340"/>
      <c r="B88" s="1331" t="str">
        <f t="shared" si="16"/>
        <v xml:space="preserve">  -  C1-7EAF-04, (595 L/s)</v>
      </c>
      <c r="C88" s="801"/>
      <c r="D88" s="801"/>
      <c r="E88" s="1022">
        <f t="shared" si="17"/>
        <v>1</v>
      </c>
      <c r="F88" s="1333" t="s">
        <v>240</v>
      </c>
      <c r="G88" s="1496">
        <v>14200</v>
      </c>
      <c r="H88" s="864">
        <f t="shared" ref="H88:H90" si="18">ROUND(E88*G88,)</f>
        <v>14200</v>
      </c>
      <c r="I88" s="1392">
        <v>710</v>
      </c>
      <c r="J88" s="1393">
        <f t="shared" ref="J88:J90" si="19">ROUND(E88*I88,)</f>
        <v>710</v>
      </c>
      <c r="K88" s="1182">
        <f>H88+J88</f>
        <v>14910</v>
      </c>
      <c r="L88" s="1022"/>
      <c r="M88" s="1328" t="s">
        <v>2515</v>
      </c>
      <c r="N88" s="1329">
        <v>595</v>
      </c>
      <c r="O88" s="1329">
        <v>1</v>
      </c>
    </row>
    <row r="89" spans="1:16" s="1329" customFormat="1" ht="24" customHeight="1">
      <c r="A89" s="1340"/>
      <c r="B89" s="1331" t="str">
        <f t="shared" si="16"/>
        <v xml:space="preserve">  -  C2-7EAF-04, (775 L/s)</v>
      </c>
      <c r="C89" s="801"/>
      <c r="D89" s="801"/>
      <c r="E89" s="1022">
        <f t="shared" si="17"/>
        <v>1</v>
      </c>
      <c r="F89" s="1333" t="s">
        <v>240</v>
      </c>
      <c r="G89" s="1496">
        <v>17300</v>
      </c>
      <c r="H89" s="864">
        <f t="shared" si="18"/>
        <v>17300</v>
      </c>
      <c r="I89" s="1392">
        <v>710</v>
      </c>
      <c r="J89" s="1393">
        <f t="shared" si="19"/>
        <v>710</v>
      </c>
      <c r="K89" s="1182">
        <f>H89+J89</f>
        <v>18010</v>
      </c>
      <c r="L89" s="1022"/>
      <c r="M89" s="1328" t="s">
        <v>2516</v>
      </c>
      <c r="N89" s="1329">
        <v>775</v>
      </c>
      <c r="O89" s="1329">
        <v>1</v>
      </c>
    </row>
    <row r="90" spans="1:16" s="1329" customFormat="1" ht="24" customHeight="1">
      <c r="A90" s="1340"/>
      <c r="B90" s="1331" t="str">
        <f t="shared" si="16"/>
        <v xml:space="preserve">  -  C2-7EAF-05, (595 L/s)</v>
      </c>
      <c r="C90" s="801"/>
      <c r="D90" s="801"/>
      <c r="E90" s="1022">
        <f t="shared" si="17"/>
        <v>1</v>
      </c>
      <c r="F90" s="1333" t="s">
        <v>240</v>
      </c>
      <c r="G90" s="1496">
        <v>14200</v>
      </c>
      <c r="H90" s="864">
        <f t="shared" si="18"/>
        <v>14200</v>
      </c>
      <c r="I90" s="1392">
        <v>710</v>
      </c>
      <c r="J90" s="1393">
        <f t="shared" si="19"/>
        <v>710</v>
      </c>
      <c r="K90" s="1182">
        <f>H90+J90</f>
        <v>14910</v>
      </c>
      <c r="L90" s="1022"/>
      <c r="M90" s="1328" t="s">
        <v>2517</v>
      </c>
      <c r="N90" s="1329">
        <v>595</v>
      </c>
      <c r="O90" s="1329">
        <v>1</v>
      </c>
    </row>
    <row r="91" spans="1:16" s="1329" customFormat="1" ht="24" customHeight="1">
      <c r="A91" s="1340" t="s">
        <v>1955</v>
      </c>
      <c r="B91" s="1331" t="s">
        <v>2021</v>
      </c>
      <c r="C91" s="801"/>
      <c r="D91" s="801"/>
      <c r="E91" s="1022"/>
      <c r="F91" s="1333"/>
      <c r="G91" s="1496"/>
      <c r="H91" s="751"/>
      <c r="I91" s="1392"/>
      <c r="J91" s="1393"/>
      <c r="K91" s="1022"/>
      <c r="L91" s="1022"/>
      <c r="M91" s="1328"/>
    </row>
    <row r="92" spans="1:16" s="1329" customFormat="1" ht="24" customHeight="1">
      <c r="A92" s="1340"/>
      <c r="B92" s="1331" t="str">
        <f t="shared" ref="B92:B95" si="20">"  -  "&amp;M92&amp;", ("&amp;N92&amp;" L/s)"</f>
        <v xml:space="preserve">  -  C1-7EAF-01, (115 L/s)</v>
      </c>
      <c r="C92" s="801"/>
      <c r="D92" s="801"/>
      <c r="E92" s="1022">
        <f t="shared" ref="E92:E95" si="21">O92</f>
        <v>1</v>
      </c>
      <c r="F92" s="1333" t="s">
        <v>240</v>
      </c>
      <c r="G92" s="1392">
        <v>1040</v>
      </c>
      <c r="H92" s="1180">
        <f>E92*G92</f>
        <v>1040</v>
      </c>
      <c r="I92" s="1392">
        <v>500</v>
      </c>
      <c r="J92" s="1498">
        <f>I92*E92</f>
        <v>500</v>
      </c>
      <c r="K92" s="1182">
        <f>H92+J92</f>
        <v>1540</v>
      </c>
      <c r="L92" s="1022"/>
      <c r="M92" s="1328" t="s">
        <v>2518</v>
      </c>
      <c r="N92" s="1329">
        <v>115</v>
      </c>
      <c r="O92" s="1329">
        <v>1</v>
      </c>
    </row>
    <row r="93" spans="1:16" s="1329" customFormat="1" ht="24" customHeight="1">
      <c r="A93" s="1340"/>
      <c r="B93" s="1331" t="str">
        <f t="shared" si="20"/>
        <v xml:space="preserve">  -  C1-7EAF-02, (115 L/s)</v>
      </c>
      <c r="C93" s="801"/>
      <c r="D93" s="801"/>
      <c r="E93" s="1022">
        <f t="shared" si="21"/>
        <v>1</v>
      </c>
      <c r="F93" s="1333" t="s">
        <v>240</v>
      </c>
      <c r="G93" s="1392">
        <v>1040</v>
      </c>
      <c r="H93" s="1180">
        <f>E93*G93</f>
        <v>1040</v>
      </c>
      <c r="I93" s="1392">
        <v>500</v>
      </c>
      <c r="J93" s="1498">
        <f>I93*E93</f>
        <v>500</v>
      </c>
      <c r="K93" s="1182">
        <f>H93+J93</f>
        <v>1540</v>
      </c>
      <c r="L93" s="1022"/>
      <c r="M93" s="1328" t="s">
        <v>2519</v>
      </c>
      <c r="N93" s="1329">
        <v>115</v>
      </c>
      <c r="O93" s="1329">
        <v>1</v>
      </c>
    </row>
    <row r="94" spans="1:16" s="1329" customFormat="1" ht="24" customHeight="1">
      <c r="A94" s="1340"/>
      <c r="B94" s="1331" t="str">
        <f t="shared" si="20"/>
        <v xml:space="preserve">  -  C2-7EAF-01, (115 L/s)</v>
      </c>
      <c r="C94" s="801"/>
      <c r="D94" s="801"/>
      <c r="E94" s="1022">
        <f t="shared" si="21"/>
        <v>1</v>
      </c>
      <c r="F94" s="1333" t="s">
        <v>240</v>
      </c>
      <c r="G94" s="1392">
        <v>1040</v>
      </c>
      <c r="H94" s="1180">
        <f>E94*G94</f>
        <v>1040</v>
      </c>
      <c r="I94" s="1392">
        <v>500</v>
      </c>
      <c r="J94" s="1498">
        <f>I94*E94</f>
        <v>500</v>
      </c>
      <c r="K94" s="1182">
        <f>H94+J94</f>
        <v>1540</v>
      </c>
      <c r="L94" s="1022"/>
      <c r="M94" s="1328" t="s">
        <v>2520</v>
      </c>
      <c r="N94" s="1329">
        <v>115</v>
      </c>
      <c r="O94" s="1329">
        <v>1</v>
      </c>
    </row>
    <row r="95" spans="1:16" s="1329" customFormat="1" ht="24" customHeight="1">
      <c r="A95" s="1340"/>
      <c r="B95" s="1331" t="str">
        <f t="shared" si="20"/>
        <v xml:space="preserve">  -  C2-7EAF-02, (115 L/s)</v>
      </c>
      <c r="C95" s="801"/>
      <c r="D95" s="801"/>
      <c r="E95" s="1022">
        <f t="shared" si="21"/>
        <v>1</v>
      </c>
      <c r="F95" s="1333" t="s">
        <v>240</v>
      </c>
      <c r="G95" s="1392">
        <v>1040</v>
      </c>
      <c r="H95" s="1180">
        <f>E95*G95</f>
        <v>1040</v>
      </c>
      <c r="I95" s="1392">
        <v>500</v>
      </c>
      <c r="J95" s="1498">
        <f>I95*E95</f>
        <v>500</v>
      </c>
      <c r="K95" s="1182">
        <f>H95+J95</f>
        <v>1540</v>
      </c>
      <c r="L95" s="1022"/>
      <c r="M95" s="1534" t="s">
        <v>2521</v>
      </c>
      <c r="N95" s="1535">
        <v>115</v>
      </c>
      <c r="O95" s="1329">
        <v>1</v>
      </c>
      <c r="P95" s="1536"/>
    </row>
    <row r="96" spans="1:16" s="1329" customFormat="1" ht="24" customHeight="1">
      <c r="A96" s="1340" t="s">
        <v>2173</v>
      </c>
      <c r="B96" s="1331" t="s">
        <v>2004</v>
      </c>
      <c r="C96" s="801"/>
      <c r="D96" s="801"/>
      <c r="E96" s="1022"/>
      <c r="F96" s="1333"/>
      <c r="G96" s="1392"/>
      <c r="H96" s="751"/>
      <c r="I96" s="1392"/>
      <c r="J96" s="1393"/>
      <c r="K96" s="1022"/>
      <c r="L96" s="1022"/>
      <c r="M96" s="1328"/>
    </row>
    <row r="97" spans="1:15" s="1329" customFormat="1" ht="24" customHeight="1">
      <c r="A97" s="1340"/>
      <c r="B97" s="1331" t="str">
        <f t="shared" ref="B97" si="22">"  -  "&amp;M97&amp;", ("&amp;N97&amp;" L/s)"</f>
        <v xml:space="preserve">  -  C2-7EAF-03, (1470 L/s)</v>
      </c>
      <c r="C97" s="801"/>
      <c r="D97" s="801"/>
      <c r="E97" s="1022">
        <f t="shared" ref="E97" si="23">O97</f>
        <v>1</v>
      </c>
      <c r="F97" s="1333" t="s">
        <v>240</v>
      </c>
      <c r="G97" s="1400">
        <v>26000</v>
      </c>
      <c r="H97" s="864">
        <f t="shared" ref="H97" si="24">ROUND(E97*G97,)</f>
        <v>26000</v>
      </c>
      <c r="I97" s="1400">
        <v>1300</v>
      </c>
      <c r="J97" s="1395">
        <f t="shared" ref="J97" si="25">ROUND(E97*I97,)</f>
        <v>1300</v>
      </c>
      <c r="K97" s="966">
        <f>H97+J97</f>
        <v>27300</v>
      </c>
      <c r="L97" s="1022"/>
      <c r="M97" s="1328" t="s">
        <v>2522</v>
      </c>
      <c r="N97" s="1329">
        <v>1470</v>
      </c>
      <c r="O97" s="1329">
        <v>1</v>
      </c>
    </row>
    <row r="98" spans="1:15" s="1329" customFormat="1" ht="24" customHeight="1">
      <c r="A98" s="1340" t="s">
        <v>2523</v>
      </c>
      <c r="B98" s="1331" t="s">
        <v>1996</v>
      </c>
      <c r="C98" s="801"/>
      <c r="D98" s="801"/>
      <c r="E98" s="1022">
        <f>SUM(E87:E90,E97)</f>
        <v>5</v>
      </c>
      <c r="F98" s="1333" t="s">
        <v>948</v>
      </c>
      <c r="G98" s="1392">
        <v>800</v>
      </c>
      <c r="H98" s="1180">
        <f>E98*G98</f>
        <v>4000</v>
      </c>
      <c r="I98" s="1392">
        <f>G98*0.3</f>
        <v>240</v>
      </c>
      <c r="J98" s="1498">
        <f>I98*E98</f>
        <v>1200</v>
      </c>
      <c r="K98" s="1182">
        <f>H98+J98</f>
        <v>5200</v>
      </c>
      <c r="L98" s="1022"/>
      <c r="M98" s="1328"/>
    </row>
    <row r="99" spans="1:15" s="1329" customFormat="1" ht="24" customHeight="1">
      <c r="A99" s="1340"/>
      <c r="B99" s="1331" t="s">
        <v>957</v>
      </c>
      <c r="C99" s="801"/>
      <c r="D99" s="801"/>
      <c r="E99" s="1022"/>
      <c r="F99" s="1333"/>
      <c r="G99" s="1392"/>
      <c r="H99" s="751"/>
      <c r="I99" s="1392"/>
      <c r="J99" s="1393"/>
      <c r="K99" s="1022"/>
      <c r="L99" s="1022"/>
      <c r="M99" s="1328"/>
    </row>
    <row r="100" spans="1:15" s="1329" customFormat="1" ht="24" customHeight="1">
      <c r="A100" s="1340"/>
      <c r="B100" s="1331"/>
      <c r="C100" s="801"/>
      <c r="D100" s="801"/>
      <c r="E100" s="1022"/>
      <c r="F100" s="1333"/>
      <c r="G100" s="1392"/>
      <c r="H100" s="751"/>
      <c r="I100" s="1392"/>
      <c r="J100" s="1393"/>
      <c r="K100" s="1022"/>
      <c r="L100" s="1022"/>
      <c r="M100" s="1328"/>
    </row>
    <row r="101" spans="1:15" s="1329" customFormat="1" ht="24" customHeight="1">
      <c r="A101" s="1340"/>
      <c r="B101" s="1331" t="s">
        <v>958</v>
      </c>
      <c r="C101" s="801"/>
      <c r="D101" s="801"/>
      <c r="E101" s="1022"/>
      <c r="F101" s="1333"/>
      <c r="G101" s="1392"/>
      <c r="H101" s="751"/>
      <c r="I101" s="1392"/>
      <c r="J101" s="1393"/>
      <c r="K101" s="1022"/>
      <c r="L101" s="1022"/>
      <c r="M101" s="1328"/>
    </row>
    <row r="102" spans="1:15" s="886" customFormat="1" ht="24" customHeight="1">
      <c r="A102" s="1166"/>
      <c r="B102" s="2475" t="str">
        <f>"รวมราคารายการที่ "&amp;A85</f>
        <v>รวมราคารายการที่ 7.5</v>
      </c>
      <c r="C102" s="2476"/>
      <c r="D102" s="2476"/>
      <c r="E102" s="1167"/>
      <c r="F102" s="1381"/>
      <c r="G102" s="1168"/>
      <c r="H102" s="1169">
        <f>SUM(H85:H101)</f>
        <v>100460</v>
      </c>
      <c r="I102" s="1170"/>
      <c r="J102" s="1382">
        <f>SUM(J85:J101)</f>
        <v>8690</v>
      </c>
      <c r="K102" s="1171">
        <f>SUM(K85:K101)</f>
        <v>109150</v>
      </c>
      <c r="L102" s="1171"/>
      <c r="M102" s="1342"/>
    </row>
    <row r="103" spans="1:15" s="1329" customFormat="1" ht="24" customHeight="1">
      <c r="A103" s="1325" t="s">
        <v>2032</v>
      </c>
      <c r="B103" s="1326" t="s">
        <v>2174</v>
      </c>
      <c r="C103" s="1347"/>
      <c r="D103" s="901"/>
      <c r="E103" s="1019"/>
      <c r="F103" s="1310"/>
      <c r="G103" s="1400"/>
      <c r="H103" s="864"/>
      <c r="I103" s="1400"/>
      <c r="J103" s="1395"/>
      <c r="K103" s="966"/>
      <c r="L103" s="1019"/>
      <c r="M103" s="1328"/>
    </row>
    <row r="104" spans="1:15" s="1329" customFormat="1" ht="24" customHeight="1">
      <c r="A104" s="1330" t="s">
        <v>1960</v>
      </c>
      <c r="B104" s="1331" t="s">
        <v>2175</v>
      </c>
      <c r="C104" s="801"/>
      <c r="D104" s="801"/>
      <c r="E104" s="1022"/>
      <c r="F104" s="1333"/>
      <c r="G104" s="1392"/>
      <c r="H104" s="751"/>
      <c r="I104" s="1392"/>
      <c r="J104" s="1393"/>
      <c r="K104" s="1022"/>
      <c r="L104" s="1022"/>
      <c r="M104" s="1328"/>
    </row>
    <row r="105" spans="1:15" s="1329" customFormat="1" ht="24" customHeight="1">
      <c r="A105" s="1330"/>
      <c r="B105" s="1331" t="s">
        <v>2176</v>
      </c>
      <c r="C105" s="801"/>
      <c r="D105" s="801"/>
      <c r="E105" s="1022">
        <f>E65</f>
        <v>3</v>
      </c>
      <c r="F105" s="1333" t="s">
        <v>240</v>
      </c>
      <c r="G105" s="1497">
        <v>800</v>
      </c>
      <c r="H105" s="1180">
        <f>E105*G105</f>
        <v>2400</v>
      </c>
      <c r="I105" s="849">
        <v>150</v>
      </c>
      <c r="J105" s="1498">
        <f>I105*E105</f>
        <v>450</v>
      </c>
      <c r="K105" s="1182">
        <f>H105+J105</f>
        <v>2850</v>
      </c>
      <c r="L105" s="1022"/>
      <c r="M105" s="1328"/>
    </row>
    <row r="106" spans="1:15" s="1329" customFormat="1" ht="24" customHeight="1">
      <c r="A106" s="1330" t="s">
        <v>1964</v>
      </c>
      <c r="B106" s="1331" t="s">
        <v>2177</v>
      </c>
      <c r="C106" s="801"/>
      <c r="D106" s="801"/>
      <c r="E106" s="1022"/>
      <c r="F106" s="1333"/>
      <c r="G106" s="1392"/>
      <c r="H106" s="751"/>
      <c r="I106" s="1392"/>
      <c r="J106" s="1393"/>
      <c r="K106" s="1022"/>
      <c r="L106" s="1022"/>
      <c r="M106" s="1328"/>
    </row>
    <row r="107" spans="1:15" s="1329" customFormat="1" ht="24" customHeight="1">
      <c r="A107" s="1330"/>
      <c r="B107" s="1331" t="s">
        <v>2178</v>
      </c>
      <c r="C107" s="801"/>
      <c r="D107" s="801"/>
      <c r="E107" s="1022">
        <f>E51+E38</f>
        <v>3</v>
      </c>
      <c r="F107" s="1333" t="s">
        <v>240</v>
      </c>
      <c r="G107" s="1497">
        <v>2600</v>
      </c>
      <c r="H107" s="1180">
        <f>E107*G107</f>
        <v>7800</v>
      </c>
      <c r="I107" s="849">
        <v>200</v>
      </c>
      <c r="J107" s="1498">
        <f>I107*E107</f>
        <v>600</v>
      </c>
      <c r="K107" s="1182">
        <f>H107+J107</f>
        <v>8400</v>
      </c>
      <c r="L107" s="1022"/>
      <c r="M107" s="1328"/>
    </row>
    <row r="108" spans="1:15" s="1329" customFormat="1" ht="24" customHeight="1">
      <c r="A108" s="1330"/>
      <c r="B108" s="1331" t="s">
        <v>957</v>
      </c>
      <c r="C108" s="801"/>
      <c r="D108" s="801"/>
      <c r="E108" s="1022"/>
      <c r="F108" s="1333"/>
      <c r="G108" s="1392"/>
      <c r="H108" s="751"/>
      <c r="I108" s="1392"/>
      <c r="J108" s="1393"/>
      <c r="K108" s="1022"/>
      <c r="L108" s="1022"/>
      <c r="M108" s="1328"/>
    </row>
    <row r="109" spans="1:15" s="1329" customFormat="1" ht="24" customHeight="1">
      <c r="A109" s="1166"/>
      <c r="B109" s="2475" t="str">
        <f>"รวมราคารายการที่ "&amp;A103</f>
        <v>รวมราคารายการที่ 7.6</v>
      </c>
      <c r="C109" s="2476"/>
      <c r="D109" s="2476"/>
      <c r="E109" s="1167"/>
      <c r="F109" s="1381"/>
      <c r="G109" s="1168"/>
      <c r="H109" s="1169">
        <f>SUM(H103:H108)</f>
        <v>10200</v>
      </c>
      <c r="I109" s="1170"/>
      <c r="J109" s="1382">
        <f>SUM(J103:J108)</f>
        <v>1050</v>
      </c>
      <c r="K109" s="1171">
        <f>SUM(K103:K108)</f>
        <v>11250</v>
      </c>
      <c r="L109" s="1171"/>
      <c r="M109" s="1328"/>
    </row>
    <row r="110" spans="1:15" s="1329" customFormat="1" ht="24" customHeight="1">
      <c r="A110" s="1325" t="s">
        <v>1967</v>
      </c>
      <c r="B110" s="1326" t="s">
        <v>1909</v>
      </c>
      <c r="C110" s="901"/>
      <c r="D110" s="901"/>
      <c r="E110" s="1019"/>
      <c r="F110" s="1310"/>
      <c r="G110" s="1400"/>
      <c r="H110" s="864"/>
      <c r="I110" s="1400"/>
      <c r="J110" s="1395"/>
      <c r="K110" s="966"/>
      <c r="L110" s="1019"/>
      <c r="M110" s="1328"/>
    </row>
    <row r="111" spans="1:15" s="1329" customFormat="1" ht="24" customHeight="1">
      <c r="A111" s="1330" t="s">
        <v>1969</v>
      </c>
      <c r="B111" s="1331" t="s">
        <v>1911</v>
      </c>
      <c r="C111" s="901"/>
      <c r="D111" s="901"/>
      <c r="E111" s="1019"/>
      <c r="F111" s="1310"/>
      <c r="G111" s="1400"/>
      <c r="H111" s="864"/>
      <c r="I111" s="1400"/>
      <c r="J111" s="1395"/>
      <c r="K111" s="966"/>
      <c r="L111" s="1019"/>
      <c r="M111" s="1328"/>
    </row>
    <row r="112" spans="1:15" s="1329" customFormat="1" ht="24" customHeight="1">
      <c r="A112" s="1481"/>
      <c r="B112" s="1331" t="s">
        <v>2028</v>
      </c>
      <c r="C112" s="801"/>
      <c r="D112" s="801"/>
      <c r="E112" s="1019"/>
      <c r="F112" s="1348" t="s">
        <v>438</v>
      </c>
      <c r="G112" s="1479">
        <v>69.5</v>
      </c>
      <c r="H112" s="1499">
        <f>ROUND(E112*G112,)</f>
        <v>0</v>
      </c>
      <c r="I112" s="1480">
        <v>30</v>
      </c>
      <c r="J112" s="1500">
        <f>ROUND(E112*I112,)</f>
        <v>0</v>
      </c>
      <c r="K112" s="1403">
        <f t="shared" ref="K112:K123" si="26">H112+J112</f>
        <v>0</v>
      </c>
      <c r="L112" s="1019"/>
      <c r="M112" s="1328"/>
    </row>
    <row r="113" spans="1:15" s="1329" customFormat="1" ht="24" customHeight="1">
      <c r="A113" s="1481"/>
      <c r="B113" s="1331" t="s">
        <v>1822</v>
      </c>
      <c r="C113" s="801"/>
      <c r="D113" s="801"/>
      <c r="E113" s="1019">
        <v>3</v>
      </c>
      <c r="F113" s="1348" t="s">
        <v>438</v>
      </c>
      <c r="G113" s="1257">
        <v>103.5</v>
      </c>
      <c r="H113" s="1499">
        <f t="shared" ref="H113:H123" si="27">ROUND(E113*G113,)</f>
        <v>311</v>
      </c>
      <c r="I113" s="849">
        <v>45</v>
      </c>
      <c r="J113" s="1500">
        <f t="shared" ref="J113:J123" si="28">ROUND(E113*I113,)</f>
        <v>135</v>
      </c>
      <c r="K113" s="1403">
        <f t="shared" si="26"/>
        <v>446</v>
      </c>
      <c r="L113" s="1019"/>
      <c r="M113" s="1328"/>
    </row>
    <row r="114" spans="1:15" s="1329" customFormat="1" ht="24" customHeight="1">
      <c r="A114" s="1481"/>
      <c r="B114" s="1331" t="s">
        <v>1186</v>
      </c>
      <c r="C114" s="801"/>
      <c r="D114" s="801"/>
      <c r="E114" s="1019"/>
      <c r="F114" s="1348" t="s">
        <v>438</v>
      </c>
      <c r="G114" s="1257">
        <v>140</v>
      </c>
      <c r="H114" s="1499">
        <f t="shared" si="27"/>
        <v>0</v>
      </c>
      <c r="I114" s="849">
        <v>60</v>
      </c>
      <c r="J114" s="1500">
        <f t="shared" si="28"/>
        <v>0</v>
      </c>
      <c r="K114" s="1403">
        <f t="shared" si="26"/>
        <v>0</v>
      </c>
      <c r="L114" s="1019"/>
      <c r="M114" s="1328"/>
    </row>
    <row r="115" spans="1:15" s="1329" customFormat="1" ht="24" customHeight="1">
      <c r="A115" s="1481"/>
      <c r="B115" s="1331" t="s">
        <v>1187</v>
      </c>
      <c r="C115" s="801"/>
      <c r="D115" s="801"/>
      <c r="E115" s="1019">
        <v>5</v>
      </c>
      <c r="F115" s="1348" t="s">
        <v>438</v>
      </c>
      <c r="G115" s="1402">
        <v>168</v>
      </c>
      <c r="H115" s="1499">
        <f t="shared" si="27"/>
        <v>840</v>
      </c>
      <c r="I115" s="1496">
        <v>70</v>
      </c>
      <c r="J115" s="1500">
        <f t="shared" si="28"/>
        <v>350</v>
      </c>
      <c r="K115" s="1403">
        <f t="shared" si="26"/>
        <v>1190</v>
      </c>
      <c r="L115" s="1019"/>
      <c r="M115" s="1328"/>
    </row>
    <row r="116" spans="1:15" s="1329" customFormat="1" ht="24" customHeight="1">
      <c r="A116" s="1481"/>
      <c r="B116" s="1331" t="s">
        <v>1188</v>
      </c>
      <c r="C116" s="801"/>
      <c r="D116" s="801"/>
      <c r="E116" s="1019">
        <v>23</v>
      </c>
      <c r="F116" s="1348" t="s">
        <v>438</v>
      </c>
      <c r="G116" s="1402">
        <v>225</v>
      </c>
      <c r="H116" s="1499">
        <f t="shared" si="27"/>
        <v>5175</v>
      </c>
      <c r="I116" s="1496">
        <v>95</v>
      </c>
      <c r="J116" s="1500">
        <f t="shared" si="28"/>
        <v>2185</v>
      </c>
      <c r="K116" s="1403">
        <f t="shared" si="26"/>
        <v>7360</v>
      </c>
      <c r="L116" s="1019"/>
      <c r="M116" s="1328"/>
    </row>
    <row r="117" spans="1:15" s="1329" customFormat="1" ht="24" customHeight="1">
      <c r="A117" s="1481"/>
      <c r="B117" s="1331" t="s">
        <v>1189</v>
      </c>
      <c r="C117" s="801"/>
      <c r="D117" s="801"/>
      <c r="E117" s="1019"/>
      <c r="F117" s="1348" t="s">
        <v>438</v>
      </c>
      <c r="G117" s="1400">
        <v>357</v>
      </c>
      <c r="H117" s="1499">
        <f t="shared" si="27"/>
        <v>0</v>
      </c>
      <c r="I117" s="1400">
        <v>150</v>
      </c>
      <c r="J117" s="1500">
        <f t="shared" si="28"/>
        <v>0</v>
      </c>
      <c r="K117" s="1403">
        <f t="shared" si="26"/>
        <v>0</v>
      </c>
      <c r="L117" s="1019"/>
      <c r="M117" s="1328"/>
    </row>
    <row r="118" spans="1:15" s="1329" customFormat="1" ht="24" customHeight="1">
      <c r="A118" s="1481"/>
      <c r="B118" s="1331" t="s">
        <v>1190</v>
      </c>
      <c r="C118" s="801"/>
      <c r="D118" s="801"/>
      <c r="E118" s="1019">
        <v>75</v>
      </c>
      <c r="F118" s="1348" t="s">
        <v>438</v>
      </c>
      <c r="G118" s="1400">
        <v>467</v>
      </c>
      <c r="H118" s="1499">
        <f t="shared" si="27"/>
        <v>35025</v>
      </c>
      <c r="I118" s="1400">
        <v>200</v>
      </c>
      <c r="J118" s="1500">
        <f t="shared" si="28"/>
        <v>15000</v>
      </c>
      <c r="K118" s="1403">
        <f t="shared" si="26"/>
        <v>50025</v>
      </c>
      <c r="L118" s="1019"/>
      <c r="M118" s="1328"/>
    </row>
    <row r="119" spans="1:15" s="1329" customFormat="1" ht="24" customHeight="1">
      <c r="A119" s="1481"/>
      <c r="B119" s="1331" t="s">
        <v>951</v>
      </c>
      <c r="C119" s="801"/>
      <c r="D119" s="801"/>
      <c r="E119" s="1019"/>
      <c r="F119" s="1348" t="s">
        <v>438</v>
      </c>
      <c r="G119" s="1400">
        <v>650</v>
      </c>
      <c r="H119" s="1499">
        <f t="shared" si="27"/>
        <v>0</v>
      </c>
      <c r="I119" s="1400">
        <v>280</v>
      </c>
      <c r="J119" s="1500">
        <f t="shared" si="28"/>
        <v>0</v>
      </c>
      <c r="K119" s="1403">
        <f t="shared" si="26"/>
        <v>0</v>
      </c>
      <c r="L119" s="1019"/>
      <c r="M119" s="1328"/>
    </row>
    <row r="120" spans="1:15" s="1329" customFormat="1" ht="24" customHeight="1">
      <c r="A120" s="1481"/>
      <c r="B120" s="1331" t="s">
        <v>1809</v>
      </c>
      <c r="C120" s="801"/>
      <c r="D120" s="801"/>
      <c r="E120" s="1019"/>
      <c r="F120" s="1348" t="s">
        <v>438</v>
      </c>
      <c r="G120" s="1400">
        <v>1168</v>
      </c>
      <c r="H120" s="1499">
        <f t="shared" si="27"/>
        <v>0</v>
      </c>
      <c r="I120" s="1400">
        <v>420</v>
      </c>
      <c r="J120" s="1500">
        <f t="shared" si="28"/>
        <v>0</v>
      </c>
      <c r="K120" s="1403">
        <f t="shared" si="26"/>
        <v>0</v>
      </c>
      <c r="L120" s="1019"/>
      <c r="M120" s="1328"/>
    </row>
    <row r="121" spans="1:15" s="1329" customFormat="1" ht="24" customHeight="1">
      <c r="A121" s="1481"/>
      <c r="B121" s="1331" t="s">
        <v>1645</v>
      </c>
      <c r="C121" s="801"/>
      <c r="D121" s="801"/>
      <c r="E121" s="1019">
        <v>1</v>
      </c>
      <c r="F121" s="1310" t="s">
        <v>948</v>
      </c>
      <c r="G121" s="1402">
        <f>ROUND(SUM(H112:H120)*50%,)</f>
        <v>20676</v>
      </c>
      <c r="H121" s="1499">
        <f t="shared" si="27"/>
        <v>20676</v>
      </c>
      <c r="I121" s="1402">
        <f>ROUND(G121*0.3,)</f>
        <v>6203</v>
      </c>
      <c r="J121" s="1500">
        <f t="shared" si="28"/>
        <v>6203</v>
      </c>
      <c r="K121" s="1403">
        <f t="shared" si="26"/>
        <v>26879</v>
      </c>
      <c r="L121" s="1019"/>
      <c r="M121" s="1328"/>
    </row>
    <row r="122" spans="1:15" s="1329" customFormat="1" ht="24" customHeight="1">
      <c r="A122" s="1481"/>
      <c r="B122" s="1331" t="s">
        <v>1646</v>
      </c>
      <c r="C122" s="801"/>
      <c r="D122" s="801"/>
      <c r="E122" s="1019">
        <v>1</v>
      </c>
      <c r="F122" s="1310" t="s">
        <v>948</v>
      </c>
      <c r="G122" s="1402">
        <f>ROUND(SUM(H112:H120)*20%,)</f>
        <v>8270</v>
      </c>
      <c r="H122" s="905">
        <f t="shared" si="27"/>
        <v>8270</v>
      </c>
      <c r="I122" s="1402">
        <f>ROUND(SUM(J112:J121)*20%,)</f>
        <v>4775</v>
      </c>
      <c r="J122" s="1500">
        <f t="shared" si="28"/>
        <v>4775</v>
      </c>
      <c r="K122" s="1403">
        <f t="shared" si="26"/>
        <v>13045</v>
      </c>
      <c r="L122" s="1019"/>
      <c r="M122" s="1328"/>
    </row>
    <row r="123" spans="1:15" s="1329" customFormat="1" ht="24" customHeight="1">
      <c r="A123" s="1481"/>
      <c r="B123" s="1331" t="s">
        <v>1647</v>
      </c>
      <c r="C123" s="801"/>
      <c r="D123" s="801"/>
      <c r="E123" s="1019">
        <v>1</v>
      </c>
      <c r="F123" s="1310" t="s">
        <v>948</v>
      </c>
      <c r="G123" s="1402">
        <f>ROUND(SUM(H112:H120)*10%,)</f>
        <v>4135</v>
      </c>
      <c r="H123" s="905">
        <f t="shared" si="27"/>
        <v>4135</v>
      </c>
      <c r="I123" s="1402">
        <f>ROUND(SUM(J112:J121)*10%,)</f>
        <v>2387</v>
      </c>
      <c r="J123" s="1500">
        <f t="shared" si="28"/>
        <v>2387</v>
      </c>
      <c r="K123" s="1403">
        <f t="shared" si="26"/>
        <v>6522</v>
      </c>
      <c r="L123" s="1019"/>
      <c r="M123" s="1328"/>
    </row>
    <row r="124" spans="1:15" s="1329" customFormat="1" ht="24" customHeight="1">
      <c r="A124" s="1481" t="s">
        <v>1974</v>
      </c>
      <c r="B124" s="1331" t="s">
        <v>1917</v>
      </c>
      <c r="C124" s="801"/>
      <c r="D124" s="801"/>
      <c r="E124" s="1019"/>
      <c r="F124" s="1310"/>
      <c r="G124" s="1400"/>
      <c r="H124" s="773"/>
      <c r="I124" s="1400"/>
      <c r="J124" s="1401"/>
      <c r="K124" s="1019"/>
      <c r="L124" s="1019"/>
      <c r="M124" s="1328"/>
    </row>
    <row r="125" spans="1:15" s="1329" customFormat="1" ht="24" customHeight="1">
      <c r="A125" s="1481"/>
      <c r="B125" s="1331" t="s">
        <v>1822</v>
      </c>
      <c r="C125" s="801"/>
      <c r="D125" s="801"/>
      <c r="E125" s="1019"/>
      <c r="F125" s="1348" t="s">
        <v>438</v>
      </c>
      <c r="G125" s="1402">
        <v>16</v>
      </c>
      <c r="H125" s="1499">
        <f t="shared" ref="H125:H130" si="29">ROUND(E125*G125,)</f>
        <v>0</v>
      </c>
      <c r="I125" s="1496">
        <v>30</v>
      </c>
      <c r="J125" s="1500">
        <f t="shared" ref="J125:J130" si="30">ROUND(E125*I125,)</f>
        <v>0</v>
      </c>
      <c r="K125" s="1403">
        <f t="shared" ref="K125:K130" si="31">H125+J125</f>
        <v>0</v>
      </c>
      <c r="L125" s="2273" t="s">
        <v>2974</v>
      </c>
      <c r="M125" s="1328"/>
      <c r="N125" s="1329">
        <v>63.7</v>
      </c>
      <c r="O125" s="714">
        <f>ROUND(N125/4,)</f>
        <v>16</v>
      </c>
    </row>
    <row r="126" spans="1:15" s="1329" customFormat="1" ht="24" customHeight="1">
      <c r="A126" s="1481"/>
      <c r="B126" s="1331" t="s">
        <v>2029</v>
      </c>
      <c r="C126" s="801"/>
      <c r="D126" s="801"/>
      <c r="E126" s="1019">
        <v>2</v>
      </c>
      <c r="F126" s="1348" t="s">
        <v>438</v>
      </c>
      <c r="G126" s="1402">
        <v>20</v>
      </c>
      <c r="H126" s="1499">
        <f t="shared" si="29"/>
        <v>40</v>
      </c>
      <c r="I126" s="1496">
        <v>30</v>
      </c>
      <c r="J126" s="1500">
        <f t="shared" si="30"/>
        <v>60</v>
      </c>
      <c r="K126" s="1403">
        <f t="shared" si="31"/>
        <v>100</v>
      </c>
      <c r="L126" s="2273" t="s">
        <v>2974</v>
      </c>
      <c r="M126" s="1328"/>
      <c r="N126" s="1719">
        <v>79.17</v>
      </c>
      <c r="O126" s="714">
        <f>ROUND(N126/4,)</f>
        <v>20</v>
      </c>
    </row>
    <row r="127" spans="1:15" s="1329" customFormat="1" ht="24" customHeight="1">
      <c r="A127" s="1481"/>
      <c r="B127" s="1331" t="s">
        <v>1187</v>
      </c>
      <c r="C127" s="801"/>
      <c r="D127" s="801"/>
      <c r="E127" s="1019">
        <v>1</v>
      </c>
      <c r="F127" s="1348" t="s">
        <v>438</v>
      </c>
      <c r="G127" s="1402">
        <v>26</v>
      </c>
      <c r="H127" s="1499">
        <f t="shared" si="29"/>
        <v>26</v>
      </c>
      <c r="I127" s="1496">
        <v>30</v>
      </c>
      <c r="J127" s="1500">
        <f t="shared" si="30"/>
        <v>30</v>
      </c>
      <c r="K127" s="1403">
        <f t="shared" si="31"/>
        <v>56</v>
      </c>
      <c r="L127" s="2273" t="s">
        <v>2974</v>
      </c>
      <c r="M127" s="1328"/>
      <c r="N127" s="1719">
        <v>103.74</v>
      </c>
      <c r="O127" s="714">
        <f>ROUND(N127/4,)</f>
        <v>26</v>
      </c>
    </row>
    <row r="128" spans="1:15" s="1329" customFormat="1" ht="24" customHeight="1">
      <c r="A128" s="1481"/>
      <c r="B128" s="1331" t="s">
        <v>1645</v>
      </c>
      <c r="C128" s="801"/>
      <c r="D128" s="801"/>
      <c r="E128" s="1019">
        <v>1</v>
      </c>
      <c r="F128" s="1310" t="s">
        <v>948</v>
      </c>
      <c r="G128" s="1402">
        <f>SUM(H125:H127)*40%</f>
        <v>26.400000000000002</v>
      </c>
      <c r="H128" s="1499">
        <f t="shared" si="29"/>
        <v>26</v>
      </c>
      <c r="I128" s="1402">
        <f>ROUND(G128*0.3,)</f>
        <v>8</v>
      </c>
      <c r="J128" s="1500">
        <f t="shared" si="30"/>
        <v>8</v>
      </c>
      <c r="K128" s="1403">
        <f t="shared" si="31"/>
        <v>34</v>
      </c>
      <c r="L128" s="1019"/>
      <c r="M128" s="1328"/>
    </row>
    <row r="129" spans="1:13" s="1329" customFormat="1" ht="24" customHeight="1">
      <c r="A129" s="1481"/>
      <c r="B129" s="1331" t="s">
        <v>1646</v>
      </c>
      <c r="C129" s="801"/>
      <c r="D129" s="801"/>
      <c r="E129" s="1019">
        <v>1</v>
      </c>
      <c r="F129" s="1310" t="s">
        <v>948</v>
      </c>
      <c r="G129" s="1402">
        <f>SUM(H125:H127)*30%</f>
        <v>19.8</v>
      </c>
      <c r="H129" s="1499">
        <f t="shared" si="29"/>
        <v>20</v>
      </c>
      <c r="I129" s="1402">
        <f>ROUND(G129*0.3,)</f>
        <v>6</v>
      </c>
      <c r="J129" s="1500">
        <f t="shared" si="30"/>
        <v>6</v>
      </c>
      <c r="K129" s="1403">
        <f t="shared" si="31"/>
        <v>26</v>
      </c>
      <c r="L129" s="1019"/>
      <c r="M129" s="1328"/>
    </row>
    <row r="130" spans="1:13" s="1329" customFormat="1" ht="24" customHeight="1">
      <c r="A130" s="1481"/>
      <c r="B130" s="1331" t="s">
        <v>1647</v>
      </c>
      <c r="C130" s="801"/>
      <c r="D130" s="801"/>
      <c r="E130" s="1019">
        <v>1</v>
      </c>
      <c r="F130" s="1310" t="s">
        <v>948</v>
      </c>
      <c r="G130" s="1402">
        <f>SUM(H125:H127)*10%</f>
        <v>6.6000000000000005</v>
      </c>
      <c r="H130" s="1499">
        <f t="shared" si="29"/>
        <v>7</v>
      </c>
      <c r="I130" s="1402">
        <f>ROUND(G130*0.3,)</f>
        <v>2</v>
      </c>
      <c r="J130" s="1500">
        <f t="shared" si="30"/>
        <v>2</v>
      </c>
      <c r="K130" s="1403">
        <f t="shared" si="31"/>
        <v>9</v>
      </c>
      <c r="L130" s="1019"/>
      <c r="M130" s="1328"/>
    </row>
    <row r="131" spans="1:13" s="1329" customFormat="1" ht="24" customHeight="1">
      <c r="A131" s="1481"/>
      <c r="B131" s="1331" t="s">
        <v>957</v>
      </c>
      <c r="C131" s="801"/>
      <c r="D131" s="801"/>
      <c r="E131" s="1019"/>
      <c r="F131" s="1310"/>
      <c r="G131" s="1400"/>
      <c r="H131" s="773"/>
      <c r="I131" s="1400"/>
      <c r="J131" s="1401"/>
      <c r="K131" s="1019"/>
      <c r="L131" s="1019"/>
      <c r="M131" s="1328"/>
    </row>
    <row r="132" spans="1:13" s="1329" customFormat="1" ht="24" customHeight="1">
      <c r="A132" s="1481"/>
      <c r="B132" s="1331"/>
      <c r="C132" s="801"/>
      <c r="D132" s="801"/>
      <c r="E132" s="1019"/>
      <c r="F132" s="1310"/>
      <c r="G132" s="1400"/>
      <c r="H132" s="773"/>
      <c r="I132" s="1400"/>
      <c r="J132" s="1401"/>
      <c r="K132" s="1019"/>
      <c r="L132" s="1019"/>
      <c r="M132" s="1328"/>
    </row>
    <row r="133" spans="1:13" s="1329" customFormat="1" ht="24" customHeight="1">
      <c r="A133" s="1481"/>
      <c r="B133" s="1331"/>
      <c r="C133" s="801"/>
      <c r="D133" s="801"/>
      <c r="E133" s="1019"/>
      <c r="F133" s="1348"/>
      <c r="G133" s="1402"/>
      <c r="H133" s="1499"/>
      <c r="I133" s="1496"/>
      <c r="J133" s="1500"/>
      <c r="K133" s="1403"/>
      <c r="L133" s="1019"/>
      <c r="M133" s="1328"/>
    </row>
    <row r="134" spans="1:13" s="1329" customFormat="1" ht="24" customHeight="1">
      <c r="A134" s="1166"/>
      <c r="B134" s="2475" t="str">
        <f>"รวมราคารายการที่ "&amp;A110</f>
        <v>รวมราคารายการที่ 7.7</v>
      </c>
      <c r="C134" s="2476"/>
      <c r="D134" s="2476"/>
      <c r="E134" s="1167"/>
      <c r="F134" s="1381"/>
      <c r="G134" s="1168"/>
      <c r="H134" s="1169">
        <f>SUM(H110:H131)</f>
        <v>74551</v>
      </c>
      <c r="I134" s="1170"/>
      <c r="J134" s="1382">
        <f>SUM(J110:J131)</f>
        <v>31141</v>
      </c>
      <c r="K134" s="1171">
        <f>SUM(K110:K131)</f>
        <v>105692</v>
      </c>
      <c r="L134" s="1171"/>
      <c r="M134" s="1328"/>
    </row>
    <row r="135" spans="1:13" s="1329" customFormat="1" ht="24" customHeight="1">
      <c r="A135" s="1405" t="s">
        <v>2038</v>
      </c>
      <c r="B135" s="1326" t="s">
        <v>1921</v>
      </c>
      <c r="C135" s="1347"/>
      <c r="D135" s="901"/>
      <c r="E135" s="1019"/>
      <c r="F135" s="1310"/>
      <c r="G135" s="1400"/>
      <c r="H135" s="864"/>
      <c r="I135" s="1400"/>
      <c r="J135" s="1395"/>
      <c r="K135" s="966"/>
      <c r="L135" s="1030"/>
      <c r="M135" s="1328"/>
    </row>
    <row r="136" spans="1:13" s="1329" customFormat="1" ht="24" customHeight="1">
      <c r="A136" s="1330" t="s">
        <v>1979</v>
      </c>
      <c r="B136" s="1331" t="s">
        <v>1923</v>
      </c>
      <c r="C136" s="1349"/>
      <c r="D136" s="801"/>
      <c r="E136" s="966"/>
      <c r="F136" s="1249"/>
      <c r="G136" s="1394"/>
      <c r="H136" s="864"/>
      <c r="I136" s="1394"/>
      <c r="J136" s="1395"/>
      <c r="K136" s="966"/>
      <c r="L136" s="966"/>
      <c r="M136" s="1328"/>
    </row>
    <row r="137" spans="1:13" s="1329" customFormat="1" ht="24" customHeight="1">
      <c r="A137" s="1330"/>
      <c r="B137" s="1331" t="s">
        <v>1822</v>
      </c>
      <c r="C137" s="1349"/>
      <c r="D137" s="890"/>
      <c r="E137" s="1019"/>
      <c r="F137" s="1348" t="s">
        <v>438</v>
      </c>
      <c r="G137" s="1257">
        <v>69</v>
      </c>
      <c r="H137" s="796">
        <f t="shared" ref="H137:H150" si="32">ROUND(E137*G137,)</f>
        <v>0</v>
      </c>
      <c r="I137" s="849">
        <f>ROUND(20*1*1.3,)</f>
        <v>26</v>
      </c>
      <c r="J137" s="1476">
        <f t="shared" ref="J137:J150" si="33">ROUND(E137*I137,)</f>
        <v>0</v>
      </c>
      <c r="K137" s="1014">
        <f t="shared" ref="K137:K151" si="34">H137+J137</f>
        <v>0</v>
      </c>
      <c r="L137" s="1030"/>
      <c r="M137" s="1328"/>
    </row>
    <row r="138" spans="1:13" s="1329" customFormat="1" ht="24" customHeight="1">
      <c r="A138" s="1330"/>
      <c r="B138" s="1331" t="s">
        <v>2029</v>
      </c>
      <c r="C138" s="1349"/>
      <c r="D138" s="890"/>
      <c r="E138" s="1019">
        <f>E126</f>
        <v>2</v>
      </c>
      <c r="F138" s="1348" t="s">
        <v>438</v>
      </c>
      <c r="G138" s="1257">
        <v>92</v>
      </c>
      <c r="H138" s="796">
        <f t="shared" si="32"/>
        <v>184</v>
      </c>
      <c r="I138" s="849">
        <f>ROUND(20*1.25*1.3,)</f>
        <v>33</v>
      </c>
      <c r="J138" s="1476">
        <f t="shared" si="33"/>
        <v>66</v>
      </c>
      <c r="K138" s="1014">
        <f t="shared" si="34"/>
        <v>250</v>
      </c>
      <c r="L138" s="1030"/>
      <c r="M138" s="1328"/>
    </row>
    <row r="139" spans="1:13" s="1329" customFormat="1" ht="24" customHeight="1">
      <c r="A139" s="1330" t="s">
        <v>1980</v>
      </c>
      <c r="B139" s="1331" t="s">
        <v>2031</v>
      </c>
      <c r="C139" s="1349"/>
      <c r="D139" s="890"/>
      <c r="E139" s="966"/>
      <c r="F139" s="1348"/>
      <c r="G139" s="1394"/>
      <c r="H139" s="905"/>
      <c r="I139" s="1406"/>
      <c r="J139" s="1407"/>
      <c r="K139" s="1030"/>
      <c r="L139" s="1030"/>
      <c r="M139" s="1328"/>
    </row>
    <row r="140" spans="1:13" s="1329" customFormat="1" ht="24" customHeight="1">
      <c r="A140" s="1330"/>
      <c r="B140" s="1331" t="s">
        <v>2028</v>
      </c>
      <c r="C140" s="1349"/>
      <c r="D140" s="890"/>
      <c r="E140" s="1019"/>
      <c r="F140" s="1348" t="s">
        <v>438</v>
      </c>
      <c r="G140" s="1479">
        <v>69</v>
      </c>
      <c r="H140" s="796">
        <f t="shared" si="32"/>
        <v>0</v>
      </c>
      <c r="I140" s="1480">
        <f>ROUND(20*0.75*1.3,)</f>
        <v>20</v>
      </c>
      <c r="J140" s="1476">
        <f t="shared" si="33"/>
        <v>0</v>
      </c>
      <c r="K140" s="1014">
        <f t="shared" si="34"/>
        <v>0</v>
      </c>
      <c r="L140" s="1030"/>
      <c r="M140" s="1328"/>
    </row>
    <row r="141" spans="1:13" s="1329" customFormat="1" ht="24" customHeight="1">
      <c r="A141" s="1330"/>
      <c r="B141" s="1331" t="s">
        <v>1822</v>
      </c>
      <c r="C141" s="1349"/>
      <c r="D141" s="801"/>
      <c r="E141" s="1019">
        <f>E113</f>
        <v>3</v>
      </c>
      <c r="F141" s="1249" t="s">
        <v>438</v>
      </c>
      <c r="G141" s="1257">
        <v>85</v>
      </c>
      <c r="H141" s="796">
        <f t="shared" si="32"/>
        <v>255</v>
      </c>
      <c r="I141" s="849">
        <f>ROUND(20*1*1.3,)</f>
        <v>26</v>
      </c>
      <c r="J141" s="1476">
        <f t="shared" si="33"/>
        <v>78</v>
      </c>
      <c r="K141" s="1014">
        <f t="shared" si="34"/>
        <v>333</v>
      </c>
      <c r="L141" s="1030"/>
      <c r="M141" s="1328"/>
    </row>
    <row r="142" spans="1:13" s="1329" customFormat="1" ht="24" customHeight="1">
      <c r="A142" s="1330" t="s">
        <v>1981</v>
      </c>
      <c r="B142" s="1331" t="s">
        <v>2113</v>
      </c>
      <c r="C142" s="1349"/>
      <c r="D142" s="890"/>
      <c r="E142" s="966"/>
      <c r="F142" s="1348"/>
      <c r="G142" s="1394"/>
      <c r="H142" s="905"/>
      <c r="I142" s="1406"/>
      <c r="J142" s="1407"/>
      <c r="K142" s="1030"/>
      <c r="L142" s="1030"/>
      <c r="M142" s="1328"/>
    </row>
    <row r="143" spans="1:13" s="1329" customFormat="1" ht="24" customHeight="1">
      <c r="A143" s="1330"/>
      <c r="B143" s="1331" t="s">
        <v>1186</v>
      </c>
      <c r="C143" s="1349"/>
      <c r="D143" s="801"/>
      <c r="E143" s="1019"/>
      <c r="F143" s="1249" t="s">
        <v>438</v>
      </c>
      <c r="G143" s="1394">
        <v>108</v>
      </c>
      <c r="H143" s="796">
        <f t="shared" si="32"/>
        <v>0</v>
      </c>
      <c r="I143" s="1406">
        <v>33</v>
      </c>
      <c r="J143" s="1476">
        <f t="shared" si="33"/>
        <v>0</v>
      </c>
      <c r="K143" s="1014">
        <f t="shared" si="34"/>
        <v>0</v>
      </c>
      <c r="L143" s="1030"/>
      <c r="M143" s="1328"/>
    </row>
    <row r="144" spans="1:13" s="1329" customFormat="1" ht="24" customHeight="1">
      <c r="A144" s="1481"/>
      <c r="B144" s="1331" t="s">
        <v>1187</v>
      </c>
      <c r="C144" s="801"/>
      <c r="D144" s="801"/>
      <c r="E144" s="1019">
        <f>E115</f>
        <v>5</v>
      </c>
      <c r="F144" s="1348" t="s">
        <v>438</v>
      </c>
      <c r="G144" s="1394">
        <v>164</v>
      </c>
      <c r="H144" s="796">
        <f t="shared" si="32"/>
        <v>820</v>
      </c>
      <c r="I144" s="1406">
        <v>39</v>
      </c>
      <c r="J144" s="1476">
        <f t="shared" si="33"/>
        <v>195</v>
      </c>
      <c r="K144" s="1014">
        <f t="shared" si="34"/>
        <v>1015</v>
      </c>
      <c r="L144" s="1019"/>
      <c r="M144" s="1328"/>
    </row>
    <row r="145" spans="1:13" s="1329" customFormat="1" ht="24" customHeight="1">
      <c r="A145" s="1481"/>
      <c r="B145" s="1331" t="s">
        <v>1188</v>
      </c>
      <c r="C145" s="801"/>
      <c r="D145" s="801"/>
      <c r="E145" s="1019">
        <f>E116</f>
        <v>23</v>
      </c>
      <c r="F145" s="1348" t="s">
        <v>438</v>
      </c>
      <c r="G145" s="1394">
        <v>200</v>
      </c>
      <c r="H145" s="796">
        <f t="shared" si="32"/>
        <v>4600</v>
      </c>
      <c r="I145" s="1406">
        <v>52</v>
      </c>
      <c r="J145" s="1476">
        <f t="shared" si="33"/>
        <v>1196</v>
      </c>
      <c r="K145" s="1014">
        <f t="shared" si="34"/>
        <v>5796</v>
      </c>
      <c r="L145" s="1019"/>
      <c r="M145" s="1328"/>
    </row>
    <row r="146" spans="1:13" s="1329" customFormat="1" ht="24" customHeight="1">
      <c r="A146" s="1481"/>
      <c r="B146" s="1331" t="s">
        <v>1189</v>
      </c>
      <c r="C146" s="801"/>
      <c r="D146" s="801"/>
      <c r="E146" s="1019"/>
      <c r="F146" s="1348" t="s">
        <v>438</v>
      </c>
      <c r="G146" s="1394">
        <v>256</v>
      </c>
      <c r="H146" s="796">
        <f t="shared" si="32"/>
        <v>0</v>
      </c>
      <c r="I146" s="1406">
        <v>65</v>
      </c>
      <c r="J146" s="1476">
        <f t="shared" si="33"/>
        <v>0</v>
      </c>
      <c r="K146" s="1014">
        <f t="shared" si="34"/>
        <v>0</v>
      </c>
      <c r="L146" s="1019"/>
      <c r="M146" s="1328"/>
    </row>
    <row r="147" spans="1:13" s="1329" customFormat="1" ht="24" customHeight="1">
      <c r="A147" s="1481"/>
      <c r="B147" s="1331" t="s">
        <v>1190</v>
      </c>
      <c r="C147" s="801"/>
      <c r="D147" s="801"/>
      <c r="E147" s="1019">
        <f>E118</f>
        <v>75</v>
      </c>
      <c r="F147" s="1348" t="s">
        <v>438</v>
      </c>
      <c r="G147" s="1394">
        <v>302</v>
      </c>
      <c r="H147" s="796">
        <f t="shared" si="32"/>
        <v>22650</v>
      </c>
      <c r="I147" s="1406">
        <v>78</v>
      </c>
      <c r="J147" s="1476">
        <f t="shared" si="33"/>
        <v>5850</v>
      </c>
      <c r="K147" s="1014">
        <f t="shared" si="34"/>
        <v>28500</v>
      </c>
      <c r="L147" s="1019"/>
      <c r="M147" s="1328"/>
    </row>
    <row r="148" spans="1:13" s="1329" customFormat="1" ht="24" customHeight="1">
      <c r="A148" s="1481"/>
      <c r="B148" s="1331" t="s">
        <v>951</v>
      </c>
      <c r="C148" s="801"/>
      <c r="D148" s="801"/>
      <c r="E148" s="1019"/>
      <c r="F148" s="1348" t="s">
        <v>438</v>
      </c>
      <c r="G148" s="1394">
        <v>367</v>
      </c>
      <c r="H148" s="796">
        <f t="shared" si="32"/>
        <v>0</v>
      </c>
      <c r="I148" s="1406">
        <v>104</v>
      </c>
      <c r="J148" s="1476">
        <f t="shared" si="33"/>
        <v>0</v>
      </c>
      <c r="K148" s="1014">
        <f t="shared" si="34"/>
        <v>0</v>
      </c>
      <c r="L148" s="1019"/>
      <c r="M148" s="1328"/>
    </row>
    <row r="149" spans="1:13" s="1329" customFormat="1" ht="24" customHeight="1">
      <c r="A149" s="1330" t="s">
        <v>1982</v>
      </c>
      <c r="B149" s="1331" t="s">
        <v>1925</v>
      </c>
      <c r="C149" s="1349"/>
      <c r="D149" s="890"/>
      <c r="E149" s="966"/>
      <c r="F149" s="1348"/>
      <c r="G149" s="1394"/>
      <c r="H149" s="905"/>
      <c r="I149" s="1406"/>
      <c r="J149" s="1407"/>
      <c r="K149" s="1030"/>
      <c r="L149" s="1030"/>
      <c r="M149" s="1328"/>
    </row>
    <row r="150" spans="1:13" s="1329" customFormat="1" ht="24" customHeight="1">
      <c r="A150" s="1481"/>
      <c r="B150" s="1331" t="s">
        <v>1809</v>
      </c>
      <c r="C150" s="801"/>
      <c r="D150" s="801"/>
      <c r="E150" s="1019"/>
      <c r="F150" s="1348" t="s">
        <v>438</v>
      </c>
      <c r="G150" s="1400">
        <v>465</v>
      </c>
      <c r="H150" s="796">
        <f t="shared" si="32"/>
        <v>0</v>
      </c>
      <c r="I150" s="1400">
        <v>465</v>
      </c>
      <c r="J150" s="1476">
        <f t="shared" si="33"/>
        <v>0</v>
      </c>
      <c r="K150" s="1014">
        <f t="shared" si="34"/>
        <v>0</v>
      </c>
      <c r="L150" s="1019"/>
      <c r="M150" s="1328"/>
    </row>
    <row r="151" spans="1:13" s="1329" customFormat="1" ht="24" customHeight="1">
      <c r="A151" s="1330"/>
      <c r="B151" s="1331" t="s">
        <v>957</v>
      </c>
      <c r="C151" s="1349"/>
      <c r="D151" s="890"/>
      <c r="E151" s="966"/>
      <c r="F151" s="1348"/>
      <c r="G151" s="1394"/>
      <c r="H151" s="905"/>
      <c r="I151" s="1406"/>
      <c r="J151" s="1407"/>
      <c r="K151" s="1014">
        <f t="shared" si="34"/>
        <v>0</v>
      </c>
      <c r="L151" s="1030"/>
      <c r="M151" s="1328"/>
    </row>
    <row r="152" spans="1:13" s="1329" customFormat="1" ht="24" customHeight="1">
      <c r="A152" s="1166"/>
      <c r="B152" s="2475" t="str">
        <f>"รวมราคารายการที่ "&amp;A135</f>
        <v>รวมราคารายการที่ 7.8</v>
      </c>
      <c r="C152" s="2476"/>
      <c r="D152" s="2476"/>
      <c r="E152" s="1167"/>
      <c r="F152" s="1381"/>
      <c r="G152" s="1168"/>
      <c r="H152" s="1169">
        <f>SUM(H135:H151)</f>
        <v>28509</v>
      </c>
      <c r="I152" s="1170"/>
      <c r="J152" s="1382">
        <f>SUM(J135:J151)</f>
        <v>7385</v>
      </c>
      <c r="K152" s="1171">
        <f>SUM(K135:K151)</f>
        <v>35894</v>
      </c>
      <c r="L152" s="1171"/>
      <c r="M152" s="1328"/>
    </row>
    <row r="153" spans="1:13" s="1329" customFormat="1" ht="24" customHeight="1">
      <c r="A153" s="1325" t="s">
        <v>2039</v>
      </c>
      <c r="B153" s="1326" t="s">
        <v>1927</v>
      </c>
      <c r="C153" s="1347"/>
      <c r="D153" s="901"/>
      <c r="E153" s="1019"/>
      <c r="F153" s="1310"/>
      <c r="G153" s="1400"/>
      <c r="H153" s="864"/>
      <c r="I153" s="1400"/>
      <c r="J153" s="1395"/>
      <c r="K153" s="966"/>
      <c r="L153" s="1030"/>
      <c r="M153" s="1328"/>
    </row>
    <row r="154" spans="1:13" s="1329" customFormat="1" ht="24" customHeight="1">
      <c r="A154" s="1330" t="s">
        <v>2040</v>
      </c>
      <c r="B154" s="1331" t="s">
        <v>1929</v>
      </c>
      <c r="C154" s="1349"/>
      <c r="D154" s="801"/>
      <c r="E154" s="966"/>
      <c r="F154" s="1249"/>
      <c r="G154" s="1394"/>
      <c r="H154" s="864"/>
      <c r="I154" s="1394"/>
      <c r="J154" s="1395"/>
      <c r="K154" s="966"/>
      <c r="L154" s="966"/>
      <c r="M154" s="1328"/>
    </row>
    <row r="155" spans="1:13" s="1329" customFormat="1" ht="24" customHeight="1">
      <c r="A155" s="791"/>
      <c r="B155" s="1127" t="s">
        <v>1184</v>
      </c>
      <c r="C155" s="1233"/>
      <c r="D155" s="792"/>
      <c r="E155" s="1501">
        <f>E78*2</f>
        <v>12</v>
      </c>
      <c r="F155" s="1502" t="s">
        <v>240</v>
      </c>
      <c r="G155" s="1503">
        <v>880</v>
      </c>
      <c r="H155" s="1499">
        <f t="shared" ref="H155:H159" si="35">ROUND(E155*G155,)</f>
        <v>10560</v>
      </c>
      <c r="I155" s="1480">
        <v>150</v>
      </c>
      <c r="J155" s="1500">
        <f t="shared" ref="J155:J159" si="36">ROUND(E155*I155,)</f>
        <v>1800</v>
      </c>
      <c r="K155" s="1403">
        <f t="shared" ref="K155:K159" si="37">H155+J155</f>
        <v>12360</v>
      </c>
      <c r="L155" s="2273" t="s">
        <v>2974</v>
      </c>
      <c r="M155" s="1328"/>
    </row>
    <row r="156" spans="1:13" s="1329" customFormat="1" ht="24" customHeight="1">
      <c r="A156" s="791"/>
      <c r="B156" s="1127" t="s">
        <v>1185</v>
      </c>
      <c r="C156" s="1233"/>
      <c r="D156" s="792"/>
      <c r="E156" s="1345"/>
      <c r="F156" s="1140" t="s">
        <v>240</v>
      </c>
      <c r="G156" s="1504">
        <v>1316</v>
      </c>
      <c r="H156" s="796">
        <f t="shared" si="35"/>
        <v>0</v>
      </c>
      <c r="I156" s="849">
        <v>200</v>
      </c>
      <c r="J156" s="1476">
        <f t="shared" si="36"/>
        <v>0</v>
      </c>
      <c r="K156" s="1014">
        <f t="shared" si="37"/>
        <v>0</v>
      </c>
      <c r="L156" s="2273" t="s">
        <v>2974</v>
      </c>
      <c r="M156" s="1328"/>
    </row>
    <row r="157" spans="1:13" s="1329" customFormat="1" ht="24" customHeight="1">
      <c r="A157" s="791"/>
      <c r="B157" s="1127" t="s">
        <v>1186</v>
      </c>
      <c r="C157" s="1233"/>
      <c r="D157" s="792"/>
      <c r="E157" s="1345">
        <f>E80*2</f>
        <v>6</v>
      </c>
      <c r="F157" s="1140" t="s">
        <v>240</v>
      </c>
      <c r="G157" s="1504">
        <v>1984</v>
      </c>
      <c r="H157" s="796">
        <f t="shared" si="35"/>
        <v>11904</v>
      </c>
      <c r="I157" s="849">
        <v>250</v>
      </c>
      <c r="J157" s="1476">
        <f t="shared" si="36"/>
        <v>1500</v>
      </c>
      <c r="K157" s="1014">
        <f t="shared" si="37"/>
        <v>13404</v>
      </c>
      <c r="L157" s="2273" t="s">
        <v>2974</v>
      </c>
      <c r="M157" s="1328"/>
    </row>
    <row r="158" spans="1:13" s="1329" customFormat="1" ht="24" customHeight="1">
      <c r="A158" s="791"/>
      <c r="B158" s="1127" t="s">
        <v>1187</v>
      </c>
      <c r="C158" s="1233"/>
      <c r="D158" s="792"/>
      <c r="E158" s="1345"/>
      <c r="F158" s="1140" t="s">
        <v>240</v>
      </c>
      <c r="G158" s="1504">
        <v>2610</v>
      </c>
      <c r="H158" s="796">
        <f t="shared" si="35"/>
        <v>0</v>
      </c>
      <c r="I158" s="849">
        <v>300</v>
      </c>
      <c r="J158" s="1476">
        <f t="shared" si="36"/>
        <v>0</v>
      </c>
      <c r="K158" s="1014">
        <f t="shared" si="37"/>
        <v>0</v>
      </c>
      <c r="L158" s="2273" t="s">
        <v>2974</v>
      </c>
      <c r="M158" s="1328"/>
    </row>
    <row r="159" spans="1:13" s="1329" customFormat="1" ht="24" customHeight="1">
      <c r="A159" s="791"/>
      <c r="B159" s="1127" t="s">
        <v>1188</v>
      </c>
      <c r="C159" s="1233"/>
      <c r="D159" s="792"/>
      <c r="E159" s="1345"/>
      <c r="F159" s="1140" t="s">
        <v>240</v>
      </c>
      <c r="G159" s="1504">
        <v>4040</v>
      </c>
      <c r="H159" s="796">
        <f t="shared" si="35"/>
        <v>0</v>
      </c>
      <c r="I159" s="849">
        <v>400</v>
      </c>
      <c r="J159" s="1476">
        <f t="shared" si="36"/>
        <v>0</v>
      </c>
      <c r="K159" s="1014">
        <f t="shared" si="37"/>
        <v>0</v>
      </c>
      <c r="L159" s="2273" t="s">
        <v>2974</v>
      </c>
      <c r="M159" s="1328"/>
    </row>
    <row r="160" spans="1:13" s="1329" customFormat="1" ht="24" customHeight="1">
      <c r="A160" s="1330" t="s">
        <v>2183</v>
      </c>
      <c r="B160" s="1331" t="s">
        <v>1942</v>
      </c>
      <c r="C160" s="1349"/>
      <c r="D160" s="801"/>
      <c r="E160" s="966"/>
      <c r="F160" s="1249"/>
      <c r="G160" s="1394"/>
      <c r="H160" s="864"/>
      <c r="I160" s="1394"/>
      <c r="J160" s="1395"/>
      <c r="K160" s="966"/>
      <c r="L160" s="966"/>
      <c r="M160" s="1328"/>
    </row>
    <row r="161" spans="1:13" s="1329" customFormat="1" ht="24" customHeight="1">
      <c r="A161" s="1330"/>
      <c r="B161" s="1331" t="s">
        <v>1184</v>
      </c>
      <c r="C161" s="1349"/>
      <c r="D161" s="890"/>
      <c r="E161" s="966"/>
      <c r="F161" s="1348" t="s">
        <v>240</v>
      </c>
      <c r="G161" s="1394"/>
      <c r="H161" s="905"/>
      <c r="I161" s="1406"/>
      <c r="J161" s="1395"/>
      <c r="K161" s="1030"/>
      <c r="L161" s="966"/>
      <c r="M161" s="1328"/>
    </row>
    <row r="162" spans="1:13" s="1329" customFormat="1" ht="24" customHeight="1">
      <c r="A162" s="1330"/>
      <c r="B162" s="1331" t="s">
        <v>1185</v>
      </c>
      <c r="C162" s="1349"/>
      <c r="D162" s="890"/>
      <c r="E162" s="966"/>
      <c r="F162" s="1348" t="s">
        <v>240</v>
      </c>
      <c r="G162" s="1394"/>
      <c r="H162" s="905"/>
      <c r="I162" s="1406"/>
      <c r="J162" s="1407"/>
      <c r="K162" s="1030"/>
      <c r="L162" s="966"/>
      <c r="M162" s="1328"/>
    </row>
    <row r="163" spans="1:13" s="1329" customFormat="1" ht="24" customHeight="1">
      <c r="A163" s="1330"/>
      <c r="B163" s="1331" t="s">
        <v>1186</v>
      </c>
      <c r="C163" s="1349"/>
      <c r="D163" s="890"/>
      <c r="E163" s="966">
        <f>E157</f>
        <v>6</v>
      </c>
      <c r="F163" s="1348" t="s">
        <v>240</v>
      </c>
      <c r="G163" s="1394">
        <f>3700*0.5</f>
        <v>1850</v>
      </c>
      <c r="H163" s="796">
        <f t="shared" ref="H163" si="38">ROUND(E163*G163,)</f>
        <v>11100</v>
      </c>
      <c r="I163" s="849">
        <v>250</v>
      </c>
      <c r="J163" s="1476">
        <f t="shared" ref="J163" si="39">ROUND(E163*I163,)</f>
        <v>1500</v>
      </c>
      <c r="K163" s="1014">
        <f t="shared" ref="K163" si="40">H163+J163</f>
        <v>12600</v>
      </c>
      <c r="L163" s="966"/>
      <c r="M163" s="1328"/>
    </row>
    <row r="164" spans="1:13" s="1329" customFormat="1" ht="24" customHeight="1">
      <c r="A164" s="1330"/>
      <c r="B164" s="1127" t="s">
        <v>1187</v>
      </c>
      <c r="C164" s="1233"/>
      <c r="D164" s="792"/>
      <c r="E164" s="1345"/>
      <c r="F164" s="1140" t="s">
        <v>240</v>
      </c>
      <c r="G164" s="1394"/>
      <c r="H164" s="905"/>
      <c r="I164" s="1406"/>
      <c r="J164" s="1407"/>
      <c r="K164" s="1030"/>
      <c r="L164" s="966"/>
      <c r="M164" s="1328"/>
    </row>
    <row r="165" spans="1:13" s="1329" customFormat="1" ht="24" customHeight="1">
      <c r="A165" s="1330"/>
      <c r="B165" s="1127" t="s">
        <v>1188</v>
      </c>
      <c r="C165" s="1233"/>
      <c r="D165" s="792"/>
      <c r="E165" s="1345"/>
      <c r="F165" s="1140" t="s">
        <v>240</v>
      </c>
      <c r="G165" s="1394"/>
      <c r="H165" s="905"/>
      <c r="I165" s="1406"/>
      <c r="J165" s="1407"/>
      <c r="K165" s="1030"/>
      <c r="L165" s="966"/>
      <c r="M165" s="1328"/>
    </row>
    <row r="166" spans="1:13" s="1329" customFormat="1" ht="24" customHeight="1">
      <c r="A166" s="1330" t="s">
        <v>2184</v>
      </c>
      <c r="B166" s="1331" t="s">
        <v>1656</v>
      </c>
      <c r="C166" s="1349"/>
      <c r="D166" s="801"/>
      <c r="E166" s="966"/>
      <c r="F166" s="1249"/>
      <c r="G166" s="1394"/>
      <c r="H166" s="864"/>
      <c r="I166" s="1394"/>
      <c r="J166" s="1395"/>
      <c r="K166" s="966"/>
      <c r="L166" s="966"/>
      <c r="M166" s="1328"/>
    </row>
    <row r="167" spans="1:13" s="1329" customFormat="1" ht="24" customHeight="1">
      <c r="A167" s="1330"/>
      <c r="B167" s="1331" t="s">
        <v>1185</v>
      </c>
      <c r="C167" s="1349"/>
      <c r="D167" s="801"/>
      <c r="E167" s="966"/>
      <c r="F167" s="1249" t="s">
        <v>240</v>
      </c>
      <c r="G167" s="1394"/>
      <c r="H167" s="864"/>
      <c r="I167" s="1394"/>
      <c r="J167" s="1395"/>
      <c r="K167" s="966"/>
      <c r="L167" s="1022"/>
      <c r="M167" s="1328"/>
    </row>
    <row r="168" spans="1:13" s="1329" customFormat="1" ht="24" customHeight="1">
      <c r="A168" s="1330" t="s">
        <v>2185</v>
      </c>
      <c r="B168" s="1331" t="s">
        <v>1940</v>
      </c>
      <c r="C168" s="1349"/>
      <c r="D168" s="801"/>
      <c r="E168" s="966"/>
      <c r="F168" s="1249"/>
      <c r="G168" s="1394"/>
      <c r="H168" s="864"/>
      <c r="I168" s="1394"/>
      <c r="J168" s="1395"/>
      <c r="K168" s="966"/>
      <c r="L168" s="966"/>
      <c r="M168" s="1328"/>
    </row>
    <row r="169" spans="1:13" s="1329" customFormat="1" ht="24" customHeight="1">
      <c r="A169" s="791"/>
      <c r="B169" s="1127" t="s">
        <v>1184</v>
      </c>
      <c r="C169" s="1233"/>
      <c r="D169" s="792"/>
      <c r="E169" s="1501"/>
      <c r="F169" s="1502" t="s">
        <v>240</v>
      </c>
      <c r="G169" s="1479">
        <v>350</v>
      </c>
      <c r="H169" s="1499">
        <f t="shared" ref="H169:H172" si="41">ROUND(E169*G169,)</f>
        <v>0</v>
      </c>
      <c r="I169" s="1480">
        <v>150</v>
      </c>
      <c r="J169" s="1500">
        <f t="shared" ref="J169:J172" si="42">ROUND(E169*I169,)</f>
        <v>0</v>
      </c>
      <c r="K169" s="1403">
        <f t="shared" ref="K169:K172" si="43">H169+J169</f>
        <v>0</v>
      </c>
      <c r="L169" s="1014"/>
      <c r="M169" s="1328"/>
    </row>
    <row r="170" spans="1:13" s="1329" customFormat="1" ht="24" customHeight="1">
      <c r="A170" s="791"/>
      <c r="B170" s="1127" t="s">
        <v>1186</v>
      </c>
      <c r="C170" s="1233"/>
      <c r="D170" s="792"/>
      <c r="E170" s="1345">
        <f>E163/2</f>
        <v>3</v>
      </c>
      <c r="F170" s="1140" t="s">
        <v>240</v>
      </c>
      <c r="G170" s="1257">
        <v>1084</v>
      </c>
      <c r="H170" s="796">
        <f t="shared" si="41"/>
        <v>3252</v>
      </c>
      <c r="I170" s="849">
        <v>250</v>
      </c>
      <c r="J170" s="1476">
        <f t="shared" si="42"/>
        <v>750</v>
      </c>
      <c r="K170" s="1014">
        <f t="shared" si="43"/>
        <v>4002</v>
      </c>
      <c r="L170" s="1014"/>
      <c r="M170" s="1328"/>
    </row>
    <row r="171" spans="1:13" s="1329" customFormat="1" ht="24" customHeight="1">
      <c r="A171" s="791"/>
      <c r="B171" s="1127" t="s">
        <v>1187</v>
      </c>
      <c r="C171" s="1233"/>
      <c r="D171" s="792"/>
      <c r="E171" s="1345"/>
      <c r="F171" s="1140" t="s">
        <v>240</v>
      </c>
      <c r="G171" s="1257">
        <v>1710</v>
      </c>
      <c r="H171" s="796">
        <f t="shared" si="41"/>
        <v>0</v>
      </c>
      <c r="I171" s="849">
        <v>300</v>
      </c>
      <c r="J171" s="1476">
        <f t="shared" si="42"/>
        <v>0</v>
      </c>
      <c r="K171" s="1014">
        <f t="shared" si="43"/>
        <v>0</v>
      </c>
      <c r="L171" s="1014"/>
      <c r="M171" s="1328"/>
    </row>
    <row r="172" spans="1:13" s="1329" customFormat="1" ht="24" customHeight="1">
      <c r="A172" s="791"/>
      <c r="B172" s="1127" t="s">
        <v>1188</v>
      </c>
      <c r="C172" s="1233"/>
      <c r="D172" s="792"/>
      <c r="E172" s="1345"/>
      <c r="F172" s="1140" t="s">
        <v>240</v>
      </c>
      <c r="G172" s="1504">
        <v>2839</v>
      </c>
      <c r="H172" s="796">
        <f t="shared" si="41"/>
        <v>0</v>
      </c>
      <c r="I172" s="849">
        <v>400</v>
      </c>
      <c r="J172" s="1476">
        <f t="shared" si="42"/>
        <v>0</v>
      </c>
      <c r="K172" s="1014">
        <f t="shared" si="43"/>
        <v>0</v>
      </c>
      <c r="L172" s="1014"/>
      <c r="M172" s="1328"/>
    </row>
    <row r="173" spans="1:13" s="1329" customFormat="1" ht="24" customHeight="1">
      <c r="A173" s="1330"/>
      <c r="B173" s="1331" t="s">
        <v>957</v>
      </c>
      <c r="C173" s="1349"/>
      <c r="D173" s="890"/>
      <c r="E173" s="966"/>
      <c r="F173" s="1348"/>
      <c r="G173" s="1394"/>
      <c r="H173" s="905"/>
      <c r="I173" s="1406"/>
      <c r="J173" s="1407"/>
      <c r="K173" s="1030"/>
      <c r="L173" s="1030"/>
      <c r="M173" s="1328"/>
    </row>
    <row r="174" spans="1:13" s="1329" customFormat="1" ht="24" customHeight="1">
      <c r="A174" s="1330"/>
      <c r="B174" s="1331"/>
      <c r="C174" s="1349"/>
      <c r="D174" s="801"/>
      <c r="E174" s="966"/>
      <c r="F174" s="1249"/>
      <c r="G174" s="1394"/>
      <c r="H174" s="864"/>
      <c r="I174" s="1394"/>
      <c r="J174" s="1395"/>
      <c r="K174" s="966"/>
      <c r="L174" s="966"/>
      <c r="M174" s="1328"/>
    </row>
    <row r="175" spans="1:13" s="1329" customFormat="1" ht="24" customHeight="1">
      <c r="A175" s="1166"/>
      <c r="B175" s="2475" t="str">
        <f>"รวมราคารายการที่ "&amp;A153</f>
        <v>รวมราคารายการที่ 7.9</v>
      </c>
      <c r="C175" s="2476"/>
      <c r="D175" s="2476"/>
      <c r="E175" s="1167"/>
      <c r="F175" s="1381"/>
      <c r="G175" s="1168"/>
      <c r="H175" s="1169">
        <f>SUM(H154:H174)</f>
        <v>36816</v>
      </c>
      <c r="I175" s="1170"/>
      <c r="J175" s="1382">
        <f>SUM(J154:J174)</f>
        <v>5550</v>
      </c>
      <c r="K175" s="1171">
        <f>SUM(K154:K174)</f>
        <v>42366</v>
      </c>
      <c r="L175" s="1171"/>
      <c r="M175" s="1328"/>
    </row>
    <row r="176" spans="1:13" s="1329" customFormat="1" ht="24" customHeight="1">
      <c r="A176" s="1325" t="s">
        <v>2065</v>
      </c>
      <c r="B176" s="1326" t="s">
        <v>1948</v>
      </c>
      <c r="C176" s="1347"/>
      <c r="D176" s="901"/>
      <c r="E176" s="1019"/>
      <c r="F176" s="1310"/>
      <c r="G176" s="1400"/>
      <c r="H176" s="864"/>
      <c r="I176" s="1400"/>
      <c r="J176" s="1395"/>
      <c r="K176" s="966"/>
      <c r="L176" s="1030"/>
      <c r="M176" s="1328"/>
    </row>
    <row r="177" spans="1:13" s="1329" customFormat="1" ht="24" customHeight="1">
      <c r="A177" s="1330" t="s">
        <v>2067</v>
      </c>
      <c r="B177" s="1331" t="s">
        <v>1950</v>
      </c>
      <c r="C177" s="1349"/>
      <c r="D177" s="801"/>
      <c r="E177" s="966"/>
      <c r="F177" s="1249"/>
      <c r="G177" s="1394"/>
      <c r="H177" s="864"/>
      <c r="I177" s="1394"/>
      <c r="J177" s="1395"/>
      <c r="K177" s="966"/>
      <c r="L177" s="966"/>
      <c r="M177" s="1328"/>
    </row>
    <row r="178" spans="1:13" s="1329" customFormat="1" ht="24" customHeight="1">
      <c r="A178" s="1330"/>
      <c r="B178" s="1331" t="s">
        <v>2035</v>
      </c>
      <c r="C178" s="1349"/>
      <c r="D178" s="801"/>
      <c r="E178" s="966">
        <v>105</v>
      </c>
      <c r="F178" s="1249" t="s">
        <v>1952</v>
      </c>
      <c r="G178" s="1406">
        <v>218</v>
      </c>
      <c r="H178" s="864">
        <f t="shared" ref="H178:H184" si="44">ROUND(E178*G178,)</f>
        <v>22890</v>
      </c>
      <c r="I178" s="1406">
        <v>194</v>
      </c>
      <c r="J178" s="1395">
        <f t="shared" ref="J178:J184" si="45">ROUND(E178*I178,)</f>
        <v>20370</v>
      </c>
      <c r="K178" s="966">
        <f t="shared" ref="K178:K184" si="46">H178+J178</f>
        <v>43260</v>
      </c>
      <c r="L178" s="1014"/>
      <c r="M178" s="1527"/>
    </row>
    <row r="179" spans="1:13" s="1329" customFormat="1" ht="24" customHeight="1">
      <c r="A179" s="1330"/>
      <c r="B179" s="1331" t="s">
        <v>2036</v>
      </c>
      <c r="C179" s="1349"/>
      <c r="D179" s="801"/>
      <c r="E179" s="966">
        <v>226</v>
      </c>
      <c r="F179" s="1249" t="s">
        <v>1952</v>
      </c>
      <c r="G179" s="1406">
        <v>263</v>
      </c>
      <c r="H179" s="864">
        <f t="shared" si="44"/>
        <v>59438</v>
      </c>
      <c r="I179" s="1406">
        <v>259</v>
      </c>
      <c r="J179" s="1395">
        <f t="shared" si="45"/>
        <v>58534</v>
      </c>
      <c r="K179" s="966">
        <f t="shared" si="46"/>
        <v>117972</v>
      </c>
      <c r="L179" s="1014"/>
      <c r="M179" s="1527"/>
    </row>
    <row r="180" spans="1:13" s="1329" customFormat="1" ht="24" customHeight="1">
      <c r="A180" s="1330"/>
      <c r="B180" s="1331" t="s">
        <v>1951</v>
      </c>
      <c r="C180" s="1349"/>
      <c r="D180" s="801"/>
      <c r="E180" s="966">
        <v>172</v>
      </c>
      <c r="F180" s="1249" t="s">
        <v>1952</v>
      </c>
      <c r="G180" s="1406">
        <v>314</v>
      </c>
      <c r="H180" s="864">
        <f t="shared" si="44"/>
        <v>54008</v>
      </c>
      <c r="I180" s="1406">
        <v>269</v>
      </c>
      <c r="J180" s="1395">
        <f t="shared" si="45"/>
        <v>46268</v>
      </c>
      <c r="K180" s="966">
        <f t="shared" si="46"/>
        <v>100276</v>
      </c>
      <c r="L180" s="1014"/>
      <c r="M180" s="1328"/>
    </row>
    <row r="181" spans="1:13" s="1329" customFormat="1" ht="24" customHeight="1">
      <c r="A181" s="1330"/>
      <c r="B181" s="1331" t="s">
        <v>1953</v>
      </c>
      <c r="C181" s="1349"/>
      <c r="D181" s="801"/>
      <c r="E181" s="966">
        <v>2</v>
      </c>
      <c r="F181" s="1249" t="s">
        <v>1952</v>
      </c>
      <c r="G181" s="1406">
        <v>381</v>
      </c>
      <c r="H181" s="864">
        <f t="shared" si="44"/>
        <v>762</v>
      </c>
      <c r="I181" s="1406">
        <v>323</v>
      </c>
      <c r="J181" s="1395">
        <f t="shared" si="45"/>
        <v>646</v>
      </c>
      <c r="K181" s="966">
        <f t="shared" si="46"/>
        <v>1408</v>
      </c>
      <c r="L181" s="1014"/>
      <c r="M181" s="1328"/>
    </row>
    <row r="182" spans="1:13" s="1329" customFormat="1" ht="24" customHeight="1">
      <c r="A182" s="1330"/>
      <c r="B182" s="1331" t="s">
        <v>1954</v>
      </c>
      <c r="C182" s="1349"/>
      <c r="D182" s="801"/>
      <c r="E182" s="966">
        <v>345</v>
      </c>
      <c r="F182" s="1249" t="s">
        <v>1952</v>
      </c>
      <c r="G182" s="1394">
        <v>443</v>
      </c>
      <c r="H182" s="864">
        <f t="shared" si="44"/>
        <v>152835</v>
      </c>
      <c r="I182" s="1394">
        <v>377</v>
      </c>
      <c r="J182" s="1395">
        <f t="shared" si="45"/>
        <v>130065</v>
      </c>
      <c r="K182" s="966">
        <f t="shared" si="46"/>
        <v>282900</v>
      </c>
      <c r="L182" s="1014"/>
      <c r="M182" s="1328"/>
    </row>
    <row r="183" spans="1:13" s="1329" customFormat="1" ht="24" customHeight="1">
      <c r="A183" s="1330"/>
      <c r="B183" s="1331" t="s">
        <v>1645</v>
      </c>
      <c r="C183" s="1349"/>
      <c r="D183" s="801"/>
      <c r="E183" s="966">
        <v>1</v>
      </c>
      <c r="F183" s="1249" t="s">
        <v>948</v>
      </c>
      <c r="G183" s="1394">
        <f>ROUND(SUM(H178:H182)*40%,)</f>
        <v>115973</v>
      </c>
      <c r="H183" s="864">
        <f t="shared" si="44"/>
        <v>115973</v>
      </c>
      <c r="I183" s="1394">
        <f>ROUND(G183*30%,)</f>
        <v>34792</v>
      </c>
      <c r="J183" s="1395">
        <f t="shared" si="45"/>
        <v>34792</v>
      </c>
      <c r="K183" s="966">
        <f t="shared" si="46"/>
        <v>150765</v>
      </c>
      <c r="L183" s="1014"/>
      <c r="M183" s="1328"/>
    </row>
    <row r="184" spans="1:13" s="1329" customFormat="1" ht="24" customHeight="1">
      <c r="A184" s="1330"/>
      <c r="B184" s="1331" t="s">
        <v>1646</v>
      </c>
      <c r="C184" s="1349"/>
      <c r="D184" s="801"/>
      <c r="E184" s="966">
        <v>1</v>
      </c>
      <c r="F184" s="1249" t="s">
        <v>948</v>
      </c>
      <c r="G184" s="1394">
        <f>ROUND(SUM(H178:H182)*15%,)</f>
        <v>43490</v>
      </c>
      <c r="H184" s="864">
        <f t="shared" si="44"/>
        <v>43490</v>
      </c>
      <c r="I184" s="1394">
        <f>ROUND(G184*30%,)</f>
        <v>13047</v>
      </c>
      <c r="J184" s="1395">
        <f t="shared" si="45"/>
        <v>13047</v>
      </c>
      <c r="K184" s="966">
        <f t="shared" si="46"/>
        <v>56537</v>
      </c>
      <c r="L184" s="1014"/>
      <c r="M184" s="1328"/>
    </row>
    <row r="185" spans="1:13" s="1329" customFormat="1" ht="24" customHeight="1">
      <c r="A185" s="1330" t="s">
        <v>2074</v>
      </c>
      <c r="B185" s="1331" t="s">
        <v>2193</v>
      </c>
      <c r="C185" s="1349"/>
      <c r="D185" s="801"/>
      <c r="E185" s="966"/>
      <c r="F185" s="1249"/>
      <c r="G185" s="1394"/>
      <c r="H185" s="864"/>
      <c r="I185" s="1394"/>
      <c r="J185" s="1395"/>
      <c r="K185" s="966"/>
      <c r="L185" s="966"/>
      <c r="M185" s="1328"/>
    </row>
    <row r="186" spans="1:13" s="1329" customFormat="1" ht="24" customHeight="1">
      <c r="A186" s="791"/>
      <c r="B186" s="1127" t="s">
        <v>1814</v>
      </c>
      <c r="C186" s="1233"/>
      <c r="D186" s="792"/>
      <c r="E186" s="1345">
        <v>2</v>
      </c>
      <c r="F186" s="1249" t="s">
        <v>438</v>
      </c>
      <c r="G186" s="849">
        <v>380</v>
      </c>
      <c r="H186" s="796">
        <f t="shared" ref="H186" si="47">ROUND(E186*G186,)</f>
        <v>760</v>
      </c>
      <c r="I186" s="849">
        <v>40</v>
      </c>
      <c r="J186" s="1476">
        <f t="shared" ref="J186" si="48">ROUND(E186*I186,)</f>
        <v>80</v>
      </c>
      <c r="K186" s="1014">
        <f t="shared" ref="K186" si="49">H186+J186</f>
        <v>840</v>
      </c>
      <c r="L186" s="1014"/>
      <c r="M186" s="1328"/>
    </row>
    <row r="187" spans="1:13" s="1329" customFormat="1" ht="24" customHeight="1">
      <c r="A187" s="1355"/>
      <c r="B187" s="1331" t="s">
        <v>957</v>
      </c>
      <c r="C187" s="1349"/>
      <c r="D187" s="890"/>
      <c r="E187" s="966"/>
      <c r="F187" s="1348"/>
      <c r="G187" s="1394"/>
      <c r="H187" s="905"/>
      <c r="I187" s="1406"/>
      <c r="J187" s="1407"/>
      <c r="K187" s="1030"/>
      <c r="L187" s="1030"/>
      <c r="M187" s="1328"/>
    </row>
    <row r="188" spans="1:13" s="1329" customFormat="1" ht="24" customHeight="1">
      <c r="A188" s="1355"/>
      <c r="B188" s="1331"/>
      <c r="C188" s="1349"/>
      <c r="D188" s="801"/>
      <c r="E188" s="966"/>
      <c r="F188" s="1249"/>
      <c r="G188" s="1394"/>
      <c r="H188" s="864"/>
      <c r="I188" s="1394"/>
      <c r="J188" s="1395"/>
      <c r="K188" s="966"/>
      <c r="L188" s="966"/>
      <c r="M188" s="1328"/>
    </row>
    <row r="189" spans="1:13" s="886" customFormat="1" ht="24" customHeight="1">
      <c r="A189" s="1166"/>
      <c r="B189" s="2475" t="str">
        <f>"รวมราคารายการที่ "&amp;A176</f>
        <v>รวมราคารายการที่ 7.10</v>
      </c>
      <c r="C189" s="2476"/>
      <c r="D189" s="2476"/>
      <c r="E189" s="1167"/>
      <c r="F189" s="1381"/>
      <c r="G189" s="1168"/>
      <c r="H189" s="1169">
        <f>SUM(H176:H188)</f>
        <v>450156</v>
      </c>
      <c r="I189" s="1170"/>
      <c r="J189" s="1382">
        <f>SUM(J176:J188)</f>
        <v>303802</v>
      </c>
      <c r="K189" s="1171">
        <f>SUM(K176:K188)</f>
        <v>753958</v>
      </c>
      <c r="L189" s="1171"/>
      <c r="M189" s="1342"/>
    </row>
    <row r="190" spans="1:13" s="1329" customFormat="1" ht="24" customHeight="1">
      <c r="A190" s="1325" t="s">
        <v>2077</v>
      </c>
      <c r="B190" s="1326" t="s">
        <v>1959</v>
      </c>
      <c r="C190" s="1347"/>
      <c r="D190" s="901"/>
      <c r="E190" s="1019"/>
      <c r="F190" s="1310"/>
      <c r="G190" s="1400"/>
      <c r="H190" s="864"/>
      <c r="I190" s="1400"/>
      <c r="J190" s="1395"/>
      <c r="K190" s="966"/>
      <c r="L190" s="1030"/>
      <c r="M190" s="1328"/>
    </row>
    <row r="191" spans="1:13" s="1329" customFormat="1" ht="24" customHeight="1">
      <c r="A191" s="1330" t="s">
        <v>2079</v>
      </c>
      <c r="B191" s="1331" t="s">
        <v>1961</v>
      </c>
      <c r="C191" s="1349"/>
      <c r="D191" s="801"/>
      <c r="E191" s="966"/>
      <c r="F191" s="1249"/>
      <c r="G191" s="1394"/>
      <c r="H191" s="864"/>
      <c r="I191" s="1394"/>
      <c r="J191" s="1395"/>
      <c r="K191" s="966"/>
      <c r="L191" s="966"/>
      <c r="M191" s="1328"/>
    </row>
    <row r="192" spans="1:13" s="1329" customFormat="1" ht="24" customHeight="1">
      <c r="A192" s="1038"/>
      <c r="B192" s="1127" t="s">
        <v>1962</v>
      </c>
      <c r="C192" s="1233"/>
      <c r="D192" s="809"/>
      <c r="E192" s="1345">
        <f>SUM(E178:E182)</f>
        <v>850</v>
      </c>
      <c r="F192" s="874" t="s">
        <v>1952</v>
      </c>
      <c r="G192" s="1257">
        <v>148</v>
      </c>
      <c r="H192" s="854">
        <f t="shared" ref="H192:H195" si="50">ROUND(E192*G192,)</f>
        <v>125800</v>
      </c>
      <c r="I192" s="1477">
        <v>45</v>
      </c>
      <c r="J192" s="1476">
        <f t="shared" ref="J192:J195" si="51">ROUND(E192*I192,)</f>
        <v>38250</v>
      </c>
      <c r="K192" s="1014">
        <f t="shared" ref="K192:K195" si="52">H192+J192</f>
        <v>164050</v>
      </c>
      <c r="L192" s="1007"/>
      <c r="M192" s="1328"/>
    </row>
    <row r="193" spans="1:14" s="1329" customFormat="1" ht="24" customHeight="1">
      <c r="A193" s="1038"/>
      <c r="B193" s="1127" t="s">
        <v>2115</v>
      </c>
      <c r="C193" s="1233"/>
      <c r="D193" s="809"/>
      <c r="E193" s="1345"/>
      <c r="F193" s="874" t="s">
        <v>1952</v>
      </c>
      <c r="G193" s="1257">
        <v>212</v>
      </c>
      <c r="H193" s="854">
        <f t="shared" si="50"/>
        <v>0</v>
      </c>
      <c r="I193" s="1477">
        <v>45</v>
      </c>
      <c r="J193" s="1476">
        <f t="shared" si="51"/>
        <v>0</v>
      </c>
      <c r="K193" s="1014">
        <f t="shared" si="52"/>
        <v>0</v>
      </c>
      <c r="L193" s="1007"/>
      <c r="M193" s="1328"/>
    </row>
    <row r="194" spans="1:14" s="1329" customFormat="1" ht="24" customHeight="1">
      <c r="A194" s="1038"/>
      <c r="B194" s="1127" t="s">
        <v>2116</v>
      </c>
      <c r="C194" s="1233"/>
      <c r="D194" s="809"/>
      <c r="E194" s="1345"/>
      <c r="F194" s="874" t="s">
        <v>1952</v>
      </c>
      <c r="G194" s="1257">
        <v>454</v>
      </c>
      <c r="H194" s="854">
        <f t="shared" si="50"/>
        <v>0</v>
      </c>
      <c r="I194" s="1477">
        <f>ROUND(G194*0.3,)</f>
        <v>136</v>
      </c>
      <c r="J194" s="1476">
        <f t="shared" si="51"/>
        <v>0</v>
      </c>
      <c r="K194" s="1014">
        <f t="shared" si="52"/>
        <v>0</v>
      </c>
      <c r="L194" s="1007"/>
      <c r="M194" s="1328"/>
    </row>
    <row r="195" spans="1:14" s="1329" customFormat="1" ht="24" customHeight="1">
      <c r="A195" s="1330" t="s">
        <v>2196</v>
      </c>
      <c r="B195" s="1331" t="s">
        <v>1965</v>
      </c>
      <c r="C195" s="1349"/>
      <c r="D195" s="890"/>
      <c r="E195" s="966">
        <v>1</v>
      </c>
      <c r="F195" s="1348" t="s">
        <v>948</v>
      </c>
      <c r="G195" s="1394">
        <f>E192*40</f>
        <v>34000</v>
      </c>
      <c r="H195" s="854">
        <f t="shared" si="50"/>
        <v>34000</v>
      </c>
      <c r="I195" s="1406">
        <f>E192*15</f>
        <v>12750</v>
      </c>
      <c r="J195" s="1476">
        <f t="shared" si="51"/>
        <v>12750</v>
      </c>
      <c r="K195" s="1014">
        <f t="shared" si="52"/>
        <v>46750</v>
      </c>
      <c r="L195" s="1030"/>
      <c r="M195" s="1328"/>
    </row>
    <row r="196" spans="1:14" s="1329" customFormat="1" ht="24" customHeight="1">
      <c r="A196" s="1355"/>
      <c r="B196" s="1331" t="s">
        <v>957</v>
      </c>
      <c r="C196" s="1349"/>
      <c r="D196" s="890"/>
      <c r="E196" s="966"/>
      <c r="F196" s="1348"/>
      <c r="G196" s="1394"/>
      <c r="H196" s="905"/>
      <c r="I196" s="1406"/>
      <c r="J196" s="1407"/>
      <c r="K196" s="1030"/>
      <c r="L196" s="1030"/>
      <c r="M196" s="1328"/>
    </row>
    <row r="197" spans="1:14" s="1329" customFormat="1" ht="24" customHeight="1">
      <c r="A197" s="1330"/>
      <c r="B197" s="1331" t="s">
        <v>958</v>
      </c>
      <c r="C197" s="1349"/>
      <c r="D197" s="890"/>
      <c r="E197" s="966"/>
      <c r="F197" s="1348"/>
      <c r="G197" s="1394"/>
      <c r="H197" s="854"/>
      <c r="I197" s="1406"/>
      <c r="J197" s="1476"/>
      <c r="K197" s="1014"/>
      <c r="L197" s="1030"/>
      <c r="M197" s="1328"/>
    </row>
    <row r="198" spans="1:14" s="1329" customFormat="1" ht="24" customHeight="1">
      <c r="A198" s="1355"/>
      <c r="B198" s="1331"/>
      <c r="C198" s="1349"/>
      <c r="D198" s="890"/>
      <c r="E198" s="966"/>
      <c r="F198" s="1348"/>
      <c r="G198" s="1394"/>
      <c r="H198" s="905"/>
      <c r="I198" s="1406"/>
      <c r="J198" s="1407"/>
      <c r="K198" s="1030"/>
      <c r="L198" s="1030"/>
      <c r="M198" s="1328"/>
    </row>
    <row r="199" spans="1:14" s="1329" customFormat="1" ht="24" customHeight="1">
      <c r="A199" s="1330"/>
      <c r="B199" s="1331"/>
      <c r="C199" s="1349"/>
      <c r="D199" s="890"/>
      <c r="E199" s="966"/>
      <c r="F199" s="1348"/>
      <c r="G199" s="1394"/>
      <c r="H199" s="854"/>
      <c r="I199" s="1406"/>
      <c r="J199" s="1476"/>
      <c r="K199" s="1014"/>
      <c r="L199" s="1030"/>
      <c r="M199" s="1328"/>
    </row>
    <row r="200" spans="1:14" s="1329" customFormat="1" ht="24" customHeight="1">
      <c r="A200" s="1166"/>
      <c r="B200" s="2475" t="str">
        <f>"รวมราคารายการที่ "&amp;A190</f>
        <v>รวมราคารายการที่ 7.11</v>
      </c>
      <c r="C200" s="2476"/>
      <c r="D200" s="2476"/>
      <c r="E200" s="1167"/>
      <c r="F200" s="1381"/>
      <c r="G200" s="1168"/>
      <c r="H200" s="1169">
        <f>SUM(H190:H199)</f>
        <v>159800</v>
      </c>
      <c r="I200" s="1170"/>
      <c r="J200" s="1382">
        <f>SUM(J190:J199)</f>
        <v>51000</v>
      </c>
      <c r="K200" s="1171">
        <f>SUM(K190:K199)</f>
        <v>210800</v>
      </c>
      <c r="L200" s="1171"/>
      <c r="M200" s="1328"/>
    </row>
    <row r="201" spans="1:14" s="1329" customFormat="1" ht="24" customHeight="1">
      <c r="A201" s="1325" t="s">
        <v>2197</v>
      </c>
      <c r="B201" s="1326" t="s">
        <v>1968</v>
      </c>
      <c r="C201" s="1347"/>
      <c r="D201" s="901"/>
      <c r="E201" s="1019"/>
      <c r="F201" s="1310"/>
      <c r="G201" s="1400"/>
      <c r="H201" s="864"/>
      <c r="I201" s="1400"/>
      <c r="J201" s="1395"/>
      <c r="K201" s="966"/>
      <c r="L201" s="1030"/>
      <c r="M201" s="1328"/>
    </row>
    <row r="202" spans="1:14" s="1329" customFormat="1" ht="24" customHeight="1">
      <c r="A202" s="1330" t="s">
        <v>2198</v>
      </c>
      <c r="B202" s="1331" t="s">
        <v>2041</v>
      </c>
      <c r="C202" s="1349"/>
      <c r="D202" s="801"/>
      <c r="E202" s="966"/>
      <c r="F202" s="1249"/>
      <c r="G202" s="1394"/>
      <c r="H202" s="864"/>
      <c r="I202" s="1394"/>
      <c r="J202" s="1395"/>
      <c r="K202" s="966"/>
      <c r="L202" s="966"/>
      <c r="M202" s="1328"/>
    </row>
    <row r="203" spans="1:14" s="1329" customFormat="1" ht="24" customHeight="1">
      <c r="A203" s="1330"/>
      <c r="B203" s="1331" t="str">
        <f t="shared" ref="B203:B212" si="53">"  -  "&amp;M203&amp;" มม."</f>
        <v xml:space="preserve">  -  200x150 มม.</v>
      </c>
      <c r="C203" s="1349"/>
      <c r="D203" s="801"/>
      <c r="E203" s="1350">
        <f t="shared" ref="E203:E212" si="54">N203</f>
        <v>2</v>
      </c>
      <c r="F203" s="1348" t="str">
        <f t="shared" ref="F203:F216" si="55">IF(E203="","","ชุด")</f>
        <v>ชุด</v>
      </c>
      <c r="G203" s="1394">
        <v>500</v>
      </c>
      <c r="H203" s="854">
        <f t="shared" ref="H203:H212" si="56">ROUND(E203*G203,)</f>
        <v>1000</v>
      </c>
      <c r="I203" s="1394">
        <v>100</v>
      </c>
      <c r="J203" s="1395">
        <f t="shared" ref="J203:J212" si="57">ROUND(E203*I203,)</f>
        <v>200</v>
      </c>
      <c r="K203" s="966">
        <f t="shared" ref="K203:K212" si="58">H203+J203</f>
        <v>1200</v>
      </c>
      <c r="L203" s="966"/>
      <c r="M203" s="1420" t="s">
        <v>2199</v>
      </c>
      <c r="N203">
        <v>2</v>
      </c>
    </row>
    <row r="204" spans="1:14" s="1329" customFormat="1" ht="24" customHeight="1">
      <c r="A204" s="1330"/>
      <c r="B204" s="1331" t="str">
        <f t="shared" si="53"/>
        <v xml:space="preserve">  -  200x200 มม.</v>
      </c>
      <c r="C204" s="1349"/>
      <c r="D204" s="801"/>
      <c r="E204" s="1350">
        <f t="shared" si="54"/>
        <v>10</v>
      </c>
      <c r="F204" s="1348" t="str">
        <f t="shared" si="55"/>
        <v>ชุด</v>
      </c>
      <c r="G204" s="1394">
        <v>500</v>
      </c>
      <c r="H204" s="854">
        <f t="shared" si="56"/>
        <v>5000</v>
      </c>
      <c r="I204" s="1394">
        <v>100</v>
      </c>
      <c r="J204" s="1395">
        <f t="shared" si="57"/>
        <v>1000</v>
      </c>
      <c r="K204" s="966">
        <f t="shared" si="58"/>
        <v>6000</v>
      </c>
      <c r="L204" s="966"/>
      <c r="M204" s="1420" t="s">
        <v>2042</v>
      </c>
      <c r="N204">
        <v>10</v>
      </c>
    </row>
    <row r="205" spans="1:14" s="1329" customFormat="1" ht="24" customHeight="1">
      <c r="A205" s="1330"/>
      <c r="B205" s="1331" t="str">
        <f t="shared" si="53"/>
        <v xml:space="preserve">  -  200x500 มม.</v>
      </c>
      <c r="C205" s="1349"/>
      <c r="D205" s="801"/>
      <c r="E205" s="1350">
        <f t="shared" si="54"/>
        <v>1</v>
      </c>
      <c r="F205" s="1348" t="str">
        <f t="shared" si="55"/>
        <v>ชุด</v>
      </c>
      <c r="G205" s="1394">
        <v>700</v>
      </c>
      <c r="H205" s="864">
        <f t="shared" si="56"/>
        <v>700</v>
      </c>
      <c r="I205" s="1394">
        <v>100</v>
      </c>
      <c r="J205" s="1395">
        <f t="shared" si="57"/>
        <v>100</v>
      </c>
      <c r="K205" s="966">
        <f t="shared" si="58"/>
        <v>800</v>
      </c>
      <c r="L205" s="966"/>
      <c r="M205" s="1420" t="s">
        <v>2352</v>
      </c>
      <c r="N205">
        <v>1</v>
      </c>
    </row>
    <row r="206" spans="1:14" s="1329" customFormat="1" ht="24" customHeight="1">
      <c r="A206" s="1330"/>
      <c r="B206" s="1331" t="str">
        <f t="shared" si="53"/>
        <v xml:space="preserve">  -  250x200 มม.</v>
      </c>
      <c r="C206" s="1349"/>
      <c r="D206" s="801"/>
      <c r="E206" s="1350">
        <f t="shared" si="54"/>
        <v>3</v>
      </c>
      <c r="F206" s="1348" t="str">
        <f t="shared" si="55"/>
        <v>ชุด</v>
      </c>
      <c r="G206" s="1394">
        <v>500</v>
      </c>
      <c r="H206" s="854">
        <f t="shared" si="56"/>
        <v>1500</v>
      </c>
      <c r="I206" s="1394">
        <v>100</v>
      </c>
      <c r="J206" s="1395">
        <f t="shared" si="57"/>
        <v>300</v>
      </c>
      <c r="K206" s="966">
        <f t="shared" si="58"/>
        <v>1800</v>
      </c>
      <c r="L206" s="966"/>
      <c r="M206" s="1420" t="s">
        <v>2056</v>
      </c>
      <c r="N206">
        <v>3</v>
      </c>
    </row>
    <row r="207" spans="1:14" s="1329" customFormat="1" ht="24" customHeight="1">
      <c r="A207" s="1330"/>
      <c r="B207" s="1331" t="str">
        <f t="shared" si="53"/>
        <v xml:space="preserve">  -  300x250 มม.</v>
      </c>
      <c r="C207" s="1349"/>
      <c r="D207" s="801"/>
      <c r="E207" s="1350">
        <f t="shared" si="54"/>
        <v>32</v>
      </c>
      <c r="F207" s="1348" t="str">
        <f t="shared" si="55"/>
        <v>ชุด</v>
      </c>
      <c r="G207" s="1394">
        <v>500</v>
      </c>
      <c r="H207" s="854">
        <f t="shared" si="56"/>
        <v>16000</v>
      </c>
      <c r="I207" s="1394">
        <v>100</v>
      </c>
      <c r="J207" s="1395">
        <f t="shared" si="57"/>
        <v>3200</v>
      </c>
      <c r="K207" s="966">
        <f t="shared" si="58"/>
        <v>19200</v>
      </c>
      <c r="L207" s="966"/>
      <c r="M207" s="1420" t="s">
        <v>2200</v>
      </c>
      <c r="N207">
        <v>32</v>
      </c>
    </row>
    <row r="208" spans="1:14" s="1329" customFormat="1" ht="24" customHeight="1">
      <c r="A208" s="1330"/>
      <c r="B208" s="1331" t="str">
        <f t="shared" si="53"/>
        <v xml:space="preserve">  -  350x350 มม.</v>
      </c>
      <c r="C208" s="1349"/>
      <c r="D208" s="801"/>
      <c r="E208" s="1350">
        <f t="shared" si="54"/>
        <v>6</v>
      </c>
      <c r="F208" s="1348" t="str">
        <f t="shared" si="55"/>
        <v>ชุด</v>
      </c>
      <c r="G208" s="1394">
        <v>700</v>
      </c>
      <c r="H208" s="864">
        <f t="shared" si="56"/>
        <v>4200</v>
      </c>
      <c r="I208" s="1394">
        <v>100</v>
      </c>
      <c r="J208" s="1395">
        <f t="shared" si="57"/>
        <v>600</v>
      </c>
      <c r="K208" s="966">
        <f t="shared" si="58"/>
        <v>4800</v>
      </c>
      <c r="L208" s="966"/>
      <c r="M208" s="1420" t="s">
        <v>2410</v>
      </c>
      <c r="N208">
        <v>6</v>
      </c>
    </row>
    <row r="209" spans="1:15" s="1329" customFormat="1" ht="24" customHeight="1">
      <c r="A209" s="1330"/>
      <c r="B209" s="1331" t="str">
        <f t="shared" si="53"/>
        <v xml:space="preserve">  -  650x650 มม.</v>
      </c>
      <c r="C209" s="1349"/>
      <c r="D209" s="801"/>
      <c r="E209" s="1350">
        <f t="shared" si="54"/>
        <v>4</v>
      </c>
      <c r="F209" s="1348" t="str">
        <f t="shared" si="55"/>
        <v>ชุด</v>
      </c>
      <c r="G209" s="1394">
        <v>1300</v>
      </c>
      <c r="H209" s="854">
        <f t="shared" si="56"/>
        <v>5200</v>
      </c>
      <c r="I209" s="1394">
        <v>100</v>
      </c>
      <c r="J209" s="1395">
        <f t="shared" si="57"/>
        <v>400</v>
      </c>
      <c r="K209" s="966">
        <f t="shared" si="58"/>
        <v>5600</v>
      </c>
      <c r="L209" s="966"/>
      <c r="M209" s="1420" t="s">
        <v>2045</v>
      </c>
      <c r="N209">
        <v>4</v>
      </c>
    </row>
    <row r="210" spans="1:15" s="1329" customFormat="1" ht="24" customHeight="1">
      <c r="A210" s="1330"/>
      <c r="B210" s="1331" t="str">
        <f t="shared" si="53"/>
        <v xml:space="preserve">  -  2000x2500 มม.</v>
      </c>
      <c r="C210" s="1349"/>
      <c r="D210" s="801"/>
      <c r="E210" s="1350">
        <f t="shared" si="54"/>
        <v>3</v>
      </c>
      <c r="F210" s="1348" t="str">
        <f t="shared" si="55"/>
        <v>ชุด</v>
      </c>
      <c r="G210" s="1257">
        <v>4500</v>
      </c>
      <c r="H210" s="854">
        <f t="shared" si="56"/>
        <v>13500</v>
      </c>
      <c r="I210" s="1394">
        <v>100</v>
      </c>
      <c r="J210" s="1395">
        <f t="shared" si="57"/>
        <v>300</v>
      </c>
      <c r="K210" s="966">
        <f t="shared" si="58"/>
        <v>13800</v>
      </c>
      <c r="L210" s="966"/>
      <c r="M210" s="1420" t="s">
        <v>2524</v>
      </c>
      <c r="N210">
        <v>3</v>
      </c>
    </row>
    <row r="211" spans="1:15" s="1329" customFormat="1" ht="24" customHeight="1">
      <c r="A211" s="1330"/>
      <c r="B211" s="1331" t="str">
        <f t="shared" si="53"/>
        <v xml:space="preserve">  -  500x500 มม.</v>
      </c>
      <c r="C211" s="1349"/>
      <c r="D211" s="801"/>
      <c r="E211" s="1350">
        <f t="shared" si="54"/>
        <v>2</v>
      </c>
      <c r="F211" s="1348" t="str">
        <f t="shared" si="55"/>
        <v>ชุด</v>
      </c>
      <c r="G211" s="1394">
        <v>1000</v>
      </c>
      <c r="H211" s="854">
        <f t="shared" si="56"/>
        <v>2000</v>
      </c>
      <c r="I211" s="1394">
        <v>100</v>
      </c>
      <c r="J211" s="1395">
        <f t="shared" si="57"/>
        <v>200</v>
      </c>
      <c r="K211" s="966">
        <f t="shared" si="58"/>
        <v>2200</v>
      </c>
      <c r="L211" s="966"/>
      <c r="M211" s="1420" t="s">
        <v>2043</v>
      </c>
      <c r="N211">
        <v>2</v>
      </c>
    </row>
    <row r="212" spans="1:15" s="1329" customFormat="1" ht="24" customHeight="1">
      <c r="A212" s="1330"/>
      <c r="B212" s="1331" t="str">
        <f t="shared" si="53"/>
        <v xml:space="preserve">  -  1450x1450 มม.</v>
      </c>
      <c r="C212" s="1349"/>
      <c r="D212" s="801"/>
      <c r="E212" s="1350">
        <f t="shared" si="54"/>
        <v>1</v>
      </c>
      <c r="F212" s="1348" t="str">
        <f t="shared" si="55"/>
        <v>ชุด</v>
      </c>
      <c r="G212" s="1394">
        <v>2900</v>
      </c>
      <c r="H212" s="864">
        <f t="shared" si="56"/>
        <v>2900</v>
      </c>
      <c r="I212" s="1394">
        <v>100</v>
      </c>
      <c r="J212" s="1395">
        <f t="shared" si="57"/>
        <v>100</v>
      </c>
      <c r="K212" s="966">
        <f t="shared" si="58"/>
        <v>3000</v>
      </c>
      <c r="L212" s="966"/>
      <c r="M212" s="1420" t="s">
        <v>2525</v>
      </c>
      <c r="N212">
        <v>1</v>
      </c>
    </row>
    <row r="213" spans="1:15" s="1329" customFormat="1" ht="24" customHeight="1">
      <c r="A213" s="1330" t="s">
        <v>2208</v>
      </c>
      <c r="B213" s="1335" t="s">
        <v>2049</v>
      </c>
      <c r="C213" s="1349"/>
      <c r="D213" s="801"/>
      <c r="E213" s="966"/>
      <c r="F213" s="1249"/>
      <c r="G213" s="1394"/>
      <c r="H213" s="864"/>
      <c r="I213" s="1394"/>
      <c r="J213" s="1395"/>
      <c r="K213" s="966"/>
      <c r="L213" s="966"/>
      <c r="M213" s="1328"/>
    </row>
    <row r="214" spans="1:15" s="1329" customFormat="1" ht="24" customHeight="1">
      <c r="A214" s="1330"/>
      <c r="B214" s="1331" t="str">
        <f t="shared" ref="B214:B216" si="59">"  -  "&amp;M214&amp;" มม."</f>
        <v xml:space="preserve">  -  300x200 มม.</v>
      </c>
      <c r="C214" s="1349"/>
      <c r="D214" s="801"/>
      <c r="E214" s="1350">
        <f t="shared" ref="E214:E216" si="60">N214</f>
        <v>18</v>
      </c>
      <c r="F214" s="1348" t="str">
        <f t="shared" si="55"/>
        <v>ชุด</v>
      </c>
      <c r="G214" s="1394">
        <v>500</v>
      </c>
      <c r="H214" s="854">
        <f t="shared" ref="H214:H220" si="61">ROUND(E214*G214,)</f>
        <v>9000</v>
      </c>
      <c r="I214" s="1394">
        <v>100</v>
      </c>
      <c r="J214" s="1395">
        <f t="shared" ref="J214:J216" si="62">ROUND(E214*I214,)</f>
        <v>1800</v>
      </c>
      <c r="K214" s="966">
        <f t="shared" ref="K214:K216" si="63">H214+J214</f>
        <v>10800</v>
      </c>
      <c r="L214" s="966"/>
      <c r="M214" s="1420" t="s">
        <v>2050</v>
      </c>
      <c r="N214">
        <v>18</v>
      </c>
      <c r="O214" s="1404"/>
    </row>
    <row r="215" spans="1:15" s="1329" customFormat="1" ht="24" customHeight="1">
      <c r="A215" s="1330"/>
      <c r="B215" s="1331" t="str">
        <f t="shared" si="59"/>
        <v xml:space="preserve">  -  500x350 มม.</v>
      </c>
      <c r="C215" s="1349"/>
      <c r="D215" s="801"/>
      <c r="E215" s="1350">
        <f t="shared" si="60"/>
        <v>16</v>
      </c>
      <c r="F215" s="1348" t="str">
        <f t="shared" si="55"/>
        <v>ชุด</v>
      </c>
      <c r="G215" s="1394">
        <v>850</v>
      </c>
      <c r="H215" s="854">
        <f t="shared" si="61"/>
        <v>13600</v>
      </c>
      <c r="I215" s="1394">
        <v>100</v>
      </c>
      <c r="J215" s="1395">
        <f t="shared" si="62"/>
        <v>1600</v>
      </c>
      <c r="K215" s="966">
        <f t="shared" si="63"/>
        <v>15200</v>
      </c>
      <c r="L215" s="966"/>
      <c r="M215" s="1420" t="s">
        <v>2526</v>
      </c>
      <c r="N215">
        <v>16</v>
      </c>
      <c r="O215" s="1404"/>
    </row>
    <row r="216" spans="1:15" s="1329" customFormat="1" ht="24" customHeight="1">
      <c r="A216" s="1330"/>
      <c r="B216" s="1331" t="str">
        <f t="shared" si="59"/>
        <v xml:space="preserve">  -  650x450 มม.</v>
      </c>
      <c r="C216" s="1349"/>
      <c r="D216" s="801"/>
      <c r="E216" s="1350">
        <f t="shared" si="60"/>
        <v>4</v>
      </c>
      <c r="F216" s="1348" t="str">
        <f t="shared" si="55"/>
        <v>ชุด</v>
      </c>
      <c r="G216" s="1394">
        <v>1100</v>
      </c>
      <c r="H216" s="854">
        <f t="shared" si="61"/>
        <v>4400</v>
      </c>
      <c r="I216" s="1394">
        <v>100</v>
      </c>
      <c r="J216" s="1395">
        <f t="shared" si="62"/>
        <v>400</v>
      </c>
      <c r="K216" s="966">
        <f t="shared" si="63"/>
        <v>4800</v>
      </c>
      <c r="L216" s="966"/>
      <c r="M216" s="1420" t="s">
        <v>2527</v>
      </c>
      <c r="N216">
        <v>4</v>
      </c>
      <c r="O216" s="1404"/>
    </row>
    <row r="217" spans="1:15" s="1329" customFormat="1" ht="24" customHeight="1">
      <c r="A217" s="1330" t="s">
        <v>2211</v>
      </c>
      <c r="B217" s="1331" t="s">
        <v>2219</v>
      </c>
      <c r="C217" s="1349"/>
      <c r="D217" s="890"/>
      <c r="E217" s="966"/>
      <c r="F217" s="1348"/>
      <c r="G217" s="1394"/>
      <c r="H217" s="905"/>
      <c r="I217" s="1406"/>
      <c r="J217" s="1407"/>
      <c r="K217" s="1030"/>
      <c r="L217" s="1030"/>
      <c r="M217" s="1328"/>
    </row>
    <row r="218" spans="1:15" s="1329" customFormat="1" ht="24" customHeight="1">
      <c r="A218" s="1330"/>
      <c r="B218" s="1331" t="s">
        <v>2220</v>
      </c>
      <c r="C218" s="1349"/>
      <c r="D218" s="801"/>
      <c r="E218" s="966">
        <v>1</v>
      </c>
      <c r="F218" s="1249" t="str">
        <f t="shared" ref="F218:F220" si="64">IF(E218="","","ชุด")</f>
        <v>ชุด</v>
      </c>
      <c r="G218" s="1394">
        <v>1500</v>
      </c>
      <c r="H218" s="854">
        <f t="shared" si="61"/>
        <v>1500</v>
      </c>
      <c r="I218" s="1394">
        <v>500</v>
      </c>
      <c r="J218" s="1395">
        <f t="shared" ref="J218:J220" si="65">ROUND(E218*I218,)</f>
        <v>500</v>
      </c>
      <c r="K218" s="966">
        <f t="shared" ref="K218:K220" si="66">H218+J218</f>
        <v>2000</v>
      </c>
      <c r="L218" s="966"/>
      <c r="M218" s="1328"/>
      <c r="N218" s="1404"/>
      <c r="O218" s="1404"/>
    </row>
    <row r="219" spans="1:15" s="1329" customFormat="1" ht="24" customHeight="1">
      <c r="A219" s="1330"/>
      <c r="B219" s="1331" t="s">
        <v>2221</v>
      </c>
      <c r="C219" s="1349"/>
      <c r="D219" s="801"/>
      <c r="E219" s="966">
        <v>1</v>
      </c>
      <c r="F219" s="1249" t="str">
        <f t="shared" si="64"/>
        <v>ชุด</v>
      </c>
      <c r="G219" s="1394">
        <v>2000</v>
      </c>
      <c r="H219" s="854">
        <f t="shared" si="61"/>
        <v>2000</v>
      </c>
      <c r="I219" s="1394">
        <v>500</v>
      </c>
      <c r="J219" s="1395">
        <f t="shared" si="65"/>
        <v>500</v>
      </c>
      <c r="K219" s="966">
        <f t="shared" si="66"/>
        <v>2500</v>
      </c>
      <c r="L219" s="966"/>
      <c r="M219" s="1328"/>
      <c r="N219" s="1404"/>
      <c r="O219" s="1404"/>
    </row>
    <row r="220" spans="1:15" s="1329" customFormat="1" ht="24" customHeight="1">
      <c r="A220" s="1330"/>
      <c r="B220" s="1331" t="s">
        <v>2222</v>
      </c>
      <c r="C220" s="1349"/>
      <c r="D220" s="801"/>
      <c r="E220" s="966">
        <v>1</v>
      </c>
      <c r="F220" s="1249" t="str">
        <f t="shared" si="64"/>
        <v>ชุด</v>
      </c>
      <c r="G220" s="1394">
        <v>2500</v>
      </c>
      <c r="H220" s="854">
        <f t="shared" si="61"/>
        <v>2500</v>
      </c>
      <c r="I220" s="1394">
        <v>500</v>
      </c>
      <c r="J220" s="1395">
        <f t="shared" si="65"/>
        <v>500</v>
      </c>
      <c r="K220" s="966">
        <f t="shared" si="66"/>
        <v>3000</v>
      </c>
      <c r="L220" s="966"/>
      <c r="M220" s="1328"/>
      <c r="N220" s="1404"/>
      <c r="O220" s="1404"/>
    </row>
    <row r="221" spans="1:15" s="1329" customFormat="1" ht="24" customHeight="1">
      <c r="A221" s="1330" t="s">
        <v>2213</v>
      </c>
      <c r="B221" s="1335" t="s">
        <v>2528</v>
      </c>
      <c r="C221" s="1349"/>
      <c r="D221" s="801"/>
      <c r="E221" s="966"/>
      <c r="F221" s="1249"/>
      <c r="G221" s="1394"/>
      <c r="H221" s="864"/>
      <c r="I221" s="1394"/>
      <c r="J221" s="1395"/>
      <c r="K221" s="966"/>
      <c r="L221" s="966"/>
      <c r="M221" s="1328"/>
    </row>
    <row r="222" spans="1:15" s="1329" customFormat="1" ht="24" customHeight="1">
      <c r="A222" s="1330"/>
      <c r="B222" s="1331" t="str">
        <f t="shared" ref="B222" si="67">"  -  "&amp;M222&amp;" มม."</f>
        <v xml:space="preserve">  -  1200x150 มม.</v>
      </c>
      <c r="C222" s="1349"/>
      <c r="D222" s="801"/>
      <c r="E222" s="1350">
        <f t="shared" ref="E222" si="68">N222</f>
        <v>3</v>
      </c>
      <c r="F222" s="1348" t="str">
        <f t="shared" ref="F222" si="69">IF(E222="","","ชุด")</f>
        <v>ชุด</v>
      </c>
      <c r="G222" s="1394">
        <v>4700</v>
      </c>
      <c r="H222" s="854">
        <f t="shared" ref="H222" si="70">ROUND(E222*G222,)</f>
        <v>14100</v>
      </c>
      <c r="I222" s="1394">
        <v>500</v>
      </c>
      <c r="J222" s="1395">
        <f t="shared" ref="J222" si="71">ROUND(E222*I222,)</f>
        <v>1500</v>
      </c>
      <c r="K222" s="966">
        <f t="shared" ref="K222" si="72">H222+J222</f>
        <v>15600</v>
      </c>
      <c r="L222" s="966"/>
      <c r="M222" s="1420" t="s">
        <v>2529</v>
      </c>
      <c r="N222">
        <v>3</v>
      </c>
      <c r="O222" s="1404"/>
    </row>
    <row r="223" spans="1:15" s="1329" customFormat="1" ht="24" customHeight="1">
      <c r="A223" s="1330" t="s">
        <v>2218</v>
      </c>
      <c r="B223" s="1331" t="s">
        <v>2055</v>
      </c>
      <c r="C223" s="1349"/>
      <c r="D223" s="801"/>
      <c r="E223" s="966"/>
      <c r="F223" s="1249"/>
      <c r="G223" s="1394"/>
      <c r="H223" s="864"/>
      <c r="I223" s="1394"/>
      <c r="J223" s="1395"/>
      <c r="K223" s="966"/>
      <c r="L223" s="966"/>
      <c r="M223" s="1328"/>
    </row>
    <row r="224" spans="1:15" s="1329" customFormat="1" ht="24" customHeight="1">
      <c r="A224" s="1330"/>
      <c r="B224" s="1331" t="str">
        <f t="shared" ref="B224:B241" si="73">"  -  "&amp;M224&amp;" มม."</f>
        <v xml:space="preserve">  -  150x400 มม.</v>
      </c>
      <c r="C224" s="1349"/>
      <c r="D224" s="801"/>
      <c r="E224" s="1350">
        <f t="shared" ref="E224:E241" si="74">N224</f>
        <v>1</v>
      </c>
      <c r="F224" s="865" t="str">
        <f t="shared" ref="F224:F241" si="75">IF(E224="","","ชุด")</f>
        <v>ชุด</v>
      </c>
      <c r="G224" s="1394">
        <v>1000</v>
      </c>
      <c r="H224" s="854">
        <f t="shared" ref="H224:H241" si="76">ROUND(E224*G224,)</f>
        <v>1000</v>
      </c>
      <c r="I224" s="1394">
        <v>300</v>
      </c>
      <c r="J224" s="1395">
        <f t="shared" ref="J224:J241" si="77">ROUND(E224*I224,)</f>
        <v>300</v>
      </c>
      <c r="K224" s="966">
        <f t="shared" ref="K224:K241" si="78">H224+J224</f>
        <v>1300</v>
      </c>
      <c r="L224" s="966"/>
      <c r="M224" s="1328" t="s">
        <v>2357</v>
      </c>
      <c r="N224" s="1404">
        <v>1</v>
      </c>
      <c r="O224" s="1404"/>
    </row>
    <row r="225" spans="1:15" s="1329" customFormat="1" ht="24" customHeight="1">
      <c r="A225" s="1330"/>
      <c r="B225" s="1331" t="str">
        <f t="shared" si="73"/>
        <v xml:space="preserve">  -  200x200 มม.</v>
      </c>
      <c r="C225" s="1349"/>
      <c r="D225" s="801"/>
      <c r="E225" s="1350">
        <f t="shared" si="74"/>
        <v>1</v>
      </c>
      <c r="F225" s="865" t="str">
        <f t="shared" si="75"/>
        <v>ชุด</v>
      </c>
      <c r="G225" s="1394">
        <v>500</v>
      </c>
      <c r="H225" s="854">
        <f t="shared" si="76"/>
        <v>500</v>
      </c>
      <c r="I225" s="1394">
        <v>100</v>
      </c>
      <c r="J225" s="1395">
        <f t="shared" si="77"/>
        <v>100</v>
      </c>
      <c r="K225" s="966">
        <f t="shared" si="78"/>
        <v>600</v>
      </c>
      <c r="L225" s="966"/>
      <c r="M225" s="1328" t="s">
        <v>2042</v>
      </c>
      <c r="N225" s="1404">
        <v>1</v>
      </c>
      <c r="O225" s="1404"/>
    </row>
    <row r="226" spans="1:15" s="1329" customFormat="1" ht="24" customHeight="1">
      <c r="A226" s="1330"/>
      <c r="B226" s="1331" t="str">
        <f t="shared" si="73"/>
        <v xml:space="preserve">  -  250x200 มม.</v>
      </c>
      <c r="C226" s="1349"/>
      <c r="D226" s="801"/>
      <c r="E226" s="1350">
        <f t="shared" si="74"/>
        <v>11</v>
      </c>
      <c r="F226" s="865" t="str">
        <f t="shared" si="75"/>
        <v>ชุด</v>
      </c>
      <c r="G226" s="1394">
        <v>1100</v>
      </c>
      <c r="H226" s="854">
        <f t="shared" si="76"/>
        <v>12100</v>
      </c>
      <c r="I226" s="1394">
        <v>300</v>
      </c>
      <c r="J226" s="1395">
        <f t="shared" si="77"/>
        <v>3300</v>
      </c>
      <c r="K226" s="966">
        <f t="shared" si="78"/>
        <v>15400</v>
      </c>
      <c r="L226" s="966"/>
      <c r="M226" s="1328" t="s">
        <v>2056</v>
      </c>
      <c r="N226" s="1404">
        <v>11</v>
      </c>
      <c r="O226" s="1404"/>
    </row>
    <row r="227" spans="1:15" s="1329" customFormat="1" ht="24" customHeight="1">
      <c r="A227" s="1330"/>
      <c r="B227" s="1331" t="str">
        <f t="shared" si="73"/>
        <v xml:space="preserve">  -  300x200 มม.</v>
      </c>
      <c r="C227" s="1349"/>
      <c r="D227" s="801"/>
      <c r="E227" s="1350">
        <f t="shared" si="74"/>
        <v>1</v>
      </c>
      <c r="F227" s="865" t="str">
        <f t="shared" si="75"/>
        <v>ชุด</v>
      </c>
      <c r="G227" s="1394">
        <v>500</v>
      </c>
      <c r="H227" s="854">
        <f t="shared" si="76"/>
        <v>500</v>
      </c>
      <c r="I227" s="865">
        <v>100</v>
      </c>
      <c r="J227" s="1395">
        <f t="shared" si="77"/>
        <v>100</v>
      </c>
      <c r="K227" s="966">
        <f t="shared" si="78"/>
        <v>600</v>
      </c>
      <c r="L227" s="966"/>
      <c r="M227" s="1328" t="s">
        <v>2050</v>
      </c>
      <c r="N227" s="1404">
        <v>1</v>
      </c>
      <c r="O227" s="1404"/>
    </row>
    <row r="228" spans="1:15" s="1329" customFormat="1" ht="24" customHeight="1">
      <c r="A228" s="1330"/>
      <c r="B228" s="1331" t="str">
        <f t="shared" si="73"/>
        <v xml:space="preserve">  -  350x200 มม.</v>
      </c>
      <c r="C228" s="1349"/>
      <c r="D228" s="801"/>
      <c r="E228" s="1350">
        <f t="shared" si="74"/>
        <v>1</v>
      </c>
      <c r="F228" s="865" t="str">
        <f t="shared" si="75"/>
        <v>ชุด</v>
      </c>
      <c r="G228" s="1394">
        <v>500</v>
      </c>
      <c r="H228" s="854">
        <f t="shared" si="76"/>
        <v>500</v>
      </c>
      <c r="I228" s="865">
        <v>100</v>
      </c>
      <c r="J228" s="1395">
        <f t="shared" si="77"/>
        <v>100</v>
      </c>
      <c r="K228" s="966">
        <f t="shared" si="78"/>
        <v>600</v>
      </c>
      <c r="L228" s="966"/>
      <c r="M228" s="1328" t="s">
        <v>2209</v>
      </c>
      <c r="N228" s="1404">
        <v>1</v>
      </c>
      <c r="O228" s="1404"/>
    </row>
    <row r="229" spans="1:15" s="1329" customFormat="1" ht="24" customHeight="1">
      <c r="A229" s="1330"/>
      <c r="B229" s="1331" t="str">
        <f t="shared" si="73"/>
        <v xml:space="preserve">  -  350x250 มม.</v>
      </c>
      <c r="C229" s="1349"/>
      <c r="D229" s="801"/>
      <c r="E229" s="1350">
        <f t="shared" si="74"/>
        <v>2</v>
      </c>
      <c r="F229" s="865" t="str">
        <f t="shared" si="75"/>
        <v>ชุด</v>
      </c>
      <c r="G229" s="1394">
        <v>500</v>
      </c>
      <c r="H229" s="854">
        <f t="shared" si="76"/>
        <v>1000</v>
      </c>
      <c r="I229" s="865">
        <v>100</v>
      </c>
      <c r="J229" s="1395">
        <f t="shared" si="77"/>
        <v>200</v>
      </c>
      <c r="K229" s="966">
        <f t="shared" si="78"/>
        <v>1200</v>
      </c>
      <c r="L229" s="966"/>
      <c r="M229" s="1328" t="s">
        <v>2226</v>
      </c>
      <c r="N229" s="1404">
        <v>2</v>
      </c>
      <c r="O229" s="1404"/>
    </row>
    <row r="230" spans="1:15" s="1329" customFormat="1" ht="24" customHeight="1">
      <c r="A230" s="1330"/>
      <c r="B230" s="1331" t="str">
        <f t="shared" si="73"/>
        <v xml:space="preserve">  -  500x350 มม.</v>
      </c>
      <c r="C230" s="1349"/>
      <c r="D230" s="801"/>
      <c r="E230" s="1350">
        <f t="shared" si="74"/>
        <v>6</v>
      </c>
      <c r="F230" s="865" t="str">
        <f t="shared" si="75"/>
        <v>ชุด</v>
      </c>
      <c r="G230" s="1257">
        <v>1950</v>
      </c>
      <c r="H230" s="854">
        <f t="shared" si="76"/>
        <v>11700</v>
      </c>
      <c r="I230" s="855">
        <v>300</v>
      </c>
      <c r="J230" s="1476">
        <f t="shared" si="77"/>
        <v>1800</v>
      </c>
      <c r="K230" s="1014">
        <f t="shared" si="78"/>
        <v>13500</v>
      </c>
      <c r="L230" s="966"/>
      <c r="M230" s="1328" t="s">
        <v>2526</v>
      </c>
      <c r="N230" s="1404">
        <v>6</v>
      </c>
      <c r="O230" s="1404"/>
    </row>
    <row r="231" spans="1:15" s="1329" customFormat="1" ht="24" customHeight="1">
      <c r="A231" s="1330"/>
      <c r="B231" s="1331" t="str">
        <f t="shared" si="73"/>
        <v xml:space="preserve">  -  500x500 มม.</v>
      </c>
      <c r="C231" s="1349"/>
      <c r="D231" s="801"/>
      <c r="E231" s="1350">
        <f t="shared" si="74"/>
        <v>2</v>
      </c>
      <c r="F231" s="865" t="str">
        <f t="shared" si="75"/>
        <v>ชุด</v>
      </c>
      <c r="G231" s="1394">
        <v>2500</v>
      </c>
      <c r="H231" s="854">
        <f t="shared" si="76"/>
        <v>5000</v>
      </c>
      <c r="I231" s="865">
        <v>300</v>
      </c>
      <c r="J231" s="1395">
        <f t="shared" si="77"/>
        <v>600</v>
      </c>
      <c r="K231" s="966">
        <f t="shared" si="78"/>
        <v>5600</v>
      </c>
      <c r="L231" s="966"/>
      <c r="M231" s="1328" t="s">
        <v>2043</v>
      </c>
      <c r="N231" s="1404">
        <v>2</v>
      </c>
      <c r="O231" s="1404"/>
    </row>
    <row r="232" spans="1:15" s="1329" customFormat="1" ht="24" customHeight="1">
      <c r="A232" s="1330"/>
      <c r="B232" s="1331" t="str">
        <f t="shared" si="73"/>
        <v xml:space="preserve">  -  550x500 มม.</v>
      </c>
      <c r="C232" s="1349"/>
      <c r="D232" s="801"/>
      <c r="E232" s="1350">
        <f t="shared" si="74"/>
        <v>2</v>
      </c>
      <c r="F232" s="865" t="str">
        <f t="shared" si="75"/>
        <v>ชุด</v>
      </c>
      <c r="G232" s="1394">
        <v>2600</v>
      </c>
      <c r="H232" s="854">
        <f t="shared" si="76"/>
        <v>5200</v>
      </c>
      <c r="I232" s="865">
        <v>300</v>
      </c>
      <c r="J232" s="1395">
        <f t="shared" si="77"/>
        <v>600</v>
      </c>
      <c r="K232" s="966">
        <f t="shared" si="78"/>
        <v>5800</v>
      </c>
      <c r="L232" s="966"/>
      <c r="M232" s="1328" t="s">
        <v>2491</v>
      </c>
      <c r="N232" s="1404">
        <v>2</v>
      </c>
      <c r="O232" s="1404"/>
    </row>
    <row r="233" spans="1:15" s="1329" customFormat="1" ht="24" customHeight="1">
      <c r="A233" s="1330"/>
      <c r="B233" s="1331" t="str">
        <f t="shared" si="73"/>
        <v xml:space="preserve">  -  600x600 มม.</v>
      </c>
      <c r="C233" s="1349"/>
      <c r="D233" s="801"/>
      <c r="E233" s="1350">
        <f t="shared" si="74"/>
        <v>2</v>
      </c>
      <c r="F233" s="865" t="str">
        <f t="shared" si="75"/>
        <v>ชุด</v>
      </c>
      <c r="G233" s="1394">
        <v>2600</v>
      </c>
      <c r="H233" s="854">
        <f t="shared" si="76"/>
        <v>5200</v>
      </c>
      <c r="I233" s="865">
        <v>300</v>
      </c>
      <c r="J233" s="1395">
        <f t="shared" si="77"/>
        <v>600</v>
      </c>
      <c r="K233" s="966">
        <f t="shared" si="78"/>
        <v>5800</v>
      </c>
      <c r="L233" s="966"/>
      <c r="M233" s="1328" t="s">
        <v>2455</v>
      </c>
      <c r="N233" s="1404">
        <v>2</v>
      </c>
      <c r="O233" s="1404"/>
    </row>
    <row r="234" spans="1:15" s="1329" customFormat="1" ht="24" customHeight="1">
      <c r="A234" s="1330"/>
      <c r="B234" s="1331" t="str">
        <f t="shared" si="73"/>
        <v xml:space="preserve">  -  650x650 มม.</v>
      </c>
      <c r="C234" s="1349"/>
      <c r="D234" s="801"/>
      <c r="E234" s="1350">
        <f t="shared" si="74"/>
        <v>4</v>
      </c>
      <c r="F234" s="865" t="str">
        <f t="shared" si="75"/>
        <v>ชุด</v>
      </c>
      <c r="G234" s="1394">
        <v>2600</v>
      </c>
      <c r="H234" s="854">
        <f t="shared" si="76"/>
        <v>10400</v>
      </c>
      <c r="I234" s="865">
        <v>300</v>
      </c>
      <c r="J234" s="1395">
        <f t="shared" si="77"/>
        <v>1200</v>
      </c>
      <c r="K234" s="966">
        <f t="shared" si="78"/>
        <v>11600</v>
      </c>
      <c r="L234" s="966"/>
      <c r="M234" s="1328" t="s">
        <v>2045</v>
      </c>
      <c r="N234" s="1404">
        <v>4</v>
      </c>
      <c r="O234" s="1404"/>
    </row>
    <row r="235" spans="1:15" s="1329" customFormat="1" ht="24" customHeight="1">
      <c r="A235" s="1330"/>
      <c r="B235" s="1331" t="str">
        <f t="shared" si="73"/>
        <v xml:space="preserve">  -  800x350 มม.</v>
      </c>
      <c r="C235" s="1349"/>
      <c r="D235" s="801"/>
      <c r="E235" s="1350">
        <f t="shared" si="74"/>
        <v>1</v>
      </c>
      <c r="F235" s="865" t="str">
        <f t="shared" si="75"/>
        <v>ชุด</v>
      </c>
      <c r="G235" s="1257">
        <v>3600</v>
      </c>
      <c r="H235" s="854">
        <f t="shared" si="76"/>
        <v>3600</v>
      </c>
      <c r="I235" s="855">
        <v>300</v>
      </c>
      <c r="J235" s="1476">
        <f t="shared" si="77"/>
        <v>300</v>
      </c>
      <c r="K235" s="966">
        <f t="shared" si="78"/>
        <v>3900</v>
      </c>
      <c r="L235" s="966"/>
      <c r="M235" s="1328" t="s">
        <v>2046</v>
      </c>
      <c r="N235" s="1404">
        <v>1</v>
      </c>
      <c r="O235" s="1404"/>
    </row>
    <row r="236" spans="1:15" s="1329" customFormat="1" ht="24" customHeight="1">
      <c r="A236" s="1330"/>
      <c r="B236" s="1331" t="str">
        <f t="shared" si="73"/>
        <v xml:space="preserve">  -  850x350 มม.</v>
      </c>
      <c r="C236" s="1349"/>
      <c r="D236" s="801"/>
      <c r="E236" s="1350">
        <f t="shared" si="74"/>
        <v>1</v>
      </c>
      <c r="F236" s="865" t="str">
        <f t="shared" si="75"/>
        <v>ชุด</v>
      </c>
      <c r="G236" s="1257">
        <v>3600</v>
      </c>
      <c r="H236" s="854">
        <f t="shared" si="76"/>
        <v>3600</v>
      </c>
      <c r="I236" s="855">
        <v>300</v>
      </c>
      <c r="J236" s="1476">
        <f t="shared" si="77"/>
        <v>300</v>
      </c>
      <c r="K236" s="966">
        <f t="shared" si="78"/>
        <v>3900</v>
      </c>
      <c r="L236" s="966"/>
      <c r="M236" s="1328" t="s">
        <v>2530</v>
      </c>
      <c r="N236" s="1404">
        <v>1</v>
      </c>
      <c r="O236" s="1404"/>
    </row>
    <row r="237" spans="1:15" s="1329" customFormat="1" ht="24" customHeight="1">
      <c r="A237" s="1330"/>
      <c r="B237" s="1331" t="str">
        <f t="shared" si="73"/>
        <v xml:space="preserve">  -  1050x300 มม.</v>
      </c>
      <c r="C237" s="1349"/>
      <c r="D237" s="801"/>
      <c r="E237" s="1350">
        <f t="shared" si="74"/>
        <v>5</v>
      </c>
      <c r="F237" s="865" t="str">
        <f t="shared" si="75"/>
        <v>ชุด</v>
      </c>
      <c r="G237" s="1394">
        <v>2700</v>
      </c>
      <c r="H237" s="854">
        <f t="shared" si="76"/>
        <v>13500</v>
      </c>
      <c r="I237" s="865">
        <v>325</v>
      </c>
      <c r="J237" s="1395">
        <f t="shared" si="77"/>
        <v>1625</v>
      </c>
      <c r="K237" s="966">
        <f t="shared" si="78"/>
        <v>15125</v>
      </c>
      <c r="L237" s="966"/>
      <c r="M237" s="1328" t="s">
        <v>2240</v>
      </c>
      <c r="N237" s="1404">
        <v>5</v>
      </c>
      <c r="O237" s="1404"/>
    </row>
    <row r="238" spans="1:15" s="1329" customFormat="1" ht="24" customHeight="1">
      <c r="A238" s="1330"/>
      <c r="B238" s="1331" t="str">
        <f t="shared" si="73"/>
        <v xml:space="preserve">  -  1050x500 มม.</v>
      </c>
      <c r="C238" s="1349"/>
      <c r="D238" s="801"/>
      <c r="E238" s="1350">
        <f t="shared" si="74"/>
        <v>1</v>
      </c>
      <c r="F238" s="867" t="str">
        <f t="shared" si="75"/>
        <v>ชุด</v>
      </c>
      <c r="G238" s="1140">
        <v>3850</v>
      </c>
      <c r="H238" s="854">
        <f t="shared" si="76"/>
        <v>3850</v>
      </c>
      <c r="I238" s="855">
        <v>325</v>
      </c>
      <c r="J238" s="796">
        <f t="shared" si="77"/>
        <v>325</v>
      </c>
      <c r="K238" s="867">
        <f t="shared" si="78"/>
        <v>4175</v>
      </c>
      <c r="L238" s="867"/>
      <c r="M238" s="1328" t="s">
        <v>2531</v>
      </c>
      <c r="N238" s="1404">
        <v>1</v>
      </c>
      <c r="O238" s="1404"/>
    </row>
    <row r="239" spans="1:15" s="1329" customFormat="1" ht="24" customHeight="1">
      <c r="A239" s="1330"/>
      <c r="B239" s="1331" t="str">
        <f t="shared" si="73"/>
        <v xml:space="preserve">  -  1200x350 มม.</v>
      </c>
      <c r="C239" s="1349"/>
      <c r="D239" s="801"/>
      <c r="E239" s="1350">
        <f t="shared" si="74"/>
        <v>1</v>
      </c>
      <c r="F239" s="867" t="str">
        <f t="shared" si="75"/>
        <v>ชุด</v>
      </c>
      <c r="G239" s="1249">
        <v>3100</v>
      </c>
      <c r="H239" s="854">
        <f t="shared" si="76"/>
        <v>3100</v>
      </c>
      <c r="I239" s="865">
        <v>325</v>
      </c>
      <c r="J239" s="864">
        <f t="shared" si="77"/>
        <v>325</v>
      </c>
      <c r="K239" s="867">
        <f t="shared" si="78"/>
        <v>3425</v>
      </c>
      <c r="L239" s="867"/>
      <c r="M239" s="1328" t="s">
        <v>2365</v>
      </c>
      <c r="N239" s="1404">
        <v>1</v>
      </c>
      <c r="O239" s="1404"/>
    </row>
    <row r="240" spans="1:15" s="1329" customFormat="1" ht="24" customHeight="1">
      <c r="A240" s="1330"/>
      <c r="B240" s="1331" t="str">
        <f t="shared" si="73"/>
        <v xml:space="preserve">  -  1300x400 มม.</v>
      </c>
      <c r="C240" s="1349"/>
      <c r="D240" s="801"/>
      <c r="E240" s="1350">
        <f t="shared" si="74"/>
        <v>1</v>
      </c>
      <c r="F240" s="867" t="str">
        <f t="shared" si="75"/>
        <v>ชุด</v>
      </c>
      <c r="G240" s="1140">
        <v>3800</v>
      </c>
      <c r="H240" s="854">
        <f t="shared" si="76"/>
        <v>3800</v>
      </c>
      <c r="I240" s="855">
        <v>325</v>
      </c>
      <c r="J240" s="796">
        <f t="shared" si="77"/>
        <v>325</v>
      </c>
      <c r="K240" s="867">
        <f t="shared" si="78"/>
        <v>4125</v>
      </c>
      <c r="L240" s="867"/>
      <c r="M240" s="1328" t="s">
        <v>2532</v>
      </c>
      <c r="N240" s="1404">
        <v>1</v>
      </c>
      <c r="O240" s="1404"/>
    </row>
    <row r="241" spans="1:15" s="1329" customFormat="1" ht="24" customHeight="1">
      <c r="A241" s="1330"/>
      <c r="B241" s="1331" t="str">
        <f t="shared" si="73"/>
        <v xml:space="preserve">  -  1450x1450 มม.</v>
      </c>
      <c r="C241" s="1349"/>
      <c r="D241" s="801"/>
      <c r="E241" s="1350">
        <f t="shared" si="74"/>
        <v>1</v>
      </c>
      <c r="F241" s="867" t="str">
        <f t="shared" si="75"/>
        <v>ชุด</v>
      </c>
      <c r="G241" s="1249">
        <v>7250</v>
      </c>
      <c r="H241" s="864">
        <f t="shared" si="76"/>
        <v>7250</v>
      </c>
      <c r="I241" s="855">
        <v>325</v>
      </c>
      <c r="J241" s="796">
        <f t="shared" si="77"/>
        <v>325</v>
      </c>
      <c r="K241" s="867">
        <f t="shared" si="78"/>
        <v>7575</v>
      </c>
      <c r="L241" s="867"/>
      <c r="M241" s="1328" t="s">
        <v>2525</v>
      </c>
      <c r="N241" s="1404">
        <v>1</v>
      </c>
      <c r="O241" s="1404"/>
    </row>
    <row r="242" spans="1:15" s="1329" customFormat="1" ht="24" customHeight="1">
      <c r="A242" s="1330" t="s">
        <v>2224</v>
      </c>
      <c r="B242" s="1331" t="s">
        <v>2063</v>
      </c>
      <c r="C242" s="1349"/>
      <c r="D242" s="801"/>
      <c r="E242" s="966"/>
      <c r="F242" s="867"/>
      <c r="G242" s="1249"/>
      <c r="H242" s="864"/>
      <c r="I242" s="865"/>
      <c r="J242" s="864"/>
      <c r="K242" s="867"/>
      <c r="L242" s="867"/>
      <c r="M242" s="1328"/>
    </row>
    <row r="243" spans="1:15" s="1329" customFormat="1" ht="24" customHeight="1">
      <c r="A243" s="1330"/>
      <c r="B243" s="1331" t="str">
        <f t="shared" ref="B243:B246" si="79">"  -  "&amp;M243&amp;" มม."</f>
        <v xml:space="preserve">  -  250x200 มม.</v>
      </c>
      <c r="C243" s="1349"/>
      <c r="D243" s="801"/>
      <c r="E243" s="1350">
        <f t="shared" ref="E243:E246" si="80">N243</f>
        <v>1</v>
      </c>
      <c r="F243" s="867" t="str">
        <f t="shared" ref="F243:F246" si="81">IF(E243="","","ชุด")</f>
        <v>ชุด</v>
      </c>
      <c r="G243" s="1140">
        <v>650</v>
      </c>
      <c r="H243" s="854">
        <f t="shared" ref="H243:H246" si="82">ROUND(E243*G243,)</f>
        <v>650</v>
      </c>
      <c r="I243" s="855">
        <v>200</v>
      </c>
      <c r="J243" s="796">
        <f t="shared" ref="J243:J246" si="83">ROUND(E243*I243,)</f>
        <v>200</v>
      </c>
      <c r="K243" s="914">
        <f t="shared" ref="K243:K246" si="84">H243+J243</f>
        <v>850</v>
      </c>
      <c r="L243" s="867"/>
      <c r="M243" s="1328" t="s">
        <v>2056</v>
      </c>
      <c r="N243" s="1404">
        <v>1</v>
      </c>
      <c r="O243" s="1404"/>
    </row>
    <row r="244" spans="1:15" s="1329" customFormat="1" ht="24" customHeight="1">
      <c r="A244" s="1330"/>
      <c r="B244" s="1331" t="str">
        <f t="shared" si="79"/>
        <v xml:space="preserve">  -  550x500 มม.</v>
      </c>
      <c r="C244" s="1349"/>
      <c r="D244" s="801"/>
      <c r="E244" s="1350">
        <f t="shared" si="80"/>
        <v>1</v>
      </c>
      <c r="F244" s="867" t="str">
        <f t="shared" si="81"/>
        <v>ชุด</v>
      </c>
      <c r="G244" s="1140">
        <v>2400</v>
      </c>
      <c r="H244" s="854">
        <f t="shared" si="82"/>
        <v>2400</v>
      </c>
      <c r="I244" s="855">
        <v>200</v>
      </c>
      <c r="J244" s="796">
        <f t="shared" si="83"/>
        <v>200</v>
      </c>
      <c r="K244" s="914">
        <f t="shared" si="84"/>
        <v>2600</v>
      </c>
      <c r="L244" s="867"/>
      <c r="M244" s="1328" t="s">
        <v>2491</v>
      </c>
      <c r="N244" s="1404">
        <v>1</v>
      </c>
      <c r="O244" s="1404"/>
    </row>
    <row r="245" spans="1:15" s="1329" customFormat="1" ht="24" customHeight="1">
      <c r="A245" s="1330"/>
      <c r="B245" s="1331" t="str">
        <f t="shared" si="79"/>
        <v xml:space="preserve">  -  600x600 มม.</v>
      </c>
      <c r="C245" s="1349"/>
      <c r="D245" s="801"/>
      <c r="E245" s="1350">
        <f t="shared" si="80"/>
        <v>1</v>
      </c>
      <c r="F245" s="867" t="str">
        <f t="shared" si="81"/>
        <v>ชุด</v>
      </c>
      <c r="G245" s="1140">
        <v>3200</v>
      </c>
      <c r="H245" s="854">
        <f t="shared" si="82"/>
        <v>3200</v>
      </c>
      <c r="I245" s="855">
        <v>200</v>
      </c>
      <c r="J245" s="796">
        <f t="shared" si="83"/>
        <v>200</v>
      </c>
      <c r="K245" s="914">
        <f t="shared" si="84"/>
        <v>3400</v>
      </c>
      <c r="L245" s="867"/>
      <c r="M245" s="1328" t="s">
        <v>2455</v>
      </c>
      <c r="N245" s="1404">
        <v>1</v>
      </c>
      <c r="O245" s="1404"/>
    </row>
    <row r="246" spans="1:15" s="1329" customFormat="1" ht="24" customHeight="1">
      <c r="A246" s="1330"/>
      <c r="B246" s="1331" t="str">
        <f t="shared" si="79"/>
        <v xml:space="preserve">  -  1050x500 มม.</v>
      </c>
      <c r="C246" s="1349"/>
      <c r="D246" s="801"/>
      <c r="E246" s="1350">
        <f t="shared" si="80"/>
        <v>1</v>
      </c>
      <c r="F246" s="867" t="str">
        <f t="shared" si="81"/>
        <v>ชุด</v>
      </c>
      <c r="G246" s="1140">
        <v>2400</v>
      </c>
      <c r="H246" s="854">
        <f t="shared" si="82"/>
        <v>2400</v>
      </c>
      <c r="I246" s="855">
        <v>250</v>
      </c>
      <c r="J246" s="796">
        <f t="shared" si="83"/>
        <v>250</v>
      </c>
      <c r="K246" s="914">
        <f t="shared" si="84"/>
        <v>2650</v>
      </c>
      <c r="L246" s="867"/>
      <c r="M246" s="1328" t="s">
        <v>2531</v>
      </c>
      <c r="N246" s="1404">
        <v>1</v>
      </c>
      <c r="O246" s="1404"/>
    </row>
    <row r="247" spans="1:15" s="1329" customFormat="1" ht="24" customHeight="1">
      <c r="A247" s="1330" t="s">
        <v>2237</v>
      </c>
      <c r="B247" s="1331" t="s">
        <v>2239</v>
      </c>
      <c r="C247" s="1349"/>
      <c r="D247" s="801"/>
      <c r="E247" s="966"/>
      <c r="F247" s="867"/>
      <c r="G247" s="1249"/>
      <c r="H247" s="864"/>
      <c r="I247" s="865"/>
      <c r="J247" s="864"/>
      <c r="K247" s="867"/>
      <c r="L247" s="867"/>
      <c r="M247" s="1328"/>
    </row>
    <row r="248" spans="1:15" s="1329" customFormat="1" ht="24" customHeight="1">
      <c r="A248" s="1330"/>
      <c r="B248" s="1331" t="str">
        <f t="shared" ref="B248" si="85">"  -  "&amp;M248&amp;" มม."</f>
        <v xml:space="preserve">  -  1050x300 มม.</v>
      </c>
      <c r="C248" s="1349"/>
      <c r="D248" s="801"/>
      <c r="E248" s="1350">
        <f t="shared" ref="E248" si="86">N248</f>
        <v>2</v>
      </c>
      <c r="F248" s="867" t="str">
        <f t="shared" ref="F248" si="87">IF(E248="","","ชุด")</f>
        <v>ชุด</v>
      </c>
      <c r="G248" s="1249">
        <v>1800</v>
      </c>
      <c r="H248" s="864">
        <f t="shared" ref="H248" si="88">ROUND(E248*G248,)</f>
        <v>3600</v>
      </c>
      <c r="I248" s="865">
        <v>200</v>
      </c>
      <c r="J248" s="864">
        <f t="shared" ref="J248" si="89">ROUND(E248*I248,)</f>
        <v>400</v>
      </c>
      <c r="K248" s="867">
        <f t="shared" ref="K248" si="90">H248+J248</f>
        <v>4000</v>
      </c>
      <c r="L248" s="867"/>
      <c r="M248" s="1328" t="s">
        <v>2240</v>
      </c>
      <c r="N248" s="1404">
        <v>2</v>
      </c>
      <c r="O248" s="1404"/>
    </row>
    <row r="249" spans="1:15" s="1329" customFormat="1" ht="24" customHeight="1">
      <c r="A249" s="1166"/>
      <c r="B249" s="2475" t="str">
        <f>"รวมราคารายการที่ "&amp;A201</f>
        <v>รวมราคารายการที่ 7.12</v>
      </c>
      <c r="C249" s="2476"/>
      <c r="D249" s="2477"/>
      <c r="E249" s="1167"/>
      <c r="F249" s="1167"/>
      <c r="G249" s="1168"/>
      <c r="H249" s="1169">
        <f>SUM(H201:H248)</f>
        <v>203150</v>
      </c>
      <c r="I249" s="1170"/>
      <c r="J249" s="1169">
        <f>SUM(J201:J248)</f>
        <v>26875</v>
      </c>
      <c r="K249" s="1169">
        <f>SUM(K201:K248)</f>
        <v>230025</v>
      </c>
      <c r="L249" s="1171"/>
      <c r="M249" s="1328"/>
    </row>
    <row r="250" spans="1:15" s="1329" customFormat="1" ht="24" customHeight="1">
      <c r="A250" s="1325" t="s">
        <v>2241</v>
      </c>
      <c r="B250" s="1326" t="s">
        <v>2066</v>
      </c>
      <c r="C250" s="1347"/>
      <c r="D250" s="901"/>
      <c r="E250" s="1030"/>
      <c r="F250" s="903"/>
      <c r="G250" s="1348"/>
      <c r="H250" s="905"/>
      <c r="I250" s="906"/>
      <c r="J250" s="905"/>
      <c r="K250" s="903"/>
      <c r="L250" s="903"/>
      <c r="M250" s="1328"/>
    </row>
    <row r="251" spans="1:15" s="1329" customFormat="1" ht="24" customHeight="1">
      <c r="A251" s="1330" t="s">
        <v>2242</v>
      </c>
      <c r="B251" s="1331" t="s">
        <v>2068</v>
      </c>
      <c r="C251" s="1349"/>
      <c r="D251" s="801"/>
      <c r="E251" s="1019"/>
      <c r="F251" s="947"/>
      <c r="G251" s="1310"/>
      <c r="H251" s="864"/>
      <c r="I251" s="774"/>
      <c r="J251" s="864"/>
      <c r="K251" s="966"/>
      <c r="L251" s="867"/>
      <c r="M251" s="1328"/>
    </row>
    <row r="252" spans="1:15" s="1329" customFormat="1" ht="24" customHeight="1">
      <c r="A252" s="1330"/>
      <c r="B252" s="1331" t="s">
        <v>2533</v>
      </c>
      <c r="C252" s="1349"/>
      <c r="D252" s="890"/>
      <c r="E252" s="1019">
        <v>1</v>
      </c>
      <c r="F252" s="903" t="s">
        <v>240</v>
      </c>
      <c r="G252" s="1249">
        <v>25000</v>
      </c>
      <c r="H252" s="864">
        <f>ROUND(E252*G252,)</f>
        <v>25000</v>
      </c>
      <c r="I252" s="1249">
        <f>G252*0.1</f>
        <v>2500</v>
      </c>
      <c r="J252" s="864">
        <f>ROUND(E252*I252,)</f>
        <v>2500</v>
      </c>
      <c r="K252" s="966">
        <f>H252+J252</f>
        <v>27500</v>
      </c>
      <c r="L252" s="903"/>
      <c r="M252" s="1328"/>
    </row>
    <row r="253" spans="1:15" s="1329" customFormat="1" ht="24" customHeight="1">
      <c r="A253" s="1330"/>
      <c r="B253" s="1331" t="s">
        <v>2534</v>
      </c>
      <c r="C253" s="1349"/>
      <c r="D253" s="890"/>
      <c r="E253" s="1019">
        <v>1</v>
      </c>
      <c r="F253" s="903" t="s">
        <v>240</v>
      </c>
      <c r="G253" s="1249">
        <v>15000</v>
      </c>
      <c r="H253" s="864">
        <f>ROUND(E253*G253,)</f>
        <v>15000</v>
      </c>
      <c r="I253" s="1249">
        <f>G253*0.1</f>
        <v>1500</v>
      </c>
      <c r="J253" s="864">
        <f>ROUND(E253*I253,)</f>
        <v>1500</v>
      </c>
      <c r="K253" s="966">
        <f>H253+J253</f>
        <v>16500</v>
      </c>
      <c r="L253" s="903"/>
      <c r="M253" s="1328"/>
    </row>
    <row r="254" spans="1:15" s="1329" customFormat="1" ht="24" customHeight="1">
      <c r="A254" s="1330"/>
      <c r="B254" s="1331" t="s">
        <v>2535</v>
      </c>
      <c r="C254" s="1349"/>
      <c r="D254" s="801"/>
      <c r="E254" s="1019">
        <v>1</v>
      </c>
      <c r="F254" s="867" t="s">
        <v>240</v>
      </c>
      <c r="G254" s="1249">
        <v>30000</v>
      </c>
      <c r="H254" s="864">
        <f>ROUND(E254*G254,)</f>
        <v>30000</v>
      </c>
      <c r="I254" s="1249">
        <f>G254*0.1</f>
        <v>3000</v>
      </c>
      <c r="J254" s="864">
        <f>ROUND(E254*I254,)</f>
        <v>3000</v>
      </c>
      <c r="K254" s="966">
        <f>H254+J254</f>
        <v>33000</v>
      </c>
      <c r="L254" s="867"/>
      <c r="M254" s="1328"/>
    </row>
    <row r="255" spans="1:15" s="1329" customFormat="1" ht="24" customHeight="1">
      <c r="A255" s="1330"/>
      <c r="B255" s="1331" t="s">
        <v>2536</v>
      </c>
      <c r="C255" s="1349"/>
      <c r="D255" s="801"/>
      <c r="E255" s="1019">
        <v>1</v>
      </c>
      <c r="F255" s="867" t="s">
        <v>240</v>
      </c>
      <c r="G255" s="1249">
        <v>30000</v>
      </c>
      <c r="H255" s="864">
        <f>ROUND(E255*G255,)</f>
        <v>30000</v>
      </c>
      <c r="I255" s="1249">
        <f>G255*0.1</f>
        <v>3000</v>
      </c>
      <c r="J255" s="864">
        <f>ROUND(E255*I255,)</f>
        <v>3000</v>
      </c>
      <c r="K255" s="966">
        <f>H255+J255</f>
        <v>33000</v>
      </c>
      <c r="L255" s="867"/>
      <c r="M255" s="1328"/>
    </row>
    <row r="256" spans="1:15" s="1329" customFormat="1" ht="24" customHeight="1">
      <c r="A256" s="1330"/>
      <c r="B256" s="1331"/>
      <c r="C256" s="1349"/>
      <c r="D256" s="801"/>
      <c r="E256" s="966"/>
      <c r="F256" s="867"/>
      <c r="G256" s="1249"/>
      <c r="H256" s="864"/>
      <c r="I256" s="865"/>
      <c r="J256" s="864"/>
      <c r="K256" s="867"/>
      <c r="L256" s="867"/>
      <c r="M256" s="1328"/>
    </row>
    <row r="257" spans="1:15" s="1329" customFormat="1" ht="24" customHeight="1">
      <c r="A257" s="1330"/>
      <c r="B257" s="1331"/>
      <c r="C257" s="1349"/>
      <c r="D257" s="801"/>
      <c r="E257" s="966"/>
      <c r="F257" s="867"/>
      <c r="G257" s="1249"/>
      <c r="H257" s="864"/>
      <c r="I257" s="865"/>
      <c r="J257" s="864"/>
      <c r="K257" s="867"/>
      <c r="L257" s="867"/>
      <c r="M257" s="1328"/>
    </row>
    <row r="258" spans="1:15" s="1329" customFormat="1" ht="24" customHeight="1">
      <c r="A258" s="1330"/>
      <c r="B258" s="1331"/>
      <c r="C258" s="1349"/>
      <c r="D258" s="801"/>
      <c r="E258" s="966"/>
      <c r="F258" s="867"/>
      <c r="G258" s="1249"/>
      <c r="H258" s="864"/>
      <c r="I258" s="865"/>
      <c r="J258" s="864"/>
      <c r="K258" s="867"/>
      <c r="L258" s="867"/>
      <c r="M258" s="1328"/>
    </row>
    <row r="259" spans="1:15" s="1329" customFormat="1" ht="24" customHeight="1">
      <c r="A259" s="1330"/>
      <c r="B259" s="1331"/>
      <c r="C259" s="1349"/>
      <c r="D259" s="801"/>
      <c r="E259" s="966"/>
      <c r="F259" s="867"/>
      <c r="G259" s="1249"/>
      <c r="H259" s="864"/>
      <c r="I259" s="865"/>
      <c r="J259" s="864"/>
      <c r="K259" s="867"/>
      <c r="L259" s="867"/>
      <c r="M259" s="1328"/>
    </row>
    <row r="260" spans="1:15" s="1329" customFormat="1" ht="24" customHeight="1">
      <c r="A260" s="1330" t="s">
        <v>2255</v>
      </c>
      <c r="B260" s="1331" t="s">
        <v>1207</v>
      </c>
      <c r="C260" s="1349"/>
      <c r="D260" s="801"/>
      <c r="E260" s="966"/>
      <c r="F260" s="867"/>
      <c r="G260" s="1249"/>
      <c r="H260" s="864"/>
      <c r="I260" s="865"/>
      <c r="J260" s="864"/>
      <c r="K260" s="867"/>
      <c r="L260" s="867"/>
      <c r="M260" s="1328"/>
    </row>
    <row r="261" spans="1:15" s="1329" customFormat="1" ht="24" customHeight="1">
      <c r="A261" s="1330"/>
      <c r="B261" s="1331" t="s">
        <v>1737</v>
      </c>
      <c r="C261" s="1349"/>
      <c r="D261" s="801"/>
      <c r="E261" s="966">
        <f>60</f>
        <v>60</v>
      </c>
      <c r="F261" s="867" t="s">
        <v>438</v>
      </c>
      <c r="G261" s="752">
        <v>9</v>
      </c>
      <c r="H261" s="796">
        <f t="shared" ref="H261:H266" si="91">ROUND(E261*G261,)</f>
        <v>540</v>
      </c>
      <c r="I261" s="865">
        <v>7</v>
      </c>
      <c r="J261" s="751">
        <f t="shared" ref="J261:J266" si="92">ROUND(E261*I261,)</f>
        <v>420</v>
      </c>
      <c r="K261" s="973">
        <f t="shared" ref="K261:K266" si="93">H261+J261</f>
        <v>960</v>
      </c>
      <c r="L261" s="1718" t="s">
        <v>2974</v>
      </c>
      <c r="N261" s="1404">
        <v>912.1</v>
      </c>
      <c r="O261" s="1404">
        <f t="shared" ref="O261:O266" si="94">ROUND(N261/100,)</f>
        <v>9</v>
      </c>
    </row>
    <row r="262" spans="1:15" s="1329" customFormat="1" ht="24" customHeight="1">
      <c r="A262" s="1330"/>
      <c r="B262" s="720" t="s">
        <v>1166</v>
      </c>
      <c r="C262" s="792"/>
      <c r="D262" s="792"/>
      <c r="E262" s="805">
        <f>120+60</f>
        <v>180</v>
      </c>
      <c r="F262" s="794" t="s">
        <v>438</v>
      </c>
      <c r="G262" s="806">
        <v>14</v>
      </c>
      <c r="H262" s="796">
        <f t="shared" si="91"/>
        <v>2520</v>
      </c>
      <c r="I262" s="797">
        <v>10</v>
      </c>
      <c r="J262" s="796">
        <f t="shared" si="92"/>
        <v>1800</v>
      </c>
      <c r="K262" s="914">
        <f t="shared" si="93"/>
        <v>4320</v>
      </c>
      <c r="L262" s="1718" t="s">
        <v>2974</v>
      </c>
      <c r="N262" s="1404">
        <v>1375.8</v>
      </c>
      <c r="O262" s="1404">
        <f t="shared" si="94"/>
        <v>14</v>
      </c>
    </row>
    <row r="263" spans="1:15" s="1329" customFormat="1" ht="24" customHeight="1">
      <c r="A263" s="1330"/>
      <c r="B263" s="720" t="s">
        <v>1167</v>
      </c>
      <c r="C263" s="792"/>
      <c r="D263" s="792"/>
      <c r="E263" s="805"/>
      <c r="F263" s="794" t="s">
        <v>438</v>
      </c>
      <c r="G263" s="806">
        <v>23</v>
      </c>
      <c r="H263" s="796">
        <f t="shared" si="91"/>
        <v>0</v>
      </c>
      <c r="I263" s="797">
        <v>12</v>
      </c>
      <c r="J263" s="796">
        <f t="shared" si="92"/>
        <v>0</v>
      </c>
      <c r="K263" s="914">
        <f t="shared" si="93"/>
        <v>0</v>
      </c>
      <c r="L263" s="1718" t="s">
        <v>2974</v>
      </c>
      <c r="N263" s="1404">
        <v>2264.1999999999998</v>
      </c>
      <c r="O263" s="1404">
        <f t="shared" si="94"/>
        <v>23</v>
      </c>
    </row>
    <row r="264" spans="1:15" s="1329" customFormat="1" ht="24" customHeight="1">
      <c r="A264" s="1330"/>
      <c r="B264" s="720" t="s">
        <v>1168</v>
      </c>
      <c r="C264" s="792"/>
      <c r="D264" s="792"/>
      <c r="E264" s="805"/>
      <c r="F264" s="794" t="s">
        <v>438</v>
      </c>
      <c r="G264" s="806">
        <v>39</v>
      </c>
      <c r="H264" s="796">
        <f t="shared" si="91"/>
        <v>0</v>
      </c>
      <c r="I264" s="797">
        <v>16</v>
      </c>
      <c r="J264" s="796">
        <f t="shared" si="92"/>
        <v>0</v>
      </c>
      <c r="K264" s="914">
        <f t="shared" si="93"/>
        <v>0</v>
      </c>
      <c r="L264" s="1718" t="s">
        <v>2974</v>
      </c>
      <c r="N264" s="1404">
        <v>3944.2</v>
      </c>
      <c r="O264" s="1404">
        <f t="shared" si="94"/>
        <v>39</v>
      </c>
    </row>
    <row r="265" spans="1:15" s="1329" customFormat="1" ht="24" customHeight="1">
      <c r="A265" s="1330"/>
      <c r="B265" s="720" t="s">
        <v>1169</v>
      </c>
      <c r="C265" s="792"/>
      <c r="D265" s="792"/>
      <c r="E265" s="805"/>
      <c r="F265" s="794" t="s">
        <v>438</v>
      </c>
      <c r="G265" s="806">
        <v>61</v>
      </c>
      <c r="H265" s="796">
        <f t="shared" si="91"/>
        <v>0</v>
      </c>
      <c r="I265" s="797">
        <v>20</v>
      </c>
      <c r="J265" s="796">
        <f t="shared" si="92"/>
        <v>0</v>
      </c>
      <c r="K265" s="914">
        <f t="shared" si="93"/>
        <v>0</v>
      </c>
      <c r="L265" s="1718" t="s">
        <v>2974</v>
      </c>
      <c r="N265" s="1404">
        <v>6120</v>
      </c>
      <c r="O265" s="1404">
        <f t="shared" si="94"/>
        <v>61</v>
      </c>
    </row>
    <row r="266" spans="1:15" s="1329" customFormat="1" ht="24" customHeight="1">
      <c r="A266" s="1330"/>
      <c r="B266" s="720" t="s">
        <v>1163</v>
      </c>
      <c r="C266" s="792"/>
      <c r="D266" s="792"/>
      <c r="E266" s="805"/>
      <c r="F266" s="794" t="s">
        <v>438</v>
      </c>
      <c r="G266" s="806">
        <v>183</v>
      </c>
      <c r="H266" s="796">
        <f t="shared" si="91"/>
        <v>0</v>
      </c>
      <c r="I266" s="797">
        <v>40</v>
      </c>
      <c r="J266" s="796">
        <f t="shared" si="92"/>
        <v>0</v>
      </c>
      <c r="K266" s="914">
        <f t="shared" si="93"/>
        <v>0</v>
      </c>
      <c r="L266" s="1718" t="s">
        <v>2974</v>
      </c>
      <c r="N266" s="1404">
        <v>18335.8</v>
      </c>
      <c r="O266" s="1404">
        <f t="shared" si="94"/>
        <v>183</v>
      </c>
    </row>
    <row r="267" spans="1:15" s="1329" customFormat="1" ht="24" customHeight="1">
      <c r="A267" s="1330" t="s">
        <v>2258</v>
      </c>
      <c r="B267" s="1331" t="s">
        <v>950</v>
      </c>
      <c r="C267" s="1349"/>
      <c r="D267" s="801"/>
      <c r="E267" s="966"/>
      <c r="F267" s="867"/>
      <c r="G267" s="1249"/>
      <c r="H267" s="864"/>
      <c r="I267" s="865"/>
      <c r="J267" s="864"/>
      <c r="K267" s="867"/>
      <c r="L267" s="867"/>
      <c r="M267" s="1328"/>
    </row>
    <row r="268" spans="1:15" s="1329" customFormat="1" ht="24" customHeight="1">
      <c r="A268" s="1330"/>
      <c r="B268" s="1331" t="s">
        <v>1201</v>
      </c>
      <c r="C268" s="1349"/>
      <c r="D268" s="801"/>
      <c r="E268" s="966">
        <f>15</f>
        <v>15</v>
      </c>
      <c r="F268" s="867" t="s">
        <v>438</v>
      </c>
      <c r="G268" s="1249">
        <v>56</v>
      </c>
      <c r="H268" s="796">
        <f t="shared" ref="H268:H274" si="95">ROUND(E268*G268,)</f>
        <v>840</v>
      </c>
      <c r="I268" s="865">
        <v>26</v>
      </c>
      <c r="J268" s="751">
        <f t="shared" ref="J268:J274" si="96">ROUND(E268*I268,)</f>
        <v>390</v>
      </c>
      <c r="K268" s="973">
        <f t="shared" ref="K268:K274" si="97">H268+J268</f>
        <v>1230</v>
      </c>
      <c r="L268" s="1718" t="s">
        <v>2974</v>
      </c>
      <c r="M268" s="1328"/>
      <c r="N268" s="1329">
        <v>169.2</v>
      </c>
      <c r="O268" s="1329">
        <f t="shared" ref="O268:O273" si="98">ROUND(N268/3,)</f>
        <v>56</v>
      </c>
    </row>
    <row r="269" spans="1:15" s="1329" customFormat="1" ht="24" customHeight="1">
      <c r="A269" s="1330"/>
      <c r="B269" s="1331" t="s">
        <v>1184</v>
      </c>
      <c r="C269" s="1349"/>
      <c r="D269" s="801"/>
      <c r="E269" s="966">
        <f>30+15</f>
        <v>45</v>
      </c>
      <c r="F269" s="867" t="s">
        <v>438</v>
      </c>
      <c r="G269" s="1249">
        <v>75</v>
      </c>
      <c r="H269" s="796">
        <f t="shared" si="95"/>
        <v>3375</v>
      </c>
      <c r="I269" s="865">
        <v>28</v>
      </c>
      <c r="J269" s="751">
        <f t="shared" si="96"/>
        <v>1260</v>
      </c>
      <c r="K269" s="973">
        <f t="shared" si="97"/>
        <v>4635</v>
      </c>
      <c r="L269" s="1718" t="s">
        <v>2974</v>
      </c>
      <c r="M269" s="1328"/>
      <c r="N269" s="1329">
        <v>225</v>
      </c>
      <c r="O269" s="1329">
        <f t="shared" si="98"/>
        <v>75</v>
      </c>
    </row>
    <row r="270" spans="1:15" s="1329" customFormat="1" ht="24" customHeight="1">
      <c r="A270" s="1330"/>
      <c r="B270" s="705" t="s">
        <v>1185</v>
      </c>
      <c r="C270" s="717"/>
      <c r="D270" s="717"/>
      <c r="E270" s="805"/>
      <c r="F270" s="794" t="s">
        <v>438</v>
      </c>
      <c r="G270" s="806">
        <v>101</v>
      </c>
      <c r="H270" s="796">
        <f t="shared" si="95"/>
        <v>0</v>
      </c>
      <c r="I270" s="807">
        <v>32</v>
      </c>
      <c r="J270" s="796">
        <f t="shared" si="96"/>
        <v>0</v>
      </c>
      <c r="K270" s="914">
        <f t="shared" si="97"/>
        <v>0</v>
      </c>
      <c r="L270" s="1718" t="s">
        <v>2974</v>
      </c>
      <c r="M270" s="1328"/>
      <c r="N270" s="1329">
        <v>303.60000000000002</v>
      </c>
      <c r="O270" s="1329">
        <f t="shared" si="98"/>
        <v>101</v>
      </c>
    </row>
    <row r="271" spans="1:15" s="1329" customFormat="1" ht="24" customHeight="1">
      <c r="A271" s="1330"/>
      <c r="B271" s="705" t="s">
        <v>1186</v>
      </c>
      <c r="C271" s="717"/>
      <c r="D271" s="717"/>
      <c r="E271" s="805"/>
      <c r="F271" s="794" t="s">
        <v>438</v>
      </c>
      <c r="G271" s="806">
        <v>131</v>
      </c>
      <c r="H271" s="796">
        <f t="shared" si="95"/>
        <v>0</v>
      </c>
      <c r="I271" s="807">
        <v>38</v>
      </c>
      <c r="J271" s="796">
        <f t="shared" si="96"/>
        <v>0</v>
      </c>
      <c r="K271" s="914">
        <f t="shared" si="97"/>
        <v>0</v>
      </c>
      <c r="L271" s="1718" t="s">
        <v>2974</v>
      </c>
      <c r="M271" s="1328"/>
      <c r="N271" s="1329">
        <v>391.8</v>
      </c>
      <c r="O271" s="1329">
        <f t="shared" si="98"/>
        <v>131</v>
      </c>
    </row>
    <row r="272" spans="1:15" s="1329" customFormat="1" ht="24" customHeight="1">
      <c r="A272" s="1330"/>
      <c r="B272" s="705" t="s">
        <v>1187</v>
      </c>
      <c r="C272" s="717"/>
      <c r="D272" s="717"/>
      <c r="E272" s="805"/>
      <c r="F272" s="794" t="s">
        <v>438</v>
      </c>
      <c r="G272" s="806">
        <v>160</v>
      </c>
      <c r="H272" s="796">
        <f t="shared" si="95"/>
        <v>0</v>
      </c>
      <c r="I272" s="807">
        <v>42</v>
      </c>
      <c r="J272" s="796">
        <f t="shared" si="96"/>
        <v>0</v>
      </c>
      <c r="K272" s="914">
        <f t="shared" si="97"/>
        <v>0</v>
      </c>
      <c r="L272" s="1718" t="s">
        <v>2974</v>
      </c>
      <c r="M272" s="1328"/>
      <c r="N272" s="1329">
        <v>481.2</v>
      </c>
      <c r="O272" s="1329">
        <f t="shared" si="98"/>
        <v>160</v>
      </c>
    </row>
    <row r="273" spans="1:15" s="1329" customFormat="1" ht="24" customHeight="1">
      <c r="A273" s="1330"/>
      <c r="B273" s="705" t="s">
        <v>1188</v>
      </c>
      <c r="C273" s="717"/>
      <c r="D273" s="717"/>
      <c r="E273" s="805"/>
      <c r="F273" s="794" t="s">
        <v>438</v>
      </c>
      <c r="G273" s="806">
        <v>219</v>
      </c>
      <c r="H273" s="796">
        <f t="shared" si="95"/>
        <v>0</v>
      </c>
      <c r="I273" s="807">
        <v>48</v>
      </c>
      <c r="J273" s="796">
        <f t="shared" si="96"/>
        <v>0</v>
      </c>
      <c r="K273" s="914">
        <f t="shared" si="97"/>
        <v>0</v>
      </c>
      <c r="L273" s="1718" t="s">
        <v>2974</v>
      </c>
      <c r="M273" s="1328"/>
      <c r="N273" s="1329">
        <v>657.6</v>
      </c>
      <c r="O273" s="1329">
        <f t="shared" si="98"/>
        <v>219</v>
      </c>
    </row>
    <row r="274" spans="1:15" s="1329" customFormat="1" ht="24" customHeight="1">
      <c r="A274" s="1330"/>
      <c r="B274" s="1331" t="s">
        <v>1237</v>
      </c>
      <c r="C274" s="1349"/>
      <c r="D274" s="801"/>
      <c r="E274" s="966">
        <v>1</v>
      </c>
      <c r="F274" s="867" t="s">
        <v>948</v>
      </c>
      <c r="G274" s="752">
        <f>ROUND(SUM(H268:H273)*15%,)</f>
        <v>632</v>
      </c>
      <c r="H274" s="796">
        <f t="shared" si="95"/>
        <v>632</v>
      </c>
      <c r="I274" s="949">
        <f>ROUND(G274*0.3,)</f>
        <v>190</v>
      </c>
      <c r="J274" s="751">
        <f t="shared" si="96"/>
        <v>190</v>
      </c>
      <c r="K274" s="973">
        <f t="shared" si="97"/>
        <v>822</v>
      </c>
      <c r="L274" s="867"/>
      <c r="M274" s="1328"/>
    </row>
    <row r="275" spans="1:15" s="1329" customFormat="1" ht="24" customHeight="1">
      <c r="A275" s="1330"/>
      <c r="B275" s="1331" t="s">
        <v>957</v>
      </c>
      <c r="C275" s="1349"/>
      <c r="D275" s="801"/>
      <c r="E275" s="966"/>
      <c r="F275" s="867"/>
      <c r="G275" s="1249"/>
      <c r="H275" s="864"/>
      <c r="I275" s="865"/>
      <c r="J275" s="864"/>
      <c r="K275" s="867"/>
      <c r="L275" s="867"/>
      <c r="M275" s="1328"/>
    </row>
    <row r="276" spans="1:15" s="1329" customFormat="1" ht="24" customHeight="1">
      <c r="A276" s="1334"/>
      <c r="B276" s="1335"/>
      <c r="C276" s="1352"/>
      <c r="D276" s="890"/>
      <c r="E276" s="1337"/>
      <c r="F276" s="910"/>
      <c r="G276" s="1353"/>
      <c r="H276" s="891"/>
      <c r="I276" s="892"/>
      <c r="J276" s="891"/>
      <c r="K276" s="910"/>
      <c r="L276" s="910"/>
      <c r="M276" s="1328"/>
    </row>
    <row r="277" spans="1:15" s="1329" customFormat="1" ht="24" customHeight="1">
      <c r="A277" s="1166"/>
      <c r="B277" s="2475" t="str">
        <f>"รวมราคารายการที่ "&amp;A250</f>
        <v>รวมราคารายการที่ 7.13</v>
      </c>
      <c r="C277" s="2476"/>
      <c r="D277" s="2477"/>
      <c r="E277" s="1167"/>
      <c r="F277" s="1167"/>
      <c r="G277" s="1168"/>
      <c r="H277" s="1169">
        <f>SUM(H251:H276)</f>
        <v>107907</v>
      </c>
      <c r="I277" s="1170"/>
      <c r="J277" s="1169">
        <f>SUM(J251:J276)</f>
        <v>14060</v>
      </c>
      <c r="K277" s="1169">
        <f>SUM(K251:K276)</f>
        <v>121967</v>
      </c>
      <c r="L277" s="1171"/>
      <c r="M277" s="1328"/>
    </row>
    <row r="278" spans="1:15" s="886" customFormat="1" ht="22.15" customHeight="1">
      <c r="A278" s="1482"/>
      <c r="M278" s="1342"/>
    </row>
    <row r="279" spans="1:15" s="886" customFormat="1" ht="22.15" customHeight="1">
      <c r="A279" s="1482"/>
      <c r="M279" s="1342"/>
    </row>
    <row r="280" spans="1:15" s="886" customFormat="1" ht="22.15" customHeight="1">
      <c r="A280" s="1482"/>
      <c r="M280" s="1342"/>
    </row>
    <row r="281" spans="1:15" s="886" customFormat="1" ht="22.15" customHeight="1">
      <c r="A281" s="1482"/>
      <c r="M281" s="1342"/>
    </row>
    <row r="282" spans="1:15" s="886" customFormat="1" ht="22.15" customHeight="1">
      <c r="A282" s="1482"/>
      <c r="M282" s="1342"/>
    </row>
    <row r="283" spans="1:15" s="886" customFormat="1" ht="22.15" customHeight="1">
      <c r="A283" s="1482"/>
      <c r="M283" s="1342"/>
    </row>
    <row r="284" spans="1:15" s="886" customFormat="1" ht="22.15" customHeight="1">
      <c r="A284" s="1482"/>
      <c r="M284" s="1342"/>
    </row>
    <row r="285" spans="1:15" s="886" customFormat="1" ht="22.15" customHeight="1">
      <c r="A285" s="1482"/>
      <c r="M285" s="1342"/>
    </row>
    <row r="286" spans="1:15" s="886" customFormat="1" ht="22.15" customHeight="1">
      <c r="A286" s="1482"/>
      <c r="M286" s="1342"/>
    </row>
    <row r="287" spans="1:15" s="886" customFormat="1" ht="21.3">
      <c r="A287" s="1482"/>
      <c r="M287" s="1342"/>
    </row>
    <row r="288" spans="1:15" s="886" customFormat="1" ht="21.3">
      <c r="A288" s="1482"/>
      <c r="M288" s="1342"/>
    </row>
    <row r="289" spans="1:13" s="886" customFormat="1" ht="21.3">
      <c r="A289" s="1482"/>
      <c r="M289" s="1342"/>
    </row>
    <row r="290" spans="1:13" s="886" customFormat="1" ht="21.3">
      <c r="A290" s="1482"/>
      <c r="M290" s="1342"/>
    </row>
    <row r="291" spans="1:13" s="886" customFormat="1" ht="21.3">
      <c r="A291" s="1482"/>
      <c r="M291" s="1342"/>
    </row>
    <row r="292" spans="1:13" s="886" customFormat="1" ht="21.3">
      <c r="A292" s="1482"/>
      <c r="M292" s="1342"/>
    </row>
    <row r="293" spans="1:13" s="886" customFormat="1" ht="21.3">
      <c r="A293" s="1482"/>
      <c r="M293" s="1342"/>
    </row>
    <row r="294" spans="1:13" s="886" customFormat="1" ht="21.3">
      <c r="A294" s="1482"/>
      <c r="M294" s="1342"/>
    </row>
    <row r="295" spans="1:13" s="886" customFormat="1" ht="21.3">
      <c r="A295" s="1482"/>
      <c r="M295" s="1342"/>
    </row>
    <row r="296" spans="1:13" s="886" customFormat="1" ht="21.3">
      <c r="A296" s="1482"/>
      <c r="M296" s="1342"/>
    </row>
    <row r="297" spans="1:13" s="886" customFormat="1" ht="21.3">
      <c r="A297" s="1482"/>
      <c r="M297" s="1342"/>
    </row>
    <row r="298" spans="1:13" s="886" customFormat="1" ht="21.3">
      <c r="A298" s="1482"/>
      <c r="M298" s="1342"/>
    </row>
    <row r="299" spans="1:13" s="886" customFormat="1" ht="21.3">
      <c r="A299" s="1482"/>
      <c r="M299" s="1342"/>
    </row>
    <row r="300" spans="1:13" s="886" customFormat="1" ht="21.3">
      <c r="A300" s="1482"/>
      <c r="M300" s="1342"/>
    </row>
    <row r="301" spans="1:13">
      <c r="A301" s="1482"/>
      <c r="B301" s="886"/>
      <c r="C301" s="886"/>
      <c r="D301" s="886"/>
      <c r="E301" s="886"/>
      <c r="F301" s="886"/>
      <c r="G301" s="886"/>
      <c r="H301" s="886"/>
      <c r="I301" s="886"/>
      <c r="J301" s="886"/>
      <c r="K301" s="886"/>
      <c r="L301" s="886"/>
    </row>
    <row r="302" spans="1:13">
      <c r="A302" s="1482"/>
      <c r="B302" s="886"/>
      <c r="C302" s="886"/>
      <c r="D302" s="886"/>
      <c r="E302" s="886"/>
      <c r="F302" s="886"/>
      <c r="G302" s="886"/>
      <c r="H302" s="886"/>
      <c r="I302" s="886"/>
      <c r="J302" s="886"/>
      <c r="K302" s="886"/>
      <c r="L302" s="886"/>
    </row>
    <row r="303" spans="1:13">
      <c r="A303" s="1482"/>
      <c r="B303" s="886"/>
      <c r="C303" s="886"/>
      <c r="D303" s="886"/>
      <c r="E303" s="886"/>
      <c r="F303" s="886"/>
      <c r="G303" s="886"/>
      <c r="H303" s="886"/>
      <c r="I303" s="886"/>
      <c r="J303" s="886"/>
      <c r="K303" s="886"/>
      <c r="L303" s="886"/>
    </row>
    <row r="310" spans="2:2">
      <c r="B310" s="1488"/>
    </row>
    <row r="311" spans="2:2">
      <c r="B311" s="1488"/>
    </row>
  </sheetData>
  <mergeCells count="22">
    <mergeCell ref="B102:D102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44:D44"/>
    <mergeCell ref="B59:D59"/>
    <mergeCell ref="B74:D74"/>
    <mergeCell ref="B84:D84"/>
    <mergeCell ref="B249:D249"/>
    <mergeCell ref="B277:D277"/>
    <mergeCell ref="B109:D109"/>
    <mergeCell ref="B134:D134"/>
    <mergeCell ref="B152:D152"/>
    <mergeCell ref="B175:D175"/>
    <mergeCell ref="B189:D189"/>
    <mergeCell ref="B200:D200"/>
  </mergeCells>
  <conditionalFormatting sqref="N243:N246">
    <cfRule type="containsText" dxfId="504" priority="197" operator="containsText" text="Diffus">
      <formula>NOT(ISERROR(SEARCH("Diffus",N243)))</formula>
    </cfRule>
    <cfRule type="containsText" dxfId="503" priority="198" operator="containsText" text="Counter">
      <formula>NOT(ISERROR(SEARCH("Counter",N243)))</formula>
    </cfRule>
    <cfRule type="containsText" dxfId="502" priority="199" operator="containsText" text="Damper">
      <formula>NOT(ISERROR(SEARCH("Damper",N243)))</formula>
    </cfRule>
    <cfRule type="containsText" dxfId="501" priority="200" operator="containsText" text="Register">
      <formula>NOT(ISERROR(SEARCH("Register",N243)))</formula>
    </cfRule>
    <cfRule type="containsText" dxfId="500" priority="201" operator="containsText" text="Grille">
      <formula>NOT(ISERROR(SEARCH("Grille",N243)))</formula>
    </cfRule>
    <cfRule type="containsText" dxfId="499" priority="202" operator="containsText" text="FFL">
      <formula>NOT(ISERROR(SEARCH("FFL",N243)))</formula>
    </cfRule>
  </conditionalFormatting>
  <conditionalFormatting sqref="N248">
    <cfRule type="containsText" dxfId="498" priority="191" operator="containsText" text="Diffus">
      <formula>NOT(ISERROR(SEARCH("Diffus",N248)))</formula>
    </cfRule>
    <cfRule type="containsText" dxfId="497" priority="192" operator="containsText" text="Counter">
      <formula>NOT(ISERROR(SEARCH("Counter",N248)))</formula>
    </cfRule>
    <cfRule type="containsText" dxfId="496" priority="193" operator="containsText" text="Damper">
      <formula>NOT(ISERROR(SEARCH("Damper",N248)))</formula>
    </cfRule>
    <cfRule type="containsText" dxfId="495" priority="194" operator="containsText" text="Register">
      <formula>NOT(ISERROR(SEARCH("Register",N248)))</formula>
    </cfRule>
    <cfRule type="containsText" dxfId="494" priority="195" operator="containsText" text="Grille">
      <formula>NOT(ISERROR(SEARCH("Grille",N248)))</formula>
    </cfRule>
    <cfRule type="containsText" dxfId="493" priority="196" operator="containsText" text="FFL">
      <formula>NOT(ISERROR(SEARCH("FFL",N248)))</formula>
    </cfRule>
  </conditionalFormatting>
  <conditionalFormatting sqref="N224:N241">
    <cfRule type="containsText" dxfId="492" priority="185" operator="containsText" text="Diffus">
      <formula>NOT(ISERROR(SEARCH("Diffus",N224)))</formula>
    </cfRule>
    <cfRule type="containsText" dxfId="491" priority="186" operator="containsText" text="Counter">
      <formula>NOT(ISERROR(SEARCH("Counter",N224)))</formula>
    </cfRule>
    <cfRule type="containsText" dxfId="490" priority="187" operator="containsText" text="Damper">
      <formula>NOT(ISERROR(SEARCH("Damper",N224)))</formula>
    </cfRule>
    <cfRule type="containsText" dxfId="489" priority="188" operator="containsText" text="Register">
      <formula>NOT(ISERROR(SEARCH("Register",N224)))</formula>
    </cfRule>
    <cfRule type="containsText" dxfId="488" priority="189" operator="containsText" text="Grille">
      <formula>NOT(ISERROR(SEARCH("Grille",N224)))</formula>
    </cfRule>
    <cfRule type="containsText" dxfId="487" priority="190" operator="containsText" text="FFL">
      <formula>NOT(ISERROR(SEARCH("FFL",N224)))</formula>
    </cfRule>
  </conditionalFormatting>
  <conditionalFormatting sqref="A66:L66 A1:L11 A75:D75 L75 A85:D85 L85 A110:D110 L110:L111 A135:D135 L135 A136:L136 A153:D153 L153 A176:D176 L176 A190:D190 L190 A191:L191 A201:D201 L201 A251:D251 A103:D103 L103 A104:L104 A154:L154 A177:L177 A92:A95 A86:A87 B98:G98 A91:L91 A99:L101 A108:L108 A35:A43 A254 A68:D68 F68:G68 A105:F105 L105 A260:L260 A188:L188 A174:L174 I68 A67:I67 L67:L68 F94:F95 I98 A267:K267 A268:A274 L274 A76:L76 F92:G93 L92:L95 C86:L86 L98 A81:L83 A80 L80 F62:G65 L62:L65 C252:D252 F252:G252 I252 L251:L252 I92:I95 F87:G87 I87 L87:L90 L254 F254:G254 C254:D254 A223:L223 A242:L242 A224:A241 F241:H241 A247:L247 A243:A246 A250:L250 A248 F248 A62:A64 A45:A58 E60:L61 K77:L77 F88:F90 A69:L73 F224:F240 F243:F246 L243:L246 A275:L276 B25:L25 A278:L1048576 C111:D111 B12:L22 C23:L24 K79:L79 L78 L224:L241 A26:L34 A261:A266">
    <cfRule type="expression" dxfId="486" priority="184">
      <formula>SUMPRODUCT(--(ROW()=$O$12:$O$22))&gt;0</formula>
    </cfRule>
  </conditionalFormatting>
  <conditionalFormatting sqref="C35:L35 A112:F119 A124:L124 A121:D123 I120 L112:L123 A131:L131 A125:F126 A195:G195 I195 L195 A173:L173 A137:F138 A142:L142 A140:F141 A149:L149 L140:L141 L143:L148 A150:F150 L137:L138 A151:J151 L150:L151 A197:G197 A199:G199 I197 I199 L197 L199 A187:L187 L128:L130 A128:D130 A143:F148">
    <cfRule type="expression" dxfId="485" priority="183">
      <formula>SUMPRODUCT(--(ROW()=$O$12:$O$22))&gt;0</formula>
    </cfRule>
  </conditionalFormatting>
  <conditionalFormatting sqref="E36:L36 E41:L43 E37:F39 E45:L46 E53:L58 E47:F52 L47:L52 E40:G40 I40 L37:L40">
    <cfRule type="expression" dxfId="484" priority="182">
      <formula>SUMPRODUCT(--(ROW()=$O$12:$O$22))&gt;0</formula>
    </cfRule>
  </conditionalFormatting>
  <conditionalFormatting sqref="E75:K75">
    <cfRule type="expression" dxfId="483" priority="181">
      <formula>SUMPRODUCT(--(ROW()=$O$12:$O$22))&gt;0</formula>
    </cfRule>
  </conditionalFormatting>
  <conditionalFormatting sqref="E176:K176">
    <cfRule type="expression" dxfId="482" priority="176">
      <formula>SUMPRODUCT(--(ROW()=$O$12:$O$22))&gt;0</formula>
    </cfRule>
  </conditionalFormatting>
  <conditionalFormatting sqref="E85:K85">
    <cfRule type="expression" dxfId="481" priority="180">
      <formula>SUMPRODUCT(--(ROW()=$O$12:$O$22))&gt;0</formula>
    </cfRule>
  </conditionalFormatting>
  <conditionalFormatting sqref="E110:K111">
    <cfRule type="expression" dxfId="480" priority="179">
      <formula>SUMPRODUCT(--(ROW()=$O$12:$O$22))&gt;0</formula>
    </cfRule>
  </conditionalFormatting>
  <conditionalFormatting sqref="E135:K135">
    <cfRule type="expression" dxfId="479" priority="178">
      <formula>SUMPRODUCT(--(ROW()=$O$12:$O$22))&gt;0</formula>
    </cfRule>
  </conditionalFormatting>
  <conditionalFormatting sqref="E153:K153">
    <cfRule type="expression" dxfId="478" priority="177">
      <formula>SUMPRODUCT(--(ROW()=$O$12:$O$22))&gt;0</formula>
    </cfRule>
  </conditionalFormatting>
  <conditionalFormatting sqref="B23">
    <cfRule type="expression" dxfId="477" priority="171">
      <formula>SUMPRODUCT(--(ROW()=$O$12:$O$22))&gt;0</formula>
    </cfRule>
  </conditionalFormatting>
  <conditionalFormatting sqref="E190:K190">
    <cfRule type="expression" dxfId="476" priority="175">
      <formula>SUMPRODUCT(--(ROW()=$O$12:$O$22))&gt;0</formula>
    </cfRule>
  </conditionalFormatting>
  <conditionalFormatting sqref="E201:K201">
    <cfRule type="expression" dxfId="475" priority="174">
      <formula>SUMPRODUCT(--(ROW()=$O$12:$O$22))&gt;0</formula>
    </cfRule>
  </conditionalFormatting>
  <conditionalFormatting sqref="E251:K251">
    <cfRule type="expression" dxfId="474" priority="173">
      <formula>SUMPRODUCT(--(ROW()=$O$12:$O$22))&gt;0</formula>
    </cfRule>
  </conditionalFormatting>
  <conditionalFormatting sqref="E103:K103">
    <cfRule type="expression" dxfId="473" priority="172">
      <formula>SUMPRODUCT(--(ROW()=$O$12:$O$22))&gt;0</formula>
    </cfRule>
  </conditionalFormatting>
  <conditionalFormatting sqref="B35">
    <cfRule type="expression" dxfId="472" priority="170">
      <formula>SUMPRODUCT(--(ROW()=$O$12:$O$22))&gt;0</formula>
    </cfRule>
  </conditionalFormatting>
  <conditionalFormatting sqref="B92:E92">
    <cfRule type="expression" dxfId="471" priority="169">
      <formula>SUMPRODUCT(--(ROW()=$O$12:$O$22))&gt;0</formula>
    </cfRule>
  </conditionalFormatting>
  <conditionalFormatting sqref="B93:E95">
    <cfRule type="expression" dxfId="470" priority="168">
      <formula>SUMPRODUCT(--(ROW()=$O$12:$O$22))&gt;0</formula>
    </cfRule>
  </conditionalFormatting>
  <conditionalFormatting sqref="B62:E64">
    <cfRule type="expression" dxfId="469" priority="165">
      <formula>SUMPRODUCT(--(ROW()=$O$12:$O$22))&gt;0</formula>
    </cfRule>
  </conditionalFormatting>
  <conditionalFormatting sqref="B87:E87">
    <cfRule type="expression" dxfId="468" priority="167">
      <formula>SUMPRODUCT(--(ROW()=$O$12:$O$22))&gt;0</formula>
    </cfRule>
  </conditionalFormatting>
  <conditionalFormatting sqref="A98">
    <cfRule type="expression" dxfId="467" priority="166">
      <formula>SUMPRODUCT(--(ROW()=$O$12:$O$22))&gt;0</formula>
    </cfRule>
  </conditionalFormatting>
  <conditionalFormatting sqref="A65">
    <cfRule type="expression" dxfId="466" priority="164">
      <formula>SUMPRODUCT(--(ROW()=$O$12:$O$22))&gt;0</formula>
    </cfRule>
  </conditionalFormatting>
  <conditionalFormatting sqref="B65:E65">
    <cfRule type="expression" dxfId="465" priority="163">
      <formula>SUMPRODUCT(--(ROW()=$O$12:$O$22))&gt;0</formula>
    </cfRule>
  </conditionalFormatting>
  <conditionalFormatting sqref="B24">
    <cfRule type="expression" dxfId="464" priority="162">
      <formula>SUMPRODUCT(--(ROW()=$O$12:$O$22))&gt;0</formula>
    </cfRule>
  </conditionalFormatting>
  <conditionalFormatting sqref="A252">
    <cfRule type="expression" dxfId="463" priority="161">
      <formula>SUMPRODUCT(--(ROW()=$O$12:$O$22))&gt;0</formula>
    </cfRule>
  </conditionalFormatting>
  <conditionalFormatting sqref="E252">
    <cfRule type="expression" dxfId="462" priority="160">
      <formula>SUMPRODUCT(--(ROW()=$O$12:$O$22))&gt;0</formula>
    </cfRule>
  </conditionalFormatting>
  <conditionalFormatting sqref="A256:L259">
    <cfRule type="expression" dxfId="461" priority="159">
      <formula>SUMPRODUCT(--(ROW()=$O$12:$O$22))&gt;0</formula>
    </cfRule>
  </conditionalFormatting>
  <conditionalFormatting sqref="E254">
    <cfRule type="expression" dxfId="460" priority="158">
      <formula>SUMPRODUCT(--(ROW()=$O$12:$O$22))&gt;0</formula>
    </cfRule>
  </conditionalFormatting>
  <conditionalFormatting sqref="A120:G120">
    <cfRule type="expression" dxfId="459" priority="157">
      <formula>SUMPRODUCT(--(ROW()=$O$12:$O$22))&gt;0</formula>
    </cfRule>
  </conditionalFormatting>
  <conditionalFormatting sqref="B89:E89">
    <cfRule type="expression" dxfId="458" priority="138">
      <formula>SUMPRODUCT(--(ROW()=$O$12:$O$22))&gt;0</formula>
    </cfRule>
  </conditionalFormatting>
  <conditionalFormatting sqref="I117:I119">
    <cfRule type="expression" dxfId="457" priority="156">
      <formula>SUMPRODUCT(--(ROW()=$O$12:$O$22))&gt;0</formula>
    </cfRule>
  </conditionalFormatting>
  <conditionalFormatting sqref="A196:L196">
    <cfRule type="expression" dxfId="456" priority="155">
      <formula>SUMPRODUCT(--(ROW()=$O$12:$O$22))&gt;0</formula>
    </cfRule>
  </conditionalFormatting>
  <conditionalFormatting sqref="A160:L160 A166:L168 A161:A165">
    <cfRule type="expression" dxfId="455" priority="154">
      <formula>SUMPRODUCT(--(ROW()=$O$12:$O$22))&gt;0</formula>
    </cfRule>
  </conditionalFormatting>
  <conditionalFormatting sqref="A139:L139">
    <cfRule type="expression" dxfId="454" priority="153">
      <formula>SUMPRODUCT(--(ROW()=$O$12:$O$22))&gt;0</formula>
    </cfRule>
  </conditionalFormatting>
  <conditionalFormatting sqref="G143:G148">
    <cfRule type="expression" dxfId="453" priority="152">
      <formula>SUMPRODUCT(--(ROW()=$O$12:$O$22))&gt;0</formula>
    </cfRule>
  </conditionalFormatting>
  <conditionalFormatting sqref="I143:I148">
    <cfRule type="expression" dxfId="452" priority="151">
      <formula>SUMPRODUCT(--(ROW()=$O$12:$O$22))&gt;0</formula>
    </cfRule>
  </conditionalFormatting>
  <conditionalFormatting sqref="G150">
    <cfRule type="expression" dxfId="451" priority="150">
      <formula>SUMPRODUCT(--(ROW()=$O$12:$O$22))&gt;0</formula>
    </cfRule>
  </conditionalFormatting>
  <conditionalFormatting sqref="I150">
    <cfRule type="expression" dxfId="450" priority="149">
      <formula>SUMPRODUCT(--(ROW()=$O$12:$O$22))&gt;0</formula>
    </cfRule>
  </conditionalFormatting>
  <conditionalFormatting sqref="J68">
    <cfRule type="expression" dxfId="449" priority="148">
      <formula>SUMPRODUCT(--(ROW()=$O$12:$O$22))&gt;0</formula>
    </cfRule>
  </conditionalFormatting>
  <conditionalFormatting sqref="G94">
    <cfRule type="expression" dxfId="448" priority="147">
      <formula>SUMPRODUCT(--(ROW()=$O$12:$O$22))&gt;0</formula>
    </cfRule>
  </conditionalFormatting>
  <conditionalFormatting sqref="G95">
    <cfRule type="expression" dxfId="447" priority="146">
      <formula>SUMPRODUCT(--(ROW()=$O$12:$O$22))&gt;0</formula>
    </cfRule>
  </conditionalFormatting>
  <conditionalFormatting sqref="H252">
    <cfRule type="expression" dxfId="446" priority="145">
      <formula>SUMPRODUCT(--(ROW()=$O$12:$O$22))&gt;0</formula>
    </cfRule>
  </conditionalFormatting>
  <conditionalFormatting sqref="J252:K252">
    <cfRule type="expression" dxfId="445" priority="144">
      <formula>SUMPRODUCT(--(ROW()=$O$12:$O$22))&gt;0</formula>
    </cfRule>
  </conditionalFormatting>
  <conditionalFormatting sqref="I254">
    <cfRule type="expression" dxfId="444" priority="143">
      <formula>SUMPRODUCT(--(ROW()=$O$12:$O$22))&gt;0</formula>
    </cfRule>
  </conditionalFormatting>
  <conditionalFormatting sqref="H254">
    <cfRule type="expression" dxfId="443" priority="142">
      <formula>SUMPRODUCT(--(ROW()=$O$12:$O$22))&gt;0</formula>
    </cfRule>
  </conditionalFormatting>
  <conditionalFormatting sqref="J254:K254">
    <cfRule type="expression" dxfId="442" priority="141">
      <formula>SUMPRODUCT(--(ROW()=$O$12:$O$22))&gt;0</formula>
    </cfRule>
  </conditionalFormatting>
  <conditionalFormatting sqref="A198:L198">
    <cfRule type="expression" dxfId="441" priority="140">
      <formula>SUMPRODUCT(--(ROW()=$O$12:$O$22))&gt;0</formula>
    </cfRule>
  </conditionalFormatting>
  <conditionalFormatting sqref="A89">
    <cfRule type="expression" dxfId="440" priority="139">
      <formula>SUMPRODUCT(--(ROW()=$O$12:$O$22))&gt;0</formula>
    </cfRule>
  </conditionalFormatting>
  <conditionalFormatting sqref="A88">
    <cfRule type="expression" dxfId="439" priority="137">
      <formula>SUMPRODUCT(--(ROW()=$O$12:$O$22))&gt;0</formula>
    </cfRule>
  </conditionalFormatting>
  <conditionalFormatting sqref="B88:E88">
    <cfRule type="expression" dxfId="438" priority="136">
      <formula>SUMPRODUCT(--(ROW()=$O$12:$O$22))&gt;0</formula>
    </cfRule>
  </conditionalFormatting>
  <conditionalFormatting sqref="A90">
    <cfRule type="expression" dxfId="437" priority="135">
      <formula>SUMPRODUCT(--(ROW()=$O$12:$O$22))&gt;0</formula>
    </cfRule>
  </conditionalFormatting>
  <conditionalFormatting sqref="B90:E90">
    <cfRule type="expression" dxfId="436" priority="134">
      <formula>SUMPRODUCT(--(ROW()=$O$12:$O$22))&gt;0</formula>
    </cfRule>
  </conditionalFormatting>
  <conditionalFormatting sqref="B97:E97">
    <cfRule type="expression" dxfId="435" priority="133">
      <formula>SUMPRODUCT(--(ROW()=$O$12:$O$22))&gt;0</formula>
    </cfRule>
  </conditionalFormatting>
  <conditionalFormatting sqref="M97">
    <cfRule type="cellIs" dxfId="434" priority="132" stopIfTrue="1" operator="equal">
      <formula>1</formula>
    </cfRule>
  </conditionalFormatting>
  <conditionalFormatting sqref="M97">
    <cfRule type="cellIs" dxfId="433" priority="131" stopIfTrue="1" operator="equal">
      <formula>0</formula>
    </cfRule>
  </conditionalFormatting>
  <conditionalFormatting sqref="C253:D253 F253:G253 I253 L253">
    <cfRule type="expression" dxfId="432" priority="130">
      <formula>SUMPRODUCT(--(ROW()=$O$12:$O$22))&gt;0</formula>
    </cfRule>
  </conditionalFormatting>
  <conditionalFormatting sqref="A253">
    <cfRule type="expression" dxfId="431" priority="129">
      <formula>SUMPRODUCT(--(ROW()=$O$12:$O$22))&gt;0</formula>
    </cfRule>
  </conditionalFormatting>
  <conditionalFormatting sqref="E253">
    <cfRule type="expression" dxfId="430" priority="128">
      <formula>SUMPRODUCT(--(ROW()=$O$12:$O$22))&gt;0</formula>
    </cfRule>
  </conditionalFormatting>
  <conditionalFormatting sqref="H253">
    <cfRule type="expression" dxfId="429" priority="127">
      <formula>SUMPRODUCT(--(ROW()=$O$12:$O$22))&gt;0</formula>
    </cfRule>
  </conditionalFormatting>
  <conditionalFormatting sqref="J253:K253">
    <cfRule type="expression" dxfId="428" priority="126">
      <formula>SUMPRODUCT(--(ROW()=$O$12:$O$22))&gt;0</formula>
    </cfRule>
  </conditionalFormatting>
  <conditionalFormatting sqref="A255 L255 F255:G255 C255:D255">
    <cfRule type="expression" dxfId="427" priority="125">
      <formula>SUMPRODUCT(--(ROW()=$O$12:$O$22))&gt;0</formula>
    </cfRule>
  </conditionalFormatting>
  <conditionalFormatting sqref="E255">
    <cfRule type="expression" dxfId="426" priority="124">
      <formula>SUMPRODUCT(--(ROW()=$O$12:$O$22))&gt;0</formula>
    </cfRule>
  </conditionalFormatting>
  <conditionalFormatting sqref="I255">
    <cfRule type="expression" dxfId="425" priority="123">
      <formula>SUMPRODUCT(--(ROW()=$O$12:$O$22))&gt;0</formula>
    </cfRule>
  </conditionalFormatting>
  <conditionalFormatting sqref="H255">
    <cfRule type="expression" dxfId="424" priority="122">
      <formula>SUMPRODUCT(--(ROW()=$O$12:$O$22))&gt;0</formula>
    </cfRule>
  </conditionalFormatting>
  <conditionalFormatting sqref="J255:K255">
    <cfRule type="expression" dxfId="423" priority="121">
      <formula>SUMPRODUCT(--(ROW()=$O$12:$O$22))&gt;0</formula>
    </cfRule>
  </conditionalFormatting>
  <conditionalFormatting sqref="N214">
    <cfRule type="containsText" dxfId="422" priority="115" operator="containsText" text="Diffus">
      <formula>NOT(ISERROR(SEARCH("Diffus",N214)))</formula>
    </cfRule>
    <cfRule type="containsText" dxfId="421" priority="116" operator="containsText" text="Counter">
      <formula>NOT(ISERROR(SEARCH("Counter",N214)))</formula>
    </cfRule>
    <cfRule type="containsText" dxfId="420" priority="117" operator="containsText" text="Damper">
      <formula>NOT(ISERROR(SEARCH("Damper",N214)))</formula>
    </cfRule>
    <cfRule type="containsText" dxfId="419" priority="118" operator="containsText" text="Register">
      <formula>NOT(ISERROR(SEARCH("Register",N214)))</formula>
    </cfRule>
    <cfRule type="containsText" dxfId="418" priority="119" operator="containsText" text="Grille">
      <formula>NOT(ISERROR(SEARCH("Grille",N214)))</formula>
    </cfRule>
    <cfRule type="containsText" dxfId="417" priority="120" operator="containsText" text="FFL">
      <formula>NOT(ISERROR(SEARCH("FFL",N214)))</formula>
    </cfRule>
  </conditionalFormatting>
  <conditionalFormatting sqref="A213:A214 C213:L213 L214">
    <cfRule type="expression" dxfId="416" priority="114">
      <formula>SUMPRODUCT(--(ROW()=$O$12:$O$22))&gt;0</formula>
    </cfRule>
  </conditionalFormatting>
  <conditionalFormatting sqref="B203">
    <cfRule type="expression" dxfId="415" priority="113">
      <formula>SUMPRODUCT(--(ROW()=$O$12:$O$22))&gt;0</formula>
    </cfRule>
  </conditionalFormatting>
  <conditionalFormatting sqref="F203">
    <cfRule type="expression" dxfId="414" priority="112">
      <formula>SUMPRODUCT(--(ROW()=$O$12:$O$21))&gt;0</formula>
    </cfRule>
  </conditionalFormatting>
  <conditionalFormatting sqref="B204:B210">
    <cfRule type="expression" dxfId="413" priority="111">
      <formula>SUMPRODUCT(--(ROW()=$O$12:$O$22))&gt;0</formula>
    </cfRule>
  </conditionalFormatting>
  <conditionalFormatting sqref="F204:F210">
    <cfRule type="expression" dxfId="412" priority="110">
      <formula>SUMPRODUCT(--(ROW()=$O$12:$O$21))&gt;0</formula>
    </cfRule>
  </conditionalFormatting>
  <conditionalFormatting sqref="B213">
    <cfRule type="expression" dxfId="411" priority="109">
      <formula>SUMPRODUCT(--(ROW()=$O$12:$O$21))&gt;0</formula>
    </cfRule>
  </conditionalFormatting>
  <conditionalFormatting sqref="N215">
    <cfRule type="containsText" dxfId="410" priority="103" operator="containsText" text="Diffus">
      <formula>NOT(ISERROR(SEARCH("Diffus",N215)))</formula>
    </cfRule>
    <cfRule type="containsText" dxfId="409" priority="104" operator="containsText" text="Counter">
      <formula>NOT(ISERROR(SEARCH("Counter",N215)))</formula>
    </cfRule>
    <cfRule type="containsText" dxfId="408" priority="105" operator="containsText" text="Damper">
      <formula>NOT(ISERROR(SEARCH("Damper",N215)))</formula>
    </cfRule>
    <cfRule type="containsText" dxfId="407" priority="106" operator="containsText" text="Register">
      <formula>NOT(ISERROR(SEARCH("Register",N215)))</formula>
    </cfRule>
    <cfRule type="containsText" dxfId="406" priority="107" operator="containsText" text="Grille">
      <formula>NOT(ISERROR(SEARCH("Grille",N215)))</formula>
    </cfRule>
    <cfRule type="containsText" dxfId="405" priority="108" operator="containsText" text="FFL">
      <formula>NOT(ISERROR(SEARCH("FFL",N215)))</formula>
    </cfRule>
  </conditionalFormatting>
  <conditionalFormatting sqref="A215 G215 L215">
    <cfRule type="expression" dxfId="404" priority="102">
      <formula>SUMPRODUCT(--(ROW()=$O$12:$O$22))&gt;0</formula>
    </cfRule>
  </conditionalFormatting>
  <conditionalFormatting sqref="C217:L217 A217">
    <cfRule type="expression" dxfId="403" priority="101">
      <formula>SUMPRODUCT(--(ROW()=$O$12:$O$21))&gt;0</formula>
    </cfRule>
  </conditionalFormatting>
  <conditionalFormatting sqref="N218">
    <cfRule type="containsText" dxfId="402" priority="95" operator="containsText" text="Diffus">
      <formula>NOT(ISERROR(SEARCH("Diffus",N218)))</formula>
    </cfRule>
    <cfRule type="containsText" dxfId="401" priority="96" operator="containsText" text="Counter">
      <formula>NOT(ISERROR(SEARCH("Counter",N218)))</formula>
    </cfRule>
    <cfRule type="containsText" dxfId="400" priority="97" operator="containsText" text="Damper">
      <formula>NOT(ISERROR(SEARCH("Damper",N218)))</formula>
    </cfRule>
    <cfRule type="containsText" dxfId="399" priority="98" operator="containsText" text="Register">
      <formula>NOT(ISERROR(SEARCH("Register",N218)))</formula>
    </cfRule>
    <cfRule type="containsText" dxfId="398" priority="99" operator="containsText" text="Grille">
      <formula>NOT(ISERROR(SEARCH("Grille",N218)))</formula>
    </cfRule>
    <cfRule type="containsText" dxfId="397" priority="100" operator="containsText" text="FFL">
      <formula>NOT(ISERROR(SEARCH("FFL",N218)))</formula>
    </cfRule>
  </conditionalFormatting>
  <conditionalFormatting sqref="A218:G218 I218 L218">
    <cfRule type="expression" dxfId="396" priority="94">
      <formula>SUMPRODUCT(--(ROW()=$O$12:$O$22))&gt;0</formula>
    </cfRule>
  </conditionalFormatting>
  <conditionalFormatting sqref="N219">
    <cfRule type="containsText" dxfId="395" priority="88" operator="containsText" text="Diffus">
      <formula>NOT(ISERROR(SEARCH("Diffus",N219)))</formula>
    </cfRule>
    <cfRule type="containsText" dxfId="394" priority="89" operator="containsText" text="Counter">
      <formula>NOT(ISERROR(SEARCH("Counter",N219)))</formula>
    </cfRule>
    <cfRule type="containsText" dxfId="393" priority="90" operator="containsText" text="Damper">
      <formula>NOT(ISERROR(SEARCH("Damper",N219)))</formula>
    </cfRule>
    <cfRule type="containsText" dxfId="392" priority="91" operator="containsText" text="Register">
      <formula>NOT(ISERROR(SEARCH("Register",N219)))</formula>
    </cfRule>
    <cfRule type="containsText" dxfId="391" priority="92" operator="containsText" text="Grille">
      <formula>NOT(ISERROR(SEARCH("Grille",N219)))</formula>
    </cfRule>
    <cfRule type="containsText" dxfId="390" priority="93" operator="containsText" text="FFL">
      <formula>NOT(ISERROR(SEARCH("FFL",N219)))</formula>
    </cfRule>
  </conditionalFormatting>
  <conditionalFormatting sqref="A219:G219 L219">
    <cfRule type="expression" dxfId="389" priority="87">
      <formula>SUMPRODUCT(--(ROW()=$O$12:$O$22))&gt;0</formula>
    </cfRule>
  </conditionalFormatting>
  <conditionalFormatting sqref="F214:F215">
    <cfRule type="expression" dxfId="388" priority="86">
      <formula>SUMPRODUCT(--(ROW()=$O$12:$O$21))&gt;0</formula>
    </cfRule>
  </conditionalFormatting>
  <conditionalFormatting sqref="B214:B215">
    <cfRule type="expression" dxfId="387" priority="85">
      <formula>SUMPRODUCT(--(ROW()=$O$12:$O$22))&gt;0</formula>
    </cfRule>
  </conditionalFormatting>
  <conditionalFormatting sqref="B211:B212">
    <cfRule type="expression" dxfId="386" priority="84">
      <formula>SUMPRODUCT(--(ROW()=$O$12:$O$22))&gt;0</formula>
    </cfRule>
  </conditionalFormatting>
  <conditionalFormatting sqref="F211:F212">
    <cfRule type="expression" dxfId="385" priority="83">
      <formula>SUMPRODUCT(--(ROW()=$O$12:$O$21))&gt;0</formula>
    </cfRule>
  </conditionalFormatting>
  <conditionalFormatting sqref="N216">
    <cfRule type="containsText" dxfId="384" priority="77" operator="containsText" text="Diffus">
      <formula>NOT(ISERROR(SEARCH("Diffus",N216)))</formula>
    </cfRule>
    <cfRule type="containsText" dxfId="383" priority="78" operator="containsText" text="Counter">
      <formula>NOT(ISERROR(SEARCH("Counter",N216)))</formula>
    </cfRule>
    <cfRule type="containsText" dxfId="382" priority="79" operator="containsText" text="Damper">
      <formula>NOT(ISERROR(SEARCH("Damper",N216)))</formula>
    </cfRule>
    <cfRule type="containsText" dxfId="381" priority="80" operator="containsText" text="Register">
      <formula>NOT(ISERROR(SEARCH("Register",N216)))</formula>
    </cfRule>
    <cfRule type="containsText" dxfId="380" priority="81" operator="containsText" text="Grille">
      <formula>NOT(ISERROR(SEARCH("Grille",N216)))</formula>
    </cfRule>
    <cfRule type="containsText" dxfId="379" priority="82" operator="containsText" text="FFL">
      <formula>NOT(ISERROR(SEARCH("FFL",N216)))</formula>
    </cfRule>
  </conditionalFormatting>
  <conditionalFormatting sqref="A216 G216 L216">
    <cfRule type="expression" dxfId="378" priority="76">
      <formula>SUMPRODUCT(--(ROW()=$O$12:$O$22))&gt;0</formula>
    </cfRule>
  </conditionalFormatting>
  <conditionalFormatting sqref="F216">
    <cfRule type="expression" dxfId="377" priority="75">
      <formula>SUMPRODUCT(--(ROW()=$O$12:$O$21))&gt;0</formula>
    </cfRule>
  </conditionalFormatting>
  <conditionalFormatting sqref="B216">
    <cfRule type="expression" dxfId="376" priority="74">
      <formula>SUMPRODUCT(--(ROW()=$O$12:$O$22))&gt;0</formula>
    </cfRule>
  </conditionalFormatting>
  <conditionalFormatting sqref="N220">
    <cfRule type="containsText" dxfId="375" priority="68" operator="containsText" text="Diffus">
      <formula>NOT(ISERROR(SEARCH("Diffus",N220)))</formula>
    </cfRule>
    <cfRule type="containsText" dxfId="374" priority="69" operator="containsText" text="Counter">
      <formula>NOT(ISERROR(SEARCH("Counter",N220)))</formula>
    </cfRule>
    <cfRule type="containsText" dxfId="373" priority="70" operator="containsText" text="Damper">
      <formula>NOT(ISERROR(SEARCH("Damper",N220)))</formula>
    </cfRule>
    <cfRule type="containsText" dxfId="372" priority="71" operator="containsText" text="Register">
      <formula>NOT(ISERROR(SEARCH("Register",N220)))</formula>
    </cfRule>
    <cfRule type="containsText" dxfId="371" priority="72" operator="containsText" text="Grille">
      <formula>NOT(ISERROR(SEARCH("Grille",N220)))</formula>
    </cfRule>
    <cfRule type="containsText" dxfId="370" priority="73" operator="containsText" text="FFL">
      <formula>NOT(ISERROR(SEARCH("FFL",N220)))</formula>
    </cfRule>
  </conditionalFormatting>
  <conditionalFormatting sqref="A220:G220 L220">
    <cfRule type="expression" dxfId="369" priority="67">
      <formula>SUMPRODUCT(--(ROW()=$O$12:$O$22))&gt;0</formula>
    </cfRule>
  </conditionalFormatting>
  <conditionalFormatting sqref="N222">
    <cfRule type="containsText" dxfId="368" priority="61" operator="containsText" text="Diffus">
      <formula>NOT(ISERROR(SEARCH("Diffus",N222)))</formula>
    </cfRule>
    <cfRule type="containsText" dxfId="367" priority="62" operator="containsText" text="Counter">
      <formula>NOT(ISERROR(SEARCH("Counter",N222)))</formula>
    </cfRule>
    <cfRule type="containsText" dxfId="366" priority="63" operator="containsText" text="Damper">
      <formula>NOT(ISERROR(SEARCH("Damper",N222)))</formula>
    </cfRule>
    <cfRule type="containsText" dxfId="365" priority="64" operator="containsText" text="Register">
      <formula>NOT(ISERROR(SEARCH("Register",N222)))</formula>
    </cfRule>
    <cfRule type="containsText" dxfId="364" priority="65" operator="containsText" text="Grille">
      <formula>NOT(ISERROR(SEARCH("Grille",N222)))</formula>
    </cfRule>
    <cfRule type="containsText" dxfId="363" priority="66" operator="containsText" text="FFL">
      <formula>NOT(ISERROR(SEARCH("FFL",N222)))</formula>
    </cfRule>
  </conditionalFormatting>
  <conditionalFormatting sqref="A221:A222 C221:L221 G222 L222">
    <cfRule type="expression" dxfId="362" priority="60">
      <formula>SUMPRODUCT(--(ROW()=$O$12:$O$22))&gt;0</formula>
    </cfRule>
  </conditionalFormatting>
  <conditionalFormatting sqref="B221">
    <cfRule type="expression" dxfId="361" priority="59">
      <formula>SUMPRODUCT(--(ROW()=$O$12:$O$21))&gt;0</formula>
    </cfRule>
  </conditionalFormatting>
  <conditionalFormatting sqref="F222">
    <cfRule type="expression" dxfId="360" priority="58">
      <formula>SUMPRODUCT(--(ROW()=$O$12:$O$21))&gt;0</formula>
    </cfRule>
  </conditionalFormatting>
  <conditionalFormatting sqref="B222">
    <cfRule type="expression" dxfId="359" priority="57">
      <formula>SUMPRODUCT(--(ROW()=$O$12:$O$22))&gt;0</formula>
    </cfRule>
  </conditionalFormatting>
  <conditionalFormatting sqref="A127:F127">
    <cfRule type="expression" dxfId="358" priority="56">
      <formula>SUMPRODUCT(--(ROW()=$O$12:$O$22))&gt;0</formula>
    </cfRule>
  </conditionalFormatting>
  <conditionalFormatting sqref="B224:B241">
    <cfRule type="expression" dxfId="357" priority="55">
      <formula>SUMPRODUCT(--(ROW()=$O$12:$O$22))&gt;0</formula>
    </cfRule>
  </conditionalFormatting>
  <conditionalFormatting sqref="B243:B246">
    <cfRule type="expression" dxfId="356" priority="54">
      <formula>SUMPRODUCT(--(ROW()=$O$12:$O$22))&gt;0</formula>
    </cfRule>
  </conditionalFormatting>
  <conditionalFormatting sqref="B248">
    <cfRule type="expression" dxfId="355" priority="53">
      <formula>SUMPRODUCT(--(ROW()=$O$12:$O$22))&gt;0</formula>
    </cfRule>
  </conditionalFormatting>
  <conditionalFormatting sqref="A60:A61">
    <cfRule type="expression" dxfId="354" priority="52">
      <formula>SUMPRODUCT(--(ROW()=$O$12:$O$22))&gt;0</formula>
    </cfRule>
  </conditionalFormatting>
  <conditionalFormatting sqref="B60">
    <cfRule type="expression" dxfId="353" priority="51">
      <formula>SUMPRODUCT(--(ROW()=$O$12:$O$22))&gt;0</formula>
    </cfRule>
  </conditionalFormatting>
  <conditionalFormatting sqref="G37">
    <cfRule type="expression" dxfId="352" priority="50">
      <formula>SUMPRODUCT(--(ROW()=$O$12:$O$22))&gt;0</formula>
    </cfRule>
  </conditionalFormatting>
  <conditionalFormatting sqref="H37:K37">
    <cfRule type="expression" dxfId="351" priority="49">
      <formula>SUMPRODUCT(--(ROW()=$O$12:$O$22))&gt;0</formula>
    </cfRule>
  </conditionalFormatting>
  <conditionalFormatting sqref="G38:K39 H40 J40:K40">
    <cfRule type="expression" dxfId="350" priority="48">
      <formula>SUMPRODUCT(--(ROW()=$O$12:$O$22))&gt;0</formula>
    </cfRule>
  </conditionalFormatting>
  <conditionalFormatting sqref="A59 E59:L59">
    <cfRule type="expression" dxfId="349" priority="45">
      <formula>SUMPRODUCT(--(ROW()=$O$12:$O$22))&gt;0</formula>
    </cfRule>
  </conditionalFormatting>
  <conditionalFormatting sqref="A44 E44:L44">
    <cfRule type="expression" dxfId="348" priority="47">
      <formula>SUMPRODUCT(--(ROW()=$O$12:$O$22))&gt;0</formula>
    </cfRule>
  </conditionalFormatting>
  <conditionalFormatting sqref="J47:K47 G49:K52 K48">
    <cfRule type="expression" dxfId="347" priority="46">
      <formula>SUMPRODUCT(--(ROW()=$O$12:$O$22))&gt;0</formula>
    </cfRule>
  </conditionalFormatting>
  <conditionalFormatting sqref="H48:J48">
    <cfRule type="expression" dxfId="346" priority="44">
      <formula>SUMPRODUCT(--(ROW()=$O$12:$O$22))&gt;0</formula>
    </cfRule>
  </conditionalFormatting>
  <conditionalFormatting sqref="G48">
    <cfRule type="expression" dxfId="345" priority="43">
      <formula>SUMPRODUCT(--(ROW()=$O$12:$O$22))&gt;0</formula>
    </cfRule>
  </conditionalFormatting>
  <conditionalFormatting sqref="G47:I47">
    <cfRule type="expression" dxfId="344" priority="42">
      <formula>SUMPRODUCT(--(ROW()=$O$12:$O$23))&gt;0</formula>
    </cfRule>
  </conditionalFormatting>
  <conditionalFormatting sqref="A77:A79">
    <cfRule type="expression" dxfId="343" priority="41">
      <formula>SUMPRODUCT(--(ROW()=$O$12:$O$22))&gt;0</formula>
    </cfRule>
  </conditionalFormatting>
  <conditionalFormatting sqref="C79:J79">
    <cfRule type="expression" dxfId="342" priority="40">
      <formula>SUMPRODUCT(--(ROW()=$O$12:$O$22))&gt;0</formula>
    </cfRule>
  </conditionalFormatting>
  <conditionalFormatting sqref="E77:J77 E78">
    <cfRule type="expression" dxfId="341" priority="39">
      <formula>SUMPRODUCT(--(ROW()=$O$14:$O$24))&gt;0</formula>
    </cfRule>
  </conditionalFormatting>
  <conditionalFormatting sqref="G97:J97">
    <cfRule type="expression" dxfId="340" priority="38">
      <formula>SUMPRODUCT(--(ROW()=$R$12:$R$23))&gt;0</formula>
    </cfRule>
  </conditionalFormatting>
  <conditionalFormatting sqref="G117:G119">
    <cfRule type="expression" dxfId="339" priority="37">
      <formula>SUMPRODUCT(--(ROW()=$O$14:$O$24))&gt;0</formula>
    </cfRule>
  </conditionalFormatting>
  <conditionalFormatting sqref="E121:F123">
    <cfRule type="expression" dxfId="338" priority="36">
      <formula>SUMPRODUCT(--(ROW()=$O$12:$O$21))&gt;0</formula>
    </cfRule>
  </conditionalFormatting>
  <conditionalFormatting sqref="H122:H123">
    <cfRule type="expression" dxfId="337" priority="35">
      <formula>SUMPRODUCT(--(ROW()=$O$14:$O$24))&gt;0</formula>
    </cfRule>
  </conditionalFormatting>
  <conditionalFormatting sqref="F128:F130">
    <cfRule type="expression" dxfId="336" priority="34">
      <formula>SUMPRODUCT(--(ROW()=$O$12:$O$22))&gt;0</formula>
    </cfRule>
  </conditionalFormatting>
  <conditionalFormatting sqref="E128:E130">
    <cfRule type="expression" dxfId="335" priority="33">
      <formula>SUMPRODUCT(--(ROW()=$O$12:$O$21))&gt;0</formula>
    </cfRule>
  </conditionalFormatting>
  <conditionalFormatting sqref="L161:L165">
    <cfRule type="expression" dxfId="334" priority="32">
      <formula>SUMPRODUCT(--(ROW()=$O$12:$O$22))&gt;0</formula>
    </cfRule>
  </conditionalFormatting>
  <conditionalFormatting sqref="G161:K162 G164:K165">
    <cfRule type="expression" dxfId="333" priority="31">
      <formula>SUMPRODUCT(--(ROW()=$O$12:$O$23))&gt;0</formula>
    </cfRule>
  </conditionalFormatting>
  <conditionalFormatting sqref="B161:F162 B163:E163">
    <cfRule type="expression" dxfId="332" priority="30">
      <formula>SUMPRODUCT(--(ROW()=$O$12:$O$22))&gt;0</formula>
    </cfRule>
  </conditionalFormatting>
  <conditionalFormatting sqref="F163">
    <cfRule type="expression" dxfId="331" priority="28">
      <formula>SUMPRODUCT(--(ROW()=$O$12:$O$22))&gt;0</formula>
    </cfRule>
  </conditionalFormatting>
  <conditionalFormatting sqref="G163">
    <cfRule type="expression" dxfId="330" priority="29">
      <formula>SUMPRODUCT(--(ROW()=$O$14:$O$24))&gt;0</formula>
    </cfRule>
  </conditionalFormatting>
  <conditionalFormatting sqref="G204">
    <cfRule type="expression" dxfId="329" priority="27">
      <formula>SUMPRODUCT(--(ROW()=$O$14:$O$24))&gt;0</formula>
    </cfRule>
  </conditionalFormatting>
  <conditionalFormatting sqref="G207">
    <cfRule type="expression" dxfId="328" priority="26">
      <formula>SUMPRODUCT(--(ROW()=$O$14:$O$24))&gt;0</formula>
    </cfRule>
  </conditionalFormatting>
  <conditionalFormatting sqref="G211">
    <cfRule type="expression" dxfId="327" priority="25">
      <formula>SUMPRODUCT(--(ROW()=$O$14:$O$24))&gt;0</formula>
    </cfRule>
  </conditionalFormatting>
  <conditionalFormatting sqref="I219">
    <cfRule type="expression" dxfId="326" priority="24">
      <formula>SUMPRODUCT(--(ROW()=$O$12:$O$22))&gt;0</formula>
    </cfRule>
  </conditionalFormatting>
  <conditionalFormatting sqref="I220">
    <cfRule type="expression" dxfId="325" priority="23">
      <formula>SUMPRODUCT(--(ROW()=$O$12:$O$22))&gt;0</formula>
    </cfRule>
  </conditionalFormatting>
  <conditionalFormatting sqref="I222">
    <cfRule type="expression" dxfId="324" priority="22">
      <formula>SUMPRODUCT(--(ROW()=$O$12:$O$22))&gt;0</formula>
    </cfRule>
  </conditionalFormatting>
  <conditionalFormatting sqref="G225">
    <cfRule type="expression" dxfId="323" priority="21">
      <formula>SUMPRODUCT(--(ROW()=$O$14:$O$24))&gt;0</formula>
    </cfRule>
  </conditionalFormatting>
  <conditionalFormatting sqref="G227">
    <cfRule type="expression" dxfId="322" priority="20">
      <formula>SUMPRODUCT(--(ROW()=$O$14:$O$24))&gt;0</formula>
    </cfRule>
  </conditionalFormatting>
  <conditionalFormatting sqref="G228">
    <cfRule type="expression" dxfId="321" priority="19">
      <formula>SUMPRODUCT(--(ROW()=$O$14:$O$24))&gt;0</formula>
    </cfRule>
  </conditionalFormatting>
  <conditionalFormatting sqref="G229">
    <cfRule type="expression" dxfId="320" priority="18">
      <formula>SUMPRODUCT(--(ROW()=$O$14:$O$24))&gt;0</formula>
    </cfRule>
  </conditionalFormatting>
  <conditionalFormatting sqref="L248">
    <cfRule type="expression" dxfId="319" priority="17">
      <formula>SUMPRODUCT(--(ROW()=$O$12:$O$22))&gt;0</formula>
    </cfRule>
  </conditionalFormatting>
  <conditionalFormatting sqref="G248 I248:J248">
    <cfRule type="expression" dxfId="318" priority="16">
      <formula>SUMPRODUCT(--(ROW()=$O$14:$O$24))&gt;0</formula>
    </cfRule>
  </conditionalFormatting>
  <conditionalFormatting sqref="A12:A25">
    <cfRule type="expression" dxfId="317" priority="15">
      <formula>SUMPRODUCT(--(ROW()=$O$12:$O$22))&gt;0</formula>
    </cfRule>
  </conditionalFormatting>
  <conditionalFormatting sqref="A249 E249:L249">
    <cfRule type="expression" dxfId="316" priority="5">
      <formula>SUMPRODUCT(--(ROW()=$O$12:$O$22))&gt;0</formula>
    </cfRule>
  </conditionalFormatting>
  <conditionalFormatting sqref="A277 E277:L277">
    <cfRule type="expression" dxfId="315" priority="4">
      <formula>SUMPRODUCT(--(ROW()=$O$12:$O$22))&gt;0</formula>
    </cfRule>
  </conditionalFormatting>
  <conditionalFormatting sqref="A74 E74:L74">
    <cfRule type="expression" dxfId="314" priority="14">
      <formula>SUMPRODUCT(--(ROW()=$O$12:$O$22))&gt;0</formula>
    </cfRule>
  </conditionalFormatting>
  <conditionalFormatting sqref="A84 E84:L84">
    <cfRule type="expression" dxfId="313" priority="13">
      <formula>SUMPRODUCT(--(ROW()=$O$12:$O$22))&gt;0</formula>
    </cfRule>
  </conditionalFormatting>
  <conditionalFormatting sqref="A102 E102:L102">
    <cfRule type="expression" dxfId="312" priority="12">
      <formula>SUMPRODUCT(--(ROW()=$O$12:$O$22))&gt;0</formula>
    </cfRule>
  </conditionalFormatting>
  <conditionalFormatting sqref="A109 E109:L109">
    <cfRule type="expression" dxfId="311" priority="11">
      <formula>SUMPRODUCT(--(ROW()=$O$12:$O$22))&gt;0</formula>
    </cfRule>
  </conditionalFormatting>
  <conditionalFormatting sqref="A134 E134:L134">
    <cfRule type="expression" dxfId="310" priority="10">
      <formula>SUMPRODUCT(--(ROW()=$O$12:$O$22))&gt;0</formula>
    </cfRule>
  </conditionalFormatting>
  <conditionalFormatting sqref="A152 E152:L152">
    <cfRule type="expression" dxfId="309" priority="9">
      <formula>SUMPRODUCT(--(ROW()=$O$12:$O$22))&gt;0</formula>
    </cfRule>
  </conditionalFormatting>
  <conditionalFormatting sqref="A175 E175:L175">
    <cfRule type="expression" dxfId="308" priority="8">
      <formula>SUMPRODUCT(--(ROW()=$O$12:$O$22))&gt;0</formula>
    </cfRule>
  </conditionalFormatting>
  <conditionalFormatting sqref="A189 E189:L189">
    <cfRule type="expression" dxfId="307" priority="7">
      <formula>SUMPRODUCT(--(ROW()=$O$12:$O$22))&gt;0</formula>
    </cfRule>
  </conditionalFormatting>
  <conditionalFormatting sqref="A200 E200:L200">
    <cfRule type="expression" dxfId="306" priority="6">
      <formula>SUMPRODUCT(--(ROW()=$O$12:$O$22))&gt;0</formula>
    </cfRule>
  </conditionalFormatting>
  <conditionalFormatting sqref="A111:B111">
    <cfRule type="expression" dxfId="305" priority="3">
      <formula>SUMPRODUCT(--(ROW()=$O$12:$O$22))&gt;0</formula>
    </cfRule>
  </conditionalFormatting>
  <conditionalFormatting sqref="A132:L132 A133:F133 L133">
    <cfRule type="expression" dxfId="304" priority="2">
      <formula>SUMPRODUCT(--(ROW()=$O$12:$O$22))&gt;0</formula>
    </cfRule>
  </conditionalFormatting>
  <conditionalFormatting sqref="L267">
    <cfRule type="expression" dxfId="303" priority="1">
      <formula>SUMPRODUCT(--(ROW()=$O$14:$O$24))&gt;0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7-อาคารสนับนุน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E6B42-E27C-4444-BA4D-188FA29D597E}">
  <sheetPr>
    <tabColor rgb="FFFF00FF"/>
  </sheetPr>
  <dimension ref="A1:P389"/>
  <sheetViews>
    <sheetView showGridLines="0" tabSelected="1" view="pageBreakPreview" topLeftCell="A343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1489" customWidth="1"/>
    <col min="2" max="3" width="7.29296875" style="952" customWidth="1"/>
    <col min="4" max="4" width="56.703125" style="952" customWidth="1"/>
    <col min="5" max="5" width="14.703125" style="952" customWidth="1"/>
    <col min="6" max="6" width="10.703125" style="952" customWidth="1"/>
    <col min="7" max="7" width="14.703125" style="952" customWidth="1"/>
    <col min="8" max="8" width="18.703125" style="952" customWidth="1"/>
    <col min="9" max="9" width="14.703125" style="952" customWidth="1"/>
    <col min="10" max="10" width="18.703125" style="952" customWidth="1"/>
    <col min="11" max="11" width="20.703125" style="952" customWidth="1"/>
    <col min="12" max="12" width="25.29296875" style="952" customWidth="1"/>
    <col min="13" max="13" width="7.703125" style="1430" customWidth="1"/>
    <col min="14" max="51" width="7.703125" style="952" customWidth="1"/>
    <col min="52" max="16384" width="9" style="952"/>
  </cols>
  <sheetData>
    <row r="1" spans="1:15" ht="35.1" customHeight="1">
      <c r="A1" s="1428"/>
      <c r="B1" s="1428"/>
      <c r="C1" s="46"/>
      <c r="D1" s="46"/>
      <c r="E1" s="46"/>
      <c r="F1" s="1429" t="s">
        <v>0</v>
      </c>
      <c r="G1" s="733"/>
      <c r="H1" s="733"/>
      <c r="I1" s="733"/>
      <c r="J1" s="735" t="s">
        <v>1</v>
      </c>
      <c r="K1" s="736"/>
      <c r="L1" s="733"/>
    </row>
    <row r="2" spans="1:15" ht="25.15" customHeight="1">
      <c r="A2" s="1431" t="s">
        <v>2</v>
      </c>
      <c r="B2" s="1432"/>
      <c r="C2" s="11"/>
      <c r="D2" s="11" t="s">
        <v>1900</v>
      </c>
      <c r="E2" s="11"/>
      <c r="F2" s="737"/>
      <c r="G2" s="737"/>
      <c r="H2" s="737"/>
      <c r="I2" s="737"/>
      <c r="J2" s="737"/>
      <c r="K2" s="737"/>
      <c r="L2" s="1433"/>
    </row>
    <row r="3" spans="1:15" ht="25.15" customHeight="1">
      <c r="A3" s="1434" t="s">
        <v>22</v>
      </c>
      <c r="B3" s="5"/>
      <c r="C3" s="47"/>
      <c r="D3" s="1435"/>
      <c r="E3" s="47"/>
      <c r="F3" s="739"/>
      <c r="G3" s="739"/>
      <c r="H3" s="739"/>
      <c r="I3" s="739"/>
      <c r="J3" s="740"/>
      <c r="K3" s="739"/>
      <c r="L3" s="1436"/>
    </row>
    <row r="4" spans="1:15" ht="25.15" customHeight="1">
      <c r="A4" s="1434"/>
      <c r="B4" s="5"/>
      <c r="C4" s="47"/>
      <c r="D4" s="41" t="s">
        <v>2970</v>
      </c>
      <c r="E4" s="47"/>
      <c r="F4" s="739"/>
      <c r="G4" s="739"/>
      <c r="H4" s="739"/>
      <c r="I4" s="739"/>
      <c r="J4" s="740"/>
      <c r="K4" s="739"/>
      <c r="L4" s="1436"/>
    </row>
    <row r="5" spans="1:15" ht="25.15" customHeight="1">
      <c r="A5" s="1434" t="s">
        <v>3</v>
      </c>
      <c r="B5" s="1432"/>
      <c r="C5" s="11"/>
      <c r="D5" s="1435" t="s">
        <v>21</v>
      </c>
      <c r="E5" s="736"/>
      <c r="F5" s="737"/>
      <c r="G5" s="741" t="s">
        <v>4</v>
      </c>
      <c r="H5" s="742"/>
      <c r="I5" s="739"/>
      <c r="J5" s="740"/>
      <c r="K5" s="743"/>
      <c r="L5" s="1436"/>
    </row>
    <row r="6" spans="1:15" ht="25.15" customHeight="1">
      <c r="A6" s="5" t="s">
        <v>20</v>
      </c>
      <c r="B6" s="5"/>
      <c r="C6" s="47"/>
      <c r="D6" s="49"/>
      <c r="E6" s="47"/>
      <c r="F6" s="739"/>
      <c r="G6" s="744"/>
      <c r="H6" s="739"/>
      <c r="I6" s="739"/>
      <c r="J6" s="739"/>
      <c r="K6" s="739"/>
      <c r="L6" s="743"/>
    </row>
    <row r="7" spans="1:15" ht="25.15" customHeight="1">
      <c r="A7" s="744" t="s">
        <v>26</v>
      </c>
      <c r="B7" s="20"/>
      <c r="C7" s="20"/>
      <c r="D7" s="21"/>
      <c r="E7" s="20"/>
      <c r="F7" s="1437" t="s">
        <v>5</v>
      </c>
      <c r="G7" s="1438"/>
      <c r="H7" s="1438" t="s">
        <v>6</v>
      </c>
      <c r="I7" s="1439"/>
      <c r="J7" s="744" t="s">
        <v>23</v>
      </c>
      <c r="K7" s="20"/>
      <c r="L7" s="2492" t="s">
        <v>7</v>
      </c>
    </row>
    <row r="8" spans="1:15" ht="10.15" customHeight="1">
      <c r="A8" s="4"/>
      <c r="B8" s="1440"/>
      <c r="C8" s="1440"/>
      <c r="D8" s="25"/>
      <c r="E8" s="25"/>
      <c r="F8" s="1441"/>
      <c r="G8" s="1441"/>
      <c r="H8" s="1442"/>
      <c r="I8" s="1442"/>
      <c r="J8" s="1442"/>
      <c r="K8" s="1441"/>
      <c r="L8" s="2493"/>
    </row>
    <row r="9" spans="1:15" s="1444" customFormat="1" ht="24" customHeight="1">
      <c r="A9" s="2494" t="s">
        <v>8</v>
      </c>
      <c r="B9" s="2496" t="s">
        <v>9</v>
      </c>
      <c r="C9" s="2497"/>
      <c r="D9" s="2497"/>
      <c r="E9" s="2500" t="s">
        <v>10</v>
      </c>
      <c r="F9" s="2502" t="s">
        <v>11</v>
      </c>
      <c r="G9" s="2504" t="s">
        <v>12</v>
      </c>
      <c r="H9" s="2505"/>
      <c r="I9" s="2506" t="s">
        <v>13</v>
      </c>
      <c r="J9" s="2474"/>
      <c r="K9" s="2263" t="s">
        <v>14</v>
      </c>
      <c r="L9" s="2507" t="s">
        <v>15</v>
      </c>
      <c r="M9" s="1443"/>
    </row>
    <row r="10" spans="1:15" s="1444" customFormat="1" ht="24" customHeight="1">
      <c r="A10" s="2495"/>
      <c r="B10" s="2498"/>
      <c r="C10" s="2499"/>
      <c r="D10" s="2499"/>
      <c r="E10" s="2501"/>
      <c r="F10" s="2503"/>
      <c r="G10" s="1445" t="s">
        <v>16</v>
      </c>
      <c r="H10" s="2262" t="s">
        <v>17</v>
      </c>
      <c r="I10" s="1446" t="s">
        <v>16</v>
      </c>
      <c r="J10" s="2262" t="s">
        <v>17</v>
      </c>
      <c r="K10" s="1447" t="s">
        <v>18</v>
      </c>
      <c r="L10" s="2508"/>
      <c r="M10" s="1443"/>
    </row>
    <row r="11" spans="1:15" ht="24" customHeight="1">
      <c r="A11" s="1143" t="s">
        <v>244</v>
      </c>
      <c r="B11" s="1144" t="s">
        <v>2537</v>
      </c>
      <c r="C11" s="1448"/>
      <c r="D11" s="1449"/>
      <c r="E11" s="1450"/>
      <c r="F11" s="1451"/>
      <c r="G11" s="1490"/>
      <c r="H11" s="746"/>
      <c r="I11" s="1454"/>
      <c r="J11" s="1455"/>
      <c r="K11" s="1456"/>
      <c r="L11" s="1456"/>
    </row>
    <row r="12" spans="1:15" s="886" customFormat="1" ht="24" customHeight="1">
      <c r="A12" s="1481" t="str">
        <f>A35</f>
        <v>7.1</v>
      </c>
      <c r="B12" s="1331" t="str">
        <f>B35</f>
        <v>เครื่องส่งลมเย็นแบบ Pre-Cooled Outdoor Air unit</v>
      </c>
      <c r="C12" s="1282"/>
      <c r="D12" s="1457"/>
      <c r="E12" s="1458">
        <v>1</v>
      </c>
      <c r="F12" s="1459" t="s">
        <v>19</v>
      </c>
      <c r="G12" s="1460"/>
      <c r="H12" s="751">
        <f>H45</f>
        <v>1525100</v>
      </c>
      <c r="I12" s="1392"/>
      <c r="J12" s="1393">
        <f>J45</f>
        <v>17327</v>
      </c>
      <c r="K12" s="1022">
        <f t="shared" ref="K12:K25" si="0">SUM(H12:J12)</f>
        <v>1542427</v>
      </c>
      <c r="L12" s="885"/>
      <c r="M12" s="1342"/>
      <c r="N12" s="886" t="str">
        <f>"รวมราคารายการที่ "&amp;A12</f>
        <v>รวมราคารายการที่ 7.1</v>
      </c>
      <c r="O12" s="1461">
        <f t="array" ref="O12">MAX(IF($B$61:$B$789=N12,ROW($B$61:$B$789)))</f>
        <v>0</v>
      </c>
    </row>
    <row r="13" spans="1:15" s="886" customFormat="1" ht="24" customHeight="1">
      <c r="A13" s="1481">
        <f>A46</f>
        <v>7.2</v>
      </c>
      <c r="B13" s="1331" t="str">
        <f>B46</f>
        <v>เครื่องส่งลมเย็นขนาดใหญ่ (Air Handling Unit)</v>
      </c>
      <c r="C13" s="1463"/>
      <c r="D13" s="1464"/>
      <c r="E13" s="1458">
        <v>1</v>
      </c>
      <c r="F13" s="1465" t="s">
        <v>19</v>
      </c>
      <c r="G13" s="1460"/>
      <c r="H13" s="751">
        <f>H59</f>
        <v>2137200</v>
      </c>
      <c r="I13" s="1398"/>
      <c r="J13" s="1393">
        <f>J59</f>
        <v>224160</v>
      </c>
      <c r="K13" s="1022">
        <f t="shared" si="0"/>
        <v>2361360</v>
      </c>
      <c r="L13" s="885"/>
      <c r="M13" s="1342"/>
      <c r="N13" s="886" t="str">
        <f>"รวมราคารายการที่ "&amp;A13</f>
        <v>รวมราคารายการที่ 7.2</v>
      </c>
      <c r="O13" s="1461">
        <f t="array" ref="O13">MAX(IF($B$61:$B$789=N13,ROW($B$61:$B$789)))</f>
        <v>0</v>
      </c>
    </row>
    <row r="14" spans="1:15" s="886" customFormat="1" ht="24" customHeight="1">
      <c r="A14" s="1481" t="str">
        <f>A60</f>
        <v>7.3</v>
      </c>
      <c r="B14" s="1331" t="str">
        <f>B60</f>
        <v>เครื่องส่งลมเย็นขนาดเล็ก (Fan Coil Unit)</v>
      </c>
      <c r="C14" s="1282"/>
      <c r="D14" s="1457"/>
      <c r="E14" s="1458">
        <v>1</v>
      </c>
      <c r="F14" s="1459" t="s">
        <v>19</v>
      </c>
      <c r="G14" s="1460"/>
      <c r="H14" s="751">
        <f>H84</f>
        <v>285600</v>
      </c>
      <c r="I14" s="1392"/>
      <c r="J14" s="1393">
        <f>J84</f>
        <v>30000</v>
      </c>
      <c r="K14" s="1022">
        <f t="shared" si="0"/>
        <v>315600</v>
      </c>
      <c r="L14" s="885"/>
      <c r="M14" s="1342"/>
      <c r="N14" s="886" t="str">
        <f t="shared" ref="N14:N23" si="1">"รวมราคารายการที่ "&amp;A14</f>
        <v>รวมราคารายการที่ 7.3</v>
      </c>
      <c r="O14" s="1461">
        <f t="array" ref="O14">MAX(IF($B$61:$B$789=N14,ROW($B$61:$B$789)))</f>
        <v>84</v>
      </c>
    </row>
    <row r="15" spans="1:15" s="886" customFormat="1" ht="24" customHeight="1">
      <c r="A15" s="1481" t="str">
        <f>A85</f>
        <v>7.4</v>
      </c>
      <c r="B15" s="1331" t="str">
        <f>B85</f>
        <v>อุปกรณ์ควบคุมอัตโนมัติ (Automatic Control Equipment)</v>
      </c>
      <c r="C15" s="1282"/>
      <c r="D15" s="1457"/>
      <c r="E15" s="1458">
        <v>1</v>
      </c>
      <c r="F15" s="1459" t="s">
        <v>19</v>
      </c>
      <c r="G15" s="1460"/>
      <c r="H15" s="751">
        <f>H94</f>
        <v>133232</v>
      </c>
      <c r="I15" s="1392"/>
      <c r="J15" s="1393">
        <f>J94</f>
        <v>4400</v>
      </c>
      <c r="K15" s="1022">
        <f t="shared" si="0"/>
        <v>137632</v>
      </c>
      <c r="L15" s="885"/>
      <c r="M15" s="1342"/>
      <c r="N15" s="886" t="str">
        <f t="shared" si="1"/>
        <v>รวมราคารายการที่ 7.4</v>
      </c>
      <c r="O15" s="1461">
        <f t="array" ref="O15">MAX(IF($B$61:$B$789=N15,ROW($B$61:$B$789)))</f>
        <v>94</v>
      </c>
    </row>
    <row r="16" spans="1:15" s="886" customFormat="1" ht="24" customHeight="1">
      <c r="A16" s="1481" t="str">
        <f>A95</f>
        <v>7.5</v>
      </c>
      <c r="B16" s="1331" t="str">
        <f>B95</f>
        <v>พัดลมระบายอากาศ (Ventilating Fan)</v>
      </c>
      <c r="C16" s="1282"/>
      <c r="D16" s="1457"/>
      <c r="E16" s="1458">
        <v>1</v>
      </c>
      <c r="F16" s="1459" t="s">
        <v>19</v>
      </c>
      <c r="G16" s="1460"/>
      <c r="H16" s="751">
        <f>H138</f>
        <v>3550745</v>
      </c>
      <c r="I16" s="1392"/>
      <c r="J16" s="1393">
        <f>J138</f>
        <v>188124</v>
      </c>
      <c r="K16" s="1022">
        <f t="shared" si="0"/>
        <v>3738869</v>
      </c>
      <c r="L16" s="885"/>
      <c r="M16" s="1342"/>
      <c r="N16" s="886" t="str">
        <f t="shared" si="1"/>
        <v>รวมราคารายการที่ 7.5</v>
      </c>
      <c r="O16" s="1461">
        <f t="array" ref="O16">MAX(IF($B$61:$B$789=N16,ROW($B$61:$B$789)))</f>
        <v>138</v>
      </c>
    </row>
    <row r="17" spans="1:15" s="886" customFormat="1" ht="24" customHeight="1">
      <c r="A17" s="1481" t="str">
        <f>A139</f>
        <v>7.6</v>
      </c>
      <c r="B17" s="1331" t="str">
        <f>B139</f>
        <v>Electrostatic kitchen cleaner with carbon module</v>
      </c>
      <c r="C17" s="1282"/>
      <c r="D17" s="1457"/>
      <c r="E17" s="1458">
        <v>1</v>
      </c>
      <c r="F17" s="1459" t="s">
        <v>19</v>
      </c>
      <c r="G17" s="1460"/>
      <c r="H17" s="751">
        <f>H148</f>
        <v>6075200</v>
      </c>
      <c r="I17" s="1392"/>
      <c r="J17" s="1393">
        <f>J148</f>
        <v>157730</v>
      </c>
      <c r="K17" s="1022">
        <f t="shared" si="0"/>
        <v>6232930</v>
      </c>
      <c r="L17" s="885"/>
      <c r="M17" s="1342"/>
      <c r="N17" s="886" t="str">
        <f t="shared" si="1"/>
        <v>รวมราคารายการที่ 7.6</v>
      </c>
      <c r="O17" s="1461">
        <f t="array" ref="O17">MAX(IF($B$61:$B$789=N17,ROW($B$61:$B$789)))</f>
        <v>148</v>
      </c>
    </row>
    <row r="18" spans="1:15" s="886" customFormat="1" ht="24" customHeight="1">
      <c r="A18" s="1481" t="str">
        <f>A149</f>
        <v>7.7</v>
      </c>
      <c r="B18" s="1331" t="str">
        <f>B149</f>
        <v>ระบบกรองอากาศ (Air Filtration System)</v>
      </c>
      <c r="C18" s="1469"/>
      <c r="D18" s="1470"/>
      <c r="E18" s="1458">
        <v>1</v>
      </c>
      <c r="F18" s="1459" t="s">
        <v>19</v>
      </c>
      <c r="G18" s="1472"/>
      <c r="H18" s="751">
        <f>H159</f>
        <v>11600</v>
      </c>
      <c r="I18" s="1400"/>
      <c r="J18" s="1393">
        <f>J159</f>
        <v>1600</v>
      </c>
      <c r="K18" s="1022">
        <f t="shared" si="0"/>
        <v>13200</v>
      </c>
      <c r="L18" s="1473"/>
      <c r="M18" s="1342"/>
      <c r="N18" s="886" t="str">
        <f t="shared" si="1"/>
        <v>รวมราคารายการที่ 7.7</v>
      </c>
      <c r="O18" s="1461">
        <f t="array" ref="O18">MAX(IF($B$61:$B$789=N18,ROW($B$61:$B$789)))</f>
        <v>159</v>
      </c>
    </row>
    <row r="19" spans="1:15" s="886" customFormat="1" ht="24" customHeight="1">
      <c r="A19" s="1481" t="str">
        <f>A160</f>
        <v>7.8</v>
      </c>
      <c r="B19" s="1331" t="str">
        <f>B160</f>
        <v>งานท่อ (Piping Work)</v>
      </c>
      <c r="C19" s="1282"/>
      <c r="D19" s="1457"/>
      <c r="E19" s="1458">
        <v>1</v>
      </c>
      <c r="F19" s="1459" t="s">
        <v>19</v>
      </c>
      <c r="G19" s="1460"/>
      <c r="H19" s="751">
        <f>H184</f>
        <v>447717</v>
      </c>
      <c r="I19" s="1392"/>
      <c r="J19" s="1393">
        <f>J184</f>
        <v>189490</v>
      </c>
      <c r="K19" s="1022">
        <f t="shared" si="0"/>
        <v>637207</v>
      </c>
      <c r="L19" s="885"/>
      <c r="M19" s="1342"/>
      <c r="N19" s="886" t="str">
        <f t="shared" si="1"/>
        <v>รวมราคารายการที่ 7.8</v>
      </c>
      <c r="O19" s="1461">
        <f t="array" ref="O19">MAX(IF($B$61:$B$789=N19,ROW($B$61:$B$789)))</f>
        <v>184</v>
      </c>
    </row>
    <row r="20" spans="1:15" s="886" customFormat="1" ht="24" customHeight="1">
      <c r="A20" s="1546" t="str">
        <f>A185</f>
        <v>7.9</v>
      </c>
      <c r="B20" s="1331" t="str">
        <f>B185</f>
        <v>ฉนวนหุ้มท่อ (Pipe Insulation)</v>
      </c>
      <c r="C20" s="1282"/>
      <c r="D20" s="1457"/>
      <c r="E20" s="1458">
        <v>1</v>
      </c>
      <c r="F20" s="1459" t="s">
        <v>19</v>
      </c>
      <c r="G20" s="1460"/>
      <c r="H20" s="751">
        <f>H209</f>
        <v>166807</v>
      </c>
      <c r="I20" s="1392"/>
      <c r="J20" s="1393">
        <f>J209</f>
        <v>45648</v>
      </c>
      <c r="K20" s="1022">
        <f t="shared" si="0"/>
        <v>212455</v>
      </c>
      <c r="L20" s="885"/>
      <c r="M20" s="1342"/>
      <c r="N20" s="886" t="str">
        <f t="shared" si="1"/>
        <v>รวมราคารายการที่ 7.9</v>
      </c>
      <c r="O20" s="1461">
        <f t="array" ref="O20">MAX(IF($B$61:$B$789=N20,ROW($B$61:$B$789)))</f>
        <v>209</v>
      </c>
    </row>
    <row r="21" spans="1:15" s="886" customFormat="1" ht="24" customHeight="1">
      <c r="A21" s="1481" t="str">
        <f>A210</f>
        <v>7.10</v>
      </c>
      <c r="B21" s="1331" t="str">
        <f>B210</f>
        <v>วาล์วและอุปกรณ์ประกอบ  (Valve &amp; Pipe Accessories)</v>
      </c>
      <c r="C21" s="1282"/>
      <c r="D21" s="1457"/>
      <c r="E21" s="1458">
        <v>1</v>
      </c>
      <c r="F21" s="1459" t="s">
        <v>19</v>
      </c>
      <c r="G21" s="1460"/>
      <c r="H21" s="751">
        <f>H234</f>
        <v>98176</v>
      </c>
      <c r="I21" s="1392"/>
      <c r="J21" s="1393">
        <f>J234</f>
        <v>14800</v>
      </c>
      <c r="K21" s="1022">
        <f t="shared" si="0"/>
        <v>112976</v>
      </c>
      <c r="L21" s="885"/>
      <c r="M21" s="1342"/>
      <c r="N21" s="886" t="str">
        <f t="shared" si="1"/>
        <v>รวมราคารายการที่ 7.10</v>
      </c>
      <c r="O21" s="1461">
        <f t="array" ref="O21">MAX(IF($B$61:$B$789=N21,ROW($B$61:$B$789)))</f>
        <v>234</v>
      </c>
    </row>
    <row r="22" spans="1:15" s="886" customFormat="1" ht="24" customHeight="1">
      <c r="A22" s="1481" t="str">
        <f>A235</f>
        <v>7.11</v>
      </c>
      <c r="B22" s="1331" t="str">
        <f>B235</f>
        <v>ระบบท่อลม (Duct Work)</v>
      </c>
      <c r="C22" s="1282"/>
      <c r="D22" s="1457"/>
      <c r="E22" s="1458">
        <v>1</v>
      </c>
      <c r="F22" s="1459" t="s">
        <v>19</v>
      </c>
      <c r="G22" s="1460"/>
      <c r="H22" s="751">
        <f>H249</f>
        <v>2047581</v>
      </c>
      <c r="I22" s="1392"/>
      <c r="J22" s="1393">
        <f>J249</f>
        <v>1415815</v>
      </c>
      <c r="K22" s="1022">
        <f t="shared" si="0"/>
        <v>3463396</v>
      </c>
      <c r="L22" s="885"/>
      <c r="M22" s="1342"/>
      <c r="N22" s="886" t="str">
        <f t="shared" si="1"/>
        <v>รวมราคารายการที่ 7.11</v>
      </c>
      <c r="O22" s="1461">
        <f t="array" ref="O22">MAX(IF($B$61:$B$789=N22,ROW($B$61:$B$789)))</f>
        <v>249</v>
      </c>
    </row>
    <row r="23" spans="1:15" s="886" customFormat="1" ht="24" customHeight="1">
      <c r="A23" s="1481" t="str">
        <f>A250</f>
        <v>7.12</v>
      </c>
      <c r="B23" s="1331" t="str">
        <f>B250</f>
        <v>ฉนวนหุ้มท่อลม (Duct Insulation)</v>
      </c>
      <c r="C23" s="1282"/>
      <c r="D23" s="1457"/>
      <c r="E23" s="1458">
        <v>1</v>
      </c>
      <c r="F23" s="1459" t="s">
        <v>19</v>
      </c>
      <c r="G23" s="1460"/>
      <c r="H23" s="751">
        <f>H259</f>
        <v>181796</v>
      </c>
      <c r="I23" s="1392"/>
      <c r="J23" s="1393">
        <f>J259</f>
        <v>58020</v>
      </c>
      <c r="K23" s="1022">
        <f t="shared" si="0"/>
        <v>239816</v>
      </c>
      <c r="L23" s="885"/>
      <c r="M23" s="1342"/>
      <c r="N23" s="886" t="str">
        <f t="shared" si="1"/>
        <v>รวมราคารายการที่ 7.12</v>
      </c>
      <c r="O23" s="1461">
        <f t="array" ref="O23">MAX(IF($B$61:$B$789=N23,ROW($B$61:$B$789)))</f>
        <v>259</v>
      </c>
    </row>
    <row r="24" spans="1:15" s="886" customFormat="1" ht="24" customHeight="1">
      <c r="A24" s="1481" t="str">
        <f>A260</f>
        <v>7.13</v>
      </c>
      <c r="B24" s="1524" t="str">
        <f>B260</f>
        <v>หน้ากากลม (Air Diffuser, Grille &amp; Register)</v>
      </c>
      <c r="C24" s="1282"/>
      <c r="D24" s="1457"/>
      <c r="E24" s="1458">
        <v>1</v>
      </c>
      <c r="F24" s="1459" t="s">
        <v>19</v>
      </c>
      <c r="G24" s="1460"/>
      <c r="H24" s="751">
        <f>H302</f>
        <v>351275</v>
      </c>
      <c r="I24" s="1392"/>
      <c r="J24" s="1393">
        <f>J302</f>
        <v>35200</v>
      </c>
      <c r="K24" s="1022">
        <f t="shared" si="0"/>
        <v>386475</v>
      </c>
      <c r="L24" s="885"/>
      <c r="M24" s="1342"/>
    </row>
    <row r="25" spans="1:15" s="886" customFormat="1" ht="24" customHeight="1">
      <c r="A25" s="1481" t="str">
        <f>A303</f>
        <v>7.14</v>
      </c>
      <c r="B25" s="1339" t="str">
        <f>B303</f>
        <v>ระบบไฟฟ้าและควบคุม (Electrical &amp; Control System)</v>
      </c>
      <c r="C25" s="1282"/>
      <c r="D25" s="1457"/>
      <c r="E25" s="1458">
        <v>1</v>
      </c>
      <c r="F25" s="1459" t="s">
        <v>19</v>
      </c>
      <c r="G25" s="1460"/>
      <c r="H25" s="751">
        <f>H359</f>
        <v>1342673</v>
      </c>
      <c r="I25" s="1392"/>
      <c r="J25" s="1393">
        <f>J359</f>
        <v>174022</v>
      </c>
      <c r="K25" s="1022">
        <f t="shared" si="0"/>
        <v>1516695</v>
      </c>
      <c r="L25" s="885"/>
      <c r="M25" s="1342"/>
    </row>
    <row r="26" spans="1:15" s="886" customFormat="1" ht="24" customHeight="1">
      <c r="A26" s="1474"/>
      <c r="B26" s="1331"/>
      <c r="C26" s="1282"/>
      <c r="D26" s="1457"/>
      <c r="E26" s="1458"/>
      <c r="F26" s="1459"/>
      <c r="G26" s="1460"/>
      <c r="H26" s="751"/>
      <c r="I26" s="1392"/>
      <c r="J26" s="1393"/>
      <c r="K26" s="1022"/>
      <c r="L26" s="885"/>
      <c r="M26" s="1342"/>
    </row>
    <row r="27" spans="1:15" s="886" customFormat="1" ht="24" customHeight="1">
      <c r="A27" s="1474"/>
      <c r="B27" s="1331"/>
      <c r="C27" s="1282"/>
      <c r="D27" s="1457"/>
      <c r="E27" s="1458"/>
      <c r="F27" s="1459"/>
      <c r="G27" s="1460"/>
      <c r="H27" s="751"/>
      <c r="I27" s="1392"/>
      <c r="J27" s="1393"/>
      <c r="K27" s="1022"/>
      <c r="L27" s="885"/>
      <c r="M27" s="1342"/>
    </row>
    <row r="28" spans="1:15" s="886" customFormat="1" ht="24" customHeight="1">
      <c r="A28" s="1474"/>
      <c r="B28" s="1331"/>
      <c r="C28" s="1282"/>
      <c r="D28" s="1457"/>
      <c r="E28" s="1458"/>
      <c r="F28" s="1459"/>
      <c r="G28" s="1460"/>
      <c r="H28" s="751"/>
      <c r="I28" s="1392"/>
      <c r="J28" s="1393"/>
      <c r="K28" s="1022"/>
      <c r="L28" s="885"/>
      <c r="M28" s="1342"/>
    </row>
    <row r="29" spans="1:15" s="886" customFormat="1" ht="24" customHeight="1">
      <c r="A29" s="1474"/>
      <c r="B29" s="1331"/>
      <c r="C29" s="1282"/>
      <c r="D29" s="1457"/>
      <c r="E29" s="1458"/>
      <c r="F29" s="1459"/>
      <c r="G29" s="1460"/>
      <c r="H29" s="751"/>
      <c r="I29" s="1392"/>
      <c r="J29" s="1393"/>
      <c r="K29" s="1022"/>
      <c r="L29" s="885"/>
      <c r="M29" s="1342"/>
    </row>
    <row r="30" spans="1:15" s="886" customFormat="1" ht="24" customHeight="1">
      <c r="A30" s="1474"/>
      <c r="B30" s="1331"/>
      <c r="C30" s="1282"/>
      <c r="D30" s="1457"/>
      <c r="E30" s="1458"/>
      <c r="F30" s="1459"/>
      <c r="G30" s="1460"/>
      <c r="H30" s="751"/>
      <c r="I30" s="1392"/>
      <c r="J30" s="1393"/>
      <c r="K30" s="1022"/>
      <c r="L30" s="885"/>
      <c r="M30" s="1342"/>
    </row>
    <row r="31" spans="1:15" s="886" customFormat="1" ht="24" customHeight="1">
      <c r="A31" s="1474"/>
      <c r="B31" s="1331"/>
      <c r="C31" s="1282"/>
      <c r="D31" s="1457"/>
      <c r="E31" s="1458"/>
      <c r="F31" s="1459"/>
      <c r="G31" s="1460"/>
      <c r="H31" s="751"/>
      <c r="I31" s="1392"/>
      <c r="J31" s="1393"/>
      <c r="K31" s="1022"/>
      <c r="L31" s="885"/>
      <c r="M31" s="1342"/>
    </row>
    <row r="32" spans="1:15" s="886" customFormat="1" ht="24" customHeight="1">
      <c r="A32" s="1474"/>
      <c r="B32" s="1331"/>
      <c r="C32" s="1282"/>
      <c r="D32" s="1457"/>
      <c r="E32" s="1458"/>
      <c r="F32" s="1459"/>
      <c r="G32" s="1460"/>
      <c r="H32" s="751"/>
      <c r="I32" s="1392"/>
      <c r="J32" s="1393"/>
      <c r="K32" s="1022"/>
      <c r="L32" s="885"/>
      <c r="M32" s="1342"/>
    </row>
    <row r="33" spans="1:16" s="886" customFormat="1" ht="24" customHeight="1">
      <c r="A33" s="1474"/>
      <c r="B33" s="1331"/>
      <c r="C33" s="1282"/>
      <c r="D33" s="1457"/>
      <c r="E33" s="1458"/>
      <c r="F33" s="1459"/>
      <c r="G33" s="1460"/>
      <c r="H33" s="751"/>
      <c r="I33" s="1392"/>
      <c r="J33" s="1393"/>
      <c r="K33" s="1022"/>
      <c r="L33" s="885"/>
      <c r="M33" s="1342"/>
    </row>
    <row r="34" spans="1:16" s="714" customFormat="1" ht="30" customHeight="1">
      <c r="A34" s="1166"/>
      <c r="B34" s="2475" t="s">
        <v>2538</v>
      </c>
      <c r="C34" s="2476"/>
      <c r="D34" s="2476"/>
      <c r="E34" s="1167"/>
      <c r="F34" s="1381"/>
      <c r="G34" s="1168"/>
      <c r="H34" s="1169">
        <f>SUM(H11:H33)</f>
        <v>18354702</v>
      </c>
      <c r="I34" s="1170"/>
      <c r="J34" s="1382">
        <f>SUM(J11:J33)</f>
        <v>2556336</v>
      </c>
      <c r="K34" s="1171">
        <f>SUM(K11:K33)</f>
        <v>20911038</v>
      </c>
      <c r="L34" s="1171"/>
      <c r="M34" s="1322"/>
      <c r="P34" s="729"/>
    </row>
    <row r="35" spans="1:16" s="1329" customFormat="1" ht="24" customHeight="1">
      <c r="A35" s="1383" t="s">
        <v>1987</v>
      </c>
      <c r="B35" s="1518" t="s">
        <v>2129</v>
      </c>
      <c r="C35" s="1347"/>
      <c r="D35" s="901"/>
      <c r="E35" s="1019"/>
      <c r="F35" s="1310"/>
      <c r="G35" s="1400"/>
      <c r="H35" s="773"/>
      <c r="I35" s="1400"/>
      <c r="J35" s="1401"/>
      <c r="K35" s="1019"/>
      <c r="L35" s="1019"/>
      <c r="M35" s="1328"/>
    </row>
    <row r="36" spans="1:16" s="1329" customFormat="1" ht="24" customHeight="1">
      <c r="A36" s="1481" t="s">
        <v>1904</v>
      </c>
      <c r="B36" s="1331" t="s">
        <v>2130</v>
      </c>
      <c r="C36" s="901"/>
      <c r="D36" s="901"/>
      <c r="E36" s="1019"/>
      <c r="F36" s="1310"/>
      <c r="G36" s="1400"/>
      <c r="H36" s="773"/>
      <c r="I36" s="1400"/>
      <c r="J36" s="1401"/>
      <c r="K36" s="1019"/>
      <c r="L36" s="1019"/>
      <c r="M36" s="1328"/>
    </row>
    <row r="37" spans="1:16" s="1329" customFormat="1" ht="24" customHeight="1">
      <c r="A37" s="1481"/>
      <c r="B37" s="1331" t="s">
        <v>2539</v>
      </c>
      <c r="C37" s="901"/>
      <c r="D37" s="901"/>
      <c r="E37" s="1019">
        <v>1</v>
      </c>
      <c r="F37" s="1310" t="s">
        <v>240</v>
      </c>
      <c r="G37" s="1392">
        <v>593600</v>
      </c>
      <c r="H37" s="1175">
        <f>E37*G37</f>
        <v>593600</v>
      </c>
      <c r="I37" s="1492">
        <f>G37*0.01</f>
        <v>5936</v>
      </c>
      <c r="J37" s="1493">
        <f>I37*E37</f>
        <v>5936</v>
      </c>
      <c r="K37" s="825">
        <f>H37+J37</f>
        <v>599536</v>
      </c>
      <c r="L37" s="1019"/>
      <c r="M37" s="1328"/>
    </row>
    <row r="38" spans="1:16" s="1329" customFormat="1" ht="24" customHeight="1">
      <c r="A38" s="1481"/>
      <c r="B38" s="1331" t="s">
        <v>2540</v>
      </c>
      <c r="C38" s="901"/>
      <c r="D38" s="901"/>
      <c r="E38" s="1019">
        <v>1</v>
      </c>
      <c r="F38" s="1310" t="s">
        <v>240</v>
      </c>
      <c r="G38" s="1392">
        <v>915100</v>
      </c>
      <c r="H38" s="1175">
        <f>E38*G38</f>
        <v>915100</v>
      </c>
      <c r="I38" s="1492">
        <f>G38*0.01</f>
        <v>9151</v>
      </c>
      <c r="J38" s="1493">
        <f>I38*E38</f>
        <v>9151</v>
      </c>
      <c r="K38" s="825">
        <f>H38+J38</f>
        <v>924251</v>
      </c>
      <c r="L38" s="1019"/>
      <c r="M38" s="1328"/>
    </row>
    <row r="39" spans="1:16" s="1329" customFormat="1" ht="24" customHeight="1">
      <c r="A39" s="1481" t="s">
        <v>1906</v>
      </c>
      <c r="B39" s="1331" t="s">
        <v>2132</v>
      </c>
      <c r="C39" s="901"/>
      <c r="D39" s="901"/>
      <c r="E39" s="1019">
        <v>2</v>
      </c>
      <c r="F39" s="1310" t="s">
        <v>240</v>
      </c>
      <c r="G39" s="1392">
        <v>1800</v>
      </c>
      <c r="H39" s="864">
        <f>ROUND(E39*G39,)</f>
        <v>3600</v>
      </c>
      <c r="I39" s="1396" t="s">
        <v>974</v>
      </c>
      <c r="J39" s="1395"/>
      <c r="K39" s="966">
        <f>H39+J39</f>
        <v>3600</v>
      </c>
      <c r="L39" s="1019"/>
      <c r="M39" s="1328"/>
    </row>
    <row r="40" spans="1:16" s="1329" customFormat="1" ht="24" customHeight="1">
      <c r="A40" s="1481" t="s">
        <v>1995</v>
      </c>
      <c r="B40" s="1331" t="s">
        <v>1996</v>
      </c>
      <c r="C40" s="901"/>
      <c r="D40" s="901"/>
      <c r="E40" s="1019">
        <v>2</v>
      </c>
      <c r="F40" s="1310" t="s">
        <v>240</v>
      </c>
      <c r="G40" s="1392">
        <v>2400</v>
      </c>
      <c r="H40" s="864">
        <f>ROUND(E40*G40,)</f>
        <v>4800</v>
      </c>
      <c r="I40" s="1392">
        <f>G40*0.3</f>
        <v>720</v>
      </c>
      <c r="J40" s="1395">
        <f>ROUND(E40*I40,)</f>
        <v>1440</v>
      </c>
      <c r="K40" s="966">
        <f>H40+J40</f>
        <v>6240</v>
      </c>
      <c r="L40" s="1019"/>
      <c r="M40" s="1328"/>
    </row>
    <row r="41" spans="1:16" s="1329" customFormat="1" ht="24" customHeight="1">
      <c r="A41" s="1481" t="s">
        <v>2133</v>
      </c>
      <c r="B41" s="1331" t="s">
        <v>2134</v>
      </c>
      <c r="C41" s="901"/>
      <c r="D41" s="901"/>
      <c r="E41" s="1019">
        <v>2</v>
      </c>
      <c r="F41" s="1310" t="s">
        <v>240</v>
      </c>
      <c r="G41" s="1400">
        <v>4000</v>
      </c>
      <c r="H41" s="864">
        <f>ROUND(E41*G41,)</f>
        <v>8000</v>
      </c>
      <c r="I41" s="1400">
        <v>400</v>
      </c>
      <c r="J41" s="1395">
        <f>ROUND(E41*I41,)</f>
        <v>800</v>
      </c>
      <c r="K41" s="966">
        <f>H41+J41</f>
        <v>8800</v>
      </c>
      <c r="L41" s="1019"/>
      <c r="M41" s="1328"/>
    </row>
    <row r="42" spans="1:16" s="1329" customFormat="1" ht="24" customHeight="1">
      <c r="A42" s="1481"/>
      <c r="B42" s="1331" t="s">
        <v>957</v>
      </c>
      <c r="C42" s="901"/>
      <c r="D42" s="901"/>
      <c r="E42" s="1019"/>
      <c r="F42" s="1310"/>
      <c r="G42" s="1400"/>
      <c r="H42" s="773"/>
      <c r="I42" s="1400"/>
      <c r="J42" s="1401"/>
      <c r="K42" s="1019"/>
      <c r="L42" s="1019"/>
      <c r="M42" s="1328"/>
    </row>
    <row r="43" spans="1:16" s="1329" customFormat="1" ht="24" customHeight="1">
      <c r="A43" s="1481"/>
      <c r="B43" s="1331"/>
      <c r="C43" s="901"/>
      <c r="D43" s="901"/>
      <c r="E43" s="1019"/>
      <c r="F43" s="1310"/>
      <c r="G43" s="1400"/>
      <c r="H43" s="773"/>
      <c r="I43" s="1400"/>
      <c r="J43" s="1401"/>
      <c r="K43" s="1019"/>
      <c r="L43" s="1019"/>
      <c r="M43" s="1328"/>
    </row>
    <row r="44" spans="1:16" s="1329" customFormat="1" ht="24" customHeight="1">
      <c r="A44" s="1481"/>
      <c r="B44" s="1331"/>
      <c r="C44" s="901"/>
      <c r="D44" s="901"/>
      <c r="E44" s="1019"/>
      <c r="F44" s="1310"/>
      <c r="G44" s="1400"/>
      <c r="H44" s="773"/>
      <c r="I44" s="1400"/>
      <c r="J44" s="1401"/>
      <c r="K44" s="1019"/>
      <c r="L44" s="1019"/>
      <c r="M44" s="1328"/>
    </row>
    <row r="45" spans="1:16" s="1329" customFormat="1" ht="24" customHeight="1">
      <c r="A45" s="1166"/>
      <c r="B45" s="2475" t="str">
        <f>"รวมราคารายการที่ "&amp;A35</f>
        <v>รวมราคารายการที่ 7.1</v>
      </c>
      <c r="C45" s="2476"/>
      <c r="D45" s="2476"/>
      <c r="E45" s="1167"/>
      <c r="F45" s="1381"/>
      <c r="G45" s="1168"/>
      <c r="H45" s="1169">
        <f>SUM(H35:H44)</f>
        <v>1525100</v>
      </c>
      <c r="I45" s="1170"/>
      <c r="J45" s="1382">
        <f>SUM(J35:J44)</f>
        <v>17327</v>
      </c>
      <c r="K45" s="1171">
        <f>SUM(K35:K44)</f>
        <v>1542427</v>
      </c>
      <c r="L45" s="1171"/>
      <c r="M45" s="1328"/>
    </row>
    <row r="46" spans="1:16" s="1329" customFormat="1" ht="24" customHeight="1">
      <c r="A46" s="1325">
        <v>7.2</v>
      </c>
      <c r="B46" s="1518" t="s">
        <v>2135</v>
      </c>
      <c r="C46" s="901"/>
      <c r="D46" s="901"/>
      <c r="E46" s="1019"/>
      <c r="F46" s="1310"/>
      <c r="G46" s="1400"/>
      <c r="H46" s="773"/>
      <c r="I46" s="1400"/>
      <c r="J46" s="1401"/>
      <c r="K46" s="1019"/>
      <c r="L46" s="1019"/>
      <c r="M46" s="1328"/>
    </row>
    <row r="47" spans="1:16" s="1329" customFormat="1" ht="24" customHeight="1">
      <c r="A47" s="1481" t="s">
        <v>1910</v>
      </c>
      <c r="B47" s="1331" t="s">
        <v>2130</v>
      </c>
      <c r="C47" s="901"/>
      <c r="D47" s="901"/>
      <c r="E47" s="1019"/>
      <c r="F47" s="1310"/>
      <c r="G47" s="1400"/>
      <c r="H47" s="773"/>
      <c r="I47" s="1400"/>
      <c r="J47" s="1401"/>
      <c r="K47" s="1019"/>
      <c r="L47" s="1019"/>
      <c r="M47" s="1328"/>
    </row>
    <row r="48" spans="1:16" s="1329" customFormat="1" ht="24" customHeight="1">
      <c r="A48" s="1481"/>
      <c r="B48" s="1331" t="s">
        <v>2541</v>
      </c>
      <c r="C48" s="901"/>
      <c r="D48" s="901"/>
      <c r="E48" s="1019">
        <v>1</v>
      </c>
      <c r="F48" s="1310" t="s">
        <v>240</v>
      </c>
      <c r="G48" s="1394">
        <v>513400</v>
      </c>
      <c r="H48" s="864">
        <f t="shared" ref="H48:H53" si="2">ROUND(E48*G48,)</f>
        <v>513400</v>
      </c>
      <c r="I48" s="1392">
        <f t="shared" ref="I48:I53" si="3">G48*0.1</f>
        <v>51340</v>
      </c>
      <c r="J48" s="1395">
        <f t="shared" ref="J48:J53" si="4">ROUND(E48*I48,)</f>
        <v>51340</v>
      </c>
      <c r="K48" s="966">
        <f t="shared" ref="K48:K53" si="5">H48+J48</f>
        <v>564740</v>
      </c>
      <c r="L48" s="1019"/>
      <c r="M48" s="1328"/>
    </row>
    <row r="49" spans="1:16" s="1329" customFormat="1" ht="24" customHeight="1">
      <c r="A49" s="1481"/>
      <c r="B49" s="1331" t="s">
        <v>2542</v>
      </c>
      <c r="C49" s="901"/>
      <c r="D49" s="901"/>
      <c r="E49" s="1019">
        <v>1</v>
      </c>
      <c r="F49" s="1310" t="s">
        <v>240</v>
      </c>
      <c r="G49" s="1394">
        <v>406600</v>
      </c>
      <c r="H49" s="864">
        <f t="shared" si="2"/>
        <v>406600</v>
      </c>
      <c r="I49" s="1392">
        <f t="shared" si="3"/>
        <v>40660</v>
      </c>
      <c r="J49" s="1395">
        <f t="shared" si="4"/>
        <v>40660</v>
      </c>
      <c r="K49" s="966">
        <f t="shared" si="5"/>
        <v>447260</v>
      </c>
      <c r="L49" s="1019"/>
      <c r="M49" s="1328"/>
    </row>
    <row r="50" spans="1:16" s="1329" customFormat="1" ht="24" customHeight="1">
      <c r="A50" s="1481"/>
      <c r="B50" s="1331" t="s">
        <v>2543</v>
      </c>
      <c r="C50" s="901"/>
      <c r="D50" s="901"/>
      <c r="E50" s="1019">
        <v>1</v>
      </c>
      <c r="F50" s="1310" t="s">
        <v>240</v>
      </c>
      <c r="G50" s="1394">
        <v>211800</v>
      </c>
      <c r="H50" s="864">
        <f t="shared" si="2"/>
        <v>211800</v>
      </c>
      <c r="I50" s="1392">
        <f t="shared" si="3"/>
        <v>21180</v>
      </c>
      <c r="J50" s="1395">
        <f t="shared" si="4"/>
        <v>21180</v>
      </c>
      <c r="K50" s="966">
        <f t="shared" si="5"/>
        <v>232980</v>
      </c>
      <c r="L50" s="1019"/>
      <c r="M50" s="1328"/>
    </row>
    <row r="51" spans="1:16" s="1329" customFormat="1" ht="24" customHeight="1">
      <c r="A51" s="1481"/>
      <c r="B51" s="1331" t="s">
        <v>2544</v>
      </c>
      <c r="C51" s="901"/>
      <c r="D51" s="901"/>
      <c r="E51" s="1019">
        <v>1</v>
      </c>
      <c r="F51" s="1310" t="s">
        <v>240</v>
      </c>
      <c r="G51" s="1394">
        <v>211800</v>
      </c>
      <c r="H51" s="864">
        <f t="shared" si="2"/>
        <v>211800</v>
      </c>
      <c r="I51" s="1392">
        <f t="shared" si="3"/>
        <v>21180</v>
      </c>
      <c r="J51" s="1395">
        <f t="shared" si="4"/>
        <v>21180</v>
      </c>
      <c r="K51" s="966">
        <f t="shared" si="5"/>
        <v>232980</v>
      </c>
      <c r="L51" s="1019"/>
      <c r="M51" s="1328"/>
    </row>
    <row r="52" spans="1:16" s="1329" customFormat="1" ht="24" customHeight="1">
      <c r="A52" s="1481"/>
      <c r="B52" s="1331" t="s">
        <v>2545</v>
      </c>
      <c r="C52" s="901"/>
      <c r="D52" s="901"/>
      <c r="E52" s="1019">
        <v>1</v>
      </c>
      <c r="F52" s="1310" t="s">
        <v>240</v>
      </c>
      <c r="G52" s="1394">
        <v>211800</v>
      </c>
      <c r="H52" s="864">
        <f t="shared" si="2"/>
        <v>211800</v>
      </c>
      <c r="I52" s="1392">
        <f t="shared" si="3"/>
        <v>21180</v>
      </c>
      <c r="J52" s="1395">
        <f t="shared" si="4"/>
        <v>21180</v>
      </c>
      <c r="K52" s="966">
        <f t="shared" si="5"/>
        <v>232980</v>
      </c>
      <c r="L52" s="1019"/>
      <c r="M52" s="1328"/>
    </row>
    <row r="53" spans="1:16" s="1329" customFormat="1" ht="24" customHeight="1">
      <c r="A53" s="1481"/>
      <c r="B53" s="1331" t="s">
        <v>2546</v>
      </c>
      <c r="C53" s="901"/>
      <c r="D53" s="901"/>
      <c r="E53" s="1019">
        <v>1</v>
      </c>
      <c r="F53" s="1310" t="s">
        <v>240</v>
      </c>
      <c r="G53" s="1394">
        <v>513400</v>
      </c>
      <c r="H53" s="864">
        <f t="shared" si="2"/>
        <v>513400</v>
      </c>
      <c r="I53" s="1392">
        <f t="shared" si="3"/>
        <v>51340</v>
      </c>
      <c r="J53" s="1395">
        <f t="shared" si="4"/>
        <v>51340</v>
      </c>
      <c r="K53" s="966">
        <f t="shared" si="5"/>
        <v>564740</v>
      </c>
      <c r="L53" s="1019"/>
      <c r="M53" s="1328"/>
    </row>
    <row r="54" spans="1:16" s="1329" customFormat="1" ht="24" customHeight="1">
      <c r="A54" s="1481" t="s">
        <v>2000</v>
      </c>
      <c r="B54" s="1331" t="s">
        <v>2153</v>
      </c>
      <c r="C54" s="901"/>
      <c r="D54" s="901"/>
      <c r="E54" s="1019"/>
      <c r="F54" s="1310"/>
      <c r="G54" s="1392"/>
      <c r="H54" s="751"/>
      <c r="I54" s="1392"/>
      <c r="J54" s="1393"/>
      <c r="K54" s="1022"/>
      <c r="L54" s="1019"/>
      <c r="M54" s="1328"/>
    </row>
    <row r="55" spans="1:16" s="1329" customFormat="1" ht="24" customHeight="1">
      <c r="A55" s="1481"/>
      <c r="B55" s="1331" t="s">
        <v>2154</v>
      </c>
      <c r="C55" s="901"/>
      <c r="D55" s="901"/>
      <c r="E55" s="1019">
        <v>6</v>
      </c>
      <c r="F55" s="1310" t="s">
        <v>240</v>
      </c>
      <c r="G55" s="1392">
        <v>1800</v>
      </c>
      <c r="H55" s="864">
        <f>ROUND(E55*G55,)</f>
        <v>10800</v>
      </c>
      <c r="I55" s="1396" t="s">
        <v>974</v>
      </c>
      <c r="J55" s="1395"/>
      <c r="K55" s="966">
        <f>H55+J55</f>
        <v>10800</v>
      </c>
      <c r="L55" s="1019"/>
      <c r="M55" s="1328"/>
    </row>
    <row r="56" spans="1:16" s="1329" customFormat="1" ht="24" customHeight="1">
      <c r="A56" s="1481" t="s">
        <v>2155</v>
      </c>
      <c r="B56" s="1331" t="s">
        <v>1996</v>
      </c>
      <c r="C56" s="901"/>
      <c r="D56" s="901"/>
      <c r="E56" s="1019">
        <v>24</v>
      </c>
      <c r="F56" s="1310" t="s">
        <v>240</v>
      </c>
      <c r="G56" s="1392">
        <v>2400</v>
      </c>
      <c r="H56" s="864">
        <f>ROUND(E56*G56,)</f>
        <v>57600</v>
      </c>
      <c r="I56" s="1392">
        <f>G56*0.3</f>
        <v>720</v>
      </c>
      <c r="J56" s="1395">
        <f>ROUND(E56*I56,)</f>
        <v>17280</v>
      </c>
      <c r="K56" s="966">
        <f>H56+J56</f>
        <v>74880</v>
      </c>
      <c r="L56" s="1019"/>
      <c r="M56" s="1328"/>
    </row>
    <row r="57" spans="1:16" s="1329" customFormat="1" ht="24" customHeight="1">
      <c r="A57" s="1481"/>
      <c r="B57" s="1331" t="s">
        <v>957</v>
      </c>
      <c r="C57" s="901"/>
      <c r="D57" s="901"/>
      <c r="E57" s="1019"/>
      <c r="F57" s="1310"/>
      <c r="G57" s="1400"/>
      <c r="H57" s="773"/>
      <c r="I57" s="1400"/>
      <c r="J57" s="1401"/>
      <c r="K57" s="1019"/>
      <c r="L57" s="1019"/>
      <c r="M57" s="1328"/>
    </row>
    <row r="58" spans="1:16" s="1329" customFormat="1" ht="24" customHeight="1">
      <c r="A58" s="1481"/>
      <c r="B58" s="1331"/>
      <c r="C58" s="901"/>
      <c r="D58" s="901"/>
      <c r="E58" s="1019"/>
      <c r="F58" s="1310"/>
      <c r="G58" s="1400"/>
      <c r="H58" s="773"/>
      <c r="I58" s="1400"/>
      <c r="J58" s="1401"/>
      <c r="K58" s="1019"/>
      <c r="L58" s="1019"/>
      <c r="M58" s="1328"/>
    </row>
    <row r="59" spans="1:16" s="1329" customFormat="1" ht="24" customHeight="1">
      <c r="A59" s="1166"/>
      <c r="B59" s="2475" t="str">
        <f>"รวมราคารายการที่ "&amp;A46</f>
        <v>รวมราคารายการที่ 7.2</v>
      </c>
      <c r="C59" s="2476"/>
      <c r="D59" s="2476"/>
      <c r="E59" s="1167"/>
      <c r="F59" s="1381"/>
      <c r="G59" s="1168"/>
      <c r="H59" s="1169">
        <f>SUM(H46:H58)</f>
        <v>2137200</v>
      </c>
      <c r="I59" s="1170"/>
      <c r="J59" s="1382">
        <f>SUM(J46:J58)</f>
        <v>224160</v>
      </c>
      <c r="K59" s="1171">
        <f>SUM(K46:K58)</f>
        <v>2361360</v>
      </c>
      <c r="L59" s="1171"/>
      <c r="M59" s="1328"/>
    </row>
    <row r="60" spans="1:16" s="1329" customFormat="1" ht="24" customHeight="1">
      <c r="A60" s="1383" t="s">
        <v>1920</v>
      </c>
      <c r="B60" s="1518" t="s">
        <v>1988</v>
      </c>
      <c r="C60" s="1347"/>
      <c r="D60" s="901"/>
      <c r="E60" s="1019"/>
      <c r="F60" s="1310"/>
      <c r="G60" s="1400"/>
      <c r="H60" s="773"/>
      <c r="I60" s="1400"/>
      <c r="J60" s="1401"/>
      <c r="K60" s="1019"/>
      <c r="L60" s="1019"/>
      <c r="M60" s="1328"/>
    </row>
    <row r="61" spans="1:16" s="1329" customFormat="1" ht="24" customHeight="1">
      <c r="A61" s="1330" t="s">
        <v>1922</v>
      </c>
      <c r="B61" s="1331" t="s">
        <v>1989</v>
      </c>
      <c r="C61" s="801"/>
      <c r="D61" s="801"/>
      <c r="E61" s="1019"/>
      <c r="F61" s="1310"/>
      <c r="G61" s="1400"/>
      <c r="H61" s="864"/>
      <c r="I61" s="1400"/>
      <c r="J61" s="1395"/>
      <c r="K61" s="966"/>
      <c r="L61" s="1019"/>
      <c r="M61" s="1328"/>
    </row>
    <row r="62" spans="1:16" s="1329" customFormat="1" ht="24" customHeight="1">
      <c r="A62" s="1330"/>
      <c r="B62" s="1331" t="str">
        <f>"  -  "&amp;M62&amp;", ("&amp;P62&amp;" kW,"&amp;N62&amp;" L/s)"</f>
        <v xml:space="preserve">  -  C1-8F-01 To 02, (6 kW,420 L/s)</v>
      </c>
      <c r="C62" s="1349"/>
      <c r="D62" s="801"/>
      <c r="E62" s="1022">
        <f>O62</f>
        <v>2</v>
      </c>
      <c r="F62" s="1333" t="s">
        <v>240</v>
      </c>
      <c r="G62" s="1392">
        <v>13200</v>
      </c>
      <c r="H62" s="864">
        <f t="shared" ref="H62:H63" si="6">ROUND(E62*G62,)</f>
        <v>26400</v>
      </c>
      <c r="I62" s="1392">
        <f>G62*0.1</f>
        <v>1320</v>
      </c>
      <c r="J62" s="1395">
        <f t="shared" ref="J62:J63" si="7">ROUND(E62*I62,)</f>
        <v>2640</v>
      </c>
      <c r="K62" s="966">
        <f t="shared" ref="K62:K63" si="8">H62+J62</f>
        <v>29040</v>
      </c>
      <c r="L62" s="1022"/>
      <c r="M62" s="1328" t="s">
        <v>2547</v>
      </c>
      <c r="N62" s="1329">
        <v>420</v>
      </c>
      <c r="O62" s="1329">
        <v>2</v>
      </c>
      <c r="P62">
        <v>6</v>
      </c>
    </row>
    <row r="63" spans="1:16" customFormat="1" ht="21.3">
      <c r="A63" s="1340"/>
      <c r="B63" s="1331" t="str">
        <f>"  -  "&amp;M63&amp;", ("&amp;P63&amp;" kW,"&amp;N63&amp;" L/s)"</f>
        <v xml:space="preserve">  -  C2-8F-01 To 02, (6 kW,420 L/s)</v>
      </c>
      <c r="C63" s="1349"/>
      <c r="D63" s="801"/>
      <c r="E63" s="1022">
        <f>O63</f>
        <v>2</v>
      </c>
      <c r="F63" s="1333" t="s">
        <v>240</v>
      </c>
      <c r="G63" s="1392">
        <v>13200</v>
      </c>
      <c r="H63" s="864">
        <f t="shared" si="6"/>
        <v>26400</v>
      </c>
      <c r="I63" s="1392">
        <f>G63*0.1</f>
        <v>1320</v>
      </c>
      <c r="J63" s="1395">
        <f t="shared" si="7"/>
        <v>2640</v>
      </c>
      <c r="K63" s="966">
        <f t="shared" si="8"/>
        <v>29040</v>
      </c>
      <c r="L63" s="1022"/>
      <c r="M63" s="1420" t="s">
        <v>2548</v>
      </c>
      <c r="N63">
        <v>420</v>
      </c>
      <c r="O63">
        <v>2</v>
      </c>
      <c r="P63">
        <v>6</v>
      </c>
    </row>
    <row r="64" spans="1:16" s="1329" customFormat="1" ht="24" customHeight="1">
      <c r="A64" s="1330" t="s">
        <v>1924</v>
      </c>
      <c r="B64" s="1331" t="s">
        <v>2283</v>
      </c>
      <c r="C64" s="801"/>
      <c r="D64" s="801"/>
      <c r="E64" s="1019"/>
      <c r="F64" s="1310"/>
      <c r="G64" s="1400"/>
      <c r="H64" s="864"/>
      <c r="I64" s="1400"/>
      <c r="J64" s="1395"/>
      <c r="K64" s="966"/>
      <c r="L64" s="1019"/>
      <c r="M64" s="1328"/>
    </row>
    <row r="65" spans="1:16" s="1329" customFormat="1" ht="24" customHeight="1">
      <c r="A65" s="1330"/>
      <c r="B65" s="1331" t="str">
        <f t="shared" ref="B65:B76" si="9">"  -  "&amp;M65&amp;", ("&amp;P65&amp;" kW,"&amp;N65&amp;" L/s)"</f>
        <v xml:space="preserve">  -  C1-8F-03, (8.8 kW,480 L/s)</v>
      </c>
      <c r="C65" s="1349"/>
      <c r="D65" s="801"/>
      <c r="E65" s="1022">
        <f t="shared" ref="E65:E76" si="10">O65</f>
        <v>1</v>
      </c>
      <c r="F65" s="1333" t="s">
        <v>240</v>
      </c>
      <c r="G65" s="1392">
        <v>17400</v>
      </c>
      <c r="H65" s="864">
        <f t="shared" ref="H65:H79" si="11">ROUND(E65*G65,)</f>
        <v>17400</v>
      </c>
      <c r="I65" s="1392">
        <f t="shared" ref="I65:I76" si="12">G65*0.1</f>
        <v>1740</v>
      </c>
      <c r="J65" s="1395">
        <f t="shared" ref="J65:J76" si="13">ROUND(E65*I65,)</f>
        <v>1740</v>
      </c>
      <c r="K65" s="966">
        <f t="shared" ref="K65:K76" si="14">H65+J65</f>
        <v>19140</v>
      </c>
      <c r="L65" s="1022"/>
      <c r="M65" s="1328" t="s">
        <v>2549</v>
      </c>
      <c r="N65" s="1329">
        <v>480</v>
      </c>
      <c r="O65" s="1547">
        <v>1</v>
      </c>
      <c r="P65">
        <v>8.8000000000000007</v>
      </c>
    </row>
    <row r="66" spans="1:16" customFormat="1" ht="21.3">
      <c r="A66" s="1340"/>
      <c r="B66" s="1331" t="str">
        <f t="shared" si="9"/>
        <v xml:space="preserve">  -  C1-8F-04 (ST.BY.), (8.8 kW,480 L/s)</v>
      </c>
      <c r="C66" s="1349"/>
      <c r="D66" s="801"/>
      <c r="E66" s="1022">
        <f t="shared" si="10"/>
        <v>1</v>
      </c>
      <c r="F66" s="1333" t="s">
        <v>240</v>
      </c>
      <c r="G66" s="1392">
        <v>17400</v>
      </c>
      <c r="H66" s="864">
        <f t="shared" si="11"/>
        <v>17400</v>
      </c>
      <c r="I66" s="1392">
        <f t="shared" si="12"/>
        <v>1740</v>
      </c>
      <c r="J66" s="1395">
        <f t="shared" si="13"/>
        <v>1740</v>
      </c>
      <c r="K66" s="966">
        <f t="shared" si="14"/>
        <v>19140</v>
      </c>
      <c r="L66" s="1022"/>
      <c r="M66" s="1420" t="s">
        <v>2550</v>
      </c>
      <c r="N66">
        <v>480</v>
      </c>
      <c r="O66" s="1547">
        <v>1</v>
      </c>
      <c r="P66">
        <v>8.8000000000000007</v>
      </c>
    </row>
    <row r="67" spans="1:16" s="1329" customFormat="1" ht="24" customHeight="1">
      <c r="A67" s="1330"/>
      <c r="B67" s="1331" t="str">
        <f t="shared" si="9"/>
        <v xml:space="preserve">  -  C1-8F-05, (10.5 kW,570 L/s)</v>
      </c>
      <c r="C67" s="1349"/>
      <c r="D67" s="801"/>
      <c r="E67" s="1022">
        <f t="shared" si="10"/>
        <v>1</v>
      </c>
      <c r="F67" s="1333" t="s">
        <v>240</v>
      </c>
      <c r="G67" s="1392">
        <v>17400</v>
      </c>
      <c r="H67" s="864">
        <f t="shared" si="11"/>
        <v>17400</v>
      </c>
      <c r="I67" s="1392">
        <f t="shared" si="12"/>
        <v>1740</v>
      </c>
      <c r="J67" s="1395">
        <f t="shared" si="13"/>
        <v>1740</v>
      </c>
      <c r="K67" s="966">
        <f t="shared" si="14"/>
        <v>19140</v>
      </c>
      <c r="L67" s="1022"/>
      <c r="M67" s="1328" t="s">
        <v>2551</v>
      </c>
      <c r="N67" s="1329">
        <v>570</v>
      </c>
      <c r="O67" s="1547">
        <v>1</v>
      </c>
      <c r="P67">
        <v>10.5</v>
      </c>
    </row>
    <row r="68" spans="1:16" customFormat="1" ht="21.3">
      <c r="A68" s="1340"/>
      <c r="B68" s="1331" t="str">
        <f t="shared" si="9"/>
        <v xml:space="preserve">  -  C1-8F-06 (ST.BY.), (10.5 kW,570 L/s)</v>
      </c>
      <c r="C68" s="1349"/>
      <c r="D68" s="801"/>
      <c r="E68" s="1022">
        <f t="shared" si="10"/>
        <v>1</v>
      </c>
      <c r="F68" s="1333" t="s">
        <v>240</v>
      </c>
      <c r="G68" s="1392">
        <v>17400</v>
      </c>
      <c r="H68" s="864">
        <f t="shared" si="11"/>
        <v>17400</v>
      </c>
      <c r="I68" s="1392">
        <f t="shared" si="12"/>
        <v>1740</v>
      </c>
      <c r="J68" s="1395">
        <f t="shared" si="13"/>
        <v>1740</v>
      </c>
      <c r="K68" s="966">
        <f t="shared" si="14"/>
        <v>19140</v>
      </c>
      <c r="L68" s="1022"/>
      <c r="M68" s="1420" t="s">
        <v>2552</v>
      </c>
      <c r="N68" s="1329">
        <v>570</v>
      </c>
      <c r="O68" s="1547">
        <v>1</v>
      </c>
      <c r="P68">
        <v>10.5</v>
      </c>
    </row>
    <row r="69" spans="1:16" s="1329" customFormat="1" ht="24" customHeight="1">
      <c r="A69" s="1330"/>
      <c r="B69" s="1331" t="str">
        <f t="shared" si="9"/>
        <v xml:space="preserve">  -  C1-8F-07, (10.5 kW,570 L/s)</v>
      </c>
      <c r="C69" s="1349"/>
      <c r="D69" s="801"/>
      <c r="E69" s="1022">
        <f t="shared" si="10"/>
        <v>1</v>
      </c>
      <c r="F69" s="1333" t="s">
        <v>240</v>
      </c>
      <c r="G69" s="1392">
        <v>17400</v>
      </c>
      <c r="H69" s="864">
        <f t="shared" si="11"/>
        <v>17400</v>
      </c>
      <c r="I69" s="1392">
        <f t="shared" si="12"/>
        <v>1740</v>
      </c>
      <c r="J69" s="1395">
        <f t="shared" si="13"/>
        <v>1740</v>
      </c>
      <c r="K69" s="966">
        <f t="shared" si="14"/>
        <v>19140</v>
      </c>
      <c r="L69" s="1022"/>
      <c r="M69" s="1328" t="s">
        <v>2553</v>
      </c>
      <c r="N69" s="1329">
        <v>570</v>
      </c>
      <c r="O69" s="1547">
        <v>1</v>
      </c>
      <c r="P69">
        <v>10.5</v>
      </c>
    </row>
    <row r="70" spans="1:16" customFormat="1" ht="21.3">
      <c r="A70" s="1340"/>
      <c r="B70" s="1331" t="str">
        <f t="shared" si="9"/>
        <v xml:space="preserve">  -  C1-8F-08 (ST.BY.), (10.5 kW,570 L/s)</v>
      </c>
      <c r="C70" s="1349"/>
      <c r="D70" s="801"/>
      <c r="E70" s="1022">
        <f t="shared" si="10"/>
        <v>1</v>
      </c>
      <c r="F70" s="1333" t="s">
        <v>240</v>
      </c>
      <c r="G70" s="1392">
        <v>17400</v>
      </c>
      <c r="H70" s="864">
        <f t="shared" si="11"/>
        <v>17400</v>
      </c>
      <c r="I70" s="1392">
        <f t="shared" si="12"/>
        <v>1740</v>
      </c>
      <c r="J70" s="1395">
        <f t="shared" si="13"/>
        <v>1740</v>
      </c>
      <c r="K70" s="966">
        <f t="shared" si="14"/>
        <v>19140</v>
      </c>
      <c r="L70" s="1022"/>
      <c r="M70" s="1420" t="s">
        <v>2554</v>
      </c>
      <c r="N70" s="1329">
        <v>570</v>
      </c>
      <c r="O70" s="1547">
        <v>1</v>
      </c>
      <c r="P70">
        <v>10.5</v>
      </c>
    </row>
    <row r="71" spans="1:16" s="1329" customFormat="1" ht="24" customHeight="1">
      <c r="A71" s="1330"/>
      <c r="B71" s="1331" t="str">
        <f t="shared" si="9"/>
        <v xml:space="preserve">  -  C2-8F-03, (10.5 kW,570 L/s)</v>
      </c>
      <c r="C71" s="1349"/>
      <c r="D71" s="801"/>
      <c r="E71" s="1022">
        <f t="shared" si="10"/>
        <v>1</v>
      </c>
      <c r="F71" s="1333" t="s">
        <v>240</v>
      </c>
      <c r="G71" s="1392">
        <v>17400</v>
      </c>
      <c r="H71" s="864">
        <f t="shared" si="11"/>
        <v>17400</v>
      </c>
      <c r="I71" s="1392">
        <f t="shared" si="12"/>
        <v>1740</v>
      </c>
      <c r="J71" s="1395">
        <f t="shared" si="13"/>
        <v>1740</v>
      </c>
      <c r="K71" s="966">
        <f t="shared" si="14"/>
        <v>19140</v>
      </c>
      <c r="L71" s="1022"/>
      <c r="M71" s="1328" t="s">
        <v>2555</v>
      </c>
      <c r="N71" s="1329">
        <v>570</v>
      </c>
      <c r="O71" s="1547">
        <v>1</v>
      </c>
      <c r="P71">
        <v>10.5</v>
      </c>
    </row>
    <row r="72" spans="1:16" customFormat="1" ht="21.3">
      <c r="A72" s="1340"/>
      <c r="B72" s="1331" t="str">
        <f t="shared" si="9"/>
        <v xml:space="preserve">  -  C2-8F-04 (ST.BY.), (10.5 kW,570 L/s)</v>
      </c>
      <c r="C72" s="1349"/>
      <c r="D72" s="801"/>
      <c r="E72" s="1022">
        <f t="shared" si="10"/>
        <v>1</v>
      </c>
      <c r="F72" s="1333" t="s">
        <v>240</v>
      </c>
      <c r="G72" s="1392">
        <v>17400</v>
      </c>
      <c r="H72" s="864">
        <f t="shared" si="11"/>
        <v>17400</v>
      </c>
      <c r="I72" s="1392">
        <f t="shared" si="12"/>
        <v>1740</v>
      </c>
      <c r="J72" s="1395">
        <f t="shared" si="13"/>
        <v>1740</v>
      </c>
      <c r="K72" s="966">
        <f t="shared" si="14"/>
        <v>19140</v>
      </c>
      <c r="L72" s="1022"/>
      <c r="M72" s="1420" t="s">
        <v>2556</v>
      </c>
      <c r="N72" s="1329">
        <v>570</v>
      </c>
      <c r="O72" s="1547">
        <v>1</v>
      </c>
      <c r="P72">
        <v>10.5</v>
      </c>
    </row>
    <row r="73" spans="1:16" s="1329" customFormat="1" ht="24" customHeight="1">
      <c r="A73" s="1330"/>
      <c r="B73" s="1331" t="str">
        <f t="shared" si="9"/>
        <v xml:space="preserve">  -  C2-8F-05, (10.5 kW,570 L/s)</v>
      </c>
      <c r="C73" s="1349"/>
      <c r="D73" s="801"/>
      <c r="E73" s="1022">
        <f t="shared" si="10"/>
        <v>1</v>
      </c>
      <c r="F73" s="1333" t="s">
        <v>240</v>
      </c>
      <c r="G73" s="1392">
        <v>17400</v>
      </c>
      <c r="H73" s="864">
        <f t="shared" si="11"/>
        <v>17400</v>
      </c>
      <c r="I73" s="1392">
        <f t="shared" si="12"/>
        <v>1740</v>
      </c>
      <c r="J73" s="1395">
        <f t="shared" si="13"/>
        <v>1740</v>
      </c>
      <c r="K73" s="966">
        <f t="shared" si="14"/>
        <v>19140</v>
      </c>
      <c r="L73" s="1022"/>
      <c r="M73" s="1328" t="s">
        <v>2557</v>
      </c>
      <c r="N73" s="1329">
        <v>570</v>
      </c>
      <c r="O73" s="1547">
        <v>1</v>
      </c>
      <c r="P73">
        <v>10.5</v>
      </c>
    </row>
    <row r="74" spans="1:16" customFormat="1" ht="21.3">
      <c r="A74" s="1340"/>
      <c r="B74" s="1331" t="str">
        <f t="shared" si="9"/>
        <v xml:space="preserve">  -  C2-8F-06 (ST.BY.), (10.5 kW,570 L/s)</v>
      </c>
      <c r="C74" s="1349"/>
      <c r="D74" s="801"/>
      <c r="E74" s="1022">
        <f t="shared" si="10"/>
        <v>1</v>
      </c>
      <c r="F74" s="1333" t="s">
        <v>240</v>
      </c>
      <c r="G74" s="1392">
        <v>17400</v>
      </c>
      <c r="H74" s="864">
        <f t="shared" si="11"/>
        <v>17400</v>
      </c>
      <c r="I74" s="1392">
        <f t="shared" si="12"/>
        <v>1740</v>
      </c>
      <c r="J74" s="1395">
        <f t="shared" si="13"/>
        <v>1740</v>
      </c>
      <c r="K74" s="966">
        <f t="shared" si="14"/>
        <v>19140</v>
      </c>
      <c r="L74" s="1022"/>
      <c r="M74" s="1420" t="s">
        <v>2558</v>
      </c>
      <c r="N74" s="1329">
        <v>570</v>
      </c>
      <c r="O74" s="1547">
        <v>1</v>
      </c>
      <c r="P74">
        <v>10.5</v>
      </c>
    </row>
    <row r="75" spans="1:16" s="1329" customFormat="1" ht="24" customHeight="1">
      <c r="A75" s="1330"/>
      <c r="B75" s="1331" t="str">
        <f t="shared" si="9"/>
        <v xml:space="preserve">  -  C2-8F-07, (10.5 kW,570 L/s)</v>
      </c>
      <c r="C75" s="1349"/>
      <c r="D75" s="801"/>
      <c r="E75" s="1022">
        <f t="shared" si="10"/>
        <v>1</v>
      </c>
      <c r="F75" s="1333" t="s">
        <v>240</v>
      </c>
      <c r="G75" s="1392">
        <v>17400</v>
      </c>
      <c r="H75" s="864">
        <f t="shared" si="11"/>
        <v>17400</v>
      </c>
      <c r="I75" s="1392">
        <f t="shared" si="12"/>
        <v>1740</v>
      </c>
      <c r="J75" s="1395">
        <f t="shared" si="13"/>
        <v>1740</v>
      </c>
      <c r="K75" s="966">
        <f t="shared" si="14"/>
        <v>19140</v>
      </c>
      <c r="L75" s="1022"/>
      <c r="M75" s="1328" t="s">
        <v>2559</v>
      </c>
      <c r="N75" s="1329">
        <v>570</v>
      </c>
      <c r="O75" s="1547">
        <v>1</v>
      </c>
      <c r="P75">
        <v>10.5</v>
      </c>
    </row>
    <row r="76" spans="1:16" customFormat="1" ht="21.3">
      <c r="A76" s="1340"/>
      <c r="B76" s="1331" t="str">
        <f t="shared" si="9"/>
        <v xml:space="preserve">  -  C2-8F-08 (ST.BY.), (10.5 kW,570 L/s)</v>
      </c>
      <c r="C76" s="1349"/>
      <c r="D76" s="801"/>
      <c r="E76" s="1022">
        <f t="shared" si="10"/>
        <v>1</v>
      </c>
      <c r="F76" s="1333" t="s">
        <v>240</v>
      </c>
      <c r="G76" s="1392">
        <v>17400</v>
      </c>
      <c r="H76" s="864">
        <f t="shared" si="11"/>
        <v>17400</v>
      </c>
      <c r="I76" s="1392">
        <f t="shared" si="12"/>
        <v>1740</v>
      </c>
      <c r="J76" s="1395">
        <f t="shared" si="13"/>
        <v>1740</v>
      </c>
      <c r="K76" s="966">
        <f t="shared" si="14"/>
        <v>19140</v>
      </c>
      <c r="L76" s="1022"/>
      <c r="M76" s="1420" t="s">
        <v>2560</v>
      </c>
      <c r="N76" s="1329">
        <v>570</v>
      </c>
      <c r="O76" s="1547">
        <v>1</v>
      </c>
      <c r="P76">
        <v>10.5</v>
      </c>
    </row>
    <row r="77" spans="1:16" s="1329" customFormat="1" ht="24" customHeight="1">
      <c r="A77" s="1330"/>
      <c r="B77" s="1331"/>
      <c r="C77" s="801"/>
      <c r="D77" s="801"/>
      <c r="E77" s="1022"/>
      <c r="F77" s="1333"/>
      <c r="G77" s="1392"/>
      <c r="H77" s="864"/>
      <c r="I77" s="1392"/>
      <c r="J77" s="1393"/>
      <c r="K77" s="1022"/>
      <c r="L77" s="1022"/>
      <c r="M77" s="1328"/>
    </row>
    <row r="78" spans="1:16" s="1329" customFormat="1" ht="24" customHeight="1">
      <c r="A78" s="1330" t="s">
        <v>2020</v>
      </c>
      <c r="B78" s="1331" t="s">
        <v>2158</v>
      </c>
      <c r="C78" s="801"/>
      <c r="D78" s="801"/>
      <c r="E78" s="1022">
        <f>SUM(E62:E63,E65:E76)</f>
        <v>16</v>
      </c>
      <c r="F78" s="1333" t="s">
        <v>240</v>
      </c>
      <c r="G78" s="1496">
        <v>700</v>
      </c>
      <c r="H78" s="864">
        <f t="shared" si="11"/>
        <v>11200</v>
      </c>
      <c r="I78" s="1396"/>
      <c r="J78" s="1395">
        <f t="shared" ref="J78:J79" si="15">ROUND(E78*I78,)</f>
        <v>0</v>
      </c>
      <c r="K78" s="966">
        <f t="shared" ref="K78:K79" si="16">H78+J78</f>
        <v>11200</v>
      </c>
      <c r="L78" s="1022"/>
      <c r="M78" s="1328"/>
    </row>
    <row r="79" spans="1:16" s="1329" customFormat="1" ht="24" customHeight="1">
      <c r="A79" s="1340" t="s">
        <v>2026</v>
      </c>
      <c r="B79" s="1331" t="s">
        <v>1996</v>
      </c>
      <c r="C79" s="801"/>
      <c r="D79" s="801"/>
      <c r="E79" s="1022">
        <f>SUM(E62:E63,E65:E76)</f>
        <v>16</v>
      </c>
      <c r="F79" s="1333" t="s">
        <v>240</v>
      </c>
      <c r="G79" s="1392">
        <v>800</v>
      </c>
      <c r="H79" s="864">
        <f t="shared" si="11"/>
        <v>12800</v>
      </c>
      <c r="I79" s="1392">
        <f>G79*0.3</f>
        <v>240</v>
      </c>
      <c r="J79" s="1395">
        <f t="shared" si="15"/>
        <v>3840</v>
      </c>
      <c r="K79" s="966">
        <f t="shared" si="16"/>
        <v>16640</v>
      </c>
      <c r="L79" s="1022"/>
      <c r="M79" s="1328"/>
    </row>
    <row r="80" spans="1:16" s="1329" customFormat="1" ht="24" customHeight="1">
      <c r="A80" s="1340"/>
      <c r="B80" s="1331" t="s">
        <v>957</v>
      </c>
      <c r="C80" s="801"/>
      <c r="D80" s="801"/>
      <c r="E80" s="1022"/>
      <c r="F80" s="1333"/>
      <c r="G80" s="1392"/>
      <c r="H80" s="751"/>
      <c r="I80" s="1392"/>
      <c r="J80" s="1393"/>
      <c r="K80" s="1022"/>
      <c r="L80" s="1022"/>
      <c r="M80" s="1328"/>
    </row>
    <row r="81" spans="1:13" s="1329" customFormat="1" ht="24" customHeight="1">
      <c r="A81" s="1340"/>
      <c r="B81" s="1331"/>
      <c r="C81" s="801"/>
      <c r="D81" s="801"/>
      <c r="E81" s="1022"/>
      <c r="F81" s="1333"/>
      <c r="G81" s="1392"/>
      <c r="H81" s="864"/>
      <c r="I81" s="1392"/>
      <c r="J81" s="1395"/>
      <c r="K81" s="966"/>
      <c r="L81" s="1022"/>
      <c r="M81" s="1328"/>
    </row>
    <row r="82" spans="1:13" s="1329" customFormat="1" ht="24" customHeight="1">
      <c r="A82" s="1340"/>
      <c r="B82" s="1331"/>
      <c r="C82" s="801"/>
      <c r="D82" s="801"/>
      <c r="E82" s="1022"/>
      <c r="F82" s="1333"/>
      <c r="G82" s="1392"/>
      <c r="H82" s="864"/>
      <c r="I82" s="1392"/>
      <c r="J82" s="1395"/>
      <c r="K82" s="966"/>
      <c r="L82" s="1022"/>
      <c r="M82" s="1328"/>
    </row>
    <row r="83" spans="1:13" s="1329" customFormat="1" ht="24" customHeight="1">
      <c r="A83" s="1340"/>
      <c r="B83" s="1331"/>
      <c r="C83" s="801"/>
      <c r="D83" s="801"/>
      <c r="E83" s="1022"/>
      <c r="F83" s="1333"/>
      <c r="G83" s="1392"/>
      <c r="H83" s="864"/>
      <c r="I83" s="1392"/>
      <c r="J83" s="1395"/>
      <c r="K83" s="966"/>
      <c r="L83" s="1022"/>
      <c r="M83" s="1328"/>
    </row>
    <row r="84" spans="1:13" s="886" customFormat="1" ht="24" customHeight="1">
      <c r="A84" s="1166"/>
      <c r="B84" s="2475" t="str">
        <f>"รวมราคารายการที่ "&amp;A60</f>
        <v>รวมราคารายการที่ 7.3</v>
      </c>
      <c r="C84" s="2476"/>
      <c r="D84" s="2476"/>
      <c r="E84" s="1167"/>
      <c r="F84" s="1381"/>
      <c r="G84" s="1168"/>
      <c r="H84" s="1169">
        <f>SUM(H61:H83)</f>
        <v>285600</v>
      </c>
      <c r="I84" s="1170"/>
      <c r="J84" s="1382">
        <f>SUM(J61:J83)</f>
        <v>30000</v>
      </c>
      <c r="K84" s="1171">
        <f>SUM(K61:K83)</f>
        <v>315600</v>
      </c>
      <c r="L84" s="1171"/>
      <c r="M84" s="1342"/>
    </row>
    <row r="85" spans="1:13" s="1329" customFormat="1" ht="24" customHeight="1">
      <c r="A85" s="1325" t="s">
        <v>2027</v>
      </c>
      <c r="B85" s="1326" t="s">
        <v>1903</v>
      </c>
      <c r="C85" s="901"/>
      <c r="D85" s="901"/>
      <c r="E85" s="1019"/>
      <c r="F85" s="1310"/>
      <c r="G85" s="1400"/>
      <c r="H85" s="864"/>
      <c r="I85" s="1400"/>
      <c r="J85" s="1395"/>
      <c r="K85" s="966"/>
      <c r="L85" s="1019"/>
      <c r="M85" s="1328"/>
    </row>
    <row r="86" spans="1:13" s="1329" customFormat="1" ht="24" customHeight="1">
      <c r="A86" s="1330" t="s">
        <v>1928</v>
      </c>
      <c r="B86" s="1331" t="s">
        <v>1998</v>
      </c>
      <c r="C86" s="801"/>
      <c r="D86" s="801"/>
      <c r="E86" s="1022"/>
      <c r="F86" s="1333"/>
      <c r="G86" s="1392"/>
      <c r="H86" s="751"/>
      <c r="I86" s="1392"/>
      <c r="J86" s="1393"/>
      <c r="K86" s="1022"/>
      <c r="L86" s="1022"/>
      <c r="M86" s="1328"/>
    </row>
    <row r="87" spans="1:13" s="1329" customFormat="1" ht="24" customHeight="1">
      <c r="A87" s="1330" t="s">
        <v>2160</v>
      </c>
      <c r="B87" s="1331" t="s">
        <v>1999</v>
      </c>
      <c r="C87" s="801"/>
      <c r="D87" s="801"/>
      <c r="E87" s="1022"/>
      <c r="F87" s="1333"/>
      <c r="G87" s="1392"/>
      <c r="H87" s="751"/>
      <c r="I87" s="1392"/>
      <c r="J87" s="1393"/>
      <c r="K87" s="1022"/>
      <c r="L87" s="1022"/>
      <c r="M87" s="1328"/>
    </row>
    <row r="88" spans="1:13" s="1329" customFormat="1" ht="24" customHeight="1">
      <c r="A88" s="1330"/>
      <c r="B88" s="1331" t="s">
        <v>1715</v>
      </c>
      <c r="C88" s="801"/>
      <c r="D88" s="801"/>
      <c r="E88" s="1019">
        <f>E78</f>
        <v>16</v>
      </c>
      <c r="F88" s="1333" t="s">
        <v>240</v>
      </c>
      <c r="G88" s="1392">
        <v>3672</v>
      </c>
      <c r="H88" s="864">
        <f t="shared" ref="H88" si="17">ROUND(E88*G88,)</f>
        <v>58752</v>
      </c>
      <c r="I88" s="1392">
        <v>150</v>
      </c>
      <c r="J88" s="1395">
        <f t="shared" ref="J88" si="18">ROUND(E88*I88,)</f>
        <v>2400</v>
      </c>
      <c r="K88" s="966">
        <f t="shared" ref="K88:K90" si="19">H88+J88</f>
        <v>61152</v>
      </c>
      <c r="L88" s="1022"/>
      <c r="M88" s="1328"/>
    </row>
    <row r="89" spans="1:13" s="1329" customFormat="1" ht="24" customHeight="1">
      <c r="A89" s="1330"/>
      <c r="B89" s="1331" t="s">
        <v>2162</v>
      </c>
      <c r="C89" s="801"/>
      <c r="D89" s="801"/>
      <c r="E89" s="1022"/>
      <c r="F89" s="1333"/>
      <c r="G89" s="1392"/>
      <c r="H89" s="751"/>
      <c r="I89" s="1392"/>
      <c r="J89" s="1393"/>
      <c r="K89" s="1022"/>
      <c r="L89" s="1022"/>
      <c r="M89" s="1328"/>
    </row>
    <row r="90" spans="1:13" s="1329" customFormat="1" ht="24" customHeight="1">
      <c r="A90" s="1330"/>
      <c r="B90" s="1331" t="s">
        <v>1747</v>
      </c>
      <c r="C90" s="801"/>
      <c r="D90" s="801"/>
      <c r="E90" s="1022">
        <f>E55+E39</f>
        <v>8</v>
      </c>
      <c r="F90" s="1333" t="s">
        <v>240</v>
      </c>
      <c r="G90" s="1392">
        <v>9310</v>
      </c>
      <c r="H90" s="864">
        <f t="shared" ref="H90" si="20">ROUND(E90*G90,)</f>
        <v>74480</v>
      </c>
      <c r="I90" s="1392">
        <v>250</v>
      </c>
      <c r="J90" s="1395">
        <f t="shared" ref="J90" si="21">ROUND(E90*I90,)</f>
        <v>2000</v>
      </c>
      <c r="K90" s="966">
        <f t="shared" si="19"/>
        <v>76480</v>
      </c>
      <c r="L90" s="1022"/>
      <c r="M90" s="1328"/>
    </row>
    <row r="91" spans="1:13" s="1329" customFormat="1" ht="24" customHeight="1">
      <c r="A91" s="1340"/>
      <c r="B91" s="1331" t="s">
        <v>957</v>
      </c>
      <c r="C91" s="801"/>
      <c r="D91" s="801"/>
      <c r="E91" s="1022"/>
      <c r="F91" s="1333"/>
      <c r="G91" s="1392"/>
      <c r="H91" s="751"/>
      <c r="I91" s="1392"/>
      <c r="J91" s="1393"/>
      <c r="K91" s="1022"/>
      <c r="L91" s="1022"/>
      <c r="M91" s="1328"/>
    </row>
    <row r="92" spans="1:13" s="1329" customFormat="1" ht="24" customHeight="1">
      <c r="A92" s="1340"/>
      <c r="B92" s="1331" t="s">
        <v>958</v>
      </c>
      <c r="C92" s="801"/>
      <c r="D92" s="801"/>
      <c r="E92" s="1022"/>
      <c r="F92" s="1333"/>
      <c r="G92" s="1392"/>
      <c r="H92" s="751"/>
      <c r="I92" s="1392"/>
      <c r="J92" s="1393"/>
      <c r="K92" s="1022"/>
      <c r="L92" s="1022"/>
      <c r="M92" s="1328"/>
    </row>
    <row r="93" spans="1:13" s="1329" customFormat="1" ht="24" customHeight="1">
      <c r="A93" s="1340"/>
      <c r="B93" s="1331" t="s">
        <v>958</v>
      </c>
      <c r="C93" s="801"/>
      <c r="D93" s="801"/>
      <c r="E93" s="1022"/>
      <c r="F93" s="1333"/>
      <c r="G93" s="1392"/>
      <c r="H93" s="751"/>
      <c r="I93" s="1392"/>
      <c r="J93" s="1393"/>
      <c r="K93" s="1022"/>
      <c r="L93" s="1022"/>
      <c r="M93" s="1328"/>
    </row>
    <row r="94" spans="1:13" s="1329" customFormat="1" ht="24" customHeight="1">
      <c r="A94" s="1166"/>
      <c r="B94" s="2475" t="str">
        <f>"รวมราคารายการที่ "&amp;A85</f>
        <v>รวมราคารายการที่ 7.4</v>
      </c>
      <c r="C94" s="2476"/>
      <c r="D94" s="2476"/>
      <c r="E94" s="1167"/>
      <c r="F94" s="1381"/>
      <c r="G94" s="1168"/>
      <c r="H94" s="1169">
        <f>SUM(H85:H93)</f>
        <v>133232</v>
      </c>
      <c r="I94" s="1170"/>
      <c r="J94" s="1382">
        <f>SUM(J85:J93)</f>
        <v>4400</v>
      </c>
      <c r="K94" s="1171">
        <f>SUM(K85:K93)</f>
        <v>137632</v>
      </c>
      <c r="L94" s="1171"/>
      <c r="M94" s="1328"/>
    </row>
    <row r="95" spans="1:13" s="1329" customFormat="1" ht="24" customHeight="1">
      <c r="A95" s="1325" t="s">
        <v>2030</v>
      </c>
      <c r="B95" s="1326" t="s">
        <v>2003</v>
      </c>
      <c r="C95" s="1347"/>
      <c r="D95" s="901"/>
      <c r="E95" s="1019"/>
      <c r="F95" s="1310"/>
      <c r="G95" s="1400"/>
      <c r="H95" s="864"/>
      <c r="I95" s="1400"/>
      <c r="J95" s="1395"/>
      <c r="K95" s="966"/>
      <c r="L95" s="1019"/>
      <c r="M95" s="1328"/>
    </row>
    <row r="96" spans="1:13" s="1329" customFormat="1" ht="24" customHeight="1">
      <c r="A96" s="1340" t="s">
        <v>1949</v>
      </c>
      <c r="B96" s="1331" t="s">
        <v>2004</v>
      </c>
      <c r="C96" s="801"/>
      <c r="D96" s="801"/>
      <c r="E96" s="1022"/>
      <c r="F96" s="1333"/>
      <c r="G96" s="1392"/>
      <c r="H96" s="751"/>
      <c r="I96" s="1392"/>
      <c r="J96" s="1393"/>
      <c r="K96" s="1022"/>
      <c r="L96" s="1022"/>
      <c r="M96" s="1328"/>
    </row>
    <row r="97" spans="1:15" s="1329" customFormat="1" ht="24" customHeight="1">
      <c r="A97" s="1340"/>
      <c r="B97" s="1331" t="str">
        <f t="shared" ref="B97:B98" si="22">"  -  "&amp;M97&amp;", ("&amp;N97&amp;" L/s)"</f>
        <v xml:space="preserve">  -  C1-8EAF-03, (11000 L/s)</v>
      </c>
      <c r="C97" s="801"/>
      <c r="D97" s="801"/>
      <c r="E97" s="1022">
        <f t="shared" ref="E97:E108" si="23">O97</f>
        <v>1</v>
      </c>
      <c r="F97" s="1333" t="s">
        <v>240</v>
      </c>
      <c r="G97" s="1496">
        <v>101465</v>
      </c>
      <c r="H97" s="864">
        <f t="shared" ref="H97:H108" si="24">ROUND(E97*G97,)</f>
        <v>101465</v>
      </c>
      <c r="I97" s="1394">
        <f t="shared" ref="I97:I108" si="25">ROUND(G97*0.05,)</f>
        <v>5073</v>
      </c>
      <c r="J97" s="1395">
        <f t="shared" ref="J97:J108" si="26">ROUND(E97*I97,)</f>
        <v>5073</v>
      </c>
      <c r="K97" s="966">
        <f t="shared" ref="K97:K108" si="27">H97+J97</f>
        <v>106538</v>
      </c>
      <c r="L97" s="1022"/>
      <c r="M97" s="1328" t="s">
        <v>2561</v>
      </c>
      <c r="N97" s="1329">
        <v>11000</v>
      </c>
      <c r="O97" s="1329">
        <v>1</v>
      </c>
    </row>
    <row r="98" spans="1:15" s="1329" customFormat="1" ht="24" customHeight="1">
      <c r="A98" s="1340"/>
      <c r="B98" s="1331" t="str">
        <f t="shared" si="22"/>
        <v xml:space="preserve">  -  C1-8EAF-04, (800 L/s)</v>
      </c>
      <c r="C98" s="801"/>
      <c r="D98" s="801"/>
      <c r="E98" s="1022">
        <f t="shared" si="23"/>
        <v>1</v>
      </c>
      <c r="F98" s="1333" t="s">
        <v>240</v>
      </c>
      <c r="G98" s="1496">
        <v>12090</v>
      </c>
      <c r="H98" s="864">
        <f t="shared" si="24"/>
        <v>12090</v>
      </c>
      <c r="I98" s="1394">
        <f t="shared" si="25"/>
        <v>605</v>
      </c>
      <c r="J98" s="1395">
        <f t="shared" si="26"/>
        <v>605</v>
      </c>
      <c r="K98" s="966">
        <f t="shared" si="27"/>
        <v>12695</v>
      </c>
      <c r="L98" s="1022"/>
      <c r="M98" s="1328" t="s">
        <v>2562</v>
      </c>
      <c r="N98" s="1329">
        <v>800</v>
      </c>
      <c r="O98" s="1329">
        <v>1</v>
      </c>
    </row>
    <row r="99" spans="1:15" s="1329" customFormat="1" ht="24" customHeight="1">
      <c r="A99" s="1340"/>
      <c r="B99" s="1331" t="str">
        <f>"  -  "&amp;M99&amp;", ("&amp;N99&amp;" L/s)"&amp;" Overhung Type"</f>
        <v xml:space="preserve">  -  C1-8KEF-01, (3271 L/s) Overhung Type</v>
      </c>
      <c r="C99" s="801"/>
      <c r="D99" s="801"/>
      <c r="E99" s="1022">
        <f t="shared" si="23"/>
        <v>1</v>
      </c>
      <c r="F99" s="1333" t="s">
        <v>240</v>
      </c>
      <c r="G99" s="1496">
        <v>51545</v>
      </c>
      <c r="H99" s="864">
        <f t="shared" si="24"/>
        <v>51545</v>
      </c>
      <c r="I99" s="1394">
        <f t="shared" si="25"/>
        <v>2577</v>
      </c>
      <c r="J99" s="1395">
        <f t="shared" si="26"/>
        <v>2577</v>
      </c>
      <c r="K99" s="966">
        <f t="shared" si="27"/>
        <v>54122</v>
      </c>
      <c r="L99" s="1022"/>
      <c r="M99" s="1328" t="s">
        <v>2563</v>
      </c>
      <c r="N99" s="1329">
        <v>3271</v>
      </c>
      <c r="O99" s="1329">
        <v>1</v>
      </c>
    </row>
    <row r="100" spans="1:15" s="1329" customFormat="1" ht="24" customHeight="1">
      <c r="A100" s="1340"/>
      <c r="B100" s="1331" t="str">
        <f t="shared" ref="B100:B104" si="28">"  -  "&amp;M100&amp;", ("&amp;N100&amp;" L/s)"&amp;" Overhung Type"</f>
        <v xml:space="preserve">  -  C1-8KEF-02, (2083 L/s) Overhung Type</v>
      </c>
      <c r="C100" s="801"/>
      <c r="D100" s="801"/>
      <c r="E100" s="1022">
        <f t="shared" si="23"/>
        <v>1</v>
      </c>
      <c r="F100" s="1333" t="s">
        <v>240</v>
      </c>
      <c r="G100" s="1496">
        <v>28444</v>
      </c>
      <c r="H100" s="864">
        <v>32626</v>
      </c>
      <c r="I100" s="1394">
        <f t="shared" si="25"/>
        <v>1422</v>
      </c>
      <c r="J100" s="1395">
        <f t="shared" si="26"/>
        <v>1422</v>
      </c>
      <c r="K100" s="966">
        <f t="shared" si="27"/>
        <v>34048</v>
      </c>
      <c r="L100" s="1022"/>
      <c r="M100" s="1328" t="s">
        <v>2564</v>
      </c>
      <c r="N100" s="1329">
        <v>2083</v>
      </c>
      <c r="O100" s="1329">
        <v>1</v>
      </c>
    </row>
    <row r="101" spans="1:15" s="1329" customFormat="1" ht="24" customHeight="1">
      <c r="A101" s="1340"/>
      <c r="B101" s="1331" t="str">
        <f t="shared" si="28"/>
        <v xml:space="preserve">  -  C1-8KEF-03, (1500 L/s) Overhung Type</v>
      </c>
      <c r="C101" s="801"/>
      <c r="D101" s="801"/>
      <c r="E101" s="1022">
        <f t="shared" si="23"/>
        <v>1</v>
      </c>
      <c r="F101" s="1333" t="s">
        <v>240</v>
      </c>
      <c r="G101" s="1496">
        <v>22500</v>
      </c>
      <c r="H101" s="864">
        <f t="shared" si="24"/>
        <v>22500</v>
      </c>
      <c r="I101" s="1394">
        <f t="shared" si="25"/>
        <v>1125</v>
      </c>
      <c r="J101" s="1395">
        <f t="shared" si="26"/>
        <v>1125</v>
      </c>
      <c r="K101" s="966">
        <f t="shared" si="27"/>
        <v>23625</v>
      </c>
      <c r="L101" s="1022"/>
      <c r="M101" s="1328" t="s">
        <v>2565</v>
      </c>
      <c r="N101" s="1329">
        <v>1500</v>
      </c>
      <c r="O101" s="1329">
        <v>1</v>
      </c>
    </row>
    <row r="102" spans="1:15" s="1329" customFormat="1" ht="24" customHeight="1">
      <c r="A102" s="1340"/>
      <c r="B102" s="1331" t="str">
        <f t="shared" si="28"/>
        <v xml:space="preserve">  -  C1-8KEF-04, (19662 L/s) Overhung Type</v>
      </c>
      <c r="C102" s="801"/>
      <c r="D102" s="801"/>
      <c r="E102" s="1022">
        <f t="shared" si="23"/>
        <v>1</v>
      </c>
      <c r="F102" s="1333" t="s">
        <v>240</v>
      </c>
      <c r="G102" s="1496">
        <v>257270</v>
      </c>
      <c r="H102" s="864">
        <f t="shared" si="24"/>
        <v>257270</v>
      </c>
      <c r="I102" s="1394">
        <f t="shared" si="25"/>
        <v>12864</v>
      </c>
      <c r="J102" s="1395">
        <f t="shared" si="26"/>
        <v>12864</v>
      </c>
      <c r="K102" s="966">
        <f t="shared" si="27"/>
        <v>270134</v>
      </c>
      <c r="L102" s="1022"/>
      <c r="M102" s="1328" t="s">
        <v>2566</v>
      </c>
      <c r="N102" s="1329">
        <v>19662</v>
      </c>
      <c r="O102" s="1329">
        <v>1</v>
      </c>
    </row>
    <row r="103" spans="1:15" s="1329" customFormat="1" ht="24" customHeight="1">
      <c r="A103" s="1340"/>
      <c r="B103" s="1331" t="str">
        <f t="shared" si="28"/>
        <v xml:space="preserve">  -  C1-8KEF-05, (1083 L/s) Overhung Type</v>
      </c>
      <c r="C103" s="801"/>
      <c r="D103" s="801"/>
      <c r="E103" s="1022">
        <f t="shared" si="23"/>
        <v>1</v>
      </c>
      <c r="F103" s="1333" t="s">
        <v>240</v>
      </c>
      <c r="G103" s="1496">
        <v>16245</v>
      </c>
      <c r="H103" s="864">
        <f t="shared" si="24"/>
        <v>16245</v>
      </c>
      <c r="I103" s="1394">
        <f t="shared" si="25"/>
        <v>812</v>
      </c>
      <c r="J103" s="1395">
        <f t="shared" si="26"/>
        <v>812</v>
      </c>
      <c r="K103" s="966">
        <f t="shared" si="27"/>
        <v>17057</v>
      </c>
      <c r="L103" s="1022"/>
      <c r="M103" s="1328" t="s">
        <v>2567</v>
      </c>
      <c r="N103" s="1329">
        <v>1083</v>
      </c>
      <c r="O103" s="1329">
        <v>1</v>
      </c>
    </row>
    <row r="104" spans="1:15" s="1329" customFormat="1" ht="24" customHeight="1">
      <c r="A104" s="1340"/>
      <c r="B104" s="1331" t="str">
        <f t="shared" si="28"/>
        <v xml:space="preserve">  -  C1-8KEF-06, (19617 L/s) Overhung Type</v>
      </c>
      <c r="C104" s="801"/>
      <c r="D104" s="801"/>
      <c r="E104" s="1022">
        <f t="shared" si="23"/>
        <v>1</v>
      </c>
      <c r="F104" s="1333" t="s">
        <v>240</v>
      </c>
      <c r="G104" s="1496">
        <v>257270</v>
      </c>
      <c r="H104" s="864">
        <f t="shared" si="24"/>
        <v>257270</v>
      </c>
      <c r="I104" s="1394">
        <f t="shared" si="25"/>
        <v>12864</v>
      </c>
      <c r="J104" s="1395">
        <f t="shared" si="26"/>
        <v>12864</v>
      </c>
      <c r="K104" s="966">
        <f t="shared" si="27"/>
        <v>270134</v>
      </c>
      <c r="L104" s="1022"/>
      <c r="M104" s="1328" t="s">
        <v>2568</v>
      </c>
      <c r="N104" s="1329">
        <v>19617</v>
      </c>
      <c r="O104" s="1329">
        <v>1</v>
      </c>
    </row>
    <row r="105" spans="1:15" s="1329" customFormat="1" ht="24" customHeight="1">
      <c r="A105" s="1340"/>
      <c r="B105" s="1331" t="str">
        <f t="shared" ref="B105:B108" si="29">"  -  "&amp;M105&amp;", ("&amp;N105&amp;" L/s)"</f>
        <v xml:space="preserve">  -  C2-8EAF-03, (11000 L/s)</v>
      </c>
      <c r="C105" s="801"/>
      <c r="D105" s="801"/>
      <c r="E105" s="1022">
        <f t="shared" si="23"/>
        <v>1</v>
      </c>
      <c r="F105" s="1333" t="s">
        <v>240</v>
      </c>
      <c r="G105" s="1496">
        <v>101465</v>
      </c>
      <c r="H105" s="864">
        <f t="shared" si="24"/>
        <v>101465</v>
      </c>
      <c r="I105" s="1394">
        <f t="shared" si="25"/>
        <v>5073</v>
      </c>
      <c r="J105" s="1395">
        <f t="shared" si="26"/>
        <v>5073</v>
      </c>
      <c r="K105" s="966">
        <f t="shared" si="27"/>
        <v>106538</v>
      </c>
      <c r="L105" s="1022"/>
      <c r="M105" s="1328" t="s">
        <v>2569</v>
      </c>
      <c r="N105" s="1329">
        <v>11000</v>
      </c>
      <c r="O105" s="1329">
        <v>1</v>
      </c>
    </row>
    <row r="106" spans="1:15" s="1329" customFormat="1" ht="24" customHeight="1">
      <c r="A106" s="1340"/>
      <c r="B106" s="1331" t="str">
        <f t="shared" si="29"/>
        <v xml:space="preserve">  -  C2-8EAF-04, (800 L/s)</v>
      </c>
      <c r="C106" s="801"/>
      <c r="D106" s="801"/>
      <c r="E106" s="1022">
        <f t="shared" si="23"/>
        <v>1</v>
      </c>
      <c r="F106" s="1333" t="s">
        <v>240</v>
      </c>
      <c r="G106" s="1496">
        <v>12090</v>
      </c>
      <c r="H106" s="864">
        <f t="shared" si="24"/>
        <v>12090</v>
      </c>
      <c r="I106" s="1394">
        <f t="shared" si="25"/>
        <v>605</v>
      </c>
      <c r="J106" s="1395">
        <f t="shared" si="26"/>
        <v>605</v>
      </c>
      <c r="K106" s="966">
        <f t="shared" si="27"/>
        <v>12695</v>
      </c>
      <c r="L106" s="1022"/>
      <c r="M106" s="1328" t="s">
        <v>2570</v>
      </c>
      <c r="N106" s="1329">
        <v>800</v>
      </c>
      <c r="O106" s="1329">
        <v>1</v>
      </c>
    </row>
    <row r="107" spans="1:15" s="1329" customFormat="1" ht="24" customHeight="1">
      <c r="A107" s="1340"/>
      <c r="B107" s="1331" t="str">
        <f t="shared" si="29"/>
        <v xml:space="preserve">  -  C2-8MAF-02, (14160 L/s)</v>
      </c>
      <c r="C107" s="801"/>
      <c r="D107" s="801"/>
      <c r="E107" s="1022">
        <f t="shared" si="23"/>
        <v>1</v>
      </c>
      <c r="F107" s="1333" t="s">
        <v>240</v>
      </c>
      <c r="G107" s="1496">
        <v>297375</v>
      </c>
      <c r="H107" s="864">
        <f t="shared" si="24"/>
        <v>297375</v>
      </c>
      <c r="I107" s="1394">
        <f t="shared" si="25"/>
        <v>14869</v>
      </c>
      <c r="J107" s="1395">
        <f t="shared" si="26"/>
        <v>14869</v>
      </c>
      <c r="K107" s="966">
        <f t="shared" si="27"/>
        <v>312244</v>
      </c>
      <c r="L107" s="1022"/>
      <c r="M107" s="1328" t="s">
        <v>2571</v>
      </c>
      <c r="N107" s="1329">
        <v>14160</v>
      </c>
      <c r="O107" s="1329">
        <v>1</v>
      </c>
    </row>
    <row r="108" spans="1:15" s="1329" customFormat="1" ht="24" customHeight="1">
      <c r="A108" s="1340"/>
      <c r="B108" s="1331" t="str">
        <f t="shared" si="29"/>
        <v xml:space="preserve">  -  C2-8MAF-03, (14160 L/s)</v>
      </c>
      <c r="C108" s="801"/>
      <c r="D108" s="801"/>
      <c r="E108" s="1022">
        <f t="shared" si="23"/>
        <v>1</v>
      </c>
      <c r="F108" s="1333" t="s">
        <v>240</v>
      </c>
      <c r="G108" s="1496">
        <v>297375</v>
      </c>
      <c r="H108" s="864">
        <f t="shared" si="24"/>
        <v>297375</v>
      </c>
      <c r="I108" s="1394">
        <f t="shared" si="25"/>
        <v>14869</v>
      </c>
      <c r="J108" s="1395">
        <f t="shared" si="26"/>
        <v>14869</v>
      </c>
      <c r="K108" s="966">
        <f t="shared" si="27"/>
        <v>312244</v>
      </c>
      <c r="L108" s="1022"/>
      <c r="M108" s="1328" t="s">
        <v>2572</v>
      </c>
      <c r="N108" s="1329">
        <v>14160</v>
      </c>
      <c r="O108" s="1329">
        <v>1</v>
      </c>
    </row>
    <row r="109" spans="1:15" s="1329" customFormat="1" ht="24" customHeight="1">
      <c r="A109" s="1340"/>
      <c r="B109" s="1331"/>
      <c r="C109" s="801"/>
      <c r="D109" s="801"/>
      <c r="E109" s="1022"/>
      <c r="F109" s="1333"/>
      <c r="G109" s="1496"/>
      <c r="H109" s="864"/>
      <c r="I109" s="1394"/>
      <c r="J109" s="1395"/>
      <c r="K109" s="966"/>
      <c r="L109" s="1022"/>
      <c r="M109" s="1328"/>
    </row>
    <row r="110" spans="1:15" s="1329" customFormat="1" ht="24" customHeight="1">
      <c r="A110" s="1340" t="s">
        <v>1955</v>
      </c>
      <c r="B110" s="1331" t="s">
        <v>2573</v>
      </c>
      <c r="C110" s="801"/>
      <c r="D110" s="801"/>
      <c r="E110" s="1022"/>
      <c r="F110" s="1333"/>
      <c r="G110" s="1496"/>
      <c r="H110" s="751"/>
      <c r="I110" s="1392"/>
      <c r="J110" s="1393"/>
      <c r="K110" s="1022"/>
      <c r="L110" s="1022"/>
      <c r="M110" s="1328"/>
    </row>
    <row r="111" spans="1:15" s="1329" customFormat="1" ht="24" customHeight="1">
      <c r="A111" s="1340"/>
      <c r="B111" s="1331" t="str">
        <f t="shared" ref="B111:B118" si="30">"  -  "&amp;M111&amp;", ("&amp;N111&amp;" L/s)"</f>
        <v xml:space="preserve">  -  C1-8SEF-01, (11200 L/s)</v>
      </c>
      <c r="C111" s="801"/>
      <c r="D111" s="801"/>
      <c r="E111" s="1022">
        <f t="shared" ref="E111:E118" si="31">O111</f>
        <v>1</v>
      </c>
      <c r="F111" s="1333" t="s">
        <v>240</v>
      </c>
      <c r="G111" s="1496">
        <v>91559</v>
      </c>
      <c r="H111" s="864">
        <f t="shared" ref="H111:H118" si="32">ROUND(E111*G111,)</f>
        <v>91559</v>
      </c>
      <c r="I111" s="1394">
        <f t="shared" ref="I111:I118" si="33">ROUND(G111*0.05,)</f>
        <v>4578</v>
      </c>
      <c r="J111" s="1395">
        <f t="shared" ref="J111:J118" si="34">ROUND(E111*I111,)</f>
        <v>4578</v>
      </c>
      <c r="K111" s="966">
        <f t="shared" ref="K111:K118" si="35">H111+J111</f>
        <v>96137</v>
      </c>
      <c r="L111" s="1022"/>
      <c r="M111" s="1328" t="s">
        <v>2574</v>
      </c>
      <c r="N111" s="1329">
        <v>11200</v>
      </c>
      <c r="O111" s="1329">
        <v>1</v>
      </c>
    </row>
    <row r="112" spans="1:15" s="1329" customFormat="1" ht="24" customHeight="1">
      <c r="A112" s="1340"/>
      <c r="B112" s="1331" t="str">
        <f t="shared" si="30"/>
        <v xml:space="preserve">  -  C1-8SEF-02 (ST.BY.), (11200 L/s)</v>
      </c>
      <c r="C112" s="801"/>
      <c r="D112" s="801"/>
      <c r="E112" s="1022">
        <f t="shared" si="31"/>
        <v>1</v>
      </c>
      <c r="F112" s="1333" t="s">
        <v>240</v>
      </c>
      <c r="G112" s="1496">
        <v>91559</v>
      </c>
      <c r="H112" s="864">
        <f t="shared" si="32"/>
        <v>91559</v>
      </c>
      <c r="I112" s="1394">
        <f t="shared" si="33"/>
        <v>4578</v>
      </c>
      <c r="J112" s="1395">
        <f t="shared" si="34"/>
        <v>4578</v>
      </c>
      <c r="K112" s="966">
        <f t="shared" si="35"/>
        <v>96137</v>
      </c>
      <c r="L112" s="1022"/>
      <c r="M112" s="1328" t="s">
        <v>2575</v>
      </c>
      <c r="N112" s="1329">
        <v>11200</v>
      </c>
      <c r="O112" s="1329">
        <v>1</v>
      </c>
    </row>
    <row r="113" spans="1:16" s="1329" customFormat="1" ht="24" customHeight="1">
      <c r="A113" s="1340"/>
      <c r="B113" s="1331" t="str">
        <f t="shared" si="30"/>
        <v xml:space="preserve">  -  C1-8SEF-03, (20000 L/s)</v>
      </c>
      <c r="C113" s="801"/>
      <c r="D113" s="801"/>
      <c r="E113" s="1022">
        <f t="shared" si="31"/>
        <v>1</v>
      </c>
      <c r="F113" s="1333" t="s">
        <v>240</v>
      </c>
      <c r="G113" s="1496">
        <v>203012</v>
      </c>
      <c r="H113" s="864">
        <f t="shared" si="32"/>
        <v>203012</v>
      </c>
      <c r="I113" s="1394">
        <f t="shared" si="33"/>
        <v>10151</v>
      </c>
      <c r="J113" s="1395">
        <f t="shared" si="34"/>
        <v>10151</v>
      </c>
      <c r="K113" s="966">
        <f t="shared" si="35"/>
        <v>213163</v>
      </c>
      <c r="L113" s="1022"/>
      <c r="M113" s="1328" t="s">
        <v>2576</v>
      </c>
      <c r="N113" s="1329">
        <v>20000</v>
      </c>
      <c r="O113" s="1329">
        <v>1</v>
      </c>
    </row>
    <row r="114" spans="1:16" s="1329" customFormat="1" ht="24" customHeight="1">
      <c r="A114" s="1340"/>
      <c r="B114" s="1331" t="str">
        <f t="shared" si="30"/>
        <v xml:space="preserve">  -  C1-8SEF-04 (ST.BY.), (20000 L/s)</v>
      </c>
      <c r="C114" s="801"/>
      <c r="D114" s="801"/>
      <c r="E114" s="1022">
        <f t="shared" si="31"/>
        <v>1</v>
      </c>
      <c r="F114" s="1333" t="s">
        <v>240</v>
      </c>
      <c r="G114" s="1496">
        <v>203012</v>
      </c>
      <c r="H114" s="864">
        <f t="shared" si="32"/>
        <v>203012</v>
      </c>
      <c r="I114" s="1394">
        <f t="shared" si="33"/>
        <v>10151</v>
      </c>
      <c r="J114" s="1395">
        <f t="shared" si="34"/>
        <v>10151</v>
      </c>
      <c r="K114" s="966">
        <f t="shared" si="35"/>
        <v>213163</v>
      </c>
      <c r="L114" s="1022"/>
      <c r="M114" s="1328" t="s">
        <v>2577</v>
      </c>
      <c r="N114" s="1329">
        <v>20000</v>
      </c>
      <c r="O114" s="1329">
        <v>1</v>
      </c>
    </row>
    <row r="115" spans="1:16" s="1329" customFormat="1" ht="24" customHeight="1">
      <c r="A115" s="1340"/>
      <c r="B115" s="1331" t="str">
        <f t="shared" si="30"/>
        <v xml:space="preserve">  -  C1-8SEF-05, (20000 L/s)</v>
      </c>
      <c r="C115" s="801"/>
      <c r="D115" s="801"/>
      <c r="E115" s="1022">
        <f t="shared" si="31"/>
        <v>1</v>
      </c>
      <c r="F115" s="1333" t="s">
        <v>240</v>
      </c>
      <c r="G115" s="1496">
        <v>203012</v>
      </c>
      <c r="H115" s="864">
        <f t="shared" si="32"/>
        <v>203012</v>
      </c>
      <c r="I115" s="1394">
        <f t="shared" si="33"/>
        <v>10151</v>
      </c>
      <c r="J115" s="1395">
        <f t="shared" si="34"/>
        <v>10151</v>
      </c>
      <c r="K115" s="966">
        <f t="shared" si="35"/>
        <v>213163</v>
      </c>
      <c r="L115" s="1022"/>
      <c r="M115" s="1328" t="s">
        <v>2578</v>
      </c>
      <c r="N115" s="1329">
        <v>20000</v>
      </c>
      <c r="O115" s="1329">
        <v>1</v>
      </c>
    </row>
    <row r="116" spans="1:16" s="1329" customFormat="1" ht="24" customHeight="1">
      <c r="A116" s="1340"/>
      <c r="B116" s="1331" t="str">
        <f t="shared" si="30"/>
        <v xml:space="preserve">  -  C1-8SEF-06 (ST.BY.), (20000 L/s)</v>
      </c>
      <c r="C116" s="801"/>
      <c r="D116" s="801"/>
      <c r="E116" s="1022">
        <f t="shared" si="31"/>
        <v>1</v>
      </c>
      <c r="F116" s="1333" t="s">
        <v>240</v>
      </c>
      <c r="G116" s="1496">
        <v>203012</v>
      </c>
      <c r="H116" s="864">
        <f t="shared" si="32"/>
        <v>203012</v>
      </c>
      <c r="I116" s="1394">
        <f t="shared" si="33"/>
        <v>10151</v>
      </c>
      <c r="J116" s="1395">
        <f t="shared" si="34"/>
        <v>10151</v>
      </c>
      <c r="K116" s="966">
        <f t="shared" si="35"/>
        <v>213163</v>
      </c>
      <c r="L116" s="1022"/>
      <c r="M116" s="1328" t="s">
        <v>2579</v>
      </c>
      <c r="N116" s="1329">
        <v>20000</v>
      </c>
      <c r="O116" s="1329">
        <v>1</v>
      </c>
    </row>
    <row r="117" spans="1:16" s="1329" customFormat="1" ht="24" customHeight="1">
      <c r="A117" s="1340"/>
      <c r="B117" s="1331" t="str">
        <f t="shared" si="30"/>
        <v xml:space="preserve">  -  C2-8SEF-01, (11200 L/s)</v>
      </c>
      <c r="C117" s="801"/>
      <c r="D117" s="801"/>
      <c r="E117" s="1022">
        <f t="shared" si="31"/>
        <v>1</v>
      </c>
      <c r="F117" s="1333" t="s">
        <v>240</v>
      </c>
      <c r="G117" s="1496">
        <v>91559</v>
      </c>
      <c r="H117" s="864">
        <f t="shared" si="32"/>
        <v>91559</v>
      </c>
      <c r="I117" s="1394">
        <f t="shared" si="33"/>
        <v>4578</v>
      </c>
      <c r="J117" s="1395">
        <f t="shared" si="34"/>
        <v>4578</v>
      </c>
      <c r="K117" s="966">
        <f t="shared" si="35"/>
        <v>96137</v>
      </c>
      <c r="L117" s="1022"/>
      <c r="M117" s="1328" t="s">
        <v>2580</v>
      </c>
      <c r="N117" s="1329">
        <v>11200</v>
      </c>
      <c r="O117" s="1329">
        <v>1</v>
      </c>
    </row>
    <row r="118" spans="1:16" s="1329" customFormat="1" ht="24" customHeight="1">
      <c r="A118" s="1340"/>
      <c r="B118" s="1331" t="str">
        <f t="shared" si="30"/>
        <v xml:space="preserve">  -  C2-8SEF-02 (ST.BY.), (11200 L/s)</v>
      </c>
      <c r="C118" s="801"/>
      <c r="D118" s="801"/>
      <c r="E118" s="1022">
        <f t="shared" si="31"/>
        <v>1</v>
      </c>
      <c r="F118" s="1333" t="s">
        <v>240</v>
      </c>
      <c r="G118" s="1496">
        <v>91559</v>
      </c>
      <c r="H118" s="864">
        <f t="shared" si="32"/>
        <v>91559</v>
      </c>
      <c r="I118" s="1394">
        <f t="shared" si="33"/>
        <v>4578</v>
      </c>
      <c r="J118" s="1395">
        <f t="shared" si="34"/>
        <v>4578</v>
      </c>
      <c r="K118" s="966">
        <f t="shared" si="35"/>
        <v>96137</v>
      </c>
      <c r="L118" s="1022"/>
      <c r="M118" s="1328" t="s">
        <v>2581</v>
      </c>
      <c r="N118" s="1329">
        <v>11200</v>
      </c>
      <c r="O118" s="1329">
        <v>1</v>
      </c>
    </row>
    <row r="119" spans="1:16" s="1329" customFormat="1" ht="24" customHeight="1">
      <c r="A119" s="1340" t="s">
        <v>2173</v>
      </c>
      <c r="B119" s="1331" t="s">
        <v>2582</v>
      </c>
      <c r="C119" s="801"/>
      <c r="D119" s="801"/>
      <c r="E119" s="1022"/>
      <c r="F119" s="1333"/>
      <c r="G119" s="1496"/>
      <c r="H119" s="751"/>
      <c r="I119" s="1392"/>
      <c r="J119" s="1393"/>
      <c r="K119" s="1022"/>
      <c r="L119" s="1022"/>
      <c r="M119" s="1328"/>
      <c r="N119" s="1404"/>
      <c r="O119" s="1404"/>
      <c r="P119" s="1404"/>
    </row>
    <row r="120" spans="1:16" s="1329" customFormat="1" ht="24" customHeight="1">
      <c r="A120" s="1340"/>
      <c r="B120" s="1331" t="str">
        <f t="shared" ref="B120:B129" si="36">"  -  "&amp;M120&amp;", ("&amp;N120&amp;" L/s)"</f>
        <v xml:space="preserve">  -  C1-8MAF-01, (8800 L/s)</v>
      </c>
      <c r="C120" s="801"/>
      <c r="D120" s="801"/>
      <c r="E120" s="1022">
        <f t="shared" ref="E120:E129" si="37">O120</f>
        <v>1</v>
      </c>
      <c r="F120" s="1333" t="s">
        <v>240</v>
      </c>
      <c r="G120" s="1496">
        <v>51470</v>
      </c>
      <c r="H120" s="864">
        <f t="shared" ref="H120:H137" si="38">ROUND(E120*G120,)</f>
        <v>51470</v>
      </c>
      <c r="I120" s="1394">
        <f t="shared" ref="I120:I129" si="39">ROUND(G120*0.05,)</f>
        <v>2574</v>
      </c>
      <c r="J120" s="1395">
        <f t="shared" ref="J120:J129" si="40">ROUND(E120*I120,)</f>
        <v>2574</v>
      </c>
      <c r="K120" s="966">
        <f t="shared" ref="K120:K129" si="41">H120+J120</f>
        <v>54044</v>
      </c>
      <c r="L120" s="1022"/>
      <c r="M120" s="1328" t="s">
        <v>2583</v>
      </c>
      <c r="N120" s="1329">
        <v>8800</v>
      </c>
      <c r="O120" s="1329">
        <v>1</v>
      </c>
    </row>
    <row r="121" spans="1:16" s="1329" customFormat="1" ht="24" customHeight="1">
      <c r="A121" s="1340"/>
      <c r="B121" s="1331" t="str">
        <f t="shared" si="36"/>
        <v xml:space="preserve">  -  C2-8MAF-01, (2360 L/s)</v>
      </c>
      <c r="C121" s="801"/>
      <c r="D121" s="801"/>
      <c r="E121" s="1022">
        <f t="shared" si="37"/>
        <v>1</v>
      </c>
      <c r="F121" s="1333" t="s">
        <v>240</v>
      </c>
      <c r="G121" s="1496">
        <v>38285</v>
      </c>
      <c r="H121" s="864">
        <f t="shared" si="38"/>
        <v>38285</v>
      </c>
      <c r="I121" s="1394">
        <f t="shared" si="39"/>
        <v>1914</v>
      </c>
      <c r="J121" s="1395">
        <f t="shared" si="40"/>
        <v>1914</v>
      </c>
      <c r="K121" s="966">
        <f t="shared" si="41"/>
        <v>40199</v>
      </c>
      <c r="L121" s="1022"/>
      <c r="M121" s="1328" t="s">
        <v>2584</v>
      </c>
      <c r="N121" s="1329">
        <v>2360</v>
      </c>
      <c r="O121" s="1329">
        <v>1</v>
      </c>
    </row>
    <row r="122" spans="1:16" s="1329" customFormat="1" ht="24" customHeight="1">
      <c r="A122" s="1340"/>
      <c r="B122" s="1331" t="str">
        <f t="shared" si="36"/>
        <v xml:space="preserve">  -  C2-8MAF-04, (8800 L/s)</v>
      </c>
      <c r="C122" s="801"/>
      <c r="D122" s="801"/>
      <c r="E122" s="1022">
        <f t="shared" si="37"/>
        <v>1</v>
      </c>
      <c r="F122" s="1333" t="s">
        <v>240</v>
      </c>
      <c r="G122" s="1496">
        <v>51470</v>
      </c>
      <c r="H122" s="864">
        <f t="shared" si="38"/>
        <v>51470</v>
      </c>
      <c r="I122" s="1394">
        <f t="shared" si="39"/>
        <v>2574</v>
      </c>
      <c r="J122" s="1395">
        <f t="shared" si="40"/>
        <v>2574</v>
      </c>
      <c r="K122" s="966">
        <f t="shared" si="41"/>
        <v>54044</v>
      </c>
      <c r="L122" s="1022"/>
      <c r="M122" s="1328" t="s">
        <v>2585</v>
      </c>
      <c r="N122" s="1329">
        <v>8800</v>
      </c>
      <c r="O122" s="1329">
        <v>1</v>
      </c>
    </row>
    <row r="123" spans="1:16" s="1329" customFormat="1" ht="24" customHeight="1">
      <c r="A123" s="1340"/>
      <c r="B123" s="1331" t="str">
        <f t="shared" si="36"/>
        <v xml:space="preserve">  -  C2-8MAF-05, (8800 L/s)</v>
      </c>
      <c r="C123" s="801"/>
      <c r="D123" s="801"/>
      <c r="E123" s="1022">
        <f t="shared" si="37"/>
        <v>1</v>
      </c>
      <c r="F123" s="1333" t="s">
        <v>240</v>
      </c>
      <c r="G123" s="1496">
        <v>51470</v>
      </c>
      <c r="H123" s="864">
        <f t="shared" si="38"/>
        <v>51470</v>
      </c>
      <c r="I123" s="1394">
        <f t="shared" si="39"/>
        <v>2574</v>
      </c>
      <c r="J123" s="1395">
        <f t="shared" si="40"/>
        <v>2574</v>
      </c>
      <c r="K123" s="966">
        <f t="shared" si="41"/>
        <v>54044</v>
      </c>
      <c r="L123" s="1022"/>
      <c r="M123" s="1328" t="s">
        <v>2586</v>
      </c>
      <c r="N123" s="1329">
        <v>8800</v>
      </c>
      <c r="O123" s="1329">
        <v>1</v>
      </c>
    </row>
    <row r="124" spans="1:16" s="1329" customFormat="1" ht="24" customHeight="1">
      <c r="A124" s="1340"/>
      <c r="B124" s="1331" t="str">
        <f t="shared" si="36"/>
        <v xml:space="preserve">  -  C2-8PAF-01, (17400 L/s)</v>
      </c>
      <c r="C124" s="801"/>
      <c r="D124" s="801"/>
      <c r="E124" s="1022">
        <f t="shared" si="37"/>
        <v>1</v>
      </c>
      <c r="F124" s="1333" t="s">
        <v>240</v>
      </c>
      <c r="G124" s="1392">
        <v>169975</v>
      </c>
      <c r="H124" s="864">
        <f t="shared" si="38"/>
        <v>169975</v>
      </c>
      <c r="I124" s="1394">
        <f t="shared" si="39"/>
        <v>8499</v>
      </c>
      <c r="J124" s="1395">
        <f t="shared" si="40"/>
        <v>8499</v>
      </c>
      <c r="K124" s="966">
        <f t="shared" si="41"/>
        <v>178474</v>
      </c>
      <c r="L124" s="1022"/>
      <c r="M124" s="1328" t="s">
        <v>2587</v>
      </c>
      <c r="N124" s="1329">
        <v>17400</v>
      </c>
      <c r="O124" s="1329">
        <v>1</v>
      </c>
    </row>
    <row r="125" spans="1:16" s="1329" customFormat="1" ht="24" customHeight="1">
      <c r="A125" s="1340"/>
      <c r="B125" s="1331" t="str">
        <f t="shared" si="36"/>
        <v xml:space="preserve">  -  C2-8PAF-02, (11000 L/s)</v>
      </c>
      <c r="C125" s="801"/>
      <c r="D125" s="801"/>
      <c r="E125" s="1022">
        <f t="shared" si="37"/>
        <v>1</v>
      </c>
      <c r="F125" s="1333" t="s">
        <v>240</v>
      </c>
      <c r="G125" s="1392">
        <v>85085</v>
      </c>
      <c r="H125" s="864">
        <f t="shared" si="38"/>
        <v>85085</v>
      </c>
      <c r="I125" s="1394">
        <f t="shared" si="39"/>
        <v>4254</v>
      </c>
      <c r="J125" s="1395">
        <f t="shared" si="40"/>
        <v>4254</v>
      </c>
      <c r="K125" s="966">
        <f t="shared" si="41"/>
        <v>89339</v>
      </c>
      <c r="L125" s="1022"/>
      <c r="M125" s="1328" t="s">
        <v>2588</v>
      </c>
      <c r="N125" s="1329">
        <v>11000</v>
      </c>
      <c r="O125" s="1329">
        <v>1</v>
      </c>
    </row>
    <row r="126" spans="1:16" s="1329" customFormat="1" ht="24" customHeight="1">
      <c r="A126" s="1340"/>
      <c r="B126" s="1331" t="str">
        <f t="shared" si="36"/>
        <v xml:space="preserve">  -  C2-8PAF-03, (11000 L/s)</v>
      </c>
      <c r="C126" s="801"/>
      <c r="D126" s="801"/>
      <c r="E126" s="1022">
        <f t="shared" si="37"/>
        <v>1</v>
      </c>
      <c r="F126" s="1333" t="s">
        <v>240</v>
      </c>
      <c r="G126" s="1392">
        <v>85085</v>
      </c>
      <c r="H126" s="864">
        <f t="shared" si="38"/>
        <v>85085</v>
      </c>
      <c r="I126" s="1394">
        <f t="shared" si="39"/>
        <v>4254</v>
      </c>
      <c r="J126" s="1395">
        <f t="shared" si="40"/>
        <v>4254</v>
      </c>
      <c r="K126" s="966">
        <f t="shared" si="41"/>
        <v>89339</v>
      </c>
      <c r="L126" s="1022"/>
      <c r="M126" s="1328" t="s">
        <v>2589</v>
      </c>
      <c r="N126" s="1329">
        <v>11000</v>
      </c>
      <c r="O126" s="1329">
        <v>1</v>
      </c>
    </row>
    <row r="127" spans="1:16" s="1329" customFormat="1" ht="24" customHeight="1">
      <c r="A127" s="1340"/>
      <c r="B127" s="1331" t="str">
        <f t="shared" si="36"/>
        <v xml:space="preserve">  -  C1-8PAF-01, (17400 L/s)</v>
      </c>
      <c r="C127" s="801"/>
      <c r="D127" s="801"/>
      <c r="E127" s="1022">
        <f t="shared" si="37"/>
        <v>1</v>
      </c>
      <c r="F127" s="1333" t="s">
        <v>240</v>
      </c>
      <c r="G127" s="1392">
        <v>169975</v>
      </c>
      <c r="H127" s="864">
        <f t="shared" si="38"/>
        <v>169975</v>
      </c>
      <c r="I127" s="1394">
        <f t="shared" si="39"/>
        <v>8499</v>
      </c>
      <c r="J127" s="1395">
        <f t="shared" si="40"/>
        <v>8499</v>
      </c>
      <c r="K127" s="966">
        <f t="shared" si="41"/>
        <v>178474</v>
      </c>
      <c r="L127" s="1022"/>
      <c r="M127" s="1328" t="s">
        <v>2590</v>
      </c>
      <c r="N127" s="1329">
        <v>17400</v>
      </c>
      <c r="O127" s="1329">
        <v>1</v>
      </c>
    </row>
    <row r="128" spans="1:16" s="1329" customFormat="1" ht="24" customHeight="1">
      <c r="A128" s="1340"/>
      <c r="B128" s="1331" t="str">
        <f t="shared" si="36"/>
        <v xml:space="preserve">  -  C1-8PAF-02, (11000 L/s)</v>
      </c>
      <c r="C128" s="801"/>
      <c r="D128" s="801"/>
      <c r="E128" s="1022">
        <f t="shared" si="37"/>
        <v>1</v>
      </c>
      <c r="F128" s="1333" t="s">
        <v>240</v>
      </c>
      <c r="G128" s="1392">
        <v>85085</v>
      </c>
      <c r="H128" s="864">
        <f t="shared" si="38"/>
        <v>85085</v>
      </c>
      <c r="I128" s="1394">
        <f t="shared" si="39"/>
        <v>4254</v>
      </c>
      <c r="J128" s="1395">
        <f t="shared" si="40"/>
        <v>4254</v>
      </c>
      <c r="K128" s="966">
        <f t="shared" si="41"/>
        <v>89339</v>
      </c>
      <c r="L128" s="1022"/>
      <c r="M128" s="1328" t="s">
        <v>2591</v>
      </c>
      <c r="N128" s="1329">
        <v>11000</v>
      </c>
      <c r="O128" s="1329">
        <v>1</v>
      </c>
    </row>
    <row r="129" spans="1:16" s="1329" customFormat="1" ht="24" customHeight="1">
      <c r="A129" s="1340"/>
      <c r="B129" s="1331" t="str">
        <f t="shared" si="36"/>
        <v xml:space="preserve">  -  C1-8PAF-03, (11000 L/s)</v>
      </c>
      <c r="C129" s="801"/>
      <c r="D129" s="801"/>
      <c r="E129" s="1022">
        <f t="shared" si="37"/>
        <v>1</v>
      </c>
      <c r="F129" s="1333" t="s">
        <v>240</v>
      </c>
      <c r="G129" s="1392">
        <v>85085</v>
      </c>
      <c r="H129" s="864">
        <f t="shared" si="38"/>
        <v>85085</v>
      </c>
      <c r="I129" s="1394">
        <f t="shared" si="39"/>
        <v>4254</v>
      </c>
      <c r="J129" s="1395">
        <f t="shared" si="40"/>
        <v>4254</v>
      </c>
      <c r="K129" s="966">
        <f t="shared" si="41"/>
        <v>89339</v>
      </c>
      <c r="L129" s="1022"/>
      <c r="M129" s="1328" t="s">
        <v>2592</v>
      </c>
      <c r="N129" s="1329">
        <v>11000</v>
      </c>
      <c r="O129" s="1329">
        <v>1</v>
      </c>
    </row>
    <row r="130" spans="1:16" s="1329" customFormat="1" ht="24" customHeight="1">
      <c r="A130" s="1340"/>
      <c r="B130" s="1331"/>
      <c r="C130" s="801"/>
      <c r="D130" s="801"/>
      <c r="E130" s="1022"/>
      <c r="F130" s="1333"/>
      <c r="G130" s="1392"/>
      <c r="H130" s="864"/>
      <c r="I130" s="1394"/>
      <c r="J130" s="1395"/>
      <c r="K130" s="966"/>
      <c r="L130" s="1022"/>
      <c r="M130" s="1328"/>
    </row>
    <row r="131" spans="1:16" s="1329" customFormat="1" ht="24" customHeight="1">
      <c r="A131" s="1340"/>
      <c r="B131" s="1331"/>
      <c r="C131" s="801"/>
      <c r="D131" s="801"/>
      <c r="E131" s="1022"/>
      <c r="F131" s="1333"/>
      <c r="G131" s="1392"/>
      <c r="H131" s="864"/>
      <c r="I131" s="1394"/>
      <c r="J131" s="1395"/>
      <c r="K131" s="966"/>
      <c r="L131" s="1022"/>
      <c r="M131" s="1328"/>
    </row>
    <row r="132" spans="1:16" s="1329" customFormat="1" ht="24" customHeight="1">
      <c r="A132" s="1340" t="s">
        <v>2523</v>
      </c>
      <c r="B132" s="1331" t="s">
        <v>2021</v>
      </c>
      <c r="C132" s="801"/>
      <c r="D132" s="801"/>
      <c r="E132" s="1022"/>
      <c r="F132" s="1333"/>
      <c r="G132" s="1392"/>
      <c r="H132" s="751"/>
      <c r="I132" s="1392"/>
      <c r="J132" s="1393"/>
      <c r="K132" s="1022"/>
      <c r="L132" s="1022"/>
      <c r="M132" s="1328"/>
    </row>
    <row r="133" spans="1:16" s="1329" customFormat="1" ht="24" customHeight="1">
      <c r="A133" s="1340"/>
      <c r="B133" s="1331" t="str">
        <f t="shared" ref="B133:B136" si="42">"  -  "&amp;M133&amp;", ("&amp;N133&amp;" L/s)"</f>
        <v xml:space="preserve">  -  C1-8EAF-01, (115 L/s)</v>
      </c>
      <c r="C133" s="801"/>
      <c r="D133" s="801"/>
      <c r="E133" s="1022">
        <f t="shared" ref="E133:E136" si="43">O133</f>
        <v>1</v>
      </c>
      <c r="F133" s="1333" t="s">
        <v>240</v>
      </c>
      <c r="G133" s="1392">
        <v>1040</v>
      </c>
      <c r="H133" s="864">
        <f t="shared" si="38"/>
        <v>1040</v>
      </c>
      <c r="I133" s="1392">
        <v>500</v>
      </c>
      <c r="J133" s="1395">
        <f t="shared" ref="J133:J137" si="44">ROUND(E133*I133,)</f>
        <v>500</v>
      </c>
      <c r="K133" s="966">
        <f t="shared" ref="K133:K137" si="45">H133+J133</f>
        <v>1540</v>
      </c>
      <c r="L133" s="1022"/>
      <c r="M133" s="1328" t="s">
        <v>2593</v>
      </c>
      <c r="N133" s="1329">
        <v>115</v>
      </c>
      <c r="O133" s="1329">
        <v>1</v>
      </c>
    </row>
    <row r="134" spans="1:16" s="1329" customFormat="1" ht="24" customHeight="1">
      <c r="A134" s="1340"/>
      <c r="B134" s="1331" t="str">
        <f t="shared" si="42"/>
        <v xml:space="preserve">  -  C1-8EAF-02, (115 L/s)</v>
      </c>
      <c r="C134" s="801"/>
      <c r="D134" s="801"/>
      <c r="E134" s="1022">
        <f t="shared" si="43"/>
        <v>1</v>
      </c>
      <c r="F134" s="1333" t="s">
        <v>240</v>
      </c>
      <c r="G134" s="1392">
        <v>1040</v>
      </c>
      <c r="H134" s="864">
        <f t="shared" si="38"/>
        <v>1040</v>
      </c>
      <c r="I134" s="1392">
        <v>500</v>
      </c>
      <c r="J134" s="1395">
        <f t="shared" si="44"/>
        <v>500</v>
      </c>
      <c r="K134" s="966">
        <f t="shared" si="45"/>
        <v>1540</v>
      </c>
      <c r="L134" s="1022"/>
      <c r="M134" s="1328" t="s">
        <v>2594</v>
      </c>
      <c r="N134" s="1329">
        <v>115</v>
      </c>
      <c r="O134" s="1329">
        <v>1</v>
      </c>
    </row>
    <row r="135" spans="1:16" s="1329" customFormat="1" ht="24" customHeight="1">
      <c r="A135" s="1340"/>
      <c r="B135" s="1331" t="str">
        <f t="shared" si="42"/>
        <v xml:space="preserve">  -  C2-8EAF-01, (115 L/s)</v>
      </c>
      <c r="C135" s="801"/>
      <c r="D135" s="801"/>
      <c r="E135" s="1022">
        <f t="shared" si="43"/>
        <v>1</v>
      </c>
      <c r="F135" s="1333" t="s">
        <v>240</v>
      </c>
      <c r="G135" s="1392">
        <v>1040</v>
      </c>
      <c r="H135" s="864">
        <f t="shared" si="38"/>
        <v>1040</v>
      </c>
      <c r="I135" s="1392">
        <v>500</v>
      </c>
      <c r="J135" s="1395">
        <f t="shared" si="44"/>
        <v>500</v>
      </c>
      <c r="K135" s="966">
        <f t="shared" si="45"/>
        <v>1540</v>
      </c>
      <c r="L135" s="1022"/>
      <c r="M135" s="1328" t="s">
        <v>2595</v>
      </c>
      <c r="N135" s="1329">
        <v>115</v>
      </c>
      <c r="O135" s="1329">
        <v>1</v>
      </c>
    </row>
    <row r="136" spans="1:16" s="1329" customFormat="1" ht="24" customHeight="1">
      <c r="A136" s="1340"/>
      <c r="B136" s="1331" t="str">
        <f t="shared" si="42"/>
        <v xml:space="preserve">  -  C2-8EAF-02, (115 L/s)</v>
      </c>
      <c r="C136" s="801"/>
      <c r="D136" s="801"/>
      <c r="E136" s="1022">
        <f t="shared" si="43"/>
        <v>1</v>
      </c>
      <c r="F136" s="1333" t="s">
        <v>240</v>
      </c>
      <c r="G136" s="1392">
        <v>1040</v>
      </c>
      <c r="H136" s="864">
        <f t="shared" si="38"/>
        <v>1040</v>
      </c>
      <c r="I136" s="1392">
        <v>500</v>
      </c>
      <c r="J136" s="1395">
        <f t="shared" si="44"/>
        <v>500</v>
      </c>
      <c r="K136" s="966">
        <f t="shared" si="45"/>
        <v>1540</v>
      </c>
      <c r="L136" s="1022"/>
      <c r="M136" s="1534" t="s">
        <v>2596</v>
      </c>
      <c r="N136" s="1535">
        <v>115</v>
      </c>
      <c r="O136" s="1404">
        <v>1</v>
      </c>
      <c r="P136" s="1536"/>
    </row>
    <row r="137" spans="1:16" s="1329" customFormat="1" ht="24" customHeight="1">
      <c r="A137" s="1340" t="s">
        <v>2597</v>
      </c>
      <c r="B137" s="1331" t="s">
        <v>1996</v>
      </c>
      <c r="C137" s="801"/>
      <c r="D137" s="801"/>
      <c r="E137" s="1022">
        <f>SUM(E97:E130)</f>
        <v>30</v>
      </c>
      <c r="F137" s="1333" t="s">
        <v>240</v>
      </c>
      <c r="G137" s="1392">
        <v>1200</v>
      </c>
      <c r="H137" s="864">
        <f t="shared" si="38"/>
        <v>36000</v>
      </c>
      <c r="I137" s="1392">
        <f>G137*0.3</f>
        <v>360</v>
      </c>
      <c r="J137" s="1395">
        <f t="shared" si="44"/>
        <v>10800</v>
      </c>
      <c r="K137" s="966">
        <f t="shared" si="45"/>
        <v>46800</v>
      </c>
      <c r="L137" s="1022"/>
      <c r="M137" s="1328"/>
    </row>
    <row r="138" spans="1:16" s="886" customFormat="1" ht="24" customHeight="1">
      <c r="A138" s="1166"/>
      <c r="B138" s="2475" t="str">
        <f>"รวมราคารายการที่ "&amp;A95</f>
        <v>รวมราคารายการที่ 7.5</v>
      </c>
      <c r="C138" s="2476"/>
      <c r="D138" s="2476"/>
      <c r="E138" s="1167"/>
      <c r="F138" s="1381"/>
      <c r="G138" s="1168"/>
      <c r="H138" s="1169">
        <f>SUM(H95:H137)</f>
        <v>3550745</v>
      </c>
      <c r="I138" s="1170"/>
      <c r="J138" s="1382">
        <f>SUM(J95:J137)</f>
        <v>188124</v>
      </c>
      <c r="K138" s="1171">
        <f>SUM(K95:K137)</f>
        <v>3738869</v>
      </c>
      <c r="L138" s="1171"/>
      <c r="M138" s="1342"/>
    </row>
    <row r="139" spans="1:16" s="1329" customFormat="1" ht="24" customHeight="1">
      <c r="A139" s="1325" t="s">
        <v>2032</v>
      </c>
      <c r="B139" s="1326" t="s">
        <v>2598</v>
      </c>
      <c r="C139" s="1347"/>
      <c r="D139" s="901"/>
      <c r="E139" s="1019"/>
      <c r="F139" s="1310"/>
      <c r="G139" s="1400"/>
      <c r="H139" s="864"/>
      <c r="I139" s="1400"/>
      <c r="J139" s="1395"/>
      <c r="K139" s="966"/>
      <c r="L139" s="1019"/>
      <c r="M139" s="1328"/>
    </row>
    <row r="140" spans="1:16" s="1329" customFormat="1" ht="24" customHeight="1">
      <c r="A140" s="1330" t="s">
        <v>1960</v>
      </c>
      <c r="B140" s="1331" t="s">
        <v>2130</v>
      </c>
      <c r="C140" s="801"/>
      <c r="D140" s="801"/>
      <c r="E140" s="1022"/>
      <c r="F140" s="1333"/>
      <c r="G140" s="1496"/>
      <c r="H140" s="751"/>
      <c r="I140" s="1392"/>
      <c r="J140" s="1393"/>
      <c r="K140" s="1022"/>
      <c r="L140" s="1022"/>
      <c r="M140" s="1328"/>
    </row>
    <row r="141" spans="1:16" s="1329" customFormat="1" ht="24" customHeight="1">
      <c r="A141" s="1330"/>
      <c r="B141" s="1331" t="s">
        <v>2599</v>
      </c>
      <c r="C141" s="801"/>
      <c r="D141" s="801"/>
      <c r="E141" s="1022">
        <v>1</v>
      </c>
      <c r="F141" s="1333" t="s">
        <v>240</v>
      </c>
      <c r="G141" s="1496">
        <v>540000</v>
      </c>
      <c r="H141" s="1175">
        <f>E141*G141</f>
        <v>540000</v>
      </c>
      <c r="I141" s="1492">
        <f>G141*0.025</f>
        <v>13500</v>
      </c>
      <c r="J141" s="1493">
        <f>I141*E141</f>
        <v>13500</v>
      </c>
      <c r="K141" s="825">
        <f>H141+J141</f>
        <v>553500</v>
      </c>
      <c r="L141" s="1022"/>
      <c r="M141" s="1328"/>
    </row>
    <row r="142" spans="1:16" s="1329" customFormat="1" ht="24" customHeight="1">
      <c r="A142" s="1330"/>
      <c r="B142" s="1331" t="s">
        <v>2600</v>
      </c>
      <c r="C142" s="801"/>
      <c r="D142" s="801"/>
      <c r="E142" s="1022">
        <v>1</v>
      </c>
      <c r="F142" s="1333" t="s">
        <v>240</v>
      </c>
      <c r="G142" s="1496">
        <v>2752600</v>
      </c>
      <c r="H142" s="1175">
        <f>E142*G142</f>
        <v>2752600</v>
      </c>
      <c r="I142" s="1492">
        <f>G142*0.025</f>
        <v>68815</v>
      </c>
      <c r="J142" s="1493">
        <f>I142*E142</f>
        <v>68815</v>
      </c>
      <c r="K142" s="825">
        <f>H142+J142</f>
        <v>2821415</v>
      </c>
      <c r="L142" s="1022"/>
      <c r="M142" s="1328"/>
    </row>
    <row r="143" spans="1:16" s="1329" customFormat="1" ht="24" customHeight="1">
      <c r="A143" s="1330"/>
      <c r="B143" s="1331" t="s">
        <v>2601</v>
      </c>
      <c r="C143" s="801"/>
      <c r="D143" s="801"/>
      <c r="E143" s="1022">
        <v>1</v>
      </c>
      <c r="F143" s="1333" t="s">
        <v>240</v>
      </c>
      <c r="G143" s="1496">
        <v>2752600</v>
      </c>
      <c r="H143" s="1175">
        <f>E143*G143</f>
        <v>2752600</v>
      </c>
      <c r="I143" s="1492">
        <f>G143*0.025</f>
        <v>68815</v>
      </c>
      <c r="J143" s="1493">
        <f>I143*E143</f>
        <v>68815</v>
      </c>
      <c r="K143" s="825">
        <f>H143+J143</f>
        <v>2821415</v>
      </c>
      <c r="L143" s="1022"/>
      <c r="M143" s="1328"/>
    </row>
    <row r="144" spans="1:16" s="1329" customFormat="1" ht="24" customHeight="1">
      <c r="A144" s="1330" t="s">
        <v>1964</v>
      </c>
      <c r="B144" s="1331" t="s">
        <v>1996</v>
      </c>
      <c r="C144" s="801"/>
      <c r="D144" s="801"/>
      <c r="E144" s="1022">
        <v>3</v>
      </c>
      <c r="F144" s="1333" t="s">
        <v>240</v>
      </c>
      <c r="G144" s="1496">
        <v>6000</v>
      </c>
      <c r="H144" s="1175">
        <f>E144*G144</f>
        <v>18000</v>
      </c>
      <c r="I144" s="1392">
        <f>G144*0.3</f>
        <v>1800</v>
      </c>
      <c r="J144" s="1395">
        <f t="shared" ref="J144:J145" si="46">ROUND(E144*I144,)</f>
        <v>5400</v>
      </c>
      <c r="K144" s="966">
        <f t="shared" ref="K144:K145" si="47">H144+J144</f>
        <v>23400</v>
      </c>
      <c r="L144" s="1022"/>
      <c r="M144" s="1328"/>
    </row>
    <row r="145" spans="1:13" s="1329" customFormat="1" ht="24" customHeight="1">
      <c r="A145" s="1330" t="s">
        <v>2033</v>
      </c>
      <c r="B145" s="1331" t="s">
        <v>2134</v>
      </c>
      <c r="C145" s="801"/>
      <c r="D145" s="801"/>
      <c r="E145" s="1022">
        <v>3</v>
      </c>
      <c r="F145" s="1333" t="s">
        <v>240</v>
      </c>
      <c r="G145" s="1392">
        <v>4000</v>
      </c>
      <c r="H145" s="1175">
        <f>E145*G145</f>
        <v>12000</v>
      </c>
      <c r="I145" s="1392">
        <v>400</v>
      </c>
      <c r="J145" s="1395">
        <f t="shared" si="46"/>
        <v>1200</v>
      </c>
      <c r="K145" s="966">
        <f t="shared" si="47"/>
        <v>13200</v>
      </c>
      <c r="L145" s="1022"/>
      <c r="M145" s="1328"/>
    </row>
    <row r="146" spans="1:13" s="1329" customFormat="1" ht="24" customHeight="1">
      <c r="A146" s="1330"/>
      <c r="B146" s="1331" t="s">
        <v>957</v>
      </c>
      <c r="C146" s="801"/>
      <c r="D146" s="801"/>
      <c r="E146" s="1022"/>
      <c r="F146" s="1333"/>
      <c r="G146" s="1392"/>
      <c r="H146" s="751"/>
      <c r="I146" s="1392"/>
      <c r="J146" s="1393"/>
      <c r="K146" s="1022"/>
      <c r="L146" s="1022"/>
      <c r="M146" s="1328"/>
    </row>
    <row r="147" spans="1:13" s="1329" customFormat="1" ht="24" customHeight="1">
      <c r="A147" s="1330"/>
      <c r="B147" s="1331"/>
      <c r="C147" s="801"/>
      <c r="D147" s="801"/>
      <c r="E147" s="1022"/>
      <c r="F147" s="1333"/>
      <c r="G147" s="1392"/>
      <c r="H147" s="751"/>
      <c r="I147" s="1392"/>
      <c r="J147" s="1393"/>
      <c r="K147" s="1022"/>
      <c r="L147" s="1022"/>
      <c r="M147" s="1328"/>
    </row>
    <row r="148" spans="1:13" s="1329" customFormat="1" ht="24" customHeight="1">
      <c r="A148" s="1166"/>
      <c r="B148" s="2475" t="str">
        <f>"รวมราคารายการที่ "&amp;A139</f>
        <v>รวมราคารายการที่ 7.6</v>
      </c>
      <c r="C148" s="2476"/>
      <c r="D148" s="2476"/>
      <c r="E148" s="1167"/>
      <c r="F148" s="1381"/>
      <c r="G148" s="1168"/>
      <c r="H148" s="1169">
        <f>SUM(H139:H147)</f>
        <v>6075200</v>
      </c>
      <c r="I148" s="1170"/>
      <c r="J148" s="1382">
        <f>SUM(J139:J147)</f>
        <v>157730</v>
      </c>
      <c r="K148" s="1171">
        <f>SUM(K139:K147)</f>
        <v>6232930</v>
      </c>
      <c r="L148" s="1171"/>
      <c r="M148" s="1328"/>
    </row>
    <row r="149" spans="1:13" s="1329" customFormat="1" ht="24" customHeight="1">
      <c r="A149" s="1325" t="s">
        <v>1967</v>
      </c>
      <c r="B149" s="1326" t="s">
        <v>2174</v>
      </c>
      <c r="C149" s="801"/>
      <c r="D149" s="801"/>
      <c r="E149" s="1022"/>
      <c r="F149" s="1333"/>
      <c r="G149" s="1392"/>
      <c r="H149" s="751"/>
      <c r="I149" s="1392"/>
      <c r="J149" s="1393"/>
      <c r="K149" s="1022"/>
      <c r="L149" s="1022"/>
      <c r="M149" s="1328"/>
    </row>
    <row r="150" spans="1:13" s="1329" customFormat="1" ht="24" customHeight="1">
      <c r="A150" s="1330" t="s">
        <v>1969</v>
      </c>
      <c r="B150" s="1331" t="s">
        <v>2175</v>
      </c>
      <c r="C150" s="801"/>
      <c r="D150" s="801"/>
      <c r="E150" s="1022"/>
      <c r="F150" s="1333"/>
      <c r="G150" s="1392"/>
      <c r="H150" s="751"/>
      <c r="I150" s="1392"/>
      <c r="J150" s="1393"/>
      <c r="K150" s="1022"/>
      <c r="L150" s="1022"/>
      <c r="M150" s="1328"/>
    </row>
    <row r="151" spans="1:13" s="1329" customFormat="1" ht="24" customHeight="1">
      <c r="A151" s="1330"/>
      <c r="B151" s="1331" t="s">
        <v>2176</v>
      </c>
      <c r="C151" s="801"/>
      <c r="D151" s="801"/>
      <c r="E151" s="1022">
        <v>8</v>
      </c>
      <c r="F151" s="1333" t="s">
        <v>240</v>
      </c>
      <c r="G151" s="1497">
        <v>800</v>
      </c>
      <c r="H151" s="1180">
        <f>E151*G151</f>
        <v>6400</v>
      </c>
      <c r="I151" s="849">
        <v>150</v>
      </c>
      <c r="J151" s="1498">
        <f>I151*E151</f>
        <v>1200</v>
      </c>
      <c r="K151" s="1182">
        <f>H151+J151</f>
        <v>7600</v>
      </c>
      <c r="L151" s="1022"/>
      <c r="M151" s="1328"/>
    </row>
    <row r="152" spans="1:13" s="1329" customFormat="1" ht="24" customHeight="1">
      <c r="A152" s="1330" t="s">
        <v>1974</v>
      </c>
      <c r="B152" s="1331" t="s">
        <v>2177</v>
      </c>
      <c r="C152" s="801"/>
      <c r="D152" s="801"/>
      <c r="E152" s="1022"/>
      <c r="F152" s="1333"/>
      <c r="G152" s="1392"/>
      <c r="H152" s="751"/>
      <c r="I152" s="1392"/>
      <c r="J152" s="1393"/>
      <c r="K152" s="1022"/>
      <c r="L152" s="1022"/>
      <c r="M152" s="1328"/>
    </row>
    <row r="153" spans="1:13" s="1329" customFormat="1" ht="24" customHeight="1">
      <c r="A153" s="1330"/>
      <c r="B153" s="1331" t="s">
        <v>2178</v>
      </c>
      <c r="C153" s="801"/>
      <c r="D153" s="801"/>
      <c r="E153" s="1022">
        <v>2</v>
      </c>
      <c r="F153" s="1333" t="s">
        <v>240</v>
      </c>
      <c r="G153" s="1497">
        <v>2600</v>
      </c>
      <c r="H153" s="1180">
        <f>E153*G153</f>
        <v>5200</v>
      </c>
      <c r="I153" s="849">
        <v>200</v>
      </c>
      <c r="J153" s="1498">
        <f>I153*E153</f>
        <v>400</v>
      </c>
      <c r="K153" s="1182">
        <f>H153+J153</f>
        <v>5600</v>
      </c>
      <c r="L153" s="1022"/>
      <c r="M153" s="1328"/>
    </row>
    <row r="154" spans="1:13" s="1329" customFormat="1" ht="24" customHeight="1">
      <c r="A154" s="1330"/>
      <c r="B154" s="1331" t="s">
        <v>957</v>
      </c>
      <c r="C154" s="801"/>
      <c r="D154" s="801"/>
      <c r="E154" s="1022"/>
      <c r="F154" s="1333"/>
      <c r="G154" s="1392"/>
      <c r="H154" s="751"/>
      <c r="I154" s="1392"/>
      <c r="J154" s="1393"/>
      <c r="K154" s="1022"/>
      <c r="L154" s="1022"/>
      <c r="M154" s="1328"/>
    </row>
    <row r="155" spans="1:13" s="1329" customFormat="1" ht="24" customHeight="1">
      <c r="A155" s="1330"/>
      <c r="B155" s="1331"/>
      <c r="C155" s="801"/>
      <c r="D155" s="801"/>
      <c r="E155" s="1022"/>
      <c r="F155" s="1333"/>
      <c r="G155" s="1392"/>
      <c r="H155" s="751"/>
      <c r="I155" s="1392"/>
      <c r="J155" s="1393"/>
      <c r="K155" s="1022"/>
      <c r="L155" s="1022"/>
      <c r="M155" s="1328"/>
    </row>
    <row r="156" spans="1:13" s="1329" customFormat="1" ht="24" customHeight="1">
      <c r="A156" s="1330"/>
      <c r="B156" s="1331"/>
      <c r="C156" s="801"/>
      <c r="D156" s="801"/>
      <c r="E156" s="1022"/>
      <c r="F156" s="1333"/>
      <c r="G156" s="1392"/>
      <c r="H156" s="751"/>
      <c r="I156" s="1392"/>
      <c r="J156" s="1393"/>
      <c r="K156" s="1022"/>
      <c r="L156" s="1022"/>
      <c r="M156" s="1328"/>
    </row>
    <row r="157" spans="1:13" s="1329" customFormat="1" ht="24" customHeight="1">
      <c r="A157" s="1330"/>
      <c r="B157" s="1331"/>
      <c r="C157" s="801"/>
      <c r="D157" s="801"/>
      <c r="E157" s="1022"/>
      <c r="F157" s="1333"/>
      <c r="G157" s="1392"/>
      <c r="H157" s="751"/>
      <c r="I157" s="1392"/>
      <c r="J157" s="1393"/>
      <c r="K157" s="1022"/>
      <c r="L157" s="1022"/>
      <c r="M157" s="1328"/>
    </row>
    <row r="158" spans="1:13" s="1329" customFormat="1" ht="24" customHeight="1">
      <c r="A158" s="1340"/>
      <c r="B158" s="1331" t="s">
        <v>1102</v>
      </c>
      <c r="C158" s="801"/>
      <c r="D158" s="801"/>
      <c r="E158" s="1022"/>
      <c r="F158" s="1333"/>
      <c r="G158" s="1392"/>
      <c r="H158" s="751"/>
      <c r="I158" s="1392"/>
      <c r="J158" s="1393"/>
      <c r="K158" s="1022"/>
      <c r="L158" s="1022"/>
      <c r="M158" s="1328"/>
    </row>
    <row r="159" spans="1:13" s="1329" customFormat="1" ht="24" customHeight="1">
      <c r="A159" s="1166"/>
      <c r="B159" s="2475" t="str">
        <f>"รวมราคารายการที่ "&amp;A149</f>
        <v>รวมราคารายการที่ 7.7</v>
      </c>
      <c r="C159" s="2476"/>
      <c r="D159" s="2476"/>
      <c r="E159" s="1167"/>
      <c r="F159" s="1381"/>
      <c r="G159" s="1168"/>
      <c r="H159" s="1169">
        <f>SUM(H149:H158)</f>
        <v>11600</v>
      </c>
      <c r="I159" s="1170"/>
      <c r="J159" s="1382">
        <f>SUM(J149:J158)</f>
        <v>1600</v>
      </c>
      <c r="K159" s="1171">
        <f>SUM(K149:K158)</f>
        <v>13200</v>
      </c>
      <c r="L159" s="1171"/>
      <c r="M159" s="1328"/>
    </row>
    <row r="160" spans="1:13" s="1329" customFormat="1" ht="24" customHeight="1">
      <c r="A160" s="1325" t="s">
        <v>2038</v>
      </c>
      <c r="B160" s="1326" t="s">
        <v>1909</v>
      </c>
      <c r="C160" s="901"/>
      <c r="D160" s="901"/>
      <c r="E160" s="1019"/>
      <c r="F160" s="1310"/>
      <c r="G160" s="1400"/>
      <c r="H160" s="864"/>
      <c r="I160" s="1400"/>
      <c r="J160" s="1395"/>
      <c r="K160" s="966"/>
      <c r="L160" s="1019"/>
      <c r="M160" s="1328"/>
    </row>
    <row r="161" spans="1:15" s="1329" customFormat="1" ht="24" customHeight="1">
      <c r="A161" s="1330" t="s">
        <v>1979</v>
      </c>
      <c r="B161" s="1331" t="s">
        <v>1911</v>
      </c>
      <c r="C161" s="801"/>
      <c r="D161" s="801"/>
      <c r="E161" s="1022"/>
      <c r="F161" s="1333"/>
      <c r="G161" s="1392"/>
      <c r="H161" s="751"/>
      <c r="I161" s="1392"/>
      <c r="J161" s="1393"/>
      <c r="K161" s="1022"/>
      <c r="L161" s="1022"/>
      <c r="M161" s="1328"/>
    </row>
    <row r="162" spans="1:15" s="1329" customFormat="1" ht="24" customHeight="1">
      <c r="A162" s="1481"/>
      <c r="B162" s="1331" t="s">
        <v>2028</v>
      </c>
      <c r="C162" s="801"/>
      <c r="D162" s="801"/>
      <c r="E162" s="1019">
        <v>22</v>
      </c>
      <c r="F162" s="1348" t="s">
        <v>438</v>
      </c>
      <c r="G162" s="1479">
        <v>69.5</v>
      </c>
      <c r="H162" s="1499">
        <f>ROUND(E162*G162,)</f>
        <v>1529</v>
      </c>
      <c r="I162" s="1480">
        <v>30</v>
      </c>
      <c r="J162" s="1500">
        <f>ROUND(E162*I162,)</f>
        <v>660</v>
      </c>
      <c r="K162" s="1403">
        <f t="shared" ref="K162:K173" si="48">H162+J162</f>
        <v>2189</v>
      </c>
      <c r="L162" s="1019"/>
      <c r="M162" s="1328"/>
    </row>
    <row r="163" spans="1:15" s="1329" customFormat="1" ht="24" customHeight="1">
      <c r="A163" s="1481"/>
      <c r="B163" s="1331" t="s">
        <v>1822</v>
      </c>
      <c r="C163" s="801"/>
      <c r="D163" s="801"/>
      <c r="E163" s="1019">
        <v>56</v>
      </c>
      <c r="F163" s="1348" t="s">
        <v>438</v>
      </c>
      <c r="G163" s="1257">
        <v>103.5</v>
      </c>
      <c r="H163" s="1499">
        <f t="shared" ref="H163:H173" si="49">ROUND(E163*G163,)</f>
        <v>5796</v>
      </c>
      <c r="I163" s="849">
        <v>45</v>
      </c>
      <c r="J163" s="1500">
        <f t="shared" ref="J163:J173" si="50">ROUND(E163*I163,)</f>
        <v>2520</v>
      </c>
      <c r="K163" s="1403">
        <f t="shared" si="48"/>
        <v>8316</v>
      </c>
      <c r="L163" s="1019"/>
      <c r="M163" s="1328"/>
    </row>
    <row r="164" spans="1:15" s="1329" customFormat="1" ht="24" customHeight="1">
      <c r="A164" s="1481"/>
      <c r="B164" s="1331" t="s">
        <v>1186</v>
      </c>
      <c r="C164" s="801"/>
      <c r="D164" s="801"/>
      <c r="E164" s="1019">
        <v>37</v>
      </c>
      <c r="F164" s="1348" t="s">
        <v>438</v>
      </c>
      <c r="G164" s="1257">
        <v>140</v>
      </c>
      <c r="H164" s="1499">
        <f t="shared" si="49"/>
        <v>5180</v>
      </c>
      <c r="I164" s="849">
        <v>60</v>
      </c>
      <c r="J164" s="1500">
        <f t="shared" si="50"/>
        <v>2220</v>
      </c>
      <c r="K164" s="1403">
        <f t="shared" si="48"/>
        <v>7400</v>
      </c>
      <c r="L164" s="1019"/>
      <c r="M164" s="1328"/>
    </row>
    <row r="165" spans="1:15" s="1329" customFormat="1" ht="24" customHeight="1">
      <c r="A165" s="1481"/>
      <c r="B165" s="1331" t="s">
        <v>1187</v>
      </c>
      <c r="C165" s="801"/>
      <c r="D165" s="801"/>
      <c r="E165" s="1019"/>
      <c r="F165" s="1348" t="s">
        <v>438</v>
      </c>
      <c r="G165" s="1402">
        <v>168</v>
      </c>
      <c r="H165" s="1499">
        <f t="shared" si="49"/>
        <v>0</v>
      </c>
      <c r="I165" s="1496">
        <v>70</v>
      </c>
      <c r="J165" s="1500">
        <f t="shared" si="50"/>
        <v>0</v>
      </c>
      <c r="K165" s="1403">
        <f t="shared" si="48"/>
        <v>0</v>
      </c>
      <c r="L165" s="1019"/>
      <c r="M165" s="1328"/>
    </row>
    <row r="166" spans="1:15" s="1329" customFormat="1" ht="24" customHeight="1">
      <c r="A166" s="1481"/>
      <c r="B166" s="1331" t="s">
        <v>1188</v>
      </c>
      <c r="C166" s="801"/>
      <c r="D166" s="801"/>
      <c r="E166" s="1019">
        <v>30</v>
      </c>
      <c r="F166" s="1348" t="s">
        <v>438</v>
      </c>
      <c r="G166" s="1402">
        <v>225</v>
      </c>
      <c r="H166" s="1499">
        <f t="shared" si="49"/>
        <v>6750</v>
      </c>
      <c r="I166" s="1496">
        <v>95</v>
      </c>
      <c r="J166" s="1500">
        <f t="shared" si="50"/>
        <v>2850</v>
      </c>
      <c r="K166" s="1403">
        <f t="shared" si="48"/>
        <v>9600</v>
      </c>
      <c r="L166" s="1019"/>
      <c r="M166" s="1328"/>
    </row>
    <row r="167" spans="1:15" s="1329" customFormat="1" ht="24" customHeight="1">
      <c r="A167" s="1481"/>
      <c r="B167" s="1331" t="s">
        <v>1189</v>
      </c>
      <c r="C167" s="801"/>
      <c r="D167" s="801"/>
      <c r="E167" s="1019">
        <v>78</v>
      </c>
      <c r="F167" s="1348" t="s">
        <v>438</v>
      </c>
      <c r="G167" s="1400">
        <v>357</v>
      </c>
      <c r="H167" s="1499">
        <f t="shared" si="49"/>
        <v>27846</v>
      </c>
      <c r="I167" s="1400">
        <v>150</v>
      </c>
      <c r="J167" s="1500">
        <f t="shared" si="50"/>
        <v>11700</v>
      </c>
      <c r="K167" s="1403">
        <f t="shared" si="48"/>
        <v>39546</v>
      </c>
      <c r="L167" s="1019"/>
      <c r="M167" s="1328"/>
    </row>
    <row r="168" spans="1:15" s="1329" customFormat="1" ht="24" customHeight="1">
      <c r="A168" s="1481"/>
      <c r="B168" s="1331" t="s">
        <v>1190</v>
      </c>
      <c r="C168" s="801"/>
      <c r="D168" s="801"/>
      <c r="E168" s="1019">
        <v>238</v>
      </c>
      <c r="F168" s="1348" t="s">
        <v>438</v>
      </c>
      <c r="G168" s="1400">
        <v>467</v>
      </c>
      <c r="H168" s="1499">
        <f t="shared" si="49"/>
        <v>111146</v>
      </c>
      <c r="I168" s="1400">
        <v>200</v>
      </c>
      <c r="J168" s="1500">
        <f t="shared" si="50"/>
        <v>47600</v>
      </c>
      <c r="K168" s="1403">
        <f t="shared" si="48"/>
        <v>158746</v>
      </c>
      <c r="L168" s="1019"/>
      <c r="M168" s="1328"/>
    </row>
    <row r="169" spans="1:15" s="1329" customFormat="1" ht="24" customHeight="1">
      <c r="A169" s="1481"/>
      <c r="B169" s="1331" t="s">
        <v>951</v>
      </c>
      <c r="C169" s="801"/>
      <c r="D169" s="801"/>
      <c r="E169" s="1019">
        <v>134</v>
      </c>
      <c r="F169" s="1348" t="s">
        <v>438</v>
      </c>
      <c r="G169" s="1400">
        <v>650</v>
      </c>
      <c r="H169" s="1499">
        <f t="shared" si="49"/>
        <v>87100</v>
      </c>
      <c r="I169" s="1400">
        <v>280</v>
      </c>
      <c r="J169" s="1500">
        <f t="shared" si="50"/>
        <v>37520</v>
      </c>
      <c r="K169" s="1403">
        <f t="shared" si="48"/>
        <v>124620</v>
      </c>
      <c r="L169" s="1019"/>
      <c r="M169" s="1328"/>
    </row>
    <row r="170" spans="1:15" s="1329" customFormat="1" ht="24" customHeight="1">
      <c r="A170" s="1481"/>
      <c r="B170" s="1331" t="s">
        <v>1809</v>
      </c>
      <c r="C170" s="801"/>
      <c r="D170" s="801"/>
      <c r="E170" s="1019">
        <v>1</v>
      </c>
      <c r="F170" s="1348" t="s">
        <v>438</v>
      </c>
      <c r="G170" s="1333">
        <v>1168</v>
      </c>
      <c r="H170" s="864">
        <f t="shared" si="49"/>
        <v>1168</v>
      </c>
      <c r="I170" s="752">
        <v>420</v>
      </c>
      <c r="J170" s="1500">
        <f t="shared" si="50"/>
        <v>420</v>
      </c>
      <c r="K170" s="1403">
        <f t="shared" si="48"/>
        <v>1588</v>
      </c>
      <c r="L170" s="1019"/>
      <c r="M170" s="1328"/>
    </row>
    <row r="171" spans="1:15" s="1329" customFormat="1" ht="24" customHeight="1">
      <c r="A171" s="1481"/>
      <c r="B171" s="1331" t="s">
        <v>1645</v>
      </c>
      <c r="C171" s="801"/>
      <c r="D171" s="801"/>
      <c r="E171" s="1019">
        <v>1</v>
      </c>
      <c r="F171" s="1310" t="s">
        <v>948</v>
      </c>
      <c r="G171" s="1402">
        <f>ROUND(SUM(H162:H170)*50%,)</f>
        <v>123258</v>
      </c>
      <c r="H171" s="1499">
        <f t="shared" si="49"/>
        <v>123258</v>
      </c>
      <c r="I171" s="1402">
        <f>ROUND(G171*0.3,)</f>
        <v>36977</v>
      </c>
      <c r="J171" s="1500">
        <f t="shared" si="50"/>
        <v>36977</v>
      </c>
      <c r="K171" s="1403">
        <f t="shared" si="48"/>
        <v>160235</v>
      </c>
      <c r="L171" s="1019"/>
      <c r="M171" s="1328"/>
    </row>
    <row r="172" spans="1:15" s="1329" customFormat="1" ht="24" customHeight="1">
      <c r="A172" s="1481"/>
      <c r="B172" s="1331" t="s">
        <v>1646</v>
      </c>
      <c r="C172" s="801"/>
      <c r="D172" s="801"/>
      <c r="E172" s="1019">
        <v>1</v>
      </c>
      <c r="F172" s="1310" t="s">
        <v>948</v>
      </c>
      <c r="G172" s="1402">
        <f>ROUND(SUM(H162:H170)*20%,)</f>
        <v>49303</v>
      </c>
      <c r="H172" s="905">
        <f t="shared" si="49"/>
        <v>49303</v>
      </c>
      <c r="I172" s="1402">
        <f>ROUND(SUM(J162:J171)*20%,)</f>
        <v>28493</v>
      </c>
      <c r="J172" s="1500">
        <f t="shared" si="50"/>
        <v>28493</v>
      </c>
      <c r="K172" s="1403">
        <f t="shared" si="48"/>
        <v>77796</v>
      </c>
      <c r="L172" s="1019"/>
      <c r="M172" s="1328"/>
    </row>
    <row r="173" spans="1:15" s="1329" customFormat="1" ht="24" customHeight="1">
      <c r="A173" s="1481"/>
      <c r="B173" s="1331" t="s">
        <v>1647</v>
      </c>
      <c r="C173" s="801"/>
      <c r="D173" s="801"/>
      <c r="E173" s="1019">
        <v>1</v>
      </c>
      <c r="F173" s="1310" t="s">
        <v>948</v>
      </c>
      <c r="G173" s="1402">
        <f>ROUND(SUM(H162:H170)*10%,)</f>
        <v>24652</v>
      </c>
      <c r="H173" s="905">
        <f t="shared" si="49"/>
        <v>24652</v>
      </c>
      <c r="I173" s="1402">
        <f>ROUND(SUM(J162:J171)*10%,)</f>
        <v>14247</v>
      </c>
      <c r="J173" s="1500">
        <f t="shared" si="50"/>
        <v>14247</v>
      </c>
      <c r="K173" s="1403">
        <f t="shared" si="48"/>
        <v>38899</v>
      </c>
      <c r="L173" s="1019"/>
      <c r="M173" s="1328"/>
    </row>
    <row r="174" spans="1:15" s="1329" customFormat="1" ht="24" customHeight="1">
      <c r="A174" s="1481" t="s">
        <v>1980</v>
      </c>
      <c r="B174" s="1331" t="s">
        <v>1917</v>
      </c>
      <c r="C174" s="801"/>
      <c r="D174" s="801"/>
      <c r="E174" s="1019"/>
      <c r="F174" s="1310"/>
      <c r="G174" s="1400"/>
      <c r="H174" s="773"/>
      <c r="I174" s="1400"/>
      <c r="J174" s="1401"/>
      <c r="K174" s="1019"/>
      <c r="L174" s="1019"/>
      <c r="M174" s="1328"/>
    </row>
    <row r="175" spans="1:15" s="1329" customFormat="1" ht="24" customHeight="1">
      <c r="A175" s="1481"/>
      <c r="B175" s="1331" t="s">
        <v>2028</v>
      </c>
      <c r="C175" s="801"/>
      <c r="D175" s="801"/>
      <c r="E175" s="1019">
        <v>11</v>
      </c>
      <c r="F175" s="1348" t="s">
        <v>438</v>
      </c>
      <c r="G175" s="1402">
        <v>12</v>
      </c>
      <c r="H175" s="905">
        <f t="shared" ref="H175:H181" si="51">ROUND(E175*G175,)</f>
        <v>132</v>
      </c>
      <c r="I175" s="1496">
        <v>30</v>
      </c>
      <c r="J175" s="1500">
        <f t="shared" ref="J175:J181" si="52">ROUND(E175*I175,)</f>
        <v>330</v>
      </c>
      <c r="K175" s="1403">
        <f t="shared" ref="K175:K181" si="53">H175+J175</f>
        <v>462</v>
      </c>
      <c r="L175" s="2273" t="s">
        <v>2974</v>
      </c>
      <c r="M175" s="1328"/>
      <c r="N175" s="1720">
        <v>48.23</v>
      </c>
      <c r="O175" s="714">
        <f>ROUND(N175/4,)</f>
        <v>12</v>
      </c>
    </row>
    <row r="176" spans="1:15" s="1329" customFormat="1" ht="24" customHeight="1">
      <c r="A176" s="1481"/>
      <c r="B176" s="1331" t="s">
        <v>1822</v>
      </c>
      <c r="C176" s="801"/>
      <c r="D176" s="801"/>
      <c r="E176" s="1019">
        <v>55</v>
      </c>
      <c r="F176" s="1348" t="s">
        <v>438</v>
      </c>
      <c r="G176" s="1402">
        <v>16</v>
      </c>
      <c r="H176" s="1499">
        <f t="shared" si="51"/>
        <v>880</v>
      </c>
      <c r="I176" s="1496">
        <v>30</v>
      </c>
      <c r="J176" s="1500">
        <f t="shared" si="52"/>
        <v>1650</v>
      </c>
      <c r="K176" s="1403">
        <f t="shared" si="53"/>
        <v>2530</v>
      </c>
      <c r="L176" s="2273" t="s">
        <v>2974</v>
      </c>
      <c r="M176" s="1328"/>
      <c r="N176" s="1329">
        <v>63.7</v>
      </c>
      <c r="O176" s="714">
        <f>ROUND(N176/4,)</f>
        <v>16</v>
      </c>
    </row>
    <row r="177" spans="1:15" s="1329" customFormat="1" ht="24" customHeight="1">
      <c r="A177" s="1481"/>
      <c r="B177" s="1331" t="s">
        <v>2029</v>
      </c>
      <c r="C177" s="801"/>
      <c r="D177" s="801"/>
      <c r="E177" s="1019">
        <v>55</v>
      </c>
      <c r="F177" s="1348" t="s">
        <v>438</v>
      </c>
      <c r="G177" s="1402">
        <v>20</v>
      </c>
      <c r="H177" s="1499">
        <f t="shared" si="51"/>
        <v>1100</v>
      </c>
      <c r="I177" s="1496">
        <v>30</v>
      </c>
      <c r="J177" s="1500">
        <f t="shared" si="52"/>
        <v>1650</v>
      </c>
      <c r="K177" s="1403">
        <f t="shared" si="53"/>
        <v>2750</v>
      </c>
      <c r="L177" s="2273" t="s">
        <v>2974</v>
      </c>
      <c r="M177" s="1328"/>
      <c r="N177" s="1719">
        <v>79.17</v>
      </c>
      <c r="O177" s="714">
        <f>ROUND(N177/4,)</f>
        <v>20</v>
      </c>
    </row>
    <row r="178" spans="1:15" s="1329" customFormat="1" ht="24" customHeight="1">
      <c r="A178" s="1481"/>
      <c r="B178" s="1331" t="s">
        <v>1187</v>
      </c>
      <c r="C178" s="801"/>
      <c r="D178" s="801"/>
      <c r="E178" s="1019">
        <v>4</v>
      </c>
      <c r="F178" s="1348" t="s">
        <v>438</v>
      </c>
      <c r="G178" s="1402">
        <v>26</v>
      </c>
      <c r="H178" s="1499">
        <f t="shared" si="51"/>
        <v>104</v>
      </c>
      <c r="I178" s="1496">
        <v>30</v>
      </c>
      <c r="J178" s="1500">
        <f t="shared" si="52"/>
        <v>120</v>
      </c>
      <c r="K178" s="1403">
        <f t="shared" si="53"/>
        <v>224</v>
      </c>
      <c r="L178" s="2273" t="s">
        <v>2974</v>
      </c>
      <c r="M178" s="1328"/>
      <c r="N178" s="1719">
        <v>103.74</v>
      </c>
      <c r="O178" s="714">
        <f>ROUND(N178/4,)</f>
        <v>26</v>
      </c>
    </row>
    <row r="179" spans="1:15" s="1329" customFormat="1" ht="24" customHeight="1">
      <c r="A179" s="1481"/>
      <c r="B179" s="1331" t="s">
        <v>1645</v>
      </c>
      <c r="C179" s="801"/>
      <c r="D179" s="801"/>
      <c r="E179" s="1019">
        <v>1</v>
      </c>
      <c r="F179" s="1310" t="s">
        <v>948</v>
      </c>
      <c r="G179" s="1402">
        <f>ROUND(SUM(H175:H178)*40%,)</f>
        <v>886</v>
      </c>
      <c r="H179" s="1499">
        <f t="shared" si="51"/>
        <v>886</v>
      </c>
      <c r="I179" s="1402">
        <f>ROUND(G179*0.3,)</f>
        <v>266</v>
      </c>
      <c r="J179" s="1500">
        <f t="shared" si="52"/>
        <v>266</v>
      </c>
      <c r="K179" s="1403">
        <f t="shared" si="53"/>
        <v>1152</v>
      </c>
      <c r="L179" s="1019"/>
      <c r="M179" s="1328"/>
    </row>
    <row r="180" spans="1:15" s="1329" customFormat="1" ht="24" customHeight="1">
      <c r="A180" s="1481"/>
      <c r="B180" s="1331" t="s">
        <v>1646</v>
      </c>
      <c r="C180" s="801"/>
      <c r="D180" s="801"/>
      <c r="E180" s="1019">
        <v>1</v>
      </c>
      <c r="F180" s="1310" t="s">
        <v>948</v>
      </c>
      <c r="G180" s="1402">
        <f>ROUND(SUM(H175:H178)*30%,)</f>
        <v>665</v>
      </c>
      <c r="H180" s="1499">
        <f t="shared" si="51"/>
        <v>665</v>
      </c>
      <c r="I180" s="1402">
        <f>ROUND(G180*0.3,)</f>
        <v>200</v>
      </c>
      <c r="J180" s="1500">
        <f t="shared" si="52"/>
        <v>200</v>
      </c>
      <c r="K180" s="1403">
        <f t="shared" si="53"/>
        <v>865</v>
      </c>
      <c r="L180" s="1019"/>
      <c r="M180" s="1328"/>
    </row>
    <row r="181" spans="1:15" s="1329" customFormat="1" ht="24" customHeight="1">
      <c r="A181" s="1481"/>
      <c r="B181" s="1331" t="s">
        <v>1647</v>
      </c>
      <c r="C181" s="801"/>
      <c r="D181" s="801"/>
      <c r="E181" s="1019">
        <v>1</v>
      </c>
      <c r="F181" s="1310" t="s">
        <v>948</v>
      </c>
      <c r="G181" s="1402">
        <f>ROUND(SUM(H175:H178)*10%,)</f>
        <v>222</v>
      </c>
      <c r="H181" s="1499">
        <f t="shared" si="51"/>
        <v>222</v>
      </c>
      <c r="I181" s="1402">
        <f>ROUND(G181*0.3,)</f>
        <v>67</v>
      </c>
      <c r="J181" s="1500">
        <f t="shared" si="52"/>
        <v>67</v>
      </c>
      <c r="K181" s="1403">
        <f t="shared" si="53"/>
        <v>289</v>
      </c>
      <c r="L181" s="1019"/>
      <c r="M181" s="1328"/>
    </row>
    <row r="182" spans="1:15" s="1329" customFormat="1" ht="24" customHeight="1">
      <c r="A182" s="1481"/>
      <c r="B182" s="1331" t="s">
        <v>957</v>
      </c>
      <c r="C182" s="801"/>
      <c r="D182" s="801"/>
      <c r="E182" s="1019"/>
      <c r="F182" s="1310"/>
      <c r="G182" s="1400"/>
      <c r="H182" s="773"/>
      <c r="I182" s="1400"/>
      <c r="J182" s="1401"/>
      <c r="K182" s="1019"/>
      <c r="L182" s="1019"/>
      <c r="M182" s="1328"/>
    </row>
    <row r="183" spans="1:15" s="886" customFormat="1" ht="24" customHeight="1">
      <c r="A183" s="1330"/>
      <c r="B183" s="1331" t="s">
        <v>958</v>
      </c>
      <c r="C183" s="801"/>
      <c r="D183" s="801"/>
      <c r="E183" s="1022"/>
      <c r="F183" s="1333"/>
      <c r="G183" s="1392"/>
      <c r="H183" s="751"/>
      <c r="I183" s="1392"/>
      <c r="J183" s="1393"/>
      <c r="K183" s="1022"/>
      <c r="L183" s="1022"/>
      <c r="M183" s="1342"/>
    </row>
    <row r="184" spans="1:15" s="1329" customFormat="1" ht="24" customHeight="1">
      <c r="A184" s="1166"/>
      <c r="B184" s="2475" t="str">
        <f>"รวมราคารายการที่ "&amp;A160</f>
        <v>รวมราคารายการที่ 7.8</v>
      </c>
      <c r="C184" s="2476"/>
      <c r="D184" s="2476"/>
      <c r="E184" s="1167"/>
      <c r="F184" s="1381"/>
      <c r="G184" s="1168"/>
      <c r="H184" s="1169">
        <f>SUM(H160:H183)</f>
        <v>447717</v>
      </c>
      <c r="I184" s="1170"/>
      <c r="J184" s="1382">
        <f>SUM(J160:J183)</f>
        <v>189490</v>
      </c>
      <c r="K184" s="1171">
        <f>SUM(K160:K183)</f>
        <v>637207</v>
      </c>
      <c r="L184" s="1171"/>
      <c r="M184" s="1328"/>
    </row>
    <row r="185" spans="1:15" s="1329" customFormat="1" ht="24" customHeight="1">
      <c r="A185" s="1405" t="s">
        <v>2039</v>
      </c>
      <c r="B185" s="1326" t="s">
        <v>1921</v>
      </c>
      <c r="C185" s="1347"/>
      <c r="D185" s="901"/>
      <c r="E185" s="1019"/>
      <c r="F185" s="1310"/>
      <c r="G185" s="1400"/>
      <c r="H185" s="864"/>
      <c r="I185" s="1400"/>
      <c r="J185" s="1395"/>
      <c r="K185" s="966"/>
      <c r="L185" s="1030"/>
      <c r="M185" s="1328"/>
    </row>
    <row r="186" spans="1:15" s="1329" customFormat="1" ht="24" customHeight="1">
      <c r="A186" s="1330" t="s">
        <v>2040</v>
      </c>
      <c r="B186" s="1331" t="s">
        <v>1923</v>
      </c>
      <c r="C186" s="1349"/>
      <c r="D186" s="801"/>
      <c r="E186" s="966"/>
      <c r="F186" s="1249"/>
      <c r="G186" s="1394"/>
      <c r="H186" s="864"/>
      <c r="I186" s="1394"/>
      <c r="J186" s="1395"/>
      <c r="K186" s="966"/>
      <c r="L186" s="966"/>
      <c r="M186" s="1328"/>
    </row>
    <row r="187" spans="1:15" s="1329" customFormat="1" ht="24" customHeight="1">
      <c r="A187" s="1330"/>
      <c r="B187" s="1331" t="s">
        <v>1822</v>
      </c>
      <c r="C187" s="1349"/>
      <c r="D187" s="890"/>
      <c r="E187" s="1019">
        <f>E176</f>
        <v>55</v>
      </c>
      <c r="F187" s="1348" t="s">
        <v>438</v>
      </c>
      <c r="G187" s="1257">
        <v>69</v>
      </c>
      <c r="H187" s="796">
        <f t="shared" ref="H187:H200" si="54">ROUND(E187*G187,)</f>
        <v>3795</v>
      </c>
      <c r="I187" s="849">
        <f>ROUND(20*1*1.3,)</f>
        <v>26</v>
      </c>
      <c r="J187" s="1476">
        <f t="shared" ref="J187:J200" si="55">ROUND(E187*I187,)</f>
        <v>1430</v>
      </c>
      <c r="K187" s="1014">
        <f t="shared" ref="K187:K201" si="56">H187+J187</f>
        <v>5225</v>
      </c>
      <c r="L187" s="1030"/>
      <c r="M187" s="1328"/>
    </row>
    <row r="188" spans="1:15" s="1329" customFormat="1" ht="24" customHeight="1">
      <c r="A188" s="1330"/>
      <c r="B188" s="1331" t="s">
        <v>2029</v>
      </c>
      <c r="C188" s="1349"/>
      <c r="D188" s="890"/>
      <c r="E188" s="1019">
        <f>E177</f>
        <v>55</v>
      </c>
      <c r="F188" s="1348" t="s">
        <v>438</v>
      </c>
      <c r="G188" s="1257">
        <v>92</v>
      </c>
      <c r="H188" s="796">
        <f t="shared" si="54"/>
        <v>5060</v>
      </c>
      <c r="I188" s="849">
        <f>ROUND(20*1.25*1.3,)</f>
        <v>33</v>
      </c>
      <c r="J188" s="1476">
        <f t="shared" si="55"/>
        <v>1815</v>
      </c>
      <c r="K188" s="1014">
        <f t="shared" si="56"/>
        <v>6875</v>
      </c>
      <c r="L188" s="1030"/>
      <c r="M188" s="1328"/>
    </row>
    <row r="189" spans="1:15" s="1329" customFormat="1" ht="24" customHeight="1">
      <c r="A189" s="1330" t="s">
        <v>2183</v>
      </c>
      <c r="B189" s="1331" t="s">
        <v>2031</v>
      </c>
      <c r="C189" s="1349"/>
      <c r="D189" s="890"/>
      <c r="E189" s="966"/>
      <c r="F189" s="1348"/>
      <c r="G189" s="1394"/>
      <c r="H189" s="905"/>
      <c r="I189" s="1406"/>
      <c r="J189" s="1407"/>
      <c r="K189" s="1030"/>
      <c r="L189" s="1030"/>
      <c r="M189" s="1328"/>
    </row>
    <row r="190" spans="1:15" s="1329" customFormat="1" ht="24" customHeight="1">
      <c r="A190" s="1330"/>
      <c r="B190" s="1331" t="s">
        <v>2028</v>
      </c>
      <c r="C190" s="1349"/>
      <c r="D190" s="890"/>
      <c r="E190" s="1019">
        <f>E162</f>
        <v>22</v>
      </c>
      <c r="F190" s="1348" t="s">
        <v>438</v>
      </c>
      <c r="G190" s="1479">
        <v>69</v>
      </c>
      <c r="H190" s="796">
        <f t="shared" si="54"/>
        <v>1518</v>
      </c>
      <c r="I190" s="1480">
        <f>ROUND(20*0.75*1.3,)</f>
        <v>20</v>
      </c>
      <c r="J190" s="1476">
        <f t="shared" si="55"/>
        <v>440</v>
      </c>
      <c r="K190" s="1014">
        <f t="shared" si="56"/>
        <v>1958</v>
      </c>
      <c r="L190" s="1030"/>
      <c r="M190" s="1328"/>
    </row>
    <row r="191" spans="1:15" s="1329" customFormat="1" ht="24" customHeight="1">
      <c r="A191" s="1330"/>
      <c r="B191" s="1331" t="s">
        <v>1822</v>
      </c>
      <c r="C191" s="1349"/>
      <c r="D191" s="801"/>
      <c r="E191" s="1019">
        <f>E163</f>
        <v>56</v>
      </c>
      <c r="F191" s="1249" t="s">
        <v>438</v>
      </c>
      <c r="G191" s="1257">
        <v>85</v>
      </c>
      <c r="H191" s="796">
        <f t="shared" si="54"/>
        <v>4760</v>
      </c>
      <c r="I191" s="849">
        <f>ROUND(20*1*1.3,)</f>
        <v>26</v>
      </c>
      <c r="J191" s="1476">
        <f t="shared" si="55"/>
        <v>1456</v>
      </c>
      <c r="K191" s="1014">
        <f t="shared" si="56"/>
        <v>6216</v>
      </c>
      <c r="L191" s="1030"/>
      <c r="M191" s="1328"/>
    </row>
    <row r="192" spans="1:15" s="1329" customFormat="1" ht="24" customHeight="1">
      <c r="A192" s="1330" t="s">
        <v>2184</v>
      </c>
      <c r="B192" s="1331" t="s">
        <v>2113</v>
      </c>
      <c r="C192" s="1349"/>
      <c r="D192" s="890"/>
      <c r="E192" s="966"/>
      <c r="F192" s="1348"/>
      <c r="G192" s="1394"/>
      <c r="H192" s="905"/>
      <c r="I192" s="1406"/>
      <c r="J192" s="1407"/>
      <c r="K192" s="1030"/>
      <c r="L192" s="1030"/>
      <c r="M192" s="1328"/>
    </row>
    <row r="193" spans="1:13" s="1329" customFormat="1" ht="24" customHeight="1">
      <c r="A193" s="1330"/>
      <c r="B193" s="1331" t="s">
        <v>1186</v>
      </c>
      <c r="C193" s="1349"/>
      <c r="D193" s="801"/>
      <c r="E193" s="1019">
        <f>E164</f>
        <v>37</v>
      </c>
      <c r="F193" s="1249" t="s">
        <v>438</v>
      </c>
      <c r="G193" s="1394">
        <v>108</v>
      </c>
      <c r="H193" s="796">
        <f t="shared" si="54"/>
        <v>3996</v>
      </c>
      <c r="I193" s="1406">
        <v>33</v>
      </c>
      <c r="J193" s="1476">
        <f t="shared" si="55"/>
        <v>1221</v>
      </c>
      <c r="K193" s="1014">
        <f t="shared" si="56"/>
        <v>5217</v>
      </c>
      <c r="L193" s="1030"/>
      <c r="M193" s="1328"/>
    </row>
    <row r="194" spans="1:13" s="1329" customFormat="1" ht="24" customHeight="1">
      <c r="A194" s="1481"/>
      <c r="B194" s="1331" t="s">
        <v>1187</v>
      </c>
      <c r="C194" s="801"/>
      <c r="D194" s="801"/>
      <c r="E194" s="1019">
        <f>E178</f>
        <v>4</v>
      </c>
      <c r="F194" s="1348" t="s">
        <v>438</v>
      </c>
      <c r="G194" s="1394">
        <v>164</v>
      </c>
      <c r="H194" s="796">
        <f t="shared" si="54"/>
        <v>656</v>
      </c>
      <c r="I194" s="1406">
        <v>39</v>
      </c>
      <c r="J194" s="1476">
        <f t="shared" si="55"/>
        <v>156</v>
      </c>
      <c r="K194" s="1014">
        <f t="shared" si="56"/>
        <v>812</v>
      </c>
      <c r="L194" s="1019"/>
      <c r="M194" s="1328"/>
    </row>
    <row r="195" spans="1:13" s="1329" customFormat="1" ht="24" customHeight="1">
      <c r="A195" s="1481"/>
      <c r="B195" s="1331" t="s">
        <v>1188</v>
      </c>
      <c r="C195" s="801"/>
      <c r="D195" s="801"/>
      <c r="E195" s="1019">
        <f>E166</f>
        <v>30</v>
      </c>
      <c r="F195" s="1348" t="s">
        <v>438</v>
      </c>
      <c r="G195" s="1394">
        <v>200</v>
      </c>
      <c r="H195" s="796">
        <f t="shared" si="54"/>
        <v>6000</v>
      </c>
      <c r="I195" s="1406">
        <v>52</v>
      </c>
      <c r="J195" s="1476">
        <f t="shared" si="55"/>
        <v>1560</v>
      </c>
      <c r="K195" s="1014">
        <f t="shared" si="56"/>
        <v>7560</v>
      </c>
      <c r="L195" s="1019"/>
      <c r="M195" s="1328"/>
    </row>
    <row r="196" spans="1:13" s="1329" customFormat="1" ht="24" customHeight="1">
      <c r="A196" s="1481"/>
      <c r="B196" s="1331" t="s">
        <v>1189</v>
      </c>
      <c r="C196" s="801"/>
      <c r="D196" s="801"/>
      <c r="E196" s="1019">
        <f>E167</f>
        <v>78</v>
      </c>
      <c r="F196" s="1348" t="s">
        <v>438</v>
      </c>
      <c r="G196" s="1394">
        <v>256</v>
      </c>
      <c r="H196" s="796">
        <f t="shared" si="54"/>
        <v>19968</v>
      </c>
      <c r="I196" s="1406">
        <v>65</v>
      </c>
      <c r="J196" s="1476">
        <f t="shared" si="55"/>
        <v>5070</v>
      </c>
      <c r="K196" s="1014">
        <f t="shared" si="56"/>
        <v>25038</v>
      </c>
      <c r="L196" s="1019"/>
      <c r="M196" s="1328"/>
    </row>
    <row r="197" spans="1:13" s="1329" customFormat="1" ht="24" customHeight="1">
      <c r="A197" s="1481"/>
      <c r="B197" s="1331" t="s">
        <v>1190</v>
      </c>
      <c r="C197" s="801"/>
      <c r="D197" s="801"/>
      <c r="E197" s="1019">
        <f>E168</f>
        <v>238</v>
      </c>
      <c r="F197" s="1348" t="s">
        <v>438</v>
      </c>
      <c r="G197" s="1394">
        <v>302</v>
      </c>
      <c r="H197" s="796">
        <f t="shared" si="54"/>
        <v>71876</v>
      </c>
      <c r="I197" s="1406">
        <v>78</v>
      </c>
      <c r="J197" s="1476">
        <f t="shared" si="55"/>
        <v>18564</v>
      </c>
      <c r="K197" s="1014">
        <f t="shared" si="56"/>
        <v>90440</v>
      </c>
      <c r="L197" s="1019"/>
      <c r="M197" s="1328"/>
    </row>
    <row r="198" spans="1:13" s="1329" customFormat="1" ht="24" customHeight="1">
      <c r="A198" s="1481"/>
      <c r="B198" s="1331" t="s">
        <v>951</v>
      </c>
      <c r="C198" s="801"/>
      <c r="D198" s="801"/>
      <c r="E198" s="1019">
        <f>E169</f>
        <v>134</v>
      </c>
      <c r="F198" s="1348" t="s">
        <v>438</v>
      </c>
      <c r="G198" s="1394">
        <v>367</v>
      </c>
      <c r="H198" s="796">
        <f t="shared" si="54"/>
        <v>49178</v>
      </c>
      <c r="I198" s="1406">
        <v>104</v>
      </c>
      <c r="J198" s="1476">
        <f t="shared" si="55"/>
        <v>13936</v>
      </c>
      <c r="K198" s="1014">
        <f t="shared" si="56"/>
        <v>63114</v>
      </c>
      <c r="L198" s="1019"/>
      <c r="M198" s="1328"/>
    </row>
    <row r="199" spans="1:13" s="1329" customFormat="1" ht="24" customHeight="1">
      <c r="A199" s="1330" t="s">
        <v>2185</v>
      </c>
      <c r="B199" s="1331" t="s">
        <v>1925</v>
      </c>
      <c r="C199" s="1349"/>
      <c r="D199" s="890"/>
      <c r="E199" s="966"/>
      <c r="F199" s="1348"/>
      <c r="G199" s="1394"/>
      <c r="H199" s="905"/>
      <c r="I199" s="1406"/>
      <c r="J199" s="1407"/>
      <c r="K199" s="1030"/>
      <c r="L199" s="1030"/>
      <c r="M199" s="1328"/>
    </row>
    <row r="200" spans="1:13" s="1329" customFormat="1" ht="24" customHeight="1">
      <c r="A200" s="1481"/>
      <c r="B200" s="1331" t="s">
        <v>1809</v>
      </c>
      <c r="C200" s="801"/>
      <c r="D200" s="801"/>
      <c r="E200" s="1019"/>
      <c r="F200" s="1348" t="s">
        <v>438</v>
      </c>
      <c r="G200" s="1400">
        <v>465</v>
      </c>
      <c r="H200" s="796">
        <f t="shared" si="54"/>
        <v>0</v>
      </c>
      <c r="I200" s="1400">
        <v>465</v>
      </c>
      <c r="J200" s="1476">
        <f t="shared" si="55"/>
        <v>0</v>
      </c>
      <c r="K200" s="1014">
        <f t="shared" si="56"/>
        <v>0</v>
      </c>
      <c r="L200" s="1019"/>
      <c r="M200" s="1328"/>
    </row>
    <row r="201" spans="1:13" s="1329" customFormat="1" ht="24" customHeight="1">
      <c r="A201" s="1330"/>
      <c r="B201" s="1331" t="s">
        <v>957</v>
      </c>
      <c r="C201" s="1349"/>
      <c r="D201" s="890"/>
      <c r="E201" s="966"/>
      <c r="F201" s="1348"/>
      <c r="G201" s="1394"/>
      <c r="H201" s="905"/>
      <c r="I201" s="1406"/>
      <c r="J201" s="1407"/>
      <c r="K201" s="1014">
        <f t="shared" si="56"/>
        <v>0</v>
      </c>
      <c r="L201" s="1030"/>
      <c r="M201" s="1328"/>
    </row>
    <row r="202" spans="1:13" s="1329" customFormat="1" ht="24" customHeight="1">
      <c r="A202" s="1481"/>
      <c r="B202" s="1331" t="s">
        <v>958</v>
      </c>
      <c r="C202" s="801"/>
      <c r="D202" s="801"/>
      <c r="E202" s="1019"/>
      <c r="F202" s="1348"/>
      <c r="G202" s="1394"/>
      <c r="H202" s="796"/>
      <c r="I202" s="1406"/>
      <c r="J202" s="1476"/>
      <c r="K202" s="1014"/>
      <c r="L202" s="1019"/>
      <c r="M202" s="1328"/>
    </row>
    <row r="203" spans="1:13" s="1329" customFormat="1" ht="24" customHeight="1">
      <c r="A203" s="1481"/>
      <c r="B203" s="1331"/>
      <c r="C203" s="801"/>
      <c r="D203" s="801"/>
      <c r="E203" s="1019"/>
      <c r="F203" s="1348"/>
      <c r="G203" s="1406"/>
      <c r="H203" s="796"/>
      <c r="I203" s="1406"/>
      <c r="J203" s="1476"/>
      <c r="K203" s="1014"/>
      <c r="L203" s="1019"/>
      <c r="M203" s="1328"/>
    </row>
    <row r="204" spans="1:13" s="1329" customFormat="1" ht="24" customHeight="1">
      <c r="A204" s="1481"/>
      <c r="B204" s="1331"/>
      <c r="C204" s="801"/>
      <c r="D204" s="801"/>
      <c r="E204" s="1019"/>
      <c r="F204" s="1348"/>
      <c r="G204" s="1406"/>
      <c r="H204" s="796"/>
      <c r="I204" s="1406"/>
      <c r="J204" s="1476"/>
      <c r="K204" s="1014"/>
      <c r="L204" s="1019"/>
      <c r="M204" s="1328"/>
    </row>
    <row r="205" spans="1:13" s="1329" customFormat="1" ht="24" customHeight="1">
      <c r="A205" s="1481"/>
      <c r="B205" s="1331"/>
      <c r="C205" s="801"/>
      <c r="D205" s="801"/>
      <c r="E205" s="1019"/>
      <c r="F205" s="1348"/>
      <c r="G205" s="1406"/>
      <c r="H205" s="796"/>
      <c r="I205" s="1406"/>
      <c r="J205" s="1476"/>
      <c r="K205" s="1014"/>
      <c r="L205" s="1019"/>
      <c r="M205" s="1328"/>
    </row>
    <row r="206" spans="1:13" s="1329" customFormat="1" ht="24" customHeight="1">
      <c r="A206" s="1481"/>
      <c r="B206" s="1331"/>
      <c r="C206" s="801"/>
      <c r="D206" s="801"/>
      <c r="E206" s="1019"/>
      <c r="F206" s="1348"/>
      <c r="G206" s="1406"/>
      <c r="H206" s="796"/>
      <c r="I206" s="1406"/>
      <c r="J206" s="1476"/>
      <c r="K206" s="1014"/>
      <c r="L206" s="1019"/>
      <c r="M206" s="1328"/>
    </row>
    <row r="207" spans="1:13" s="1329" customFormat="1" ht="24" customHeight="1">
      <c r="A207" s="1481"/>
      <c r="B207" s="1331"/>
      <c r="C207" s="801"/>
      <c r="D207" s="801"/>
      <c r="E207" s="1019"/>
      <c r="F207" s="1348"/>
      <c r="G207" s="1406"/>
      <c r="H207" s="796"/>
      <c r="I207" s="1406"/>
      <c r="J207" s="1476"/>
      <c r="K207" s="1014"/>
      <c r="L207" s="1019"/>
      <c r="M207" s="1328"/>
    </row>
    <row r="208" spans="1:13" s="1329" customFormat="1" ht="24" customHeight="1">
      <c r="A208" s="1481"/>
      <c r="B208" s="1331"/>
      <c r="C208" s="801"/>
      <c r="D208" s="801"/>
      <c r="E208" s="1019"/>
      <c r="F208" s="1348"/>
      <c r="G208" s="1400"/>
      <c r="H208" s="796"/>
      <c r="I208" s="1400"/>
      <c r="J208" s="1476"/>
      <c r="K208" s="1014"/>
      <c r="L208" s="1019"/>
      <c r="M208" s="1328"/>
    </row>
    <row r="209" spans="1:13" s="1329" customFormat="1" ht="24" customHeight="1">
      <c r="A209" s="1166"/>
      <c r="B209" s="2475" t="str">
        <f>"รวมราคารายการที่ "&amp;A185</f>
        <v>รวมราคารายการที่ 7.9</v>
      </c>
      <c r="C209" s="2476"/>
      <c r="D209" s="2476"/>
      <c r="E209" s="1167"/>
      <c r="F209" s="1381"/>
      <c r="G209" s="1168"/>
      <c r="H209" s="1169">
        <f>SUM(H185:H208)</f>
        <v>166807</v>
      </c>
      <c r="I209" s="1170"/>
      <c r="J209" s="1382">
        <f>SUM(J185:J208)</f>
        <v>45648</v>
      </c>
      <c r="K209" s="1171">
        <f>SUM(K185:K208)</f>
        <v>212455</v>
      </c>
      <c r="L209" s="1171"/>
      <c r="M209" s="1328"/>
    </row>
    <row r="210" spans="1:13" s="1329" customFormat="1" ht="24" customHeight="1">
      <c r="A210" s="1325" t="s">
        <v>2065</v>
      </c>
      <c r="B210" s="1326" t="s">
        <v>1927</v>
      </c>
      <c r="C210" s="1347"/>
      <c r="D210" s="901"/>
      <c r="E210" s="1019"/>
      <c r="F210" s="1310"/>
      <c r="G210" s="1400"/>
      <c r="H210" s="864"/>
      <c r="I210" s="1400"/>
      <c r="J210" s="1395"/>
      <c r="K210" s="966"/>
      <c r="L210" s="1030"/>
      <c r="M210" s="1328"/>
    </row>
    <row r="211" spans="1:13" s="1329" customFormat="1" ht="24" customHeight="1">
      <c r="A211" s="1330" t="s">
        <v>2067</v>
      </c>
      <c r="B211" s="1331" t="s">
        <v>1929</v>
      </c>
      <c r="C211" s="1349"/>
      <c r="D211" s="801"/>
      <c r="E211" s="966"/>
      <c r="F211" s="1249"/>
      <c r="G211" s="1394"/>
      <c r="H211" s="864"/>
      <c r="I211" s="1394"/>
      <c r="J211" s="1395"/>
      <c r="K211" s="966"/>
      <c r="L211" s="966"/>
      <c r="M211" s="1328"/>
    </row>
    <row r="212" spans="1:13" s="1329" customFormat="1" ht="24" customHeight="1">
      <c r="A212" s="791"/>
      <c r="B212" s="1127" t="s">
        <v>1184</v>
      </c>
      <c r="C212" s="1233"/>
      <c r="D212" s="792"/>
      <c r="E212" s="1501">
        <f>E88*2</f>
        <v>32</v>
      </c>
      <c r="F212" s="1502" t="s">
        <v>240</v>
      </c>
      <c r="G212" s="1503">
        <v>880</v>
      </c>
      <c r="H212" s="1499">
        <f t="shared" ref="H212:H216" si="57">ROUND(E212*G212,)</f>
        <v>28160</v>
      </c>
      <c r="I212" s="1480">
        <v>150</v>
      </c>
      <c r="J212" s="1500">
        <f t="shared" ref="J212:J216" si="58">ROUND(E212*I212,)</f>
        <v>4800</v>
      </c>
      <c r="K212" s="1403">
        <f t="shared" ref="K212:K216" si="59">H212+J212</f>
        <v>32960</v>
      </c>
      <c r="L212" s="2273" t="s">
        <v>2974</v>
      </c>
      <c r="M212" s="1328"/>
    </row>
    <row r="213" spans="1:13" s="1329" customFormat="1" ht="24" customHeight="1">
      <c r="A213" s="791"/>
      <c r="B213" s="1127" t="s">
        <v>1185</v>
      </c>
      <c r="C213" s="1233"/>
      <c r="D213" s="792"/>
      <c r="E213" s="1345"/>
      <c r="F213" s="1140" t="s">
        <v>240</v>
      </c>
      <c r="G213" s="1504">
        <v>1316</v>
      </c>
      <c r="H213" s="796">
        <f t="shared" si="57"/>
        <v>0</v>
      </c>
      <c r="I213" s="849">
        <v>200</v>
      </c>
      <c r="J213" s="1476">
        <f t="shared" si="58"/>
        <v>0</v>
      </c>
      <c r="K213" s="1014">
        <f t="shared" si="59"/>
        <v>0</v>
      </c>
      <c r="L213" s="2273" t="s">
        <v>2974</v>
      </c>
      <c r="M213" s="1328"/>
    </row>
    <row r="214" spans="1:13" s="1329" customFormat="1" ht="24" customHeight="1">
      <c r="A214" s="791"/>
      <c r="B214" s="1127" t="s">
        <v>1186</v>
      </c>
      <c r="C214" s="1233"/>
      <c r="D214" s="792"/>
      <c r="E214" s="1345">
        <f>E90*2</f>
        <v>16</v>
      </c>
      <c r="F214" s="1140" t="s">
        <v>240</v>
      </c>
      <c r="G214" s="1504">
        <v>1984</v>
      </c>
      <c r="H214" s="796">
        <f t="shared" si="57"/>
        <v>31744</v>
      </c>
      <c r="I214" s="849">
        <v>250</v>
      </c>
      <c r="J214" s="1476">
        <f t="shared" si="58"/>
        <v>4000</v>
      </c>
      <c r="K214" s="1014">
        <f t="shared" si="59"/>
        <v>35744</v>
      </c>
      <c r="L214" s="2273" t="s">
        <v>2974</v>
      </c>
      <c r="M214" s="1328"/>
    </row>
    <row r="215" spans="1:13" s="1329" customFormat="1" ht="24" customHeight="1">
      <c r="A215" s="791"/>
      <c r="B215" s="1127" t="s">
        <v>1187</v>
      </c>
      <c r="C215" s="1233"/>
      <c r="D215" s="792"/>
      <c r="E215" s="1345"/>
      <c r="F215" s="1140" t="s">
        <v>240</v>
      </c>
      <c r="G215" s="1504">
        <v>2610</v>
      </c>
      <c r="H215" s="796">
        <f t="shared" si="57"/>
        <v>0</v>
      </c>
      <c r="I215" s="849">
        <v>300</v>
      </c>
      <c r="J215" s="1476">
        <f t="shared" si="58"/>
        <v>0</v>
      </c>
      <c r="K215" s="1014">
        <f t="shared" si="59"/>
        <v>0</v>
      </c>
      <c r="L215" s="2273" t="s">
        <v>2974</v>
      </c>
      <c r="M215" s="1328"/>
    </row>
    <row r="216" spans="1:13" s="1329" customFormat="1" ht="24" customHeight="1">
      <c r="A216" s="791"/>
      <c r="B216" s="1127" t="s">
        <v>1188</v>
      </c>
      <c r="C216" s="1233"/>
      <c r="D216" s="792"/>
      <c r="E216" s="1345"/>
      <c r="F216" s="1140" t="s">
        <v>240</v>
      </c>
      <c r="G216" s="1504">
        <v>4040</v>
      </c>
      <c r="H216" s="796">
        <f t="shared" si="57"/>
        <v>0</v>
      </c>
      <c r="I216" s="849">
        <v>400</v>
      </c>
      <c r="J216" s="1476">
        <f t="shared" si="58"/>
        <v>0</v>
      </c>
      <c r="K216" s="1014">
        <f t="shared" si="59"/>
        <v>0</v>
      </c>
      <c r="L216" s="2273" t="s">
        <v>2974</v>
      </c>
      <c r="M216" s="1328"/>
    </row>
    <row r="217" spans="1:13" s="1329" customFormat="1" ht="24" customHeight="1">
      <c r="A217" s="1330" t="s">
        <v>2073</v>
      </c>
      <c r="B217" s="1331" t="s">
        <v>1942</v>
      </c>
      <c r="C217" s="1349"/>
      <c r="D217" s="890"/>
      <c r="E217" s="966"/>
      <c r="F217" s="1348"/>
      <c r="G217" s="1394"/>
      <c r="H217" s="905"/>
      <c r="I217" s="1406"/>
      <c r="J217" s="1407"/>
      <c r="K217" s="1030"/>
      <c r="L217" s="1030"/>
      <c r="M217" s="1328"/>
    </row>
    <row r="218" spans="1:13" s="1329" customFormat="1" ht="24" customHeight="1">
      <c r="A218" s="1330"/>
      <c r="B218" s="1331" t="s">
        <v>1184</v>
      </c>
      <c r="C218" s="1349"/>
      <c r="D218" s="890"/>
      <c r="E218" s="966"/>
      <c r="F218" s="1348" t="s">
        <v>240</v>
      </c>
      <c r="G218" s="1394"/>
      <c r="H218" s="905"/>
      <c r="I218" s="1406"/>
      <c r="J218" s="1395"/>
      <c r="K218" s="1030"/>
      <c r="L218" s="1030"/>
      <c r="M218" s="1328"/>
    </row>
    <row r="219" spans="1:13" s="1329" customFormat="1" ht="24" customHeight="1">
      <c r="A219" s="1330"/>
      <c r="B219" s="1331" t="s">
        <v>1185</v>
      </c>
      <c r="C219" s="1349"/>
      <c r="D219" s="890"/>
      <c r="E219" s="966"/>
      <c r="F219" s="1348" t="s">
        <v>240</v>
      </c>
      <c r="G219" s="1394"/>
      <c r="H219" s="905"/>
      <c r="I219" s="1406"/>
      <c r="J219" s="1407"/>
      <c r="K219" s="1030"/>
      <c r="L219" s="1030"/>
      <c r="M219" s="1328"/>
    </row>
    <row r="220" spans="1:13" s="1329" customFormat="1" ht="24" customHeight="1">
      <c r="A220" s="1330"/>
      <c r="B220" s="1331" t="s">
        <v>1186</v>
      </c>
      <c r="C220" s="1349"/>
      <c r="D220" s="890"/>
      <c r="E220" s="966">
        <f>E214</f>
        <v>16</v>
      </c>
      <c r="F220" s="1348" t="s">
        <v>240</v>
      </c>
      <c r="G220" s="1394">
        <f>3700*0.5</f>
        <v>1850</v>
      </c>
      <c r="H220" s="796">
        <f t="shared" ref="H220" si="60">ROUND(E220*G220,)</f>
        <v>29600</v>
      </c>
      <c r="I220" s="849">
        <v>250</v>
      </c>
      <c r="J220" s="1476">
        <f t="shared" ref="J220" si="61">ROUND(E220*I220,)</f>
        <v>4000</v>
      </c>
      <c r="K220" s="1014">
        <f t="shared" ref="K220" si="62">H220+J220</f>
        <v>33600</v>
      </c>
      <c r="L220" s="1030"/>
      <c r="M220" s="1328"/>
    </row>
    <row r="221" spans="1:13" s="1329" customFormat="1" ht="24" customHeight="1">
      <c r="A221" s="1330"/>
      <c r="B221" s="1127" t="s">
        <v>1187</v>
      </c>
      <c r="C221" s="1233"/>
      <c r="D221" s="792"/>
      <c r="E221" s="1345"/>
      <c r="F221" s="1140" t="s">
        <v>240</v>
      </c>
      <c r="G221" s="1394"/>
      <c r="H221" s="905"/>
      <c r="I221" s="1406"/>
      <c r="J221" s="1407"/>
      <c r="K221" s="1030"/>
      <c r="L221" s="1030"/>
      <c r="M221" s="1328"/>
    </row>
    <row r="222" spans="1:13" s="1329" customFormat="1" ht="24" customHeight="1">
      <c r="A222" s="1330"/>
      <c r="B222" s="1127" t="s">
        <v>1188</v>
      </c>
      <c r="C222" s="1233"/>
      <c r="D222" s="792"/>
      <c r="E222" s="1345"/>
      <c r="F222" s="1140" t="s">
        <v>240</v>
      </c>
      <c r="G222" s="1394"/>
      <c r="H222" s="905"/>
      <c r="I222" s="1406"/>
      <c r="J222" s="1407"/>
      <c r="K222" s="1030"/>
      <c r="L222" s="1030"/>
      <c r="M222" s="1328"/>
    </row>
    <row r="223" spans="1:13" s="1329" customFormat="1" ht="24" customHeight="1">
      <c r="A223" s="1330" t="s">
        <v>2074</v>
      </c>
      <c r="B223" s="1331" t="s">
        <v>1656</v>
      </c>
      <c r="C223" s="1349"/>
      <c r="D223" s="890"/>
      <c r="E223" s="966"/>
      <c r="F223" s="1348"/>
      <c r="G223" s="1394"/>
      <c r="H223" s="905"/>
      <c r="I223" s="1406"/>
      <c r="J223" s="1407"/>
      <c r="K223" s="1030"/>
      <c r="L223" s="1030"/>
      <c r="M223" s="1328"/>
    </row>
    <row r="224" spans="1:13" s="1329" customFormat="1" ht="24" customHeight="1">
      <c r="A224" s="1330"/>
      <c r="B224" s="1331" t="s">
        <v>1185</v>
      </c>
      <c r="C224" s="1349"/>
      <c r="D224" s="890"/>
      <c r="E224" s="966"/>
      <c r="F224" s="906" t="s">
        <v>240</v>
      </c>
      <c r="G224" s="1394"/>
      <c r="H224" s="905"/>
      <c r="I224" s="1406"/>
      <c r="J224" s="1395"/>
      <c r="K224" s="1030"/>
      <c r="L224" s="1019"/>
      <c r="M224" s="1328"/>
    </row>
    <row r="225" spans="1:13" s="1329" customFormat="1" ht="24" customHeight="1">
      <c r="A225" s="1330" t="s">
        <v>2076</v>
      </c>
      <c r="B225" s="1331" t="s">
        <v>1940</v>
      </c>
      <c r="C225" s="1349"/>
      <c r="D225" s="890"/>
      <c r="E225" s="966"/>
      <c r="F225" s="906"/>
      <c r="G225" s="1394"/>
      <c r="H225" s="905"/>
      <c r="I225" s="1406"/>
      <c r="J225" s="1407"/>
      <c r="K225" s="1030"/>
      <c r="L225" s="1030"/>
      <c r="M225" s="1328"/>
    </row>
    <row r="226" spans="1:13" s="1329" customFormat="1" ht="24" customHeight="1">
      <c r="A226" s="791"/>
      <c r="B226" s="1127" t="s">
        <v>1184</v>
      </c>
      <c r="C226" s="1233"/>
      <c r="D226" s="792"/>
      <c r="E226" s="1501"/>
      <c r="F226" s="1548" t="s">
        <v>240</v>
      </c>
      <c r="G226" s="1479">
        <v>350</v>
      </c>
      <c r="H226" s="1499">
        <f t="shared" ref="H226:H229" si="63">ROUND(E226*G226,)</f>
        <v>0</v>
      </c>
      <c r="I226" s="1480">
        <v>150</v>
      </c>
      <c r="J226" s="1500">
        <f t="shared" ref="J226:J229" si="64">ROUND(E226*I226,)</f>
        <v>0</v>
      </c>
      <c r="K226" s="1403">
        <f t="shared" ref="K226:K229" si="65">H226+J226</f>
        <v>0</v>
      </c>
      <c r="L226" s="1014"/>
      <c r="M226" s="1328"/>
    </row>
    <row r="227" spans="1:13" s="1329" customFormat="1" ht="24" customHeight="1">
      <c r="A227" s="791"/>
      <c r="B227" s="1127" t="s">
        <v>1186</v>
      </c>
      <c r="C227" s="1233"/>
      <c r="D227" s="792"/>
      <c r="E227" s="1345">
        <f>E220/2</f>
        <v>8</v>
      </c>
      <c r="F227" s="1549" t="s">
        <v>240</v>
      </c>
      <c r="G227" s="1257">
        <v>1084</v>
      </c>
      <c r="H227" s="796">
        <f t="shared" si="63"/>
        <v>8672</v>
      </c>
      <c r="I227" s="797">
        <v>250</v>
      </c>
      <c r="J227" s="1476">
        <f t="shared" si="64"/>
        <v>2000</v>
      </c>
      <c r="K227" s="1014">
        <f t="shared" si="65"/>
        <v>10672</v>
      </c>
      <c r="L227" s="1014"/>
      <c r="M227" s="1328"/>
    </row>
    <row r="228" spans="1:13" s="1329" customFormat="1" ht="24" customHeight="1">
      <c r="A228" s="791"/>
      <c r="B228" s="1127" t="s">
        <v>1187</v>
      </c>
      <c r="C228" s="1233"/>
      <c r="D228" s="792"/>
      <c r="E228" s="1345"/>
      <c r="F228" s="1549" t="s">
        <v>240</v>
      </c>
      <c r="G228" s="1257">
        <v>1710</v>
      </c>
      <c r="H228" s="796">
        <f t="shared" si="63"/>
        <v>0</v>
      </c>
      <c r="I228" s="797">
        <v>300</v>
      </c>
      <c r="J228" s="1476">
        <f t="shared" si="64"/>
        <v>0</v>
      </c>
      <c r="K228" s="1014">
        <f t="shared" si="65"/>
        <v>0</v>
      </c>
      <c r="L228" s="1014"/>
      <c r="M228" s="1328"/>
    </row>
    <row r="229" spans="1:13" s="1329" customFormat="1" ht="24" customHeight="1">
      <c r="A229" s="791"/>
      <c r="B229" s="1127" t="s">
        <v>1188</v>
      </c>
      <c r="C229" s="1233"/>
      <c r="D229" s="792"/>
      <c r="E229" s="1345"/>
      <c r="F229" s="1549" t="s">
        <v>240</v>
      </c>
      <c r="G229" s="1504">
        <v>2839</v>
      </c>
      <c r="H229" s="796">
        <f t="shared" si="63"/>
        <v>0</v>
      </c>
      <c r="I229" s="797">
        <v>400</v>
      </c>
      <c r="J229" s="1476">
        <f t="shared" si="64"/>
        <v>0</v>
      </c>
      <c r="K229" s="1014">
        <f t="shared" si="65"/>
        <v>0</v>
      </c>
      <c r="L229" s="1014"/>
      <c r="M229" s="1328"/>
    </row>
    <row r="230" spans="1:13" s="1329" customFormat="1" ht="24" customHeight="1">
      <c r="A230" s="1330"/>
      <c r="B230" s="1331" t="s">
        <v>957</v>
      </c>
      <c r="C230" s="1349"/>
      <c r="D230" s="890"/>
      <c r="E230" s="966"/>
      <c r="F230" s="906"/>
      <c r="G230" s="1394"/>
      <c r="H230" s="905"/>
      <c r="I230" s="906"/>
      <c r="J230" s="1407"/>
      <c r="K230" s="1030"/>
      <c r="L230" s="1030"/>
      <c r="M230" s="1328"/>
    </row>
    <row r="231" spans="1:13" s="1329" customFormat="1" ht="24" customHeight="1">
      <c r="A231" s="1330"/>
      <c r="B231" s="1331"/>
      <c r="C231" s="1349"/>
      <c r="D231" s="890"/>
      <c r="E231" s="966"/>
      <c r="F231" s="906"/>
      <c r="G231" s="1394"/>
      <c r="H231" s="905"/>
      <c r="I231" s="906"/>
      <c r="J231" s="1407"/>
      <c r="K231" s="1030"/>
      <c r="L231" s="1030"/>
      <c r="M231" s="1328"/>
    </row>
    <row r="232" spans="1:13" s="1329" customFormat="1" ht="24" customHeight="1">
      <c r="A232" s="1330"/>
      <c r="B232" s="1331"/>
      <c r="C232" s="1349"/>
      <c r="D232" s="890"/>
      <c r="E232" s="966"/>
      <c r="F232" s="906"/>
      <c r="G232" s="1394"/>
      <c r="H232" s="905"/>
      <c r="I232" s="906"/>
      <c r="J232" s="1407"/>
      <c r="K232" s="1030"/>
      <c r="L232" s="1030"/>
      <c r="M232" s="1328"/>
    </row>
    <row r="233" spans="1:13" s="1329" customFormat="1" ht="24" customHeight="1">
      <c r="A233" s="1330"/>
      <c r="B233" s="1331"/>
      <c r="C233" s="1349"/>
      <c r="D233" s="801"/>
      <c r="E233" s="966"/>
      <c r="F233" s="865"/>
      <c r="G233" s="1394"/>
      <c r="H233" s="864"/>
      <c r="I233" s="865"/>
      <c r="J233" s="1395"/>
      <c r="K233" s="966"/>
      <c r="L233" s="966"/>
      <c r="M233" s="1328"/>
    </row>
    <row r="234" spans="1:13" s="1329" customFormat="1" ht="24" customHeight="1">
      <c r="A234" s="1166"/>
      <c r="B234" s="2475" t="str">
        <f>"รวมราคารายการที่ "&amp;A210</f>
        <v>รวมราคารายการที่ 7.10</v>
      </c>
      <c r="C234" s="2476"/>
      <c r="D234" s="2477"/>
      <c r="E234" s="1167"/>
      <c r="F234" s="1381"/>
      <c r="G234" s="1168"/>
      <c r="H234" s="1169">
        <f>SUM(H210:H233)</f>
        <v>98176</v>
      </c>
      <c r="I234" s="1550"/>
      <c r="J234" s="1382">
        <f>SUM(J210:J233)</f>
        <v>14800</v>
      </c>
      <c r="K234" s="1171">
        <f>SUM(K210:K233)</f>
        <v>112976</v>
      </c>
      <c r="L234" s="1171"/>
      <c r="M234" s="1328"/>
    </row>
    <row r="235" spans="1:13" s="1329" customFormat="1" ht="24" customHeight="1">
      <c r="A235" s="1325" t="s">
        <v>2077</v>
      </c>
      <c r="B235" s="1326" t="s">
        <v>1948</v>
      </c>
      <c r="C235" s="1347"/>
      <c r="D235" s="901"/>
      <c r="E235" s="1019"/>
      <c r="F235" s="774"/>
      <c r="G235" s="1400"/>
      <c r="H235" s="864"/>
      <c r="I235" s="774"/>
      <c r="J235" s="1395"/>
      <c r="K235" s="966"/>
      <c r="L235" s="1030"/>
      <c r="M235" s="1328"/>
    </row>
    <row r="236" spans="1:13" s="1329" customFormat="1" ht="24" customHeight="1">
      <c r="A236" s="1330" t="s">
        <v>2079</v>
      </c>
      <c r="B236" s="1331" t="s">
        <v>1950</v>
      </c>
      <c r="C236" s="1349"/>
      <c r="D236" s="801"/>
      <c r="E236" s="966"/>
      <c r="F236" s="1249"/>
      <c r="G236" s="1394"/>
      <c r="H236" s="864"/>
      <c r="I236" s="865"/>
      <c r="J236" s="1395"/>
      <c r="K236" s="966"/>
      <c r="L236" s="966"/>
      <c r="M236" s="1328"/>
    </row>
    <row r="237" spans="1:13" s="1329" customFormat="1" ht="24" customHeight="1">
      <c r="A237" s="1330"/>
      <c r="B237" s="1331" t="s">
        <v>2035</v>
      </c>
      <c r="C237" s="1349"/>
      <c r="D237" s="801"/>
      <c r="E237" s="966">
        <v>1</v>
      </c>
      <c r="F237" s="1249" t="s">
        <v>1952</v>
      </c>
      <c r="G237" s="1394">
        <v>218</v>
      </c>
      <c r="H237" s="864">
        <f t="shared" ref="H237:H243" si="66">ROUND(E237*G237,)</f>
        <v>218</v>
      </c>
      <c r="I237" s="865">
        <v>194</v>
      </c>
      <c r="J237" s="1395">
        <f t="shared" ref="J237:J243" si="67">ROUND(E237*I237,)</f>
        <v>194</v>
      </c>
      <c r="K237" s="966">
        <f t="shared" ref="K237:K243" si="68">H237+J237</f>
        <v>412</v>
      </c>
      <c r="L237" s="1014"/>
      <c r="M237" s="1527"/>
    </row>
    <row r="238" spans="1:13" s="1329" customFormat="1" ht="24" customHeight="1">
      <c r="A238" s="1330"/>
      <c r="B238" s="1331" t="s">
        <v>2036</v>
      </c>
      <c r="C238" s="1349"/>
      <c r="D238" s="801"/>
      <c r="E238" s="966">
        <v>206</v>
      </c>
      <c r="F238" s="966" t="s">
        <v>1952</v>
      </c>
      <c r="G238" s="1249">
        <v>263</v>
      </c>
      <c r="H238" s="864">
        <f t="shared" si="66"/>
        <v>54178</v>
      </c>
      <c r="I238" s="865">
        <v>259</v>
      </c>
      <c r="J238" s="864">
        <f t="shared" si="67"/>
        <v>53354</v>
      </c>
      <c r="K238" s="867">
        <f t="shared" si="68"/>
        <v>107532</v>
      </c>
      <c r="L238" s="914"/>
      <c r="M238" s="1527"/>
    </row>
    <row r="239" spans="1:13" s="1329" customFormat="1" ht="24" customHeight="1">
      <c r="A239" s="1330"/>
      <c r="B239" s="1331" t="s">
        <v>1951</v>
      </c>
      <c r="C239" s="1349"/>
      <c r="D239" s="801"/>
      <c r="E239" s="966">
        <v>488</v>
      </c>
      <c r="F239" s="867" t="s">
        <v>1952</v>
      </c>
      <c r="G239" s="1249">
        <v>314</v>
      </c>
      <c r="H239" s="864">
        <f t="shared" si="66"/>
        <v>153232</v>
      </c>
      <c r="I239" s="865">
        <v>269</v>
      </c>
      <c r="J239" s="864">
        <f t="shared" si="67"/>
        <v>131272</v>
      </c>
      <c r="K239" s="867">
        <f t="shared" si="68"/>
        <v>284504</v>
      </c>
      <c r="L239" s="914"/>
      <c r="M239" s="1328"/>
    </row>
    <row r="240" spans="1:13" s="1329" customFormat="1" ht="24" customHeight="1">
      <c r="A240" s="1330"/>
      <c r="B240" s="1331" t="s">
        <v>1953</v>
      </c>
      <c r="C240" s="1349"/>
      <c r="D240" s="801"/>
      <c r="E240" s="966">
        <v>238</v>
      </c>
      <c r="F240" s="867" t="s">
        <v>1952</v>
      </c>
      <c r="G240" s="1249">
        <v>381</v>
      </c>
      <c r="H240" s="864">
        <f t="shared" si="66"/>
        <v>90678</v>
      </c>
      <c r="I240" s="865">
        <v>323</v>
      </c>
      <c r="J240" s="864">
        <f t="shared" si="67"/>
        <v>76874</v>
      </c>
      <c r="K240" s="867">
        <f t="shared" si="68"/>
        <v>167552</v>
      </c>
      <c r="L240" s="914"/>
      <c r="M240" s="1328"/>
    </row>
    <row r="241" spans="1:13" s="1329" customFormat="1" ht="24" customHeight="1">
      <c r="A241" s="1330"/>
      <c r="B241" s="1331" t="s">
        <v>1954</v>
      </c>
      <c r="C241" s="1349"/>
      <c r="D241" s="801"/>
      <c r="E241" s="966">
        <v>34</v>
      </c>
      <c r="F241" s="867" t="s">
        <v>1952</v>
      </c>
      <c r="G241" s="1249">
        <v>443</v>
      </c>
      <c r="H241" s="864">
        <f t="shared" si="66"/>
        <v>15062</v>
      </c>
      <c r="I241" s="865">
        <v>377</v>
      </c>
      <c r="J241" s="864">
        <f t="shared" si="67"/>
        <v>12818</v>
      </c>
      <c r="K241" s="867">
        <f t="shared" si="68"/>
        <v>27880</v>
      </c>
      <c r="L241" s="914"/>
      <c r="M241" s="1328"/>
    </row>
    <row r="242" spans="1:13" s="1329" customFormat="1" ht="24" customHeight="1">
      <c r="A242" s="1330"/>
      <c r="B242" s="1331" t="s">
        <v>1645</v>
      </c>
      <c r="C242" s="1349"/>
      <c r="D242" s="801"/>
      <c r="E242" s="966">
        <v>1</v>
      </c>
      <c r="F242" s="867" t="s">
        <v>948</v>
      </c>
      <c r="G242" s="1249">
        <f>ROUND(SUM(H237:H241)*40%,)</f>
        <v>125347</v>
      </c>
      <c r="H242" s="864">
        <f t="shared" si="66"/>
        <v>125347</v>
      </c>
      <c r="I242" s="865">
        <f>ROUND(G242*30%,)</f>
        <v>37604</v>
      </c>
      <c r="J242" s="864">
        <f t="shared" si="67"/>
        <v>37604</v>
      </c>
      <c r="K242" s="867">
        <f t="shared" si="68"/>
        <v>162951</v>
      </c>
      <c r="L242" s="914"/>
      <c r="M242" s="1328"/>
    </row>
    <row r="243" spans="1:13" s="1329" customFormat="1" ht="24" customHeight="1">
      <c r="A243" s="1330"/>
      <c r="B243" s="1331" t="s">
        <v>1646</v>
      </c>
      <c r="C243" s="1349"/>
      <c r="D243" s="801"/>
      <c r="E243" s="966">
        <v>1</v>
      </c>
      <c r="F243" s="867" t="s">
        <v>948</v>
      </c>
      <c r="G243" s="1249">
        <f>ROUND(SUM(H237:H242)*15%,)</f>
        <v>65807</v>
      </c>
      <c r="H243" s="864">
        <f t="shared" si="66"/>
        <v>65807</v>
      </c>
      <c r="I243" s="865">
        <f>ROUND(G243*30%,)</f>
        <v>19742</v>
      </c>
      <c r="J243" s="864">
        <f t="shared" si="67"/>
        <v>19742</v>
      </c>
      <c r="K243" s="867">
        <f t="shared" si="68"/>
        <v>85549</v>
      </c>
      <c r="L243" s="914"/>
      <c r="M243" s="1328"/>
    </row>
    <row r="244" spans="1:13" s="1329" customFormat="1" ht="24" customHeight="1">
      <c r="A244" s="1330" t="s">
        <v>2196</v>
      </c>
      <c r="B244" s="1331" t="s">
        <v>1956</v>
      </c>
      <c r="C244" s="1349"/>
      <c r="D244" s="890"/>
      <c r="E244" s="966"/>
      <c r="F244" s="903"/>
      <c r="G244" s="1249"/>
      <c r="H244" s="905"/>
      <c r="I244" s="906"/>
      <c r="J244" s="864"/>
      <c r="K244" s="867"/>
      <c r="L244" s="903"/>
      <c r="M244" s="1328"/>
    </row>
    <row r="245" spans="1:13" s="1329" customFormat="1" ht="24" customHeight="1">
      <c r="A245" s="1355"/>
      <c r="B245" s="1331" t="s">
        <v>1957</v>
      </c>
      <c r="C245" s="1349"/>
      <c r="D245" s="890"/>
      <c r="E245" s="966">
        <f>210+1003+767+466</f>
        <v>2446</v>
      </c>
      <c r="F245" s="903" t="s">
        <v>438</v>
      </c>
      <c r="G245" s="1249">
        <v>407</v>
      </c>
      <c r="H245" s="864">
        <f t="shared" ref="H245:H247" si="69">ROUND(E245*G245,)</f>
        <v>995522</v>
      </c>
      <c r="I245" s="1249">
        <v>376</v>
      </c>
      <c r="J245" s="864">
        <f t="shared" ref="J245:J247" si="70">ROUND(E245*I245,)</f>
        <v>919696</v>
      </c>
      <c r="K245" s="867">
        <f t="shared" ref="K245:K247" si="71">H245+J245</f>
        <v>1915218</v>
      </c>
      <c r="L245" s="867"/>
      <c r="M245" s="1328"/>
    </row>
    <row r="246" spans="1:13" s="1329" customFormat="1" ht="24" customHeight="1">
      <c r="A246" s="1355"/>
      <c r="B246" s="1331" t="s">
        <v>1645</v>
      </c>
      <c r="C246" s="1349"/>
      <c r="D246" s="890"/>
      <c r="E246" s="966">
        <v>1</v>
      </c>
      <c r="F246" s="903" t="s">
        <v>948</v>
      </c>
      <c r="G246" s="1348">
        <f>ROUND(SUM(H245:H245)*40%,)</f>
        <v>398209</v>
      </c>
      <c r="H246" s="864">
        <f t="shared" si="69"/>
        <v>398209</v>
      </c>
      <c r="I246" s="906">
        <f>ROUND(G246*30%,)</f>
        <v>119463</v>
      </c>
      <c r="J246" s="864">
        <f t="shared" si="70"/>
        <v>119463</v>
      </c>
      <c r="K246" s="867">
        <f t="shared" si="71"/>
        <v>517672</v>
      </c>
      <c r="L246" s="903"/>
      <c r="M246" s="1328"/>
    </row>
    <row r="247" spans="1:13" s="1329" customFormat="1" ht="24" customHeight="1">
      <c r="A247" s="1355"/>
      <c r="B247" s="1331" t="s">
        <v>1646</v>
      </c>
      <c r="C247" s="1349"/>
      <c r="D247" s="890"/>
      <c r="E247" s="966">
        <v>1</v>
      </c>
      <c r="F247" s="903" t="s">
        <v>948</v>
      </c>
      <c r="G247" s="1348">
        <f>ROUND(SUM(H245:H245)*15%,)</f>
        <v>149328</v>
      </c>
      <c r="H247" s="864">
        <f t="shared" si="69"/>
        <v>149328</v>
      </c>
      <c r="I247" s="906">
        <f>ROUND(G247*30%,)</f>
        <v>44798</v>
      </c>
      <c r="J247" s="864">
        <f t="shared" si="70"/>
        <v>44798</v>
      </c>
      <c r="K247" s="867">
        <f t="shared" si="71"/>
        <v>194126</v>
      </c>
      <c r="L247" s="903"/>
      <c r="M247" s="1328"/>
    </row>
    <row r="248" spans="1:13" s="1329" customFormat="1" ht="24" customHeight="1">
      <c r="A248" s="1355"/>
      <c r="B248" s="1331" t="s">
        <v>957</v>
      </c>
      <c r="C248" s="1349"/>
      <c r="D248" s="890"/>
      <c r="E248" s="966"/>
      <c r="F248" s="903"/>
      <c r="G248" s="1249"/>
      <c r="H248" s="905"/>
      <c r="I248" s="906"/>
      <c r="J248" s="905"/>
      <c r="K248" s="903"/>
      <c r="L248" s="903"/>
      <c r="M248" s="1328"/>
    </row>
    <row r="249" spans="1:13" s="886" customFormat="1" ht="24" customHeight="1">
      <c r="A249" s="1166"/>
      <c r="B249" s="2475" t="str">
        <f>"รวมราคารายการที่ "&amp;A235</f>
        <v>รวมราคารายการที่ 7.11</v>
      </c>
      <c r="C249" s="2476"/>
      <c r="D249" s="2477"/>
      <c r="E249" s="1167"/>
      <c r="F249" s="1167"/>
      <c r="G249" s="1168"/>
      <c r="H249" s="1169">
        <f>SUM(H235:H248)</f>
        <v>2047581</v>
      </c>
      <c r="I249" s="1170"/>
      <c r="J249" s="1169">
        <f>SUM(J235:J248)</f>
        <v>1415815</v>
      </c>
      <c r="K249" s="1169">
        <f>SUM(K235:K248)</f>
        <v>3463396</v>
      </c>
      <c r="L249" s="1171"/>
      <c r="M249" s="1342"/>
    </row>
    <row r="250" spans="1:13" s="1329" customFormat="1" ht="24" customHeight="1">
      <c r="A250" s="1325" t="s">
        <v>2197</v>
      </c>
      <c r="B250" s="1326" t="s">
        <v>1959</v>
      </c>
      <c r="C250" s="1347"/>
      <c r="D250" s="901"/>
      <c r="E250" s="1019"/>
      <c r="F250" s="947"/>
      <c r="G250" s="1310"/>
      <c r="H250" s="864"/>
      <c r="I250" s="774"/>
      <c r="J250" s="864"/>
      <c r="K250" s="966"/>
      <c r="L250" s="903"/>
      <c r="M250" s="1328"/>
    </row>
    <row r="251" spans="1:13" s="1329" customFormat="1" ht="24" customHeight="1">
      <c r="A251" s="1330" t="s">
        <v>2198</v>
      </c>
      <c r="B251" s="1331" t="s">
        <v>1961</v>
      </c>
      <c r="C251" s="1349"/>
      <c r="D251" s="801"/>
      <c r="E251" s="966"/>
      <c r="F251" s="867"/>
      <c r="G251" s="1249"/>
      <c r="H251" s="864"/>
      <c r="I251" s="865"/>
      <c r="J251" s="864"/>
      <c r="K251" s="867"/>
      <c r="L251" s="867"/>
      <c r="M251" s="1328"/>
    </row>
    <row r="252" spans="1:13" s="1329" customFormat="1" ht="24" customHeight="1">
      <c r="A252" s="1038"/>
      <c r="B252" s="1127" t="s">
        <v>1962</v>
      </c>
      <c r="C252" s="1233"/>
      <c r="D252" s="809"/>
      <c r="E252" s="1345">
        <f>SUM(E237:E241)</f>
        <v>967</v>
      </c>
      <c r="F252" s="852" t="s">
        <v>1952</v>
      </c>
      <c r="G252" s="1140">
        <v>148</v>
      </c>
      <c r="H252" s="854">
        <f t="shared" ref="H252:H255" si="72">ROUND(E252*G252,)</f>
        <v>143116</v>
      </c>
      <c r="I252" s="855">
        <v>45</v>
      </c>
      <c r="J252" s="796">
        <f t="shared" ref="J252:J255" si="73">ROUND(E252*I252,)</f>
        <v>43515</v>
      </c>
      <c r="K252" s="914">
        <f t="shared" ref="K252:K255" si="74">H252+J252</f>
        <v>186631</v>
      </c>
      <c r="L252" s="912"/>
      <c r="M252" s="1328"/>
    </row>
    <row r="253" spans="1:13" s="1329" customFormat="1" ht="24" customHeight="1">
      <c r="A253" s="1038"/>
      <c r="B253" s="1127" t="s">
        <v>2115</v>
      </c>
      <c r="C253" s="1233"/>
      <c r="D253" s="792"/>
      <c r="E253" s="1345"/>
      <c r="F253" s="794" t="s">
        <v>1952</v>
      </c>
      <c r="G253" s="1140">
        <v>212</v>
      </c>
      <c r="H253" s="796">
        <f t="shared" si="72"/>
        <v>0</v>
      </c>
      <c r="I253" s="797">
        <v>45</v>
      </c>
      <c r="J253" s="796">
        <f t="shared" si="73"/>
        <v>0</v>
      </c>
      <c r="K253" s="914">
        <f t="shared" si="74"/>
        <v>0</v>
      </c>
      <c r="L253" s="914"/>
      <c r="M253" s="1328"/>
    </row>
    <row r="254" spans="1:13" s="1329" customFormat="1" ht="24" customHeight="1">
      <c r="A254" s="1038"/>
      <c r="B254" s="1127" t="s">
        <v>2116</v>
      </c>
      <c r="C254" s="1233"/>
      <c r="D254" s="792"/>
      <c r="E254" s="1345"/>
      <c r="F254" s="794" t="s">
        <v>1952</v>
      </c>
      <c r="G254" s="1140">
        <v>454</v>
      </c>
      <c r="H254" s="796">
        <f t="shared" si="72"/>
        <v>0</v>
      </c>
      <c r="I254" s="797">
        <f>ROUND(G254*0.3,)</f>
        <v>136</v>
      </c>
      <c r="J254" s="796">
        <f t="shared" si="73"/>
        <v>0</v>
      </c>
      <c r="K254" s="914">
        <f t="shared" si="74"/>
        <v>0</v>
      </c>
      <c r="L254" s="914"/>
      <c r="M254" s="1328"/>
    </row>
    <row r="255" spans="1:13" s="1329" customFormat="1" ht="24" customHeight="1">
      <c r="A255" s="1038" t="s">
        <v>2208</v>
      </c>
      <c r="B255" s="1127" t="s">
        <v>1965</v>
      </c>
      <c r="C255" s="1233"/>
      <c r="D255" s="809"/>
      <c r="E255" s="1345">
        <v>1</v>
      </c>
      <c r="F255" s="852" t="s">
        <v>948</v>
      </c>
      <c r="G255" s="1140">
        <f>E252*40</f>
        <v>38680</v>
      </c>
      <c r="H255" s="854">
        <f t="shared" si="72"/>
        <v>38680</v>
      </c>
      <c r="I255" s="855">
        <f>E252*15</f>
        <v>14505</v>
      </c>
      <c r="J255" s="796">
        <f t="shared" si="73"/>
        <v>14505</v>
      </c>
      <c r="K255" s="914">
        <f t="shared" si="74"/>
        <v>53185</v>
      </c>
      <c r="L255" s="912"/>
      <c r="M255" s="1328"/>
    </row>
    <row r="256" spans="1:13" s="1329" customFormat="1" ht="24" customHeight="1">
      <c r="A256" s="1038"/>
      <c r="B256" s="1127" t="s">
        <v>957</v>
      </c>
      <c r="C256" s="1233"/>
      <c r="D256" s="792"/>
      <c r="E256" s="1345"/>
      <c r="F256" s="794"/>
      <c r="G256" s="1140"/>
      <c r="H256" s="796"/>
      <c r="I256" s="797"/>
      <c r="J256" s="796"/>
      <c r="K256" s="914"/>
      <c r="L256" s="914"/>
      <c r="M256" s="1328"/>
    </row>
    <row r="257" spans="1:16" s="1329" customFormat="1" ht="24" customHeight="1">
      <c r="A257" s="1038"/>
      <c r="B257" s="1127"/>
      <c r="C257" s="1233"/>
      <c r="D257" s="792"/>
      <c r="E257" s="1345"/>
      <c r="F257" s="794"/>
      <c r="G257" s="1140"/>
      <c r="H257" s="796"/>
      <c r="I257" s="797"/>
      <c r="J257" s="796"/>
      <c r="K257" s="914"/>
      <c r="L257" s="914"/>
      <c r="M257" s="1328"/>
    </row>
    <row r="258" spans="1:16" s="1329" customFormat="1" ht="24" customHeight="1">
      <c r="A258" s="1038"/>
      <c r="B258" s="1127"/>
      <c r="C258" s="1233"/>
      <c r="D258" s="809"/>
      <c r="E258" s="1345"/>
      <c r="F258" s="852"/>
      <c r="G258" s="1140"/>
      <c r="H258" s="854"/>
      <c r="I258" s="855"/>
      <c r="J258" s="796"/>
      <c r="K258" s="914"/>
      <c r="L258" s="912"/>
      <c r="M258" s="1328"/>
    </row>
    <row r="259" spans="1:16" s="1329" customFormat="1" ht="24" customHeight="1">
      <c r="A259" s="1166"/>
      <c r="B259" s="2475" t="str">
        <f>"รวมราคารายการที่ "&amp;A250</f>
        <v>รวมราคารายการที่ 7.12</v>
      </c>
      <c r="C259" s="2476"/>
      <c r="D259" s="2477"/>
      <c r="E259" s="1167"/>
      <c r="F259" s="1167"/>
      <c r="G259" s="1168"/>
      <c r="H259" s="1169">
        <f>SUM(H250:H256)</f>
        <v>181796</v>
      </c>
      <c r="I259" s="1170"/>
      <c r="J259" s="1169">
        <f>SUM(J250:J256)</f>
        <v>58020</v>
      </c>
      <c r="K259" s="1169">
        <f>SUM(K250:K256)</f>
        <v>239816</v>
      </c>
      <c r="L259" s="1171"/>
      <c r="M259" s="1328"/>
    </row>
    <row r="260" spans="1:16" s="1329" customFormat="1" ht="24" customHeight="1">
      <c r="A260" s="1325" t="s">
        <v>2241</v>
      </c>
      <c r="B260" s="1326" t="s">
        <v>1968</v>
      </c>
      <c r="C260" s="1347"/>
      <c r="D260" s="901"/>
      <c r="E260" s="1019"/>
      <c r="F260" s="947"/>
      <c r="G260" s="1310"/>
      <c r="H260" s="864"/>
      <c r="I260" s="774"/>
      <c r="J260" s="864"/>
      <c r="K260" s="966"/>
      <c r="L260" s="903"/>
      <c r="M260" s="1328"/>
    </row>
    <row r="261" spans="1:16" s="1329" customFormat="1" ht="24" customHeight="1">
      <c r="A261" s="1330" t="s">
        <v>2242</v>
      </c>
      <c r="B261" s="1331" t="s">
        <v>2041</v>
      </c>
      <c r="C261" s="1349"/>
      <c r="D261" s="801"/>
      <c r="E261" s="966"/>
      <c r="F261" s="867"/>
      <c r="G261" s="1249"/>
      <c r="H261" s="864"/>
      <c r="I261" s="865"/>
      <c r="J261" s="864"/>
      <c r="K261" s="867"/>
      <c r="L261" s="867"/>
      <c r="M261" s="1328"/>
    </row>
    <row r="262" spans="1:16" s="1329" customFormat="1" ht="24" customHeight="1">
      <c r="A262" s="1330"/>
      <c r="B262" s="1331" t="str">
        <f t="shared" ref="B262:B265" si="75">"  -  "&amp;M262&amp;" มม."</f>
        <v xml:space="preserve">  -  200x500 มม.</v>
      </c>
      <c r="C262" s="1349"/>
      <c r="D262" s="801"/>
      <c r="E262" s="1350">
        <f t="shared" ref="E262:E265" si="76">N262</f>
        <v>1</v>
      </c>
      <c r="F262" s="903" t="str">
        <f t="shared" ref="F262:F268" si="77">IF(E262="","","ชุด")</f>
        <v>ชุด</v>
      </c>
      <c r="G262" s="1249">
        <v>700</v>
      </c>
      <c r="H262" s="864">
        <f t="shared" ref="H262:H265" si="78">ROUND(E262*G262,)</f>
        <v>700</v>
      </c>
      <c r="I262" s="865">
        <v>100</v>
      </c>
      <c r="J262" s="864">
        <f t="shared" ref="J262:J265" si="79">ROUND(E262*I262,)</f>
        <v>100</v>
      </c>
      <c r="K262" s="867">
        <f t="shared" ref="K262:K265" si="80">H262+J262</f>
        <v>800</v>
      </c>
      <c r="L262" s="867"/>
      <c r="M262" s="1420" t="s">
        <v>2352</v>
      </c>
      <c r="N262">
        <v>1</v>
      </c>
    </row>
    <row r="263" spans="1:16" s="1329" customFormat="1" ht="24" customHeight="1">
      <c r="A263" s="1330"/>
      <c r="B263" s="1331" t="str">
        <f t="shared" si="75"/>
        <v xml:space="preserve">  -  650x650 มม.</v>
      </c>
      <c r="C263" s="1349"/>
      <c r="D263" s="801"/>
      <c r="E263" s="1350">
        <f t="shared" si="76"/>
        <v>4</v>
      </c>
      <c r="F263" s="903" t="str">
        <f t="shared" si="77"/>
        <v>ชุด</v>
      </c>
      <c r="G263" s="1249">
        <v>1300</v>
      </c>
      <c r="H263" s="854">
        <f t="shared" si="78"/>
        <v>5200</v>
      </c>
      <c r="I263" s="865">
        <v>100</v>
      </c>
      <c r="J263" s="864">
        <f t="shared" si="79"/>
        <v>400</v>
      </c>
      <c r="K263" s="867">
        <f t="shared" si="80"/>
        <v>5600</v>
      </c>
      <c r="L263" s="867"/>
      <c r="M263" s="1420" t="s">
        <v>2045</v>
      </c>
      <c r="N263">
        <v>4</v>
      </c>
    </row>
    <row r="264" spans="1:16" s="1329" customFormat="1" ht="24" customHeight="1">
      <c r="A264" s="1330"/>
      <c r="B264" s="1331" t="str">
        <f t="shared" si="75"/>
        <v xml:space="preserve">  -  700x700 มม.</v>
      </c>
      <c r="C264" s="1349"/>
      <c r="D264" s="801"/>
      <c r="E264" s="1350">
        <f t="shared" si="76"/>
        <v>42</v>
      </c>
      <c r="F264" s="903" t="str">
        <f t="shared" si="77"/>
        <v>ชุด</v>
      </c>
      <c r="G264" s="1249">
        <v>1400</v>
      </c>
      <c r="H264" s="854">
        <f t="shared" si="78"/>
        <v>58800</v>
      </c>
      <c r="I264" s="865">
        <v>100</v>
      </c>
      <c r="J264" s="864">
        <f t="shared" si="79"/>
        <v>4200</v>
      </c>
      <c r="K264" s="867">
        <f t="shared" si="80"/>
        <v>63000</v>
      </c>
      <c r="L264" s="867"/>
      <c r="M264" s="1420" t="s">
        <v>2359</v>
      </c>
      <c r="N264">
        <v>42</v>
      </c>
    </row>
    <row r="265" spans="1:16" s="1329" customFormat="1" ht="24" customHeight="1">
      <c r="A265" s="1330"/>
      <c r="B265" s="1331" t="str">
        <f t="shared" si="75"/>
        <v xml:space="preserve">  -  800x350 มม.</v>
      </c>
      <c r="C265" s="1349"/>
      <c r="D265" s="801"/>
      <c r="E265" s="1350">
        <f t="shared" si="76"/>
        <v>4</v>
      </c>
      <c r="F265" s="903" t="str">
        <f t="shared" si="77"/>
        <v>ชุด</v>
      </c>
      <c r="G265" s="1249">
        <v>1150</v>
      </c>
      <c r="H265" s="854">
        <f t="shared" si="78"/>
        <v>4600</v>
      </c>
      <c r="I265" s="865">
        <v>100</v>
      </c>
      <c r="J265" s="864">
        <f t="shared" si="79"/>
        <v>400</v>
      </c>
      <c r="K265" s="867">
        <f t="shared" si="80"/>
        <v>5000</v>
      </c>
      <c r="L265" s="867"/>
      <c r="M265" s="1420" t="s">
        <v>2046</v>
      </c>
      <c r="N265">
        <v>4</v>
      </c>
    </row>
    <row r="266" spans="1:16" s="1329" customFormat="1" ht="24" customHeight="1">
      <c r="A266" s="1330"/>
      <c r="B266" s="1335"/>
      <c r="C266" s="1349"/>
      <c r="D266" s="801"/>
      <c r="E266" s="1350"/>
      <c r="F266" s="903"/>
      <c r="G266" s="1249"/>
      <c r="H266" s="854"/>
      <c r="I266" s="865"/>
      <c r="J266" s="864"/>
      <c r="K266" s="867"/>
      <c r="L266" s="867"/>
      <c r="M266" s="1420"/>
      <c r="N266"/>
    </row>
    <row r="267" spans="1:16" s="1329" customFormat="1" ht="24" customHeight="1">
      <c r="A267" s="1330" t="s">
        <v>2255</v>
      </c>
      <c r="B267" s="1335" t="s">
        <v>2049</v>
      </c>
      <c r="C267" s="1349"/>
      <c r="D267" s="801"/>
      <c r="E267" s="966"/>
      <c r="F267" s="867"/>
      <c r="G267" s="1249"/>
      <c r="H267" s="864"/>
      <c r="I267" s="865"/>
      <c r="J267" s="864"/>
      <c r="K267" s="867"/>
      <c r="L267" s="867"/>
      <c r="M267" s="1328"/>
    </row>
    <row r="268" spans="1:16" s="1329" customFormat="1" ht="24" customHeight="1">
      <c r="A268" s="1330"/>
      <c r="B268" s="1331" t="str">
        <f t="shared" ref="B268" si="81">"  -  "&amp;M268&amp;" มม."</f>
        <v xml:space="preserve">  -  300x200 มม.</v>
      </c>
      <c r="C268" s="1349"/>
      <c r="D268" s="801"/>
      <c r="E268" s="1350">
        <f t="shared" ref="E268" si="82">N268</f>
        <v>16</v>
      </c>
      <c r="F268" s="903" t="str">
        <f t="shared" si="77"/>
        <v>ชุด</v>
      </c>
      <c r="G268" s="1249">
        <v>500</v>
      </c>
      <c r="H268" s="854">
        <f t="shared" ref="H268" si="83">ROUND(E268*G268,)</f>
        <v>8000</v>
      </c>
      <c r="I268" s="865">
        <v>100</v>
      </c>
      <c r="J268" s="864">
        <f t="shared" ref="J268" si="84">ROUND(E268*I268,)</f>
        <v>1600</v>
      </c>
      <c r="K268" s="867">
        <f t="shared" ref="K268" si="85">H268+J268</f>
        <v>9600</v>
      </c>
      <c r="L268" s="867"/>
      <c r="M268" s="1420" t="s">
        <v>2050</v>
      </c>
      <c r="N268">
        <v>16</v>
      </c>
      <c r="O268" s="1404"/>
    </row>
    <row r="269" spans="1:16" s="1329" customFormat="1" ht="24" customHeight="1">
      <c r="A269" s="1330" t="s">
        <v>2256</v>
      </c>
      <c r="B269" s="1331" t="s">
        <v>2052</v>
      </c>
      <c r="C269" s="1349"/>
      <c r="D269" s="801"/>
      <c r="E269" s="1350"/>
      <c r="F269" s="903"/>
      <c r="G269" s="1249"/>
      <c r="H269" s="864"/>
      <c r="I269" s="1249"/>
      <c r="J269" s="864"/>
      <c r="K269" s="867"/>
      <c r="L269" s="867"/>
      <c r="M269" s="1328"/>
    </row>
    <row r="270" spans="1:16" s="1329" customFormat="1" ht="24" customHeight="1">
      <c r="A270" s="1330"/>
      <c r="B270" s="1331" t="str">
        <f t="shared" ref="B270:B275" si="86">"  -  "&amp;M270&amp;" มม."</f>
        <v xml:space="preserve">  -  650x650 มม.</v>
      </c>
      <c r="C270" s="1349"/>
      <c r="D270" s="801"/>
      <c r="E270" s="1350">
        <f t="shared" ref="E270:E275" si="87">N270</f>
        <v>1</v>
      </c>
      <c r="F270" s="903" t="s">
        <v>240</v>
      </c>
      <c r="G270" s="1249">
        <v>1300</v>
      </c>
      <c r="H270" s="864">
        <f t="shared" ref="H270:H277" si="88">ROUND(E270*G270,)</f>
        <v>1300</v>
      </c>
      <c r="I270" s="865">
        <v>100</v>
      </c>
      <c r="J270" s="864">
        <f t="shared" ref="J270:J275" si="89">ROUND(E270*I270,)</f>
        <v>100</v>
      </c>
      <c r="K270" s="867">
        <f t="shared" ref="K270:K275" si="90">H270+J270</f>
        <v>1400</v>
      </c>
      <c r="L270" s="867"/>
      <c r="M270" s="1420" t="s">
        <v>2045</v>
      </c>
      <c r="N270">
        <v>1</v>
      </c>
      <c r="O270" s="1404"/>
      <c r="P270" s="1404"/>
    </row>
    <row r="271" spans="1:16" s="1329" customFormat="1" ht="24" customHeight="1">
      <c r="A271" s="1330"/>
      <c r="B271" s="1331" t="str">
        <f t="shared" si="86"/>
        <v xml:space="preserve">  -  1000x800 มม.</v>
      </c>
      <c r="C271" s="1349"/>
      <c r="D271" s="801"/>
      <c r="E271" s="1350">
        <f t="shared" si="87"/>
        <v>13</v>
      </c>
      <c r="F271" s="903" t="s">
        <v>240</v>
      </c>
      <c r="G271" s="1249">
        <v>1800</v>
      </c>
      <c r="H271" s="864">
        <f t="shared" si="88"/>
        <v>23400</v>
      </c>
      <c r="I271" s="1249">
        <v>300</v>
      </c>
      <c r="J271" s="864">
        <f t="shared" si="89"/>
        <v>3900</v>
      </c>
      <c r="K271" s="867">
        <f t="shared" si="90"/>
        <v>27300</v>
      </c>
      <c r="L271" s="867"/>
      <c r="M271" s="1420" t="s">
        <v>2602</v>
      </c>
      <c r="N271">
        <v>13</v>
      </c>
      <c r="O271" s="1404"/>
      <c r="P271" s="1404"/>
    </row>
    <row r="272" spans="1:16" s="1329" customFormat="1" ht="24" customHeight="1">
      <c r="A272" s="1330"/>
      <c r="B272" s="1331" t="str">
        <f t="shared" si="86"/>
        <v xml:space="preserve">  -  1100x800 มม.</v>
      </c>
      <c r="C272" s="1349"/>
      <c r="D272" s="801"/>
      <c r="E272" s="1350">
        <f t="shared" si="87"/>
        <v>6</v>
      </c>
      <c r="F272" s="903" t="s">
        <v>240</v>
      </c>
      <c r="G272" s="1249">
        <v>1900</v>
      </c>
      <c r="H272" s="864">
        <f t="shared" si="88"/>
        <v>11400</v>
      </c>
      <c r="I272" s="1249">
        <v>300</v>
      </c>
      <c r="J272" s="864">
        <f t="shared" si="89"/>
        <v>1800</v>
      </c>
      <c r="K272" s="867">
        <f t="shared" si="90"/>
        <v>13200</v>
      </c>
      <c r="L272" s="867"/>
      <c r="M272" s="1420" t="s">
        <v>2603</v>
      </c>
      <c r="N272">
        <v>6</v>
      </c>
      <c r="O272" s="1404"/>
      <c r="P272" s="1404"/>
    </row>
    <row r="273" spans="1:16" s="1329" customFormat="1" ht="24" customHeight="1">
      <c r="A273" s="1330"/>
      <c r="B273" s="1331" t="str">
        <f t="shared" si="86"/>
        <v xml:space="preserve">  -  1400x800 มม.</v>
      </c>
      <c r="C273" s="1349"/>
      <c r="D273" s="801"/>
      <c r="E273" s="1350">
        <f t="shared" si="87"/>
        <v>6</v>
      </c>
      <c r="F273" s="903" t="str">
        <f t="shared" ref="F273:F274" si="91">IF(E273="","","ชุด")</f>
        <v>ชุด</v>
      </c>
      <c r="G273" s="1249">
        <v>2200</v>
      </c>
      <c r="H273" s="864">
        <f t="shared" si="88"/>
        <v>13200</v>
      </c>
      <c r="I273" s="1249">
        <v>300</v>
      </c>
      <c r="J273" s="864">
        <f t="shared" si="89"/>
        <v>1800</v>
      </c>
      <c r="K273" s="867">
        <f t="shared" si="90"/>
        <v>15000</v>
      </c>
      <c r="L273" s="867"/>
      <c r="M273" s="1420" t="s">
        <v>2604</v>
      </c>
      <c r="N273">
        <v>6</v>
      </c>
    </row>
    <row r="274" spans="1:16" s="1329" customFormat="1" ht="24" customHeight="1">
      <c r="A274" s="1330"/>
      <c r="B274" s="1331" t="str">
        <f t="shared" si="86"/>
        <v xml:space="preserve">  -  1500x800 มม.</v>
      </c>
      <c r="C274" s="1349"/>
      <c r="D274" s="801"/>
      <c r="E274" s="1350">
        <f t="shared" si="87"/>
        <v>4</v>
      </c>
      <c r="F274" s="903" t="str">
        <f t="shared" si="91"/>
        <v>ชุด</v>
      </c>
      <c r="G274" s="1249">
        <v>2300</v>
      </c>
      <c r="H274" s="864">
        <f t="shared" si="88"/>
        <v>9200</v>
      </c>
      <c r="I274" s="1249">
        <v>300</v>
      </c>
      <c r="J274" s="864">
        <f t="shared" si="89"/>
        <v>1200</v>
      </c>
      <c r="K274" s="867">
        <f t="shared" si="90"/>
        <v>10400</v>
      </c>
      <c r="L274" s="867"/>
      <c r="M274" s="1420" t="s">
        <v>2605</v>
      </c>
      <c r="N274">
        <v>4</v>
      </c>
    </row>
    <row r="275" spans="1:16" s="1329" customFormat="1" ht="24" customHeight="1">
      <c r="A275" s="1330"/>
      <c r="B275" s="1331" t="str">
        <f t="shared" si="86"/>
        <v xml:space="preserve">  -  2400x600 มม.</v>
      </c>
      <c r="C275" s="1349"/>
      <c r="D275" s="801"/>
      <c r="E275" s="1350">
        <f t="shared" si="87"/>
        <v>4</v>
      </c>
      <c r="F275" s="903" t="s">
        <v>240</v>
      </c>
      <c r="G275" s="1249">
        <v>3000</v>
      </c>
      <c r="H275" s="864">
        <f t="shared" si="88"/>
        <v>12000</v>
      </c>
      <c r="I275" s="1249">
        <v>300</v>
      </c>
      <c r="J275" s="864">
        <f t="shared" si="89"/>
        <v>1200</v>
      </c>
      <c r="K275" s="867">
        <f t="shared" si="90"/>
        <v>13200</v>
      </c>
      <c r="L275" s="867"/>
      <c r="M275" s="1420" t="s">
        <v>2606</v>
      </c>
      <c r="N275">
        <v>4</v>
      </c>
      <c r="O275" s="1404"/>
      <c r="P275" s="1404"/>
    </row>
    <row r="276" spans="1:16" s="1329" customFormat="1" ht="24" customHeight="1">
      <c r="A276" s="1330" t="s">
        <v>2258</v>
      </c>
      <c r="B276" s="1331" t="s">
        <v>2219</v>
      </c>
      <c r="C276" s="1349"/>
      <c r="D276" s="890"/>
      <c r="E276" s="966"/>
      <c r="F276" s="903"/>
      <c r="G276" s="1249"/>
      <c r="H276" s="905"/>
      <c r="I276" s="906"/>
      <c r="J276" s="905"/>
      <c r="K276" s="903"/>
      <c r="L276" s="903"/>
      <c r="M276" s="1328"/>
    </row>
    <row r="277" spans="1:16" s="1329" customFormat="1" ht="24" customHeight="1">
      <c r="A277" s="1330"/>
      <c r="B277" s="1331" t="s">
        <v>2607</v>
      </c>
      <c r="C277" s="1349"/>
      <c r="D277" s="801"/>
      <c r="E277" s="966">
        <v>8</v>
      </c>
      <c r="F277" s="867" t="str">
        <f t="shared" ref="F277" si="92">IF(E277="","","ชุด")</f>
        <v>ชุด</v>
      </c>
      <c r="G277" s="1249">
        <v>3000</v>
      </c>
      <c r="H277" s="864">
        <f t="shared" si="88"/>
        <v>24000</v>
      </c>
      <c r="I277" s="865">
        <v>500</v>
      </c>
      <c r="J277" s="864">
        <f t="shared" ref="J277" si="93">ROUND(E277*I277,)</f>
        <v>4000</v>
      </c>
      <c r="K277" s="867">
        <f t="shared" ref="K277" si="94">H277+J277</f>
        <v>28000</v>
      </c>
      <c r="L277" s="867"/>
      <c r="M277" s="1328"/>
      <c r="N277" s="1404"/>
      <c r="O277" s="1404"/>
    </row>
    <row r="278" spans="1:16" s="1329" customFormat="1" ht="24" customHeight="1">
      <c r="A278" s="1330" t="s">
        <v>2608</v>
      </c>
      <c r="B278" s="1331" t="s">
        <v>2055</v>
      </c>
      <c r="C278" s="1349"/>
      <c r="D278" s="801"/>
      <c r="E278" s="966"/>
      <c r="F278" s="867"/>
      <c r="G278" s="1249"/>
      <c r="H278" s="864"/>
      <c r="I278" s="865"/>
      <c r="J278" s="864"/>
      <c r="K278" s="867"/>
      <c r="L278" s="867"/>
      <c r="M278" s="1328"/>
    </row>
    <row r="279" spans="1:16" s="1329" customFormat="1" ht="24" customHeight="1">
      <c r="A279" s="1330"/>
      <c r="B279" s="1331" t="str">
        <f t="shared" ref="B279:B292" si="95">"  -  "&amp;M279&amp;" มม."</f>
        <v xml:space="preserve">  -  150x400 มม.</v>
      </c>
      <c r="C279" s="1349"/>
      <c r="D279" s="801"/>
      <c r="E279" s="1350">
        <f t="shared" ref="E279:E292" si="96">N279</f>
        <v>1</v>
      </c>
      <c r="F279" s="867" t="str">
        <f t="shared" ref="F279:F292" si="97">IF(E279="","","ชุด")</f>
        <v>ชุด</v>
      </c>
      <c r="G279" s="1249">
        <v>1000</v>
      </c>
      <c r="H279" s="854">
        <f t="shared" ref="H279:H292" si="98">ROUND(E279*G279,)</f>
        <v>1000</v>
      </c>
      <c r="I279" s="865">
        <v>300</v>
      </c>
      <c r="J279" s="864">
        <f t="shared" ref="J279:J292" si="99">ROUND(E279*I279,)</f>
        <v>300</v>
      </c>
      <c r="K279" s="867">
        <f t="shared" ref="K279:K292" si="100">H279+J279</f>
        <v>1300</v>
      </c>
      <c r="L279" s="867"/>
      <c r="M279" s="1328" t="s">
        <v>2357</v>
      </c>
      <c r="N279" s="1404">
        <v>1</v>
      </c>
      <c r="O279" s="1404"/>
    </row>
    <row r="280" spans="1:16" s="1329" customFormat="1" ht="24" customHeight="1">
      <c r="A280" s="1330"/>
      <c r="B280" s="1331" t="str">
        <f t="shared" si="95"/>
        <v xml:space="preserve">  -  250x200 มม.</v>
      </c>
      <c r="C280" s="1349"/>
      <c r="D280" s="801"/>
      <c r="E280" s="1350">
        <f t="shared" si="96"/>
        <v>6</v>
      </c>
      <c r="F280" s="867" t="str">
        <f t="shared" si="97"/>
        <v>ชุด</v>
      </c>
      <c r="G280" s="1249">
        <v>1100</v>
      </c>
      <c r="H280" s="854">
        <f t="shared" si="98"/>
        <v>6600</v>
      </c>
      <c r="I280" s="865">
        <v>300</v>
      </c>
      <c r="J280" s="864">
        <f t="shared" si="99"/>
        <v>1800</v>
      </c>
      <c r="K280" s="867">
        <f t="shared" si="100"/>
        <v>8400</v>
      </c>
      <c r="L280" s="867"/>
      <c r="M280" s="1328" t="s">
        <v>2056</v>
      </c>
      <c r="N280" s="1404">
        <v>6</v>
      </c>
      <c r="O280" s="1404"/>
    </row>
    <row r="281" spans="1:16" s="1329" customFormat="1" ht="24" customHeight="1">
      <c r="A281" s="1330"/>
      <c r="B281" s="1331" t="str">
        <f t="shared" si="95"/>
        <v xml:space="preserve">  -  650x650 มม.</v>
      </c>
      <c r="C281" s="1349"/>
      <c r="D281" s="801"/>
      <c r="E281" s="1350">
        <f t="shared" si="96"/>
        <v>4</v>
      </c>
      <c r="F281" s="867" t="str">
        <f t="shared" si="97"/>
        <v>ชุด</v>
      </c>
      <c r="G281" s="1249">
        <v>2600</v>
      </c>
      <c r="H281" s="854">
        <f t="shared" si="98"/>
        <v>10400</v>
      </c>
      <c r="I281" s="865">
        <v>300</v>
      </c>
      <c r="J281" s="864">
        <f t="shared" si="99"/>
        <v>1200</v>
      </c>
      <c r="K281" s="867">
        <f t="shared" si="100"/>
        <v>11600</v>
      </c>
      <c r="L281" s="867"/>
      <c r="M281" s="1328" t="s">
        <v>2045</v>
      </c>
      <c r="N281" s="1404">
        <v>4</v>
      </c>
      <c r="O281" s="1404"/>
    </row>
    <row r="282" spans="1:16" s="1329" customFormat="1" ht="24" customHeight="1">
      <c r="A282" s="1330"/>
      <c r="B282" s="1331" t="str">
        <f t="shared" si="95"/>
        <v xml:space="preserve">  -  700x700 มม.</v>
      </c>
      <c r="C282" s="1349"/>
      <c r="D282" s="801"/>
      <c r="E282" s="1350">
        <f t="shared" si="96"/>
        <v>2</v>
      </c>
      <c r="F282" s="867" t="str">
        <f t="shared" si="97"/>
        <v>ชุด</v>
      </c>
      <c r="G282" s="1249">
        <v>3500</v>
      </c>
      <c r="H282" s="864">
        <f t="shared" si="98"/>
        <v>7000</v>
      </c>
      <c r="I282" s="865">
        <v>300</v>
      </c>
      <c r="J282" s="864">
        <f t="shared" si="99"/>
        <v>600</v>
      </c>
      <c r="K282" s="867">
        <f t="shared" si="100"/>
        <v>7600</v>
      </c>
      <c r="L282" s="867"/>
      <c r="M282" s="1328" t="s">
        <v>2359</v>
      </c>
      <c r="N282" s="1404">
        <v>2</v>
      </c>
      <c r="O282" s="1404"/>
    </row>
    <row r="283" spans="1:16" s="1329" customFormat="1" ht="24" customHeight="1">
      <c r="A283" s="1330"/>
      <c r="B283" s="1331" t="str">
        <f t="shared" si="95"/>
        <v xml:space="preserve">  -  750x300 มม.</v>
      </c>
      <c r="C283" s="1349"/>
      <c r="D283" s="801"/>
      <c r="E283" s="1350">
        <f t="shared" si="96"/>
        <v>3</v>
      </c>
      <c r="F283" s="867" t="str">
        <f t="shared" si="97"/>
        <v>ชุด</v>
      </c>
      <c r="G283" s="1249">
        <v>2625</v>
      </c>
      <c r="H283" s="864">
        <f t="shared" si="98"/>
        <v>7875</v>
      </c>
      <c r="I283" s="865">
        <v>300</v>
      </c>
      <c r="J283" s="864">
        <f t="shared" si="99"/>
        <v>900</v>
      </c>
      <c r="K283" s="867">
        <f t="shared" si="100"/>
        <v>8775</v>
      </c>
      <c r="L283" s="867"/>
      <c r="M283" s="1328" t="s">
        <v>2609</v>
      </c>
      <c r="N283" s="1404">
        <v>3</v>
      </c>
      <c r="O283" s="1404"/>
    </row>
    <row r="284" spans="1:16" s="1329" customFormat="1" ht="24" customHeight="1">
      <c r="A284" s="1330"/>
      <c r="B284" s="1331" t="str">
        <f t="shared" si="95"/>
        <v xml:space="preserve">  -  1000x1000 มม.</v>
      </c>
      <c r="C284" s="1349"/>
      <c r="D284" s="801"/>
      <c r="E284" s="1350">
        <f t="shared" si="96"/>
        <v>1</v>
      </c>
      <c r="F284" s="867" t="str">
        <f t="shared" si="97"/>
        <v>ชุด</v>
      </c>
      <c r="G284" s="1249">
        <v>5000</v>
      </c>
      <c r="H284" s="864">
        <f t="shared" si="98"/>
        <v>5000</v>
      </c>
      <c r="I284" s="865">
        <v>300</v>
      </c>
      <c r="J284" s="864">
        <f t="shared" si="99"/>
        <v>300</v>
      </c>
      <c r="K284" s="867">
        <f t="shared" si="100"/>
        <v>5300</v>
      </c>
      <c r="L284" s="867"/>
      <c r="M284" s="1328" t="s">
        <v>2610</v>
      </c>
      <c r="N284" s="1404">
        <v>1</v>
      </c>
      <c r="O284" s="1404"/>
    </row>
    <row r="285" spans="1:16" s="1329" customFormat="1" ht="24" customHeight="1">
      <c r="A285" s="1330"/>
      <c r="B285" s="1331" t="str">
        <f t="shared" si="95"/>
        <v xml:space="preserve">  -  1000x1200 มม.</v>
      </c>
      <c r="C285" s="1349"/>
      <c r="D285" s="801"/>
      <c r="E285" s="1350">
        <f t="shared" si="96"/>
        <v>1</v>
      </c>
      <c r="F285" s="867" t="str">
        <f t="shared" si="97"/>
        <v>ชุด</v>
      </c>
      <c r="G285" s="1249">
        <v>5500</v>
      </c>
      <c r="H285" s="864">
        <f t="shared" si="98"/>
        <v>5500</v>
      </c>
      <c r="I285" s="865">
        <v>300</v>
      </c>
      <c r="J285" s="864">
        <f t="shared" si="99"/>
        <v>300</v>
      </c>
      <c r="K285" s="867">
        <f t="shared" si="100"/>
        <v>5800</v>
      </c>
      <c r="L285" s="867"/>
      <c r="M285" s="1328" t="s">
        <v>2611</v>
      </c>
      <c r="N285" s="1404">
        <v>1</v>
      </c>
      <c r="O285" s="1404"/>
    </row>
    <row r="286" spans="1:16" s="1329" customFormat="1" ht="24" customHeight="1">
      <c r="A286" s="1330"/>
      <c r="B286" s="1331" t="str">
        <f t="shared" si="95"/>
        <v xml:space="preserve">  -  1050x400 มม.</v>
      </c>
      <c r="C286" s="1349"/>
      <c r="D286" s="801"/>
      <c r="E286" s="1350">
        <f t="shared" si="96"/>
        <v>1</v>
      </c>
      <c r="F286" s="867" t="str">
        <f t="shared" si="97"/>
        <v>ชุด</v>
      </c>
      <c r="G286" s="1249">
        <v>2700</v>
      </c>
      <c r="H286" s="854">
        <f t="shared" si="98"/>
        <v>2700</v>
      </c>
      <c r="I286" s="865">
        <v>325</v>
      </c>
      <c r="J286" s="864">
        <f t="shared" si="99"/>
        <v>325</v>
      </c>
      <c r="K286" s="867">
        <f t="shared" si="100"/>
        <v>3025</v>
      </c>
      <c r="L286" s="867"/>
      <c r="M286" s="1328" t="s">
        <v>2612</v>
      </c>
      <c r="N286" s="1404">
        <v>1</v>
      </c>
      <c r="O286" s="1404"/>
    </row>
    <row r="287" spans="1:16" s="1329" customFormat="1" ht="24" customHeight="1">
      <c r="A287" s="1330"/>
      <c r="B287" s="1331" t="str">
        <f t="shared" si="95"/>
        <v xml:space="preserve">  -  1200x500 มม.</v>
      </c>
      <c r="C287" s="1349"/>
      <c r="D287" s="801"/>
      <c r="E287" s="1350">
        <f t="shared" si="96"/>
        <v>6</v>
      </c>
      <c r="F287" s="867" t="str">
        <f t="shared" si="97"/>
        <v>ชุด</v>
      </c>
      <c r="G287" s="1140">
        <v>3800</v>
      </c>
      <c r="H287" s="854">
        <f t="shared" si="98"/>
        <v>22800</v>
      </c>
      <c r="I287" s="855">
        <v>325</v>
      </c>
      <c r="J287" s="796">
        <f t="shared" si="99"/>
        <v>1950</v>
      </c>
      <c r="K287" s="867">
        <f t="shared" si="100"/>
        <v>24750</v>
      </c>
      <c r="L287" s="867"/>
      <c r="M287" s="1328" t="s">
        <v>2613</v>
      </c>
      <c r="N287" s="1404">
        <v>6</v>
      </c>
      <c r="O287" s="1404"/>
    </row>
    <row r="288" spans="1:16" s="1329" customFormat="1" ht="24" customHeight="1">
      <c r="A288" s="1330"/>
      <c r="B288" s="1331" t="str">
        <f t="shared" si="95"/>
        <v xml:space="preserve">  -  1400x700 มม.</v>
      </c>
      <c r="C288" s="1349"/>
      <c r="D288" s="801"/>
      <c r="E288" s="1350">
        <f t="shared" si="96"/>
        <v>2</v>
      </c>
      <c r="F288" s="867" t="str">
        <f t="shared" si="97"/>
        <v>ชุด</v>
      </c>
      <c r="G288" s="1249">
        <v>5250</v>
      </c>
      <c r="H288" s="864">
        <f t="shared" si="98"/>
        <v>10500</v>
      </c>
      <c r="I288" s="855">
        <v>325</v>
      </c>
      <c r="J288" s="796">
        <f t="shared" si="99"/>
        <v>650</v>
      </c>
      <c r="K288" s="867">
        <f t="shared" si="100"/>
        <v>11150</v>
      </c>
      <c r="L288" s="867"/>
      <c r="M288" s="1328" t="s">
        <v>2614</v>
      </c>
      <c r="N288" s="1404">
        <v>2</v>
      </c>
      <c r="O288" s="1404"/>
    </row>
    <row r="289" spans="1:15" s="1329" customFormat="1" ht="24" customHeight="1">
      <c r="A289" s="1330"/>
      <c r="B289" s="1331" t="str">
        <f t="shared" si="95"/>
        <v xml:space="preserve">  -  1500x500 มม.</v>
      </c>
      <c r="C289" s="1349"/>
      <c r="D289" s="801"/>
      <c r="E289" s="1350">
        <f t="shared" si="96"/>
        <v>1</v>
      </c>
      <c r="F289" s="867" t="str">
        <f t="shared" si="97"/>
        <v>ชุด</v>
      </c>
      <c r="G289" s="1249">
        <v>5000</v>
      </c>
      <c r="H289" s="864">
        <f t="shared" si="98"/>
        <v>5000</v>
      </c>
      <c r="I289" s="855">
        <v>325</v>
      </c>
      <c r="J289" s="796">
        <f t="shared" si="99"/>
        <v>325</v>
      </c>
      <c r="K289" s="867">
        <f t="shared" si="100"/>
        <v>5325</v>
      </c>
      <c r="L289" s="867"/>
      <c r="M289" s="1328" t="s">
        <v>2615</v>
      </c>
      <c r="N289" s="1404">
        <v>1</v>
      </c>
      <c r="O289" s="1404"/>
    </row>
    <row r="290" spans="1:15" s="1329" customFormat="1" ht="24" customHeight="1">
      <c r="A290" s="1330"/>
      <c r="B290" s="1331" t="str">
        <f t="shared" si="95"/>
        <v xml:space="preserve">  -  2000x700 มม.</v>
      </c>
      <c r="C290" s="1349"/>
      <c r="D290" s="801"/>
      <c r="E290" s="1350">
        <f t="shared" si="96"/>
        <v>2</v>
      </c>
      <c r="F290" s="867" t="str">
        <f t="shared" si="97"/>
        <v>ชุด</v>
      </c>
      <c r="G290" s="1249">
        <v>6750</v>
      </c>
      <c r="H290" s="864">
        <f t="shared" si="98"/>
        <v>13500</v>
      </c>
      <c r="I290" s="855">
        <v>325</v>
      </c>
      <c r="J290" s="796">
        <f t="shared" si="99"/>
        <v>650</v>
      </c>
      <c r="K290" s="867">
        <f t="shared" si="100"/>
        <v>14150</v>
      </c>
      <c r="L290" s="867"/>
      <c r="M290" s="1328" t="s">
        <v>2616</v>
      </c>
      <c r="N290" s="1404">
        <v>2</v>
      </c>
      <c r="O290" s="1404"/>
    </row>
    <row r="291" spans="1:15" s="1329" customFormat="1" ht="24" customHeight="1">
      <c r="A291" s="1330"/>
      <c r="B291" s="1331" t="str">
        <f t="shared" si="95"/>
        <v xml:space="preserve">  -  2900x600 มม.</v>
      </c>
      <c r="C291" s="1349"/>
      <c r="D291" s="801"/>
      <c r="E291" s="1350">
        <f t="shared" si="96"/>
        <v>2</v>
      </c>
      <c r="F291" s="867" t="str">
        <f t="shared" si="97"/>
        <v>ชุด</v>
      </c>
      <c r="G291" s="1249">
        <v>8750</v>
      </c>
      <c r="H291" s="864">
        <f t="shared" si="98"/>
        <v>17500</v>
      </c>
      <c r="I291" s="855">
        <v>325</v>
      </c>
      <c r="J291" s="796">
        <f t="shared" si="99"/>
        <v>650</v>
      </c>
      <c r="K291" s="867">
        <f t="shared" si="100"/>
        <v>18150</v>
      </c>
      <c r="L291" s="867"/>
      <c r="M291" s="1328" t="s">
        <v>2617</v>
      </c>
      <c r="N291" s="1404">
        <v>2</v>
      </c>
      <c r="O291" s="1404"/>
    </row>
    <row r="292" spans="1:15" s="1329" customFormat="1" ht="24" customHeight="1">
      <c r="A292" s="1330"/>
      <c r="B292" s="1331" t="str">
        <f t="shared" si="95"/>
        <v xml:space="preserve">  -  3200x600 มม.</v>
      </c>
      <c r="C292" s="1349"/>
      <c r="D292" s="801"/>
      <c r="E292" s="1350">
        <f t="shared" si="96"/>
        <v>2</v>
      </c>
      <c r="F292" s="867" t="str">
        <f t="shared" si="97"/>
        <v>ชุด</v>
      </c>
      <c r="G292" s="1249">
        <v>9500</v>
      </c>
      <c r="H292" s="864">
        <f t="shared" si="98"/>
        <v>19000</v>
      </c>
      <c r="I292" s="855">
        <v>325</v>
      </c>
      <c r="J292" s="796">
        <f t="shared" si="99"/>
        <v>650</v>
      </c>
      <c r="K292" s="867">
        <f t="shared" si="100"/>
        <v>19650</v>
      </c>
      <c r="L292" s="867"/>
      <c r="M292" s="1328" t="s">
        <v>2618</v>
      </c>
      <c r="N292" s="1404">
        <v>2</v>
      </c>
      <c r="O292" s="1404"/>
    </row>
    <row r="293" spans="1:15" s="1329" customFormat="1" ht="24" customHeight="1">
      <c r="A293" s="1330" t="s">
        <v>2619</v>
      </c>
      <c r="B293" s="1331" t="s">
        <v>2063</v>
      </c>
      <c r="C293" s="1349"/>
      <c r="D293" s="801"/>
      <c r="E293" s="966"/>
      <c r="F293" s="867"/>
      <c r="G293" s="1249"/>
      <c r="H293" s="864"/>
      <c r="I293" s="865"/>
      <c r="J293" s="864"/>
      <c r="K293" s="867"/>
      <c r="L293" s="867"/>
      <c r="M293" s="1328"/>
    </row>
    <row r="294" spans="1:15" s="1329" customFormat="1" ht="24" customHeight="1">
      <c r="A294" s="1330"/>
      <c r="B294" s="1331" t="str">
        <f t="shared" ref="B294:B297" si="101">"  -  "&amp;M294&amp;" มม."</f>
        <v xml:space="preserve">  -  650x650 มม.</v>
      </c>
      <c r="C294" s="1349"/>
      <c r="D294" s="801"/>
      <c r="E294" s="1350">
        <f t="shared" ref="E294:E297" si="102">N294</f>
        <v>12</v>
      </c>
      <c r="F294" s="867" t="str">
        <f t="shared" ref="F294:F297" si="103">IF(E294="","","ชุด")</f>
        <v>ชุด</v>
      </c>
      <c r="G294" s="1249">
        <v>2025</v>
      </c>
      <c r="H294" s="854">
        <f t="shared" ref="H294:H297" si="104">ROUND(E294*G294,)</f>
        <v>24300</v>
      </c>
      <c r="I294" s="865">
        <v>200</v>
      </c>
      <c r="J294" s="864">
        <f t="shared" ref="J294:J297" si="105">ROUND(E294*I294,)</f>
        <v>2400</v>
      </c>
      <c r="K294" s="867">
        <f t="shared" ref="K294:K297" si="106">H294+J294</f>
        <v>26700</v>
      </c>
      <c r="L294" s="867"/>
      <c r="M294" s="1328" t="s">
        <v>2045</v>
      </c>
      <c r="N294" s="1404">
        <v>12</v>
      </c>
      <c r="O294" s="1404"/>
    </row>
    <row r="295" spans="1:15" s="1329" customFormat="1" ht="24" customHeight="1">
      <c r="A295" s="1330"/>
      <c r="B295" s="1331" t="str">
        <f t="shared" si="101"/>
        <v xml:space="preserve">  -  1200x500 มม.</v>
      </c>
      <c r="C295" s="1349"/>
      <c r="D295" s="801"/>
      <c r="E295" s="1350">
        <f t="shared" si="102"/>
        <v>3</v>
      </c>
      <c r="F295" s="867" t="str">
        <f t="shared" si="103"/>
        <v>ชุด</v>
      </c>
      <c r="G295" s="1140">
        <v>3000</v>
      </c>
      <c r="H295" s="854">
        <f t="shared" si="104"/>
        <v>9000</v>
      </c>
      <c r="I295" s="855">
        <v>250</v>
      </c>
      <c r="J295" s="796">
        <f t="shared" si="105"/>
        <v>750</v>
      </c>
      <c r="K295" s="914">
        <f t="shared" si="106"/>
        <v>9750</v>
      </c>
      <c r="L295" s="867"/>
      <c r="M295" s="1328" t="s">
        <v>2613</v>
      </c>
      <c r="N295" s="1404">
        <v>3</v>
      </c>
      <c r="O295" s="1404"/>
    </row>
    <row r="296" spans="1:15" s="1329" customFormat="1" ht="24" customHeight="1">
      <c r="A296" s="1330"/>
      <c r="B296" s="1331" t="str">
        <f t="shared" si="101"/>
        <v xml:space="preserve">  -  1200x700 มม.</v>
      </c>
      <c r="C296" s="1349"/>
      <c r="D296" s="801"/>
      <c r="E296" s="1350">
        <f t="shared" si="102"/>
        <v>2</v>
      </c>
      <c r="F296" s="867" t="str">
        <f t="shared" si="103"/>
        <v>ชุด</v>
      </c>
      <c r="G296" s="1249">
        <v>3800</v>
      </c>
      <c r="H296" s="864">
        <f t="shared" si="104"/>
        <v>7600</v>
      </c>
      <c r="I296" s="855">
        <v>250</v>
      </c>
      <c r="J296" s="796">
        <f t="shared" si="105"/>
        <v>500</v>
      </c>
      <c r="K296" s="914">
        <f t="shared" si="106"/>
        <v>8100</v>
      </c>
      <c r="L296" s="867"/>
      <c r="M296" s="1328" t="s">
        <v>2620</v>
      </c>
      <c r="N296" s="1404">
        <v>2</v>
      </c>
      <c r="O296" s="1404"/>
    </row>
    <row r="297" spans="1:15" s="1329" customFormat="1" ht="24" customHeight="1">
      <c r="A297" s="1330"/>
      <c r="B297" s="1331" t="str">
        <f t="shared" si="101"/>
        <v xml:space="preserve">  -  1400x700 มม.</v>
      </c>
      <c r="C297" s="1349"/>
      <c r="D297" s="801"/>
      <c r="E297" s="1350">
        <f t="shared" si="102"/>
        <v>1</v>
      </c>
      <c r="F297" s="867" t="str">
        <f t="shared" si="103"/>
        <v>ชุด</v>
      </c>
      <c r="G297" s="1249">
        <v>4200</v>
      </c>
      <c r="H297" s="864">
        <f t="shared" si="104"/>
        <v>4200</v>
      </c>
      <c r="I297" s="855">
        <v>250</v>
      </c>
      <c r="J297" s="796">
        <f t="shared" si="105"/>
        <v>250</v>
      </c>
      <c r="K297" s="914">
        <f t="shared" si="106"/>
        <v>4450</v>
      </c>
      <c r="L297" s="867"/>
      <c r="M297" s="1328" t="s">
        <v>2614</v>
      </c>
      <c r="N297" s="1404">
        <v>1</v>
      </c>
      <c r="O297" s="1404"/>
    </row>
    <row r="298" spans="1:15" s="1329" customFormat="1" ht="24" customHeight="1">
      <c r="A298" s="1330" t="s">
        <v>2621</v>
      </c>
      <c r="B298" s="1331" t="s">
        <v>2239</v>
      </c>
      <c r="C298" s="1349"/>
      <c r="D298" s="801"/>
      <c r="E298" s="966"/>
      <c r="F298" s="867"/>
      <c r="G298" s="1249"/>
      <c r="H298" s="864"/>
      <c r="I298" s="865"/>
      <c r="J298" s="864"/>
      <c r="K298" s="867"/>
      <c r="L298" s="867"/>
      <c r="M298" s="1328"/>
    </row>
    <row r="299" spans="1:15" s="1329" customFormat="1" ht="24" customHeight="1">
      <c r="A299" s="1330"/>
      <c r="B299" s="1331" t="str">
        <f t="shared" ref="B299:B300" si="107">"  -  "&amp;M299&amp;" มม."</f>
        <v xml:space="preserve">  -  650x650 มม.</v>
      </c>
      <c r="C299" s="1349"/>
      <c r="D299" s="801"/>
      <c r="E299" s="1350">
        <f t="shared" ref="E299:E300" si="108">N299</f>
        <v>2</v>
      </c>
      <c r="F299" s="867" t="str">
        <f t="shared" ref="F299:F300" si="109">IF(E299="","","ชุด")</f>
        <v>ชุด</v>
      </c>
      <c r="G299" s="1249"/>
      <c r="H299" s="864"/>
      <c r="I299" s="865"/>
      <c r="J299" s="864"/>
      <c r="K299" s="867"/>
      <c r="L299" s="867"/>
      <c r="M299" s="1328" t="s">
        <v>2045</v>
      </c>
      <c r="N299" s="1404">
        <v>2</v>
      </c>
      <c r="O299" s="1404"/>
    </row>
    <row r="300" spans="1:15" s="1329" customFormat="1" ht="24" customHeight="1">
      <c r="A300" s="1330"/>
      <c r="B300" s="1331" t="str">
        <f t="shared" si="107"/>
        <v xml:space="preserve">  -  1500x1500 มม.</v>
      </c>
      <c r="C300" s="1349"/>
      <c r="D300" s="801"/>
      <c r="E300" s="1350">
        <f t="shared" si="108"/>
        <v>2</v>
      </c>
      <c r="F300" s="867" t="str">
        <f t="shared" si="109"/>
        <v>ชุด</v>
      </c>
      <c r="G300" s="1249"/>
      <c r="H300" s="864"/>
      <c r="I300" s="865"/>
      <c r="J300" s="864"/>
      <c r="K300" s="867"/>
      <c r="L300" s="867"/>
      <c r="M300" s="1328" t="s">
        <v>2622</v>
      </c>
      <c r="N300" s="1404">
        <v>2</v>
      </c>
      <c r="O300" s="1404"/>
    </row>
    <row r="301" spans="1:15" s="1329" customFormat="1" ht="24" customHeight="1">
      <c r="A301" s="1334"/>
      <c r="B301" s="1335" t="s">
        <v>957</v>
      </c>
      <c r="C301" s="1352"/>
      <c r="D301" s="890"/>
      <c r="E301" s="1337"/>
      <c r="F301" s="910"/>
      <c r="G301" s="1353"/>
      <c r="H301" s="891"/>
      <c r="I301" s="892"/>
      <c r="J301" s="891"/>
      <c r="K301" s="910"/>
      <c r="L301" s="910"/>
      <c r="M301" s="1328"/>
    </row>
    <row r="302" spans="1:15" s="1329" customFormat="1" ht="24" customHeight="1">
      <c r="A302" s="1166"/>
      <c r="B302" s="2475" t="str">
        <f>"รวมราคารายการที่ "&amp;A260</f>
        <v>รวมราคารายการที่ 7.13</v>
      </c>
      <c r="C302" s="2476"/>
      <c r="D302" s="2477"/>
      <c r="E302" s="1167"/>
      <c r="F302" s="1167"/>
      <c r="G302" s="1168"/>
      <c r="H302" s="1169">
        <f>SUM(H260:H301)</f>
        <v>351275</v>
      </c>
      <c r="I302" s="1170"/>
      <c r="J302" s="1169">
        <f>SUM(J260:J301)</f>
        <v>35200</v>
      </c>
      <c r="K302" s="1169">
        <f>SUM(K260:K301)</f>
        <v>386475</v>
      </c>
      <c r="L302" s="1171"/>
      <c r="M302" s="1328"/>
    </row>
    <row r="303" spans="1:15" s="1329" customFormat="1" ht="24" customHeight="1">
      <c r="A303" s="1325" t="s">
        <v>2623</v>
      </c>
      <c r="B303" s="1326" t="s">
        <v>2066</v>
      </c>
      <c r="C303" s="1347"/>
      <c r="D303" s="901"/>
      <c r="E303" s="1019"/>
      <c r="F303" s="947"/>
      <c r="G303" s="1310"/>
      <c r="H303" s="864"/>
      <c r="I303" s="774"/>
      <c r="J303" s="864"/>
      <c r="K303" s="966"/>
      <c r="L303" s="903"/>
      <c r="M303" s="1328"/>
    </row>
    <row r="304" spans="1:15" s="1329" customFormat="1" ht="24" customHeight="1">
      <c r="A304" s="1330" t="s">
        <v>2624</v>
      </c>
      <c r="B304" s="1331" t="s">
        <v>2068</v>
      </c>
      <c r="C304" s="1349"/>
      <c r="D304" s="801"/>
      <c r="E304" s="966"/>
      <c r="F304" s="867"/>
      <c r="G304" s="1249"/>
      <c r="H304" s="864"/>
      <c r="I304" s="865"/>
      <c r="J304" s="864"/>
      <c r="K304" s="867"/>
      <c r="L304" s="867"/>
      <c r="M304" s="1328"/>
    </row>
    <row r="305" spans="1:13" s="1329" customFormat="1" ht="24" customHeight="1">
      <c r="A305" s="1330"/>
      <c r="B305" s="1331" t="s">
        <v>2625</v>
      </c>
      <c r="C305" s="1349"/>
      <c r="D305" s="801"/>
      <c r="E305" s="1019">
        <v>1</v>
      </c>
      <c r="F305" s="867" t="s">
        <v>240</v>
      </c>
      <c r="G305" s="1249">
        <v>490000</v>
      </c>
      <c r="H305" s="864">
        <f t="shared" ref="H305:H320" si="110">ROUND(E305*G305,)</f>
        <v>490000</v>
      </c>
      <c r="I305" s="1249">
        <f>G305*0.1</f>
        <v>49000</v>
      </c>
      <c r="J305" s="864">
        <f t="shared" ref="J305:J320" si="111">ROUND(E305*I305,)</f>
        <v>49000</v>
      </c>
      <c r="K305" s="966">
        <f t="shared" ref="K305:K320" si="112">H305+J305</f>
        <v>539000</v>
      </c>
      <c r="L305" s="867"/>
      <c r="M305" s="1328"/>
    </row>
    <row r="306" spans="1:13" s="1329" customFormat="1" ht="24" customHeight="1">
      <c r="A306" s="1330"/>
      <c r="B306" s="1331" t="s">
        <v>2626</v>
      </c>
      <c r="C306" s="1349"/>
      <c r="D306" s="801"/>
      <c r="E306" s="1019">
        <v>1</v>
      </c>
      <c r="F306" s="867" t="s">
        <v>240</v>
      </c>
      <c r="G306" s="1249">
        <v>25000</v>
      </c>
      <c r="H306" s="864">
        <f t="shared" si="110"/>
        <v>25000</v>
      </c>
      <c r="I306" s="1249">
        <f t="shared" ref="I306:I320" si="113">G306*0.1</f>
        <v>2500</v>
      </c>
      <c r="J306" s="864">
        <f t="shared" si="111"/>
        <v>2500</v>
      </c>
      <c r="K306" s="966">
        <f t="shared" si="112"/>
        <v>27500</v>
      </c>
      <c r="L306" s="867"/>
      <c r="M306" s="1328"/>
    </row>
    <row r="307" spans="1:13" s="1329" customFormat="1" ht="24" customHeight="1">
      <c r="A307" s="1330"/>
      <c r="B307" s="1331" t="s">
        <v>2627</v>
      </c>
      <c r="C307" s="1349"/>
      <c r="D307" s="801"/>
      <c r="E307" s="1019">
        <v>1</v>
      </c>
      <c r="F307" s="867" t="s">
        <v>240</v>
      </c>
      <c r="G307" s="1249">
        <v>20000</v>
      </c>
      <c r="H307" s="864">
        <f t="shared" si="110"/>
        <v>20000</v>
      </c>
      <c r="I307" s="1249">
        <f t="shared" si="113"/>
        <v>2000</v>
      </c>
      <c r="J307" s="864">
        <f t="shared" si="111"/>
        <v>2000</v>
      </c>
      <c r="K307" s="966">
        <f t="shared" si="112"/>
        <v>22000</v>
      </c>
      <c r="L307" s="867"/>
      <c r="M307" s="1328"/>
    </row>
    <row r="308" spans="1:13" s="1329" customFormat="1" ht="24" customHeight="1">
      <c r="A308" s="1330"/>
      <c r="B308" s="1331" t="s">
        <v>2628</v>
      </c>
      <c r="C308" s="1349"/>
      <c r="D308" s="801"/>
      <c r="E308" s="1019">
        <v>1</v>
      </c>
      <c r="F308" s="867" t="s">
        <v>240</v>
      </c>
      <c r="G308" s="1249">
        <v>20000</v>
      </c>
      <c r="H308" s="864">
        <f t="shared" si="110"/>
        <v>20000</v>
      </c>
      <c r="I308" s="1249">
        <f t="shared" si="113"/>
        <v>2000</v>
      </c>
      <c r="J308" s="864">
        <f t="shared" si="111"/>
        <v>2000</v>
      </c>
      <c r="K308" s="966">
        <f t="shared" si="112"/>
        <v>22000</v>
      </c>
      <c r="L308" s="867"/>
      <c r="M308" s="1328"/>
    </row>
    <row r="309" spans="1:13" s="1329" customFormat="1" ht="24" customHeight="1">
      <c r="A309" s="1330"/>
      <c r="B309" s="1331" t="s">
        <v>2629</v>
      </c>
      <c r="C309" s="1349"/>
      <c r="D309" s="801"/>
      <c r="E309" s="1019">
        <v>1</v>
      </c>
      <c r="F309" s="867" t="s">
        <v>240</v>
      </c>
      <c r="G309" s="1249">
        <v>55000</v>
      </c>
      <c r="H309" s="864">
        <f t="shared" si="110"/>
        <v>55000</v>
      </c>
      <c r="I309" s="1249">
        <f t="shared" si="113"/>
        <v>5500</v>
      </c>
      <c r="J309" s="864">
        <f t="shared" si="111"/>
        <v>5500</v>
      </c>
      <c r="K309" s="966">
        <f t="shared" si="112"/>
        <v>60500</v>
      </c>
      <c r="L309" s="867"/>
      <c r="M309" s="1328"/>
    </row>
    <row r="310" spans="1:13" s="1329" customFormat="1" ht="24" customHeight="1">
      <c r="A310" s="1330"/>
      <c r="B310" s="1331" t="s">
        <v>2630</v>
      </c>
      <c r="C310" s="1349"/>
      <c r="D310" s="801"/>
      <c r="E310" s="1019">
        <v>1</v>
      </c>
      <c r="F310" s="867" t="s">
        <v>240</v>
      </c>
      <c r="G310" s="1249">
        <v>50000</v>
      </c>
      <c r="H310" s="864">
        <f t="shared" si="110"/>
        <v>50000</v>
      </c>
      <c r="I310" s="1249">
        <f t="shared" si="113"/>
        <v>5000</v>
      </c>
      <c r="J310" s="864">
        <f t="shared" si="111"/>
        <v>5000</v>
      </c>
      <c r="K310" s="966">
        <f t="shared" si="112"/>
        <v>55000</v>
      </c>
      <c r="L310" s="867"/>
      <c r="M310" s="1328"/>
    </row>
    <row r="311" spans="1:13" s="1329" customFormat="1" ht="24" customHeight="1">
      <c r="A311" s="1330"/>
      <c r="B311" s="1331" t="s">
        <v>2631</v>
      </c>
      <c r="C311" s="1349"/>
      <c r="D311" s="801"/>
      <c r="E311" s="1019">
        <v>1</v>
      </c>
      <c r="F311" s="867" t="s">
        <v>240</v>
      </c>
      <c r="G311" s="1249">
        <v>45000</v>
      </c>
      <c r="H311" s="864">
        <f t="shared" si="110"/>
        <v>45000</v>
      </c>
      <c r="I311" s="1249">
        <f t="shared" si="113"/>
        <v>4500</v>
      </c>
      <c r="J311" s="864">
        <f t="shared" si="111"/>
        <v>4500</v>
      </c>
      <c r="K311" s="966">
        <f t="shared" si="112"/>
        <v>49500</v>
      </c>
      <c r="L311" s="867"/>
      <c r="M311" s="1328"/>
    </row>
    <row r="312" spans="1:13" s="1329" customFormat="1" ht="24" customHeight="1">
      <c r="A312" s="1330"/>
      <c r="B312" s="1331" t="s">
        <v>2632</v>
      </c>
      <c r="C312" s="1349"/>
      <c r="D312" s="801"/>
      <c r="E312" s="1019">
        <v>1</v>
      </c>
      <c r="F312" s="867" t="s">
        <v>240</v>
      </c>
      <c r="G312" s="1249">
        <v>35000</v>
      </c>
      <c r="H312" s="864">
        <f t="shared" si="110"/>
        <v>35000</v>
      </c>
      <c r="I312" s="1249">
        <f t="shared" si="113"/>
        <v>3500</v>
      </c>
      <c r="J312" s="864">
        <f t="shared" si="111"/>
        <v>3500</v>
      </c>
      <c r="K312" s="966">
        <f t="shared" si="112"/>
        <v>38500</v>
      </c>
      <c r="L312" s="867"/>
      <c r="M312" s="1328"/>
    </row>
    <row r="313" spans="1:13" s="1329" customFormat="1" ht="24" customHeight="1">
      <c r="A313" s="1330"/>
      <c r="B313" s="1331" t="s">
        <v>2633</v>
      </c>
      <c r="C313" s="1349"/>
      <c r="D313" s="801"/>
      <c r="E313" s="1019">
        <v>1</v>
      </c>
      <c r="F313" s="867" t="s">
        <v>240</v>
      </c>
      <c r="G313" s="1249">
        <v>250000</v>
      </c>
      <c r="H313" s="864">
        <f t="shared" si="110"/>
        <v>250000</v>
      </c>
      <c r="I313" s="1249">
        <f t="shared" si="113"/>
        <v>25000</v>
      </c>
      <c r="J313" s="864">
        <f t="shared" si="111"/>
        <v>25000</v>
      </c>
      <c r="K313" s="966">
        <f t="shared" si="112"/>
        <v>275000</v>
      </c>
      <c r="L313" s="867"/>
      <c r="M313" s="1328"/>
    </row>
    <row r="314" spans="1:13" s="1329" customFormat="1" ht="24" customHeight="1">
      <c r="A314" s="1330"/>
      <c r="B314" s="1331" t="s">
        <v>2634</v>
      </c>
      <c r="C314" s="1349"/>
      <c r="D314" s="801"/>
      <c r="E314" s="1019">
        <v>1</v>
      </c>
      <c r="F314" s="867" t="s">
        <v>240</v>
      </c>
      <c r="G314" s="1249">
        <v>50000</v>
      </c>
      <c r="H314" s="864">
        <f t="shared" si="110"/>
        <v>50000</v>
      </c>
      <c r="I314" s="1249">
        <f t="shared" si="113"/>
        <v>5000</v>
      </c>
      <c r="J314" s="864">
        <f t="shared" si="111"/>
        <v>5000</v>
      </c>
      <c r="K314" s="966">
        <f t="shared" si="112"/>
        <v>55000</v>
      </c>
      <c r="L314" s="867"/>
      <c r="M314" s="1328"/>
    </row>
    <row r="315" spans="1:13" s="1329" customFormat="1" ht="24" customHeight="1">
      <c r="A315" s="1330"/>
      <c r="B315" s="1331" t="s">
        <v>2635</v>
      </c>
      <c r="C315" s="1349"/>
      <c r="D315" s="801"/>
      <c r="E315" s="1019">
        <v>1</v>
      </c>
      <c r="F315" s="867" t="s">
        <v>240</v>
      </c>
      <c r="G315" s="1249">
        <v>35000</v>
      </c>
      <c r="H315" s="864">
        <f t="shared" si="110"/>
        <v>35000</v>
      </c>
      <c r="I315" s="1249">
        <f t="shared" si="113"/>
        <v>3500</v>
      </c>
      <c r="J315" s="864">
        <f t="shared" si="111"/>
        <v>3500</v>
      </c>
      <c r="K315" s="966">
        <f t="shared" si="112"/>
        <v>38500</v>
      </c>
      <c r="L315" s="867"/>
      <c r="M315" s="1328"/>
    </row>
    <row r="316" spans="1:13" s="1329" customFormat="1" ht="24" customHeight="1">
      <c r="A316" s="1330"/>
      <c r="B316" s="1331" t="s">
        <v>2636</v>
      </c>
      <c r="C316" s="1349"/>
      <c r="D316" s="801"/>
      <c r="E316" s="1019">
        <v>1</v>
      </c>
      <c r="F316" s="867" t="s">
        <v>240</v>
      </c>
      <c r="G316" s="1249">
        <v>15000</v>
      </c>
      <c r="H316" s="864">
        <f t="shared" si="110"/>
        <v>15000</v>
      </c>
      <c r="I316" s="1249">
        <f t="shared" si="113"/>
        <v>1500</v>
      </c>
      <c r="J316" s="864">
        <f t="shared" si="111"/>
        <v>1500</v>
      </c>
      <c r="K316" s="966">
        <f t="shared" si="112"/>
        <v>16500</v>
      </c>
      <c r="L316" s="867"/>
      <c r="M316" s="1328"/>
    </row>
    <row r="317" spans="1:13" s="1329" customFormat="1" ht="24" customHeight="1">
      <c r="A317" s="1330"/>
      <c r="B317" s="1331" t="s">
        <v>2637</v>
      </c>
      <c r="C317" s="1349"/>
      <c r="D317" s="801"/>
      <c r="E317" s="1019">
        <v>1</v>
      </c>
      <c r="F317" s="867" t="s">
        <v>240</v>
      </c>
      <c r="G317" s="1249">
        <v>25000</v>
      </c>
      <c r="H317" s="864">
        <f t="shared" si="110"/>
        <v>25000</v>
      </c>
      <c r="I317" s="1249">
        <f t="shared" si="113"/>
        <v>2500</v>
      </c>
      <c r="J317" s="864">
        <f t="shared" si="111"/>
        <v>2500</v>
      </c>
      <c r="K317" s="966">
        <f t="shared" si="112"/>
        <v>27500</v>
      </c>
      <c r="L317" s="867"/>
      <c r="M317" s="1328"/>
    </row>
    <row r="318" spans="1:13" s="1329" customFormat="1" ht="24" customHeight="1">
      <c r="A318" s="1330"/>
      <c r="B318" s="1331" t="s">
        <v>2638</v>
      </c>
      <c r="C318" s="1349"/>
      <c r="D318" s="801"/>
      <c r="E318" s="1019">
        <v>1</v>
      </c>
      <c r="F318" s="867" t="s">
        <v>240</v>
      </c>
      <c r="G318" s="1249">
        <v>45000</v>
      </c>
      <c r="H318" s="864">
        <f t="shared" si="110"/>
        <v>45000</v>
      </c>
      <c r="I318" s="1249">
        <f t="shared" si="113"/>
        <v>4500</v>
      </c>
      <c r="J318" s="864">
        <f t="shared" si="111"/>
        <v>4500</v>
      </c>
      <c r="K318" s="966">
        <f t="shared" si="112"/>
        <v>49500</v>
      </c>
      <c r="L318" s="867"/>
      <c r="M318" s="1328"/>
    </row>
    <row r="319" spans="1:13" s="1329" customFormat="1" ht="24" customHeight="1">
      <c r="A319" s="1330"/>
      <c r="B319" s="1331" t="s">
        <v>2639</v>
      </c>
      <c r="C319" s="1349"/>
      <c r="D319" s="801"/>
      <c r="E319" s="1019">
        <v>1</v>
      </c>
      <c r="F319" s="867" t="s">
        <v>240</v>
      </c>
      <c r="G319" s="1249">
        <v>45000</v>
      </c>
      <c r="H319" s="864">
        <f t="shared" si="110"/>
        <v>45000</v>
      </c>
      <c r="I319" s="1249">
        <f t="shared" si="113"/>
        <v>4500</v>
      </c>
      <c r="J319" s="864">
        <f t="shared" si="111"/>
        <v>4500</v>
      </c>
      <c r="K319" s="966">
        <f t="shared" si="112"/>
        <v>49500</v>
      </c>
      <c r="L319" s="867"/>
      <c r="M319" s="1328"/>
    </row>
    <row r="320" spans="1:13" s="1329" customFormat="1" ht="24" customHeight="1">
      <c r="A320" s="1330"/>
      <c r="B320" s="1331" t="s">
        <v>2640</v>
      </c>
      <c r="C320" s="1349"/>
      <c r="D320" s="801"/>
      <c r="E320" s="1019">
        <v>1</v>
      </c>
      <c r="F320" s="867" t="s">
        <v>240</v>
      </c>
      <c r="G320" s="1249">
        <v>25000</v>
      </c>
      <c r="H320" s="864">
        <f t="shared" si="110"/>
        <v>25000</v>
      </c>
      <c r="I320" s="1249">
        <f t="shared" si="113"/>
        <v>2500</v>
      </c>
      <c r="J320" s="864">
        <f t="shared" si="111"/>
        <v>2500</v>
      </c>
      <c r="K320" s="966">
        <f t="shared" si="112"/>
        <v>27500</v>
      </c>
      <c r="L320" s="867"/>
      <c r="M320" s="1328"/>
    </row>
    <row r="321" spans="1:15" s="1329" customFormat="1" ht="24" customHeight="1">
      <c r="A321" s="1330" t="s">
        <v>2641</v>
      </c>
      <c r="B321" s="1331" t="s">
        <v>1207</v>
      </c>
      <c r="C321" s="1349"/>
      <c r="D321" s="801"/>
      <c r="E321" s="966"/>
      <c r="F321" s="867"/>
      <c r="G321" s="1249"/>
      <c r="H321" s="864"/>
      <c r="I321" s="865"/>
      <c r="J321" s="864"/>
      <c r="K321" s="867"/>
      <c r="L321" s="867"/>
      <c r="M321" s="1328"/>
    </row>
    <row r="322" spans="1:15" s="1329" customFormat="1" ht="24" customHeight="1">
      <c r="A322" s="1330"/>
      <c r="B322" s="1331" t="s">
        <v>1737</v>
      </c>
      <c r="C322" s="1349"/>
      <c r="D322" s="801"/>
      <c r="E322" s="966"/>
      <c r="F322" s="867" t="s">
        <v>438</v>
      </c>
      <c r="G322" s="752">
        <v>9</v>
      </c>
      <c r="H322" s="796">
        <f t="shared" ref="H322:H327" si="114">ROUND(E322*G322,)</f>
        <v>0</v>
      </c>
      <c r="I322" s="865">
        <v>7</v>
      </c>
      <c r="J322" s="751">
        <f t="shared" ref="J322:J327" si="115">ROUND(E322*I322,)</f>
        <v>0</v>
      </c>
      <c r="K322" s="973">
        <f t="shared" ref="K322:K327" si="116">H322+J322</f>
        <v>0</v>
      </c>
      <c r="L322" s="1718" t="s">
        <v>2974</v>
      </c>
      <c r="N322" s="1404">
        <v>912.1</v>
      </c>
      <c r="O322" s="1404">
        <f t="shared" ref="O322:O327" si="117">ROUND(N322/100,)</f>
        <v>9</v>
      </c>
    </row>
    <row r="323" spans="1:15" s="1329" customFormat="1" ht="24" customHeight="1">
      <c r="A323" s="1330"/>
      <c r="B323" s="720" t="s">
        <v>1166</v>
      </c>
      <c r="C323" s="792"/>
      <c r="D323" s="792"/>
      <c r="E323" s="805">
        <f>240+60+180+120+300+60+60+180+120</f>
        <v>1320</v>
      </c>
      <c r="F323" s="794" t="s">
        <v>438</v>
      </c>
      <c r="G323" s="806">
        <v>14</v>
      </c>
      <c r="H323" s="796">
        <f t="shared" si="114"/>
        <v>18480</v>
      </c>
      <c r="I323" s="797">
        <v>10</v>
      </c>
      <c r="J323" s="796">
        <f t="shared" si="115"/>
        <v>13200</v>
      </c>
      <c r="K323" s="914">
        <f t="shared" si="116"/>
        <v>31680</v>
      </c>
      <c r="L323" s="1718" t="s">
        <v>2974</v>
      </c>
      <c r="N323" s="1404">
        <v>1375.8</v>
      </c>
      <c r="O323" s="1404">
        <f t="shared" si="117"/>
        <v>14</v>
      </c>
    </row>
    <row r="324" spans="1:15" s="1329" customFormat="1" ht="24" customHeight="1">
      <c r="A324" s="1330"/>
      <c r="B324" s="720" t="s">
        <v>1167</v>
      </c>
      <c r="C324" s="792"/>
      <c r="D324" s="792"/>
      <c r="E324" s="805">
        <f>60+105+105+15+420+60+60+60+180+15</f>
        <v>1080</v>
      </c>
      <c r="F324" s="794" t="s">
        <v>438</v>
      </c>
      <c r="G324" s="806">
        <v>23</v>
      </c>
      <c r="H324" s="796">
        <f t="shared" si="114"/>
        <v>24840</v>
      </c>
      <c r="I324" s="797">
        <v>12</v>
      </c>
      <c r="J324" s="796">
        <f t="shared" si="115"/>
        <v>12960</v>
      </c>
      <c r="K324" s="914">
        <f t="shared" si="116"/>
        <v>37800</v>
      </c>
      <c r="L324" s="1718" t="s">
        <v>2974</v>
      </c>
      <c r="N324" s="1404">
        <v>2264.1999999999998</v>
      </c>
      <c r="O324" s="1404">
        <f t="shared" si="117"/>
        <v>23</v>
      </c>
    </row>
    <row r="325" spans="1:15" s="1329" customFormat="1" ht="24" customHeight="1">
      <c r="A325" s="1330"/>
      <c r="B325" s="720" t="s">
        <v>1168</v>
      </c>
      <c r="C325" s="792"/>
      <c r="D325" s="792"/>
      <c r="E325" s="805">
        <f>180+45+45</f>
        <v>270</v>
      </c>
      <c r="F325" s="794" t="s">
        <v>438</v>
      </c>
      <c r="G325" s="806">
        <v>39</v>
      </c>
      <c r="H325" s="796">
        <f t="shared" si="114"/>
        <v>10530</v>
      </c>
      <c r="I325" s="797">
        <v>16</v>
      </c>
      <c r="J325" s="796">
        <f t="shared" si="115"/>
        <v>4320</v>
      </c>
      <c r="K325" s="914">
        <f t="shared" si="116"/>
        <v>14850</v>
      </c>
      <c r="L325" s="1718" t="s">
        <v>2974</v>
      </c>
      <c r="N325" s="1404">
        <v>3944.2</v>
      </c>
      <c r="O325" s="1404">
        <f t="shared" si="117"/>
        <v>39</v>
      </c>
    </row>
    <row r="326" spans="1:15" s="1329" customFormat="1" ht="24" customHeight="1">
      <c r="A326" s="1330"/>
      <c r="B326" s="720" t="s">
        <v>1169</v>
      </c>
      <c r="C326" s="792"/>
      <c r="D326" s="792"/>
      <c r="E326" s="805"/>
      <c r="F326" s="794" t="s">
        <v>438</v>
      </c>
      <c r="G326" s="806">
        <v>61</v>
      </c>
      <c r="H326" s="796">
        <f t="shared" si="114"/>
        <v>0</v>
      </c>
      <c r="I326" s="797">
        <v>20</v>
      </c>
      <c r="J326" s="796">
        <f t="shared" si="115"/>
        <v>0</v>
      </c>
      <c r="K326" s="914">
        <f t="shared" si="116"/>
        <v>0</v>
      </c>
      <c r="L326" s="1718" t="s">
        <v>2974</v>
      </c>
      <c r="N326" s="1404">
        <v>6120</v>
      </c>
      <c r="O326" s="1404">
        <f t="shared" si="117"/>
        <v>61</v>
      </c>
    </row>
    <row r="327" spans="1:15" s="1329" customFormat="1" ht="24" customHeight="1">
      <c r="A327" s="1330"/>
      <c r="B327" s="720" t="s">
        <v>1163</v>
      </c>
      <c r="C327" s="792"/>
      <c r="D327" s="792"/>
      <c r="E327" s="805"/>
      <c r="F327" s="794" t="s">
        <v>438</v>
      </c>
      <c r="G327" s="806">
        <v>183</v>
      </c>
      <c r="H327" s="796">
        <f t="shared" si="114"/>
        <v>0</v>
      </c>
      <c r="I327" s="797">
        <v>40</v>
      </c>
      <c r="J327" s="796">
        <f t="shared" si="115"/>
        <v>0</v>
      </c>
      <c r="K327" s="914">
        <f t="shared" si="116"/>
        <v>0</v>
      </c>
      <c r="L327" s="1718" t="s">
        <v>2974</v>
      </c>
      <c r="N327" s="1404">
        <v>18335.8</v>
      </c>
      <c r="O327" s="1404">
        <f t="shared" si="117"/>
        <v>183</v>
      </c>
    </row>
    <row r="328" spans="1:15" s="1329" customFormat="1" ht="24" customHeight="1">
      <c r="A328" s="1330"/>
      <c r="B328" s="955"/>
      <c r="C328" s="792"/>
      <c r="D328" s="792"/>
      <c r="E328" s="805"/>
      <c r="F328" s="794"/>
      <c r="G328" s="806"/>
      <c r="H328" s="796"/>
      <c r="I328" s="797"/>
      <c r="J328" s="796"/>
      <c r="K328" s="914"/>
      <c r="L328" s="867"/>
      <c r="M328" s="1328"/>
    </row>
    <row r="329" spans="1:15" s="1329" customFormat="1" ht="24" customHeight="1">
      <c r="A329" s="1330"/>
      <c r="B329" s="955"/>
      <c r="C329" s="792"/>
      <c r="D329" s="792"/>
      <c r="E329" s="805"/>
      <c r="F329" s="794"/>
      <c r="G329" s="806"/>
      <c r="H329" s="796"/>
      <c r="I329" s="797"/>
      <c r="J329" s="796"/>
      <c r="K329" s="914"/>
      <c r="L329" s="867"/>
      <c r="M329" s="1328"/>
    </row>
    <row r="330" spans="1:15" s="1329" customFormat="1" ht="24" customHeight="1">
      <c r="A330" s="1330"/>
      <c r="B330" s="955"/>
      <c r="C330" s="792"/>
      <c r="D330" s="792"/>
      <c r="E330" s="805"/>
      <c r="F330" s="794"/>
      <c r="G330" s="806"/>
      <c r="H330" s="796"/>
      <c r="I330" s="797"/>
      <c r="J330" s="796"/>
      <c r="K330" s="914"/>
      <c r="L330" s="867"/>
      <c r="M330" s="1328"/>
    </row>
    <row r="331" spans="1:15" s="1329" customFormat="1" ht="24" customHeight="1">
      <c r="A331" s="1330"/>
      <c r="B331" s="955"/>
      <c r="C331" s="792"/>
      <c r="D331" s="792"/>
      <c r="E331" s="805"/>
      <c r="F331" s="794"/>
      <c r="G331" s="806"/>
      <c r="H331" s="796"/>
      <c r="I331" s="797"/>
      <c r="J331" s="796"/>
      <c r="K331" s="914"/>
      <c r="L331" s="867"/>
      <c r="M331" s="1328"/>
    </row>
    <row r="332" spans="1:15" s="1329" customFormat="1" ht="24" customHeight="1">
      <c r="A332" s="1330"/>
      <c r="B332" s="955"/>
      <c r="C332" s="792"/>
      <c r="D332" s="792"/>
      <c r="E332" s="805"/>
      <c r="F332" s="794"/>
      <c r="G332" s="806"/>
      <c r="H332" s="796"/>
      <c r="I332" s="797"/>
      <c r="J332" s="796"/>
      <c r="K332" s="914"/>
      <c r="L332" s="867"/>
      <c r="M332" s="1328"/>
    </row>
    <row r="333" spans="1:15" s="1329" customFormat="1" ht="24" customHeight="1">
      <c r="A333" s="1330"/>
      <c r="B333" s="955"/>
      <c r="C333" s="792"/>
      <c r="D333" s="792"/>
      <c r="E333" s="805"/>
      <c r="F333" s="794"/>
      <c r="G333" s="806"/>
      <c r="H333" s="796"/>
      <c r="I333" s="797"/>
      <c r="J333" s="796"/>
      <c r="K333" s="914"/>
      <c r="L333" s="867"/>
      <c r="M333" s="1328"/>
    </row>
    <row r="334" spans="1:15" s="1329" customFormat="1" ht="24" customHeight="1">
      <c r="A334" s="1330"/>
      <c r="B334" s="955"/>
      <c r="C334" s="792"/>
      <c r="D334" s="792"/>
      <c r="E334" s="805"/>
      <c r="F334" s="794"/>
      <c r="G334" s="806"/>
      <c r="H334" s="796"/>
      <c r="I334" s="797"/>
      <c r="J334" s="796"/>
      <c r="K334" s="914"/>
      <c r="L334" s="867"/>
      <c r="M334" s="1328"/>
    </row>
    <row r="335" spans="1:15" s="1329" customFormat="1" ht="24" customHeight="1">
      <c r="A335" s="1330" t="s">
        <v>2642</v>
      </c>
      <c r="B335" s="1331" t="s">
        <v>950</v>
      </c>
      <c r="C335" s="1349"/>
      <c r="D335" s="801"/>
      <c r="E335" s="966"/>
      <c r="F335" s="867"/>
      <c r="G335" s="1249"/>
      <c r="H335" s="864"/>
      <c r="I335" s="865"/>
      <c r="J335" s="864"/>
      <c r="K335" s="867"/>
      <c r="L335" s="867"/>
      <c r="M335" s="1328"/>
    </row>
    <row r="336" spans="1:15" s="1329" customFormat="1" ht="24" customHeight="1">
      <c r="A336" s="1330"/>
      <c r="B336" s="1331" t="s">
        <v>1201</v>
      </c>
      <c r="C336" s="1349"/>
      <c r="D336" s="801"/>
      <c r="E336" s="966"/>
      <c r="F336" s="867" t="s">
        <v>438</v>
      </c>
      <c r="G336" s="1249">
        <v>56</v>
      </c>
      <c r="H336" s="796">
        <f t="shared" ref="H336:H342" si="118">ROUND(E336*G336,)</f>
        <v>0</v>
      </c>
      <c r="I336" s="865">
        <v>26</v>
      </c>
      <c r="J336" s="751">
        <f t="shared" ref="J336:J342" si="119">ROUND(E336*I336,)</f>
        <v>0</v>
      </c>
      <c r="K336" s="973">
        <f t="shared" ref="K336:K342" si="120">H336+J336</f>
        <v>0</v>
      </c>
      <c r="L336" s="1718" t="s">
        <v>2974</v>
      </c>
      <c r="M336" s="1328"/>
      <c r="N336" s="1329">
        <v>169.2</v>
      </c>
      <c r="O336" s="1329">
        <f t="shared" ref="O336:O341" si="121">ROUND(N336/3,)</f>
        <v>56</v>
      </c>
    </row>
    <row r="337" spans="1:15" s="1329" customFormat="1" ht="24" customHeight="1">
      <c r="A337" s="1330"/>
      <c r="B337" s="1331" t="s">
        <v>1184</v>
      </c>
      <c r="C337" s="1349"/>
      <c r="D337" s="801"/>
      <c r="E337" s="966">
        <f>60+15+15+15+45+30+120+30+15+15+45+45+30</f>
        <v>480</v>
      </c>
      <c r="F337" s="867" t="s">
        <v>438</v>
      </c>
      <c r="G337" s="1249">
        <v>75</v>
      </c>
      <c r="H337" s="796">
        <f t="shared" si="118"/>
        <v>36000</v>
      </c>
      <c r="I337" s="865">
        <v>28</v>
      </c>
      <c r="J337" s="751">
        <f t="shared" si="119"/>
        <v>13440</v>
      </c>
      <c r="K337" s="973">
        <f t="shared" si="120"/>
        <v>49440</v>
      </c>
      <c r="L337" s="1718" t="s">
        <v>2974</v>
      </c>
      <c r="M337" s="1328"/>
      <c r="N337" s="1329">
        <v>225</v>
      </c>
      <c r="O337" s="1329">
        <f t="shared" si="121"/>
        <v>75</v>
      </c>
    </row>
    <row r="338" spans="1:15" s="1329" customFormat="1" ht="24" customHeight="1">
      <c r="A338" s="1330"/>
      <c r="B338" s="720" t="s">
        <v>1185</v>
      </c>
      <c r="C338" s="717"/>
      <c r="D338" s="717"/>
      <c r="E338" s="805">
        <f>60+15+60+15</f>
        <v>150</v>
      </c>
      <c r="F338" s="794" t="s">
        <v>438</v>
      </c>
      <c r="G338" s="806">
        <v>101</v>
      </c>
      <c r="H338" s="796">
        <f t="shared" si="118"/>
        <v>15150</v>
      </c>
      <c r="I338" s="807">
        <v>32</v>
      </c>
      <c r="J338" s="796">
        <f t="shared" si="119"/>
        <v>4800</v>
      </c>
      <c r="K338" s="914">
        <f t="shared" si="120"/>
        <v>19950</v>
      </c>
      <c r="L338" s="1718" t="s">
        <v>2974</v>
      </c>
      <c r="M338" s="1328"/>
      <c r="N338" s="1329">
        <v>303.60000000000002</v>
      </c>
      <c r="O338" s="1329">
        <f t="shared" si="121"/>
        <v>101</v>
      </c>
    </row>
    <row r="339" spans="1:15" s="1329" customFormat="1" ht="24" customHeight="1">
      <c r="A339" s="1330"/>
      <c r="B339" s="720" t="s">
        <v>1186</v>
      </c>
      <c r="C339" s="717"/>
      <c r="D339" s="717"/>
      <c r="E339" s="805"/>
      <c r="F339" s="794" t="s">
        <v>438</v>
      </c>
      <c r="G339" s="806">
        <v>131</v>
      </c>
      <c r="H339" s="796">
        <f t="shared" si="118"/>
        <v>0</v>
      </c>
      <c r="I339" s="807">
        <v>38</v>
      </c>
      <c r="J339" s="796">
        <f t="shared" si="119"/>
        <v>0</v>
      </c>
      <c r="K339" s="914">
        <f t="shared" si="120"/>
        <v>0</v>
      </c>
      <c r="L339" s="1718" t="s">
        <v>2974</v>
      </c>
      <c r="M339" s="1328"/>
      <c r="N339" s="1329">
        <v>391.8</v>
      </c>
      <c r="O339" s="1329">
        <f t="shared" si="121"/>
        <v>131</v>
      </c>
    </row>
    <row r="340" spans="1:15" s="1329" customFormat="1" ht="24" customHeight="1">
      <c r="A340" s="1330"/>
      <c r="B340" s="720" t="s">
        <v>1187</v>
      </c>
      <c r="C340" s="717"/>
      <c r="D340" s="717"/>
      <c r="E340" s="805"/>
      <c r="F340" s="794" t="s">
        <v>438</v>
      </c>
      <c r="G340" s="806">
        <v>160</v>
      </c>
      <c r="H340" s="796">
        <f t="shared" si="118"/>
        <v>0</v>
      </c>
      <c r="I340" s="807">
        <v>42</v>
      </c>
      <c r="J340" s="796">
        <f t="shared" si="119"/>
        <v>0</v>
      </c>
      <c r="K340" s="914">
        <f t="shared" si="120"/>
        <v>0</v>
      </c>
      <c r="L340" s="1718" t="s">
        <v>2974</v>
      </c>
      <c r="M340" s="1328"/>
      <c r="N340" s="1329">
        <v>481.2</v>
      </c>
      <c r="O340" s="1329">
        <f t="shared" si="121"/>
        <v>160</v>
      </c>
    </row>
    <row r="341" spans="1:15" s="1329" customFormat="1" ht="24" customHeight="1">
      <c r="A341" s="1330"/>
      <c r="B341" s="705" t="s">
        <v>1188</v>
      </c>
      <c r="C341" s="717"/>
      <c r="D341" s="717"/>
      <c r="E341" s="805"/>
      <c r="F341" s="794" t="s">
        <v>438</v>
      </c>
      <c r="G341" s="806">
        <v>219</v>
      </c>
      <c r="H341" s="796">
        <f t="shared" si="118"/>
        <v>0</v>
      </c>
      <c r="I341" s="807">
        <v>48</v>
      </c>
      <c r="J341" s="796">
        <f t="shared" si="119"/>
        <v>0</v>
      </c>
      <c r="K341" s="914">
        <f t="shared" si="120"/>
        <v>0</v>
      </c>
      <c r="L341" s="1718" t="s">
        <v>2974</v>
      </c>
      <c r="M341" s="1328"/>
      <c r="N341" s="1329">
        <v>657.6</v>
      </c>
      <c r="O341" s="1329">
        <f t="shared" si="121"/>
        <v>219</v>
      </c>
    </row>
    <row r="342" spans="1:15" s="1329" customFormat="1" ht="24" customHeight="1">
      <c r="A342" s="1330"/>
      <c r="B342" s="1331" t="s">
        <v>1237</v>
      </c>
      <c r="C342" s="1349"/>
      <c r="D342" s="801"/>
      <c r="E342" s="966">
        <v>1</v>
      </c>
      <c r="F342" s="867" t="s">
        <v>948</v>
      </c>
      <c r="G342" s="752">
        <f>ROUND(SUM(H336:H341)*15%,)</f>
        <v>7673</v>
      </c>
      <c r="H342" s="796">
        <f t="shared" si="118"/>
        <v>7673</v>
      </c>
      <c r="I342" s="949">
        <f>ROUND(G342*0.3,)</f>
        <v>2302</v>
      </c>
      <c r="J342" s="751">
        <f t="shared" si="119"/>
        <v>2302</v>
      </c>
      <c r="K342" s="973">
        <f t="shared" si="120"/>
        <v>9975</v>
      </c>
      <c r="L342" s="867"/>
      <c r="M342" s="1328"/>
    </row>
    <row r="343" spans="1:15" s="1329" customFormat="1" ht="24" customHeight="1">
      <c r="A343" s="1330"/>
      <c r="B343" s="1331" t="s">
        <v>957</v>
      </c>
      <c r="C343" s="1349"/>
      <c r="D343" s="801"/>
      <c r="E343" s="966"/>
      <c r="F343" s="867"/>
      <c r="G343" s="1249"/>
      <c r="H343" s="864"/>
      <c r="I343" s="865"/>
      <c r="J343" s="864"/>
      <c r="K343" s="867"/>
      <c r="L343" s="867"/>
      <c r="M343" s="1328"/>
    </row>
    <row r="344" spans="1:15" s="1329" customFormat="1" ht="24" customHeight="1">
      <c r="A344" s="1330"/>
      <c r="B344" s="1331"/>
      <c r="C344" s="1349"/>
      <c r="D344" s="801"/>
      <c r="E344" s="966"/>
      <c r="F344" s="867"/>
      <c r="G344" s="1249"/>
      <c r="H344" s="864"/>
      <c r="I344" s="865"/>
      <c r="J344" s="864"/>
      <c r="K344" s="867"/>
      <c r="L344" s="867"/>
      <c r="M344" s="1328"/>
    </row>
    <row r="345" spans="1:15" s="1329" customFormat="1" ht="24" customHeight="1">
      <c r="A345" s="1330"/>
      <c r="B345" s="1331"/>
      <c r="C345" s="1349"/>
      <c r="D345" s="801"/>
      <c r="E345" s="966"/>
      <c r="F345" s="867"/>
      <c r="G345" s="1249"/>
      <c r="H345" s="864"/>
      <c r="I345" s="865"/>
      <c r="J345" s="864"/>
      <c r="K345" s="867"/>
      <c r="L345" s="867"/>
      <c r="M345" s="1328"/>
    </row>
    <row r="346" spans="1:15" s="1329" customFormat="1" ht="24" customHeight="1">
      <c r="A346" s="1330"/>
      <c r="B346" s="1331"/>
      <c r="C346" s="1349"/>
      <c r="D346" s="801"/>
      <c r="E346" s="966"/>
      <c r="F346" s="867"/>
      <c r="G346" s="1249"/>
      <c r="H346" s="864"/>
      <c r="I346" s="865"/>
      <c r="J346" s="864"/>
      <c r="K346" s="867"/>
      <c r="L346" s="867"/>
      <c r="M346" s="1328"/>
    </row>
    <row r="347" spans="1:15" s="1329" customFormat="1" ht="24" customHeight="1">
      <c r="A347" s="1330"/>
      <c r="B347" s="1331"/>
      <c r="C347" s="1349"/>
      <c r="D347" s="801"/>
      <c r="E347" s="966"/>
      <c r="F347" s="867"/>
      <c r="G347" s="1249"/>
      <c r="H347" s="864"/>
      <c r="I347" s="865"/>
      <c r="J347" s="864"/>
      <c r="K347" s="867"/>
      <c r="L347" s="867"/>
      <c r="M347" s="1328"/>
    </row>
    <row r="348" spans="1:15" s="1329" customFormat="1" ht="24" customHeight="1">
      <c r="A348" s="1330"/>
      <c r="B348" s="1331"/>
      <c r="C348" s="1349"/>
      <c r="D348" s="801"/>
      <c r="E348" s="966"/>
      <c r="F348" s="867"/>
      <c r="G348" s="1249"/>
      <c r="H348" s="864"/>
      <c r="I348" s="865"/>
      <c r="J348" s="864"/>
      <c r="K348" s="867"/>
      <c r="L348" s="867"/>
      <c r="M348" s="1328"/>
    </row>
    <row r="349" spans="1:15" s="1329" customFormat="1" ht="24" customHeight="1">
      <c r="A349" s="1330"/>
      <c r="B349" s="1331"/>
      <c r="C349" s="1349"/>
      <c r="D349" s="801"/>
      <c r="E349" s="966"/>
      <c r="F349" s="867"/>
      <c r="G349" s="1249"/>
      <c r="H349" s="864"/>
      <c r="I349" s="865"/>
      <c r="J349" s="864"/>
      <c r="K349" s="867"/>
      <c r="L349" s="867"/>
      <c r="M349" s="1328"/>
    </row>
    <row r="350" spans="1:15" s="1329" customFormat="1" ht="24" customHeight="1">
      <c r="A350" s="1330"/>
      <c r="B350" s="1331"/>
      <c r="C350" s="1349"/>
      <c r="D350" s="801"/>
      <c r="E350" s="966"/>
      <c r="F350" s="867"/>
      <c r="G350" s="1249"/>
      <c r="H350" s="864"/>
      <c r="I350" s="865"/>
      <c r="J350" s="864"/>
      <c r="K350" s="867"/>
      <c r="L350" s="867"/>
      <c r="M350" s="1328"/>
    </row>
    <row r="351" spans="1:15" s="1329" customFormat="1" ht="24" customHeight="1">
      <c r="A351" s="1330"/>
      <c r="B351" s="1331"/>
      <c r="C351" s="1349"/>
      <c r="D351" s="801"/>
      <c r="E351" s="966"/>
      <c r="F351" s="867"/>
      <c r="G351" s="1249"/>
      <c r="H351" s="864"/>
      <c r="I351" s="865"/>
      <c r="J351" s="864"/>
      <c r="K351" s="867"/>
      <c r="L351" s="867"/>
      <c r="M351" s="1328"/>
    </row>
    <row r="352" spans="1:15" s="1329" customFormat="1" ht="24" customHeight="1">
      <c r="A352" s="1330"/>
      <c r="B352" s="1331"/>
      <c r="C352" s="1349"/>
      <c r="D352" s="801"/>
      <c r="E352" s="966"/>
      <c r="F352" s="867"/>
      <c r="G352" s="1249"/>
      <c r="H352" s="864"/>
      <c r="I352" s="865"/>
      <c r="J352" s="864"/>
      <c r="K352" s="867"/>
      <c r="L352" s="867"/>
      <c r="M352" s="1328"/>
    </row>
    <row r="353" spans="1:13" s="1329" customFormat="1" ht="24" customHeight="1">
      <c r="A353" s="1330"/>
      <c r="B353" s="1331"/>
      <c r="C353" s="1349"/>
      <c r="D353" s="801"/>
      <c r="E353" s="966"/>
      <c r="F353" s="867"/>
      <c r="G353" s="1249"/>
      <c r="H353" s="864"/>
      <c r="I353" s="865"/>
      <c r="J353" s="864"/>
      <c r="K353" s="867"/>
      <c r="L353" s="867"/>
      <c r="M353" s="1328"/>
    </row>
    <row r="354" spans="1:13" s="1329" customFormat="1" ht="24" customHeight="1">
      <c r="A354" s="1330"/>
      <c r="B354" s="1331"/>
      <c r="C354" s="1349"/>
      <c r="D354" s="801"/>
      <c r="E354" s="966"/>
      <c r="F354" s="867"/>
      <c r="G354" s="1249"/>
      <c r="H354" s="864"/>
      <c r="I354" s="865"/>
      <c r="J354" s="864"/>
      <c r="K354" s="867"/>
      <c r="L354" s="867"/>
      <c r="M354" s="1328"/>
    </row>
    <row r="355" spans="1:13" s="1329" customFormat="1" ht="24" customHeight="1">
      <c r="A355" s="1330"/>
      <c r="B355" s="1331"/>
      <c r="C355" s="1349"/>
      <c r="D355" s="801"/>
      <c r="E355" s="966"/>
      <c r="F355" s="867"/>
      <c r="G355" s="1249"/>
      <c r="H355" s="864"/>
      <c r="I355" s="865"/>
      <c r="J355" s="864"/>
      <c r="K355" s="867"/>
      <c r="L355" s="867"/>
      <c r="M355" s="1328"/>
    </row>
    <row r="356" spans="1:13" s="1329" customFormat="1" ht="24" customHeight="1">
      <c r="A356" s="1330"/>
      <c r="B356" s="1331"/>
      <c r="C356" s="1349"/>
      <c r="D356" s="801"/>
      <c r="E356" s="966"/>
      <c r="F356" s="867"/>
      <c r="G356" s="1249"/>
      <c r="H356" s="864"/>
      <c r="I356" s="865"/>
      <c r="J356" s="864"/>
      <c r="K356" s="867"/>
      <c r="L356" s="867"/>
      <c r="M356" s="1328"/>
    </row>
    <row r="357" spans="1:13" s="1329" customFormat="1" ht="24" customHeight="1">
      <c r="A357" s="1330"/>
      <c r="B357" s="1331"/>
      <c r="C357" s="1349"/>
      <c r="D357" s="801"/>
      <c r="E357" s="966"/>
      <c r="F357" s="867"/>
      <c r="G357" s="1249"/>
      <c r="H357" s="864"/>
      <c r="I357" s="865"/>
      <c r="J357" s="864"/>
      <c r="K357" s="867"/>
      <c r="L357" s="867"/>
      <c r="M357" s="1328"/>
    </row>
    <row r="358" spans="1:13" s="1329" customFormat="1" ht="24" customHeight="1">
      <c r="A358" s="1330"/>
      <c r="B358" s="1331"/>
      <c r="C358" s="1349"/>
      <c r="D358" s="801"/>
      <c r="E358" s="966"/>
      <c r="F358" s="867"/>
      <c r="G358" s="1249"/>
      <c r="H358" s="796"/>
      <c r="I358" s="865"/>
      <c r="J358" s="751"/>
      <c r="K358" s="973"/>
      <c r="L358" s="867"/>
      <c r="M358" s="1328"/>
    </row>
    <row r="359" spans="1:13" s="1329" customFormat="1" ht="24" customHeight="1">
      <c r="A359" s="1166"/>
      <c r="B359" s="2475" t="str">
        <f>"รวมราคารายการที่ "&amp;A303</f>
        <v>รวมราคารายการที่ 7.14</v>
      </c>
      <c r="C359" s="2476"/>
      <c r="D359" s="2477"/>
      <c r="E359" s="1167"/>
      <c r="F359" s="1167"/>
      <c r="G359" s="1168"/>
      <c r="H359" s="1169">
        <f>SUM(H303:H343)</f>
        <v>1342673</v>
      </c>
      <c r="I359" s="1170"/>
      <c r="J359" s="1169">
        <f>SUM(J303:J343)</f>
        <v>174022</v>
      </c>
      <c r="K359" s="1169">
        <f>SUM(K303:K343)</f>
        <v>1516695</v>
      </c>
      <c r="L359" s="1171"/>
      <c r="M359" s="1328"/>
    </row>
    <row r="360" spans="1:13" s="886" customFormat="1" ht="22.15" customHeight="1">
      <c r="A360" s="1482"/>
      <c r="M360" s="1342"/>
    </row>
    <row r="361" spans="1:13" s="886" customFormat="1" ht="22.15" customHeight="1">
      <c r="A361" s="1482"/>
      <c r="M361" s="1342"/>
    </row>
    <row r="362" spans="1:13" s="886" customFormat="1" ht="22.15" customHeight="1">
      <c r="A362" s="1482"/>
      <c r="M362" s="1342"/>
    </row>
    <row r="363" spans="1:13" s="886" customFormat="1" ht="22.15" customHeight="1">
      <c r="A363" s="1482"/>
      <c r="M363" s="1342"/>
    </row>
    <row r="364" spans="1:13" s="886" customFormat="1" ht="22.15" customHeight="1">
      <c r="A364" s="1482"/>
      <c r="M364" s="1342"/>
    </row>
    <row r="365" spans="1:13" s="886" customFormat="1" ht="21.3">
      <c r="A365" s="1482"/>
      <c r="M365" s="1342"/>
    </row>
    <row r="366" spans="1:13" s="886" customFormat="1" ht="21.3">
      <c r="A366" s="1482"/>
      <c r="M366" s="1342"/>
    </row>
    <row r="367" spans="1:13" s="886" customFormat="1" ht="21.3">
      <c r="A367" s="1482"/>
      <c r="M367" s="1342"/>
    </row>
    <row r="368" spans="1:13" s="886" customFormat="1" ht="21.3">
      <c r="A368" s="1482"/>
      <c r="M368" s="1342"/>
    </row>
    <row r="369" spans="1:13" s="886" customFormat="1" ht="21.3">
      <c r="A369" s="1482"/>
      <c r="M369" s="1342"/>
    </row>
    <row r="370" spans="1:13" s="886" customFormat="1" ht="21.3">
      <c r="A370" s="1482"/>
      <c r="M370" s="1342"/>
    </row>
    <row r="371" spans="1:13" s="886" customFormat="1" ht="21.3">
      <c r="A371" s="1482"/>
      <c r="M371" s="1342"/>
    </row>
    <row r="372" spans="1:13" s="886" customFormat="1" ht="21.3">
      <c r="A372" s="1482"/>
      <c r="M372" s="1342"/>
    </row>
    <row r="373" spans="1:13" s="886" customFormat="1" ht="21.3">
      <c r="A373" s="1482"/>
      <c r="M373" s="1342"/>
    </row>
    <row r="374" spans="1:13" s="886" customFormat="1" ht="21.3">
      <c r="A374" s="1482"/>
      <c r="M374" s="1342"/>
    </row>
    <row r="375" spans="1:13" s="886" customFormat="1" ht="21.3">
      <c r="A375" s="1482"/>
      <c r="M375" s="1342"/>
    </row>
    <row r="376" spans="1:13" s="886" customFormat="1" ht="21.3">
      <c r="A376" s="1482"/>
      <c r="M376" s="1342"/>
    </row>
    <row r="377" spans="1:13" s="886" customFormat="1" ht="21.3">
      <c r="A377" s="1482"/>
      <c r="M377" s="1342"/>
    </row>
    <row r="378" spans="1:13" s="886" customFormat="1" ht="21.3">
      <c r="A378" s="1482"/>
      <c r="M378" s="1342"/>
    </row>
    <row r="379" spans="1:13">
      <c r="A379" s="1482"/>
      <c r="B379" s="886"/>
      <c r="C379" s="886"/>
      <c r="D379" s="886"/>
      <c r="E379" s="886"/>
      <c r="F379" s="886"/>
      <c r="G379" s="886"/>
      <c r="H379" s="886"/>
      <c r="I379" s="886"/>
      <c r="J379" s="886"/>
      <c r="K379" s="886"/>
      <c r="L379" s="886"/>
    </row>
    <row r="380" spans="1:13">
      <c r="A380" s="1482"/>
      <c r="B380" s="886"/>
      <c r="C380" s="886"/>
      <c r="D380" s="886"/>
      <c r="E380" s="886"/>
      <c r="F380" s="886"/>
      <c r="G380" s="886"/>
      <c r="H380" s="886"/>
      <c r="I380" s="886"/>
      <c r="J380" s="886"/>
      <c r="K380" s="886"/>
      <c r="L380" s="886"/>
    </row>
    <row r="381" spans="1:13">
      <c r="A381" s="1482"/>
      <c r="B381" s="886"/>
      <c r="C381" s="886"/>
      <c r="D381" s="886"/>
      <c r="E381" s="886"/>
      <c r="F381" s="886"/>
      <c r="G381" s="886"/>
      <c r="H381" s="886"/>
      <c r="I381" s="886"/>
      <c r="J381" s="886"/>
      <c r="K381" s="886"/>
      <c r="L381" s="886"/>
    </row>
    <row r="388" spans="2:2">
      <c r="B388" s="1488"/>
    </row>
    <row r="389" spans="2:2">
      <c r="B389" s="1488"/>
    </row>
  </sheetData>
  <mergeCells count="23">
    <mergeCell ref="B138:D138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45:D45"/>
    <mergeCell ref="B59:D59"/>
    <mergeCell ref="B84:D84"/>
    <mergeCell ref="B94:D94"/>
    <mergeCell ref="B259:D259"/>
    <mergeCell ref="B302:D302"/>
    <mergeCell ref="B359:D359"/>
    <mergeCell ref="B148:D148"/>
    <mergeCell ref="B159:D159"/>
    <mergeCell ref="B184:D184"/>
    <mergeCell ref="B209:D209"/>
    <mergeCell ref="B234:D234"/>
    <mergeCell ref="B249:D249"/>
  </mergeCells>
  <conditionalFormatting sqref="N294:N297">
    <cfRule type="containsText" dxfId="302" priority="267" operator="containsText" text="Diffus">
      <formula>NOT(ISERROR(SEARCH("Diffus",N294)))</formula>
    </cfRule>
    <cfRule type="containsText" dxfId="301" priority="268" operator="containsText" text="Counter">
      <formula>NOT(ISERROR(SEARCH("Counter",N294)))</formula>
    </cfRule>
    <cfRule type="containsText" dxfId="300" priority="269" operator="containsText" text="Damper">
      <formula>NOT(ISERROR(SEARCH("Damper",N294)))</formula>
    </cfRule>
    <cfRule type="containsText" dxfId="299" priority="270" operator="containsText" text="Register">
      <formula>NOT(ISERROR(SEARCH("Register",N294)))</formula>
    </cfRule>
    <cfRule type="containsText" dxfId="298" priority="271" operator="containsText" text="Grille">
      <formula>NOT(ISERROR(SEARCH("Grille",N294)))</formula>
    </cfRule>
    <cfRule type="containsText" dxfId="297" priority="272" operator="containsText" text="FFL">
      <formula>NOT(ISERROR(SEARCH("FFL",N294)))</formula>
    </cfRule>
  </conditionalFormatting>
  <conditionalFormatting sqref="N299:N300">
    <cfRule type="containsText" dxfId="296" priority="261" operator="containsText" text="Diffus">
      <formula>NOT(ISERROR(SEARCH("Diffus",N299)))</formula>
    </cfRule>
    <cfRule type="containsText" dxfId="295" priority="262" operator="containsText" text="Counter">
      <formula>NOT(ISERROR(SEARCH("Counter",N299)))</formula>
    </cfRule>
    <cfRule type="containsText" dxfId="294" priority="263" operator="containsText" text="Damper">
      <formula>NOT(ISERROR(SEARCH("Damper",N299)))</formula>
    </cfRule>
    <cfRule type="containsText" dxfId="293" priority="264" operator="containsText" text="Register">
      <formula>NOT(ISERROR(SEARCH("Register",N299)))</formula>
    </cfRule>
    <cfRule type="containsText" dxfId="292" priority="265" operator="containsText" text="Grille">
      <formula>NOT(ISERROR(SEARCH("Grille",N299)))</formula>
    </cfRule>
    <cfRule type="containsText" dxfId="291" priority="266" operator="containsText" text="FFL">
      <formula>NOT(ISERROR(SEARCH("FFL",N299)))</formula>
    </cfRule>
  </conditionalFormatting>
  <conditionalFormatting sqref="N279:N292">
    <cfRule type="containsText" dxfId="290" priority="255" operator="containsText" text="Diffus">
      <formula>NOT(ISERROR(SEARCH("Diffus",N279)))</formula>
    </cfRule>
    <cfRule type="containsText" dxfId="289" priority="256" operator="containsText" text="Counter">
      <formula>NOT(ISERROR(SEARCH("Counter",N279)))</formula>
    </cfRule>
    <cfRule type="containsText" dxfId="288" priority="257" operator="containsText" text="Damper">
      <formula>NOT(ISERROR(SEARCH("Damper",N279)))</formula>
    </cfRule>
    <cfRule type="containsText" dxfId="287" priority="258" operator="containsText" text="Register">
      <formula>NOT(ISERROR(SEARCH("Register",N279)))</formula>
    </cfRule>
    <cfRule type="containsText" dxfId="286" priority="259" operator="containsText" text="Grille">
      <formula>NOT(ISERROR(SEARCH("Grille",N279)))</formula>
    </cfRule>
    <cfRule type="containsText" dxfId="285" priority="260" operator="containsText" text="FFL">
      <formula>NOT(ISERROR(SEARCH("FFL",N279)))</formula>
    </cfRule>
  </conditionalFormatting>
  <conditionalFormatting sqref="A85:D85 A1:L11 L85 A95:D95 L95 A139:D139 L139 A160:D160 L160 A185:D185 L185 A186:L186 A210:D210 L210 A235:D235 L235 A236:L236 A250:D250 A251:L251 A260:D260 A303:D303 L303 A140:L140 A161:L161 A211:L211 A96:L96 A110:L110 A35:A44 A77:L77 A133:A136 A111:A115 A132:L132 A121 A97 A304:L304 A313:D316 A321:L321 A80:L80 A151:F151 L151 F62:G63 L62:L63 A183:L183 A233:L233 F111:G115 F133:G133 F134:F136 L133:L137 A335:L335 A336:A342 L342 A106:F106 A137:G137 A99:A101 A105:E105 A86:L87 C100:E101 B100:B104 B99:E99 F102:F104 F116:F118 L111:L118 I305 A318:B319 E313:E319 F65:G66 F67:F75 A76 L65:L76 C318:D320 F305:G320 B311:D312 L305:L320 I133:I137 F81:G83 I81:I83 L81:L83 G208 I208 F97:G101 L97:L109 F124:F126 F78:G79 A78:D79 A91:L93 L90 A278:L278 A293:L293 A279:A292 A298:L298 A294:A297 A301:L301 A299:A300 F299:L300 A61:A63 A46:A58 C149:L150 A154:L158 A141:F145 A146:L147 I78:I79 L78:L79 A88:A90 K89:L89 L88 F279:F281 L279:L283 F282:H285 F286:F287 F288:H292 L287:L292 F294:F295 F296:H297 L294:L297 A343:L357 A360:L1048576 B12:L22 C23:L25 A26:L34 F120:G123 A107:G109 A127:G131 L120:L131 A125:E126 G125:G126 I125:I131 I97 A322:A334">
    <cfRule type="expression" dxfId="284" priority="254">
      <formula>SUMPRODUCT(--(ROW()=$O$12:$O$22))&gt;0</formula>
    </cfRule>
  </conditionalFormatting>
  <conditionalFormatting sqref="C35:L36 A162:F169 A174:L174 A171:D173 L162:L173 A182:L182 A176:F177 A248:L248 A246:F247 A245:G245 I245 L245:L247 A230:L232 A192:L192 A199:L199 L190:L191 L193:L198 A200:F200 L187:L188 A201:J201 A202:F208 L179:L181 A179:D181 A187:F188 A190:F191 A193:F198 A223:L225 C42:L44 C37:F40 C46:L47 C57:L58 C48:F56 L48 C60:L60 L50:L56 L200:L208 C41:G41 I41 L37:L41">
    <cfRule type="expression" dxfId="283" priority="253">
      <formula>SUMPRODUCT(--(ROW()=$O$12:$O$22))&gt;0</formula>
    </cfRule>
  </conditionalFormatting>
  <conditionalFormatting sqref="E95:K95">
    <cfRule type="expression" dxfId="282" priority="250">
      <formula>SUMPRODUCT(--(ROW()=$O$12:$O$22))&gt;0</formula>
    </cfRule>
  </conditionalFormatting>
  <conditionalFormatting sqref="E61:L61">
    <cfRule type="expression" dxfId="281" priority="252">
      <formula>SUMPRODUCT(--(ROW()=$O$12:$O$22))&gt;0</formula>
    </cfRule>
  </conditionalFormatting>
  <conditionalFormatting sqref="E85:K85">
    <cfRule type="expression" dxfId="280" priority="251">
      <formula>SUMPRODUCT(--(ROW()=$O$12:$O$22))&gt;0</formula>
    </cfRule>
  </conditionalFormatting>
  <conditionalFormatting sqref="E160:K160">
    <cfRule type="expression" dxfId="279" priority="248">
      <formula>SUMPRODUCT(--(ROW()=$O$12:$O$22))&gt;0</formula>
    </cfRule>
  </conditionalFormatting>
  <conditionalFormatting sqref="E139:K139">
    <cfRule type="expression" dxfId="278" priority="249">
      <formula>SUMPRODUCT(--(ROW()=$O$12:$O$22))&gt;0</formula>
    </cfRule>
  </conditionalFormatting>
  <conditionalFormatting sqref="L250">
    <cfRule type="expression" dxfId="277" priority="244">
      <formula>SUMPRODUCT(--(ROW()=$O$12:$O$22))&gt;0</formula>
    </cfRule>
  </conditionalFormatting>
  <conditionalFormatting sqref="E185:K185">
    <cfRule type="expression" dxfId="276" priority="247">
      <formula>SUMPRODUCT(--(ROW()=$O$12:$O$22))&gt;0</formula>
    </cfRule>
  </conditionalFormatting>
  <conditionalFormatting sqref="E210:K210">
    <cfRule type="expression" dxfId="275" priority="246">
      <formula>SUMPRODUCT(--(ROW()=$O$12:$O$22))&gt;0</formula>
    </cfRule>
  </conditionalFormatting>
  <conditionalFormatting sqref="E235:K235">
    <cfRule type="expression" dxfId="274" priority="245">
      <formula>SUMPRODUCT(--(ROW()=$O$12:$O$22))&gt;0</formula>
    </cfRule>
  </conditionalFormatting>
  <conditionalFormatting sqref="E303:K303">
    <cfRule type="expression" dxfId="273" priority="240">
      <formula>SUMPRODUCT(--(ROW()=$O$12:$O$22))&gt;0</formula>
    </cfRule>
  </conditionalFormatting>
  <conditionalFormatting sqref="E250:K250">
    <cfRule type="expression" dxfId="272" priority="243">
      <formula>SUMPRODUCT(--(ROW()=$O$12:$O$22))&gt;0</formula>
    </cfRule>
  </conditionalFormatting>
  <conditionalFormatting sqref="L260">
    <cfRule type="expression" dxfId="271" priority="242">
      <formula>SUMPRODUCT(--(ROW()=$O$12:$O$22))&gt;0</formula>
    </cfRule>
  </conditionalFormatting>
  <conditionalFormatting sqref="E260:K260">
    <cfRule type="expression" dxfId="270" priority="241">
      <formula>SUMPRODUCT(--(ROW()=$O$12:$O$22))&gt;0</formula>
    </cfRule>
  </conditionalFormatting>
  <conditionalFormatting sqref="B62:E62">
    <cfRule type="expression" dxfId="269" priority="235">
      <formula>SUMPRODUCT(--(ROW()=$O$12:$O$22))&gt;0</formula>
    </cfRule>
  </conditionalFormatting>
  <conditionalFormatting sqref="B23">
    <cfRule type="expression" dxfId="268" priority="239">
      <formula>SUMPRODUCT(--(ROW()=$O$12:$O$22))&gt;0</formula>
    </cfRule>
  </conditionalFormatting>
  <conditionalFormatting sqref="B35:B44 B46:B58">
    <cfRule type="expression" dxfId="267" priority="238">
      <formula>SUMPRODUCT(--(ROW()=$O$12:$O$22))&gt;0</formula>
    </cfRule>
  </conditionalFormatting>
  <conditionalFormatting sqref="B133:E133">
    <cfRule type="expression" dxfId="266" priority="237">
      <formula>SUMPRODUCT(--(ROW()=$O$12:$O$22))&gt;0</formula>
    </cfRule>
  </conditionalFormatting>
  <conditionalFormatting sqref="B111:E111">
    <cfRule type="expression" dxfId="265" priority="236">
      <formula>SUMPRODUCT(--(ROW()=$O$12:$O$22))&gt;0</formula>
    </cfRule>
  </conditionalFormatting>
  <conditionalFormatting sqref="B134:E136">
    <cfRule type="expression" dxfId="264" priority="233">
      <formula>SUMPRODUCT(--(ROW()=$O$12:$O$22))&gt;0</formula>
    </cfRule>
  </conditionalFormatting>
  <conditionalFormatting sqref="A119">
    <cfRule type="expression" dxfId="263" priority="230">
      <formula>SUMPRODUCT(--(ROW()=$O$12:$O$22))&gt;0</formula>
    </cfRule>
  </conditionalFormatting>
  <conditionalFormatting sqref="B63:E63">
    <cfRule type="expression" dxfId="262" priority="234">
      <formula>SUMPRODUCT(--(ROW()=$O$12:$O$22))&gt;0</formula>
    </cfRule>
  </conditionalFormatting>
  <conditionalFormatting sqref="B112:E112">
    <cfRule type="expression" dxfId="261" priority="232">
      <formula>SUMPRODUCT(--(ROW()=$O$12:$O$22))&gt;0</formula>
    </cfRule>
  </conditionalFormatting>
  <conditionalFormatting sqref="B119:L119">
    <cfRule type="expression" dxfId="260" priority="231">
      <formula>SUMPRODUCT(--(ROW()=$O$12:$O$22))&gt;0</formula>
    </cfRule>
  </conditionalFormatting>
  <conditionalFormatting sqref="B113:E115">
    <cfRule type="expression" dxfId="259" priority="229">
      <formula>SUMPRODUCT(--(ROW()=$O$12:$O$22))&gt;0</formula>
    </cfRule>
  </conditionalFormatting>
  <conditionalFormatting sqref="A102:A103">
    <cfRule type="expression" dxfId="258" priority="226">
      <formula>SUMPRODUCT(--(ROW()=$O$12:$O$22))&gt;0</formula>
    </cfRule>
  </conditionalFormatting>
  <conditionalFormatting sqref="C102:E103">
    <cfRule type="expression" dxfId="257" priority="225">
      <formula>SUMPRODUCT(--(ROW()=$O$12:$O$22))&gt;0</formula>
    </cfRule>
  </conditionalFormatting>
  <conditionalFormatting sqref="B121:E121">
    <cfRule type="expression" dxfId="256" priority="228">
      <formula>SUMPRODUCT(--(ROW()=$O$12:$O$22))&gt;0</formula>
    </cfRule>
  </conditionalFormatting>
  <conditionalFormatting sqref="B97:E97">
    <cfRule type="expression" dxfId="255" priority="227">
      <formula>SUMPRODUCT(--(ROW()=$O$12:$O$22))&gt;0</formula>
    </cfRule>
  </conditionalFormatting>
  <conditionalFormatting sqref="A104">
    <cfRule type="expression" dxfId="254" priority="224">
      <formula>SUMPRODUCT(--(ROW()=$O$12:$O$22))&gt;0</formula>
    </cfRule>
  </conditionalFormatting>
  <conditionalFormatting sqref="C104:E104">
    <cfRule type="expression" dxfId="253" priority="223">
      <formula>SUMPRODUCT(--(ROW()=$O$12:$O$22))&gt;0</formula>
    </cfRule>
  </conditionalFormatting>
  <conditionalFormatting sqref="F105">
    <cfRule type="expression" dxfId="252" priority="222">
      <formula>SUMPRODUCT(--(ROW()=$O$12:$O$22))&gt;0</formula>
    </cfRule>
  </conditionalFormatting>
  <conditionalFormatting sqref="B118:E118">
    <cfRule type="expression" dxfId="251" priority="218">
      <formula>SUMPRODUCT(--(ROW()=$O$12:$O$22))&gt;0</formula>
    </cfRule>
  </conditionalFormatting>
  <conditionalFormatting sqref="A116:A118">
    <cfRule type="expression" dxfId="250" priority="221">
      <formula>SUMPRODUCT(--(ROW()=$O$12:$O$22))&gt;0</formula>
    </cfRule>
  </conditionalFormatting>
  <conditionalFormatting sqref="B116:E116">
    <cfRule type="expression" dxfId="249" priority="220">
      <formula>SUMPRODUCT(--(ROW()=$O$12:$O$22))&gt;0</formula>
    </cfRule>
  </conditionalFormatting>
  <conditionalFormatting sqref="B117:E117">
    <cfRule type="expression" dxfId="248" priority="219">
      <formula>SUMPRODUCT(--(ROW()=$O$12:$O$22))&gt;0</formula>
    </cfRule>
  </conditionalFormatting>
  <conditionalFormatting sqref="B24">
    <cfRule type="expression" dxfId="247" priority="217">
      <formula>SUMPRODUCT(--(ROW()=$O$12:$O$22))&gt;0</formula>
    </cfRule>
  </conditionalFormatting>
  <conditionalFormatting sqref="A305:D310">
    <cfRule type="expression" dxfId="246" priority="216">
      <formula>SUMPRODUCT(--(ROW()=$O$12:$O$22))&gt;0</formula>
    </cfRule>
  </conditionalFormatting>
  <conditionalFormatting sqref="A317:D317">
    <cfRule type="expression" dxfId="245" priority="215">
      <formula>SUMPRODUCT(--(ROW()=$O$12:$O$22))&gt;0</formula>
    </cfRule>
  </conditionalFormatting>
  <conditionalFormatting sqref="E305:E310">
    <cfRule type="expression" dxfId="244" priority="214">
      <formula>SUMPRODUCT(--(ROW()=$O$12:$O$22))&gt;0</formula>
    </cfRule>
  </conditionalFormatting>
  <conditionalFormatting sqref="A64:A66">
    <cfRule type="expression" dxfId="243" priority="213">
      <formula>SUMPRODUCT(--(ROW()=$O$12:$O$22))&gt;0</formula>
    </cfRule>
  </conditionalFormatting>
  <conditionalFormatting sqref="E64:L64">
    <cfRule type="expression" dxfId="242" priority="212">
      <formula>SUMPRODUCT(--(ROW()=$O$12:$O$22))&gt;0</formula>
    </cfRule>
  </conditionalFormatting>
  <conditionalFormatting sqref="B65:E65">
    <cfRule type="expression" dxfId="241" priority="211">
      <formula>SUMPRODUCT(--(ROW()=$O$12:$O$22))&gt;0</formula>
    </cfRule>
  </conditionalFormatting>
  <conditionalFormatting sqref="B66:E66">
    <cfRule type="expression" dxfId="240" priority="210">
      <formula>SUMPRODUCT(--(ROW()=$O$12:$O$22))&gt;0</formula>
    </cfRule>
  </conditionalFormatting>
  <conditionalFormatting sqref="A67:A68">
    <cfRule type="expression" dxfId="239" priority="209">
      <formula>SUMPRODUCT(--(ROW()=$O$12:$O$22))&gt;0</formula>
    </cfRule>
  </conditionalFormatting>
  <conditionalFormatting sqref="B67:E67">
    <cfRule type="expression" dxfId="238" priority="208">
      <formula>SUMPRODUCT(--(ROW()=$O$12:$O$22))&gt;0</formula>
    </cfRule>
  </conditionalFormatting>
  <conditionalFormatting sqref="B68:E68">
    <cfRule type="expression" dxfId="237" priority="207">
      <formula>SUMPRODUCT(--(ROW()=$O$12:$O$22))&gt;0</formula>
    </cfRule>
  </conditionalFormatting>
  <conditionalFormatting sqref="A69:A70">
    <cfRule type="expression" dxfId="236" priority="206">
      <formula>SUMPRODUCT(--(ROW()=$O$12:$O$22))&gt;0</formula>
    </cfRule>
  </conditionalFormatting>
  <conditionalFormatting sqref="B69:E69">
    <cfRule type="expression" dxfId="235" priority="205">
      <formula>SUMPRODUCT(--(ROW()=$O$12:$O$22))&gt;0</formula>
    </cfRule>
  </conditionalFormatting>
  <conditionalFormatting sqref="B70:E70">
    <cfRule type="expression" dxfId="234" priority="204">
      <formula>SUMPRODUCT(--(ROW()=$O$12:$O$22))&gt;0</formula>
    </cfRule>
  </conditionalFormatting>
  <conditionalFormatting sqref="A71:A72">
    <cfRule type="expression" dxfId="233" priority="203">
      <formula>SUMPRODUCT(--(ROW()=$O$12:$O$22))&gt;0</formula>
    </cfRule>
  </conditionalFormatting>
  <conditionalFormatting sqref="B71:E71">
    <cfRule type="expression" dxfId="232" priority="202">
      <formula>SUMPRODUCT(--(ROW()=$O$12:$O$22))&gt;0</formula>
    </cfRule>
  </conditionalFormatting>
  <conditionalFormatting sqref="B72:E72">
    <cfRule type="expression" dxfId="231" priority="201">
      <formula>SUMPRODUCT(--(ROW()=$O$12:$O$22))&gt;0</formula>
    </cfRule>
  </conditionalFormatting>
  <conditionalFormatting sqref="A73:A74">
    <cfRule type="expression" dxfId="230" priority="200">
      <formula>SUMPRODUCT(--(ROW()=$O$12:$O$22))&gt;0</formula>
    </cfRule>
  </conditionalFormatting>
  <conditionalFormatting sqref="B73:E73">
    <cfRule type="expression" dxfId="229" priority="199">
      <formula>SUMPRODUCT(--(ROW()=$O$12:$O$22))&gt;0</formula>
    </cfRule>
  </conditionalFormatting>
  <conditionalFormatting sqref="B74:E74">
    <cfRule type="expression" dxfId="228" priority="198">
      <formula>SUMPRODUCT(--(ROW()=$O$12:$O$22))&gt;0</formula>
    </cfRule>
  </conditionalFormatting>
  <conditionalFormatting sqref="A75">
    <cfRule type="expression" dxfId="227" priority="197">
      <formula>SUMPRODUCT(--(ROW()=$O$12:$O$22))&gt;0</formula>
    </cfRule>
  </conditionalFormatting>
  <conditionalFormatting sqref="B75:E75">
    <cfRule type="expression" dxfId="226" priority="196">
      <formula>SUMPRODUCT(--(ROW()=$O$12:$O$22))&gt;0</formula>
    </cfRule>
  </conditionalFormatting>
  <conditionalFormatting sqref="F76">
    <cfRule type="expression" dxfId="225" priority="195">
      <formula>SUMPRODUCT(--(ROW()=$O$12:$O$22))&gt;0</formula>
    </cfRule>
  </conditionalFormatting>
  <conditionalFormatting sqref="B76:E76">
    <cfRule type="expression" dxfId="224" priority="194">
      <formula>SUMPRODUCT(--(ROW()=$O$12:$O$22))&gt;0</formula>
    </cfRule>
  </conditionalFormatting>
  <conditionalFormatting sqref="A320">
    <cfRule type="expression" dxfId="223" priority="193">
      <formula>SUMPRODUCT(--(ROW()=$O$12:$O$22))&gt;0</formula>
    </cfRule>
  </conditionalFormatting>
  <conditionalFormatting sqref="B320">
    <cfRule type="expression" dxfId="222" priority="192">
      <formula>SUMPRODUCT(--(ROW()=$O$12:$O$22))&gt;0</formula>
    </cfRule>
  </conditionalFormatting>
  <conditionalFormatting sqref="E320">
    <cfRule type="expression" dxfId="221" priority="191">
      <formula>SUMPRODUCT(--(ROW()=$O$12:$O$22))&gt;0</formula>
    </cfRule>
  </conditionalFormatting>
  <conditionalFormatting sqref="A311">
    <cfRule type="expression" dxfId="220" priority="190">
      <formula>SUMPRODUCT(--(ROW()=$O$12:$O$22))&gt;0</formula>
    </cfRule>
  </conditionalFormatting>
  <conditionalFormatting sqref="E311">
    <cfRule type="expression" dxfId="219" priority="189">
      <formula>SUMPRODUCT(--(ROW()=$O$12:$O$22))&gt;0</formula>
    </cfRule>
  </conditionalFormatting>
  <conditionalFormatting sqref="A312">
    <cfRule type="expression" dxfId="218" priority="188">
      <formula>SUMPRODUCT(--(ROW()=$O$12:$O$22))&gt;0</formula>
    </cfRule>
  </conditionalFormatting>
  <conditionalFormatting sqref="E312">
    <cfRule type="expression" dxfId="217" priority="187">
      <formula>SUMPRODUCT(--(ROW()=$O$12:$O$22))&gt;0</formula>
    </cfRule>
  </conditionalFormatting>
  <conditionalFormatting sqref="G67:G76">
    <cfRule type="expression" dxfId="216" priority="186">
      <formula>SUMPRODUCT(--(ROW()=$O$12:$O$22))&gt;0</formula>
    </cfRule>
  </conditionalFormatting>
  <conditionalFormatting sqref="B25">
    <cfRule type="expression" dxfId="215" priority="185">
      <formula>SUMPRODUCT(--(ROW()=$O$12:$O$22))&gt;0</formula>
    </cfRule>
  </conditionalFormatting>
  <conditionalFormatting sqref="A170:F170">
    <cfRule type="expression" dxfId="214" priority="184">
      <formula>SUMPRODUCT(--(ROW()=$O$12:$O$22))&gt;0</formula>
    </cfRule>
  </conditionalFormatting>
  <conditionalFormatting sqref="I167:I169">
    <cfRule type="expression" dxfId="213" priority="183">
      <formula>SUMPRODUCT(--(ROW()=$O$12:$O$22))&gt;0</formula>
    </cfRule>
  </conditionalFormatting>
  <conditionalFormatting sqref="A244:L244">
    <cfRule type="expression" dxfId="212" priority="182">
      <formula>SUMPRODUCT(--(ROW()=$O$12:$O$22))&gt;0</formula>
    </cfRule>
  </conditionalFormatting>
  <conditionalFormatting sqref="A217:L219 A221:A222 G221:L222 A220:F220 L220">
    <cfRule type="expression" dxfId="211" priority="181">
      <formula>SUMPRODUCT(--(ROW()=$O$12:$O$22))&gt;0</formula>
    </cfRule>
  </conditionalFormatting>
  <conditionalFormatting sqref="A189:L189">
    <cfRule type="expression" dxfId="210" priority="180">
      <formula>SUMPRODUCT(--(ROW()=$O$12:$O$22))&gt;0</formula>
    </cfRule>
  </conditionalFormatting>
  <conditionalFormatting sqref="G193:G198">
    <cfRule type="expression" dxfId="209" priority="179">
      <formula>SUMPRODUCT(--(ROW()=$O$12:$O$22))&gt;0</formula>
    </cfRule>
  </conditionalFormatting>
  <conditionalFormatting sqref="I193:I198">
    <cfRule type="expression" dxfId="208" priority="178">
      <formula>SUMPRODUCT(--(ROW()=$O$12:$O$22))&gt;0</formula>
    </cfRule>
  </conditionalFormatting>
  <conditionalFormatting sqref="G200">
    <cfRule type="expression" dxfId="207" priority="177">
      <formula>SUMPRODUCT(--(ROW()=$O$12:$O$22))&gt;0</formula>
    </cfRule>
  </conditionalFormatting>
  <conditionalFormatting sqref="I200">
    <cfRule type="expression" dxfId="206" priority="176">
      <formula>SUMPRODUCT(--(ROW()=$O$12:$O$22))&gt;0</formula>
    </cfRule>
  </conditionalFormatting>
  <conditionalFormatting sqref="G102">
    <cfRule type="expression" dxfId="205" priority="175">
      <formula>SUMPRODUCT(--(ROW()=$O$12:$O$22))&gt;0</formula>
    </cfRule>
  </conditionalFormatting>
  <conditionalFormatting sqref="G103">
    <cfRule type="expression" dxfId="204" priority="174">
      <formula>SUMPRODUCT(--(ROW()=$O$12:$O$22))&gt;0</formula>
    </cfRule>
  </conditionalFormatting>
  <conditionalFormatting sqref="G118">
    <cfRule type="expression" dxfId="203" priority="171">
      <formula>SUMPRODUCT(--(ROW()=$O$12:$O$22))&gt;0</formula>
    </cfRule>
  </conditionalFormatting>
  <conditionalFormatting sqref="G116">
    <cfRule type="expression" dxfId="202" priority="173">
      <formula>SUMPRODUCT(--(ROW()=$O$12:$O$22))&gt;0</formula>
    </cfRule>
  </conditionalFormatting>
  <conditionalFormatting sqref="G117">
    <cfRule type="expression" dxfId="201" priority="172">
      <formula>SUMPRODUCT(--(ROW()=$O$12:$O$22))&gt;0</formula>
    </cfRule>
  </conditionalFormatting>
  <conditionalFormatting sqref="G106">
    <cfRule type="expression" dxfId="200" priority="170">
      <formula>SUMPRODUCT(--(ROW()=$O$12:$O$22))&gt;0</formula>
    </cfRule>
  </conditionalFormatting>
  <conditionalFormatting sqref="G134">
    <cfRule type="expression" dxfId="199" priority="169">
      <formula>SUMPRODUCT(--(ROW()=$O$12:$O$22))&gt;0</formula>
    </cfRule>
  </conditionalFormatting>
  <conditionalFormatting sqref="G135">
    <cfRule type="expression" dxfId="198" priority="168">
      <formula>SUMPRODUCT(--(ROW()=$O$12:$O$22))&gt;0</formula>
    </cfRule>
  </conditionalFormatting>
  <conditionalFormatting sqref="G136">
    <cfRule type="expression" dxfId="197" priority="167">
      <formula>SUMPRODUCT(--(ROW()=$O$12:$O$22))&gt;0</formula>
    </cfRule>
  </conditionalFormatting>
  <conditionalFormatting sqref="H305">
    <cfRule type="expression" dxfId="196" priority="166">
      <formula>SUMPRODUCT(--(ROW()=$O$12:$O$22))&gt;0</formula>
    </cfRule>
  </conditionalFormatting>
  <conditionalFormatting sqref="J305:K305">
    <cfRule type="expression" dxfId="195" priority="165">
      <formula>SUMPRODUCT(--(ROW()=$O$12:$O$22))&gt;0</formula>
    </cfRule>
  </conditionalFormatting>
  <conditionalFormatting sqref="I306:I320">
    <cfRule type="expression" dxfId="194" priority="164">
      <formula>SUMPRODUCT(--(ROW()=$O$12:$O$22))&gt;0</formula>
    </cfRule>
  </conditionalFormatting>
  <conditionalFormatting sqref="H306:H320">
    <cfRule type="expression" dxfId="193" priority="163">
      <formula>SUMPRODUCT(--(ROW()=$O$12:$O$22))&gt;0</formula>
    </cfRule>
  </conditionalFormatting>
  <conditionalFormatting sqref="J306:K320">
    <cfRule type="expression" dxfId="192" priority="162">
      <formula>SUMPRODUCT(--(ROW()=$O$12:$O$22))&gt;0</formula>
    </cfRule>
  </conditionalFormatting>
  <conditionalFormatting sqref="L328:L334">
    <cfRule type="expression" dxfId="191" priority="161">
      <formula>SUMPRODUCT(--(ROW()=$O$12:$O$22))&gt;0</formula>
    </cfRule>
  </conditionalFormatting>
  <conditionalFormatting sqref="A81:D83">
    <cfRule type="expression" dxfId="190" priority="160">
      <formula>SUMPRODUCT(--(ROW()=$O$12:$O$22))&gt;0</formula>
    </cfRule>
  </conditionalFormatting>
  <conditionalFormatting sqref="G202:G207">
    <cfRule type="expression" dxfId="189" priority="159">
      <formula>SUMPRODUCT(--(ROW()=$O$12:$O$22))&gt;0</formula>
    </cfRule>
  </conditionalFormatting>
  <conditionalFormatting sqref="I202:I207">
    <cfRule type="expression" dxfId="188" priority="158">
      <formula>SUMPRODUCT(--(ROW()=$O$12:$O$22))&gt;0</formula>
    </cfRule>
  </conditionalFormatting>
  <conditionalFormatting sqref="A98">
    <cfRule type="expression" dxfId="187" priority="157">
      <formula>SUMPRODUCT(--(ROW()=$O$12:$O$22))&gt;0</formula>
    </cfRule>
  </conditionalFormatting>
  <conditionalFormatting sqref="B98:E98">
    <cfRule type="expression" dxfId="186" priority="156">
      <formula>SUMPRODUCT(--(ROW()=$O$12:$O$22))&gt;0</formula>
    </cfRule>
  </conditionalFormatting>
  <conditionalFormatting sqref="A125:F126">
    <cfRule type="expression" dxfId="185" priority="155">
      <formula>SUMPRODUCT(--(ROW()=$O$12:$O$22))&gt;0</formula>
    </cfRule>
  </conditionalFormatting>
  <conditionalFormatting sqref="B128:E128">
    <cfRule type="expression" dxfId="184" priority="154">
      <formula>SUMPRODUCT(--(ROW()=$O$12:$O$22))&gt;0</formula>
    </cfRule>
  </conditionalFormatting>
  <conditionalFormatting sqref="I127">
    <cfRule type="expression" dxfId="183" priority="153">
      <formula>SUMPRODUCT(--(ROW()=$O$12:$O$22))&gt;0</formula>
    </cfRule>
  </conditionalFormatting>
  <conditionalFormatting sqref="I128">
    <cfRule type="expression" dxfId="182" priority="152">
      <formula>SUMPRODUCT(--(ROW()=$O$12:$O$22))&gt;0</formula>
    </cfRule>
  </conditionalFormatting>
  <conditionalFormatting sqref="G125">
    <cfRule type="expression" dxfId="181" priority="151">
      <formula>SUMPRODUCT(--(ROW()=$O$12:$O$22))&gt;0</formula>
    </cfRule>
  </conditionalFormatting>
  <conditionalFormatting sqref="I125">
    <cfRule type="expression" dxfId="180" priority="150">
      <formula>SUMPRODUCT(--(ROW()=$O$12:$O$22))&gt;0</formula>
    </cfRule>
  </conditionalFormatting>
  <conditionalFormatting sqref="A124:F124">
    <cfRule type="expression" dxfId="179" priority="149">
      <formula>SUMPRODUCT(--(ROW()=$O$12:$O$22))&gt;0</formula>
    </cfRule>
  </conditionalFormatting>
  <conditionalFormatting sqref="A124">
    <cfRule type="expression" dxfId="178" priority="148">
      <formula>SUMPRODUCT(--(ROW()=$O$12:$O$22))&gt;0</formula>
    </cfRule>
  </conditionalFormatting>
  <conditionalFormatting sqref="B124:E124">
    <cfRule type="expression" dxfId="177" priority="147">
      <formula>SUMPRODUCT(--(ROW()=$O$12:$O$22))&gt;0</formula>
    </cfRule>
  </conditionalFormatting>
  <conditionalFormatting sqref="A123">
    <cfRule type="expression" dxfId="176" priority="143">
      <formula>SUMPRODUCT(--(ROW()=$O$12:$O$22))&gt;0</formula>
    </cfRule>
  </conditionalFormatting>
  <conditionalFormatting sqref="I109">
    <cfRule type="expression" dxfId="175" priority="146">
      <formula>SUMPRODUCT(--(ROW()=$O$12:$O$22))&gt;0</formula>
    </cfRule>
  </conditionalFormatting>
  <conditionalFormatting sqref="A122">
    <cfRule type="expression" dxfId="174" priority="145">
      <formula>SUMPRODUCT(--(ROW()=$O$12:$O$22))&gt;0</formula>
    </cfRule>
  </conditionalFormatting>
  <conditionalFormatting sqref="B122:E122">
    <cfRule type="expression" dxfId="173" priority="144">
      <formula>SUMPRODUCT(--(ROW()=$O$12:$O$22))&gt;0</formula>
    </cfRule>
  </conditionalFormatting>
  <conditionalFormatting sqref="B123:E123">
    <cfRule type="expression" dxfId="172" priority="142">
      <formula>SUMPRODUCT(--(ROW()=$O$12:$O$22))&gt;0</formula>
    </cfRule>
  </conditionalFormatting>
  <conditionalFormatting sqref="A120">
    <cfRule type="expression" dxfId="171" priority="141">
      <formula>SUMPRODUCT(--(ROW()=$O$12:$O$22))&gt;0</formula>
    </cfRule>
  </conditionalFormatting>
  <conditionalFormatting sqref="B120:E120">
    <cfRule type="expression" dxfId="170" priority="140">
      <formula>SUMPRODUCT(--(ROW()=$O$12:$O$22))&gt;0</formula>
    </cfRule>
  </conditionalFormatting>
  <conditionalFormatting sqref="N268">
    <cfRule type="containsText" dxfId="169" priority="134" operator="containsText" text="Diffus">
      <formula>NOT(ISERROR(SEARCH("Diffus",N268)))</formula>
    </cfRule>
    <cfRule type="containsText" dxfId="168" priority="135" operator="containsText" text="Counter">
      <formula>NOT(ISERROR(SEARCH("Counter",N268)))</formula>
    </cfRule>
    <cfRule type="containsText" dxfId="167" priority="136" operator="containsText" text="Damper">
      <formula>NOT(ISERROR(SEARCH("Damper",N268)))</formula>
    </cfRule>
    <cfRule type="containsText" dxfId="166" priority="137" operator="containsText" text="Register">
      <formula>NOT(ISERROR(SEARCH("Register",N268)))</formula>
    </cfRule>
    <cfRule type="containsText" dxfId="165" priority="138" operator="containsText" text="Grille">
      <formula>NOT(ISERROR(SEARCH("Grille",N268)))</formula>
    </cfRule>
    <cfRule type="containsText" dxfId="164" priority="139" operator="containsText" text="FFL">
      <formula>NOT(ISERROR(SEARCH("FFL",N268)))</formula>
    </cfRule>
  </conditionalFormatting>
  <conditionalFormatting sqref="A267:A268 C267:L267 G268 L268">
    <cfRule type="expression" dxfId="163" priority="133">
      <formula>SUMPRODUCT(--(ROW()=$O$12:$O$22))&gt;0</formula>
    </cfRule>
  </conditionalFormatting>
  <conditionalFormatting sqref="B262">
    <cfRule type="expression" dxfId="162" priority="132">
      <formula>SUMPRODUCT(--(ROW()=$O$12:$O$22))&gt;0</formula>
    </cfRule>
  </conditionalFormatting>
  <conditionalFormatting sqref="F262">
    <cfRule type="expression" dxfId="161" priority="131">
      <formula>SUMPRODUCT(--(ROW()=$O$12:$O$21))&gt;0</formula>
    </cfRule>
  </conditionalFormatting>
  <conditionalFormatting sqref="B263:B266">
    <cfRule type="expression" dxfId="160" priority="130">
      <formula>SUMPRODUCT(--(ROW()=$O$12:$O$22))&gt;0</formula>
    </cfRule>
  </conditionalFormatting>
  <conditionalFormatting sqref="F263:F266">
    <cfRule type="expression" dxfId="159" priority="129">
      <formula>SUMPRODUCT(--(ROW()=$O$12:$O$21))&gt;0</formula>
    </cfRule>
  </conditionalFormatting>
  <conditionalFormatting sqref="B267">
    <cfRule type="expression" dxfId="158" priority="128">
      <formula>SUMPRODUCT(--(ROW()=$O$12:$O$21))&gt;0</formula>
    </cfRule>
  </conditionalFormatting>
  <conditionalFormatting sqref="N271:O271">
    <cfRule type="containsText" dxfId="157" priority="122" operator="containsText" text="Diffus">
      <formula>NOT(ISERROR(SEARCH("Diffus",N271)))</formula>
    </cfRule>
    <cfRule type="containsText" dxfId="156" priority="123" operator="containsText" text="Counter">
      <formula>NOT(ISERROR(SEARCH("Counter",N271)))</formula>
    </cfRule>
    <cfRule type="containsText" dxfId="155" priority="124" operator="containsText" text="Damper">
      <formula>NOT(ISERROR(SEARCH("Damper",N271)))</formula>
    </cfRule>
    <cfRule type="containsText" dxfId="154" priority="125" operator="containsText" text="Register">
      <formula>NOT(ISERROR(SEARCH("Register",N271)))</formula>
    </cfRule>
    <cfRule type="containsText" dxfId="153" priority="126" operator="containsText" text="Grille">
      <formula>NOT(ISERROR(SEARCH("Grille",N271)))</formula>
    </cfRule>
    <cfRule type="containsText" dxfId="152" priority="127" operator="containsText" text="FFL">
      <formula>NOT(ISERROR(SEARCH("FFL",N271)))</formula>
    </cfRule>
  </conditionalFormatting>
  <conditionalFormatting sqref="B271">
    <cfRule type="expression" dxfId="151" priority="121">
      <formula>SUMPRODUCT(--(ROW()=$O$12:$O$22))&gt;0</formula>
    </cfRule>
  </conditionalFormatting>
  <conditionalFormatting sqref="F268">
    <cfRule type="expression" dxfId="150" priority="120">
      <formula>SUMPRODUCT(--(ROW()=$O$12:$O$21))&gt;0</formula>
    </cfRule>
  </conditionalFormatting>
  <conditionalFormatting sqref="B268">
    <cfRule type="expression" dxfId="149" priority="119">
      <formula>SUMPRODUCT(--(ROW()=$O$12:$O$22))&gt;0</formula>
    </cfRule>
  </conditionalFormatting>
  <conditionalFormatting sqref="B273:B274">
    <cfRule type="expression" dxfId="148" priority="103">
      <formula>SUMPRODUCT(--(ROW()=$O$12:$O$22))&gt;0</formula>
    </cfRule>
  </conditionalFormatting>
  <conditionalFormatting sqref="F273:F274">
    <cfRule type="expression" dxfId="147" priority="102">
      <formula>SUMPRODUCT(--(ROW()=$O$12:$O$21))&gt;0</formula>
    </cfRule>
  </conditionalFormatting>
  <conditionalFormatting sqref="N272:O272">
    <cfRule type="containsText" dxfId="146" priority="113" operator="containsText" text="Diffus">
      <formula>NOT(ISERROR(SEARCH("Diffus",N272)))</formula>
    </cfRule>
    <cfRule type="containsText" dxfId="145" priority="114" operator="containsText" text="Counter">
      <formula>NOT(ISERROR(SEARCH("Counter",N272)))</formula>
    </cfRule>
    <cfRule type="containsText" dxfId="144" priority="115" operator="containsText" text="Damper">
      <formula>NOT(ISERROR(SEARCH("Damper",N272)))</formula>
    </cfRule>
    <cfRule type="containsText" dxfId="143" priority="116" operator="containsText" text="Register">
      <formula>NOT(ISERROR(SEARCH("Register",N272)))</formula>
    </cfRule>
    <cfRule type="containsText" dxfId="142" priority="117" operator="containsText" text="Grille">
      <formula>NOT(ISERROR(SEARCH("Grille",N272)))</formula>
    </cfRule>
    <cfRule type="containsText" dxfId="141" priority="118" operator="containsText" text="FFL">
      <formula>NOT(ISERROR(SEARCH("FFL",N272)))</formula>
    </cfRule>
  </conditionalFormatting>
  <conditionalFormatting sqref="B272">
    <cfRule type="expression" dxfId="140" priority="112">
      <formula>SUMPRODUCT(--(ROW()=$O$12:$O$22))&gt;0</formula>
    </cfRule>
  </conditionalFormatting>
  <conditionalFormatting sqref="N275:O275">
    <cfRule type="containsText" dxfId="139" priority="106" operator="containsText" text="Diffus">
      <formula>NOT(ISERROR(SEARCH("Diffus",N275)))</formula>
    </cfRule>
    <cfRule type="containsText" dxfId="138" priority="107" operator="containsText" text="Counter">
      <formula>NOT(ISERROR(SEARCH("Counter",N275)))</formula>
    </cfRule>
    <cfRule type="containsText" dxfId="137" priority="108" operator="containsText" text="Damper">
      <formula>NOT(ISERROR(SEARCH("Damper",N275)))</formula>
    </cfRule>
    <cfRule type="containsText" dxfId="136" priority="109" operator="containsText" text="Register">
      <formula>NOT(ISERROR(SEARCH("Register",N275)))</formula>
    </cfRule>
    <cfRule type="containsText" dxfId="135" priority="110" operator="containsText" text="Grille">
      <formula>NOT(ISERROR(SEARCH("Grille",N275)))</formula>
    </cfRule>
    <cfRule type="containsText" dxfId="134" priority="111" operator="containsText" text="FFL">
      <formula>NOT(ISERROR(SEARCH("FFL",N275)))</formula>
    </cfRule>
  </conditionalFormatting>
  <conditionalFormatting sqref="B275">
    <cfRule type="expression" dxfId="133" priority="105">
      <formula>SUMPRODUCT(--(ROW()=$O$12:$O$22))&gt;0</formula>
    </cfRule>
  </conditionalFormatting>
  <conditionalFormatting sqref="B269">
    <cfRule type="expression" dxfId="132" priority="104">
      <formula>SUMPRODUCT(--(ROW()=$O$12:$O$22))&gt;0</formula>
    </cfRule>
  </conditionalFormatting>
  <conditionalFormatting sqref="N270:O270">
    <cfRule type="containsText" dxfId="131" priority="96" operator="containsText" text="Diffus">
      <formula>NOT(ISERROR(SEARCH("Diffus",N270)))</formula>
    </cfRule>
    <cfRule type="containsText" dxfId="130" priority="97" operator="containsText" text="Counter">
      <formula>NOT(ISERROR(SEARCH("Counter",N270)))</formula>
    </cfRule>
    <cfRule type="containsText" dxfId="129" priority="98" operator="containsText" text="Damper">
      <formula>NOT(ISERROR(SEARCH("Damper",N270)))</formula>
    </cfRule>
    <cfRule type="containsText" dxfId="128" priority="99" operator="containsText" text="Register">
      <formula>NOT(ISERROR(SEARCH("Register",N270)))</formula>
    </cfRule>
    <cfRule type="containsText" dxfId="127" priority="100" operator="containsText" text="Grille">
      <formula>NOT(ISERROR(SEARCH("Grille",N270)))</formula>
    </cfRule>
    <cfRule type="containsText" dxfId="126" priority="101" operator="containsText" text="FFL">
      <formula>NOT(ISERROR(SEARCH("FFL",N270)))</formula>
    </cfRule>
  </conditionalFormatting>
  <conditionalFormatting sqref="B270">
    <cfRule type="expression" dxfId="125" priority="95">
      <formula>SUMPRODUCT(--(ROW()=$O$12:$O$22))&gt;0</formula>
    </cfRule>
  </conditionalFormatting>
  <conditionalFormatting sqref="C276:L276 A276">
    <cfRule type="expression" dxfId="124" priority="94">
      <formula>SUMPRODUCT(--(ROW()=$O$12:$O$21))&gt;0</formula>
    </cfRule>
  </conditionalFormatting>
  <conditionalFormatting sqref="N277">
    <cfRule type="containsText" dxfId="123" priority="88" operator="containsText" text="Diffus">
      <formula>NOT(ISERROR(SEARCH("Diffus",N277)))</formula>
    </cfRule>
    <cfRule type="containsText" dxfId="122" priority="89" operator="containsText" text="Counter">
      <formula>NOT(ISERROR(SEARCH("Counter",N277)))</formula>
    </cfRule>
    <cfRule type="containsText" dxfId="121" priority="90" operator="containsText" text="Damper">
      <formula>NOT(ISERROR(SEARCH("Damper",N277)))</formula>
    </cfRule>
    <cfRule type="containsText" dxfId="120" priority="91" operator="containsText" text="Register">
      <formula>NOT(ISERROR(SEARCH("Register",N277)))</formula>
    </cfRule>
    <cfRule type="containsText" dxfId="119" priority="92" operator="containsText" text="Grille">
      <formula>NOT(ISERROR(SEARCH("Grille",N277)))</formula>
    </cfRule>
    <cfRule type="containsText" dxfId="118" priority="93" operator="containsText" text="FFL">
      <formula>NOT(ISERROR(SEARCH("FFL",N277)))</formula>
    </cfRule>
  </conditionalFormatting>
  <conditionalFormatting sqref="A277:G277 I277 L277">
    <cfRule type="expression" dxfId="117" priority="87">
      <formula>SUMPRODUCT(--(ROW()=$O$12:$O$22))&gt;0</formula>
    </cfRule>
  </conditionalFormatting>
  <conditionalFormatting sqref="A175:F175">
    <cfRule type="expression" dxfId="116" priority="86">
      <formula>SUMPRODUCT(--(ROW()=$O$12:$O$22))&gt;0</formula>
    </cfRule>
  </conditionalFormatting>
  <conditionalFormatting sqref="A178:F178">
    <cfRule type="expression" dxfId="115" priority="85">
      <formula>SUMPRODUCT(--(ROW()=$O$12:$O$22))&gt;0</formula>
    </cfRule>
  </conditionalFormatting>
  <conditionalFormatting sqref="B279:B292">
    <cfRule type="expression" dxfId="114" priority="84">
      <formula>SUMPRODUCT(--(ROW()=$O$12:$O$22))&gt;0</formula>
    </cfRule>
  </conditionalFormatting>
  <conditionalFormatting sqref="B294:B297">
    <cfRule type="expression" dxfId="113" priority="83">
      <formula>SUMPRODUCT(--(ROW()=$O$12:$O$22))&gt;0</formula>
    </cfRule>
  </conditionalFormatting>
  <conditionalFormatting sqref="B299:B300">
    <cfRule type="expression" dxfId="112" priority="82">
      <formula>SUMPRODUCT(--(ROW()=$O$12:$O$22))&gt;0</formula>
    </cfRule>
  </conditionalFormatting>
  <conditionalFormatting sqref="A60">
    <cfRule type="expression" dxfId="111" priority="81">
      <formula>SUMPRODUCT(--(ROW()=$O$12:$O$22))&gt;0</formula>
    </cfRule>
  </conditionalFormatting>
  <conditionalFormatting sqref="B60">
    <cfRule type="expression" dxfId="110" priority="80">
      <formula>SUMPRODUCT(--(ROW()=$O$12:$O$22))&gt;0</formula>
    </cfRule>
  </conditionalFormatting>
  <conditionalFormatting sqref="G37:G38">
    <cfRule type="expression" dxfId="109" priority="79">
      <formula>SUMPRODUCT(--(ROW()=$O$12:$O$22))&gt;0</formula>
    </cfRule>
  </conditionalFormatting>
  <conditionalFormatting sqref="H37:K37">
    <cfRule type="expression" dxfId="108" priority="78">
      <formula>SUMPRODUCT(--(ROW()=$O$12:$O$22))&gt;0</formula>
    </cfRule>
  </conditionalFormatting>
  <conditionalFormatting sqref="H38:K38">
    <cfRule type="expression" dxfId="107" priority="77">
      <formula>SUMPRODUCT(--(ROW()=$O$12:$O$22))&gt;0</formula>
    </cfRule>
  </conditionalFormatting>
  <conditionalFormatting sqref="G39:K40 H41 J41:K41">
    <cfRule type="expression" dxfId="106" priority="76">
      <formula>SUMPRODUCT(--(ROW()=$O$12:$O$22))&gt;0</formula>
    </cfRule>
  </conditionalFormatting>
  <conditionalFormatting sqref="A59 E59:L59">
    <cfRule type="expression" dxfId="105" priority="72">
      <formula>SUMPRODUCT(--(ROW()=$O$12:$O$22))&gt;0</formula>
    </cfRule>
  </conditionalFormatting>
  <conditionalFormatting sqref="A45 E45:L45">
    <cfRule type="expression" dxfId="104" priority="75">
      <formula>SUMPRODUCT(--(ROW()=$O$12:$O$22))&gt;0</formula>
    </cfRule>
  </conditionalFormatting>
  <conditionalFormatting sqref="G53:K56 G48:K48 H51:K52 G50:K50">
    <cfRule type="expression" dxfId="103" priority="74">
      <formula>SUMPRODUCT(--(ROW()=$O$12:$O$22))&gt;0</formula>
    </cfRule>
  </conditionalFormatting>
  <conditionalFormatting sqref="G51:G52">
    <cfRule type="expression" dxfId="102" priority="73">
      <formula>SUMPRODUCT(--(ROW()=$O$12:$O$22))&gt;0</formula>
    </cfRule>
  </conditionalFormatting>
  <conditionalFormatting sqref="A149:B150">
    <cfRule type="expression" dxfId="101" priority="71">
      <formula>SUMPRODUCT(--(ROW()=$O$12:$O$22))&gt;0</formula>
    </cfRule>
  </conditionalFormatting>
  <conditionalFormatting sqref="G144 I144:L144 L143 G141:G142 L141 J142:L142 H143:H145">
    <cfRule type="expression" dxfId="100" priority="70">
      <formula>SUMPRODUCT(--(ROW()=$O$12:$O$22))&gt;0</formula>
    </cfRule>
  </conditionalFormatting>
  <conditionalFormatting sqref="G145 I145:L145">
    <cfRule type="expression" dxfId="99" priority="69">
      <formula>SUMPRODUCT(--(ROW()=$O$12:$O$22))&gt;0</formula>
    </cfRule>
  </conditionalFormatting>
  <conditionalFormatting sqref="H142">
    <cfRule type="expression" dxfId="98" priority="68">
      <formula>SUMPRODUCT(--(ROW()=$O$12:$O$22))&gt;0</formula>
    </cfRule>
  </conditionalFormatting>
  <conditionalFormatting sqref="J143:K143">
    <cfRule type="expression" dxfId="97" priority="67">
      <formula>SUMPRODUCT(--(ROW()=$O$12:$O$22))&gt;0</formula>
    </cfRule>
  </conditionalFormatting>
  <conditionalFormatting sqref="H141:K141">
    <cfRule type="expression" dxfId="96" priority="66">
      <formula>SUMPRODUCT(--(ROW()=$O$12:$O$22))&gt;0</formula>
    </cfRule>
  </conditionalFormatting>
  <conditionalFormatting sqref="I142">
    <cfRule type="expression" dxfId="95" priority="65">
      <formula>SUMPRODUCT(--(ROW()=$O$12:$O$22))&gt;0</formula>
    </cfRule>
  </conditionalFormatting>
  <conditionalFormatting sqref="L286">
    <cfRule type="expression" dxfId="94" priority="52">
      <formula>SUMPRODUCT(--(ROW()=$O$12:$O$22))&gt;0</formula>
    </cfRule>
  </conditionalFormatting>
  <conditionalFormatting sqref="I143">
    <cfRule type="expression" dxfId="93" priority="64">
      <formula>SUMPRODUCT(--(ROW()=$O$12:$O$22))&gt;0</formula>
    </cfRule>
  </conditionalFormatting>
  <conditionalFormatting sqref="G143">
    <cfRule type="expression" dxfId="92" priority="63">
      <formula>SUMPRODUCT(--(ROW()=$O$12:$O$22))&gt;0</formula>
    </cfRule>
  </conditionalFormatting>
  <conditionalFormatting sqref="C89:J89">
    <cfRule type="expression" dxfId="91" priority="62">
      <formula>SUMPRODUCT(--(ROW()=$O$12:$O$22))&gt;0</formula>
    </cfRule>
  </conditionalFormatting>
  <conditionalFormatting sqref="E88">
    <cfRule type="expression" dxfId="90" priority="61">
      <formula>SUMPRODUCT(--(ROW()=$O$14:$O$24))&gt;0</formula>
    </cfRule>
  </conditionalFormatting>
  <conditionalFormatting sqref="G104">
    <cfRule type="expression" dxfId="89" priority="60">
      <formula>SUMPRODUCT(--(ROW()=$O$12:$O$22))&gt;0</formula>
    </cfRule>
  </conditionalFormatting>
  <conditionalFormatting sqref="G167:G169">
    <cfRule type="expression" dxfId="88" priority="59">
      <formula>SUMPRODUCT(--(ROW()=$O$14:$O$24))&gt;0</formula>
    </cfRule>
  </conditionalFormatting>
  <conditionalFormatting sqref="E171:F173">
    <cfRule type="expression" dxfId="87" priority="58">
      <formula>SUMPRODUCT(--(ROW()=$O$12:$O$21))&gt;0</formula>
    </cfRule>
  </conditionalFormatting>
  <conditionalFormatting sqref="H172:H173">
    <cfRule type="expression" dxfId="86" priority="57">
      <formula>SUMPRODUCT(--(ROW()=$O$14:$O$24))&gt;0</formula>
    </cfRule>
  </conditionalFormatting>
  <conditionalFormatting sqref="H175">
    <cfRule type="expression" dxfId="85" priority="56">
      <formula>SUMPRODUCT(--(ROW()=$O$14:$O$24))&gt;0</formula>
    </cfRule>
  </conditionalFormatting>
  <conditionalFormatting sqref="F179:F181">
    <cfRule type="expression" dxfId="84" priority="55">
      <formula>SUMPRODUCT(--(ROW()=$O$12:$O$22))&gt;0</formula>
    </cfRule>
  </conditionalFormatting>
  <conditionalFormatting sqref="E179:E181">
    <cfRule type="expression" dxfId="83" priority="54">
      <formula>SUMPRODUCT(--(ROW()=$O$12:$O$21))&gt;0</formula>
    </cfRule>
  </conditionalFormatting>
  <conditionalFormatting sqref="G220">
    <cfRule type="expression" dxfId="82" priority="53">
      <formula>SUMPRODUCT(--(ROW()=$O$14:$O$24))&gt;0</formula>
    </cfRule>
  </conditionalFormatting>
  <conditionalFormatting sqref="L284">
    <cfRule type="expression" dxfId="81" priority="51">
      <formula>SUMPRODUCT(--(ROW()=$O$12:$O$22))&gt;0</formula>
    </cfRule>
  </conditionalFormatting>
  <conditionalFormatting sqref="L285">
    <cfRule type="expression" dxfId="80" priority="50">
      <formula>SUMPRODUCT(--(ROW()=$O$12:$O$22))&gt;0</formula>
    </cfRule>
  </conditionalFormatting>
  <conditionalFormatting sqref="A84 E84:L84">
    <cfRule type="expression" dxfId="79" priority="49">
      <formula>SUMPRODUCT(--(ROW()=$O$12:$O$22))&gt;0</formula>
    </cfRule>
  </conditionalFormatting>
  <conditionalFormatting sqref="A94 E94:L94">
    <cfRule type="expression" dxfId="78" priority="48">
      <formula>SUMPRODUCT(--(ROW()=$O$12:$O$22))&gt;0</formula>
    </cfRule>
  </conditionalFormatting>
  <conditionalFormatting sqref="A138 E138:L138">
    <cfRule type="expression" dxfId="77" priority="47">
      <formula>SUMPRODUCT(--(ROW()=$O$12:$O$22))&gt;0</formula>
    </cfRule>
  </conditionalFormatting>
  <conditionalFormatting sqref="A148 E148:L148">
    <cfRule type="expression" dxfId="76" priority="46">
      <formula>SUMPRODUCT(--(ROW()=$O$12:$O$22))&gt;0</formula>
    </cfRule>
  </conditionalFormatting>
  <conditionalFormatting sqref="A159 E159:L159">
    <cfRule type="expression" dxfId="75" priority="45">
      <formula>SUMPRODUCT(--(ROW()=$O$12:$O$22))&gt;0</formula>
    </cfRule>
  </conditionalFormatting>
  <conditionalFormatting sqref="A184 E184:L184">
    <cfRule type="expression" dxfId="74" priority="44">
      <formula>SUMPRODUCT(--(ROW()=$O$12:$O$22))&gt;0</formula>
    </cfRule>
  </conditionalFormatting>
  <conditionalFormatting sqref="A209 E209:L209">
    <cfRule type="expression" dxfId="73" priority="43">
      <formula>SUMPRODUCT(--(ROW()=$O$12:$O$22))&gt;0</formula>
    </cfRule>
  </conditionalFormatting>
  <conditionalFormatting sqref="A234 E234:L234">
    <cfRule type="expression" dxfId="72" priority="42">
      <formula>SUMPRODUCT(--(ROW()=$O$12:$O$22))&gt;0</formula>
    </cfRule>
  </conditionalFormatting>
  <conditionalFormatting sqref="A249 E249:L249">
    <cfRule type="expression" dxfId="71" priority="41">
      <formula>SUMPRODUCT(--(ROW()=$O$12:$O$22))&gt;0</formula>
    </cfRule>
  </conditionalFormatting>
  <conditionalFormatting sqref="A259 E259:L259">
    <cfRule type="expression" dxfId="70" priority="40">
      <formula>SUMPRODUCT(--(ROW()=$O$12:$O$22))&gt;0</formula>
    </cfRule>
  </conditionalFormatting>
  <conditionalFormatting sqref="A302 E302:L302">
    <cfRule type="expression" dxfId="69" priority="39">
      <formula>SUMPRODUCT(--(ROW()=$O$12:$O$22))&gt;0</formula>
    </cfRule>
  </conditionalFormatting>
  <conditionalFormatting sqref="A359 E359:L359">
    <cfRule type="expression" dxfId="68" priority="38">
      <formula>SUMPRODUCT(--(ROW()=$O$12:$O$22))&gt;0</formula>
    </cfRule>
  </conditionalFormatting>
  <conditionalFormatting sqref="A12:A25">
    <cfRule type="expression" dxfId="67" priority="37">
      <formula>SUMPRODUCT(--(ROW()=$O$12:$O$22))&gt;0</formula>
    </cfRule>
  </conditionalFormatting>
  <conditionalFormatting sqref="L49">
    <cfRule type="expression" dxfId="66" priority="36">
      <formula>SUMPRODUCT(--(ROW()=$O$12:$O$22))&gt;0</formula>
    </cfRule>
  </conditionalFormatting>
  <conditionalFormatting sqref="G49:K49">
    <cfRule type="expression" dxfId="65" priority="35">
      <formula>SUMPRODUCT(--(ROW()=$O$12:$O$22))&gt;0</formula>
    </cfRule>
  </conditionalFormatting>
  <conditionalFormatting sqref="A358 L358">
    <cfRule type="expression" dxfId="64" priority="34">
      <formula>SUMPRODUCT(--(ROW()=$O$12:$O$22))&gt;0</formula>
    </cfRule>
  </conditionalFormatting>
  <conditionalFormatting sqref="G124">
    <cfRule type="expression" dxfId="63" priority="33">
      <formula>SUMPRODUCT(--(ROW()=$O$12:$O$22))&gt;0</formula>
    </cfRule>
  </conditionalFormatting>
  <conditionalFormatting sqref="G124">
    <cfRule type="expression" dxfId="62" priority="32">
      <formula>SUMPRODUCT(--(ROW()=$O$12:$O$22))&gt;0</formula>
    </cfRule>
  </conditionalFormatting>
  <conditionalFormatting sqref="G124">
    <cfRule type="expression" dxfId="61" priority="31">
      <formula>SUMPRODUCT(--(ROW()=$O$12:$O$22))&gt;0</formula>
    </cfRule>
  </conditionalFormatting>
  <conditionalFormatting sqref="G126">
    <cfRule type="expression" dxfId="60" priority="30">
      <formula>SUMPRODUCT(--(ROW()=$O$12:$O$22))&gt;0</formula>
    </cfRule>
  </conditionalFormatting>
  <conditionalFormatting sqref="G128">
    <cfRule type="expression" dxfId="59" priority="29">
      <formula>SUMPRODUCT(--(ROW()=$O$12:$O$22))&gt;0</formula>
    </cfRule>
  </conditionalFormatting>
  <conditionalFormatting sqref="G129">
    <cfRule type="expression" dxfId="58" priority="28">
      <formula>SUMPRODUCT(--(ROW()=$O$12:$O$22))&gt;0</formula>
    </cfRule>
  </conditionalFormatting>
  <conditionalFormatting sqref="G126">
    <cfRule type="expression" dxfId="57" priority="27">
      <formula>SUMPRODUCT(--(ROW()=$O$12:$O$22))&gt;0</formula>
    </cfRule>
  </conditionalFormatting>
  <conditionalFormatting sqref="G128:G129">
    <cfRule type="expression" dxfId="56" priority="26">
      <formula>SUMPRODUCT(--(ROW()=$O$12:$O$22))&gt;0</formula>
    </cfRule>
  </conditionalFormatting>
  <conditionalFormatting sqref="G105">
    <cfRule type="expression" dxfId="55" priority="25">
      <formula>SUMPRODUCT(--(ROW()=$O$12:$O$22))&gt;0</formula>
    </cfRule>
  </conditionalFormatting>
  <conditionalFormatting sqref="I124">
    <cfRule type="expression" dxfId="54" priority="24">
      <formula>SUMPRODUCT(--(ROW()=$O$12:$O$22))&gt;0</formula>
    </cfRule>
  </conditionalFormatting>
  <conditionalFormatting sqref="I123">
    <cfRule type="expression" dxfId="53" priority="23">
      <formula>SUMPRODUCT(--(ROW()=$O$12:$O$22))&gt;0</formula>
    </cfRule>
  </conditionalFormatting>
  <conditionalFormatting sqref="I122">
    <cfRule type="expression" dxfId="52" priority="22">
      <formula>SUMPRODUCT(--(ROW()=$O$12:$O$22))&gt;0</formula>
    </cfRule>
  </conditionalFormatting>
  <conditionalFormatting sqref="I121">
    <cfRule type="expression" dxfId="51" priority="21">
      <formula>SUMPRODUCT(--(ROW()=$O$12:$O$22))&gt;0</formula>
    </cfRule>
  </conditionalFormatting>
  <conditionalFormatting sqref="I120">
    <cfRule type="expression" dxfId="50" priority="20">
      <formula>SUMPRODUCT(--(ROW()=$O$12:$O$22))&gt;0</formula>
    </cfRule>
  </conditionalFormatting>
  <conditionalFormatting sqref="I118">
    <cfRule type="expression" dxfId="49" priority="19">
      <formula>SUMPRODUCT(--(ROW()=$O$12:$O$22))&gt;0</formula>
    </cfRule>
  </conditionalFormatting>
  <conditionalFormatting sqref="I117">
    <cfRule type="expression" dxfId="48" priority="18">
      <formula>SUMPRODUCT(--(ROW()=$O$12:$O$22))&gt;0</formula>
    </cfRule>
  </conditionalFormatting>
  <conditionalFormatting sqref="I116">
    <cfRule type="expression" dxfId="47" priority="17">
      <formula>SUMPRODUCT(--(ROW()=$O$12:$O$22))&gt;0</formula>
    </cfRule>
  </conditionalFormatting>
  <conditionalFormatting sqref="I115">
    <cfRule type="expression" dxfId="46" priority="16">
      <formula>SUMPRODUCT(--(ROW()=$O$12:$O$22))&gt;0</formula>
    </cfRule>
  </conditionalFormatting>
  <conditionalFormatting sqref="I114">
    <cfRule type="expression" dxfId="45" priority="15">
      <formula>SUMPRODUCT(--(ROW()=$O$12:$O$22))&gt;0</formula>
    </cfRule>
  </conditionalFormatting>
  <conditionalFormatting sqref="I113">
    <cfRule type="expression" dxfId="44" priority="14">
      <formula>SUMPRODUCT(--(ROW()=$O$12:$O$22))&gt;0</formula>
    </cfRule>
  </conditionalFormatting>
  <conditionalFormatting sqref="I112">
    <cfRule type="expression" dxfId="43" priority="13">
      <formula>SUMPRODUCT(--(ROW()=$O$12:$O$22))&gt;0</formula>
    </cfRule>
  </conditionalFormatting>
  <conditionalFormatting sqref="I111">
    <cfRule type="expression" dxfId="42" priority="12">
      <formula>SUMPRODUCT(--(ROW()=$O$12:$O$22))&gt;0</formula>
    </cfRule>
  </conditionalFormatting>
  <conditionalFormatting sqref="I108">
    <cfRule type="expression" dxfId="41" priority="11">
      <formula>SUMPRODUCT(--(ROW()=$O$12:$O$22))&gt;0</formula>
    </cfRule>
  </conditionalFormatting>
  <conditionalFormatting sqref="I107">
    <cfRule type="expression" dxfId="40" priority="10">
      <formula>SUMPRODUCT(--(ROW()=$O$12:$O$22))&gt;0</formula>
    </cfRule>
  </conditionalFormatting>
  <conditionalFormatting sqref="I106">
    <cfRule type="expression" dxfId="39" priority="9">
      <formula>SUMPRODUCT(--(ROW()=$O$12:$O$22))&gt;0</formula>
    </cfRule>
  </conditionalFormatting>
  <conditionalFormatting sqref="I105">
    <cfRule type="expression" dxfId="38" priority="8">
      <formula>SUMPRODUCT(--(ROW()=$O$12:$O$22))&gt;0</formula>
    </cfRule>
  </conditionalFormatting>
  <conditionalFormatting sqref="I104">
    <cfRule type="expression" dxfId="37" priority="7">
      <formula>SUMPRODUCT(--(ROW()=$O$12:$O$22))&gt;0</formula>
    </cfRule>
  </conditionalFormatting>
  <conditionalFormatting sqref="I103">
    <cfRule type="expression" dxfId="36" priority="6">
      <formula>SUMPRODUCT(--(ROW()=$O$12:$O$22))&gt;0</formula>
    </cfRule>
  </conditionalFormatting>
  <conditionalFormatting sqref="I102">
    <cfRule type="expression" dxfId="35" priority="5">
      <formula>SUMPRODUCT(--(ROW()=$O$12:$O$22))&gt;0</formula>
    </cfRule>
  </conditionalFormatting>
  <conditionalFormatting sqref="I101">
    <cfRule type="expression" dxfId="34" priority="4">
      <formula>SUMPRODUCT(--(ROW()=$O$12:$O$22))&gt;0</formula>
    </cfRule>
  </conditionalFormatting>
  <conditionalFormatting sqref="I100">
    <cfRule type="expression" dxfId="33" priority="3">
      <formula>SUMPRODUCT(--(ROW()=$O$12:$O$22))&gt;0</formula>
    </cfRule>
  </conditionalFormatting>
  <conditionalFormatting sqref="I99">
    <cfRule type="expression" dxfId="32" priority="2">
      <formula>SUMPRODUCT(--(ROW()=$O$12:$O$22))&gt;0</formula>
    </cfRule>
  </conditionalFormatting>
  <conditionalFormatting sqref="I98">
    <cfRule type="expression" dxfId="31" priority="1">
      <formula>SUMPRODUCT(--(ROW()=$O$12:$O$22))&gt;0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8-อาคารสนับนุน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02071-3FCB-4689-AB5C-22D984E3E637}">
  <sheetPr>
    <tabColor rgb="FFFF00FF"/>
  </sheetPr>
  <dimension ref="A1:AA243"/>
  <sheetViews>
    <sheetView showGridLines="0" tabSelected="1" view="pageBreakPreview" topLeftCell="A128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1489" customWidth="1"/>
    <col min="2" max="3" width="7.29296875" style="952" customWidth="1"/>
    <col min="4" max="4" width="56.703125" style="952" customWidth="1"/>
    <col min="5" max="5" width="14.703125" style="952" customWidth="1"/>
    <col min="6" max="6" width="10.703125" style="952" customWidth="1"/>
    <col min="7" max="7" width="14.703125" style="952" customWidth="1"/>
    <col min="8" max="8" width="18.703125" style="952" customWidth="1"/>
    <col min="9" max="9" width="14.703125" style="952" customWidth="1"/>
    <col min="10" max="10" width="18.703125" style="952" customWidth="1"/>
    <col min="11" max="11" width="20.703125" style="952" customWidth="1"/>
    <col min="12" max="12" width="26.1171875" style="952" customWidth="1"/>
    <col min="13" max="13" width="7.703125" style="1430" customWidth="1"/>
    <col min="14" max="16" width="7.703125" style="1489" customWidth="1"/>
    <col min="17" max="22" width="7.703125" style="952" customWidth="1"/>
    <col min="23" max="23" width="14" style="952" customWidth="1"/>
    <col min="24" max="71" width="7.703125" style="952" customWidth="1"/>
    <col min="72" max="16384" width="9" style="952"/>
  </cols>
  <sheetData>
    <row r="1" spans="1:16" ht="35.1" customHeight="1">
      <c r="A1" s="1428"/>
      <c r="B1" s="1428"/>
      <c r="C1" s="46"/>
      <c r="D1" s="46"/>
      <c r="E1" s="46"/>
      <c r="F1" s="1429" t="s">
        <v>0</v>
      </c>
      <c r="G1" s="733"/>
      <c r="H1" s="733"/>
      <c r="I1" s="733"/>
      <c r="J1" s="735" t="s">
        <v>1</v>
      </c>
      <c r="K1" s="736"/>
      <c r="L1" s="733"/>
    </row>
    <row r="2" spans="1:16" ht="25.15" customHeight="1">
      <c r="A2" s="1431" t="s">
        <v>2</v>
      </c>
      <c r="B2" s="1432"/>
      <c r="C2" s="11"/>
      <c r="D2" s="11" t="s">
        <v>1900</v>
      </c>
      <c r="E2" s="11"/>
      <c r="F2" s="737"/>
      <c r="G2" s="737"/>
      <c r="H2" s="737"/>
      <c r="I2" s="737"/>
      <c r="J2" s="737"/>
      <c r="K2" s="737"/>
      <c r="L2" s="1433"/>
    </row>
    <row r="3" spans="1:16" ht="25.15" customHeight="1">
      <c r="A3" s="1434" t="s">
        <v>22</v>
      </c>
      <c r="B3" s="5"/>
      <c r="C3" s="47"/>
      <c r="D3" s="1435"/>
      <c r="E3" s="47"/>
      <c r="F3" s="739"/>
      <c r="G3" s="739"/>
      <c r="H3" s="739"/>
      <c r="I3" s="739"/>
      <c r="J3" s="740"/>
      <c r="K3" s="739"/>
      <c r="L3" s="1436"/>
    </row>
    <row r="4" spans="1:16" ht="25.15" customHeight="1">
      <c r="A4" s="1434"/>
      <c r="B4" s="5"/>
      <c r="C4" s="47"/>
      <c r="D4" s="41" t="s">
        <v>2970</v>
      </c>
      <c r="E4" s="47"/>
      <c r="F4" s="739"/>
      <c r="G4" s="739"/>
      <c r="H4" s="739"/>
      <c r="I4" s="739"/>
      <c r="J4" s="740"/>
      <c r="K4" s="739"/>
      <c r="L4" s="1436"/>
    </row>
    <row r="5" spans="1:16" ht="25.15" customHeight="1">
      <c r="A5" s="1434" t="s">
        <v>3</v>
      </c>
      <c r="B5" s="1432"/>
      <c r="C5" s="11"/>
      <c r="D5" s="1435" t="s">
        <v>21</v>
      </c>
      <c r="E5" s="736"/>
      <c r="F5" s="737"/>
      <c r="G5" s="741" t="s">
        <v>4</v>
      </c>
      <c r="H5" s="742"/>
      <c r="I5" s="739"/>
      <c r="J5" s="740"/>
      <c r="K5" s="743"/>
      <c r="L5" s="1436"/>
    </row>
    <row r="6" spans="1:16" ht="25.15" customHeight="1">
      <c r="A6" s="5" t="s">
        <v>20</v>
      </c>
      <c r="B6" s="5"/>
      <c r="C6" s="47"/>
      <c r="D6" s="49"/>
      <c r="E6" s="47"/>
      <c r="F6" s="739"/>
      <c r="G6" s="744"/>
      <c r="H6" s="739"/>
      <c r="I6" s="739"/>
      <c r="J6" s="739"/>
      <c r="K6" s="739"/>
      <c r="L6" s="743"/>
    </row>
    <row r="7" spans="1:16" ht="25.15" customHeight="1">
      <c r="A7" s="744" t="s">
        <v>26</v>
      </c>
      <c r="B7" s="20"/>
      <c r="C7" s="20"/>
      <c r="D7" s="21"/>
      <c r="E7" s="20"/>
      <c r="F7" s="1437" t="s">
        <v>5</v>
      </c>
      <c r="G7" s="1438"/>
      <c r="H7" s="1438" t="s">
        <v>6</v>
      </c>
      <c r="I7" s="1439"/>
      <c r="J7" s="744" t="s">
        <v>23</v>
      </c>
      <c r="K7" s="20"/>
      <c r="L7" s="2492" t="s">
        <v>7</v>
      </c>
    </row>
    <row r="8" spans="1:16" ht="10.15" customHeight="1">
      <c r="A8" s="4"/>
      <c r="B8" s="1440"/>
      <c r="C8" s="1440"/>
      <c r="D8" s="25"/>
      <c r="E8" s="25"/>
      <c r="F8" s="1441"/>
      <c r="G8" s="1441"/>
      <c r="H8" s="1442"/>
      <c r="I8" s="1442"/>
      <c r="J8" s="1442"/>
      <c r="K8" s="1441"/>
      <c r="L8" s="2493"/>
    </row>
    <row r="9" spans="1:16" s="1444" customFormat="1" ht="24" customHeight="1">
      <c r="A9" s="2494" t="s">
        <v>8</v>
      </c>
      <c r="B9" s="2496" t="s">
        <v>9</v>
      </c>
      <c r="C9" s="2497"/>
      <c r="D9" s="2497"/>
      <c r="E9" s="2500" t="s">
        <v>10</v>
      </c>
      <c r="F9" s="2502" t="s">
        <v>11</v>
      </c>
      <c r="G9" s="2504" t="s">
        <v>12</v>
      </c>
      <c r="H9" s="2505"/>
      <c r="I9" s="2506" t="s">
        <v>13</v>
      </c>
      <c r="J9" s="2474"/>
      <c r="K9" s="2263" t="s">
        <v>14</v>
      </c>
      <c r="L9" s="2507" t="s">
        <v>15</v>
      </c>
      <c r="M9" s="1443"/>
      <c r="N9" s="1551"/>
      <c r="O9" s="1551"/>
      <c r="P9" s="1551"/>
    </row>
    <row r="10" spans="1:16" s="1444" customFormat="1" ht="24" customHeight="1">
      <c r="A10" s="2495"/>
      <c r="B10" s="2498"/>
      <c r="C10" s="2499"/>
      <c r="D10" s="2499"/>
      <c r="E10" s="2501"/>
      <c r="F10" s="2503"/>
      <c r="G10" s="1445" t="s">
        <v>16</v>
      </c>
      <c r="H10" s="2262" t="s">
        <v>17</v>
      </c>
      <c r="I10" s="1446" t="s">
        <v>16</v>
      </c>
      <c r="J10" s="2262" t="s">
        <v>17</v>
      </c>
      <c r="K10" s="1447" t="s">
        <v>18</v>
      </c>
      <c r="L10" s="2508"/>
      <c r="M10" s="1443"/>
      <c r="N10" s="1551"/>
      <c r="O10" s="1551"/>
      <c r="P10" s="1551"/>
    </row>
    <row r="11" spans="1:16" ht="24" customHeight="1">
      <c r="A11" s="1143" t="s">
        <v>244</v>
      </c>
      <c r="B11" s="1144" t="s">
        <v>2643</v>
      </c>
      <c r="C11" s="1448"/>
      <c r="D11" s="1449"/>
      <c r="E11" s="1450"/>
      <c r="F11" s="1451"/>
      <c r="G11" s="1490"/>
      <c r="H11" s="746"/>
      <c r="I11" s="1454"/>
      <c r="J11" s="1455"/>
      <c r="K11" s="1456"/>
      <c r="L11" s="1456"/>
    </row>
    <row r="12" spans="1:16" s="886" customFormat="1" ht="24" customHeight="1">
      <c r="A12" s="1285" t="str">
        <f>A35</f>
        <v>7.1</v>
      </c>
      <c r="B12" s="1331" t="str">
        <f>B35</f>
        <v>พัดลมระบายอากาศ (Ventilating Fan)</v>
      </c>
      <c r="C12" s="1282"/>
      <c r="D12" s="1457"/>
      <c r="E12" s="1458">
        <v>1</v>
      </c>
      <c r="F12" s="1459" t="s">
        <v>19</v>
      </c>
      <c r="G12" s="1460"/>
      <c r="H12" s="751">
        <f>H46</f>
        <v>426706</v>
      </c>
      <c r="I12" s="1392"/>
      <c r="J12" s="1393">
        <f>J46</f>
        <v>25559</v>
      </c>
      <c r="K12" s="1022">
        <f t="shared" ref="K12:K15" si="0">SUM(H12:J12)</f>
        <v>452265</v>
      </c>
      <c r="L12" s="885"/>
      <c r="M12" s="1342"/>
      <c r="N12" s="886" t="str">
        <f t="shared" ref="N12:N17" si="1">"รวมราคารายการที่ "&amp;A12</f>
        <v>รวมราคารายการที่ 7.1</v>
      </c>
      <c r="O12" s="1461">
        <f t="array" ref="O12">MAX(IF($B$35:$B$658=N12,ROW($B$35:$B$658)))</f>
        <v>46</v>
      </c>
      <c r="P12" s="886" t="s">
        <v>2644</v>
      </c>
    </row>
    <row r="13" spans="1:16" s="886" customFormat="1" ht="24" customHeight="1">
      <c r="A13" s="1285" t="str">
        <f>A47</f>
        <v>7.2</v>
      </c>
      <c r="B13" s="1331" t="str">
        <f>B47</f>
        <v>ระบบท่อลม (Duct Work)</v>
      </c>
      <c r="C13" s="1282"/>
      <c r="D13" s="1457"/>
      <c r="E13" s="1458">
        <v>1</v>
      </c>
      <c r="F13" s="1459" t="s">
        <v>19</v>
      </c>
      <c r="G13" s="1460"/>
      <c r="H13" s="751">
        <f>H70</f>
        <v>164165</v>
      </c>
      <c r="I13" s="1392"/>
      <c r="J13" s="1393">
        <f>J70</f>
        <v>107607</v>
      </c>
      <c r="K13" s="1022">
        <f t="shared" si="0"/>
        <v>271772</v>
      </c>
      <c r="L13" s="885"/>
      <c r="M13" s="1342"/>
      <c r="N13" s="886" t="str">
        <f t="shared" si="1"/>
        <v>รวมราคารายการที่ 7.2</v>
      </c>
      <c r="O13" s="1461">
        <f t="array" ref="O13">MAX(IF($B$35:$B$658=N13,ROW($B$35:$B$658)))</f>
        <v>70</v>
      </c>
      <c r="P13" s="886" t="s">
        <v>2644</v>
      </c>
    </row>
    <row r="14" spans="1:16" s="886" customFormat="1" ht="24" customHeight="1">
      <c r="A14" s="1285" t="str">
        <f>A71</f>
        <v>7.3</v>
      </c>
      <c r="B14" s="1331" t="str">
        <f>B71</f>
        <v>หน้ากากลม (Air Diffuser, Grille &amp; Register)</v>
      </c>
      <c r="C14" s="1282"/>
      <c r="D14" s="1457"/>
      <c r="E14" s="1458">
        <v>1</v>
      </c>
      <c r="F14" s="1459" t="s">
        <v>19</v>
      </c>
      <c r="G14" s="1460"/>
      <c r="H14" s="751">
        <f>H84</f>
        <v>150250</v>
      </c>
      <c r="I14" s="1392"/>
      <c r="J14" s="1393">
        <f>J84</f>
        <v>6000</v>
      </c>
      <c r="K14" s="1022">
        <f t="shared" si="0"/>
        <v>156250</v>
      </c>
      <c r="L14" s="885"/>
      <c r="M14" s="1342"/>
      <c r="N14" s="886" t="str">
        <f t="shared" si="1"/>
        <v>รวมราคารายการที่ 7.3</v>
      </c>
      <c r="O14" s="1461">
        <f t="array" ref="O14">MAX(IF($B$35:$B$658=N14,ROW($B$35:$B$658)))</f>
        <v>84</v>
      </c>
      <c r="P14" s="886" t="s">
        <v>2644</v>
      </c>
    </row>
    <row r="15" spans="1:16" s="886" customFormat="1" ht="24" customHeight="1">
      <c r="A15" s="1285" t="str">
        <f>A85</f>
        <v>7.4</v>
      </c>
      <c r="B15" s="1331" t="str">
        <f>B85</f>
        <v>ระบบไฟฟ้าและควบคุม (Electrical &amp; Control System)</v>
      </c>
      <c r="C15" s="1282"/>
      <c r="D15" s="1457"/>
      <c r="E15" s="1458">
        <v>1</v>
      </c>
      <c r="F15" s="1459" t="s">
        <v>19</v>
      </c>
      <c r="G15" s="1460"/>
      <c r="H15" s="751">
        <f>H109</f>
        <v>121854</v>
      </c>
      <c r="I15" s="1392"/>
      <c r="J15" s="1393">
        <f>J109</f>
        <v>14729</v>
      </c>
      <c r="K15" s="1022">
        <f t="shared" si="0"/>
        <v>136583</v>
      </c>
      <c r="L15" s="885"/>
      <c r="M15" s="1342"/>
      <c r="N15" s="886" t="str">
        <f t="shared" si="1"/>
        <v>รวมราคารายการที่ 7.4</v>
      </c>
      <c r="O15" s="1461">
        <f t="array" ref="O15">MAX(IF($B$35:$B$658=N15,ROW($B$35:$B$658)))</f>
        <v>109</v>
      </c>
      <c r="P15" s="886" t="s">
        <v>2644</v>
      </c>
    </row>
    <row r="16" spans="1:16" s="886" customFormat="1" ht="24" customHeight="1">
      <c r="A16" s="1285" t="str">
        <f>A110</f>
        <v>7.5</v>
      </c>
      <c r="B16" s="1331" t="str">
        <f>B110</f>
        <v>Variable Speed Controller</v>
      </c>
      <c r="C16" s="1282"/>
      <c r="D16" s="1457"/>
      <c r="E16" s="1458">
        <v>1</v>
      </c>
      <c r="F16" s="1459" t="s">
        <v>19</v>
      </c>
      <c r="G16" s="1460" t="s">
        <v>974</v>
      </c>
      <c r="H16" s="1726">
        <f>H134</f>
        <v>0</v>
      </c>
      <c r="I16" s="1725"/>
      <c r="J16" s="1726">
        <f>J134</f>
        <v>0</v>
      </c>
      <c r="K16" s="1313" t="s">
        <v>1985</v>
      </c>
      <c r="L16" s="885"/>
      <c r="M16" s="1342"/>
      <c r="N16" s="886" t="str">
        <f t="shared" si="1"/>
        <v>รวมราคารายการที่ 7.5</v>
      </c>
      <c r="O16" s="1461">
        <f t="array" ref="O16">MAX(IF($B$35:$B$658=N16,ROW($B$35:$B$658)))</f>
        <v>134</v>
      </c>
      <c r="P16" s="886" t="s">
        <v>2644</v>
      </c>
    </row>
    <row r="17" spans="1:16" s="886" customFormat="1" ht="24" customHeight="1">
      <c r="A17" s="1474"/>
      <c r="B17" s="1331"/>
      <c r="C17" s="1469"/>
      <c r="D17" s="1470"/>
      <c r="E17" s="1458"/>
      <c r="F17" s="1471"/>
      <c r="G17" s="1472"/>
      <c r="H17" s="751"/>
      <c r="I17" s="1392"/>
      <c r="J17" s="1393"/>
      <c r="K17" s="1022"/>
      <c r="L17" s="1473"/>
      <c r="M17" s="1342"/>
      <c r="N17" s="886" t="str">
        <f t="shared" si="1"/>
        <v xml:space="preserve">รวมราคารายการที่ </v>
      </c>
      <c r="O17" s="1461">
        <f t="array" ref="O17">MAX(IF($B$35:$B$658=N17,ROW($B$35:$B$658)))</f>
        <v>0</v>
      </c>
      <c r="P17" s="886" t="s">
        <v>2644</v>
      </c>
    </row>
    <row r="18" spans="1:16" s="886" customFormat="1" ht="24" customHeight="1">
      <c r="A18" s="1474"/>
      <c r="B18" s="1331"/>
      <c r="C18" s="1282"/>
      <c r="D18" s="1457"/>
      <c r="E18" s="1458"/>
      <c r="F18" s="1459"/>
      <c r="G18" s="1460"/>
      <c r="H18" s="773"/>
      <c r="I18" s="1400"/>
      <c r="J18" s="1401"/>
      <c r="K18" s="1022"/>
      <c r="L18" s="1473"/>
      <c r="M18" s="1342"/>
      <c r="N18" s="1482"/>
      <c r="O18" s="1482"/>
      <c r="P18" s="1482"/>
    </row>
    <row r="19" spans="1:16" s="886" customFormat="1" ht="24" customHeight="1">
      <c r="A19" s="1468"/>
      <c r="B19" s="1339"/>
      <c r="C19" s="1469"/>
      <c r="D19" s="1470"/>
      <c r="E19" s="1458"/>
      <c r="F19" s="1471"/>
      <c r="G19" s="1472"/>
      <c r="H19" s="773"/>
      <c r="I19" s="1400"/>
      <c r="J19" s="1401"/>
      <c r="K19" s="1022"/>
      <c r="L19" s="1473"/>
      <c r="M19" s="1342"/>
      <c r="N19" s="1482"/>
      <c r="O19" s="1482"/>
      <c r="P19" s="1482"/>
    </row>
    <row r="20" spans="1:16" s="886" customFormat="1" ht="24" customHeight="1">
      <c r="A20" s="1474"/>
      <c r="B20" s="1331"/>
      <c r="C20" s="1282"/>
      <c r="D20" s="1457"/>
      <c r="E20" s="1458"/>
      <c r="F20" s="1459"/>
      <c r="G20" s="1460"/>
      <c r="H20" s="751"/>
      <c r="I20" s="1392"/>
      <c r="J20" s="1393"/>
      <c r="K20" s="1022"/>
      <c r="L20" s="885"/>
      <c r="M20" s="1342"/>
      <c r="N20" s="1482"/>
      <c r="O20" s="1482"/>
      <c r="P20" s="1482"/>
    </row>
    <row r="21" spans="1:16" s="886" customFormat="1" ht="24" customHeight="1">
      <c r="A21" s="1474"/>
      <c r="B21" s="1331"/>
      <c r="C21" s="1282"/>
      <c r="D21" s="1457"/>
      <c r="E21" s="1458"/>
      <c r="F21" s="1459"/>
      <c r="G21" s="1460"/>
      <c r="H21" s="751"/>
      <c r="I21" s="1392"/>
      <c r="J21" s="1393"/>
      <c r="K21" s="1022"/>
      <c r="L21" s="885"/>
      <c r="M21" s="1342"/>
      <c r="N21" s="1482"/>
      <c r="O21" s="1482"/>
      <c r="P21" s="1482"/>
    </row>
    <row r="22" spans="1:16" s="886" customFormat="1" ht="24" customHeight="1">
      <c r="A22" s="1474"/>
      <c r="B22" s="1331"/>
      <c r="C22" s="1282"/>
      <c r="D22" s="1457"/>
      <c r="E22" s="1458"/>
      <c r="F22" s="1459"/>
      <c r="G22" s="1460"/>
      <c r="H22" s="751"/>
      <c r="I22" s="1392"/>
      <c r="J22" s="1393"/>
      <c r="K22" s="1022"/>
      <c r="L22" s="885"/>
      <c r="M22" s="1342"/>
      <c r="N22" s="1482"/>
      <c r="O22" s="1482"/>
      <c r="P22" s="1482"/>
    </row>
    <row r="23" spans="1:16" s="886" customFormat="1" ht="24" customHeight="1">
      <c r="A23" s="1474"/>
      <c r="B23" s="1331"/>
      <c r="C23" s="1282"/>
      <c r="D23" s="1457"/>
      <c r="E23" s="1458"/>
      <c r="F23" s="1459"/>
      <c r="G23" s="1460"/>
      <c r="H23" s="751"/>
      <c r="I23" s="1392"/>
      <c r="J23" s="1393"/>
      <c r="K23" s="1022"/>
      <c r="L23" s="885"/>
      <c r="M23" s="1342"/>
      <c r="N23" s="1482"/>
      <c r="O23" s="1482"/>
      <c r="P23" s="1482"/>
    </row>
    <row r="24" spans="1:16" s="886" customFormat="1" ht="24" customHeight="1">
      <c r="A24" s="1474"/>
      <c r="B24" s="1331"/>
      <c r="C24" s="1282"/>
      <c r="D24" s="1457"/>
      <c r="E24" s="1458"/>
      <c r="F24" s="1459"/>
      <c r="G24" s="1460"/>
      <c r="H24" s="751"/>
      <c r="I24" s="1392"/>
      <c r="J24" s="1393"/>
      <c r="K24" s="1022"/>
      <c r="L24" s="885"/>
      <c r="M24" s="1342"/>
      <c r="N24" s="1482"/>
      <c r="O24" s="1482"/>
      <c r="P24" s="1482"/>
    </row>
    <row r="25" spans="1:16" s="886" customFormat="1" ht="24" customHeight="1">
      <c r="A25" s="1474"/>
      <c r="B25" s="1331"/>
      <c r="C25" s="1282"/>
      <c r="D25" s="1457"/>
      <c r="E25" s="1458"/>
      <c r="F25" s="1459"/>
      <c r="G25" s="1460"/>
      <c r="H25" s="751"/>
      <c r="I25" s="1392"/>
      <c r="J25" s="1393"/>
      <c r="K25" s="1022"/>
      <c r="L25" s="885"/>
      <c r="M25" s="1342"/>
      <c r="N25" s="1482"/>
      <c r="O25" s="1482"/>
      <c r="P25" s="1482"/>
    </row>
    <row r="26" spans="1:16" s="886" customFormat="1" ht="24" customHeight="1">
      <c r="A26" s="1474"/>
      <c r="B26" s="1331"/>
      <c r="C26" s="1282"/>
      <c r="D26" s="1457"/>
      <c r="E26" s="1458"/>
      <c r="F26" s="1459"/>
      <c r="G26" s="1460"/>
      <c r="H26" s="751"/>
      <c r="I26" s="1392"/>
      <c r="J26" s="1393"/>
      <c r="K26" s="1022"/>
      <c r="L26" s="885"/>
      <c r="M26" s="1342"/>
      <c r="N26" s="1482"/>
      <c r="O26" s="1482"/>
      <c r="P26" s="1482"/>
    </row>
    <row r="27" spans="1:16" s="886" customFormat="1" ht="24" customHeight="1">
      <c r="A27" s="1474"/>
      <c r="B27" s="1331"/>
      <c r="C27" s="1282"/>
      <c r="D27" s="1457"/>
      <c r="E27" s="1458"/>
      <c r="F27" s="1459"/>
      <c r="G27" s="1460"/>
      <c r="H27" s="751"/>
      <c r="I27" s="1392"/>
      <c r="J27" s="1393"/>
      <c r="K27" s="1022"/>
      <c r="L27" s="885"/>
      <c r="M27" s="1342"/>
      <c r="N27" s="1482"/>
      <c r="O27" s="1482"/>
      <c r="P27" s="1482"/>
    </row>
    <row r="28" spans="1:16" s="886" customFormat="1" ht="24" customHeight="1">
      <c r="A28" s="1474"/>
      <c r="B28" s="1331"/>
      <c r="C28" s="1282"/>
      <c r="D28" s="1457"/>
      <c r="E28" s="1458"/>
      <c r="F28" s="1459"/>
      <c r="G28" s="1460"/>
      <c r="H28" s="751"/>
      <c r="I28" s="1392"/>
      <c r="J28" s="1393"/>
      <c r="K28" s="1022"/>
      <c r="L28" s="885"/>
      <c r="M28" s="1342"/>
      <c r="N28" s="1482"/>
      <c r="O28" s="1482"/>
      <c r="P28" s="1482"/>
    </row>
    <row r="29" spans="1:16" s="886" customFormat="1" ht="24" customHeight="1">
      <c r="A29" s="1474"/>
      <c r="B29" s="1331"/>
      <c r="C29" s="1282"/>
      <c r="D29" s="1457"/>
      <c r="E29" s="1458"/>
      <c r="F29" s="1459"/>
      <c r="G29" s="1460"/>
      <c r="H29" s="751"/>
      <c r="I29" s="1392"/>
      <c r="J29" s="1393"/>
      <c r="K29" s="1022"/>
      <c r="L29" s="885"/>
      <c r="M29" s="1342"/>
      <c r="N29" s="1482"/>
      <c r="O29" s="1482"/>
      <c r="P29" s="1482"/>
    </row>
    <row r="30" spans="1:16" s="886" customFormat="1" ht="24" customHeight="1">
      <c r="A30" s="1474"/>
      <c r="B30" s="1331"/>
      <c r="C30" s="1282"/>
      <c r="D30" s="1457"/>
      <c r="E30" s="1458"/>
      <c r="F30" s="1459"/>
      <c r="G30" s="1460"/>
      <c r="H30" s="751"/>
      <c r="I30" s="1392"/>
      <c r="J30" s="1393"/>
      <c r="K30" s="1022"/>
      <c r="L30" s="885"/>
      <c r="M30" s="1342"/>
      <c r="N30" s="1482"/>
      <c r="O30" s="1482"/>
      <c r="P30" s="1482"/>
    </row>
    <row r="31" spans="1:16" s="886" customFormat="1" ht="24" customHeight="1">
      <c r="A31" s="1474"/>
      <c r="B31" s="1331"/>
      <c r="C31" s="1282"/>
      <c r="D31" s="1457"/>
      <c r="E31" s="1458"/>
      <c r="F31" s="1459"/>
      <c r="G31" s="1460"/>
      <c r="H31" s="751"/>
      <c r="I31" s="1392"/>
      <c r="J31" s="1393"/>
      <c r="K31" s="1022"/>
      <c r="L31" s="885"/>
      <c r="M31" s="1342"/>
      <c r="N31" s="1482"/>
      <c r="O31" s="1482"/>
      <c r="P31" s="1482"/>
    </row>
    <row r="32" spans="1:16" s="886" customFormat="1" ht="24" customHeight="1">
      <c r="A32" s="1474"/>
      <c r="B32" s="1331"/>
      <c r="C32" s="1282"/>
      <c r="D32" s="1457"/>
      <c r="E32" s="1458"/>
      <c r="F32" s="1459"/>
      <c r="G32" s="1460"/>
      <c r="H32" s="751"/>
      <c r="I32" s="1392"/>
      <c r="J32" s="1393"/>
      <c r="K32" s="1022"/>
      <c r="L32" s="885"/>
      <c r="M32" s="1342"/>
      <c r="N32" s="1482"/>
      <c r="O32" s="1482"/>
      <c r="P32" s="1482"/>
    </row>
    <row r="33" spans="1:16" s="886" customFormat="1" ht="24" customHeight="1">
      <c r="A33" s="1474"/>
      <c r="B33" s="1331"/>
      <c r="C33" s="1282"/>
      <c r="D33" s="1457"/>
      <c r="E33" s="1458"/>
      <c r="F33" s="1459"/>
      <c r="G33" s="1460"/>
      <c r="H33" s="751"/>
      <c r="I33" s="1392"/>
      <c r="J33" s="1393"/>
      <c r="K33" s="1022"/>
      <c r="L33" s="885"/>
      <c r="M33" s="1342"/>
      <c r="N33" s="1482"/>
      <c r="O33" s="1482"/>
      <c r="P33" s="1482"/>
    </row>
    <row r="34" spans="1:16" s="714" customFormat="1" ht="30" customHeight="1">
      <c r="A34" s="1166"/>
      <c r="B34" s="2475" t="s">
        <v>2645</v>
      </c>
      <c r="C34" s="2476"/>
      <c r="D34" s="2476"/>
      <c r="E34" s="1167"/>
      <c r="F34" s="1381"/>
      <c r="G34" s="1168"/>
      <c r="H34" s="1169">
        <f>SUM(H11:H33)</f>
        <v>862975</v>
      </c>
      <c r="I34" s="1170"/>
      <c r="J34" s="1382">
        <f>SUM(J11:J33)</f>
        <v>153895</v>
      </c>
      <c r="K34" s="1171">
        <f>SUM(K11:K33)</f>
        <v>1016870</v>
      </c>
      <c r="L34" s="1171"/>
      <c r="M34" s="1322"/>
      <c r="P34" s="729"/>
    </row>
    <row r="35" spans="1:16" s="1329" customFormat="1" ht="24" customHeight="1">
      <c r="A35" s="1325" t="s">
        <v>1987</v>
      </c>
      <c r="B35" s="1326" t="s">
        <v>2003</v>
      </c>
      <c r="C35" s="1347"/>
      <c r="D35" s="901"/>
      <c r="E35" s="1387"/>
      <c r="F35" s="1388"/>
      <c r="G35" s="1400"/>
      <c r="H35" s="864"/>
      <c r="I35" s="1400"/>
      <c r="J35" s="1395"/>
      <c r="K35" s="966"/>
      <c r="L35" s="1019"/>
      <c r="M35" s="1328"/>
      <c r="N35" s="1404"/>
      <c r="O35" s="1404"/>
      <c r="P35" s="1404"/>
    </row>
    <row r="36" spans="1:16" s="1329" customFormat="1" ht="24" customHeight="1">
      <c r="A36" s="1340" t="s">
        <v>1904</v>
      </c>
      <c r="B36" s="1331" t="s">
        <v>2004</v>
      </c>
      <c r="C36" s="801"/>
      <c r="D36" s="801"/>
      <c r="E36" s="1022"/>
      <c r="F36" s="1333"/>
      <c r="G36" s="1392"/>
      <c r="H36" s="751"/>
      <c r="I36" s="1392"/>
      <c r="J36" s="1393"/>
      <c r="K36" s="1022"/>
      <c r="L36" s="1022"/>
      <c r="M36" s="1328"/>
      <c r="N36" s="1404"/>
      <c r="O36" s="1404"/>
      <c r="P36" s="1404"/>
    </row>
    <row r="37" spans="1:16" s="1329" customFormat="1" ht="24" customHeight="1">
      <c r="A37" s="1340"/>
      <c r="B37" s="1331" t="str">
        <f t="shared" ref="B37" si="2">"  -  "&amp;M37&amp;", ("&amp;N37&amp;" L/s)"</f>
        <v xml:space="preserve">  -  C2-REAF-01, (4555 L/s)</v>
      </c>
      <c r="C37" s="801"/>
      <c r="D37" s="801"/>
      <c r="E37" s="1022">
        <f t="shared" ref="E37" si="3">O37</f>
        <v>1</v>
      </c>
      <c r="F37" s="1333" t="s">
        <v>240</v>
      </c>
      <c r="G37" s="1392">
        <v>54470</v>
      </c>
      <c r="H37" s="864">
        <f t="shared" ref="H37:H44" si="4">ROUND(E37*G37,)</f>
        <v>54470</v>
      </c>
      <c r="I37" s="1394">
        <f>G37*0.1</f>
        <v>5447</v>
      </c>
      <c r="J37" s="1395">
        <f t="shared" ref="J37:J44" si="5">ROUND(E37*I37,)</f>
        <v>5447</v>
      </c>
      <c r="K37" s="966">
        <f t="shared" ref="K37" si="6">H37+J37</f>
        <v>59917</v>
      </c>
      <c r="L37" s="1022"/>
      <c r="M37" s="1328" t="s">
        <v>2646</v>
      </c>
      <c r="N37" s="1404">
        <v>4555</v>
      </c>
      <c r="O37" s="1404">
        <v>1</v>
      </c>
      <c r="P37" s="1404"/>
    </row>
    <row r="38" spans="1:16" s="1329" customFormat="1" ht="24" customHeight="1">
      <c r="A38" s="1340" t="s">
        <v>1906</v>
      </c>
      <c r="B38" s="1331" t="s">
        <v>2573</v>
      </c>
      <c r="C38" s="801"/>
      <c r="D38" s="801"/>
      <c r="E38" s="1022"/>
      <c r="F38" s="1333"/>
      <c r="G38" s="1392"/>
      <c r="H38" s="751"/>
      <c r="I38" s="1392"/>
      <c r="J38" s="1393"/>
      <c r="K38" s="1022"/>
      <c r="L38" s="1022"/>
      <c r="M38" s="1328"/>
    </row>
    <row r="39" spans="1:16" s="1329" customFormat="1" ht="24" customHeight="1">
      <c r="A39" s="1340"/>
      <c r="B39" s="1331" t="str">
        <f t="shared" ref="B39:B40" si="7">"  -  "&amp;M39&amp;", ("&amp;N39&amp;" L/s)"</f>
        <v xml:space="preserve">  -  C2-RSEF-01, (11200 L/s)</v>
      </c>
      <c r="C39" s="801"/>
      <c r="D39" s="801"/>
      <c r="E39" s="1022">
        <f t="shared" ref="E39:E40" si="8">O39</f>
        <v>1</v>
      </c>
      <c r="F39" s="1333" t="s">
        <v>240</v>
      </c>
      <c r="G39" s="1392">
        <v>91559</v>
      </c>
      <c r="H39" s="864">
        <f t="shared" ref="H39:H40" si="9">ROUND(E39*G39,)</f>
        <v>91559</v>
      </c>
      <c r="I39" s="1392">
        <f>ROUND(G39*0.05,)</f>
        <v>4578</v>
      </c>
      <c r="J39" s="1395">
        <f t="shared" ref="J39:J40" si="10">ROUND(E39*I39,)</f>
        <v>4578</v>
      </c>
      <c r="K39" s="966">
        <f t="shared" ref="K39:K40" si="11">H39+J39</f>
        <v>96137</v>
      </c>
      <c r="L39" s="1022"/>
      <c r="M39" s="1328" t="s">
        <v>2647</v>
      </c>
      <c r="N39" s="1329">
        <v>11200</v>
      </c>
      <c r="O39" s="1329">
        <v>1</v>
      </c>
    </row>
    <row r="40" spans="1:16" s="1329" customFormat="1" ht="24" customHeight="1">
      <c r="A40" s="1340"/>
      <c r="B40" s="1331" t="str">
        <f t="shared" si="7"/>
        <v xml:space="preserve">  -  C2-RSEF-02 (ST.BY.), (11200 L/s)</v>
      </c>
      <c r="C40" s="801"/>
      <c r="D40" s="801"/>
      <c r="E40" s="1022">
        <f t="shared" si="8"/>
        <v>1</v>
      </c>
      <c r="F40" s="1333" t="s">
        <v>240</v>
      </c>
      <c r="G40" s="1392">
        <v>91559</v>
      </c>
      <c r="H40" s="864">
        <f t="shared" si="9"/>
        <v>91559</v>
      </c>
      <c r="I40" s="1392">
        <f>ROUND(G40*0.05,)</f>
        <v>4578</v>
      </c>
      <c r="J40" s="1395">
        <f t="shared" si="10"/>
        <v>4578</v>
      </c>
      <c r="K40" s="966">
        <f t="shared" si="11"/>
        <v>96137</v>
      </c>
      <c r="L40" s="1022"/>
      <c r="M40" s="1328" t="s">
        <v>2648</v>
      </c>
      <c r="N40" s="1329">
        <v>11200</v>
      </c>
      <c r="O40" s="1329">
        <v>1</v>
      </c>
    </row>
    <row r="41" spans="1:16" s="1329" customFormat="1" ht="24" customHeight="1">
      <c r="A41" s="1340" t="s">
        <v>1995</v>
      </c>
      <c r="B41" s="1331" t="s">
        <v>2582</v>
      </c>
      <c r="C41" s="801"/>
      <c r="D41" s="801"/>
      <c r="E41" s="1022"/>
      <c r="F41" s="1333"/>
      <c r="G41" s="1392"/>
      <c r="H41" s="751"/>
      <c r="I41" s="1392"/>
      <c r="J41" s="1395">
        <f t="shared" si="5"/>
        <v>0</v>
      </c>
      <c r="K41" s="1022"/>
      <c r="L41" s="1022"/>
      <c r="M41" s="1328"/>
      <c r="N41" s="1404"/>
      <c r="O41" s="1404"/>
      <c r="P41" s="1404"/>
    </row>
    <row r="42" spans="1:16" s="1329" customFormat="1" ht="24" customHeight="1">
      <c r="A42" s="1340"/>
      <c r="B42" s="1331" t="str">
        <f t="shared" ref="B42:B43" si="12">"  -  "&amp;M42&amp;", ("&amp;N42&amp;" L/s)"</f>
        <v xml:space="preserve">  -  C-RPAF-01, (11200 L/s)</v>
      </c>
      <c r="C42" s="801"/>
      <c r="D42" s="801"/>
      <c r="E42" s="1022">
        <f t="shared" ref="E42:E43" si="13">O42</f>
        <v>1</v>
      </c>
      <c r="F42" s="1333" t="s">
        <v>240</v>
      </c>
      <c r="G42" s="1392">
        <v>91559</v>
      </c>
      <c r="H42" s="864">
        <f t="shared" si="4"/>
        <v>91559</v>
      </c>
      <c r="I42" s="1392">
        <f>ROUND(G42*0.05,)</f>
        <v>4578</v>
      </c>
      <c r="J42" s="1395">
        <f t="shared" si="5"/>
        <v>4578</v>
      </c>
      <c r="K42" s="966">
        <f t="shared" ref="K42:K45" si="14">H42+J42</f>
        <v>96137</v>
      </c>
      <c r="L42" s="1022"/>
      <c r="M42" s="1328" t="s">
        <v>2649</v>
      </c>
      <c r="N42" s="1404">
        <v>11200</v>
      </c>
      <c r="O42" s="1404">
        <v>1</v>
      </c>
      <c r="P42" s="1404"/>
    </row>
    <row r="43" spans="1:16" s="1329" customFormat="1" ht="24" customHeight="1">
      <c r="A43" s="1340"/>
      <c r="B43" s="1331" t="str">
        <f t="shared" si="12"/>
        <v xml:space="preserve">  -  C-RPAF-02, (11200 L/s)</v>
      </c>
      <c r="C43" s="801"/>
      <c r="D43" s="801"/>
      <c r="E43" s="1022">
        <f t="shared" si="13"/>
        <v>1</v>
      </c>
      <c r="F43" s="1333" t="s">
        <v>240</v>
      </c>
      <c r="G43" s="1392">
        <v>91559</v>
      </c>
      <c r="H43" s="864">
        <f t="shared" si="4"/>
        <v>91559</v>
      </c>
      <c r="I43" s="1392">
        <f>ROUND(G43*0.05,)</f>
        <v>4578</v>
      </c>
      <c r="J43" s="1395">
        <f t="shared" si="5"/>
        <v>4578</v>
      </c>
      <c r="K43" s="966">
        <f t="shared" si="14"/>
        <v>96137</v>
      </c>
      <c r="L43" s="1022"/>
      <c r="M43" s="1328" t="s">
        <v>2650</v>
      </c>
      <c r="N43" s="1404">
        <v>11200</v>
      </c>
      <c r="O43" s="1404">
        <v>1</v>
      </c>
      <c r="P43" s="1404"/>
    </row>
    <row r="44" spans="1:16" s="1329" customFormat="1" ht="24" customHeight="1">
      <c r="A44" s="1340" t="s">
        <v>2133</v>
      </c>
      <c r="B44" s="1331" t="s">
        <v>1996</v>
      </c>
      <c r="C44" s="801"/>
      <c r="D44" s="801"/>
      <c r="E44" s="1022">
        <f>SUM(E37:E43)</f>
        <v>5</v>
      </c>
      <c r="F44" s="1333" t="s">
        <v>240</v>
      </c>
      <c r="G44" s="1392">
        <v>1200</v>
      </c>
      <c r="H44" s="864">
        <f t="shared" si="4"/>
        <v>6000</v>
      </c>
      <c r="I44" s="1392">
        <f>G44*0.3</f>
        <v>360</v>
      </c>
      <c r="J44" s="1395">
        <f t="shared" si="5"/>
        <v>1800</v>
      </c>
      <c r="K44" s="966">
        <f t="shared" si="14"/>
        <v>7800</v>
      </c>
      <c r="L44" s="1022"/>
      <c r="M44" s="1328"/>
      <c r="N44" s="1404"/>
      <c r="O44" s="1404"/>
      <c r="P44" s="1404"/>
    </row>
    <row r="45" spans="1:16" s="1329" customFormat="1" ht="24" customHeight="1">
      <c r="A45" s="1340" t="s">
        <v>2091</v>
      </c>
      <c r="B45" s="1331" t="s">
        <v>2134</v>
      </c>
      <c r="C45" s="801"/>
      <c r="D45" s="801"/>
      <c r="E45" s="1022"/>
      <c r="F45" s="1333" t="s">
        <v>240</v>
      </c>
      <c r="G45" s="1392"/>
      <c r="H45" s="751"/>
      <c r="I45" s="1392"/>
      <c r="J45" s="1393"/>
      <c r="K45" s="1022">
        <f t="shared" si="14"/>
        <v>0</v>
      </c>
      <c r="L45" s="1022"/>
      <c r="M45" s="1328"/>
      <c r="N45" s="1404"/>
      <c r="O45" s="1404"/>
      <c r="P45" s="1404"/>
    </row>
    <row r="46" spans="1:16" s="886" customFormat="1" ht="24" customHeight="1">
      <c r="A46" s="1166"/>
      <c r="B46" s="2475" t="str">
        <f>"รวมราคารายการที่ "&amp;A35</f>
        <v>รวมราคารายการที่ 7.1</v>
      </c>
      <c r="C46" s="2476"/>
      <c r="D46" s="2476"/>
      <c r="E46" s="1167"/>
      <c r="F46" s="1381"/>
      <c r="G46" s="1168"/>
      <c r="H46" s="1169">
        <f>SUM(H35:H45)</f>
        <v>426706</v>
      </c>
      <c r="I46" s="1170"/>
      <c r="J46" s="1382">
        <f>SUM(J35:J45)</f>
        <v>25559</v>
      </c>
      <c r="K46" s="1171">
        <f>SUM(K35:K45)</f>
        <v>452265</v>
      </c>
      <c r="L46" s="1171"/>
      <c r="M46" s="1342"/>
      <c r="N46" s="1482"/>
      <c r="O46" s="1482"/>
      <c r="P46" s="1482"/>
    </row>
    <row r="47" spans="1:16" s="1329" customFormat="1" ht="24" customHeight="1">
      <c r="A47" s="1325" t="s">
        <v>1997</v>
      </c>
      <c r="B47" s="1326" t="s">
        <v>1948</v>
      </c>
      <c r="C47" s="1347"/>
      <c r="D47" s="901"/>
      <c r="E47" s="1030"/>
      <c r="F47" s="1348"/>
      <c r="G47" s="1406"/>
      <c r="H47" s="905"/>
      <c r="I47" s="1406"/>
      <c r="J47" s="1407"/>
      <c r="K47" s="1030"/>
      <c r="L47" s="1030"/>
      <c r="M47" s="1328"/>
      <c r="N47" s="1404"/>
      <c r="O47" s="1404"/>
      <c r="P47" s="1404"/>
    </row>
    <row r="48" spans="1:16" s="1329" customFormat="1" ht="24" customHeight="1">
      <c r="A48" s="1330" t="s">
        <v>1910</v>
      </c>
      <c r="B48" s="1331" t="s">
        <v>2034</v>
      </c>
      <c r="C48" s="1349"/>
      <c r="D48" s="801"/>
      <c r="E48" s="966"/>
      <c r="F48" s="1249"/>
      <c r="G48" s="1394"/>
      <c r="H48" s="864"/>
      <c r="I48" s="1394"/>
      <c r="J48" s="1395"/>
      <c r="K48" s="966"/>
      <c r="L48" s="966"/>
      <c r="M48" s="1328"/>
      <c r="N48" s="1404"/>
      <c r="O48" s="1404"/>
      <c r="P48" s="1404"/>
    </row>
    <row r="49" spans="1:13" s="1329" customFormat="1" ht="24" customHeight="1">
      <c r="A49" s="791"/>
      <c r="B49" s="1331" t="s">
        <v>2035</v>
      </c>
      <c r="C49" s="1349"/>
      <c r="D49" s="801"/>
      <c r="E49" s="966"/>
      <c r="F49" s="1249" t="s">
        <v>1952</v>
      </c>
      <c r="G49" s="1394">
        <v>218</v>
      </c>
      <c r="H49" s="864">
        <f t="shared" ref="H49:H55" si="15">ROUND(E49*G49,)</f>
        <v>0</v>
      </c>
      <c r="I49" s="1394">
        <v>194</v>
      </c>
      <c r="J49" s="1395">
        <f t="shared" ref="J49:J55" si="16">ROUND(E49*I49,)</f>
        <v>0</v>
      </c>
      <c r="K49" s="966">
        <f t="shared" ref="K49:K55" si="17">H49+J49</f>
        <v>0</v>
      </c>
      <c r="L49" s="1014"/>
      <c r="M49" s="1527"/>
    </row>
    <row r="50" spans="1:13" s="1329" customFormat="1" ht="24" customHeight="1">
      <c r="A50" s="791"/>
      <c r="B50" s="1331" t="s">
        <v>2036</v>
      </c>
      <c r="C50" s="1349"/>
      <c r="D50" s="801"/>
      <c r="E50" s="966"/>
      <c r="F50" s="1249" t="s">
        <v>1952</v>
      </c>
      <c r="G50" s="1394">
        <v>263</v>
      </c>
      <c r="H50" s="864">
        <f t="shared" si="15"/>
        <v>0</v>
      </c>
      <c r="I50" s="1394">
        <v>259</v>
      </c>
      <c r="J50" s="1395">
        <f t="shared" si="16"/>
        <v>0</v>
      </c>
      <c r="K50" s="966">
        <f t="shared" si="17"/>
        <v>0</v>
      </c>
      <c r="L50" s="1014"/>
      <c r="M50" s="1527"/>
    </row>
    <row r="51" spans="1:13" s="1329" customFormat="1" ht="24" customHeight="1">
      <c r="A51" s="791"/>
      <c r="B51" s="1331" t="s">
        <v>1951</v>
      </c>
      <c r="C51" s="1349"/>
      <c r="D51" s="801"/>
      <c r="E51" s="966">
        <f>37+15</f>
        <v>52</v>
      </c>
      <c r="F51" s="1249" t="s">
        <v>1952</v>
      </c>
      <c r="G51" s="1394">
        <v>314</v>
      </c>
      <c r="H51" s="864">
        <f t="shared" si="15"/>
        <v>16328</v>
      </c>
      <c r="I51" s="1394">
        <v>269</v>
      </c>
      <c r="J51" s="1395">
        <f t="shared" si="16"/>
        <v>13988</v>
      </c>
      <c r="K51" s="966">
        <f t="shared" si="17"/>
        <v>30316</v>
      </c>
      <c r="L51" s="1014"/>
      <c r="M51" s="1328"/>
    </row>
    <row r="52" spans="1:13" s="1329" customFormat="1" ht="24" customHeight="1">
      <c r="A52" s="791"/>
      <c r="B52" s="1331" t="s">
        <v>1953</v>
      </c>
      <c r="C52" s="1349"/>
      <c r="D52" s="801"/>
      <c r="E52" s="966">
        <f>15+62</f>
        <v>77</v>
      </c>
      <c r="F52" s="1249" t="s">
        <v>1952</v>
      </c>
      <c r="G52" s="1394">
        <v>381</v>
      </c>
      <c r="H52" s="864">
        <f t="shared" si="15"/>
        <v>29337</v>
      </c>
      <c r="I52" s="1394">
        <v>323</v>
      </c>
      <c r="J52" s="1395">
        <f t="shared" si="16"/>
        <v>24871</v>
      </c>
      <c r="K52" s="966">
        <f t="shared" si="17"/>
        <v>54208</v>
      </c>
      <c r="L52" s="1014"/>
      <c r="M52" s="1328"/>
    </row>
    <row r="53" spans="1:13" s="1329" customFormat="1" ht="24" customHeight="1">
      <c r="A53" s="791"/>
      <c r="B53" s="1331" t="s">
        <v>1954</v>
      </c>
      <c r="C53" s="1349"/>
      <c r="D53" s="801"/>
      <c r="E53" s="966">
        <f>53+83</f>
        <v>136</v>
      </c>
      <c r="F53" s="1249" t="s">
        <v>1952</v>
      </c>
      <c r="G53" s="1394">
        <v>443</v>
      </c>
      <c r="H53" s="864">
        <f t="shared" si="15"/>
        <v>60248</v>
      </c>
      <c r="I53" s="1394">
        <v>377</v>
      </c>
      <c r="J53" s="1395">
        <f t="shared" si="16"/>
        <v>51272</v>
      </c>
      <c r="K53" s="966">
        <f t="shared" si="17"/>
        <v>111520</v>
      </c>
      <c r="L53" s="1014"/>
      <c r="M53" s="1328"/>
    </row>
    <row r="54" spans="1:13" s="1329" customFormat="1" ht="24" customHeight="1">
      <c r="A54" s="791"/>
      <c r="B54" s="1331" t="s">
        <v>1645</v>
      </c>
      <c r="C54" s="1349"/>
      <c r="D54" s="801"/>
      <c r="E54" s="966">
        <v>1</v>
      </c>
      <c r="F54" s="1249" t="s">
        <v>948</v>
      </c>
      <c r="G54" s="1394">
        <f>ROUND(SUM(H49:H53)*40%,)</f>
        <v>42365</v>
      </c>
      <c r="H54" s="864">
        <f t="shared" si="15"/>
        <v>42365</v>
      </c>
      <c r="I54" s="1394">
        <f>ROUND(G54*30%,)</f>
        <v>12710</v>
      </c>
      <c r="J54" s="1395">
        <f t="shared" si="16"/>
        <v>12710</v>
      </c>
      <c r="K54" s="966">
        <f t="shared" si="17"/>
        <v>55075</v>
      </c>
      <c r="L54" s="1014"/>
      <c r="M54" s="1328"/>
    </row>
    <row r="55" spans="1:13" s="1329" customFormat="1" ht="24" customHeight="1">
      <c r="A55" s="791"/>
      <c r="B55" s="1331" t="s">
        <v>1646</v>
      </c>
      <c r="C55" s="1349"/>
      <c r="D55" s="801"/>
      <c r="E55" s="966">
        <v>1</v>
      </c>
      <c r="F55" s="1249" t="s">
        <v>948</v>
      </c>
      <c r="G55" s="1394">
        <f>ROUND(SUM(H49:H53)*15%,)</f>
        <v>15887</v>
      </c>
      <c r="H55" s="864">
        <f t="shared" si="15"/>
        <v>15887</v>
      </c>
      <c r="I55" s="1394">
        <f>ROUND(G55*30%,)</f>
        <v>4766</v>
      </c>
      <c r="J55" s="1395">
        <f t="shared" si="16"/>
        <v>4766</v>
      </c>
      <c r="K55" s="966">
        <f t="shared" si="17"/>
        <v>20653</v>
      </c>
      <c r="L55" s="1014"/>
      <c r="M55" s="1328"/>
    </row>
    <row r="56" spans="1:13" s="1329" customFormat="1" ht="24" customHeight="1">
      <c r="A56" s="791"/>
      <c r="B56" s="1331"/>
      <c r="C56" s="1349"/>
      <c r="D56" s="801"/>
      <c r="E56" s="966"/>
      <c r="F56" s="1249"/>
      <c r="G56" s="1394"/>
      <c r="H56" s="864"/>
      <c r="I56" s="1394"/>
      <c r="J56" s="1395"/>
      <c r="K56" s="966"/>
      <c r="L56" s="1014"/>
      <c r="M56" s="1328"/>
    </row>
    <row r="57" spans="1:13" s="1329" customFormat="1" ht="24" customHeight="1">
      <c r="A57" s="791"/>
      <c r="B57" s="1331"/>
      <c r="C57" s="1349"/>
      <c r="D57" s="801"/>
      <c r="E57" s="966"/>
      <c r="F57" s="1249"/>
      <c r="G57" s="1394"/>
      <c r="H57" s="864"/>
      <c r="I57" s="1394"/>
      <c r="J57" s="1395"/>
      <c r="K57" s="966"/>
      <c r="L57" s="1014"/>
      <c r="M57" s="1328"/>
    </row>
    <row r="58" spans="1:13" s="1329" customFormat="1" ht="24" customHeight="1">
      <c r="A58" s="791"/>
      <c r="B58" s="1331"/>
      <c r="C58" s="1349"/>
      <c r="D58" s="801"/>
      <c r="E58" s="966"/>
      <c r="F58" s="1249"/>
      <c r="G58" s="1394"/>
      <c r="H58" s="864"/>
      <c r="I58" s="1394"/>
      <c r="J58" s="1395"/>
      <c r="K58" s="966"/>
      <c r="L58" s="1014"/>
      <c r="M58" s="1328"/>
    </row>
    <row r="59" spans="1:13" s="1329" customFormat="1" ht="24" customHeight="1">
      <c r="A59" s="791"/>
      <c r="B59" s="1331"/>
      <c r="C59" s="1349"/>
      <c r="D59" s="801"/>
      <c r="E59" s="966"/>
      <c r="F59" s="1249"/>
      <c r="G59" s="1394"/>
      <c r="H59" s="864"/>
      <c r="I59" s="1394"/>
      <c r="J59" s="1395"/>
      <c r="K59" s="966"/>
      <c r="L59" s="1014"/>
      <c r="M59" s="1328"/>
    </row>
    <row r="60" spans="1:13" s="1329" customFormat="1" ht="24" customHeight="1">
      <c r="A60" s="1330" t="s">
        <v>2000</v>
      </c>
      <c r="B60" s="1331" t="s">
        <v>2294</v>
      </c>
      <c r="C60" s="1349"/>
      <c r="D60" s="801"/>
      <c r="E60" s="966"/>
      <c r="F60" s="1249"/>
      <c r="G60" s="1394"/>
      <c r="H60" s="864"/>
      <c r="I60" s="1394"/>
      <c r="J60" s="1395"/>
      <c r="K60" s="966"/>
      <c r="L60" s="966"/>
      <c r="M60" s="1328"/>
    </row>
    <row r="61" spans="1:13" s="1329" customFormat="1" ht="24" customHeight="1">
      <c r="A61" s="1355"/>
      <c r="B61" s="1331" t="s">
        <v>2651</v>
      </c>
      <c r="C61" s="1349"/>
      <c r="D61" s="801"/>
      <c r="E61" s="966"/>
      <c r="F61" s="1249" t="s">
        <v>438</v>
      </c>
      <c r="G61" s="1394"/>
      <c r="H61" s="864"/>
      <c r="I61" s="1394"/>
      <c r="J61" s="1395"/>
      <c r="K61" s="966"/>
      <c r="L61" s="966"/>
      <c r="M61" s="1328"/>
    </row>
    <row r="62" spans="1:13" s="1329" customFormat="1" ht="24" customHeight="1">
      <c r="A62" s="1355"/>
      <c r="B62" s="1331" t="s">
        <v>1932</v>
      </c>
      <c r="C62" s="1349"/>
      <c r="D62" s="801"/>
      <c r="E62" s="966"/>
      <c r="F62" s="1249" t="s">
        <v>438</v>
      </c>
      <c r="G62" s="1394"/>
      <c r="H62" s="864"/>
      <c r="I62" s="1394"/>
      <c r="J62" s="1395"/>
      <c r="K62" s="966"/>
      <c r="L62" s="966"/>
      <c r="M62" s="1328"/>
    </row>
    <row r="63" spans="1:13" s="1329" customFormat="1" ht="24" customHeight="1">
      <c r="A63" s="1355"/>
      <c r="B63" s="1331" t="s">
        <v>2652</v>
      </c>
      <c r="C63" s="1349"/>
      <c r="D63" s="801"/>
      <c r="E63" s="966"/>
      <c r="F63" s="1249" t="s">
        <v>438</v>
      </c>
      <c r="G63" s="1394"/>
      <c r="H63" s="864"/>
      <c r="I63" s="1394"/>
      <c r="J63" s="1395"/>
      <c r="K63" s="966"/>
      <c r="L63" s="966"/>
      <c r="M63" s="1328"/>
    </row>
    <row r="64" spans="1:13" s="1329" customFormat="1" ht="24" customHeight="1">
      <c r="A64" s="1355"/>
      <c r="B64" s="1331" t="s">
        <v>1645</v>
      </c>
      <c r="C64" s="1349"/>
      <c r="D64" s="801"/>
      <c r="E64" s="966"/>
      <c r="F64" s="1249" t="s">
        <v>948</v>
      </c>
      <c r="G64" s="1394"/>
      <c r="H64" s="864"/>
      <c r="I64" s="1394"/>
      <c r="J64" s="1395"/>
      <c r="K64" s="966"/>
      <c r="L64" s="966"/>
      <c r="M64" s="1328"/>
    </row>
    <row r="65" spans="1:27" s="1329" customFormat="1" ht="24" customHeight="1">
      <c r="A65" s="1355"/>
      <c r="B65" s="1331" t="s">
        <v>1646</v>
      </c>
      <c r="C65" s="1349"/>
      <c r="D65" s="801"/>
      <c r="E65" s="966"/>
      <c r="F65" s="1249" t="s">
        <v>948</v>
      </c>
      <c r="G65" s="1394"/>
      <c r="H65" s="864"/>
      <c r="I65" s="1394"/>
      <c r="J65" s="1395"/>
      <c r="K65" s="966"/>
      <c r="L65" s="966"/>
      <c r="M65" s="1328"/>
    </row>
    <row r="66" spans="1:27" s="1329" customFormat="1" ht="24" customHeight="1">
      <c r="A66" s="1355"/>
      <c r="B66" s="1331" t="s">
        <v>957</v>
      </c>
      <c r="C66" s="1349"/>
      <c r="D66" s="801"/>
      <c r="E66" s="966"/>
      <c r="F66" s="1249"/>
      <c r="G66" s="1394"/>
      <c r="H66" s="864"/>
      <c r="I66" s="1394"/>
      <c r="J66" s="1395"/>
      <c r="K66" s="966"/>
      <c r="L66" s="966"/>
      <c r="M66" s="1328"/>
    </row>
    <row r="67" spans="1:27" s="1329" customFormat="1" ht="24" customHeight="1">
      <c r="A67" s="1355"/>
      <c r="B67" s="1331" t="s">
        <v>958</v>
      </c>
      <c r="C67" s="1349"/>
      <c r="D67" s="801"/>
      <c r="E67" s="966"/>
      <c r="F67" s="1249"/>
      <c r="G67" s="1394"/>
      <c r="H67" s="864"/>
      <c r="I67" s="1394"/>
      <c r="J67" s="1395"/>
      <c r="K67" s="966"/>
      <c r="L67" s="966"/>
      <c r="M67" s="1328"/>
      <c r="N67" s="1404"/>
      <c r="O67" s="1404"/>
      <c r="P67" s="1404"/>
    </row>
    <row r="68" spans="1:27" s="1329" customFormat="1" ht="24" customHeight="1">
      <c r="A68" s="1355"/>
      <c r="B68" s="1331" t="s">
        <v>958</v>
      </c>
      <c r="C68" s="1349"/>
      <c r="D68" s="801"/>
      <c r="E68" s="966"/>
      <c r="F68" s="1249"/>
      <c r="G68" s="1394"/>
      <c r="H68" s="864"/>
      <c r="I68" s="1394"/>
      <c r="J68" s="1395"/>
      <c r="K68" s="966"/>
      <c r="L68" s="966"/>
      <c r="M68" s="1328"/>
      <c r="N68" s="1404"/>
      <c r="O68" s="1404"/>
      <c r="P68" s="1404"/>
    </row>
    <row r="69" spans="1:27" s="1329" customFormat="1" ht="24" customHeight="1">
      <c r="A69" s="1417"/>
      <c r="B69" s="1335"/>
      <c r="C69" s="1352"/>
      <c r="D69" s="890"/>
      <c r="E69" s="1337"/>
      <c r="F69" s="1353"/>
      <c r="G69" s="1418"/>
      <c r="H69" s="891"/>
      <c r="I69" s="1418"/>
      <c r="J69" s="1419"/>
      <c r="K69" s="1337"/>
      <c r="L69" s="1337"/>
      <c r="M69" s="1328"/>
      <c r="N69" s="1404"/>
      <c r="O69" s="1404"/>
      <c r="P69" s="1404"/>
    </row>
    <row r="70" spans="1:27" s="1329" customFormat="1" ht="24" customHeight="1">
      <c r="A70" s="1166"/>
      <c r="B70" s="2475" t="str">
        <f>"รวมราคารายการที่ "&amp;A47</f>
        <v>รวมราคารายการที่ 7.2</v>
      </c>
      <c r="C70" s="2476"/>
      <c r="D70" s="2476"/>
      <c r="E70" s="1167"/>
      <c r="F70" s="1381"/>
      <c r="G70" s="1168"/>
      <c r="H70" s="1169">
        <f>SUM(H48:H69)</f>
        <v>164165</v>
      </c>
      <c r="I70" s="1170"/>
      <c r="J70" s="1382">
        <f>SUM(J48:J69)</f>
        <v>107607</v>
      </c>
      <c r="K70" s="1171">
        <f>SUM(K48:K69)</f>
        <v>271772</v>
      </c>
      <c r="L70" s="1171"/>
      <c r="M70" s="1328"/>
      <c r="N70" s="1404"/>
      <c r="O70" s="1404"/>
      <c r="P70" s="1404"/>
    </row>
    <row r="71" spans="1:27" s="1329" customFormat="1" ht="24" customHeight="1">
      <c r="A71" s="1325" t="s">
        <v>1920</v>
      </c>
      <c r="B71" s="1326" t="s">
        <v>1968</v>
      </c>
      <c r="C71" s="1347"/>
      <c r="D71" s="901"/>
      <c r="E71" s="1019"/>
      <c r="F71" s="1310"/>
      <c r="G71" s="1406"/>
      <c r="H71" s="864"/>
      <c r="I71" s="1406"/>
      <c r="J71" s="1395"/>
      <c r="K71" s="966"/>
      <c r="L71" s="1030"/>
      <c r="M71" s="1328"/>
      <c r="N71" s="1404"/>
      <c r="O71" s="1404"/>
      <c r="P71" s="1404"/>
    </row>
    <row r="72" spans="1:27" s="1329" customFormat="1" ht="24" customHeight="1">
      <c r="A72" s="1330" t="s">
        <v>1922</v>
      </c>
      <c r="B72" s="1331" t="s">
        <v>2052</v>
      </c>
      <c r="C72" s="1349"/>
      <c r="D72" s="801"/>
      <c r="E72" s="966"/>
      <c r="F72" s="1249"/>
      <c r="G72" s="1394"/>
      <c r="H72" s="864"/>
      <c r="I72" s="1394"/>
      <c r="J72" s="1395"/>
      <c r="K72" s="966"/>
      <c r="L72" s="966"/>
      <c r="M72" s="1328"/>
      <c r="N72" s="1404"/>
      <c r="O72" s="1404"/>
      <c r="P72" s="1404"/>
      <c r="W72" s="1552"/>
      <c r="X72" s="1552"/>
      <c r="Z72" s="1552"/>
      <c r="AA72" s="1552"/>
    </row>
    <row r="73" spans="1:27" s="1329" customFormat="1" ht="24" customHeight="1">
      <c r="A73" s="1330"/>
      <c r="B73" s="1331" t="str">
        <f t="shared" ref="B73:B78" si="18">"  -  "&amp;M73&amp;" มม."</f>
        <v xml:space="preserve">  -  1600x2900 มม.</v>
      </c>
      <c r="C73" s="1349"/>
      <c r="D73" s="801"/>
      <c r="E73" s="1350">
        <f t="shared" ref="E73:E78" si="19">N73</f>
        <v>1</v>
      </c>
      <c r="F73" s="1249" t="s">
        <v>240</v>
      </c>
      <c r="G73" s="1394">
        <v>22500</v>
      </c>
      <c r="H73" s="854">
        <f t="shared" ref="H73:H78" si="20">ROUND(E73*G73,)</f>
        <v>22500</v>
      </c>
      <c r="I73" s="1394">
        <v>1000</v>
      </c>
      <c r="J73" s="1476">
        <f t="shared" ref="J73:J78" si="21">ROUND(E73*I73,)</f>
        <v>1000</v>
      </c>
      <c r="K73" s="1014">
        <f t="shared" ref="K73:K78" si="22">H73+J73</f>
        <v>23500</v>
      </c>
      <c r="L73" s="966"/>
      <c r="M73" s="1420" t="s">
        <v>2653</v>
      </c>
      <c r="N73">
        <v>1</v>
      </c>
      <c r="O73" s="1404"/>
      <c r="P73" s="1404"/>
      <c r="S73" s="1404"/>
      <c r="U73" s="1404"/>
      <c r="V73" s="1404"/>
      <c r="W73" s="1404"/>
      <c r="X73" s="1404"/>
      <c r="Z73" s="1404"/>
      <c r="AA73" s="1404"/>
    </row>
    <row r="74" spans="1:27" s="1329" customFormat="1" ht="24" customHeight="1">
      <c r="A74" s="1330"/>
      <c r="B74" s="1331" t="str">
        <f t="shared" si="18"/>
        <v xml:space="preserve">  -  1900x1200 มม.</v>
      </c>
      <c r="C74" s="1349"/>
      <c r="D74" s="801"/>
      <c r="E74" s="1350">
        <f t="shared" si="19"/>
        <v>1</v>
      </c>
      <c r="F74" s="1249" t="s">
        <v>240</v>
      </c>
      <c r="G74" s="1394">
        <v>15500</v>
      </c>
      <c r="H74" s="854">
        <f t="shared" si="20"/>
        <v>15500</v>
      </c>
      <c r="I74" s="1394">
        <v>1000</v>
      </c>
      <c r="J74" s="1476">
        <f t="shared" si="21"/>
        <v>1000</v>
      </c>
      <c r="K74" s="1014">
        <f t="shared" si="22"/>
        <v>16500</v>
      </c>
      <c r="L74" s="966"/>
      <c r="M74" s="1420" t="s">
        <v>2060</v>
      </c>
      <c r="N74">
        <v>1</v>
      </c>
      <c r="O74" s="1404"/>
      <c r="P74" s="1404"/>
      <c r="S74" s="1404"/>
      <c r="U74" s="1404"/>
      <c r="V74" s="1404"/>
      <c r="W74" s="1404"/>
      <c r="X74" s="1404"/>
      <c r="Z74" s="1404"/>
      <c r="AA74" s="1404"/>
    </row>
    <row r="75" spans="1:27" s="1329" customFormat="1" ht="24" customHeight="1">
      <c r="A75" s="1330"/>
      <c r="B75" s="1331" t="str">
        <f t="shared" si="18"/>
        <v xml:space="preserve">  -  2900x2200 มม.</v>
      </c>
      <c r="C75" s="1349"/>
      <c r="D75" s="801"/>
      <c r="E75" s="1350">
        <f t="shared" si="19"/>
        <v>1</v>
      </c>
      <c r="F75" s="1249" t="s">
        <v>240</v>
      </c>
      <c r="G75" s="1394">
        <v>25500</v>
      </c>
      <c r="H75" s="854">
        <f t="shared" si="20"/>
        <v>25500</v>
      </c>
      <c r="I75" s="1394">
        <v>1000</v>
      </c>
      <c r="J75" s="1476">
        <f t="shared" si="21"/>
        <v>1000</v>
      </c>
      <c r="K75" s="1014">
        <f t="shared" si="22"/>
        <v>26500</v>
      </c>
      <c r="L75" s="966"/>
      <c r="M75" s="1420" t="s">
        <v>2654</v>
      </c>
      <c r="N75">
        <v>1</v>
      </c>
      <c r="O75" s="1404"/>
      <c r="P75" s="1404"/>
      <c r="S75" s="1404"/>
      <c r="U75" s="1404"/>
      <c r="V75" s="1404"/>
      <c r="W75" s="1404"/>
      <c r="X75" s="1404"/>
      <c r="Z75" s="1404"/>
      <c r="AA75" s="1404"/>
    </row>
    <row r="76" spans="1:27" s="1329" customFormat="1" ht="24" customHeight="1">
      <c r="A76" s="1330"/>
      <c r="B76" s="1331" t="str">
        <f t="shared" si="18"/>
        <v xml:space="preserve">  -  3500x900 มม.</v>
      </c>
      <c r="C76" s="1349"/>
      <c r="D76" s="801"/>
      <c r="E76" s="1350">
        <f t="shared" si="19"/>
        <v>1</v>
      </c>
      <c r="F76" s="1249" t="s">
        <v>240</v>
      </c>
      <c r="G76" s="1394">
        <v>22000</v>
      </c>
      <c r="H76" s="854">
        <f t="shared" si="20"/>
        <v>22000</v>
      </c>
      <c r="I76" s="1394">
        <v>1000</v>
      </c>
      <c r="J76" s="1476">
        <f t="shared" si="21"/>
        <v>1000</v>
      </c>
      <c r="K76" s="1014">
        <f t="shared" si="22"/>
        <v>23000</v>
      </c>
      <c r="L76" s="966"/>
      <c r="M76" s="1420" t="s">
        <v>2655</v>
      </c>
      <c r="N76">
        <v>1</v>
      </c>
      <c r="O76" s="1404"/>
      <c r="P76" s="1404"/>
      <c r="S76" s="1404"/>
      <c r="U76" s="1404"/>
      <c r="V76" s="1404"/>
      <c r="W76" s="1404"/>
      <c r="X76" s="1404"/>
      <c r="Z76" s="1404"/>
      <c r="AA76" s="1404"/>
    </row>
    <row r="77" spans="1:27" s="1329" customFormat="1" ht="24" customHeight="1">
      <c r="A77" s="1330"/>
      <c r="B77" s="1331" t="str">
        <f t="shared" si="18"/>
        <v xml:space="preserve">  -  4400x2500 มม.</v>
      </c>
      <c r="C77" s="1349"/>
      <c r="D77" s="801"/>
      <c r="E77" s="1350">
        <f t="shared" si="19"/>
        <v>1</v>
      </c>
      <c r="F77" s="1249" t="s">
        <v>240</v>
      </c>
      <c r="G77" s="1394">
        <v>34500</v>
      </c>
      <c r="H77" s="854">
        <f t="shared" si="20"/>
        <v>34500</v>
      </c>
      <c r="I77" s="1394">
        <v>1000</v>
      </c>
      <c r="J77" s="1476">
        <f t="shared" si="21"/>
        <v>1000</v>
      </c>
      <c r="K77" s="1014">
        <f t="shared" si="22"/>
        <v>35500</v>
      </c>
      <c r="L77" s="966"/>
      <c r="M77" s="1420" t="s">
        <v>2656</v>
      </c>
      <c r="N77">
        <v>1</v>
      </c>
      <c r="O77" s="1404"/>
      <c r="P77" s="1404"/>
      <c r="S77" s="1404"/>
      <c r="U77" s="1404"/>
      <c r="V77" s="1404"/>
      <c r="W77" s="1404"/>
      <c r="X77" s="1404"/>
      <c r="Z77" s="1404"/>
      <c r="AA77" s="1404"/>
    </row>
    <row r="78" spans="1:27" s="1329" customFormat="1" ht="24" customHeight="1">
      <c r="A78" s="1330"/>
      <c r="B78" s="1331" t="str">
        <f t="shared" si="18"/>
        <v xml:space="preserve">  -  4700x1350 มม.</v>
      </c>
      <c r="C78" s="1349"/>
      <c r="D78" s="801"/>
      <c r="E78" s="1350">
        <f t="shared" si="19"/>
        <v>1</v>
      </c>
      <c r="F78" s="1249" t="s">
        <v>240</v>
      </c>
      <c r="G78" s="1394">
        <v>30250</v>
      </c>
      <c r="H78" s="854">
        <f t="shared" si="20"/>
        <v>30250</v>
      </c>
      <c r="I78" s="1394">
        <v>1000</v>
      </c>
      <c r="J78" s="1476">
        <f t="shared" si="21"/>
        <v>1000</v>
      </c>
      <c r="K78" s="1014">
        <f t="shared" si="22"/>
        <v>31250</v>
      </c>
      <c r="L78" s="966"/>
      <c r="M78" s="1420" t="s">
        <v>2657</v>
      </c>
      <c r="N78">
        <v>1</v>
      </c>
      <c r="O78" s="1404"/>
      <c r="P78" s="1404"/>
      <c r="S78" s="1404"/>
      <c r="U78" s="1404"/>
      <c r="V78" s="1404"/>
      <c r="W78" s="1404"/>
      <c r="X78" s="1404"/>
      <c r="Z78" s="1404"/>
      <c r="AA78" s="1404"/>
    </row>
    <row r="79" spans="1:27" s="1329" customFormat="1" ht="24" customHeight="1">
      <c r="A79" s="1330" t="s">
        <v>1924</v>
      </c>
      <c r="B79" s="1331" t="s">
        <v>2658</v>
      </c>
      <c r="C79" s="1349"/>
      <c r="D79" s="801"/>
      <c r="E79" s="966"/>
      <c r="F79" s="1249"/>
      <c r="G79" s="1394"/>
      <c r="H79" s="864"/>
      <c r="I79" s="1394"/>
      <c r="J79" s="1395"/>
      <c r="K79" s="966"/>
      <c r="L79" s="966"/>
      <c r="M79" s="1328"/>
      <c r="N79" s="1404"/>
      <c r="O79" s="1404"/>
      <c r="P79" s="1404"/>
    </row>
    <row r="80" spans="1:27" s="1329" customFormat="1" ht="24" customHeight="1">
      <c r="A80" s="1330"/>
      <c r="B80" s="1331" t="s">
        <v>2659</v>
      </c>
      <c r="C80" s="1349"/>
      <c r="D80" s="801"/>
      <c r="E80" s="966"/>
      <c r="F80" s="1249" t="s">
        <v>240</v>
      </c>
      <c r="G80" s="1257">
        <v>30600</v>
      </c>
      <c r="H80" s="854">
        <f t="shared" ref="H80:H81" si="23">ROUND(E80*G80,)</f>
        <v>0</v>
      </c>
      <c r="I80" s="1477">
        <v>1000</v>
      </c>
      <c r="J80" s="1476">
        <f t="shared" ref="J80:J81" si="24">ROUND(E80*I80,)</f>
        <v>0</v>
      </c>
      <c r="K80" s="1014">
        <f t="shared" ref="K80:K81" si="25">H80+J80</f>
        <v>0</v>
      </c>
      <c r="L80" s="966"/>
      <c r="M80" s="1328"/>
      <c r="N80" s="1404"/>
      <c r="O80" s="1404"/>
      <c r="P80" s="1404"/>
      <c r="S80" s="1404"/>
      <c r="U80" s="1404"/>
      <c r="V80" s="1404"/>
      <c r="W80" s="1404"/>
      <c r="X80" s="1404"/>
      <c r="Z80" s="1404"/>
      <c r="AA80" s="1404"/>
    </row>
    <row r="81" spans="1:27" s="1329" customFormat="1" ht="24" customHeight="1">
      <c r="A81" s="1330"/>
      <c r="B81" s="1331" t="s">
        <v>2660</v>
      </c>
      <c r="C81" s="1349"/>
      <c r="D81" s="801"/>
      <c r="E81" s="966"/>
      <c r="F81" s="1249" t="s">
        <v>240</v>
      </c>
      <c r="G81" s="1257">
        <v>30000</v>
      </c>
      <c r="H81" s="854">
        <f t="shared" si="23"/>
        <v>0</v>
      </c>
      <c r="I81" s="1477">
        <v>1000</v>
      </c>
      <c r="J81" s="1476">
        <f t="shared" si="24"/>
        <v>0</v>
      </c>
      <c r="K81" s="1014">
        <f t="shared" si="25"/>
        <v>0</v>
      </c>
      <c r="L81" s="966"/>
      <c r="M81" s="1328"/>
      <c r="N81" s="1404"/>
      <c r="O81" s="1404"/>
      <c r="P81" s="1404"/>
      <c r="S81" s="1404"/>
      <c r="U81" s="1404"/>
      <c r="V81" s="1404"/>
      <c r="W81" s="1404"/>
      <c r="X81" s="1404"/>
      <c r="Z81" s="1404"/>
      <c r="AA81" s="1404"/>
    </row>
    <row r="82" spans="1:27" s="1329" customFormat="1" ht="24" customHeight="1">
      <c r="A82" s="1330"/>
      <c r="B82" s="1331" t="s">
        <v>957</v>
      </c>
      <c r="C82" s="1349"/>
      <c r="D82" s="801"/>
      <c r="E82" s="966"/>
      <c r="F82" s="1249"/>
      <c r="G82" s="1394"/>
      <c r="H82" s="864"/>
      <c r="I82" s="1394"/>
      <c r="J82" s="1395"/>
      <c r="K82" s="966"/>
      <c r="L82" s="966"/>
      <c r="M82" s="1328"/>
      <c r="N82" s="1404"/>
      <c r="O82" s="1404"/>
      <c r="P82" s="1404"/>
    </row>
    <row r="83" spans="1:27" s="1329" customFormat="1" ht="24" customHeight="1">
      <c r="A83" s="1330"/>
      <c r="B83" s="1331" t="s">
        <v>958</v>
      </c>
      <c r="C83" s="1349"/>
      <c r="D83" s="801"/>
      <c r="E83" s="966"/>
      <c r="F83" s="1249"/>
      <c r="G83" s="1394"/>
      <c r="H83" s="864"/>
      <c r="I83" s="1394"/>
      <c r="J83" s="1395"/>
      <c r="K83" s="966"/>
      <c r="L83" s="966"/>
      <c r="M83" s="1328"/>
      <c r="N83" s="1404"/>
      <c r="O83" s="1404"/>
      <c r="P83" s="1404"/>
    </row>
    <row r="84" spans="1:27" s="1329" customFormat="1" ht="24" customHeight="1">
      <c r="A84" s="1166"/>
      <c r="B84" s="2475" t="str">
        <f>"รวมราคารายการที่ "&amp;A71</f>
        <v>รวมราคารายการที่ 7.3</v>
      </c>
      <c r="C84" s="2476"/>
      <c r="D84" s="2476"/>
      <c r="E84" s="1167"/>
      <c r="F84" s="1381"/>
      <c r="G84" s="1168"/>
      <c r="H84" s="1169">
        <f>SUM(H71:H83)</f>
        <v>150250</v>
      </c>
      <c r="I84" s="1170"/>
      <c r="J84" s="1382">
        <f>SUM(J71:J83)</f>
        <v>6000</v>
      </c>
      <c r="K84" s="1171">
        <f>SUM(K71:K83)</f>
        <v>156250</v>
      </c>
      <c r="L84" s="1171"/>
      <c r="M84" s="1328"/>
      <c r="N84" s="1404"/>
      <c r="O84" s="1404"/>
      <c r="P84" s="1404"/>
    </row>
    <row r="85" spans="1:27" s="1329" customFormat="1" ht="24" customHeight="1">
      <c r="A85" s="1325" t="s">
        <v>2027</v>
      </c>
      <c r="B85" s="1326" t="s">
        <v>2066</v>
      </c>
      <c r="C85" s="1347"/>
      <c r="D85" s="901"/>
      <c r="E85" s="1030"/>
      <c r="F85" s="1348"/>
      <c r="G85" s="1406"/>
      <c r="H85" s="905"/>
      <c r="I85" s="1406"/>
      <c r="J85" s="1407"/>
      <c r="K85" s="1030"/>
      <c r="L85" s="1030"/>
      <c r="M85" s="1328"/>
      <c r="N85" s="1404"/>
      <c r="O85" s="1404"/>
      <c r="P85" s="1404"/>
    </row>
    <row r="86" spans="1:27" s="1329" customFormat="1" ht="24" customHeight="1">
      <c r="A86" s="1330" t="s">
        <v>1928</v>
      </c>
      <c r="B86" s="1331" t="s">
        <v>2068</v>
      </c>
      <c r="C86" s="1349"/>
      <c r="D86" s="801"/>
      <c r="E86" s="1019"/>
      <c r="F86" s="1310"/>
      <c r="G86" s="1394"/>
      <c r="H86" s="864"/>
      <c r="I86" s="1394"/>
      <c r="J86" s="1395"/>
      <c r="K86" s="966"/>
      <c r="L86" s="966"/>
      <c r="M86" s="1328"/>
      <c r="N86" s="1404"/>
      <c r="O86" s="1404"/>
      <c r="P86" s="1404"/>
    </row>
    <row r="87" spans="1:27" s="1329" customFormat="1" ht="24" customHeight="1">
      <c r="A87" s="1330"/>
      <c r="B87" s="1331" t="s">
        <v>2661</v>
      </c>
      <c r="C87" s="1349"/>
      <c r="D87" s="801"/>
      <c r="E87" s="1019">
        <v>1</v>
      </c>
      <c r="F87" s="1249" t="s">
        <v>240</v>
      </c>
      <c r="G87" s="1394">
        <v>25000</v>
      </c>
      <c r="H87" s="864">
        <f t="shared" ref="H87:H89" si="26">ROUND(E87*G87,)</f>
        <v>25000</v>
      </c>
      <c r="I87" s="1394">
        <f>G87*0.1</f>
        <v>2500</v>
      </c>
      <c r="J87" s="1395">
        <f t="shared" ref="J87:J89" si="27">ROUND(E87*I87,)</f>
        <v>2500</v>
      </c>
      <c r="K87" s="966">
        <f t="shared" ref="K87:K89" si="28">H87+J87</f>
        <v>27500</v>
      </c>
      <c r="L87" s="966"/>
      <c r="M87" s="1328"/>
    </row>
    <row r="88" spans="1:27" s="1329" customFormat="1" ht="24" customHeight="1">
      <c r="A88" s="1330"/>
      <c r="B88" s="1331" t="s">
        <v>2662</v>
      </c>
      <c r="C88" s="1349"/>
      <c r="D88" s="801"/>
      <c r="E88" s="1019">
        <v>1</v>
      </c>
      <c r="F88" s="1249" t="s">
        <v>240</v>
      </c>
      <c r="G88" s="1394">
        <v>45000</v>
      </c>
      <c r="H88" s="864">
        <f t="shared" si="26"/>
        <v>45000</v>
      </c>
      <c r="I88" s="1394">
        <f>G88*0.1</f>
        <v>4500</v>
      </c>
      <c r="J88" s="1395">
        <f t="shared" si="27"/>
        <v>4500</v>
      </c>
      <c r="K88" s="966">
        <f t="shared" si="28"/>
        <v>49500</v>
      </c>
      <c r="L88" s="966"/>
      <c r="M88" s="1328"/>
    </row>
    <row r="89" spans="1:27" s="1329" customFormat="1" ht="24" customHeight="1">
      <c r="A89" s="1330"/>
      <c r="B89" s="1331" t="s">
        <v>2663</v>
      </c>
      <c r="C89" s="1349"/>
      <c r="D89" s="801"/>
      <c r="E89" s="1019">
        <v>1</v>
      </c>
      <c r="F89" s="1249" t="s">
        <v>240</v>
      </c>
      <c r="G89" s="1394">
        <v>45000</v>
      </c>
      <c r="H89" s="864">
        <f t="shared" si="26"/>
        <v>45000</v>
      </c>
      <c r="I89" s="1394">
        <f>G89*0.1</f>
        <v>4500</v>
      </c>
      <c r="J89" s="1395">
        <f t="shared" si="27"/>
        <v>4500</v>
      </c>
      <c r="K89" s="966">
        <f t="shared" si="28"/>
        <v>49500</v>
      </c>
      <c r="L89" s="966"/>
      <c r="M89" s="1328"/>
    </row>
    <row r="90" spans="1:27" s="1329" customFormat="1" ht="24" customHeight="1">
      <c r="A90" s="1330" t="s">
        <v>1930</v>
      </c>
      <c r="B90" s="1331" t="s">
        <v>1207</v>
      </c>
      <c r="C90" s="1349"/>
      <c r="D90" s="801"/>
      <c r="E90" s="966"/>
      <c r="F90" s="1249"/>
      <c r="G90" s="1394"/>
      <c r="H90" s="864"/>
      <c r="I90" s="1394"/>
      <c r="J90" s="1395"/>
      <c r="K90" s="966"/>
      <c r="L90" s="966"/>
      <c r="M90" s="1328"/>
      <c r="N90" s="1404"/>
      <c r="O90" s="1404"/>
      <c r="P90" s="1404"/>
    </row>
    <row r="91" spans="1:27" s="1329" customFormat="1" ht="24" customHeight="1">
      <c r="A91" s="1330"/>
      <c r="B91" s="1331" t="s">
        <v>1737</v>
      </c>
      <c r="C91" s="1349"/>
      <c r="D91" s="801"/>
      <c r="E91" s="966">
        <f>60</f>
        <v>60</v>
      </c>
      <c r="F91" s="1249" t="s">
        <v>438</v>
      </c>
      <c r="G91" s="1392">
        <v>9</v>
      </c>
      <c r="H91" s="796">
        <f t="shared" ref="H91:H96" si="29">ROUND(E91*G91,)</f>
        <v>540</v>
      </c>
      <c r="I91" s="1394">
        <v>7</v>
      </c>
      <c r="J91" s="1393">
        <f t="shared" ref="J91:J105" si="30">ROUND(E91*I91,)</f>
        <v>420</v>
      </c>
      <c r="K91" s="1022">
        <f t="shared" ref="K91:K96" si="31">H91+J91</f>
        <v>960</v>
      </c>
      <c r="L91" s="1718" t="s">
        <v>2974</v>
      </c>
      <c r="N91" s="1404">
        <v>912.1</v>
      </c>
      <c r="O91" s="1404">
        <f t="shared" ref="O91:O96" si="32">ROUND(N91/100,)</f>
        <v>9</v>
      </c>
      <c r="P91" s="1404"/>
    </row>
    <row r="92" spans="1:27" s="1329" customFormat="1" ht="24" customHeight="1">
      <c r="A92" s="1330"/>
      <c r="B92" s="705" t="s">
        <v>1166</v>
      </c>
      <c r="C92" s="792"/>
      <c r="D92" s="792"/>
      <c r="E92" s="805"/>
      <c r="F92" s="1140" t="s">
        <v>438</v>
      </c>
      <c r="G92" s="1402">
        <v>14</v>
      </c>
      <c r="H92" s="796">
        <f t="shared" si="29"/>
        <v>0</v>
      </c>
      <c r="I92" s="849">
        <v>10</v>
      </c>
      <c r="J92" s="1476">
        <f t="shared" si="30"/>
        <v>0</v>
      </c>
      <c r="K92" s="1014">
        <f t="shared" si="31"/>
        <v>0</v>
      </c>
      <c r="L92" s="1718" t="s">
        <v>2974</v>
      </c>
      <c r="N92" s="1404">
        <v>1375.8</v>
      </c>
      <c r="O92" s="1404">
        <f t="shared" si="32"/>
        <v>14</v>
      </c>
      <c r="P92" s="1404"/>
    </row>
    <row r="93" spans="1:27" s="1329" customFormat="1" ht="24" customHeight="1">
      <c r="A93" s="1330"/>
      <c r="B93" s="705" t="s">
        <v>1167</v>
      </c>
      <c r="C93" s="792"/>
      <c r="D93" s="792"/>
      <c r="E93" s="805">
        <f>120</f>
        <v>120</v>
      </c>
      <c r="F93" s="1140" t="s">
        <v>438</v>
      </c>
      <c r="G93" s="1402">
        <v>23</v>
      </c>
      <c r="H93" s="796">
        <f t="shared" si="29"/>
        <v>2760</v>
      </c>
      <c r="I93" s="849">
        <v>12</v>
      </c>
      <c r="J93" s="1476">
        <f t="shared" si="30"/>
        <v>1440</v>
      </c>
      <c r="K93" s="1014">
        <f t="shared" si="31"/>
        <v>4200</v>
      </c>
      <c r="L93" s="1718" t="s">
        <v>2974</v>
      </c>
      <c r="N93" s="1404">
        <v>2264.1999999999998</v>
      </c>
      <c r="O93" s="1404">
        <f t="shared" si="32"/>
        <v>23</v>
      </c>
      <c r="P93" s="1404"/>
    </row>
    <row r="94" spans="1:27" s="1329" customFormat="1" ht="24" customHeight="1">
      <c r="A94" s="1330"/>
      <c r="B94" s="705" t="s">
        <v>1168</v>
      </c>
      <c r="C94" s="792"/>
      <c r="D94" s="792"/>
      <c r="E94" s="805"/>
      <c r="F94" s="1140" t="s">
        <v>438</v>
      </c>
      <c r="G94" s="1402">
        <v>39</v>
      </c>
      <c r="H94" s="796">
        <f t="shared" si="29"/>
        <v>0</v>
      </c>
      <c r="I94" s="849">
        <v>16</v>
      </c>
      <c r="J94" s="1476">
        <f t="shared" si="30"/>
        <v>0</v>
      </c>
      <c r="K94" s="1014">
        <f t="shared" si="31"/>
        <v>0</v>
      </c>
      <c r="L94" s="1718" t="s">
        <v>2974</v>
      </c>
      <c r="N94" s="1404">
        <v>3944.2</v>
      </c>
      <c r="O94" s="1404">
        <f t="shared" si="32"/>
        <v>39</v>
      </c>
      <c r="P94" s="1404"/>
    </row>
    <row r="95" spans="1:27" s="1329" customFormat="1" ht="24" customHeight="1">
      <c r="A95" s="1330"/>
      <c r="B95" s="705" t="s">
        <v>1169</v>
      </c>
      <c r="C95" s="792"/>
      <c r="D95" s="792"/>
      <c r="E95" s="805"/>
      <c r="F95" s="1140" t="s">
        <v>438</v>
      </c>
      <c r="G95" s="1402">
        <v>61</v>
      </c>
      <c r="H95" s="796">
        <f t="shared" si="29"/>
        <v>0</v>
      </c>
      <c r="I95" s="849">
        <v>20</v>
      </c>
      <c r="J95" s="1476">
        <f t="shared" si="30"/>
        <v>0</v>
      </c>
      <c r="K95" s="1014">
        <f t="shared" si="31"/>
        <v>0</v>
      </c>
      <c r="L95" s="1718" t="s">
        <v>2974</v>
      </c>
      <c r="N95" s="1404">
        <v>6120</v>
      </c>
      <c r="O95" s="1404">
        <f t="shared" si="32"/>
        <v>61</v>
      </c>
      <c r="P95" s="1404"/>
    </row>
    <row r="96" spans="1:27" s="1329" customFormat="1" ht="24" customHeight="1">
      <c r="A96" s="1330"/>
      <c r="B96" s="705" t="s">
        <v>1163</v>
      </c>
      <c r="C96" s="792"/>
      <c r="D96" s="792"/>
      <c r="E96" s="805"/>
      <c r="F96" s="1140" t="s">
        <v>438</v>
      </c>
      <c r="G96" s="1402">
        <v>183</v>
      </c>
      <c r="H96" s="796">
        <f t="shared" si="29"/>
        <v>0</v>
      </c>
      <c r="I96" s="849">
        <v>40</v>
      </c>
      <c r="J96" s="1476">
        <f t="shared" si="30"/>
        <v>0</v>
      </c>
      <c r="K96" s="1014">
        <f t="shared" si="31"/>
        <v>0</v>
      </c>
      <c r="L96" s="1718" t="s">
        <v>2974</v>
      </c>
      <c r="N96" s="1404">
        <v>18335.8</v>
      </c>
      <c r="O96" s="1404">
        <f t="shared" si="32"/>
        <v>183</v>
      </c>
      <c r="P96" s="1404"/>
    </row>
    <row r="97" spans="1:16" s="1329" customFormat="1" ht="24" customHeight="1">
      <c r="A97" s="1330" t="s">
        <v>1933</v>
      </c>
      <c r="B97" s="1331" t="s">
        <v>950</v>
      </c>
      <c r="C97" s="1349"/>
      <c r="D97" s="801"/>
      <c r="E97" s="966"/>
      <c r="F97" s="1249"/>
      <c r="G97" s="1394"/>
      <c r="H97" s="864"/>
      <c r="I97" s="1394"/>
      <c r="J97" s="1395">
        <f t="shared" si="30"/>
        <v>0</v>
      </c>
      <c r="K97" s="966"/>
      <c r="L97" s="966"/>
      <c r="M97" s="1328"/>
      <c r="N97" s="1404"/>
      <c r="O97" s="1404"/>
      <c r="P97" s="1404"/>
    </row>
    <row r="98" spans="1:16" s="1329" customFormat="1" ht="24" customHeight="1">
      <c r="A98" s="1330"/>
      <c r="B98" s="1331" t="s">
        <v>1201</v>
      </c>
      <c r="C98" s="1349"/>
      <c r="D98" s="801"/>
      <c r="E98" s="966">
        <f>15</f>
        <v>15</v>
      </c>
      <c r="F98" s="1249" t="s">
        <v>438</v>
      </c>
      <c r="G98" s="1394">
        <v>56</v>
      </c>
      <c r="H98" s="796">
        <f t="shared" ref="H98:H104" si="33">ROUND(E98*G98,)</f>
        <v>840</v>
      </c>
      <c r="I98" s="1394">
        <v>26</v>
      </c>
      <c r="J98" s="1393">
        <f t="shared" si="30"/>
        <v>390</v>
      </c>
      <c r="K98" s="1022">
        <f t="shared" ref="K98:K104" si="34">H98+J98</f>
        <v>1230</v>
      </c>
      <c r="L98" s="1718" t="s">
        <v>2974</v>
      </c>
      <c r="M98" s="1328"/>
      <c r="N98" s="1329">
        <v>169.2</v>
      </c>
      <c r="O98" s="1329">
        <f t="shared" ref="O98:O103" si="35">ROUND(N98/3,)</f>
        <v>56</v>
      </c>
      <c r="P98" s="1404"/>
    </row>
    <row r="99" spans="1:16" s="1329" customFormat="1" ht="24" customHeight="1">
      <c r="A99" s="1330"/>
      <c r="B99" s="1331" t="s">
        <v>1184</v>
      </c>
      <c r="C99" s="1349"/>
      <c r="D99" s="801"/>
      <c r="E99" s="966">
        <f>30</f>
        <v>30</v>
      </c>
      <c r="F99" s="1249" t="s">
        <v>438</v>
      </c>
      <c r="G99" s="1394">
        <v>75</v>
      </c>
      <c r="H99" s="796">
        <f t="shared" si="33"/>
        <v>2250</v>
      </c>
      <c r="I99" s="1394">
        <v>28</v>
      </c>
      <c r="J99" s="1393">
        <f t="shared" si="30"/>
        <v>840</v>
      </c>
      <c r="K99" s="1022">
        <f t="shared" si="34"/>
        <v>3090</v>
      </c>
      <c r="L99" s="1718" t="s">
        <v>2974</v>
      </c>
      <c r="M99" s="1328"/>
      <c r="N99" s="1329">
        <v>225</v>
      </c>
      <c r="O99" s="1329">
        <f t="shared" si="35"/>
        <v>75</v>
      </c>
      <c r="P99" s="1404"/>
    </row>
    <row r="100" spans="1:16" s="1329" customFormat="1" ht="24" customHeight="1">
      <c r="A100" s="1330"/>
      <c r="B100" s="720" t="s">
        <v>1185</v>
      </c>
      <c r="C100" s="717"/>
      <c r="D100" s="717"/>
      <c r="E100" s="805"/>
      <c r="F100" s="1140" t="s">
        <v>438</v>
      </c>
      <c r="G100" s="1402">
        <v>101</v>
      </c>
      <c r="H100" s="796">
        <f t="shared" si="33"/>
        <v>0</v>
      </c>
      <c r="I100" s="1402">
        <v>32</v>
      </c>
      <c r="J100" s="1476">
        <f t="shared" si="30"/>
        <v>0</v>
      </c>
      <c r="K100" s="1014">
        <f t="shared" si="34"/>
        <v>0</v>
      </c>
      <c r="L100" s="1718" t="s">
        <v>2974</v>
      </c>
      <c r="M100" s="1328"/>
      <c r="N100" s="1329">
        <v>303.60000000000002</v>
      </c>
      <c r="O100" s="1329">
        <f t="shared" si="35"/>
        <v>101</v>
      </c>
      <c r="P100" s="1404"/>
    </row>
    <row r="101" spans="1:16" s="1329" customFormat="1" ht="24" customHeight="1">
      <c r="A101" s="1330"/>
      <c r="B101" s="720" t="s">
        <v>1186</v>
      </c>
      <c r="C101" s="717"/>
      <c r="D101" s="717"/>
      <c r="E101" s="805"/>
      <c r="F101" s="1140" t="s">
        <v>438</v>
      </c>
      <c r="G101" s="1402">
        <v>131</v>
      </c>
      <c r="H101" s="796">
        <f t="shared" si="33"/>
        <v>0</v>
      </c>
      <c r="I101" s="1402">
        <v>38</v>
      </c>
      <c r="J101" s="1476">
        <f t="shared" si="30"/>
        <v>0</v>
      </c>
      <c r="K101" s="1014">
        <f t="shared" si="34"/>
        <v>0</v>
      </c>
      <c r="L101" s="1718" t="s">
        <v>2974</v>
      </c>
      <c r="M101" s="1328"/>
      <c r="N101" s="1329">
        <v>391.8</v>
      </c>
      <c r="O101" s="1329">
        <f t="shared" si="35"/>
        <v>131</v>
      </c>
      <c r="P101" s="1404"/>
    </row>
    <row r="102" spans="1:16" s="1329" customFormat="1" ht="24" customHeight="1">
      <c r="A102" s="1330"/>
      <c r="B102" s="720" t="s">
        <v>1187</v>
      </c>
      <c r="C102" s="717"/>
      <c r="D102" s="717"/>
      <c r="E102" s="805"/>
      <c r="F102" s="1140" t="s">
        <v>438</v>
      </c>
      <c r="G102" s="1402">
        <v>160</v>
      </c>
      <c r="H102" s="796">
        <f t="shared" si="33"/>
        <v>0</v>
      </c>
      <c r="I102" s="1402">
        <v>42</v>
      </c>
      <c r="J102" s="1476">
        <f t="shared" si="30"/>
        <v>0</v>
      </c>
      <c r="K102" s="1014">
        <f t="shared" si="34"/>
        <v>0</v>
      </c>
      <c r="L102" s="1718" t="s">
        <v>2974</v>
      </c>
      <c r="M102" s="1328"/>
      <c r="N102" s="1329">
        <v>481.2</v>
      </c>
      <c r="O102" s="1329">
        <f t="shared" si="35"/>
        <v>160</v>
      </c>
      <c r="P102" s="1404"/>
    </row>
    <row r="103" spans="1:16" s="1329" customFormat="1" ht="24" customHeight="1">
      <c r="A103" s="1330"/>
      <c r="B103" s="720" t="s">
        <v>1188</v>
      </c>
      <c r="C103" s="717"/>
      <c r="D103" s="717"/>
      <c r="E103" s="805"/>
      <c r="F103" s="1140" t="s">
        <v>438</v>
      </c>
      <c r="G103" s="1402">
        <v>219</v>
      </c>
      <c r="H103" s="796">
        <f t="shared" si="33"/>
        <v>0</v>
      </c>
      <c r="I103" s="1402">
        <v>48</v>
      </c>
      <c r="J103" s="1476">
        <f t="shared" si="30"/>
        <v>0</v>
      </c>
      <c r="K103" s="1014">
        <f t="shared" si="34"/>
        <v>0</v>
      </c>
      <c r="L103" s="1718" t="s">
        <v>2974</v>
      </c>
      <c r="M103" s="1328"/>
      <c r="N103" s="1329">
        <v>657.6</v>
      </c>
      <c r="O103" s="1329">
        <f t="shared" si="35"/>
        <v>219</v>
      </c>
      <c r="P103" s="1404"/>
    </row>
    <row r="104" spans="1:16" s="1329" customFormat="1" ht="24" customHeight="1">
      <c r="A104" s="1330"/>
      <c r="B104" s="1331" t="s">
        <v>1237</v>
      </c>
      <c r="C104" s="1349"/>
      <c r="D104" s="801"/>
      <c r="E104" s="966">
        <v>1</v>
      </c>
      <c r="F104" s="1249" t="s">
        <v>948</v>
      </c>
      <c r="G104" s="1392">
        <f>ROUND(SUM(H98:H103)*15%,)</f>
        <v>464</v>
      </c>
      <c r="H104" s="796">
        <f t="shared" si="33"/>
        <v>464</v>
      </c>
      <c r="I104" s="1392">
        <f>ROUND(G104*0.3,)</f>
        <v>139</v>
      </c>
      <c r="J104" s="1393">
        <f t="shared" si="30"/>
        <v>139</v>
      </c>
      <c r="K104" s="1022">
        <f t="shared" si="34"/>
        <v>603</v>
      </c>
      <c r="L104" s="966"/>
      <c r="M104" s="1328"/>
      <c r="N104" s="1404"/>
      <c r="O104" s="1404"/>
      <c r="P104" s="1404"/>
    </row>
    <row r="105" spans="1:16" s="1329" customFormat="1" ht="24" customHeight="1">
      <c r="A105" s="1330" t="s">
        <v>1935</v>
      </c>
      <c r="B105" s="1331" t="s">
        <v>2664</v>
      </c>
      <c r="C105" s="1349"/>
      <c r="D105" s="801"/>
      <c r="E105" s="966"/>
      <c r="F105" s="1249"/>
      <c r="G105" s="1394"/>
      <c r="H105" s="864"/>
      <c r="I105" s="1394"/>
      <c r="J105" s="1395">
        <f t="shared" si="30"/>
        <v>0</v>
      </c>
      <c r="K105" s="966"/>
      <c r="L105" s="966"/>
      <c r="M105" s="1328"/>
      <c r="N105" s="1404"/>
      <c r="O105" s="1404"/>
      <c r="P105" s="1404"/>
    </row>
    <row r="106" spans="1:16" s="1329" customFormat="1" ht="24" customHeight="1">
      <c r="A106" s="1330"/>
      <c r="B106" s="720" t="s">
        <v>2664</v>
      </c>
      <c r="C106" s="717"/>
      <c r="D106" s="717"/>
      <c r="E106" s="805"/>
      <c r="F106" s="1140" t="s">
        <v>240</v>
      </c>
      <c r="G106" s="1402"/>
      <c r="H106" s="796"/>
      <c r="I106" s="1402"/>
      <c r="J106" s="1476"/>
      <c r="K106" s="1014">
        <f t="shared" ref="K106" si="36">H106+J106</f>
        <v>0</v>
      </c>
      <c r="L106" s="1718"/>
      <c r="M106" s="1328"/>
      <c r="N106" s="1404"/>
      <c r="O106" s="1404"/>
      <c r="P106" s="1404"/>
    </row>
    <row r="107" spans="1:16" s="1329" customFormat="1" ht="24" customHeight="1">
      <c r="A107" s="1330"/>
      <c r="B107" s="720"/>
      <c r="C107" s="717"/>
      <c r="D107" s="717"/>
      <c r="E107" s="805"/>
      <c r="F107" s="1140"/>
      <c r="G107" s="1402"/>
      <c r="H107" s="796"/>
      <c r="I107" s="1402"/>
      <c r="J107" s="1476"/>
      <c r="K107" s="1014"/>
      <c r="L107" s="1718"/>
      <c r="M107" s="1328"/>
      <c r="N107" s="1404"/>
      <c r="O107" s="1404"/>
      <c r="P107" s="1404"/>
    </row>
    <row r="108" spans="1:16" s="1329" customFormat="1" ht="24" customHeight="1">
      <c r="A108" s="1330"/>
      <c r="B108" s="720"/>
      <c r="C108" s="717"/>
      <c r="D108" s="717"/>
      <c r="E108" s="805"/>
      <c r="F108" s="1140"/>
      <c r="G108" s="1402"/>
      <c r="H108" s="796"/>
      <c r="I108" s="1402"/>
      <c r="J108" s="1476"/>
      <c r="K108" s="1014"/>
      <c r="L108" s="1718"/>
      <c r="M108" s="1328"/>
      <c r="N108" s="1404"/>
      <c r="O108" s="1404"/>
      <c r="P108" s="1404"/>
    </row>
    <row r="109" spans="1:16" s="1329" customFormat="1" ht="24" customHeight="1">
      <c r="A109" s="1166"/>
      <c r="B109" s="2475" t="str">
        <f>"รวมราคารายการที่ "&amp;A85</f>
        <v>รวมราคารายการที่ 7.4</v>
      </c>
      <c r="C109" s="2476"/>
      <c r="D109" s="2476"/>
      <c r="E109" s="1167"/>
      <c r="F109" s="1381"/>
      <c r="G109" s="1168"/>
      <c r="H109" s="1169">
        <f>SUM(H85:H106)</f>
        <v>121854</v>
      </c>
      <c r="I109" s="1170"/>
      <c r="J109" s="1382">
        <f>SUM(J85:J106)</f>
        <v>14729</v>
      </c>
      <c r="K109" s="1171">
        <f>SUM(K85:K106)</f>
        <v>136583</v>
      </c>
      <c r="L109" s="1171"/>
      <c r="M109" s="1328"/>
      <c r="N109" s="1404"/>
      <c r="O109" s="1404"/>
      <c r="P109" s="1404"/>
    </row>
    <row r="110" spans="1:16" s="1329" customFormat="1" ht="24" customHeight="1">
      <c r="A110" s="1325" t="s">
        <v>2030</v>
      </c>
      <c r="B110" s="1326" t="s">
        <v>2078</v>
      </c>
      <c r="C110" s="1347"/>
      <c r="D110" s="901"/>
      <c r="E110" s="1030"/>
      <c r="F110" s="1348"/>
      <c r="G110" s="1406"/>
      <c r="H110" s="905"/>
      <c r="I110" s="1406"/>
      <c r="J110" s="1407"/>
      <c r="K110" s="1030"/>
      <c r="L110" s="1030"/>
      <c r="M110" s="1328"/>
      <c r="N110" s="1404"/>
      <c r="O110" s="1404"/>
      <c r="P110" s="1404"/>
    </row>
    <row r="111" spans="1:16" s="1329" customFormat="1" ht="24" customHeight="1">
      <c r="A111" s="1330" t="s">
        <v>1949</v>
      </c>
      <c r="B111" s="1331" t="s">
        <v>2080</v>
      </c>
      <c r="C111" s="1349"/>
      <c r="D111" s="801"/>
      <c r="E111" s="966"/>
      <c r="F111" s="1249"/>
      <c r="G111" s="1394"/>
      <c r="H111" s="864"/>
      <c r="I111" s="1394"/>
      <c r="J111" s="1395"/>
      <c r="K111" s="966"/>
      <c r="L111" s="966"/>
      <c r="M111" s="1328"/>
      <c r="N111" s="1404"/>
      <c r="O111" s="1404"/>
      <c r="P111" s="1404"/>
    </row>
    <row r="112" spans="1:16" s="1329" customFormat="1" ht="24" customHeight="1">
      <c r="A112" s="1330"/>
      <c r="B112" s="1331" t="s">
        <v>2665</v>
      </c>
      <c r="C112" s="1349"/>
      <c r="D112" s="801"/>
      <c r="E112" s="966"/>
      <c r="F112" s="1249" t="s">
        <v>240</v>
      </c>
      <c r="G112" s="1421" t="s">
        <v>1985</v>
      </c>
      <c r="H112" s="864"/>
      <c r="I112" s="1394"/>
      <c r="J112" s="1395">
        <f t="shared" ref="J112:J115" si="37">ROUND(E112*I112,)</f>
        <v>0</v>
      </c>
      <c r="K112" s="966">
        <f t="shared" ref="K112:K115" si="38">H112+J112</f>
        <v>0</v>
      </c>
      <c r="L112" s="966"/>
      <c r="M112" s="1328"/>
      <c r="N112" s="1404"/>
      <c r="O112" s="1404"/>
      <c r="P112" s="1404"/>
    </row>
    <row r="113" spans="1:16" s="1329" customFormat="1" ht="24" customHeight="1">
      <c r="A113" s="1330"/>
      <c r="B113" s="1331" t="s">
        <v>2666</v>
      </c>
      <c r="C113" s="1349"/>
      <c r="D113" s="801"/>
      <c r="E113" s="966"/>
      <c r="F113" s="1249" t="s">
        <v>240</v>
      </c>
      <c r="G113" s="1421" t="s">
        <v>1985</v>
      </c>
      <c r="H113" s="864"/>
      <c r="I113" s="1394"/>
      <c r="J113" s="1395">
        <f t="shared" si="37"/>
        <v>0</v>
      </c>
      <c r="K113" s="966">
        <f t="shared" si="38"/>
        <v>0</v>
      </c>
      <c r="L113" s="966"/>
      <c r="M113" s="1328"/>
      <c r="N113" s="1404"/>
      <c r="O113" s="1404"/>
      <c r="P113" s="1404"/>
    </row>
    <row r="114" spans="1:16" s="1329" customFormat="1" ht="24" customHeight="1">
      <c r="A114" s="1330"/>
      <c r="B114" s="1331" t="s">
        <v>2081</v>
      </c>
      <c r="C114" s="1349"/>
      <c r="D114" s="801"/>
      <c r="E114" s="966"/>
      <c r="F114" s="1249" t="s">
        <v>240</v>
      </c>
      <c r="G114" s="1421" t="s">
        <v>1985</v>
      </c>
      <c r="H114" s="864"/>
      <c r="I114" s="1394"/>
      <c r="J114" s="1395">
        <f t="shared" si="37"/>
        <v>0</v>
      </c>
      <c r="K114" s="966">
        <f t="shared" si="38"/>
        <v>0</v>
      </c>
      <c r="L114" s="966"/>
      <c r="M114" s="1328"/>
      <c r="N114" s="1404"/>
      <c r="O114" s="1404"/>
      <c r="P114" s="1404"/>
    </row>
    <row r="115" spans="1:16" s="1329" customFormat="1" ht="24" customHeight="1">
      <c r="A115" s="1330"/>
      <c r="B115" s="1331" t="s">
        <v>2667</v>
      </c>
      <c r="C115" s="1349"/>
      <c r="D115" s="801"/>
      <c r="E115" s="966"/>
      <c r="F115" s="1249" t="s">
        <v>240</v>
      </c>
      <c r="G115" s="1421" t="s">
        <v>1985</v>
      </c>
      <c r="H115" s="864"/>
      <c r="I115" s="1394"/>
      <c r="J115" s="1395">
        <f t="shared" si="37"/>
        <v>0</v>
      </c>
      <c r="K115" s="966">
        <f t="shared" si="38"/>
        <v>0</v>
      </c>
      <c r="L115" s="966"/>
      <c r="M115" s="1328"/>
      <c r="N115" s="1404"/>
      <c r="O115" s="1404"/>
      <c r="P115" s="1404"/>
    </row>
    <row r="116" spans="1:16" s="1329" customFormat="1" ht="24" customHeight="1">
      <c r="A116" s="1330"/>
      <c r="B116" s="1331" t="s">
        <v>957</v>
      </c>
      <c r="C116" s="1349"/>
      <c r="D116" s="801"/>
      <c r="E116" s="966"/>
      <c r="F116" s="1249"/>
      <c r="G116" s="1394"/>
      <c r="H116" s="864"/>
      <c r="I116" s="1394"/>
      <c r="J116" s="1395"/>
      <c r="K116" s="966"/>
      <c r="L116" s="966"/>
      <c r="M116" s="1328"/>
      <c r="N116" s="1404"/>
      <c r="O116" s="1404"/>
      <c r="P116" s="1404"/>
    </row>
    <row r="117" spans="1:16" s="1329" customFormat="1" ht="24" customHeight="1">
      <c r="A117" s="1334"/>
      <c r="B117" s="1335"/>
      <c r="C117" s="1352"/>
      <c r="D117" s="890"/>
      <c r="E117" s="1337"/>
      <c r="F117" s="1353"/>
      <c r="G117" s="1418"/>
      <c r="H117" s="891"/>
      <c r="I117" s="1418"/>
      <c r="J117" s="1419"/>
      <c r="K117" s="1337"/>
      <c r="L117" s="1337"/>
      <c r="M117" s="1328"/>
      <c r="N117" s="1404"/>
      <c r="O117" s="1404"/>
      <c r="P117" s="1404"/>
    </row>
    <row r="118" spans="1:16" s="1329" customFormat="1" ht="24" customHeight="1">
      <c r="A118" s="1334"/>
      <c r="B118" s="1335"/>
      <c r="C118" s="1352"/>
      <c r="D118" s="890"/>
      <c r="E118" s="1337"/>
      <c r="F118" s="1353"/>
      <c r="G118" s="1418"/>
      <c r="H118" s="891"/>
      <c r="I118" s="1418"/>
      <c r="J118" s="1419"/>
      <c r="K118" s="1337"/>
      <c r="L118" s="1337"/>
      <c r="M118" s="1328"/>
      <c r="N118" s="1404"/>
      <c r="O118" s="1404"/>
      <c r="P118" s="1404"/>
    </row>
    <row r="119" spans="1:16" s="1329" customFormat="1" ht="24" customHeight="1">
      <c r="A119" s="1334"/>
      <c r="B119" s="1335"/>
      <c r="C119" s="1352"/>
      <c r="D119" s="890"/>
      <c r="E119" s="1337"/>
      <c r="F119" s="1353"/>
      <c r="G119" s="1418"/>
      <c r="H119" s="891"/>
      <c r="I119" s="1418"/>
      <c r="J119" s="1419"/>
      <c r="K119" s="1337"/>
      <c r="L119" s="1337"/>
      <c r="M119" s="1328"/>
      <c r="N119" s="1404"/>
      <c r="O119" s="1404"/>
      <c r="P119" s="1404"/>
    </row>
    <row r="120" spans="1:16" s="1329" customFormat="1" ht="24" customHeight="1">
      <c r="A120" s="1334"/>
      <c r="B120" s="1335"/>
      <c r="C120" s="1352"/>
      <c r="D120" s="890"/>
      <c r="E120" s="1337"/>
      <c r="F120" s="1353"/>
      <c r="G120" s="1418"/>
      <c r="H120" s="891"/>
      <c r="I120" s="1418"/>
      <c r="J120" s="1419"/>
      <c r="K120" s="1337"/>
      <c r="L120" s="1337"/>
      <c r="M120" s="1328"/>
      <c r="N120" s="1404"/>
      <c r="O120" s="1404"/>
      <c r="P120" s="1404"/>
    </row>
    <row r="121" spans="1:16" s="1329" customFormat="1" ht="24" customHeight="1">
      <c r="A121" s="1334"/>
      <c r="B121" s="1335"/>
      <c r="C121" s="1352"/>
      <c r="D121" s="890"/>
      <c r="E121" s="1337"/>
      <c r="F121" s="1353"/>
      <c r="G121" s="1418"/>
      <c r="H121" s="891"/>
      <c r="I121" s="1418"/>
      <c r="J121" s="1419"/>
      <c r="K121" s="1337"/>
      <c r="L121" s="1337"/>
      <c r="M121" s="1328"/>
      <c r="N121" s="1404"/>
      <c r="O121" s="1404"/>
      <c r="P121" s="1404"/>
    </row>
    <row r="122" spans="1:16" s="1329" customFormat="1" ht="24" customHeight="1">
      <c r="A122" s="1334"/>
      <c r="B122" s="1335"/>
      <c r="C122" s="1352"/>
      <c r="D122" s="890"/>
      <c r="E122" s="1337"/>
      <c r="F122" s="1353"/>
      <c r="G122" s="1418"/>
      <c r="H122" s="891"/>
      <c r="I122" s="1418"/>
      <c r="J122" s="1419"/>
      <c r="K122" s="1337"/>
      <c r="L122" s="1337"/>
      <c r="M122" s="1328"/>
      <c r="N122" s="1404"/>
      <c r="O122" s="1404"/>
      <c r="P122" s="1404"/>
    </row>
    <row r="123" spans="1:16" s="1329" customFormat="1" ht="24" customHeight="1">
      <c r="A123" s="1334"/>
      <c r="B123" s="1335"/>
      <c r="C123" s="1352"/>
      <c r="D123" s="890"/>
      <c r="E123" s="1337"/>
      <c r="F123" s="1353"/>
      <c r="G123" s="1418"/>
      <c r="H123" s="891"/>
      <c r="I123" s="1418"/>
      <c r="J123" s="1419"/>
      <c r="K123" s="1337"/>
      <c r="L123" s="1337"/>
      <c r="M123" s="1328"/>
      <c r="N123" s="1404"/>
      <c r="O123" s="1404"/>
      <c r="P123" s="1404"/>
    </row>
    <row r="124" spans="1:16" s="1329" customFormat="1" ht="24" customHeight="1">
      <c r="A124" s="1334"/>
      <c r="B124" s="1335"/>
      <c r="C124" s="1352"/>
      <c r="D124" s="890"/>
      <c r="E124" s="1337"/>
      <c r="F124" s="1353"/>
      <c r="G124" s="1418"/>
      <c r="H124" s="891"/>
      <c r="I124" s="1418"/>
      <c r="J124" s="1419"/>
      <c r="K124" s="1337"/>
      <c r="L124" s="1337"/>
      <c r="M124" s="1328"/>
      <c r="N124" s="1404"/>
      <c r="O124" s="1404"/>
      <c r="P124" s="1404"/>
    </row>
    <row r="125" spans="1:16" s="1329" customFormat="1" ht="24" customHeight="1">
      <c r="A125" s="1334"/>
      <c r="B125" s="1335"/>
      <c r="C125" s="1352"/>
      <c r="D125" s="890"/>
      <c r="E125" s="1337"/>
      <c r="F125" s="1353"/>
      <c r="G125" s="1418"/>
      <c r="H125" s="891"/>
      <c r="I125" s="1418"/>
      <c r="J125" s="1419"/>
      <c r="K125" s="1337"/>
      <c r="L125" s="1337"/>
      <c r="M125" s="1328"/>
      <c r="N125" s="1404"/>
      <c r="O125" s="1404"/>
      <c r="P125" s="1404"/>
    </row>
    <row r="126" spans="1:16" s="1329" customFormat="1" ht="24" customHeight="1">
      <c r="A126" s="1334"/>
      <c r="B126" s="1335"/>
      <c r="C126" s="1352"/>
      <c r="D126" s="890"/>
      <c r="E126" s="1337"/>
      <c r="F126" s="1353"/>
      <c r="G126" s="1418"/>
      <c r="H126" s="891"/>
      <c r="I126" s="1418"/>
      <c r="J126" s="1419"/>
      <c r="K126" s="1337"/>
      <c r="L126" s="1337"/>
      <c r="M126" s="1328"/>
      <c r="N126" s="1404"/>
      <c r="O126" s="1404"/>
      <c r="P126" s="1404"/>
    </row>
    <row r="127" spans="1:16" s="1329" customFormat="1" ht="24" customHeight="1">
      <c r="A127" s="1334"/>
      <c r="B127" s="1335"/>
      <c r="C127" s="1352"/>
      <c r="D127" s="890"/>
      <c r="E127" s="1337"/>
      <c r="F127" s="1353"/>
      <c r="G127" s="1418"/>
      <c r="H127" s="891"/>
      <c r="I127" s="1418"/>
      <c r="J127" s="1419"/>
      <c r="K127" s="1337"/>
      <c r="L127" s="1337"/>
      <c r="M127" s="1328"/>
      <c r="N127" s="1404"/>
      <c r="O127" s="1404"/>
      <c r="P127" s="1404"/>
    </row>
    <row r="128" spans="1:16" s="1329" customFormat="1" ht="24" customHeight="1">
      <c r="A128" s="1334"/>
      <c r="B128" s="1335"/>
      <c r="C128" s="1352"/>
      <c r="D128" s="890"/>
      <c r="E128" s="1337"/>
      <c r="F128" s="1353"/>
      <c r="G128" s="1418"/>
      <c r="H128" s="891"/>
      <c r="I128" s="1418"/>
      <c r="J128" s="1419"/>
      <c r="K128" s="1337"/>
      <c r="L128" s="1337"/>
      <c r="M128" s="1328"/>
      <c r="N128" s="1404"/>
      <c r="O128" s="1404"/>
      <c r="P128" s="1404"/>
    </row>
    <row r="129" spans="1:16" s="1329" customFormat="1" ht="24" customHeight="1">
      <c r="A129" s="1334"/>
      <c r="B129" s="1335"/>
      <c r="C129" s="1352"/>
      <c r="D129" s="890"/>
      <c r="E129" s="1337"/>
      <c r="F129" s="1353"/>
      <c r="G129" s="1418"/>
      <c r="H129" s="891"/>
      <c r="I129" s="1418"/>
      <c r="J129" s="1419"/>
      <c r="K129" s="1337"/>
      <c r="L129" s="1337"/>
      <c r="M129" s="1328"/>
      <c r="N129" s="1404"/>
      <c r="O129" s="1404"/>
      <c r="P129" s="1404"/>
    </row>
    <row r="130" spans="1:16" s="1329" customFormat="1" ht="24" customHeight="1">
      <c r="A130" s="1334"/>
      <c r="B130" s="1335"/>
      <c r="C130" s="1352"/>
      <c r="D130" s="890"/>
      <c r="E130" s="1337"/>
      <c r="F130" s="1353"/>
      <c r="G130" s="1418"/>
      <c r="H130" s="891"/>
      <c r="I130" s="1418"/>
      <c r="J130" s="1419"/>
      <c r="K130" s="1337"/>
      <c r="L130" s="1337"/>
      <c r="M130" s="1328"/>
      <c r="N130" s="1404"/>
      <c r="O130" s="1404"/>
      <c r="P130" s="1404"/>
    </row>
    <row r="131" spans="1:16" s="1329" customFormat="1" ht="24" customHeight="1">
      <c r="A131" s="1334"/>
      <c r="B131" s="1335"/>
      <c r="C131" s="1352"/>
      <c r="D131" s="890"/>
      <c r="E131" s="1337"/>
      <c r="F131" s="1353"/>
      <c r="G131" s="1418"/>
      <c r="H131" s="891"/>
      <c r="I131" s="1418"/>
      <c r="J131" s="1419"/>
      <c r="K131" s="1337"/>
      <c r="L131" s="1337"/>
      <c r="M131" s="1328"/>
      <c r="N131" s="1404"/>
      <c r="O131" s="1404"/>
      <c r="P131" s="1404"/>
    </row>
    <row r="132" spans="1:16" s="1329" customFormat="1" ht="24" customHeight="1">
      <c r="A132" s="1334"/>
      <c r="B132" s="1335"/>
      <c r="C132" s="1352"/>
      <c r="D132" s="890"/>
      <c r="E132" s="1337"/>
      <c r="F132" s="1353"/>
      <c r="G132" s="1418"/>
      <c r="H132" s="891"/>
      <c r="I132" s="1418"/>
      <c r="J132" s="1419"/>
      <c r="K132" s="1337"/>
      <c r="L132" s="1337"/>
      <c r="M132" s="1328"/>
      <c r="N132" s="1404"/>
      <c r="O132" s="1404"/>
      <c r="P132" s="1404"/>
    </row>
    <row r="133" spans="1:16" s="1329" customFormat="1" ht="24" customHeight="1">
      <c r="A133" s="1334"/>
      <c r="B133" s="1335"/>
      <c r="C133" s="1352"/>
      <c r="D133" s="890"/>
      <c r="E133" s="1337"/>
      <c r="F133" s="1353"/>
      <c r="G133" s="1418"/>
      <c r="H133" s="891"/>
      <c r="I133" s="1418"/>
      <c r="J133" s="1419"/>
      <c r="K133" s="1337"/>
      <c r="L133" s="1337"/>
      <c r="M133" s="1328"/>
      <c r="N133" s="1404"/>
      <c r="O133" s="1404"/>
      <c r="P133" s="1404"/>
    </row>
    <row r="134" spans="1:16" s="1329" customFormat="1" ht="24" customHeight="1">
      <c r="A134" s="1166"/>
      <c r="B134" s="2475" t="str">
        <f>"รวมราคารายการที่ "&amp;A110</f>
        <v>รวมราคารายการที่ 7.5</v>
      </c>
      <c r="C134" s="2476"/>
      <c r="D134" s="2476"/>
      <c r="E134" s="1167"/>
      <c r="F134" s="1381"/>
      <c r="G134" s="1168"/>
      <c r="H134" s="1169">
        <f>SUM(H110:H133)</f>
        <v>0</v>
      </c>
      <c r="I134" s="1170"/>
      <c r="J134" s="1382">
        <f>SUM(J110:J133)</f>
        <v>0</v>
      </c>
      <c r="K134" s="1171">
        <f>SUM(K110:K133)</f>
        <v>0</v>
      </c>
      <c r="L134" s="1171"/>
      <c r="M134" s="1328"/>
      <c r="N134" s="1404"/>
      <c r="O134" s="1404"/>
      <c r="P134" s="1404"/>
    </row>
    <row r="135" spans="1:16" s="886" customFormat="1" ht="22.15" customHeight="1">
      <c r="A135" s="1553"/>
      <c r="E135" s="1483"/>
      <c r="F135" s="1484"/>
      <c r="G135" s="1485"/>
      <c r="H135" s="1486"/>
      <c r="I135" s="1485"/>
      <c r="J135" s="1487"/>
      <c r="K135" s="1483"/>
      <c r="L135" s="1483"/>
      <c r="M135" s="1342"/>
      <c r="N135" s="1482"/>
      <c r="O135" s="1482"/>
      <c r="P135" s="1482"/>
    </row>
    <row r="136" spans="1:16" s="886" customFormat="1" ht="22.15" customHeight="1">
      <c r="A136" s="1553"/>
      <c r="E136" s="1483"/>
      <c r="F136" s="1484"/>
      <c r="G136" s="1485"/>
      <c r="H136" s="1486"/>
      <c r="I136" s="1485"/>
      <c r="J136" s="1487"/>
      <c r="K136" s="1483"/>
      <c r="L136" s="1483"/>
      <c r="M136" s="1342"/>
      <c r="N136" s="1482"/>
      <c r="O136" s="1482"/>
      <c r="P136" s="1482"/>
    </row>
    <row r="137" spans="1:16" s="886" customFormat="1" ht="21.3">
      <c r="A137" s="1553"/>
      <c r="E137" s="1483"/>
      <c r="F137" s="1484"/>
      <c r="G137" s="1485"/>
      <c r="H137" s="1486"/>
      <c r="I137" s="1485"/>
      <c r="J137" s="1487"/>
      <c r="K137" s="1483"/>
      <c r="L137" s="1483"/>
      <c r="M137" s="1342"/>
      <c r="N137" s="1482"/>
      <c r="O137" s="1482"/>
      <c r="P137" s="1482"/>
    </row>
    <row r="138" spans="1:16" s="886" customFormat="1" ht="21.3">
      <c r="A138" s="1553"/>
      <c r="E138" s="1483"/>
      <c r="F138" s="1484"/>
      <c r="G138" s="1485"/>
      <c r="H138" s="1486"/>
      <c r="I138" s="1485"/>
      <c r="J138" s="1487"/>
      <c r="K138" s="1483"/>
      <c r="L138" s="1483"/>
      <c r="M138" s="1342"/>
      <c r="N138" s="1482"/>
      <c r="O138" s="1482"/>
      <c r="P138" s="1482"/>
    </row>
    <row r="139" spans="1:16" s="886" customFormat="1" ht="21.3">
      <c r="A139" s="1553"/>
      <c r="E139" s="1483"/>
      <c r="F139" s="1484"/>
      <c r="G139" s="1485"/>
      <c r="H139" s="1486"/>
      <c r="I139" s="1485"/>
      <c r="J139" s="1487"/>
      <c r="K139" s="1483"/>
      <c r="L139" s="1483"/>
      <c r="M139" s="1342"/>
      <c r="N139" s="1482"/>
      <c r="O139" s="1482"/>
      <c r="P139" s="1482"/>
    </row>
    <row r="140" spans="1:16" s="886" customFormat="1" ht="21.3">
      <c r="A140" s="1553"/>
      <c r="E140" s="1483"/>
      <c r="F140" s="1484"/>
      <c r="G140" s="1485"/>
      <c r="H140" s="1486"/>
      <c r="I140" s="1485"/>
      <c r="J140" s="1487"/>
      <c r="K140" s="1483"/>
      <c r="L140" s="1483"/>
      <c r="M140" s="1342"/>
      <c r="N140" s="1482"/>
      <c r="O140" s="1482"/>
      <c r="P140" s="1482"/>
    </row>
    <row r="141" spans="1:16" s="886" customFormat="1" ht="21.3">
      <c r="A141" s="1553"/>
      <c r="E141" s="1483"/>
      <c r="F141" s="1484"/>
      <c r="G141" s="1485"/>
      <c r="H141" s="1486"/>
      <c r="I141" s="1485"/>
      <c r="J141" s="1487"/>
      <c r="K141" s="1483"/>
      <c r="L141" s="1483"/>
      <c r="M141" s="1342"/>
      <c r="N141" s="1482"/>
      <c r="O141" s="1482"/>
      <c r="P141" s="1482"/>
    </row>
    <row r="142" spans="1:16" s="886" customFormat="1" ht="21.3">
      <c r="A142" s="1553"/>
      <c r="E142" s="1483"/>
      <c r="F142" s="1484"/>
      <c r="G142" s="1485"/>
      <c r="H142" s="1486"/>
      <c r="I142" s="1485"/>
      <c r="J142" s="1487"/>
      <c r="K142" s="1483"/>
      <c r="L142" s="1483"/>
      <c r="M142" s="1342"/>
      <c r="N142" s="1482"/>
      <c r="O142" s="1482"/>
      <c r="P142" s="1482"/>
    </row>
    <row r="143" spans="1:16" s="886" customFormat="1" ht="21.3">
      <c r="A143" s="1553"/>
      <c r="E143" s="1483"/>
      <c r="F143" s="1484"/>
      <c r="G143" s="1485"/>
      <c r="H143" s="1486"/>
      <c r="I143" s="1485"/>
      <c r="J143" s="1487"/>
      <c r="K143" s="1483"/>
      <c r="L143" s="1483"/>
      <c r="M143" s="1342"/>
      <c r="N143" s="1482"/>
      <c r="O143" s="1482"/>
      <c r="P143" s="1482"/>
    </row>
    <row r="144" spans="1:16" s="886" customFormat="1" ht="21.3">
      <c r="A144" s="1553"/>
      <c r="E144" s="1483"/>
      <c r="F144" s="1484"/>
      <c r="G144" s="1485"/>
      <c r="H144" s="1486"/>
      <c r="I144" s="1485"/>
      <c r="J144" s="1487"/>
      <c r="K144" s="1483"/>
      <c r="L144" s="1483"/>
      <c r="M144" s="1342"/>
      <c r="N144" s="1482"/>
      <c r="O144" s="1482"/>
      <c r="P144" s="1482"/>
    </row>
    <row r="145" spans="1:16" s="886" customFormat="1" ht="21.3">
      <c r="A145" s="1553"/>
      <c r="E145" s="1483"/>
      <c r="F145" s="1484"/>
      <c r="G145" s="1485"/>
      <c r="H145" s="1486"/>
      <c r="I145" s="1485"/>
      <c r="J145" s="1487"/>
      <c r="K145" s="1483"/>
      <c r="L145" s="1483"/>
      <c r="M145" s="1342"/>
      <c r="N145" s="1482"/>
      <c r="O145" s="1482"/>
      <c r="P145" s="1482"/>
    </row>
    <row r="146" spans="1:16" s="886" customFormat="1" ht="21.3">
      <c r="A146" s="1553"/>
      <c r="E146" s="1483"/>
      <c r="F146" s="1484"/>
      <c r="G146" s="1485"/>
      <c r="H146" s="1486"/>
      <c r="I146" s="1485"/>
      <c r="J146" s="1487"/>
      <c r="K146" s="1483"/>
      <c r="L146" s="1483"/>
      <c r="M146" s="1342"/>
      <c r="N146" s="1482"/>
      <c r="O146" s="1482"/>
      <c r="P146" s="1482"/>
    </row>
    <row r="147" spans="1:16" s="886" customFormat="1" ht="21.3">
      <c r="A147" s="1553"/>
      <c r="E147" s="1483"/>
      <c r="F147" s="1484"/>
      <c r="G147" s="1485"/>
      <c r="H147" s="1486"/>
      <c r="I147" s="1485"/>
      <c r="J147" s="1487"/>
      <c r="K147" s="1483"/>
      <c r="L147" s="1483"/>
      <c r="M147" s="1342"/>
      <c r="N147" s="1482"/>
      <c r="O147" s="1482"/>
      <c r="P147" s="1482"/>
    </row>
    <row r="148" spans="1:16" s="886" customFormat="1" ht="21.3">
      <c r="A148" s="1553"/>
      <c r="E148" s="1483"/>
      <c r="F148" s="1484"/>
      <c r="G148" s="1485"/>
      <c r="H148" s="1486"/>
      <c r="I148" s="1485"/>
      <c r="J148" s="1487"/>
      <c r="K148" s="1483"/>
      <c r="L148" s="1483"/>
      <c r="M148" s="1342"/>
      <c r="N148" s="1482"/>
      <c r="O148" s="1482"/>
      <c r="P148" s="1482"/>
    </row>
    <row r="149" spans="1:16" s="886" customFormat="1" ht="21.3">
      <c r="A149" s="1553"/>
      <c r="E149" s="1483"/>
      <c r="F149" s="1484"/>
      <c r="G149" s="1485"/>
      <c r="H149" s="1486"/>
      <c r="I149" s="1485"/>
      <c r="J149" s="1487"/>
      <c r="K149" s="1483"/>
      <c r="L149" s="1483"/>
      <c r="M149" s="1342"/>
      <c r="N149" s="1482"/>
      <c r="O149" s="1482"/>
      <c r="P149" s="1482"/>
    </row>
    <row r="150" spans="1:16" s="886" customFormat="1" ht="21.3">
      <c r="A150" s="1553"/>
      <c r="E150" s="1483"/>
      <c r="F150" s="1484"/>
      <c r="G150" s="1485"/>
      <c r="H150" s="1486"/>
      <c r="I150" s="1485"/>
      <c r="J150" s="1487"/>
      <c r="K150" s="1483"/>
      <c r="L150" s="1483"/>
      <c r="M150" s="1342"/>
      <c r="N150" s="1482"/>
      <c r="O150" s="1482"/>
      <c r="P150" s="1482"/>
    </row>
    <row r="151" spans="1:16">
      <c r="A151" s="1553"/>
      <c r="B151" s="886"/>
      <c r="C151" s="886"/>
      <c r="D151" s="886"/>
      <c r="E151" s="1483"/>
      <c r="F151" s="1484"/>
      <c r="G151" s="1485"/>
      <c r="H151" s="1486"/>
      <c r="I151" s="1485"/>
      <c r="J151" s="1487"/>
      <c r="K151" s="1483"/>
      <c r="L151" s="1483"/>
    </row>
    <row r="152" spans="1:16">
      <c r="A152" s="1553"/>
      <c r="B152" s="886"/>
      <c r="C152" s="886"/>
      <c r="D152" s="886"/>
      <c r="E152" s="1483"/>
      <c r="F152" s="1484"/>
      <c r="G152" s="1485"/>
      <c r="H152" s="1486"/>
      <c r="I152" s="1485"/>
      <c r="J152" s="1487"/>
      <c r="K152" s="1483"/>
      <c r="L152" s="1483"/>
    </row>
    <row r="153" spans="1:16">
      <c r="A153" s="1553"/>
      <c r="B153" s="886"/>
      <c r="C153" s="886"/>
      <c r="D153" s="886"/>
      <c r="E153" s="1483"/>
      <c r="F153" s="1484"/>
      <c r="G153" s="1485"/>
      <c r="H153" s="1486"/>
      <c r="I153" s="1485"/>
      <c r="J153" s="1487"/>
      <c r="K153" s="1483"/>
      <c r="L153" s="1483"/>
    </row>
    <row r="154" spans="1:16">
      <c r="A154" s="1554"/>
      <c r="E154" s="1555"/>
      <c r="F154" s="1556"/>
      <c r="G154" s="1557"/>
      <c r="H154" s="1558"/>
      <c r="I154" s="1557"/>
      <c r="J154" s="1559"/>
      <c r="K154" s="1555"/>
      <c r="L154" s="1555"/>
    </row>
    <row r="155" spans="1:16">
      <c r="A155" s="1554"/>
      <c r="E155" s="1555"/>
      <c r="F155" s="1556"/>
      <c r="G155" s="1557"/>
      <c r="H155" s="1558"/>
      <c r="I155" s="1557"/>
      <c r="J155" s="1559"/>
      <c r="K155" s="1555"/>
      <c r="L155" s="1555"/>
    </row>
    <row r="156" spans="1:16">
      <c r="A156" s="1554"/>
      <c r="E156" s="1555"/>
      <c r="F156" s="1556"/>
      <c r="G156" s="1557"/>
      <c r="H156" s="1558"/>
      <c r="I156" s="1557"/>
      <c r="J156" s="1559"/>
      <c r="K156" s="1555"/>
      <c r="L156" s="1555"/>
    </row>
    <row r="157" spans="1:16">
      <c r="A157" s="1554"/>
      <c r="E157" s="1555"/>
      <c r="F157" s="1556"/>
      <c r="G157" s="1557"/>
      <c r="H157" s="1558"/>
      <c r="I157" s="1557"/>
      <c r="J157" s="1559"/>
      <c r="K157" s="1555"/>
      <c r="L157" s="1555"/>
    </row>
    <row r="158" spans="1:16">
      <c r="A158" s="1554"/>
      <c r="E158" s="1555"/>
      <c r="F158" s="1556"/>
      <c r="G158" s="1557"/>
      <c r="H158" s="1558"/>
      <c r="I158" s="1557"/>
      <c r="J158" s="1559"/>
      <c r="K158" s="1555"/>
      <c r="L158" s="1555"/>
    </row>
    <row r="159" spans="1:16">
      <c r="A159" s="1554"/>
      <c r="E159" s="1555"/>
      <c r="F159" s="1556"/>
      <c r="G159" s="1557"/>
      <c r="H159" s="1558"/>
      <c r="I159" s="1557"/>
      <c r="J159" s="1559"/>
      <c r="K159" s="1555"/>
      <c r="L159" s="1555"/>
    </row>
    <row r="160" spans="1:16">
      <c r="A160" s="1554"/>
      <c r="B160" s="1488"/>
      <c r="E160" s="1555"/>
      <c r="F160" s="1556"/>
      <c r="G160" s="1557"/>
      <c r="H160" s="1558"/>
      <c r="I160" s="1557"/>
      <c r="J160" s="1559"/>
      <c r="K160" s="1555"/>
      <c r="L160" s="1555"/>
    </row>
    <row r="161" spans="1:12">
      <c r="A161" s="1554"/>
      <c r="B161" s="1488"/>
      <c r="E161" s="1555"/>
      <c r="F161" s="1556"/>
      <c r="G161" s="1557"/>
      <c r="H161" s="1558"/>
      <c r="I161" s="1557"/>
      <c r="J161" s="1559"/>
      <c r="K161" s="1555"/>
      <c r="L161" s="1555"/>
    </row>
    <row r="162" spans="1:12">
      <c r="A162" s="1554"/>
      <c r="E162" s="1555"/>
      <c r="F162" s="1556"/>
      <c r="G162" s="1557"/>
      <c r="H162" s="1558"/>
      <c r="I162" s="1557"/>
      <c r="J162" s="1559"/>
      <c r="K162" s="1555"/>
      <c r="L162" s="1555"/>
    </row>
    <row r="163" spans="1:12">
      <c r="A163" s="1554"/>
      <c r="E163" s="1555"/>
      <c r="F163" s="1556"/>
      <c r="G163" s="1557"/>
      <c r="H163" s="1558"/>
      <c r="I163" s="1557"/>
      <c r="J163" s="1559"/>
      <c r="K163" s="1555"/>
      <c r="L163" s="1555"/>
    </row>
    <row r="164" spans="1:12">
      <c r="A164" s="1554"/>
      <c r="E164" s="1555"/>
      <c r="F164" s="1556"/>
      <c r="G164" s="1557"/>
      <c r="H164" s="1558"/>
      <c r="I164" s="1557"/>
      <c r="J164" s="1559"/>
      <c r="K164" s="1555"/>
      <c r="L164" s="1555"/>
    </row>
    <row r="165" spans="1:12">
      <c r="A165" s="1554"/>
      <c r="E165" s="1555"/>
      <c r="F165" s="1556"/>
      <c r="G165" s="1557"/>
      <c r="H165" s="1558"/>
      <c r="I165" s="1557"/>
      <c r="J165" s="1559"/>
      <c r="K165" s="1555"/>
      <c r="L165" s="1555"/>
    </row>
    <row r="166" spans="1:12">
      <c r="A166" s="1554"/>
      <c r="E166" s="1555"/>
      <c r="F166" s="1556"/>
      <c r="G166" s="1557"/>
      <c r="H166" s="1558"/>
      <c r="I166" s="1557"/>
      <c r="J166" s="1559"/>
      <c r="K166" s="1555"/>
      <c r="L166" s="1555"/>
    </row>
    <row r="167" spans="1:12">
      <c r="A167" s="1554"/>
      <c r="E167" s="1555"/>
      <c r="F167" s="1556"/>
      <c r="G167" s="1557"/>
      <c r="H167" s="1558"/>
      <c r="I167" s="1557"/>
      <c r="J167" s="1559"/>
      <c r="K167" s="1555"/>
      <c r="L167" s="1555"/>
    </row>
    <row r="168" spans="1:12">
      <c r="A168" s="1554"/>
      <c r="E168" s="1555"/>
      <c r="F168" s="1556"/>
      <c r="G168" s="1557"/>
      <c r="H168" s="1558"/>
      <c r="I168" s="1557"/>
      <c r="J168" s="1559"/>
      <c r="K168" s="1555"/>
      <c r="L168" s="1555"/>
    </row>
    <row r="169" spans="1:12">
      <c r="A169" s="1554"/>
      <c r="E169" s="1555"/>
      <c r="F169" s="1556"/>
      <c r="G169" s="1557"/>
      <c r="H169" s="1558"/>
      <c r="I169" s="1557"/>
      <c r="J169" s="1559"/>
      <c r="K169" s="1555"/>
      <c r="L169" s="1555"/>
    </row>
    <row r="170" spans="1:12">
      <c r="A170" s="1554"/>
      <c r="E170" s="1555"/>
      <c r="F170" s="1556"/>
      <c r="G170" s="1557"/>
      <c r="H170" s="1558"/>
      <c r="I170" s="1557"/>
      <c r="J170" s="1559"/>
      <c r="K170" s="1555"/>
      <c r="L170" s="1555"/>
    </row>
    <row r="171" spans="1:12">
      <c r="A171" s="1554"/>
      <c r="E171" s="1555"/>
      <c r="F171" s="1556"/>
      <c r="G171" s="1557"/>
      <c r="H171" s="1558"/>
      <c r="I171" s="1557"/>
      <c r="J171" s="1559"/>
      <c r="K171" s="1555"/>
      <c r="L171" s="1555"/>
    </row>
    <row r="172" spans="1:12">
      <c r="A172" s="1554"/>
      <c r="E172" s="1555"/>
      <c r="F172" s="1556"/>
      <c r="G172" s="1557"/>
      <c r="H172" s="1558"/>
      <c r="I172" s="1557"/>
      <c r="J172" s="1559"/>
      <c r="K172" s="1555"/>
      <c r="L172" s="1555"/>
    </row>
    <row r="173" spans="1:12">
      <c r="A173" s="1554"/>
      <c r="E173" s="1555"/>
      <c r="F173" s="1556"/>
      <c r="G173" s="1557"/>
      <c r="H173" s="1558"/>
      <c r="I173" s="1557"/>
      <c r="J173" s="1559"/>
      <c r="K173" s="1555"/>
      <c r="L173" s="1555"/>
    </row>
    <row r="174" spans="1:12">
      <c r="A174" s="1554"/>
      <c r="E174" s="1555"/>
      <c r="F174" s="1556"/>
      <c r="G174" s="1557"/>
      <c r="H174" s="1558"/>
      <c r="I174" s="1557"/>
      <c r="J174" s="1559"/>
      <c r="K174" s="1555"/>
      <c r="L174" s="1555"/>
    </row>
    <row r="175" spans="1:12">
      <c r="A175" s="1554"/>
      <c r="E175" s="1555"/>
      <c r="F175" s="1556"/>
      <c r="G175" s="1557"/>
      <c r="H175" s="1558"/>
      <c r="I175" s="1557"/>
      <c r="J175" s="1559"/>
      <c r="K175" s="1555"/>
      <c r="L175" s="1555"/>
    </row>
    <row r="176" spans="1:12">
      <c r="A176" s="1554"/>
      <c r="E176" s="1555"/>
      <c r="F176" s="1556"/>
      <c r="G176" s="1557"/>
      <c r="H176" s="1558"/>
      <c r="I176" s="1557"/>
      <c r="J176" s="1559"/>
      <c r="K176" s="1555"/>
      <c r="L176" s="1555"/>
    </row>
    <row r="177" spans="1:12">
      <c r="A177" s="1554"/>
      <c r="E177" s="1555"/>
      <c r="F177" s="1556"/>
      <c r="G177" s="1557"/>
      <c r="H177" s="1558"/>
      <c r="I177" s="1557"/>
      <c r="J177" s="1559"/>
      <c r="K177" s="1555"/>
      <c r="L177" s="1555"/>
    </row>
    <row r="178" spans="1:12">
      <c r="A178" s="1554"/>
      <c r="E178" s="1555"/>
      <c r="F178" s="1556"/>
      <c r="G178" s="1557"/>
      <c r="H178" s="1558"/>
      <c r="I178" s="1557"/>
      <c r="J178" s="1559"/>
      <c r="K178" s="1555"/>
      <c r="L178" s="1555"/>
    </row>
    <row r="179" spans="1:12">
      <c r="A179" s="1554"/>
      <c r="E179" s="1555"/>
      <c r="F179" s="1556"/>
      <c r="G179" s="1557"/>
      <c r="H179" s="1558"/>
      <c r="I179" s="1557"/>
      <c r="J179" s="1559"/>
      <c r="K179" s="1555"/>
      <c r="L179" s="1555"/>
    </row>
    <row r="180" spans="1:12">
      <c r="A180" s="1554"/>
      <c r="E180" s="1555"/>
      <c r="F180" s="1556"/>
      <c r="G180" s="1557"/>
      <c r="H180" s="1558"/>
      <c r="I180" s="1557"/>
      <c r="J180" s="1559"/>
      <c r="K180" s="1555"/>
      <c r="L180" s="1555"/>
    </row>
    <row r="181" spans="1:12">
      <c r="A181" s="1554"/>
      <c r="E181" s="1555"/>
      <c r="F181" s="1556"/>
      <c r="G181" s="1557"/>
      <c r="H181" s="1558"/>
      <c r="I181" s="1557"/>
      <c r="J181" s="1559"/>
      <c r="K181" s="1555"/>
      <c r="L181" s="1555"/>
    </row>
    <row r="182" spans="1:12">
      <c r="A182" s="1554"/>
      <c r="E182" s="1555"/>
      <c r="F182" s="1556"/>
      <c r="G182" s="1557"/>
      <c r="H182" s="1558"/>
      <c r="I182" s="1557"/>
      <c r="J182" s="1559"/>
      <c r="K182" s="1555"/>
      <c r="L182" s="1555"/>
    </row>
    <row r="183" spans="1:12">
      <c r="A183" s="1554"/>
      <c r="E183" s="1555"/>
      <c r="F183" s="1556"/>
      <c r="G183" s="1557"/>
      <c r="H183" s="1558"/>
      <c r="I183" s="1557"/>
      <c r="J183" s="1559"/>
      <c r="K183" s="1555"/>
      <c r="L183" s="1555"/>
    </row>
    <row r="184" spans="1:12">
      <c r="A184" s="1554"/>
      <c r="E184" s="1555"/>
      <c r="F184" s="1556"/>
      <c r="G184" s="1557"/>
      <c r="H184" s="1558"/>
      <c r="I184" s="1557"/>
      <c r="J184" s="1559"/>
      <c r="K184" s="1555"/>
      <c r="L184" s="1555"/>
    </row>
    <row r="185" spans="1:12">
      <c r="A185" s="1554"/>
      <c r="E185" s="1555"/>
      <c r="F185" s="1556"/>
      <c r="G185" s="1557"/>
      <c r="H185" s="1558"/>
      <c r="I185" s="1557"/>
      <c r="J185" s="1559"/>
      <c r="K185" s="1555"/>
      <c r="L185" s="1555"/>
    </row>
    <row r="186" spans="1:12">
      <c r="A186" s="1554"/>
      <c r="E186" s="1555"/>
      <c r="F186" s="1556"/>
      <c r="G186" s="1557"/>
      <c r="H186" s="1558"/>
      <c r="I186" s="1557"/>
      <c r="J186" s="1559"/>
      <c r="K186" s="1555"/>
      <c r="L186" s="1555"/>
    </row>
    <row r="187" spans="1:12">
      <c r="A187" s="1554"/>
      <c r="E187" s="1555"/>
      <c r="F187" s="1556"/>
      <c r="G187" s="1557"/>
      <c r="H187" s="1558"/>
      <c r="I187" s="1557"/>
      <c r="J187" s="1559"/>
      <c r="K187" s="1555"/>
      <c r="L187" s="1555"/>
    </row>
    <row r="188" spans="1:12">
      <c r="A188" s="1554"/>
      <c r="E188" s="1555"/>
      <c r="F188" s="1556"/>
      <c r="G188" s="1557"/>
      <c r="H188" s="1558"/>
      <c r="I188" s="1557"/>
      <c r="J188" s="1559"/>
      <c r="K188" s="1555"/>
      <c r="L188" s="1555"/>
    </row>
    <row r="189" spans="1:12">
      <c r="A189" s="1554"/>
      <c r="E189" s="1555"/>
      <c r="F189" s="1556"/>
      <c r="G189" s="1557"/>
      <c r="H189" s="1558"/>
      <c r="I189" s="1557"/>
      <c r="J189" s="1559"/>
      <c r="K189" s="1555"/>
      <c r="L189" s="1555"/>
    </row>
    <row r="190" spans="1:12">
      <c r="A190" s="1554"/>
      <c r="E190" s="1555"/>
      <c r="F190" s="1556"/>
      <c r="G190" s="1557"/>
      <c r="H190" s="1558"/>
      <c r="I190" s="1557"/>
      <c r="J190" s="1559"/>
      <c r="K190" s="1555"/>
      <c r="L190" s="1555"/>
    </row>
    <row r="191" spans="1:12">
      <c r="A191" s="1554"/>
      <c r="E191" s="1555"/>
      <c r="F191" s="1556"/>
      <c r="G191" s="1557"/>
      <c r="H191" s="1558"/>
      <c r="I191" s="1557"/>
      <c r="J191" s="1559"/>
      <c r="K191" s="1555"/>
      <c r="L191" s="1555"/>
    </row>
    <row r="192" spans="1:12">
      <c r="A192" s="1554"/>
      <c r="E192" s="1555"/>
      <c r="F192" s="1556"/>
      <c r="G192" s="1557"/>
      <c r="H192" s="1558"/>
      <c r="I192" s="1557"/>
      <c r="J192" s="1559"/>
      <c r="K192" s="1555"/>
      <c r="L192" s="1555"/>
    </row>
    <row r="193" spans="1:12">
      <c r="A193" s="1554"/>
      <c r="E193" s="1555"/>
      <c r="F193" s="1556"/>
      <c r="G193" s="1557"/>
      <c r="H193" s="1558"/>
      <c r="I193" s="1557"/>
      <c r="J193" s="1559"/>
      <c r="K193" s="1555"/>
      <c r="L193" s="1555"/>
    </row>
    <row r="194" spans="1:12">
      <c r="A194" s="1554"/>
      <c r="E194" s="1555"/>
      <c r="F194" s="1556"/>
      <c r="G194" s="1557"/>
      <c r="H194" s="1558"/>
      <c r="I194" s="1557"/>
      <c r="J194" s="1559"/>
      <c r="K194" s="1555"/>
      <c r="L194" s="1555"/>
    </row>
    <row r="195" spans="1:12">
      <c r="A195" s="1554"/>
      <c r="E195" s="1555"/>
      <c r="F195" s="1556"/>
      <c r="G195" s="1557"/>
      <c r="H195" s="1558"/>
      <c r="I195" s="1557"/>
      <c r="J195" s="1559"/>
      <c r="K195" s="1555"/>
      <c r="L195" s="1555"/>
    </row>
    <row r="196" spans="1:12">
      <c r="A196" s="1554"/>
      <c r="E196" s="1555"/>
      <c r="F196" s="1556"/>
      <c r="G196" s="1557"/>
      <c r="H196" s="1558"/>
      <c r="I196" s="1557"/>
      <c r="J196" s="1559"/>
      <c r="K196" s="1555"/>
      <c r="L196" s="1555"/>
    </row>
    <row r="197" spans="1:12">
      <c r="A197" s="1554"/>
      <c r="E197" s="1555"/>
      <c r="F197" s="1556"/>
      <c r="G197" s="1557"/>
      <c r="H197" s="1558"/>
      <c r="I197" s="1557"/>
      <c r="J197" s="1559"/>
      <c r="K197" s="1555"/>
      <c r="L197" s="1555"/>
    </row>
    <row r="198" spans="1:12">
      <c r="A198" s="1554"/>
      <c r="E198" s="1555"/>
      <c r="F198" s="1556"/>
      <c r="G198" s="1557"/>
      <c r="H198" s="1558"/>
      <c r="I198" s="1557"/>
      <c r="J198" s="1559"/>
      <c r="K198" s="1555"/>
      <c r="L198" s="1555"/>
    </row>
    <row r="199" spans="1:12">
      <c r="A199" s="1554"/>
      <c r="E199" s="1555"/>
      <c r="F199" s="1556"/>
      <c r="G199" s="1557"/>
      <c r="H199" s="1558"/>
      <c r="I199" s="1557"/>
      <c r="J199" s="1559"/>
      <c r="K199" s="1555"/>
      <c r="L199" s="1555"/>
    </row>
    <row r="200" spans="1:12">
      <c r="A200" s="1554"/>
      <c r="E200" s="1555"/>
      <c r="F200" s="1556"/>
      <c r="G200" s="1557"/>
      <c r="H200" s="1558"/>
      <c r="I200" s="1557"/>
      <c r="J200" s="1559"/>
      <c r="K200" s="1555"/>
      <c r="L200" s="1555"/>
    </row>
    <row r="201" spans="1:12">
      <c r="A201" s="1554"/>
      <c r="E201" s="1555"/>
      <c r="F201" s="1556"/>
      <c r="G201" s="1557"/>
      <c r="H201" s="1558"/>
      <c r="I201" s="1557"/>
      <c r="J201" s="1559"/>
      <c r="K201" s="1555"/>
      <c r="L201" s="1555"/>
    </row>
    <row r="202" spans="1:12">
      <c r="A202" s="1554"/>
      <c r="E202" s="1555"/>
      <c r="F202" s="1556"/>
      <c r="G202" s="1557"/>
      <c r="H202" s="1558"/>
      <c r="I202" s="1557"/>
      <c r="J202" s="1559"/>
      <c r="K202" s="1555"/>
      <c r="L202" s="1555"/>
    </row>
    <row r="203" spans="1:12">
      <c r="A203" s="1554"/>
      <c r="E203" s="1555"/>
      <c r="F203" s="1556"/>
      <c r="G203" s="1557"/>
      <c r="H203" s="1558"/>
      <c r="I203" s="1557"/>
      <c r="J203" s="1559"/>
      <c r="K203" s="1555"/>
      <c r="L203" s="1555"/>
    </row>
    <row r="204" spans="1:12">
      <c r="A204" s="1554"/>
      <c r="E204" s="1555"/>
      <c r="F204" s="1556"/>
      <c r="G204" s="1557"/>
      <c r="H204" s="1558"/>
      <c r="I204" s="1557"/>
      <c r="J204" s="1559"/>
      <c r="K204" s="1555"/>
      <c r="L204" s="1555"/>
    </row>
    <row r="205" spans="1:12">
      <c r="A205" s="1554"/>
      <c r="E205" s="1555"/>
      <c r="F205" s="1556"/>
      <c r="G205" s="1557"/>
      <c r="H205" s="1558"/>
      <c r="I205" s="1557"/>
      <c r="J205" s="1559"/>
      <c r="K205" s="1555"/>
      <c r="L205" s="1555"/>
    </row>
    <row r="206" spans="1:12">
      <c r="A206" s="1554"/>
      <c r="E206" s="1555"/>
      <c r="F206" s="1556"/>
      <c r="G206" s="1557"/>
      <c r="H206" s="1558"/>
      <c r="I206" s="1557"/>
      <c r="J206" s="1559"/>
      <c r="K206" s="1555"/>
      <c r="L206" s="1555"/>
    </row>
    <row r="207" spans="1:12">
      <c r="A207" s="1554"/>
      <c r="E207" s="1555"/>
      <c r="F207" s="1556"/>
      <c r="G207" s="1557"/>
      <c r="H207" s="1558"/>
      <c r="I207" s="1557"/>
      <c r="J207" s="1559"/>
      <c r="K207" s="1555"/>
      <c r="L207" s="1555"/>
    </row>
    <row r="208" spans="1:12">
      <c r="A208" s="1554"/>
      <c r="E208" s="1555"/>
      <c r="F208" s="1556"/>
      <c r="G208" s="1557"/>
      <c r="H208" s="1558"/>
      <c r="I208" s="1557"/>
      <c r="J208" s="1559"/>
      <c r="K208" s="1555"/>
      <c r="L208" s="1555"/>
    </row>
    <row r="209" spans="1:12">
      <c r="A209" s="1554"/>
      <c r="E209" s="1555"/>
      <c r="F209" s="1556"/>
      <c r="G209" s="1557"/>
      <c r="H209" s="1558"/>
      <c r="I209" s="1557"/>
      <c r="J209" s="1559"/>
      <c r="K209" s="1555"/>
      <c r="L209" s="1555"/>
    </row>
    <row r="210" spans="1:12">
      <c r="A210" s="1554"/>
      <c r="E210" s="1555"/>
      <c r="F210" s="1556"/>
      <c r="G210" s="1557"/>
      <c r="H210" s="1558"/>
      <c r="I210" s="1557"/>
      <c r="J210" s="1559"/>
      <c r="K210" s="1555"/>
      <c r="L210" s="1555"/>
    </row>
    <row r="211" spans="1:12">
      <c r="A211" s="1554"/>
      <c r="E211" s="1555"/>
      <c r="F211" s="1556"/>
      <c r="G211" s="1557"/>
      <c r="H211" s="1558"/>
      <c r="I211" s="1557"/>
      <c r="J211" s="1559"/>
      <c r="K211" s="1555"/>
      <c r="L211" s="1555"/>
    </row>
    <row r="212" spans="1:12">
      <c r="A212" s="1554"/>
      <c r="E212" s="1555"/>
      <c r="F212" s="1556"/>
      <c r="G212" s="1557"/>
      <c r="H212" s="1558"/>
      <c r="I212" s="1557"/>
      <c r="J212" s="1559"/>
      <c r="K212" s="1555"/>
      <c r="L212" s="1555"/>
    </row>
    <row r="213" spans="1:12">
      <c r="A213" s="1554"/>
      <c r="E213" s="1555"/>
      <c r="F213" s="1556"/>
      <c r="G213" s="1557"/>
      <c r="H213" s="1558"/>
      <c r="I213" s="1557"/>
      <c r="J213" s="1559"/>
      <c r="K213" s="1555"/>
      <c r="L213" s="1555"/>
    </row>
    <row r="214" spans="1:12">
      <c r="A214" s="1554"/>
      <c r="E214" s="1555"/>
      <c r="F214" s="1556"/>
      <c r="G214" s="1557"/>
      <c r="H214" s="1558"/>
      <c r="I214" s="1557"/>
      <c r="J214" s="1559"/>
      <c r="K214" s="1555"/>
      <c r="L214" s="1555"/>
    </row>
    <row r="215" spans="1:12">
      <c r="A215" s="1554"/>
      <c r="E215" s="1555"/>
      <c r="F215" s="1556"/>
      <c r="G215" s="1557"/>
      <c r="H215" s="1558"/>
      <c r="I215" s="1557"/>
      <c r="J215" s="1559"/>
      <c r="K215" s="1555"/>
      <c r="L215" s="1555"/>
    </row>
    <row r="216" spans="1:12">
      <c r="E216" s="1555"/>
      <c r="F216" s="1556"/>
      <c r="G216" s="1557"/>
      <c r="H216" s="1558"/>
      <c r="I216" s="1557"/>
      <c r="J216" s="1559"/>
      <c r="K216" s="1555"/>
      <c r="L216" s="1555"/>
    </row>
    <row r="217" spans="1:12">
      <c r="E217" s="1555"/>
      <c r="F217" s="1556"/>
      <c r="G217" s="1557"/>
      <c r="H217" s="1558"/>
      <c r="I217" s="1557"/>
      <c r="J217" s="1559"/>
      <c r="K217" s="1555"/>
      <c r="L217" s="1555"/>
    </row>
    <row r="218" spans="1:12">
      <c r="E218" s="1555"/>
      <c r="F218" s="1556"/>
      <c r="G218" s="1557"/>
      <c r="H218" s="1558"/>
      <c r="I218" s="1557"/>
      <c r="J218" s="1559"/>
      <c r="K218" s="1555"/>
      <c r="L218" s="1555"/>
    </row>
    <row r="219" spans="1:12">
      <c r="E219" s="1555"/>
      <c r="F219" s="1556"/>
      <c r="G219" s="1557"/>
      <c r="H219" s="1558"/>
      <c r="I219" s="1557"/>
      <c r="J219" s="1559"/>
      <c r="K219" s="1555"/>
      <c r="L219" s="1555"/>
    </row>
    <row r="220" spans="1:12">
      <c r="E220" s="1555"/>
      <c r="F220" s="1556"/>
      <c r="G220" s="1557"/>
      <c r="H220" s="1558"/>
      <c r="I220" s="1557"/>
      <c r="J220" s="1559"/>
      <c r="K220" s="1555"/>
      <c r="L220" s="1555"/>
    </row>
    <row r="221" spans="1:12">
      <c r="E221" s="1555"/>
      <c r="F221" s="1556"/>
      <c r="G221" s="1557"/>
      <c r="H221" s="1558"/>
      <c r="I221" s="1557"/>
      <c r="J221" s="1559"/>
      <c r="K221" s="1555"/>
      <c r="L221" s="1555"/>
    </row>
    <row r="222" spans="1:12">
      <c r="E222" s="1555"/>
      <c r="F222" s="1556"/>
      <c r="G222" s="1557"/>
      <c r="H222" s="1558"/>
      <c r="I222" s="1557"/>
      <c r="J222" s="1559"/>
      <c r="K222" s="1555"/>
      <c r="L222" s="1555"/>
    </row>
    <row r="223" spans="1:12">
      <c r="E223" s="1555"/>
      <c r="F223" s="1556"/>
      <c r="G223" s="1557"/>
      <c r="H223" s="1558"/>
      <c r="I223" s="1557"/>
      <c r="J223" s="1559"/>
      <c r="K223" s="1555"/>
      <c r="L223" s="1555"/>
    </row>
    <row r="224" spans="1:12">
      <c r="E224" s="1555"/>
      <c r="F224" s="1556"/>
      <c r="G224" s="1557"/>
      <c r="H224" s="1558"/>
      <c r="I224" s="1557"/>
      <c r="J224" s="1559"/>
      <c r="K224" s="1555"/>
      <c r="L224" s="1555"/>
    </row>
    <row r="225" spans="5:12">
      <c r="E225" s="1555"/>
      <c r="F225" s="1556"/>
      <c r="G225" s="1557"/>
      <c r="H225" s="1558"/>
      <c r="I225" s="1557"/>
      <c r="J225" s="1559"/>
      <c r="K225" s="1555"/>
      <c r="L225" s="1555"/>
    </row>
    <row r="226" spans="5:12">
      <c r="E226" s="1555"/>
      <c r="F226" s="1556"/>
      <c r="G226" s="1557"/>
      <c r="H226" s="1558"/>
      <c r="I226" s="1557"/>
      <c r="J226" s="1559"/>
      <c r="K226" s="1555"/>
      <c r="L226" s="1555"/>
    </row>
    <row r="227" spans="5:12">
      <c r="E227" s="1555"/>
      <c r="F227" s="1556"/>
      <c r="G227" s="1557"/>
      <c r="H227" s="1558"/>
      <c r="I227" s="1557"/>
      <c r="J227" s="1559"/>
      <c r="K227" s="1555"/>
      <c r="L227" s="1555"/>
    </row>
    <row r="228" spans="5:12">
      <c r="E228" s="1555"/>
      <c r="F228" s="1556"/>
      <c r="G228" s="1557"/>
      <c r="H228" s="1558"/>
      <c r="I228" s="1557"/>
      <c r="J228" s="1559"/>
      <c r="K228" s="1555"/>
      <c r="L228" s="1555"/>
    </row>
    <row r="229" spans="5:12">
      <c r="E229" s="1555"/>
      <c r="F229" s="1556"/>
      <c r="G229" s="1557"/>
      <c r="H229" s="1558"/>
      <c r="I229" s="1557"/>
      <c r="J229" s="1559"/>
      <c r="K229" s="1555"/>
      <c r="L229" s="1555"/>
    </row>
    <row r="230" spans="5:12">
      <c r="G230" s="1557"/>
      <c r="H230" s="1558"/>
      <c r="I230" s="1557"/>
      <c r="J230" s="1559"/>
      <c r="K230" s="1555"/>
      <c r="L230" s="1555"/>
    </row>
    <row r="231" spans="5:12">
      <c r="G231" s="1557"/>
      <c r="H231" s="1558"/>
      <c r="I231" s="1557"/>
      <c r="J231" s="1559"/>
      <c r="K231" s="1555"/>
      <c r="L231" s="1555"/>
    </row>
    <row r="232" spans="5:12">
      <c r="G232" s="1557"/>
      <c r="H232" s="1558"/>
      <c r="I232" s="1557"/>
      <c r="J232" s="1559"/>
      <c r="K232" s="1555"/>
      <c r="L232" s="1555"/>
    </row>
    <row r="233" spans="5:12">
      <c r="G233" s="1557"/>
      <c r="H233" s="1558"/>
      <c r="K233" s="1555"/>
      <c r="L233" s="1555"/>
    </row>
    <row r="234" spans="5:12">
      <c r="G234" s="1557"/>
      <c r="H234" s="1558"/>
      <c r="K234" s="1555"/>
      <c r="L234" s="1555"/>
    </row>
    <row r="235" spans="5:12">
      <c r="G235" s="1557"/>
      <c r="H235" s="1558"/>
      <c r="K235" s="1555"/>
      <c r="L235" s="1555"/>
    </row>
    <row r="236" spans="5:12">
      <c r="G236" s="1557"/>
      <c r="H236" s="1558"/>
      <c r="K236" s="1555"/>
      <c r="L236" s="1555"/>
    </row>
    <row r="237" spans="5:12">
      <c r="G237" s="1557"/>
      <c r="H237" s="1558"/>
      <c r="K237" s="1555"/>
      <c r="L237" s="1555"/>
    </row>
    <row r="238" spans="5:12">
      <c r="G238" s="1557"/>
      <c r="H238" s="1558"/>
      <c r="K238" s="1555"/>
      <c r="L238" s="1555"/>
    </row>
    <row r="239" spans="5:12">
      <c r="G239" s="1557"/>
      <c r="H239" s="1558"/>
      <c r="K239" s="1555"/>
      <c r="L239" s="1555"/>
    </row>
    <row r="240" spans="5:12">
      <c r="G240" s="1557"/>
      <c r="H240" s="1558"/>
      <c r="K240" s="1555"/>
      <c r="L240" s="1555"/>
    </row>
    <row r="241" spans="7:12">
      <c r="G241" s="1557"/>
      <c r="H241" s="1558"/>
      <c r="K241" s="1555"/>
      <c r="L241" s="1555"/>
    </row>
    <row r="242" spans="7:12">
      <c r="G242" s="1557"/>
      <c r="H242" s="1558"/>
      <c r="K242" s="1555"/>
      <c r="L242" s="1555"/>
    </row>
    <row r="243" spans="7:12">
      <c r="G243" s="1557"/>
      <c r="H243" s="1558"/>
      <c r="K243" s="1555"/>
      <c r="L243" s="1555"/>
    </row>
  </sheetData>
  <mergeCells count="14">
    <mergeCell ref="B134:D134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46:D46"/>
    <mergeCell ref="B70:D70"/>
    <mergeCell ref="B84:D84"/>
    <mergeCell ref="B109:D109"/>
  </mergeCells>
  <conditionalFormatting sqref="A42:A43 A37 F37:H37 J37:L37 F88:L88 A97:L97 A98:A104 L104 A48 L48 A41:L41 F87 H87:L87 A73 A44:L45 F77:G78 B77:B78 A76:A78 A79:L79 F73:G75 I73 A82:L83 A80:F81 L80:L81 L73:L78 A47:L47 A71:L72 A85:L86 A110:L133 A135:L1048576 A67:L69 F42:L43 A1:L36 A90:L90 A91:A96">
    <cfRule type="expression" dxfId="30" priority="31">
      <formula>SUMPRODUCT(--(ROW()=$O$12:$O$16))&gt;0</formula>
    </cfRule>
  </conditionalFormatting>
  <conditionalFormatting sqref="A105:L105">
    <cfRule type="expression" dxfId="29" priority="30">
      <formula>SUMPRODUCT(--(ROW()=$O$12:$O$16))&gt;0</formula>
    </cfRule>
  </conditionalFormatting>
  <conditionalFormatting sqref="B42:E43">
    <cfRule type="expression" dxfId="28" priority="28">
      <formula>SUMPRODUCT(--(ROW()=$O$12:$O$16))&gt;0</formula>
    </cfRule>
  </conditionalFormatting>
  <conditionalFormatting sqref="B37:E37">
    <cfRule type="expression" dxfId="27" priority="27">
      <formula>SUMPRODUCT(--(ROW()=$O$12:$O$16))&gt;0</formula>
    </cfRule>
  </conditionalFormatting>
  <conditionalFormatting sqref="A87:D88">
    <cfRule type="expression" dxfId="26" priority="26">
      <formula>SUMPRODUCT(--(ROW()=$O$12:$O$16))&gt;0</formula>
    </cfRule>
  </conditionalFormatting>
  <conditionalFormatting sqref="E87:E88">
    <cfRule type="expression" dxfId="25" priority="25">
      <formula>SUMPRODUCT(--(ROW()=$O$12:$O$16))&gt;0</formula>
    </cfRule>
  </conditionalFormatting>
  <conditionalFormatting sqref="A60:L66">
    <cfRule type="expression" dxfId="24" priority="24">
      <formula>SUMPRODUCT(--(ROW()=$O$12:$O$17))&gt;0</formula>
    </cfRule>
  </conditionalFormatting>
  <conditionalFormatting sqref="I37 A39:A40 F39:G40 L39:L40">
    <cfRule type="expression" dxfId="23" priority="23">
      <formula>SUMPRODUCT(--(ROW()=$O$12:$O$17))&gt;0</formula>
    </cfRule>
  </conditionalFormatting>
  <conditionalFormatting sqref="B38:L38">
    <cfRule type="expression" dxfId="22" priority="22">
      <formula>SUMPRODUCT(--(ROW()=$O$12:$O$17))&gt;0</formula>
    </cfRule>
  </conditionalFormatting>
  <conditionalFormatting sqref="B39:E39">
    <cfRule type="expression" dxfId="21" priority="21">
      <formula>SUMPRODUCT(--(ROW()=$O$12:$O$17))&gt;0</formula>
    </cfRule>
  </conditionalFormatting>
  <conditionalFormatting sqref="B40:E40">
    <cfRule type="expression" dxfId="20" priority="20">
      <formula>SUMPRODUCT(--(ROW()=$O$12:$O$17))&gt;0</formula>
    </cfRule>
  </conditionalFormatting>
  <conditionalFormatting sqref="A38">
    <cfRule type="expression" dxfId="19" priority="19">
      <formula>SUMPRODUCT(--(ROW()=$O$12:$O$16))&gt;0</formula>
    </cfRule>
  </conditionalFormatting>
  <conditionalFormatting sqref="F89:L89">
    <cfRule type="expression" dxfId="18" priority="18">
      <formula>SUMPRODUCT(--(ROW()=$O$12:$O$16))&gt;0</formula>
    </cfRule>
  </conditionalFormatting>
  <conditionalFormatting sqref="A89:D89">
    <cfRule type="expression" dxfId="17" priority="17">
      <formula>SUMPRODUCT(--(ROW()=$O$12:$O$16))&gt;0</formula>
    </cfRule>
  </conditionalFormatting>
  <conditionalFormatting sqref="E89">
    <cfRule type="expression" dxfId="16" priority="16">
      <formula>SUMPRODUCT(--(ROW()=$O$12:$O$16))&gt;0</formula>
    </cfRule>
  </conditionalFormatting>
  <conditionalFormatting sqref="G87">
    <cfRule type="expression" dxfId="15" priority="15">
      <formula>SUMPRODUCT(--(ROW()=$O$12:$O$16))&gt;0</formula>
    </cfRule>
  </conditionalFormatting>
  <conditionalFormatting sqref="B73">
    <cfRule type="expression" dxfId="14" priority="14">
      <formula>SUMPRODUCT(--(ROW()=$O$12:$O$16))&gt;0</formula>
    </cfRule>
  </conditionalFormatting>
  <conditionalFormatting sqref="A74:A75">
    <cfRule type="expression" dxfId="13" priority="13">
      <formula>SUMPRODUCT(--(ROW()=$O$12:$O$16))&gt;0</formula>
    </cfRule>
  </conditionalFormatting>
  <conditionalFormatting sqref="B74:B75">
    <cfRule type="expression" dxfId="12" priority="12">
      <formula>SUMPRODUCT(--(ROW()=$O$12:$O$16))&gt;0</formula>
    </cfRule>
  </conditionalFormatting>
  <conditionalFormatting sqref="F76:G76">
    <cfRule type="expression" dxfId="11" priority="11">
      <formula>SUMPRODUCT(--(ROW()=$O$12:$O$16))&gt;0</formula>
    </cfRule>
  </conditionalFormatting>
  <conditionalFormatting sqref="B76">
    <cfRule type="expression" dxfId="10" priority="10">
      <formula>SUMPRODUCT(--(ROW()=$O$12:$O$16))&gt;0</formula>
    </cfRule>
  </conditionalFormatting>
  <conditionalFormatting sqref="I74:I78">
    <cfRule type="expression" dxfId="9" priority="9">
      <formula>SUMPRODUCT(--(ROW()=$O$12:$O$16))&gt;0</formula>
    </cfRule>
  </conditionalFormatting>
  <conditionalFormatting sqref="A46 E46:L46 E70:L70 E84:L84 E109:L109 E134:L134">
    <cfRule type="expression" dxfId="8" priority="8">
      <formula>SUMPRODUCT(--(ROW()=$O$12:$O$21))&gt;0</formula>
    </cfRule>
  </conditionalFormatting>
  <conditionalFormatting sqref="A70">
    <cfRule type="expression" dxfId="7" priority="7">
      <formula>SUMPRODUCT(--(ROW()=$O$12:$O$21))&gt;0</formula>
    </cfRule>
  </conditionalFormatting>
  <conditionalFormatting sqref="A84">
    <cfRule type="expression" dxfId="6" priority="6">
      <formula>SUMPRODUCT(--(ROW()=$O$12:$O$21))&gt;0</formula>
    </cfRule>
  </conditionalFormatting>
  <conditionalFormatting sqref="A109">
    <cfRule type="expression" dxfId="5" priority="5">
      <formula>SUMPRODUCT(--(ROW()=$O$12:$O$21))&gt;0</formula>
    </cfRule>
  </conditionalFormatting>
  <conditionalFormatting sqref="A134">
    <cfRule type="expression" dxfId="4" priority="4">
      <formula>SUMPRODUCT(--(ROW()=$O$12:$O$21))&gt;0</formula>
    </cfRule>
  </conditionalFormatting>
  <conditionalFormatting sqref="I40">
    <cfRule type="expression" dxfId="3" priority="3">
      <formula>SUMPRODUCT(--(ROW()=$O$12:$O$16))&gt;0</formula>
    </cfRule>
  </conditionalFormatting>
  <conditionalFormatting sqref="I39">
    <cfRule type="expression" dxfId="2" priority="2">
      <formula>SUMPRODUCT(--(ROW()=$O$12:$O$16))&gt;0</formula>
    </cfRule>
  </conditionalFormatting>
  <conditionalFormatting sqref="A106:A108">
    <cfRule type="expression" dxfId="1" priority="1">
      <formula>SUMPRODUCT(--(ROW()=$O$12:$O$16))&gt;0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&amp;Rงานระบบปรับอากาศและระบายอากาศ ชั้น ดาดฟ้า-อาคารสนับนุน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0F732-EB0C-444E-A539-7C0DDEAEBBE7}">
  <sheetPr>
    <tabColor rgb="FF92D050"/>
  </sheetPr>
  <dimension ref="A1:U490"/>
  <sheetViews>
    <sheetView tabSelected="1" view="pageBreakPreview" topLeftCell="D3" zoomScaleNormal="100" zoomScaleSheetLayoutView="10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952" customWidth="1"/>
    <col min="8" max="8" width="20.703125" style="952" customWidth="1"/>
    <col min="9" max="9" width="16.703125" style="952" customWidth="1"/>
    <col min="10" max="10" width="20.703125" style="952" customWidth="1"/>
    <col min="11" max="11" width="22.703125" style="952" customWidth="1"/>
    <col min="12" max="12" width="26" style="732" customWidth="1"/>
    <col min="13" max="13" width="9" style="1"/>
    <col min="14" max="14" width="13" style="1" customWidth="1"/>
    <col min="15" max="15" width="11.5859375" style="1" customWidth="1"/>
    <col min="16" max="16" width="9" style="1"/>
    <col min="17" max="17" width="10.1171875" style="1" customWidth="1"/>
    <col min="18" max="18" width="13.87890625" style="1" customWidth="1"/>
    <col min="19" max="16384" width="9" style="1"/>
  </cols>
  <sheetData>
    <row r="1" spans="1:18" ht="35.200000000000003" customHeight="1">
      <c r="A1" s="681"/>
      <c r="B1" s="30"/>
      <c r="C1" s="31"/>
      <c r="D1" s="31"/>
      <c r="E1" s="31"/>
      <c r="F1" s="7" t="s">
        <v>0</v>
      </c>
      <c r="G1" s="733"/>
      <c r="H1" s="734"/>
      <c r="I1" s="734"/>
      <c r="J1" s="735" t="s">
        <v>1</v>
      </c>
      <c r="K1" s="736"/>
      <c r="L1" s="682"/>
    </row>
    <row r="2" spans="1:18" ht="25.15" customHeight="1">
      <c r="A2" s="683" t="s">
        <v>2</v>
      </c>
      <c r="B2" s="33"/>
      <c r="C2" s="34"/>
      <c r="D2" s="11" t="s">
        <v>938</v>
      </c>
      <c r="E2" s="34"/>
      <c r="F2" s="12"/>
      <c r="G2" s="737"/>
      <c r="H2" s="737"/>
      <c r="I2" s="737"/>
      <c r="J2" s="738"/>
      <c r="K2" s="737"/>
      <c r="L2" s="684"/>
    </row>
    <row r="3" spans="1:18" ht="25.15" customHeight="1">
      <c r="A3" s="685" t="s">
        <v>22</v>
      </c>
      <c r="B3" s="35"/>
      <c r="C3" s="36"/>
      <c r="D3" s="37"/>
      <c r="E3" s="36"/>
      <c r="F3" s="15"/>
      <c r="G3" s="739"/>
      <c r="H3" s="739"/>
      <c r="I3" s="739"/>
      <c r="J3" s="740"/>
      <c r="K3" s="739"/>
      <c r="L3" s="686"/>
    </row>
    <row r="4" spans="1:18" ht="25.15" customHeight="1">
      <c r="A4" s="687"/>
      <c r="B4" s="35"/>
      <c r="C4" s="36"/>
      <c r="D4" s="41" t="s">
        <v>2970</v>
      </c>
      <c r="E4" s="36"/>
      <c r="F4" s="15"/>
      <c r="G4" s="739"/>
      <c r="H4" s="739"/>
      <c r="I4" s="739"/>
      <c r="J4" s="740"/>
      <c r="K4" s="739"/>
      <c r="L4" s="686"/>
    </row>
    <row r="5" spans="1:18" ht="25.15" customHeight="1">
      <c r="A5" s="685" t="s">
        <v>3</v>
      </c>
      <c r="B5" s="33"/>
      <c r="C5" s="34"/>
      <c r="D5" s="37" t="s">
        <v>21</v>
      </c>
      <c r="E5" s="32"/>
      <c r="F5" s="12"/>
      <c r="G5" s="741" t="s">
        <v>4</v>
      </c>
      <c r="H5" s="742"/>
      <c r="I5" s="739"/>
      <c r="J5" s="740"/>
      <c r="K5" s="743"/>
      <c r="L5" s="686"/>
    </row>
    <row r="6" spans="1:18" ht="25.15" customHeight="1">
      <c r="A6" s="5" t="s">
        <v>20</v>
      </c>
      <c r="B6" s="35"/>
      <c r="C6" s="36"/>
      <c r="D6" s="40"/>
      <c r="E6" s="36"/>
      <c r="F6" s="15"/>
      <c r="G6" s="744"/>
      <c r="H6" s="739"/>
      <c r="I6" s="739"/>
      <c r="J6" s="739"/>
      <c r="K6" s="739"/>
      <c r="L6" s="688"/>
    </row>
    <row r="7" spans="1:18" ht="26.2" customHeight="1">
      <c r="A7" s="6" t="s">
        <v>26</v>
      </c>
      <c r="B7" s="20"/>
      <c r="C7" s="20"/>
      <c r="D7" s="21"/>
      <c r="E7" s="20"/>
      <c r="F7" s="689" t="s">
        <v>5</v>
      </c>
      <c r="G7" s="22"/>
      <c r="H7" s="22" t="s">
        <v>6</v>
      </c>
      <c r="I7" s="23"/>
      <c r="J7" s="6" t="s">
        <v>23</v>
      </c>
      <c r="K7" s="20"/>
      <c r="L7" s="2469" t="s">
        <v>7</v>
      </c>
    </row>
    <row r="8" spans="1:18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70"/>
    </row>
    <row r="9" spans="1:18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73" t="s">
        <v>12</v>
      </c>
      <c r="H9" s="2474"/>
      <c r="I9" s="2473" t="s">
        <v>13</v>
      </c>
      <c r="J9" s="2474"/>
      <c r="K9" s="2366" t="s">
        <v>14</v>
      </c>
      <c r="L9" s="2471" t="s">
        <v>15</v>
      </c>
    </row>
    <row r="10" spans="1:18" s="3" customFormat="1" ht="24" customHeight="1">
      <c r="A10" s="2431"/>
      <c r="B10" s="2435"/>
      <c r="C10" s="2436"/>
      <c r="D10" s="2437"/>
      <c r="E10" s="2439"/>
      <c r="F10" s="2439"/>
      <c r="G10" s="677" t="s">
        <v>16</v>
      </c>
      <c r="H10" s="2365" t="s">
        <v>17</v>
      </c>
      <c r="I10" s="677" t="s">
        <v>16</v>
      </c>
      <c r="J10" s="2365" t="s">
        <v>17</v>
      </c>
      <c r="K10" s="2367" t="s">
        <v>18</v>
      </c>
      <c r="L10" s="2472"/>
    </row>
    <row r="11" spans="1:18" ht="24" customHeight="1">
      <c r="A11" s="690" t="s">
        <v>25</v>
      </c>
      <c r="B11" s="691" t="s">
        <v>939</v>
      </c>
      <c r="C11" s="692"/>
      <c r="D11" s="693"/>
      <c r="E11" s="694"/>
      <c r="F11" s="695"/>
      <c r="G11" s="745"/>
      <c r="H11" s="746"/>
      <c r="I11" s="747"/>
      <c r="J11" s="746"/>
      <c r="K11" s="748"/>
      <c r="L11" s="749"/>
    </row>
    <row r="12" spans="1:18" s="714" customFormat="1" ht="24" customHeight="1">
      <c r="A12" s="704">
        <f>+A35</f>
        <v>3.1</v>
      </c>
      <c r="B12" s="705" t="str">
        <f>+B35</f>
        <v>Main Incoming &amp; HV Routing</v>
      </c>
      <c r="C12" s="706"/>
      <c r="D12" s="707"/>
      <c r="E12" s="708">
        <v>1</v>
      </c>
      <c r="F12" s="709" t="s">
        <v>19</v>
      </c>
      <c r="G12" s="750"/>
      <c r="H12" s="751">
        <f>H51</f>
        <v>352101</v>
      </c>
      <c r="I12" s="752"/>
      <c r="J12" s="751">
        <f>J51</f>
        <v>32211</v>
      </c>
      <c r="K12" s="751">
        <f>K51</f>
        <v>384312</v>
      </c>
      <c r="L12" s="753"/>
      <c r="N12" s="1715"/>
      <c r="P12" s="884"/>
      <c r="R12" s="715"/>
    </row>
    <row r="13" spans="1:18" s="714" customFormat="1" ht="24" customHeight="1">
      <c r="A13" s="719">
        <f>A52</f>
        <v>3.2</v>
      </c>
      <c r="B13" s="754" t="str">
        <f>B52</f>
        <v>สวิทช์เกียร์แรงสูง (HV Switchgear)</v>
      </c>
      <c r="C13" s="716"/>
      <c r="D13" s="707"/>
      <c r="E13" s="708">
        <v>1</v>
      </c>
      <c r="F13" s="709" t="s">
        <v>19</v>
      </c>
      <c r="G13" s="750"/>
      <c r="H13" s="751">
        <f>H58</f>
        <v>582000</v>
      </c>
      <c r="I13" s="752"/>
      <c r="J13" s="751">
        <f>J58</f>
        <v>23180</v>
      </c>
      <c r="K13" s="751">
        <f>K58</f>
        <v>605180</v>
      </c>
      <c r="L13" s="753"/>
      <c r="N13" s="1715"/>
      <c r="R13" s="715"/>
    </row>
    <row r="14" spans="1:18" s="714" customFormat="1" ht="24" customHeight="1">
      <c r="A14" s="719">
        <f>A59</f>
        <v>3.3</v>
      </c>
      <c r="B14" s="705" t="str">
        <f>B59</f>
        <v>หม้อแปลงไฟฟ้า (Transformer)</v>
      </c>
      <c r="C14" s="717"/>
      <c r="D14" s="718"/>
      <c r="E14" s="708">
        <v>1</v>
      </c>
      <c r="F14" s="709" t="s">
        <v>19</v>
      </c>
      <c r="G14" s="750"/>
      <c r="H14" s="751">
        <f>H68</f>
        <v>2214000</v>
      </c>
      <c r="I14" s="752"/>
      <c r="J14" s="751">
        <f>J68</f>
        <v>63600</v>
      </c>
      <c r="K14" s="751">
        <f>K68</f>
        <v>2277600</v>
      </c>
      <c r="L14" s="753"/>
      <c r="N14" s="1715"/>
      <c r="R14" s="715"/>
    </row>
    <row r="15" spans="1:18" s="714" customFormat="1" ht="24" customHeight="1">
      <c r="A15" s="719">
        <f>A69</f>
        <v>3.4</v>
      </c>
      <c r="B15" s="705" t="str">
        <f>B69</f>
        <v>เครื่องกำเนิดไฟฟ้าสำรอง (Standby Generator Set)</v>
      </c>
      <c r="C15" s="717"/>
      <c r="D15" s="718"/>
      <c r="E15" s="708">
        <v>1</v>
      </c>
      <c r="F15" s="709" t="s">
        <v>19</v>
      </c>
      <c r="G15" s="750"/>
      <c r="H15" s="751">
        <f>H82</f>
        <v>7071100</v>
      </c>
      <c r="I15" s="752"/>
      <c r="J15" s="751">
        <f>J82</f>
        <v>69000</v>
      </c>
      <c r="K15" s="751">
        <f>K82</f>
        <v>7140100</v>
      </c>
      <c r="L15" s="753"/>
      <c r="N15" s="1715"/>
      <c r="R15" s="715"/>
    </row>
    <row r="16" spans="1:18" s="714" customFormat="1" ht="24" customHeight="1">
      <c r="A16" s="755">
        <f>A83</f>
        <v>3.5</v>
      </c>
      <c r="B16" s="756" t="str">
        <f>B83</f>
        <v>แผงเมนไฟฟ้าปกติ (Main Distribution Board)</v>
      </c>
      <c r="C16" s="757"/>
      <c r="D16" s="758"/>
      <c r="E16" s="708">
        <v>1</v>
      </c>
      <c r="F16" s="759" t="s">
        <v>19</v>
      </c>
      <c r="G16" s="750"/>
      <c r="H16" s="751">
        <f>H122</f>
        <v>7996460</v>
      </c>
      <c r="I16" s="752"/>
      <c r="J16" s="751">
        <f>J122</f>
        <v>392970</v>
      </c>
      <c r="K16" s="751">
        <f>K122</f>
        <v>8389430</v>
      </c>
      <c r="L16" s="753"/>
      <c r="N16" s="1715"/>
      <c r="R16" s="715"/>
    </row>
    <row r="17" spans="1:18" s="714" customFormat="1" ht="24" customHeight="1">
      <c r="A17" s="755">
        <f>A123</f>
        <v>3.6</v>
      </c>
      <c r="B17" s="756" t="str">
        <f>B123</f>
        <v>แผงเมนไฟฟ้าฉุกเฉิน (Essential Main Distribution Board)</v>
      </c>
      <c r="C17" s="757"/>
      <c r="D17" s="758"/>
      <c r="E17" s="708">
        <v>1</v>
      </c>
      <c r="F17" s="759" t="s">
        <v>19</v>
      </c>
      <c r="G17" s="750"/>
      <c r="H17" s="751">
        <f>H154</f>
        <v>1750060</v>
      </c>
      <c r="I17" s="752"/>
      <c r="J17" s="751">
        <f>J154</f>
        <v>52250</v>
      </c>
      <c r="K17" s="751">
        <f>K154</f>
        <v>1802310</v>
      </c>
      <c r="L17" s="753"/>
      <c r="N17" s="1715"/>
      <c r="R17" s="715"/>
    </row>
    <row r="18" spans="1:18" s="714" customFormat="1" ht="24" customHeight="1">
      <c r="A18" s="755" t="str">
        <f>A155</f>
        <v>3.7</v>
      </c>
      <c r="B18" s="756" t="str">
        <f>B155</f>
        <v>Busduct</v>
      </c>
      <c r="C18" s="757"/>
      <c r="D18" s="758"/>
      <c r="E18" s="708">
        <v>1</v>
      </c>
      <c r="F18" s="759" t="s">
        <v>19</v>
      </c>
      <c r="G18" s="750"/>
      <c r="H18" s="751">
        <f>H178</f>
        <v>10998250</v>
      </c>
      <c r="I18" s="752"/>
      <c r="J18" s="751">
        <f>J178</f>
        <v>1336800</v>
      </c>
      <c r="K18" s="751">
        <f>K178</f>
        <v>12335050</v>
      </c>
      <c r="L18" s="753"/>
      <c r="N18" s="1715"/>
      <c r="R18" s="715"/>
    </row>
    <row r="19" spans="1:18" s="714" customFormat="1" ht="24" customHeight="1">
      <c r="A19" s="755" t="str">
        <f>A179</f>
        <v>3.8</v>
      </c>
      <c r="B19" s="756" t="str">
        <f>B179</f>
        <v>สายไฟฟ้า (Cable &amp; Wire)</v>
      </c>
      <c r="C19" s="757"/>
      <c r="D19" s="758"/>
      <c r="E19" s="708">
        <v>1</v>
      </c>
      <c r="F19" s="759" t="s">
        <v>19</v>
      </c>
      <c r="G19" s="750"/>
      <c r="H19" s="751">
        <f>H226</f>
        <v>16558327</v>
      </c>
      <c r="I19" s="752"/>
      <c r="J19" s="751">
        <f>J226</f>
        <v>2520798</v>
      </c>
      <c r="K19" s="751">
        <f>K226</f>
        <v>19079125</v>
      </c>
      <c r="L19" s="753"/>
      <c r="N19" s="1715"/>
      <c r="R19" s="715"/>
    </row>
    <row r="20" spans="1:18" s="714" customFormat="1" ht="24" customHeight="1">
      <c r="A20" s="719" t="str">
        <f>A227</f>
        <v>3.9</v>
      </c>
      <c r="B20" s="705" t="str">
        <f>B227</f>
        <v>รางเดินสายไฟฟ้า (Raceway)</v>
      </c>
      <c r="C20" s="717"/>
      <c r="D20" s="718"/>
      <c r="E20" s="708">
        <v>1</v>
      </c>
      <c r="F20" s="709" t="s">
        <v>19</v>
      </c>
      <c r="G20" s="750"/>
      <c r="H20" s="751">
        <f>H250</f>
        <v>3129196</v>
      </c>
      <c r="I20" s="752"/>
      <c r="J20" s="751">
        <f>J250</f>
        <v>666236</v>
      </c>
      <c r="K20" s="751">
        <f>K250</f>
        <v>3795432</v>
      </c>
      <c r="L20" s="753"/>
      <c r="N20" s="1715"/>
      <c r="R20" s="715"/>
    </row>
    <row r="21" spans="1:18" s="714" customFormat="1" ht="24" customHeight="1">
      <c r="A21" s="760" t="str">
        <f>A251</f>
        <v>3.10</v>
      </c>
      <c r="B21" s="705" t="str">
        <f>B251</f>
        <v>ระบบควบคุมแสงสว่าง (Lighting Control System)</v>
      </c>
      <c r="C21" s="761"/>
      <c r="D21" s="762"/>
      <c r="E21" s="708">
        <v>1</v>
      </c>
      <c r="F21" s="763" t="s">
        <v>19</v>
      </c>
      <c r="G21" s="764"/>
      <c r="H21" s="765">
        <f>H274</f>
        <v>182990</v>
      </c>
      <c r="I21" s="766"/>
      <c r="J21" s="765">
        <f>J274</f>
        <v>29137</v>
      </c>
      <c r="K21" s="765">
        <f>K274</f>
        <v>212127</v>
      </c>
      <c r="L21" s="753"/>
      <c r="N21" s="1715"/>
      <c r="R21" s="715"/>
    </row>
    <row r="22" spans="1:18" s="714" customFormat="1" ht="24" customHeight="1">
      <c r="A22" s="760" t="str">
        <f>A275</f>
        <v>3.11</v>
      </c>
      <c r="B22" s="705" t="str">
        <f>B275</f>
        <v>ระบบป้องกันฟ้าผ่าและระบบต่อลงดิน (Lightning Protection &amp; Grounding System)</v>
      </c>
      <c r="C22" s="761"/>
      <c r="D22" s="762"/>
      <c r="E22" s="708">
        <v>1</v>
      </c>
      <c r="F22" s="763" t="s">
        <v>19</v>
      </c>
      <c r="G22" s="764"/>
      <c r="H22" s="765">
        <f>H298</f>
        <v>1720650</v>
      </c>
      <c r="I22" s="766"/>
      <c r="J22" s="765">
        <f>J298</f>
        <v>468745</v>
      </c>
      <c r="K22" s="765">
        <f>K298</f>
        <v>2189395</v>
      </c>
      <c r="L22" s="753"/>
      <c r="N22" s="1715"/>
      <c r="R22" s="715"/>
    </row>
    <row r="23" spans="1:18" s="714" customFormat="1" ht="24" customHeight="1">
      <c r="A23" s="719" t="str">
        <f>A299</f>
        <v>3.12</v>
      </c>
      <c r="B23" s="720" t="str">
        <f>B299</f>
        <v>ระบบสัญญาณแจ้งเหตุเพลิงไหม้ (Fire Alarm System)</v>
      </c>
      <c r="C23" s="717"/>
      <c r="D23" s="718"/>
      <c r="E23" s="708">
        <v>1</v>
      </c>
      <c r="F23" s="722" t="s">
        <v>19</v>
      </c>
      <c r="G23" s="767"/>
      <c r="H23" s="751">
        <f>H322</f>
        <v>4120141</v>
      </c>
      <c r="I23" s="752"/>
      <c r="J23" s="751">
        <f>J322</f>
        <v>272930</v>
      </c>
      <c r="K23" s="751">
        <f>K322</f>
        <v>4393071</v>
      </c>
      <c r="L23" s="753"/>
      <c r="N23" s="1715"/>
      <c r="R23" s="715"/>
    </row>
    <row r="24" spans="1:18" s="714" customFormat="1" ht="24" customHeight="1">
      <c r="A24" s="719" t="str">
        <f>A323</f>
        <v>3.13</v>
      </c>
      <c r="B24" s="720" t="str">
        <f>B323</f>
        <v>ระบบสายสื่อสารข้อมูล (Data Cabling System)</v>
      </c>
      <c r="C24" s="717"/>
      <c r="D24" s="718"/>
      <c r="E24" s="708">
        <v>1</v>
      </c>
      <c r="F24" s="722" t="s">
        <v>19</v>
      </c>
      <c r="G24" s="750"/>
      <c r="H24" s="751">
        <f>H346</f>
        <v>681525</v>
      </c>
      <c r="I24" s="752"/>
      <c r="J24" s="751">
        <f>J346</f>
        <v>143828</v>
      </c>
      <c r="K24" s="751">
        <f>K346</f>
        <v>825353</v>
      </c>
      <c r="L24" s="753"/>
      <c r="N24" s="1715"/>
      <c r="R24" s="715"/>
    </row>
    <row r="25" spans="1:18" s="714" customFormat="1" ht="24" customHeight="1">
      <c r="A25" s="768" t="str">
        <f>A347</f>
        <v>3.14</v>
      </c>
      <c r="B25" s="769" t="str">
        <f>B347</f>
        <v>ระบบเสียงและประกาศเรียก (Public Address System)</v>
      </c>
      <c r="C25" s="770"/>
      <c r="D25" s="771"/>
      <c r="E25" s="708">
        <v>1</v>
      </c>
      <c r="F25" s="709" t="s">
        <v>19</v>
      </c>
      <c r="G25" s="772"/>
      <c r="H25" s="773">
        <f>H370</f>
        <v>537939</v>
      </c>
      <c r="I25" s="774"/>
      <c r="J25" s="773">
        <f>J370</f>
        <v>152346</v>
      </c>
      <c r="K25" s="773">
        <f>K370</f>
        <v>690285</v>
      </c>
      <c r="L25" s="753"/>
      <c r="N25" s="1715"/>
      <c r="R25" s="715"/>
    </row>
    <row r="26" spans="1:18" s="714" customFormat="1" ht="24" customHeight="1">
      <c r="A26" s="768" t="str">
        <f>A371</f>
        <v>3.15</v>
      </c>
      <c r="B26" s="1004" t="str">
        <f>B371</f>
        <v>ระบบควบคุมอาคารอัตโนมัติ (Building AutomationSystem (BMS)</v>
      </c>
      <c r="C26" s="770"/>
      <c r="D26" s="771"/>
      <c r="E26" s="708">
        <v>1</v>
      </c>
      <c r="F26" s="709" t="s">
        <v>19</v>
      </c>
      <c r="G26" s="772"/>
      <c r="H26" s="773">
        <f>H407</f>
        <v>681548</v>
      </c>
      <c r="I26" s="774"/>
      <c r="J26" s="773">
        <f t="shared" ref="J26:K26" si="0">J407</f>
        <v>109841</v>
      </c>
      <c r="K26" s="773">
        <f t="shared" si="0"/>
        <v>791389</v>
      </c>
      <c r="L26" s="753"/>
      <c r="N26" s="1715"/>
      <c r="R26" s="715"/>
    </row>
    <row r="27" spans="1:18" s="714" customFormat="1" ht="24" customHeight="1">
      <c r="A27" s="768" t="str">
        <f>A408</f>
        <v>3.16</v>
      </c>
      <c r="B27" s="1004" t="str">
        <f>B408</f>
        <v>ระบบควบคุมประตูอัตโนมัติ (Access Control System)</v>
      </c>
      <c r="C27" s="770"/>
      <c r="D27" s="771"/>
      <c r="E27" s="708">
        <v>1</v>
      </c>
      <c r="F27" s="709" t="s">
        <v>19</v>
      </c>
      <c r="G27" s="772"/>
      <c r="H27" s="773">
        <f>H437</f>
        <v>230048</v>
      </c>
      <c r="I27" s="774"/>
      <c r="J27" s="773">
        <f t="shared" ref="J27:K27" si="1">J437</f>
        <v>115441</v>
      </c>
      <c r="K27" s="773">
        <f t="shared" si="1"/>
        <v>345489</v>
      </c>
      <c r="L27" s="753"/>
      <c r="N27" s="1715"/>
      <c r="R27" s="715"/>
    </row>
    <row r="28" spans="1:18" s="714" customFormat="1" ht="24" customHeight="1">
      <c r="A28" s="768" t="str">
        <f>A438</f>
        <v>3.17</v>
      </c>
      <c r="B28" s="1004" t="str">
        <f>B438</f>
        <v>ระบบแจ้งเหตุฉุกเฉิน (Panic Alarm System)</v>
      </c>
      <c r="C28" s="770"/>
      <c r="D28" s="771"/>
      <c r="E28" s="708">
        <v>1</v>
      </c>
      <c r="F28" s="709" t="s">
        <v>19</v>
      </c>
      <c r="G28" s="772"/>
      <c r="H28" s="773">
        <f>H474</f>
        <v>308573</v>
      </c>
      <c r="I28" s="774"/>
      <c r="J28" s="773">
        <f t="shared" ref="J28" si="2">J474</f>
        <v>60941</v>
      </c>
      <c r="K28" s="773">
        <f>K474</f>
        <v>369394</v>
      </c>
      <c r="L28" s="753"/>
      <c r="N28" s="1715"/>
      <c r="R28" s="715"/>
    </row>
    <row r="29" spans="1:18" s="714" customFormat="1" ht="24" customHeight="1">
      <c r="A29" s="768" t="str">
        <f>A475</f>
        <v>3.18</v>
      </c>
      <c r="B29" s="769" t="str">
        <f>B475</f>
        <v>ระบบป้องกันไฟและควันลาม (Fire Barrier System)</v>
      </c>
      <c r="C29" s="770"/>
      <c r="D29" s="771"/>
      <c r="E29" s="708">
        <v>1</v>
      </c>
      <c r="F29" s="709" t="s">
        <v>19</v>
      </c>
      <c r="G29" s="772"/>
      <c r="H29" s="773">
        <f>H490</f>
        <v>2630000</v>
      </c>
      <c r="I29" s="774"/>
      <c r="J29" s="773">
        <f>J490</f>
        <v>131500</v>
      </c>
      <c r="K29" s="773">
        <f>K490</f>
        <v>2761500</v>
      </c>
      <c r="L29" s="753"/>
      <c r="N29" s="1715"/>
      <c r="R29" s="715"/>
    </row>
    <row r="30" spans="1:18" s="714" customFormat="1" ht="24" customHeight="1">
      <c r="A30" s="755"/>
      <c r="B30" s="756"/>
      <c r="C30" s="757"/>
      <c r="D30" s="758"/>
      <c r="E30" s="708"/>
      <c r="F30" s="759"/>
      <c r="G30" s="750"/>
      <c r="H30" s="751"/>
      <c r="I30" s="752"/>
      <c r="J30" s="751"/>
      <c r="K30" s="751"/>
      <c r="L30" s="753"/>
    </row>
    <row r="31" spans="1:18" s="714" customFormat="1" ht="24" customHeight="1">
      <c r="A31" s="755"/>
      <c r="B31" s="756"/>
      <c r="C31" s="757"/>
      <c r="D31" s="758"/>
      <c r="E31" s="708"/>
      <c r="F31" s="759"/>
      <c r="G31" s="750"/>
      <c r="H31" s="751"/>
      <c r="I31" s="752"/>
      <c r="J31" s="751"/>
      <c r="K31" s="751"/>
      <c r="L31" s="753"/>
    </row>
    <row r="32" spans="1:18" s="714" customFormat="1" ht="24" customHeight="1">
      <c r="A32" s="755"/>
      <c r="B32" s="756"/>
      <c r="C32" s="757"/>
      <c r="D32" s="758"/>
      <c r="E32" s="708"/>
      <c r="F32" s="759"/>
      <c r="G32" s="750"/>
      <c r="H32" s="751"/>
      <c r="I32" s="752"/>
      <c r="J32" s="751"/>
      <c r="K32" s="751"/>
      <c r="L32" s="753"/>
    </row>
    <row r="33" spans="1:12" s="714" customFormat="1" ht="24" customHeight="1">
      <c r="A33" s="755"/>
      <c r="B33" s="756"/>
      <c r="C33" s="757"/>
      <c r="D33" s="758"/>
      <c r="E33" s="708"/>
      <c r="F33" s="759"/>
      <c r="G33" s="750"/>
      <c r="H33" s="751"/>
      <c r="I33" s="752"/>
      <c r="J33" s="751"/>
      <c r="K33" s="751"/>
      <c r="L33" s="753"/>
    </row>
    <row r="34" spans="1:12" s="714" customFormat="1" ht="24" customHeight="1">
      <c r="A34" s="775"/>
      <c r="B34" s="2475" t="str">
        <f>"รวมราคา"&amp;B11</f>
        <v>รวมราคางานระบบไฟฟ้าและสื่อสาร (Main Equipment)</v>
      </c>
      <c r="C34" s="2476"/>
      <c r="D34" s="2477"/>
      <c r="E34" s="776"/>
      <c r="F34" s="777"/>
      <c r="G34" s="778"/>
      <c r="H34" s="779">
        <f>SUM(H11:H33)</f>
        <v>61744908</v>
      </c>
      <c r="I34" s="778"/>
      <c r="J34" s="779">
        <f>SUM(J11:J33)</f>
        <v>6641754</v>
      </c>
      <c r="K34" s="779">
        <f>SUM(K11:K33)</f>
        <v>68386542</v>
      </c>
      <c r="L34" s="777"/>
    </row>
    <row r="35" spans="1:12" s="714" customFormat="1" ht="24" customHeight="1">
      <c r="A35" s="781">
        <v>3.1</v>
      </c>
      <c r="B35" s="782" t="s">
        <v>940</v>
      </c>
      <c r="C35" s="783"/>
      <c r="D35" s="784"/>
      <c r="E35" s="785"/>
      <c r="F35" s="786"/>
      <c r="G35" s="787"/>
      <c r="H35" s="788"/>
      <c r="I35" s="789"/>
      <c r="J35" s="788"/>
      <c r="K35" s="789"/>
      <c r="L35" s="790"/>
    </row>
    <row r="36" spans="1:12" s="714" customFormat="1" ht="24" customHeight="1">
      <c r="A36" s="791" t="s">
        <v>941</v>
      </c>
      <c r="B36" s="720" t="s">
        <v>942</v>
      </c>
      <c r="C36" s="792"/>
      <c r="D36" s="792"/>
      <c r="E36" s="793"/>
      <c r="F36" s="794"/>
      <c r="G36" s="795"/>
      <c r="H36" s="796"/>
      <c r="I36" s="797"/>
      <c r="J36" s="796"/>
      <c r="K36" s="797"/>
      <c r="L36" s="798"/>
    </row>
    <row r="37" spans="1:12" s="714" customFormat="1" ht="24" customHeight="1">
      <c r="A37" s="791" t="s">
        <v>943</v>
      </c>
      <c r="B37" s="720" t="s">
        <v>944</v>
      </c>
      <c r="C37" s="792"/>
      <c r="D37" s="792"/>
      <c r="E37" s="793"/>
      <c r="F37" s="794"/>
      <c r="G37" s="795"/>
      <c r="H37" s="796"/>
      <c r="I37" s="797"/>
      <c r="J37" s="796"/>
      <c r="K37" s="797"/>
      <c r="L37" s="798"/>
    </row>
    <row r="38" spans="1:12" s="714" customFormat="1" ht="24" customHeight="1">
      <c r="A38" s="791"/>
      <c r="B38" s="720" t="s">
        <v>945</v>
      </c>
      <c r="C38" s="792"/>
      <c r="D38" s="792"/>
      <c r="E38" s="793">
        <v>150</v>
      </c>
      <c r="F38" s="722" t="s">
        <v>438</v>
      </c>
      <c r="G38" s="795">
        <f>1340*0.75</f>
        <v>1005</v>
      </c>
      <c r="H38" s="796">
        <f t="shared" ref="H38" si="3">ROUND(E38*G38,)</f>
        <v>150750</v>
      </c>
      <c r="I38" s="797">
        <v>55</v>
      </c>
      <c r="J38" s="796">
        <f>ROUND(I38*E38,)</f>
        <v>8250</v>
      </c>
      <c r="K38" s="799">
        <f t="shared" ref="K38:K46" si="4">H38+J38</f>
        <v>159000</v>
      </c>
      <c r="L38" s="713"/>
    </row>
    <row r="39" spans="1:12" s="714" customFormat="1" ht="24" customHeight="1">
      <c r="A39" s="791"/>
      <c r="B39" s="800" t="s">
        <v>946</v>
      </c>
      <c r="C39" s="801"/>
      <c r="D39" s="801"/>
      <c r="E39" s="802">
        <v>60</v>
      </c>
      <c r="F39" s="803" t="s">
        <v>438</v>
      </c>
      <c r="G39" s="795">
        <v>1209</v>
      </c>
      <c r="H39" s="796">
        <f>ROUND(G39*E39,)</f>
        <v>72540</v>
      </c>
      <c r="I39" s="797">
        <v>95</v>
      </c>
      <c r="J39" s="796">
        <f>ROUND(I39*E39,)</f>
        <v>5700</v>
      </c>
      <c r="K39" s="799">
        <f t="shared" si="4"/>
        <v>78240</v>
      </c>
      <c r="L39" s="804"/>
    </row>
    <row r="40" spans="1:12" s="714" customFormat="1" ht="24" customHeight="1">
      <c r="A40" s="791"/>
      <c r="B40" s="720" t="s">
        <v>947</v>
      </c>
      <c r="C40" s="717"/>
      <c r="D40" s="717"/>
      <c r="E40" s="805">
        <v>1</v>
      </c>
      <c r="F40" s="794" t="s">
        <v>948</v>
      </c>
      <c r="G40" s="806">
        <f>SUM(H38:H39)*5%</f>
        <v>11164.5</v>
      </c>
      <c r="H40" s="796">
        <f t="shared" ref="H40" si="5">ROUND(E40*G40,)</f>
        <v>11165</v>
      </c>
      <c r="I40" s="807">
        <f>G40*0.3</f>
        <v>3349.35</v>
      </c>
      <c r="J40" s="796">
        <f t="shared" ref="J40" si="6">ROUND(E40*I40,)</f>
        <v>3349</v>
      </c>
      <c r="K40" s="799">
        <f t="shared" si="4"/>
        <v>14514</v>
      </c>
      <c r="L40" s="798"/>
    </row>
    <row r="41" spans="1:12" s="714" customFormat="1" ht="24" customHeight="1">
      <c r="A41" s="791" t="s">
        <v>949</v>
      </c>
      <c r="B41" s="720" t="s">
        <v>950</v>
      </c>
      <c r="C41" s="792"/>
      <c r="D41" s="792"/>
      <c r="E41" s="793"/>
      <c r="F41" s="722"/>
      <c r="G41" s="795"/>
      <c r="H41" s="796"/>
      <c r="I41" s="797"/>
      <c r="J41" s="796"/>
      <c r="K41" s="799">
        <f t="shared" si="4"/>
        <v>0</v>
      </c>
      <c r="L41" s="798"/>
    </row>
    <row r="42" spans="1:12" s="714" customFormat="1" ht="24" customHeight="1">
      <c r="A42" s="791"/>
      <c r="B42" s="720" t="s">
        <v>951</v>
      </c>
      <c r="C42" s="792"/>
      <c r="D42" s="792"/>
      <c r="E42" s="793">
        <v>70</v>
      </c>
      <c r="F42" s="722" t="s">
        <v>438</v>
      </c>
      <c r="G42" s="795">
        <v>572</v>
      </c>
      <c r="H42" s="796">
        <f>ROUND(E42*G42,)</f>
        <v>40040</v>
      </c>
      <c r="I42" s="797">
        <v>85</v>
      </c>
      <c r="J42" s="796">
        <f t="shared" ref="J42:J43" si="7">E42*I42</f>
        <v>5950</v>
      </c>
      <c r="K42" s="799">
        <f t="shared" si="4"/>
        <v>45990</v>
      </c>
      <c r="L42" s="804"/>
    </row>
    <row r="43" spans="1:12" s="714" customFormat="1" ht="24" customHeight="1">
      <c r="A43" s="791"/>
      <c r="B43" s="720" t="s">
        <v>952</v>
      </c>
      <c r="C43" s="792"/>
      <c r="D43" s="792"/>
      <c r="E43" s="793">
        <v>1</v>
      </c>
      <c r="F43" s="722" t="s">
        <v>948</v>
      </c>
      <c r="G43" s="795">
        <f>ROUND(SUM(H42)*15%,0)</f>
        <v>6006</v>
      </c>
      <c r="H43" s="796">
        <f>ROUND(E43*G43,)</f>
        <v>6006</v>
      </c>
      <c r="I43" s="797">
        <f>ROUND(G43*0.3,0)</f>
        <v>1802</v>
      </c>
      <c r="J43" s="796">
        <f t="shared" si="7"/>
        <v>1802</v>
      </c>
      <c r="K43" s="799">
        <f t="shared" si="4"/>
        <v>7808</v>
      </c>
      <c r="L43" s="798"/>
    </row>
    <row r="44" spans="1:12" s="714" customFormat="1" ht="24" customHeight="1">
      <c r="A44" s="791" t="s">
        <v>953</v>
      </c>
      <c r="B44" s="720" t="s">
        <v>954</v>
      </c>
      <c r="C44" s="792"/>
      <c r="D44" s="792"/>
      <c r="E44" s="793"/>
      <c r="F44" s="722"/>
      <c r="G44" s="795"/>
      <c r="H44" s="796"/>
      <c r="I44" s="797"/>
      <c r="J44" s="796"/>
      <c r="K44" s="799">
        <f t="shared" si="4"/>
        <v>0</v>
      </c>
      <c r="L44" s="798"/>
    </row>
    <row r="45" spans="1:12" s="714" customFormat="1" ht="24" customHeight="1">
      <c r="A45" s="791"/>
      <c r="B45" s="720" t="s">
        <v>955</v>
      </c>
      <c r="C45" s="792"/>
      <c r="D45" s="792"/>
      <c r="E45" s="793">
        <v>2</v>
      </c>
      <c r="F45" s="722" t="s">
        <v>240</v>
      </c>
      <c r="G45" s="795">
        <v>17900</v>
      </c>
      <c r="H45" s="796">
        <f t="shared" ref="H45:H46" si="8">ROUND(E45*G45,)</f>
        <v>35800</v>
      </c>
      <c r="I45" s="797">
        <f t="shared" ref="I45" si="9">G45*0.1</f>
        <v>1790</v>
      </c>
      <c r="J45" s="796">
        <f t="shared" ref="J45:J46" si="10">E45*I45</f>
        <v>3580</v>
      </c>
      <c r="K45" s="799">
        <f t="shared" si="4"/>
        <v>39380</v>
      </c>
      <c r="L45" s="798"/>
    </row>
    <row r="46" spans="1:12" s="714" customFormat="1" ht="24" customHeight="1">
      <c r="A46" s="791"/>
      <c r="B46" s="800" t="s">
        <v>956</v>
      </c>
      <c r="C46" s="792"/>
      <c r="D46" s="792"/>
      <c r="E46" s="793">
        <v>2</v>
      </c>
      <c r="F46" s="803" t="s">
        <v>240</v>
      </c>
      <c r="G46" s="795">
        <v>17900</v>
      </c>
      <c r="H46" s="796">
        <f t="shared" si="8"/>
        <v>35800</v>
      </c>
      <c r="I46" s="797">
        <v>1790</v>
      </c>
      <c r="J46" s="796">
        <f t="shared" si="10"/>
        <v>3580</v>
      </c>
      <c r="K46" s="799">
        <f t="shared" si="4"/>
        <v>39380</v>
      </c>
      <c r="L46" s="798"/>
    </row>
    <row r="47" spans="1:12" s="714" customFormat="1" ht="24" customHeight="1">
      <c r="A47" s="791"/>
      <c r="B47" s="720" t="s">
        <v>957</v>
      </c>
      <c r="C47" s="792"/>
      <c r="D47" s="792"/>
      <c r="E47" s="793"/>
      <c r="F47" s="722"/>
      <c r="G47" s="795"/>
      <c r="H47" s="796"/>
      <c r="I47" s="797"/>
      <c r="J47" s="796"/>
      <c r="K47" s="797"/>
      <c r="L47" s="798"/>
    </row>
    <row r="48" spans="1:12" s="714" customFormat="1" ht="24" customHeight="1">
      <c r="A48" s="791"/>
      <c r="B48" s="720" t="s">
        <v>958</v>
      </c>
      <c r="C48" s="792"/>
      <c r="D48" s="792"/>
      <c r="E48" s="793"/>
      <c r="F48" s="722"/>
      <c r="G48" s="795"/>
      <c r="H48" s="796"/>
      <c r="I48" s="797"/>
      <c r="J48" s="796"/>
      <c r="K48" s="797"/>
      <c r="L48" s="798"/>
    </row>
    <row r="49" spans="1:12" s="714" customFormat="1" ht="24" customHeight="1">
      <c r="A49" s="791"/>
      <c r="B49" s="720" t="s">
        <v>958</v>
      </c>
      <c r="C49" s="792"/>
      <c r="D49" s="792"/>
      <c r="E49" s="793"/>
      <c r="F49" s="722"/>
      <c r="G49" s="795"/>
      <c r="H49" s="796"/>
      <c r="I49" s="797"/>
      <c r="J49" s="796"/>
      <c r="K49" s="797"/>
      <c r="L49" s="798"/>
    </row>
    <row r="50" spans="1:12" s="714" customFormat="1" ht="24" customHeight="1">
      <c r="A50" s="808"/>
      <c r="B50" s="705"/>
      <c r="C50" s="809"/>
      <c r="D50" s="809"/>
      <c r="E50" s="810"/>
      <c r="F50" s="811"/>
      <c r="G50" s="812"/>
      <c r="H50" s="765"/>
      <c r="I50" s="813"/>
      <c r="J50" s="765"/>
      <c r="K50" s="766"/>
      <c r="L50" s="814"/>
    </row>
    <row r="51" spans="1:12" s="714" customFormat="1" ht="24" customHeight="1">
      <c r="A51" s="775"/>
      <c r="B51" s="2475" t="str">
        <f>"รวมราคารายการที่ "&amp;A35</f>
        <v>รวมราคารายการที่ 3.1</v>
      </c>
      <c r="C51" s="2476"/>
      <c r="D51" s="2477"/>
      <c r="E51" s="776"/>
      <c r="F51" s="777"/>
      <c r="G51" s="778"/>
      <c r="H51" s="779">
        <f>SUM(H35:H50)</f>
        <v>352101</v>
      </c>
      <c r="I51" s="778"/>
      <c r="J51" s="779">
        <f>SUM(J35:J50)</f>
        <v>32211</v>
      </c>
      <c r="K51" s="779">
        <f t="shared" ref="K51" si="11">SUM(K35:K50)</f>
        <v>384312</v>
      </c>
      <c r="L51" s="777"/>
    </row>
    <row r="52" spans="1:12" s="714" customFormat="1" ht="24" customHeight="1">
      <c r="A52" s="815">
        <v>3.2</v>
      </c>
      <c r="B52" s="816" t="s">
        <v>959</v>
      </c>
      <c r="C52" s="817"/>
      <c r="D52" s="818"/>
      <c r="E52" s="819"/>
      <c r="F52" s="820"/>
      <c r="G52" s="821"/>
      <c r="H52" s="822"/>
      <c r="I52" s="823"/>
      <c r="J52" s="824"/>
      <c r="K52" s="825"/>
      <c r="L52" s="826"/>
    </row>
    <row r="53" spans="1:12" s="714" customFormat="1" ht="24" customHeight="1">
      <c r="A53" s="791" t="s">
        <v>960</v>
      </c>
      <c r="B53" s="720" t="s">
        <v>961</v>
      </c>
      <c r="C53" s="792"/>
      <c r="D53" s="792"/>
      <c r="E53" s="793">
        <v>1</v>
      </c>
      <c r="F53" s="722" t="s">
        <v>240</v>
      </c>
      <c r="G53" s="827">
        <v>567000</v>
      </c>
      <c r="H53" s="796">
        <v>567000</v>
      </c>
      <c r="I53" s="828">
        <v>14175</v>
      </c>
      <c r="J53" s="829">
        <v>18680</v>
      </c>
      <c r="K53" s="799">
        <f t="shared" ref="K53:K54" si="12">H53+J53</f>
        <v>585680</v>
      </c>
      <c r="L53" s="830"/>
    </row>
    <row r="54" spans="1:12" s="714" customFormat="1" ht="24" customHeight="1">
      <c r="A54" s="831" t="s">
        <v>962</v>
      </c>
      <c r="B54" s="720" t="s">
        <v>963</v>
      </c>
      <c r="C54" s="832"/>
      <c r="D54" s="833"/>
      <c r="E54" s="834">
        <v>1</v>
      </c>
      <c r="F54" s="722" t="s">
        <v>240</v>
      </c>
      <c r="G54" s="835">
        <v>15000</v>
      </c>
      <c r="H54" s="796">
        <f t="shared" ref="H54" si="13">ROUND(E54*G54,)</f>
        <v>15000</v>
      </c>
      <c r="I54" s="828">
        <v>4500</v>
      </c>
      <c r="J54" s="796">
        <f t="shared" ref="J54" si="14">E54*I54</f>
        <v>4500</v>
      </c>
      <c r="K54" s="799">
        <f t="shared" si="12"/>
        <v>19500</v>
      </c>
      <c r="L54" s="830"/>
    </row>
    <row r="55" spans="1:12" s="714" customFormat="1" ht="24" customHeight="1">
      <c r="A55" s="836"/>
      <c r="B55" s="720" t="s">
        <v>957</v>
      </c>
      <c r="C55" s="832"/>
      <c r="D55" s="833"/>
      <c r="E55" s="834"/>
      <c r="F55" s="837"/>
      <c r="G55" s="835"/>
      <c r="H55" s="838"/>
      <c r="I55" s="828"/>
      <c r="J55" s="829"/>
      <c r="K55" s="799"/>
      <c r="L55" s="798"/>
    </row>
    <row r="56" spans="1:12" s="714" customFormat="1" ht="24" customHeight="1">
      <c r="A56" s="836"/>
      <c r="B56" s="720" t="s">
        <v>958</v>
      </c>
      <c r="C56" s="832"/>
      <c r="D56" s="833"/>
      <c r="E56" s="834"/>
      <c r="F56" s="837"/>
      <c r="G56" s="835"/>
      <c r="H56" s="838"/>
      <c r="I56" s="828"/>
      <c r="J56" s="829"/>
      <c r="K56" s="799"/>
      <c r="L56" s="798"/>
    </row>
    <row r="57" spans="1:12" s="714" customFormat="1" ht="24" customHeight="1">
      <c r="A57" s="839"/>
      <c r="B57" s="705" t="s">
        <v>958</v>
      </c>
      <c r="C57" s="840"/>
      <c r="D57" s="841"/>
      <c r="E57" s="842"/>
      <c r="F57" s="843"/>
      <c r="G57" s="844"/>
      <c r="H57" s="845"/>
      <c r="I57" s="846"/>
      <c r="J57" s="847"/>
      <c r="K57" s="848"/>
      <c r="L57" s="814"/>
    </row>
    <row r="58" spans="1:12" s="714" customFormat="1" ht="24" customHeight="1">
      <c r="A58" s="775"/>
      <c r="B58" s="2475" t="str">
        <f>"รวมราคารายการที่ "&amp;A52</f>
        <v>รวมราคารายการที่ 3.2</v>
      </c>
      <c r="C58" s="2476"/>
      <c r="D58" s="2477"/>
      <c r="E58" s="776"/>
      <c r="F58" s="777"/>
      <c r="G58" s="778"/>
      <c r="H58" s="779">
        <f>SUM(H52:H57)</f>
        <v>582000</v>
      </c>
      <c r="I58" s="778"/>
      <c r="J58" s="779">
        <f>SUM(J52:J57)</f>
        <v>23180</v>
      </c>
      <c r="K58" s="779">
        <f>SUM(K52:K57)</f>
        <v>605180</v>
      </c>
      <c r="L58" s="777"/>
    </row>
    <row r="59" spans="1:12" s="714" customFormat="1" ht="24" customHeight="1">
      <c r="A59" s="815">
        <v>3.3</v>
      </c>
      <c r="B59" s="816" t="s">
        <v>964</v>
      </c>
      <c r="C59" s="817"/>
      <c r="D59" s="818"/>
      <c r="E59" s="819"/>
      <c r="F59" s="820"/>
      <c r="G59" s="821"/>
      <c r="H59" s="822"/>
      <c r="I59" s="823"/>
      <c r="J59" s="824"/>
      <c r="K59" s="825"/>
      <c r="L59" s="826"/>
    </row>
    <row r="60" spans="1:12" s="714" customFormat="1" ht="24" customHeight="1">
      <c r="A60" s="831" t="s">
        <v>965</v>
      </c>
      <c r="B60" s="720" t="s">
        <v>966</v>
      </c>
      <c r="C60" s="832"/>
      <c r="D60" s="833"/>
      <c r="E60" s="834"/>
      <c r="F60" s="837"/>
      <c r="G60" s="835"/>
      <c r="H60" s="838"/>
      <c r="I60" s="828"/>
      <c r="J60" s="829"/>
      <c r="K60" s="799"/>
      <c r="L60" s="798"/>
    </row>
    <row r="61" spans="1:12" s="714" customFormat="1" ht="24" customHeight="1">
      <c r="A61" s="831"/>
      <c r="B61" s="720" t="s">
        <v>967</v>
      </c>
      <c r="C61" s="832"/>
      <c r="D61" s="833"/>
      <c r="E61" s="834">
        <v>1</v>
      </c>
      <c r="F61" s="722" t="s">
        <v>240</v>
      </c>
      <c r="G61" s="835">
        <v>1092000</v>
      </c>
      <c r="H61" s="796">
        <f t="shared" ref="H61:H63" si="15">E61*G61</f>
        <v>1092000</v>
      </c>
      <c r="I61" s="849">
        <f t="shared" ref="I61:I62" si="16">G61*0.025</f>
        <v>27300</v>
      </c>
      <c r="J61" s="838">
        <f t="shared" ref="J61:J62" si="17">I61*E61</f>
        <v>27300</v>
      </c>
      <c r="K61" s="799">
        <f t="shared" ref="K61:K63" si="18">H61+J61</f>
        <v>1119300</v>
      </c>
      <c r="L61" s="798"/>
    </row>
    <row r="62" spans="1:12" s="714" customFormat="1" ht="24" customHeight="1">
      <c r="A62" s="831"/>
      <c r="B62" s="720" t="s">
        <v>968</v>
      </c>
      <c r="C62" s="832"/>
      <c r="D62" s="833"/>
      <c r="E62" s="834">
        <v>1</v>
      </c>
      <c r="F62" s="722" t="s">
        <v>240</v>
      </c>
      <c r="G62" s="835">
        <v>1092000</v>
      </c>
      <c r="H62" s="796">
        <f t="shared" si="15"/>
        <v>1092000</v>
      </c>
      <c r="I62" s="849">
        <f t="shared" si="16"/>
        <v>27300</v>
      </c>
      <c r="J62" s="838">
        <f t="shared" si="17"/>
        <v>27300</v>
      </c>
      <c r="K62" s="799">
        <f t="shared" si="18"/>
        <v>1119300</v>
      </c>
      <c r="L62" s="798"/>
    </row>
    <row r="63" spans="1:12" s="714" customFormat="1" ht="24" customHeight="1">
      <c r="A63" s="831" t="s">
        <v>969</v>
      </c>
      <c r="B63" s="720" t="s">
        <v>963</v>
      </c>
      <c r="C63" s="832"/>
      <c r="D63" s="833"/>
      <c r="E63" s="834">
        <v>2</v>
      </c>
      <c r="F63" s="722" t="s">
        <v>240</v>
      </c>
      <c r="G63" s="835">
        <v>15000</v>
      </c>
      <c r="H63" s="796">
        <f t="shared" si="15"/>
        <v>30000</v>
      </c>
      <c r="I63" s="828">
        <f>G63*0.3</f>
        <v>4500</v>
      </c>
      <c r="J63" s="838">
        <f>I63*E63</f>
        <v>9000</v>
      </c>
      <c r="K63" s="799">
        <f t="shared" si="18"/>
        <v>39000</v>
      </c>
      <c r="L63" s="798"/>
    </row>
    <row r="64" spans="1:12" s="714" customFormat="1" ht="24" customHeight="1">
      <c r="A64" s="836"/>
      <c r="B64" s="720" t="s">
        <v>957</v>
      </c>
      <c r="C64" s="832"/>
      <c r="D64" s="833"/>
      <c r="E64" s="834"/>
      <c r="F64" s="837"/>
      <c r="G64" s="835"/>
      <c r="H64" s="838"/>
      <c r="I64" s="828"/>
      <c r="J64" s="829"/>
      <c r="K64" s="799"/>
      <c r="L64" s="798"/>
    </row>
    <row r="65" spans="1:12" s="714" customFormat="1" ht="24" customHeight="1">
      <c r="A65" s="836"/>
      <c r="B65" s="720" t="s">
        <v>958</v>
      </c>
      <c r="C65" s="832"/>
      <c r="D65" s="833"/>
      <c r="E65" s="834"/>
      <c r="F65" s="837"/>
      <c r="G65" s="835"/>
      <c r="H65" s="838"/>
      <c r="I65" s="828"/>
      <c r="J65" s="829"/>
      <c r="K65" s="799"/>
      <c r="L65" s="798"/>
    </row>
    <row r="66" spans="1:12" s="714" customFormat="1" ht="24" customHeight="1">
      <c r="A66" s="839"/>
      <c r="B66" s="705" t="s">
        <v>958</v>
      </c>
      <c r="C66" s="840"/>
      <c r="D66" s="841"/>
      <c r="E66" s="842"/>
      <c r="F66" s="843"/>
      <c r="G66" s="844"/>
      <c r="H66" s="845"/>
      <c r="I66" s="846"/>
      <c r="J66" s="847"/>
      <c r="K66" s="848"/>
      <c r="L66" s="814"/>
    </row>
    <row r="67" spans="1:12" s="714" customFormat="1" ht="24" customHeight="1">
      <c r="A67" s="808"/>
      <c r="B67" s="705"/>
      <c r="C67" s="809"/>
      <c r="D67" s="809"/>
      <c r="E67" s="810"/>
      <c r="F67" s="811"/>
      <c r="G67" s="812"/>
      <c r="H67" s="765"/>
      <c r="I67" s="813"/>
      <c r="J67" s="765"/>
      <c r="K67" s="766"/>
      <c r="L67" s="814"/>
    </row>
    <row r="68" spans="1:12" s="714" customFormat="1" ht="24" customHeight="1">
      <c r="A68" s="775"/>
      <c r="B68" s="2475" t="str">
        <f>"รวมราคารายการที่ "&amp;A59</f>
        <v>รวมราคารายการที่ 3.3</v>
      </c>
      <c r="C68" s="2476"/>
      <c r="D68" s="2477"/>
      <c r="E68" s="776"/>
      <c r="F68" s="777"/>
      <c r="G68" s="778"/>
      <c r="H68" s="779">
        <f>SUM(H59:H67)</f>
        <v>2214000</v>
      </c>
      <c r="I68" s="778"/>
      <c r="J68" s="779">
        <f>SUM(J59:J67)</f>
        <v>63600</v>
      </c>
      <c r="K68" s="779">
        <f t="shared" ref="K68" si="19">SUM(K59:K67)</f>
        <v>2277600</v>
      </c>
      <c r="L68" s="777"/>
    </row>
    <row r="69" spans="1:12" s="714" customFormat="1" ht="24" customHeight="1">
      <c r="A69" s="815">
        <v>3.4</v>
      </c>
      <c r="B69" s="816" t="s">
        <v>970</v>
      </c>
      <c r="C69" s="850"/>
      <c r="D69" s="850"/>
      <c r="E69" s="851"/>
      <c r="F69" s="852"/>
      <c r="G69" s="853"/>
      <c r="H69" s="854"/>
      <c r="I69" s="855"/>
      <c r="J69" s="854"/>
      <c r="K69" s="855"/>
      <c r="L69" s="826"/>
    </row>
    <row r="70" spans="1:12" s="714" customFormat="1" ht="24" customHeight="1">
      <c r="A70" s="831" t="s">
        <v>971</v>
      </c>
      <c r="B70" s="720" t="s">
        <v>972</v>
      </c>
      <c r="C70" s="792"/>
      <c r="D70" s="792"/>
      <c r="E70" s="793"/>
      <c r="F70" s="794"/>
      <c r="G70" s="795"/>
      <c r="H70" s="796"/>
      <c r="I70" s="797"/>
      <c r="J70" s="796"/>
      <c r="K70" s="797"/>
      <c r="L70" s="798"/>
    </row>
    <row r="71" spans="1:12" s="714" customFormat="1" ht="24" customHeight="1">
      <c r="A71" s="831"/>
      <c r="B71" s="720" t="s">
        <v>973</v>
      </c>
      <c r="C71" s="792"/>
      <c r="D71" s="792"/>
      <c r="E71" s="793">
        <v>1</v>
      </c>
      <c r="F71" s="722" t="s">
        <v>240</v>
      </c>
      <c r="G71" s="795">
        <v>6500000</v>
      </c>
      <c r="H71" s="796">
        <f>E71*G71</f>
        <v>6500000</v>
      </c>
      <c r="I71" s="797" t="s">
        <v>974</v>
      </c>
      <c r="J71" s="796"/>
      <c r="K71" s="799">
        <f t="shared" ref="K71" si="20">H71+J71</f>
        <v>6500000</v>
      </c>
      <c r="L71" s="798"/>
    </row>
    <row r="72" spans="1:12" s="714" customFormat="1" ht="24" customHeight="1">
      <c r="A72" s="856" t="s">
        <v>975</v>
      </c>
      <c r="B72" s="720" t="s">
        <v>976</v>
      </c>
      <c r="C72" s="792"/>
      <c r="D72" s="792"/>
      <c r="E72" s="793">
        <v>1</v>
      </c>
      <c r="F72" s="722" t="s">
        <v>240</v>
      </c>
      <c r="G72" s="795" t="s">
        <v>977</v>
      </c>
      <c r="H72" s="796"/>
      <c r="I72" s="828"/>
      <c r="J72" s="829"/>
      <c r="K72" s="799"/>
      <c r="L72" s="798"/>
    </row>
    <row r="73" spans="1:12" s="714" customFormat="1" ht="24" customHeight="1">
      <c r="A73" s="856" t="s">
        <v>978</v>
      </c>
      <c r="B73" s="720" t="s">
        <v>979</v>
      </c>
      <c r="C73" s="792"/>
      <c r="D73" s="792"/>
      <c r="E73" s="793">
        <v>1</v>
      </c>
      <c r="F73" s="722" t="s">
        <v>240</v>
      </c>
      <c r="G73" s="795" t="s">
        <v>977</v>
      </c>
      <c r="H73" s="796"/>
      <c r="I73" s="828"/>
      <c r="J73" s="829"/>
      <c r="K73" s="799"/>
      <c r="L73" s="798"/>
    </row>
    <row r="74" spans="1:12" s="714" customFormat="1" ht="24" customHeight="1">
      <c r="A74" s="856" t="s">
        <v>980</v>
      </c>
      <c r="B74" s="720" t="s">
        <v>981</v>
      </c>
      <c r="C74" s="792"/>
      <c r="D74" s="792"/>
      <c r="E74" s="793">
        <v>1</v>
      </c>
      <c r="F74" s="722" t="s">
        <v>240</v>
      </c>
      <c r="G74" s="795">
        <v>320000</v>
      </c>
      <c r="H74" s="796">
        <f>E74*G74</f>
        <v>320000</v>
      </c>
      <c r="I74" s="828">
        <f>G74*0.15</f>
        <v>48000</v>
      </c>
      <c r="J74" s="829">
        <f>E74*I74</f>
        <v>48000</v>
      </c>
      <c r="K74" s="799">
        <f t="shared" ref="K74:K75" si="21">H74+J74</f>
        <v>368000</v>
      </c>
      <c r="L74" s="798"/>
    </row>
    <row r="75" spans="1:12" s="714" customFormat="1" ht="24" customHeight="1">
      <c r="A75" s="856" t="s">
        <v>982</v>
      </c>
      <c r="B75" s="720" t="s">
        <v>963</v>
      </c>
      <c r="C75" s="792"/>
      <c r="D75" s="792"/>
      <c r="E75" s="793">
        <v>1</v>
      </c>
      <c r="F75" s="722" t="s">
        <v>240</v>
      </c>
      <c r="G75" s="795">
        <v>20000</v>
      </c>
      <c r="H75" s="796">
        <f>E75*G75</f>
        <v>20000</v>
      </c>
      <c r="I75" s="828">
        <f>G75*0.3</f>
        <v>6000</v>
      </c>
      <c r="J75" s="829">
        <f>E75*I75</f>
        <v>6000</v>
      </c>
      <c r="K75" s="799">
        <f t="shared" si="21"/>
        <v>26000</v>
      </c>
      <c r="L75" s="798"/>
    </row>
    <row r="76" spans="1:12" s="714" customFormat="1" ht="24" customHeight="1">
      <c r="A76" s="836" t="s">
        <v>983</v>
      </c>
      <c r="B76" s="857" t="s">
        <v>984</v>
      </c>
      <c r="C76" s="792"/>
      <c r="D76" s="792"/>
      <c r="E76" s="793"/>
      <c r="F76" s="794"/>
      <c r="G76" s="795"/>
      <c r="H76" s="796"/>
      <c r="I76" s="828"/>
      <c r="J76" s="829"/>
      <c r="K76" s="799"/>
      <c r="L76" s="798"/>
    </row>
    <row r="77" spans="1:12" s="714" customFormat="1" ht="24" customHeight="1">
      <c r="A77" s="831" t="s">
        <v>985</v>
      </c>
      <c r="B77" s="720" t="s">
        <v>986</v>
      </c>
      <c r="C77" s="792"/>
      <c r="D77" s="792"/>
      <c r="E77" s="793"/>
      <c r="F77" s="794"/>
      <c r="G77" s="795"/>
      <c r="H77" s="796"/>
      <c r="I77" s="828"/>
      <c r="J77" s="829"/>
      <c r="K77" s="799"/>
      <c r="L77" s="798"/>
    </row>
    <row r="78" spans="1:12" s="714" customFormat="1" ht="24" customHeight="1">
      <c r="A78" s="831"/>
      <c r="B78" s="720" t="s">
        <v>987</v>
      </c>
      <c r="C78" s="792"/>
      <c r="D78" s="792"/>
      <c r="E78" s="793">
        <v>1</v>
      </c>
      <c r="F78" s="722" t="s">
        <v>240</v>
      </c>
      <c r="G78" s="858">
        <f>71200+9900</f>
        <v>81100</v>
      </c>
      <c r="H78" s="796">
        <f>E78*G78</f>
        <v>81100</v>
      </c>
      <c r="I78" s="828"/>
      <c r="J78" s="829"/>
      <c r="K78" s="799">
        <f t="shared" ref="K78:K79" si="22">H78+J78</f>
        <v>81100</v>
      </c>
      <c r="L78" s="798"/>
    </row>
    <row r="79" spans="1:12" s="714" customFormat="1" ht="24" customHeight="1">
      <c r="A79" s="856" t="s">
        <v>988</v>
      </c>
      <c r="B79" s="720" t="s">
        <v>989</v>
      </c>
      <c r="C79" s="792"/>
      <c r="D79" s="792"/>
      <c r="E79" s="793">
        <v>1</v>
      </c>
      <c r="F79" s="722" t="s">
        <v>948</v>
      </c>
      <c r="G79" s="795">
        <v>150000</v>
      </c>
      <c r="H79" s="796">
        <f t="shared" ref="H79" si="23">ROUND(G79*E79,)</f>
        <v>150000</v>
      </c>
      <c r="I79" s="828">
        <f>G79*10%</f>
        <v>15000</v>
      </c>
      <c r="J79" s="829">
        <f>ROUND(E79*I79,)</f>
        <v>15000</v>
      </c>
      <c r="K79" s="799">
        <f t="shared" si="22"/>
        <v>165000</v>
      </c>
      <c r="L79" s="798"/>
    </row>
    <row r="80" spans="1:12" s="714" customFormat="1" ht="24" customHeight="1">
      <c r="A80" s="836"/>
      <c r="B80" s="720" t="s">
        <v>957</v>
      </c>
      <c r="C80" s="792"/>
      <c r="D80" s="792"/>
      <c r="E80" s="793"/>
      <c r="F80" s="794"/>
      <c r="G80" s="795"/>
      <c r="H80" s="796"/>
      <c r="I80" s="797"/>
      <c r="J80" s="796"/>
      <c r="K80" s="797"/>
      <c r="L80" s="798"/>
    </row>
    <row r="81" spans="1:12" s="714" customFormat="1" ht="24" customHeight="1">
      <c r="A81" s="836"/>
      <c r="B81" s="720" t="s">
        <v>958</v>
      </c>
      <c r="C81" s="792"/>
      <c r="D81" s="792"/>
      <c r="E81" s="793"/>
      <c r="F81" s="794"/>
      <c r="G81" s="795"/>
      <c r="H81" s="796"/>
      <c r="I81" s="797"/>
      <c r="J81" s="796"/>
      <c r="K81" s="797"/>
      <c r="L81" s="798"/>
    </row>
    <row r="82" spans="1:12" s="714" customFormat="1" ht="24" customHeight="1">
      <c r="A82" s="775"/>
      <c r="B82" s="2475" t="str">
        <f>"รวมราคารายการที่ "&amp;A69</f>
        <v>รวมราคารายการที่ 3.4</v>
      </c>
      <c r="C82" s="2476"/>
      <c r="D82" s="2477"/>
      <c r="E82" s="776"/>
      <c r="F82" s="777"/>
      <c r="G82" s="778"/>
      <c r="H82" s="779">
        <f>SUM(H69:H81)</f>
        <v>7071100</v>
      </c>
      <c r="I82" s="778"/>
      <c r="J82" s="779">
        <f>SUM(J69:J81)</f>
        <v>69000</v>
      </c>
      <c r="K82" s="779">
        <f>SUM(K69:K81)</f>
        <v>7140100</v>
      </c>
      <c r="L82" s="777"/>
    </row>
    <row r="83" spans="1:12" s="714" customFormat="1" ht="24" customHeight="1">
      <c r="A83" s="815">
        <v>3.5</v>
      </c>
      <c r="B83" s="816" t="s">
        <v>990</v>
      </c>
      <c r="C83" s="859"/>
      <c r="D83" s="859"/>
      <c r="E83" s="851"/>
      <c r="F83" s="852"/>
      <c r="G83" s="853"/>
      <c r="H83" s="854"/>
      <c r="I83" s="855"/>
      <c r="J83" s="854"/>
      <c r="K83" s="860"/>
      <c r="L83" s="826"/>
    </row>
    <row r="84" spans="1:12" s="714" customFormat="1" ht="24" customHeight="1">
      <c r="A84" s="861" t="s">
        <v>991</v>
      </c>
      <c r="B84" s="862" t="s">
        <v>992</v>
      </c>
      <c r="C84" s="801"/>
      <c r="D84" s="801"/>
      <c r="E84" s="802"/>
      <c r="F84" s="863"/>
      <c r="G84" s="858"/>
      <c r="H84" s="864"/>
      <c r="I84" s="865"/>
      <c r="J84" s="864"/>
      <c r="K84" s="866"/>
      <c r="L84" s="798"/>
    </row>
    <row r="85" spans="1:12" s="714" customFormat="1" ht="24" customHeight="1">
      <c r="A85" s="861" t="s">
        <v>993</v>
      </c>
      <c r="B85" s="800" t="s">
        <v>994</v>
      </c>
      <c r="C85" s="801"/>
      <c r="D85" s="801"/>
      <c r="E85" s="802"/>
      <c r="F85" s="867"/>
      <c r="G85" s="858"/>
      <c r="H85" s="864"/>
      <c r="I85" s="865"/>
      <c r="J85" s="864"/>
      <c r="K85" s="866"/>
      <c r="L85" s="798"/>
    </row>
    <row r="86" spans="1:12" s="714" customFormat="1" ht="24" customHeight="1">
      <c r="A86" s="861"/>
      <c r="B86" s="800" t="s">
        <v>995</v>
      </c>
      <c r="C86" s="801"/>
      <c r="D86" s="801"/>
      <c r="E86" s="802">
        <f>5</f>
        <v>5</v>
      </c>
      <c r="F86" s="803" t="s">
        <v>240</v>
      </c>
      <c r="G86" s="858">
        <v>3700</v>
      </c>
      <c r="H86" s="796">
        <f t="shared" ref="H86" si="24">E86*G86</f>
        <v>18500</v>
      </c>
      <c r="I86" s="865"/>
      <c r="J86" s="864"/>
      <c r="K86" s="799">
        <f t="shared" ref="K86:K100" si="25">H86+J86</f>
        <v>18500</v>
      </c>
      <c r="L86" s="798"/>
    </row>
    <row r="87" spans="1:12" s="714" customFormat="1" ht="24" customHeight="1">
      <c r="A87" s="861"/>
      <c r="B87" s="800" t="s">
        <v>1041</v>
      </c>
      <c r="C87" s="801"/>
      <c r="D87" s="801"/>
      <c r="E87" s="802"/>
      <c r="F87" s="803" t="s">
        <v>240</v>
      </c>
      <c r="G87" s="795">
        <v>11500</v>
      </c>
      <c r="H87" s="864">
        <f t="shared" ref="H87" si="26">ROUND(G87*E87,)</f>
        <v>0</v>
      </c>
      <c r="I87" s="865"/>
      <c r="J87" s="864"/>
      <c r="K87" s="799">
        <f t="shared" si="25"/>
        <v>0</v>
      </c>
      <c r="L87" s="798"/>
    </row>
    <row r="88" spans="1:12" s="714" customFormat="1" ht="24" customHeight="1">
      <c r="A88" s="861"/>
      <c r="B88" s="800" t="s">
        <v>996</v>
      </c>
      <c r="C88" s="801"/>
      <c r="D88" s="801"/>
      <c r="E88" s="802">
        <v>2</v>
      </c>
      <c r="F88" s="803" t="s">
        <v>240</v>
      </c>
      <c r="G88" s="795">
        <v>73500</v>
      </c>
      <c r="H88" s="864">
        <f>ROUND(G88*E88,)</f>
        <v>147000</v>
      </c>
      <c r="I88" s="865"/>
      <c r="J88" s="864"/>
      <c r="K88" s="799">
        <f t="shared" si="25"/>
        <v>147000</v>
      </c>
      <c r="L88" s="798"/>
    </row>
    <row r="89" spans="1:12" s="714" customFormat="1" ht="24" customHeight="1">
      <c r="A89" s="861"/>
      <c r="B89" s="800" t="s">
        <v>997</v>
      </c>
      <c r="C89" s="801"/>
      <c r="D89" s="801"/>
      <c r="E89" s="802">
        <v>2</v>
      </c>
      <c r="F89" s="803" t="s">
        <v>240</v>
      </c>
      <c r="G89" s="858">
        <f>71200+9900</f>
        <v>81100</v>
      </c>
      <c r="H89" s="864">
        <f>ROUND(G89*E89,)</f>
        <v>162200</v>
      </c>
      <c r="I89" s="865"/>
      <c r="J89" s="864"/>
      <c r="K89" s="799">
        <f t="shared" si="25"/>
        <v>162200</v>
      </c>
      <c r="L89" s="798"/>
    </row>
    <row r="90" spans="1:12" s="714" customFormat="1" ht="24" customHeight="1">
      <c r="A90" s="861"/>
      <c r="B90" s="800" t="s">
        <v>998</v>
      </c>
      <c r="C90" s="801"/>
      <c r="D90" s="801"/>
      <c r="E90" s="802">
        <v>2</v>
      </c>
      <c r="F90" s="803" t="s">
        <v>240</v>
      </c>
      <c r="G90" s="858">
        <v>86600</v>
      </c>
      <c r="H90" s="864">
        <f>ROUND(G90*E90,)</f>
        <v>173200</v>
      </c>
      <c r="I90" s="865"/>
      <c r="J90" s="864"/>
      <c r="K90" s="799">
        <f t="shared" si="25"/>
        <v>173200</v>
      </c>
      <c r="L90" s="798"/>
    </row>
    <row r="91" spans="1:12" s="714" customFormat="1" ht="24" customHeight="1">
      <c r="A91" s="861"/>
      <c r="B91" s="800" t="s">
        <v>987</v>
      </c>
      <c r="C91" s="801"/>
      <c r="D91" s="801"/>
      <c r="E91" s="802">
        <v>1</v>
      </c>
      <c r="F91" s="803" t="s">
        <v>240</v>
      </c>
      <c r="G91" s="858">
        <v>89900</v>
      </c>
      <c r="H91" s="864">
        <f>ROUND(G91*E91,)</f>
        <v>89900</v>
      </c>
      <c r="I91" s="865"/>
      <c r="J91" s="864"/>
      <c r="K91" s="799">
        <f t="shared" si="25"/>
        <v>89900</v>
      </c>
      <c r="L91" s="798"/>
    </row>
    <row r="92" spans="1:12" s="714" customFormat="1" ht="24" customHeight="1">
      <c r="A92" s="861"/>
      <c r="B92" s="800" t="s">
        <v>999</v>
      </c>
      <c r="C92" s="801"/>
      <c r="D92" s="801"/>
      <c r="E92" s="802">
        <v>3</v>
      </c>
      <c r="F92" s="803" t="s">
        <v>240</v>
      </c>
      <c r="G92" s="858">
        <v>197100</v>
      </c>
      <c r="H92" s="864">
        <f>ROUND(G92*E92,)</f>
        <v>591300</v>
      </c>
      <c r="I92" s="865"/>
      <c r="J92" s="864"/>
      <c r="K92" s="799">
        <f t="shared" si="25"/>
        <v>591300</v>
      </c>
      <c r="L92" s="798"/>
    </row>
    <row r="93" spans="1:12" s="714" customFormat="1" ht="24" customHeight="1">
      <c r="A93" s="861" t="s">
        <v>1000</v>
      </c>
      <c r="B93" s="800" t="s">
        <v>1001</v>
      </c>
      <c r="C93" s="801"/>
      <c r="D93" s="801"/>
      <c r="E93" s="802"/>
      <c r="F93" s="867"/>
      <c r="G93" s="858"/>
      <c r="H93" s="864"/>
      <c r="I93" s="865"/>
      <c r="J93" s="864"/>
      <c r="K93" s="799">
        <f t="shared" si="25"/>
        <v>0</v>
      </c>
      <c r="L93" s="798"/>
    </row>
    <row r="94" spans="1:12" s="714" customFormat="1" ht="24" customHeight="1">
      <c r="A94" s="861"/>
      <c r="B94" s="800" t="s">
        <v>1002</v>
      </c>
      <c r="C94" s="801"/>
      <c r="D94" s="801"/>
      <c r="E94" s="802">
        <v>14</v>
      </c>
      <c r="F94" s="803" t="s">
        <v>240</v>
      </c>
      <c r="G94" s="858">
        <v>3300</v>
      </c>
      <c r="H94" s="864">
        <f t="shared" ref="H94:H100" si="27">ROUND(G94*E94,)</f>
        <v>46200</v>
      </c>
      <c r="I94" s="865"/>
      <c r="J94" s="864"/>
      <c r="K94" s="799">
        <f t="shared" si="25"/>
        <v>46200</v>
      </c>
      <c r="L94" s="798"/>
    </row>
    <row r="95" spans="1:12" s="714" customFormat="1" ht="24" customHeight="1">
      <c r="A95" s="861"/>
      <c r="B95" s="800" t="s">
        <v>1003</v>
      </c>
      <c r="C95" s="801"/>
      <c r="D95" s="801"/>
      <c r="E95" s="802">
        <v>14</v>
      </c>
      <c r="F95" s="803" t="s">
        <v>240</v>
      </c>
      <c r="G95" s="858">
        <v>120</v>
      </c>
      <c r="H95" s="864">
        <f t="shared" si="27"/>
        <v>1680</v>
      </c>
      <c r="I95" s="865"/>
      <c r="J95" s="864"/>
      <c r="K95" s="799">
        <f t="shared" si="25"/>
        <v>1680</v>
      </c>
      <c r="L95" s="798"/>
    </row>
    <row r="96" spans="1:12" s="714" customFormat="1" ht="24" customHeight="1">
      <c r="A96" s="861"/>
      <c r="B96" s="800" t="s">
        <v>1004</v>
      </c>
      <c r="C96" s="801"/>
      <c r="D96" s="801"/>
      <c r="E96" s="802">
        <v>6</v>
      </c>
      <c r="F96" s="803" t="s">
        <v>240</v>
      </c>
      <c r="G96" s="858">
        <v>100</v>
      </c>
      <c r="H96" s="864">
        <f t="shared" si="27"/>
        <v>600</v>
      </c>
      <c r="I96" s="865"/>
      <c r="J96" s="864"/>
      <c r="K96" s="799">
        <f t="shared" si="25"/>
        <v>600</v>
      </c>
      <c r="L96" s="798"/>
    </row>
    <row r="97" spans="1:12" s="714" customFormat="1" ht="24" customHeight="1">
      <c r="A97" s="861"/>
      <c r="B97" s="800" t="s">
        <v>1005</v>
      </c>
      <c r="C97" s="801"/>
      <c r="D97" s="801"/>
      <c r="E97" s="802">
        <v>6</v>
      </c>
      <c r="F97" s="803" t="s">
        <v>240</v>
      </c>
      <c r="G97" s="858">
        <v>1350</v>
      </c>
      <c r="H97" s="864">
        <f t="shared" si="27"/>
        <v>8100</v>
      </c>
      <c r="I97" s="865"/>
      <c r="J97" s="864"/>
      <c r="K97" s="799">
        <f t="shared" si="25"/>
        <v>8100</v>
      </c>
      <c r="L97" s="798"/>
    </row>
    <row r="98" spans="1:12" s="714" customFormat="1" ht="24" customHeight="1">
      <c r="A98" s="861" t="s">
        <v>1006</v>
      </c>
      <c r="B98" s="800" t="s">
        <v>1007</v>
      </c>
      <c r="C98" s="801"/>
      <c r="D98" s="801"/>
      <c r="E98" s="802">
        <v>2</v>
      </c>
      <c r="F98" s="803" t="s">
        <v>240</v>
      </c>
      <c r="G98" s="795">
        <v>21000</v>
      </c>
      <c r="H98" s="864">
        <f t="shared" si="27"/>
        <v>42000</v>
      </c>
      <c r="I98" s="865"/>
      <c r="J98" s="864"/>
      <c r="K98" s="799">
        <f t="shared" si="25"/>
        <v>42000</v>
      </c>
      <c r="L98" s="798"/>
    </row>
    <row r="99" spans="1:12" s="714" customFormat="1" ht="24" customHeight="1">
      <c r="A99" s="861" t="s">
        <v>1008</v>
      </c>
      <c r="B99" s="800" t="s">
        <v>1009</v>
      </c>
      <c r="C99" s="801"/>
      <c r="D99" s="801"/>
      <c r="E99" s="802">
        <v>2</v>
      </c>
      <c r="F99" s="803" t="s">
        <v>240</v>
      </c>
      <c r="G99" s="795">
        <v>39000</v>
      </c>
      <c r="H99" s="864">
        <f t="shared" si="27"/>
        <v>78000</v>
      </c>
      <c r="I99" s="865"/>
      <c r="J99" s="864"/>
      <c r="K99" s="799">
        <f t="shared" si="25"/>
        <v>78000</v>
      </c>
      <c r="L99" s="798"/>
    </row>
    <row r="100" spans="1:12" s="714" customFormat="1" ht="24" customHeight="1">
      <c r="A100" s="861" t="s">
        <v>1010</v>
      </c>
      <c r="B100" s="720" t="s">
        <v>1011</v>
      </c>
      <c r="C100" s="792"/>
      <c r="D100" s="792"/>
      <c r="E100" s="793">
        <v>2</v>
      </c>
      <c r="F100" s="722" t="s">
        <v>240</v>
      </c>
      <c r="G100" s="795">
        <f>15500+1350+2100+8640+69600+180000+198000+8800+1200</f>
        <v>485190</v>
      </c>
      <c r="H100" s="864">
        <f t="shared" si="27"/>
        <v>970380</v>
      </c>
      <c r="I100" s="797"/>
      <c r="J100" s="796"/>
      <c r="K100" s="799">
        <f t="shared" si="25"/>
        <v>970380</v>
      </c>
      <c r="L100" s="798"/>
    </row>
    <row r="101" spans="1:12" s="714" customFormat="1" ht="24" customHeight="1">
      <c r="A101" s="861"/>
      <c r="B101" s="720" t="s">
        <v>1012</v>
      </c>
      <c r="C101" s="792"/>
      <c r="D101" s="792"/>
      <c r="E101" s="793">
        <v>1</v>
      </c>
      <c r="F101" s="722" t="s">
        <v>240</v>
      </c>
      <c r="G101" s="795" t="s">
        <v>1013</v>
      </c>
      <c r="H101" s="796"/>
      <c r="I101" s="797"/>
      <c r="J101" s="796"/>
      <c r="K101" s="799"/>
      <c r="L101" s="798"/>
    </row>
    <row r="102" spans="1:12" s="714" customFormat="1" ht="24" customHeight="1">
      <c r="A102" s="861"/>
      <c r="B102" s="720" t="s">
        <v>1014</v>
      </c>
      <c r="C102" s="792"/>
      <c r="D102" s="792"/>
      <c r="E102" s="793">
        <v>24</v>
      </c>
      <c r="F102" s="722" t="s">
        <v>240</v>
      </c>
      <c r="G102" s="795" t="s">
        <v>1013</v>
      </c>
      <c r="H102" s="796"/>
      <c r="I102" s="797"/>
      <c r="J102" s="796"/>
      <c r="K102" s="799"/>
      <c r="L102" s="798"/>
    </row>
    <row r="103" spans="1:12" s="714" customFormat="1" ht="24" customHeight="1">
      <c r="A103" s="861"/>
      <c r="B103" s="720" t="s">
        <v>1015</v>
      </c>
      <c r="C103" s="792"/>
      <c r="D103" s="792"/>
      <c r="E103" s="793">
        <v>24</v>
      </c>
      <c r="F103" s="722" t="s">
        <v>240</v>
      </c>
      <c r="G103" s="795" t="s">
        <v>1013</v>
      </c>
      <c r="H103" s="796"/>
      <c r="I103" s="797"/>
      <c r="J103" s="796"/>
      <c r="K103" s="799"/>
      <c r="L103" s="798"/>
    </row>
    <row r="104" spans="1:12" s="714" customFormat="1" ht="24" customHeight="1">
      <c r="A104" s="861"/>
      <c r="B104" s="720" t="s">
        <v>1016</v>
      </c>
      <c r="C104" s="792"/>
      <c r="D104" s="792"/>
      <c r="E104" s="793">
        <v>24</v>
      </c>
      <c r="F104" s="722" t="s">
        <v>240</v>
      </c>
      <c r="G104" s="795" t="s">
        <v>1013</v>
      </c>
      <c r="H104" s="796"/>
      <c r="I104" s="797"/>
      <c r="J104" s="796"/>
      <c r="K104" s="799"/>
      <c r="L104" s="798"/>
    </row>
    <row r="105" spans="1:12" s="714" customFormat="1" ht="24" customHeight="1">
      <c r="A105" s="861"/>
      <c r="B105" s="720" t="s">
        <v>1017</v>
      </c>
      <c r="C105" s="792"/>
      <c r="D105" s="792"/>
      <c r="E105" s="793">
        <v>1</v>
      </c>
      <c r="F105" s="722" t="s">
        <v>240</v>
      </c>
      <c r="G105" s="795" t="s">
        <v>1013</v>
      </c>
      <c r="H105" s="796"/>
      <c r="I105" s="797"/>
      <c r="J105" s="796"/>
      <c r="K105" s="799"/>
      <c r="L105" s="798"/>
    </row>
    <row r="106" spans="1:12" s="714" customFormat="1" ht="24" customHeight="1">
      <c r="A106" s="861"/>
      <c r="B106" s="720" t="s">
        <v>1018</v>
      </c>
      <c r="C106" s="792"/>
      <c r="D106" s="792"/>
      <c r="E106" s="793">
        <v>1</v>
      </c>
      <c r="F106" s="722" t="s">
        <v>948</v>
      </c>
      <c r="G106" s="858">
        <v>2500000</v>
      </c>
      <c r="H106" s="796">
        <f t="shared" ref="H106:H107" si="28">ROUND(G106*E106,)</f>
        <v>2500000</v>
      </c>
      <c r="I106" s="797">
        <f>G106*10%</f>
        <v>250000</v>
      </c>
      <c r="J106" s="796">
        <f t="shared" ref="J106:J107" si="29">ROUND(E106*I106,)</f>
        <v>250000</v>
      </c>
      <c r="K106" s="799">
        <f t="shared" ref="K106:K117" si="30">H106+J106</f>
        <v>2750000</v>
      </c>
      <c r="L106" s="798"/>
    </row>
    <row r="107" spans="1:12" s="714" customFormat="1" ht="24" customHeight="1">
      <c r="A107" s="861"/>
      <c r="B107" s="720" t="s">
        <v>1019</v>
      </c>
      <c r="C107" s="792"/>
      <c r="D107" s="792"/>
      <c r="E107" s="793">
        <v>1</v>
      </c>
      <c r="F107" s="722" t="s">
        <v>948</v>
      </c>
      <c r="G107" s="795">
        <v>360000</v>
      </c>
      <c r="H107" s="796">
        <f t="shared" si="28"/>
        <v>360000</v>
      </c>
      <c r="I107" s="797">
        <f>G107*0.3</f>
        <v>108000</v>
      </c>
      <c r="J107" s="796">
        <f t="shared" si="29"/>
        <v>108000</v>
      </c>
      <c r="K107" s="799">
        <f t="shared" si="30"/>
        <v>468000</v>
      </c>
      <c r="L107" s="798"/>
    </row>
    <row r="108" spans="1:12" s="714" customFormat="1" ht="24" customHeight="1">
      <c r="A108" s="836" t="s">
        <v>1020</v>
      </c>
      <c r="B108" s="720" t="s">
        <v>1021</v>
      </c>
      <c r="C108" s="792"/>
      <c r="D108" s="792"/>
      <c r="E108" s="793"/>
      <c r="F108" s="722"/>
      <c r="G108" s="795"/>
      <c r="H108" s="796"/>
      <c r="I108" s="797"/>
      <c r="J108" s="796"/>
      <c r="K108" s="799">
        <f t="shared" si="30"/>
        <v>0</v>
      </c>
      <c r="L108" s="798"/>
    </row>
    <row r="109" spans="1:12" s="714" customFormat="1" ht="24" customHeight="1">
      <c r="A109" s="868"/>
      <c r="B109" s="800" t="s">
        <v>1022</v>
      </c>
      <c r="C109" s="801"/>
      <c r="D109" s="801"/>
      <c r="E109" s="802">
        <v>2</v>
      </c>
      <c r="F109" s="803" t="s">
        <v>240</v>
      </c>
      <c r="G109" s="858">
        <f>26000*0.8</f>
        <v>20800</v>
      </c>
      <c r="H109" s="864">
        <f t="shared" ref="H109:H117" si="31">ROUND(G109*E109,)</f>
        <v>41600</v>
      </c>
      <c r="I109" s="865">
        <v>1300</v>
      </c>
      <c r="J109" s="864">
        <f t="shared" ref="J109:J117" si="32">ROUND(E109*I109,)</f>
        <v>2600</v>
      </c>
      <c r="K109" s="799">
        <f t="shared" si="30"/>
        <v>44200</v>
      </c>
      <c r="L109" s="798"/>
    </row>
    <row r="110" spans="1:12" s="714" customFormat="1" ht="24" customHeight="1">
      <c r="A110" s="868"/>
      <c r="B110" s="800" t="s">
        <v>1023</v>
      </c>
      <c r="C110" s="801"/>
      <c r="D110" s="801"/>
      <c r="E110" s="802">
        <v>2</v>
      </c>
      <c r="F110" s="803" t="s">
        <v>240</v>
      </c>
      <c r="G110" s="858">
        <f>34700*0.8</f>
        <v>27760</v>
      </c>
      <c r="H110" s="864">
        <f t="shared" si="31"/>
        <v>55520</v>
      </c>
      <c r="I110" s="865">
        <v>1300</v>
      </c>
      <c r="J110" s="864">
        <f t="shared" si="32"/>
        <v>2600</v>
      </c>
      <c r="K110" s="799">
        <f t="shared" si="30"/>
        <v>58120</v>
      </c>
      <c r="L110" s="798"/>
    </row>
    <row r="111" spans="1:12" s="714" customFormat="1" ht="24" customHeight="1">
      <c r="A111" s="868"/>
      <c r="B111" s="800" t="s">
        <v>1024</v>
      </c>
      <c r="C111" s="801"/>
      <c r="D111" s="801"/>
      <c r="E111" s="802">
        <v>2</v>
      </c>
      <c r="F111" s="803" t="s">
        <v>240</v>
      </c>
      <c r="G111" s="858">
        <f>42700*0.8</f>
        <v>34160</v>
      </c>
      <c r="H111" s="864">
        <f t="shared" si="31"/>
        <v>68320</v>
      </c>
      <c r="I111" s="865">
        <v>1300</v>
      </c>
      <c r="J111" s="864">
        <f t="shared" si="32"/>
        <v>2600</v>
      </c>
      <c r="K111" s="799">
        <f t="shared" si="30"/>
        <v>70920</v>
      </c>
      <c r="L111" s="798"/>
    </row>
    <row r="112" spans="1:12" s="714" customFormat="1" ht="24" customHeight="1">
      <c r="A112" s="868"/>
      <c r="B112" s="800" t="s">
        <v>1025</v>
      </c>
      <c r="C112" s="801"/>
      <c r="D112" s="801"/>
      <c r="E112" s="802">
        <v>1</v>
      </c>
      <c r="F112" s="803" t="s">
        <v>240</v>
      </c>
      <c r="G112" s="858">
        <f>68700*0.8</f>
        <v>54960</v>
      </c>
      <c r="H112" s="864">
        <f t="shared" si="31"/>
        <v>54960</v>
      </c>
      <c r="I112" s="865">
        <v>1300</v>
      </c>
      <c r="J112" s="864">
        <f t="shared" si="32"/>
        <v>1300</v>
      </c>
      <c r="K112" s="799">
        <f t="shared" si="30"/>
        <v>56260</v>
      </c>
      <c r="L112" s="798"/>
    </row>
    <row r="113" spans="1:12" s="714" customFormat="1" ht="24" customHeight="1">
      <c r="A113" s="868"/>
      <c r="B113" s="800" t="s">
        <v>1026</v>
      </c>
      <c r="C113" s="801"/>
      <c r="D113" s="801"/>
      <c r="E113" s="802"/>
      <c r="F113" s="803" t="s">
        <v>240</v>
      </c>
      <c r="G113" s="858">
        <f>86000*0.8</f>
        <v>68800</v>
      </c>
      <c r="H113" s="864">
        <f t="shared" si="31"/>
        <v>0</v>
      </c>
      <c r="I113" s="865">
        <v>1300</v>
      </c>
      <c r="J113" s="864">
        <f t="shared" si="32"/>
        <v>0</v>
      </c>
      <c r="K113" s="799">
        <f t="shared" si="30"/>
        <v>0</v>
      </c>
      <c r="L113" s="798"/>
    </row>
    <row r="114" spans="1:12" s="714" customFormat="1" ht="24" customHeight="1">
      <c r="A114" s="868"/>
      <c r="B114" s="800" t="s">
        <v>1027</v>
      </c>
      <c r="C114" s="801"/>
      <c r="D114" s="801"/>
      <c r="E114" s="802"/>
      <c r="F114" s="803" t="s">
        <v>240</v>
      </c>
      <c r="G114" s="858">
        <f>103400*0.8</f>
        <v>82720</v>
      </c>
      <c r="H114" s="864">
        <f t="shared" si="31"/>
        <v>0</v>
      </c>
      <c r="I114" s="865">
        <v>1300</v>
      </c>
      <c r="J114" s="864">
        <f t="shared" si="32"/>
        <v>0</v>
      </c>
      <c r="K114" s="799">
        <f t="shared" si="30"/>
        <v>0</v>
      </c>
      <c r="L114" s="798"/>
    </row>
    <row r="115" spans="1:12" s="714" customFormat="1" ht="24" customHeight="1">
      <c r="A115" s="868"/>
      <c r="B115" s="800" t="s">
        <v>1028</v>
      </c>
      <c r="C115" s="801"/>
      <c r="D115" s="801"/>
      <c r="E115" s="802"/>
      <c r="F115" s="803" t="s">
        <v>240</v>
      </c>
      <c r="G115" s="858">
        <f>137400*0.8</f>
        <v>109920</v>
      </c>
      <c r="H115" s="864">
        <f t="shared" si="31"/>
        <v>0</v>
      </c>
      <c r="I115" s="865">
        <v>1300</v>
      </c>
      <c r="J115" s="864">
        <f t="shared" si="32"/>
        <v>0</v>
      </c>
      <c r="K115" s="799">
        <f t="shared" si="30"/>
        <v>0</v>
      </c>
      <c r="L115" s="798"/>
    </row>
    <row r="116" spans="1:12" s="714" customFormat="1" ht="24" customHeight="1">
      <c r="A116" s="868"/>
      <c r="B116" s="800" t="s">
        <v>1029</v>
      </c>
      <c r="C116" s="801"/>
      <c r="D116" s="801"/>
      <c r="E116" s="802">
        <v>1</v>
      </c>
      <c r="F116" s="803" t="s">
        <v>948</v>
      </c>
      <c r="G116" s="858">
        <f>557400+1669600</f>
        <v>2227000</v>
      </c>
      <c r="H116" s="864">
        <f t="shared" si="31"/>
        <v>2227000</v>
      </c>
      <c r="I116" s="865">
        <f>G116*0.01</f>
        <v>22270</v>
      </c>
      <c r="J116" s="864">
        <f t="shared" si="32"/>
        <v>22270</v>
      </c>
      <c r="K116" s="799">
        <f t="shared" si="30"/>
        <v>2249270</v>
      </c>
      <c r="L116" s="798"/>
    </row>
    <row r="117" spans="1:12" s="714" customFormat="1" ht="24" customHeight="1">
      <c r="A117" s="868"/>
      <c r="B117" s="800" t="s">
        <v>1030</v>
      </c>
      <c r="C117" s="801"/>
      <c r="D117" s="801"/>
      <c r="E117" s="802">
        <v>1</v>
      </c>
      <c r="F117" s="803" t="s">
        <v>948</v>
      </c>
      <c r="G117" s="858">
        <f>360000</f>
        <v>360000</v>
      </c>
      <c r="H117" s="864">
        <f t="shared" si="31"/>
        <v>360000</v>
      </c>
      <c r="I117" s="865">
        <f>G117*0.01</f>
        <v>3600</v>
      </c>
      <c r="J117" s="864">
        <f t="shared" si="32"/>
        <v>3600</v>
      </c>
      <c r="K117" s="799">
        <f t="shared" si="30"/>
        <v>363600</v>
      </c>
      <c r="L117" s="798"/>
    </row>
    <row r="118" spans="1:12" s="714" customFormat="1" ht="24" customHeight="1">
      <c r="A118" s="836"/>
      <c r="B118" s="720" t="s">
        <v>957</v>
      </c>
      <c r="C118" s="792"/>
      <c r="D118" s="792"/>
      <c r="E118" s="793"/>
      <c r="F118" s="722"/>
      <c r="G118" s="795"/>
      <c r="H118" s="796"/>
      <c r="I118" s="797"/>
      <c r="J118" s="796"/>
      <c r="K118" s="799"/>
      <c r="L118" s="798"/>
    </row>
    <row r="119" spans="1:12" s="714" customFormat="1" ht="24" customHeight="1">
      <c r="A119" s="836"/>
      <c r="B119" s="720" t="s">
        <v>958</v>
      </c>
      <c r="C119" s="792"/>
      <c r="D119" s="792"/>
      <c r="E119" s="793"/>
      <c r="F119" s="794"/>
      <c r="G119" s="795"/>
      <c r="H119" s="796"/>
      <c r="I119" s="797"/>
      <c r="J119" s="796"/>
      <c r="K119" s="797"/>
      <c r="L119" s="798"/>
    </row>
    <row r="120" spans="1:12" s="714" customFormat="1" ht="24" customHeight="1">
      <c r="A120" s="839"/>
      <c r="B120" s="705" t="s">
        <v>958</v>
      </c>
      <c r="C120" s="809"/>
      <c r="D120" s="809"/>
      <c r="E120" s="869"/>
      <c r="F120" s="870"/>
      <c r="G120" s="871"/>
      <c r="H120" s="872"/>
      <c r="I120" s="873"/>
      <c r="J120" s="872"/>
      <c r="K120" s="873"/>
      <c r="L120" s="814"/>
    </row>
    <row r="121" spans="1:12" s="714" customFormat="1" ht="24" customHeight="1">
      <c r="A121" s="808"/>
      <c r="B121" s="705"/>
      <c r="C121" s="809"/>
      <c r="D121" s="809"/>
      <c r="E121" s="810"/>
      <c r="F121" s="811"/>
      <c r="G121" s="812"/>
      <c r="H121" s="765"/>
      <c r="I121" s="813"/>
      <c r="J121" s="765"/>
      <c r="K121" s="766"/>
      <c r="L121" s="814"/>
    </row>
    <row r="122" spans="1:12" s="714" customFormat="1" ht="24" customHeight="1">
      <c r="A122" s="775"/>
      <c r="B122" s="2475" t="str">
        <f>"รวมราคารายการที่ "&amp;A83</f>
        <v>รวมราคารายการที่ 3.5</v>
      </c>
      <c r="C122" s="2476"/>
      <c r="D122" s="2477"/>
      <c r="E122" s="776"/>
      <c r="F122" s="777"/>
      <c r="G122" s="778"/>
      <c r="H122" s="779">
        <f>SUM(H83:H121)</f>
        <v>7996460</v>
      </c>
      <c r="I122" s="778"/>
      <c r="J122" s="779">
        <f t="shared" ref="J122:K122" si="33">SUM(J83:J121)</f>
        <v>392970</v>
      </c>
      <c r="K122" s="779">
        <f t="shared" si="33"/>
        <v>8389430</v>
      </c>
      <c r="L122" s="777"/>
    </row>
    <row r="123" spans="1:12" s="714" customFormat="1" ht="24" customHeight="1">
      <c r="A123" s="815">
        <v>3.6</v>
      </c>
      <c r="B123" s="816" t="s">
        <v>1031</v>
      </c>
      <c r="C123" s="859"/>
      <c r="D123" s="859"/>
      <c r="E123" s="851"/>
      <c r="F123" s="852"/>
      <c r="G123" s="874"/>
      <c r="H123" s="854"/>
      <c r="I123" s="855"/>
      <c r="J123" s="854"/>
      <c r="K123" s="855"/>
      <c r="L123" s="826"/>
    </row>
    <row r="124" spans="1:12" s="714" customFormat="1" ht="24" customHeight="1">
      <c r="A124" s="836" t="s">
        <v>1032</v>
      </c>
      <c r="B124" s="875" t="s">
        <v>1033</v>
      </c>
      <c r="C124" s="792"/>
      <c r="D124" s="792"/>
      <c r="E124" s="793"/>
      <c r="F124" s="794"/>
      <c r="G124" s="795"/>
      <c r="H124" s="796"/>
      <c r="I124" s="797"/>
      <c r="J124" s="796"/>
      <c r="K124" s="797"/>
      <c r="L124" s="798"/>
    </row>
    <row r="125" spans="1:12" s="714" customFormat="1" ht="24" customHeight="1">
      <c r="A125" s="831" t="s">
        <v>1034</v>
      </c>
      <c r="B125" s="720" t="s">
        <v>994</v>
      </c>
      <c r="C125" s="792"/>
      <c r="D125" s="792"/>
      <c r="E125" s="793"/>
      <c r="F125" s="794"/>
      <c r="G125" s="795"/>
      <c r="H125" s="796"/>
      <c r="I125" s="797"/>
      <c r="J125" s="796"/>
      <c r="K125" s="797"/>
      <c r="L125" s="798"/>
    </row>
    <row r="126" spans="1:12" s="714" customFormat="1" ht="24" customHeight="1">
      <c r="A126" s="831"/>
      <c r="B126" s="720" t="s">
        <v>1035</v>
      </c>
      <c r="C126" s="792"/>
      <c r="D126" s="792"/>
      <c r="E126" s="793">
        <v>1</v>
      </c>
      <c r="F126" s="722" t="s">
        <v>240</v>
      </c>
      <c r="G126" s="795">
        <v>3700</v>
      </c>
      <c r="H126" s="796">
        <f t="shared" ref="H126:H145" si="34">ROUND(G126*E126,)</f>
        <v>3700</v>
      </c>
      <c r="I126" s="797"/>
      <c r="J126" s="796">
        <f t="shared" ref="J126:J138" si="35">E126*I126</f>
        <v>0</v>
      </c>
      <c r="K126" s="799">
        <f t="shared" ref="K126:K145" si="36">H126+J126</f>
        <v>3700</v>
      </c>
      <c r="L126" s="798"/>
    </row>
    <row r="127" spans="1:12" s="714" customFormat="1" ht="24" customHeight="1">
      <c r="A127" s="831"/>
      <c r="B127" s="720" t="s">
        <v>995</v>
      </c>
      <c r="C127" s="792"/>
      <c r="D127" s="792"/>
      <c r="E127" s="793">
        <v>2</v>
      </c>
      <c r="F127" s="722" t="s">
        <v>240</v>
      </c>
      <c r="G127" s="795">
        <v>3700</v>
      </c>
      <c r="H127" s="796">
        <f t="shared" si="34"/>
        <v>7400</v>
      </c>
      <c r="I127" s="797"/>
      <c r="J127" s="796">
        <f t="shared" si="35"/>
        <v>0</v>
      </c>
      <c r="K127" s="799">
        <f t="shared" si="36"/>
        <v>7400</v>
      </c>
      <c r="L127" s="798"/>
    </row>
    <row r="128" spans="1:12" s="714" customFormat="1" ht="24" customHeight="1">
      <c r="A128" s="831"/>
      <c r="B128" s="720" t="s">
        <v>1036</v>
      </c>
      <c r="C128" s="792"/>
      <c r="D128" s="792"/>
      <c r="E128" s="793"/>
      <c r="F128" s="722" t="s">
        <v>240</v>
      </c>
      <c r="G128" s="795">
        <v>6800</v>
      </c>
      <c r="H128" s="796">
        <f t="shared" si="34"/>
        <v>0</v>
      </c>
      <c r="I128" s="797"/>
      <c r="J128" s="796"/>
      <c r="K128" s="799">
        <f t="shared" si="36"/>
        <v>0</v>
      </c>
      <c r="L128" s="798"/>
    </row>
    <row r="129" spans="1:12" s="714" customFormat="1" ht="24" customHeight="1">
      <c r="A129" s="831"/>
      <c r="B129" s="720" t="s">
        <v>1037</v>
      </c>
      <c r="C129" s="792"/>
      <c r="D129" s="792"/>
      <c r="E129" s="793">
        <v>2</v>
      </c>
      <c r="F129" s="722" t="s">
        <v>240</v>
      </c>
      <c r="G129" s="795">
        <v>6800</v>
      </c>
      <c r="H129" s="796">
        <f t="shared" si="34"/>
        <v>13600</v>
      </c>
      <c r="I129" s="797"/>
      <c r="J129" s="796"/>
      <c r="K129" s="799">
        <f t="shared" si="36"/>
        <v>13600</v>
      </c>
      <c r="L129" s="798"/>
    </row>
    <row r="130" spans="1:12" s="714" customFormat="1" ht="24" customHeight="1">
      <c r="A130" s="831"/>
      <c r="B130" s="720" t="s">
        <v>1038</v>
      </c>
      <c r="C130" s="792"/>
      <c r="D130" s="792"/>
      <c r="E130" s="793">
        <v>2</v>
      </c>
      <c r="F130" s="722" t="s">
        <v>240</v>
      </c>
      <c r="G130" s="858">
        <v>8600</v>
      </c>
      <c r="H130" s="796">
        <f t="shared" si="34"/>
        <v>17200</v>
      </c>
      <c r="I130" s="797"/>
      <c r="J130" s="796"/>
      <c r="K130" s="799">
        <f t="shared" si="36"/>
        <v>17200</v>
      </c>
      <c r="L130" s="798"/>
    </row>
    <row r="131" spans="1:12" s="714" customFormat="1" ht="24" customHeight="1">
      <c r="A131" s="831"/>
      <c r="B131" s="720" t="s">
        <v>1039</v>
      </c>
      <c r="C131" s="792"/>
      <c r="D131" s="792"/>
      <c r="E131" s="793">
        <v>2</v>
      </c>
      <c r="F131" s="722" t="s">
        <v>240</v>
      </c>
      <c r="G131" s="795">
        <v>9700</v>
      </c>
      <c r="H131" s="796">
        <f t="shared" si="34"/>
        <v>19400</v>
      </c>
      <c r="I131" s="797"/>
      <c r="J131" s="796"/>
      <c r="K131" s="799">
        <f t="shared" si="36"/>
        <v>19400</v>
      </c>
      <c r="L131" s="798"/>
    </row>
    <row r="132" spans="1:12" s="714" customFormat="1" ht="24" customHeight="1">
      <c r="A132" s="831"/>
      <c r="B132" s="720" t="s">
        <v>1040</v>
      </c>
      <c r="C132" s="792"/>
      <c r="D132" s="792"/>
      <c r="E132" s="793">
        <v>1</v>
      </c>
      <c r="F132" s="722" t="s">
        <v>240</v>
      </c>
      <c r="G132" s="795">
        <v>9700</v>
      </c>
      <c r="H132" s="796">
        <f t="shared" si="34"/>
        <v>9700</v>
      </c>
      <c r="I132" s="797"/>
      <c r="J132" s="796"/>
      <c r="K132" s="799">
        <f t="shared" si="36"/>
        <v>9700</v>
      </c>
      <c r="L132" s="798"/>
    </row>
    <row r="133" spans="1:12" s="714" customFormat="1" ht="24" customHeight="1">
      <c r="A133" s="831"/>
      <c r="B133" s="720" t="s">
        <v>1041</v>
      </c>
      <c r="C133" s="792"/>
      <c r="D133" s="792"/>
      <c r="E133" s="793">
        <v>2</v>
      </c>
      <c r="F133" s="722" t="s">
        <v>240</v>
      </c>
      <c r="G133" s="795">
        <v>12500</v>
      </c>
      <c r="H133" s="796">
        <f t="shared" si="34"/>
        <v>25000</v>
      </c>
      <c r="I133" s="797"/>
      <c r="J133" s="796"/>
      <c r="K133" s="799">
        <f t="shared" si="36"/>
        <v>25000</v>
      </c>
      <c r="L133" s="798"/>
    </row>
    <row r="134" spans="1:12" s="714" customFormat="1" ht="24" customHeight="1">
      <c r="A134" s="831"/>
      <c r="B134" s="720" t="s">
        <v>1042</v>
      </c>
      <c r="C134" s="792"/>
      <c r="D134" s="792"/>
      <c r="E134" s="793"/>
      <c r="F134" s="722" t="s">
        <v>240</v>
      </c>
      <c r="G134" s="795">
        <v>13300</v>
      </c>
      <c r="H134" s="796">
        <f t="shared" si="34"/>
        <v>0</v>
      </c>
      <c r="I134" s="797"/>
      <c r="J134" s="796"/>
      <c r="K134" s="799">
        <f t="shared" si="36"/>
        <v>0</v>
      </c>
      <c r="L134" s="798"/>
    </row>
    <row r="135" spans="1:12" s="714" customFormat="1" ht="24" customHeight="1">
      <c r="A135" s="831"/>
      <c r="B135" s="720" t="s">
        <v>1043</v>
      </c>
      <c r="C135" s="792"/>
      <c r="D135" s="792"/>
      <c r="E135" s="793">
        <v>1</v>
      </c>
      <c r="F135" s="722" t="s">
        <v>240</v>
      </c>
      <c r="G135" s="795">
        <v>20200</v>
      </c>
      <c r="H135" s="796">
        <f t="shared" si="34"/>
        <v>20200</v>
      </c>
      <c r="I135" s="797"/>
      <c r="J135" s="796"/>
      <c r="K135" s="799">
        <f t="shared" si="36"/>
        <v>20200</v>
      </c>
      <c r="L135" s="798"/>
    </row>
    <row r="136" spans="1:12" s="714" customFormat="1" ht="24" customHeight="1">
      <c r="A136" s="831"/>
      <c r="B136" s="720" t="s">
        <v>996</v>
      </c>
      <c r="C136" s="792"/>
      <c r="D136" s="792"/>
      <c r="E136" s="793">
        <v>2</v>
      </c>
      <c r="F136" s="722" t="s">
        <v>240</v>
      </c>
      <c r="G136" s="795">
        <v>73500</v>
      </c>
      <c r="H136" s="796">
        <f t="shared" si="34"/>
        <v>147000</v>
      </c>
      <c r="I136" s="797"/>
      <c r="J136" s="796"/>
      <c r="K136" s="799">
        <f t="shared" si="36"/>
        <v>147000</v>
      </c>
      <c r="L136" s="798"/>
    </row>
    <row r="137" spans="1:12" s="714" customFormat="1" ht="24" customHeight="1">
      <c r="A137" s="831"/>
      <c r="B137" s="720" t="s">
        <v>987</v>
      </c>
      <c r="C137" s="792"/>
      <c r="D137" s="792"/>
      <c r="E137" s="793">
        <v>1</v>
      </c>
      <c r="F137" s="722" t="s">
        <v>240</v>
      </c>
      <c r="G137" s="858">
        <f>80000+9900</f>
        <v>89900</v>
      </c>
      <c r="H137" s="864">
        <f t="shared" si="34"/>
        <v>89900</v>
      </c>
      <c r="I137" s="797"/>
      <c r="J137" s="796"/>
      <c r="K137" s="799">
        <f t="shared" si="36"/>
        <v>89900</v>
      </c>
      <c r="L137" s="798"/>
    </row>
    <row r="138" spans="1:12" s="714" customFormat="1" ht="24" customHeight="1">
      <c r="A138" s="831"/>
      <c r="B138" s="720" t="s">
        <v>1044</v>
      </c>
      <c r="C138" s="792"/>
      <c r="D138" s="792"/>
      <c r="E138" s="793">
        <v>1</v>
      </c>
      <c r="F138" s="722" t="s">
        <v>240</v>
      </c>
      <c r="G138" s="795">
        <v>863000</v>
      </c>
      <c r="H138" s="796">
        <f t="shared" si="34"/>
        <v>863000</v>
      </c>
      <c r="I138" s="797"/>
      <c r="J138" s="796">
        <f t="shared" si="35"/>
        <v>0</v>
      </c>
      <c r="K138" s="799">
        <f t="shared" si="36"/>
        <v>863000</v>
      </c>
      <c r="L138" s="798"/>
    </row>
    <row r="139" spans="1:12" s="714" customFormat="1" ht="24" customHeight="1">
      <c r="A139" s="856" t="s">
        <v>1045</v>
      </c>
      <c r="B139" s="720" t="s">
        <v>1001</v>
      </c>
      <c r="C139" s="792"/>
      <c r="D139" s="792"/>
      <c r="E139" s="793"/>
      <c r="F139" s="722"/>
      <c r="G139" s="795"/>
      <c r="H139" s="796">
        <f t="shared" si="34"/>
        <v>0</v>
      </c>
      <c r="I139" s="797"/>
      <c r="J139" s="796"/>
      <c r="K139" s="799">
        <f t="shared" si="36"/>
        <v>0</v>
      </c>
      <c r="L139" s="798"/>
    </row>
    <row r="140" spans="1:12" s="714" customFormat="1" ht="24" customHeight="1">
      <c r="A140" s="831"/>
      <c r="B140" s="720" t="s">
        <v>1046</v>
      </c>
      <c r="C140" s="792"/>
      <c r="D140" s="792"/>
      <c r="E140" s="793">
        <v>3</v>
      </c>
      <c r="F140" s="722" t="s">
        <v>240</v>
      </c>
      <c r="G140" s="795">
        <v>1260</v>
      </c>
      <c r="H140" s="796">
        <f t="shared" si="34"/>
        <v>3780</v>
      </c>
      <c r="I140" s="797"/>
      <c r="J140" s="796">
        <f t="shared" ref="J140:J143" si="37">E140*I140</f>
        <v>0</v>
      </c>
      <c r="K140" s="799">
        <f t="shared" si="36"/>
        <v>3780</v>
      </c>
      <c r="L140" s="798"/>
    </row>
    <row r="141" spans="1:12" s="714" customFormat="1" ht="24" customHeight="1">
      <c r="A141" s="831"/>
      <c r="B141" s="720" t="s">
        <v>1003</v>
      </c>
      <c r="C141" s="792"/>
      <c r="D141" s="792"/>
      <c r="E141" s="793">
        <v>9</v>
      </c>
      <c r="F141" s="722" t="s">
        <v>240</v>
      </c>
      <c r="G141" s="795">
        <v>120</v>
      </c>
      <c r="H141" s="796">
        <f t="shared" si="34"/>
        <v>1080</v>
      </c>
      <c r="I141" s="797"/>
      <c r="J141" s="796">
        <f t="shared" si="37"/>
        <v>0</v>
      </c>
      <c r="K141" s="799">
        <f t="shared" si="36"/>
        <v>1080</v>
      </c>
      <c r="L141" s="798"/>
    </row>
    <row r="142" spans="1:12" s="714" customFormat="1" ht="24" customHeight="1">
      <c r="A142" s="831"/>
      <c r="B142" s="720" t="s">
        <v>1004</v>
      </c>
      <c r="C142" s="792"/>
      <c r="D142" s="792"/>
      <c r="E142" s="793">
        <v>6</v>
      </c>
      <c r="F142" s="722" t="s">
        <v>240</v>
      </c>
      <c r="G142" s="795">
        <v>100</v>
      </c>
      <c r="H142" s="796">
        <f t="shared" si="34"/>
        <v>600</v>
      </c>
      <c r="I142" s="797"/>
      <c r="J142" s="796">
        <f t="shared" si="37"/>
        <v>0</v>
      </c>
      <c r="K142" s="799">
        <f t="shared" si="36"/>
        <v>600</v>
      </c>
      <c r="L142" s="798"/>
    </row>
    <row r="143" spans="1:12" s="714" customFormat="1" ht="24" customHeight="1">
      <c r="A143" s="856" t="s">
        <v>1047</v>
      </c>
      <c r="B143" s="720" t="s">
        <v>1007</v>
      </c>
      <c r="C143" s="792"/>
      <c r="D143" s="792"/>
      <c r="E143" s="793">
        <v>1</v>
      </c>
      <c r="F143" s="722" t="s">
        <v>240</v>
      </c>
      <c r="G143" s="795">
        <v>21000</v>
      </c>
      <c r="H143" s="796">
        <f t="shared" si="34"/>
        <v>21000</v>
      </c>
      <c r="I143" s="797"/>
      <c r="J143" s="796">
        <f t="shared" si="37"/>
        <v>0</v>
      </c>
      <c r="K143" s="799">
        <f t="shared" si="36"/>
        <v>21000</v>
      </c>
      <c r="L143" s="798"/>
    </row>
    <row r="144" spans="1:12" s="714" customFormat="1" ht="24" customHeight="1">
      <c r="A144" s="856" t="s">
        <v>1048</v>
      </c>
      <c r="B144" s="720" t="s">
        <v>989</v>
      </c>
      <c r="C144" s="792"/>
      <c r="D144" s="792"/>
      <c r="E144" s="793">
        <v>1</v>
      </c>
      <c r="F144" s="722" t="s">
        <v>948</v>
      </c>
      <c r="G144" s="795">
        <v>500000</v>
      </c>
      <c r="H144" s="796">
        <f t="shared" si="34"/>
        <v>500000</v>
      </c>
      <c r="I144" s="797">
        <f>G144*0.1</f>
        <v>50000</v>
      </c>
      <c r="J144" s="796">
        <f t="shared" ref="J144:J145" si="38">ROUND(E144*I144,)</f>
        <v>50000</v>
      </c>
      <c r="K144" s="799">
        <f t="shared" si="36"/>
        <v>550000</v>
      </c>
      <c r="L144" s="798"/>
    </row>
    <row r="145" spans="1:12" s="714" customFormat="1" ht="24" customHeight="1">
      <c r="A145" s="856" t="s">
        <v>1049</v>
      </c>
      <c r="B145" s="720" t="s">
        <v>963</v>
      </c>
      <c r="C145" s="792"/>
      <c r="D145" s="792"/>
      <c r="E145" s="793">
        <v>1</v>
      </c>
      <c r="F145" s="722" t="s">
        <v>948</v>
      </c>
      <c r="G145" s="795">
        <v>7500</v>
      </c>
      <c r="H145" s="796">
        <f t="shared" si="34"/>
        <v>7500</v>
      </c>
      <c r="I145" s="797">
        <f>G145*0.3</f>
        <v>2250</v>
      </c>
      <c r="J145" s="796">
        <f t="shared" si="38"/>
        <v>2250</v>
      </c>
      <c r="K145" s="799">
        <f t="shared" si="36"/>
        <v>9750</v>
      </c>
      <c r="L145" s="798"/>
    </row>
    <row r="146" spans="1:12" s="714" customFormat="1" ht="24" customHeight="1">
      <c r="A146" s="861"/>
      <c r="B146" s="800" t="s">
        <v>957</v>
      </c>
      <c r="C146" s="801"/>
      <c r="D146" s="801"/>
      <c r="E146" s="802"/>
      <c r="F146" s="867"/>
      <c r="G146" s="876"/>
      <c r="H146" s="864"/>
      <c r="I146" s="865"/>
      <c r="J146" s="864"/>
      <c r="K146" s="865"/>
      <c r="L146" s="798"/>
    </row>
    <row r="147" spans="1:12" s="714" customFormat="1" ht="24" customHeight="1">
      <c r="A147" s="836"/>
      <c r="B147" s="720" t="s">
        <v>958</v>
      </c>
      <c r="C147" s="792"/>
      <c r="D147" s="792"/>
      <c r="E147" s="793"/>
      <c r="F147" s="794"/>
      <c r="G147" s="795"/>
      <c r="H147" s="796"/>
      <c r="I147" s="797"/>
      <c r="J147" s="796"/>
      <c r="K147" s="797"/>
      <c r="L147" s="798"/>
    </row>
    <row r="148" spans="1:12" s="714" customFormat="1" ht="24" customHeight="1">
      <c r="A148" s="839"/>
      <c r="B148" s="705" t="s">
        <v>958</v>
      </c>
      <c r="C148" s="809"/>
      <c r="D148" s="809"/>
      <c r="E148" s="869"/>
      <c r="F148" s="870"/>
      <c r="G148" s="871"/>
      <c r="H148" s="872"/>
      <c r="I148" s="873"/>
      <c r="J148" s="872"/>
      <c r="K148" s="873"/>
      <c r="L148" s="814"/>
    </row>
    <row r="149" spans="1:12" s="714" customFormat="1" ht="24" customHeight="1">
      <c r="A149" s="839"/>
      <c r="B149" s="705"/>
      <c r="C149" s="809"/>
      <c r="D149" s="809"/>
      <c r="E149" s="869"/>
      <c r="F149" s="870"/>
      <c r="G149" s="877"/>
      <c r="H149" s="872"/>
      <c r="I149" s="873"/>
      <c r="J149" s="872"/>
      <c r="K149" s="873"/>
      <c r="L149" s="814"/>
    </row>
    <row r="150" spans="1:12" s="714" customFormat="1" ht="24" customHeight="1">
      <c r="A150" s="839"/>
      <c r="B150" s="705"/>
      <c r="C150" s="809"/>
      <c r="D150" s="809"/>
      <c r="E150" s="869"/>
      <c r="F150" s="870"/>
      <c r="G150" s="877"/>
      <c r="H150" s="872"/>
      <c r="I150" s="873"/>
      <c r="J150" s="872"/>
      <c r="K150" s="873"/>
      <c r="L150" s="814"/>
    </row>
    <row r="151" spans="1:12" s="714" customFormat="1" ht="24" customHeight="1">
      <c r="A151" s="839"/>
      <c r="B151" s="705"/>
      <c r="C151" s="809"/>
      <c r="D151" s="809"/>
      <c r="E151" s="869"/>
      <c r="F151" s="870"/>
      <c r="G151" s="877"/>
      <c r="H151" s="872"/>
      <c r="I151" s="873"/>
      <c r="J151" s="872"/>
      <c r="K151" s="873"/>
      <c r="L151" s="814"/>
    </row>
    <row r="152" spans="1:12" s="714" customFormat="1" ht="24" customHeight="1">
      <c r="A152" s="839"/>
      <c r="B152" s="705"/>
      <c r="C152" s="809"/>
      <c r="D152" s="809"/>
      <c r="E152" s="869"/>
      <c r="F152" s="870"/>
      <c r="G152" s="877"/>
      <c r="H152" s="872"/>
      <c r="I152" s="873"/>
      <c r="J152" s="872"/>
      <c r="K152" s="873"/>
      <c r="L152" s="814"/>
    </row>
    <row r="153" spans="1:12" s="714" customFormat="1" ht="24" customHeight="1">
      <c r="A153" s="808"/>
      <c r="B153" s="705"/>
      <c r="C153" s="809"/>
      <c r="D153" s="809"/>
      <c r="E153" s="810"/>
      <c r="F153" s="811"/>
      <c r="G153" s="812"/>
      <c r="H153" s="765"/>
      <c r="I153" s="813"/>
      <c r="J153" s="765"/>
      <c r="K153" s="766"/>
      <c r="L153" s="814"/>
    </row>
    <row r="154" spans="1:12" s="714" customFormat="1" ht="24" customHeight="1">
      <c r="A154" s="775"/>
      <c r="B154" s="2475" t="str">
        <f>"รวมราคารายการที่ "&amp;A123</f>
        <v>รวมราคารายการที่ 3.6</v>
      </c>
      <c r="C154" s="2476"/>
      <c r="D154" s="2477"/>
      <c r="E154" s="776"/>
      <c r="F154" s="777"/>
      <c r="G154" s="778"/>
      <c r="H154" s="779">
        <f>SUM(H123:H153)</f>
        <v>1750060</v>
      </c>
      <c r="I154" s="778"/>
      <c r="J154" s="779">
        <f t="shared" ref="J154:K154" si="39">SUM(J123:J153)</f>
        <v>52250</v>
      </c>
      <c r="K154" s="779">
        <f t="shared" si="39"/>
        <v>1802310</v>
      </c>
      <c r="L154" s="777"/>
    </row>
    <row r="155" spans="1:12" s="714" customFormat="1" ht="24" customHeight="1">
      <c r="A155" s="899" t="s">
        <v>1317</v>
      </c>
      <c r="B155" s="900" t="s">
        <v>1135</v>
      </c>
      <c r="C155" s="901"/>
      <c r="D155" s="901"/>
      <c r="E155" s="902"/>
      <c r="F155" s="903"/>
      <c r="G155" s="904"/>
      <c r="H155" s="905"/>
      <c r="I155" s="906"/>
      <c r="J155" s="905"/>
      <c r="K155" s="906"/>
      <c r="L155" s="893"/>
    </row>
    <row r="156" spans="1:12" s="714" customFormat="1" ht="24" customHeight="1">
      <c r="A156" s="861" t="s">
        <v>1051</v>
      </c>
      <c r="B156" s="800" t="s">
        <v>1137</v>
      </c>
      <c r="C156" s="801"/>
      <c r="D156" s="801"/>
      <c r="E156" s="802"/>
      <c r="F156" s="867"/>
      <c r="G156" s="858"/>
      <c r="H156" s="864"/>
      <c r="I156" s="865"/>
      <c r="J156" s="864"/>
      <c r="K156" s="865"/>
      <c r="L156" s="888"/>
    </row>
    <row r="157" spans="1:12" s="714" customFormat="1" ht="24" customHeight="1">
      <c r="A157" s="861"/>
      <c r="B157" s="800" t="s">
        <v>1138</v>
      </c>
      <c r="C157" s="801"/>
      <c r="D157" s="801"/>
      <c r="E157" s="802">
        <v>50</v>
      </c>
      <c r="F157" s="867" t="s">
        <v>438</v>
      </c>
      <c r="G157" s="858">
        <v>5000</v>
      </c>
      <c r="H157" s="864">
        <f t="shared" ref="H157:H166" si="40">ROUND(E157*G157,)</f>
        <v>250000</v>
      </c>
      <c r="I157" s="865">
        <f t="shared" ref="I157:I162" si="41">G157*0.1</f>
        <v>500</v>
      </c>
      <c r="J157" s="864">
        <f t="shared" ref="J157:J162" si="42">ROUND(E157*I157,)</f>
        <v>25000</v>
      </c>
      <c r="K157" s="799">
        <f t="shared" ref="K157:K177" si="43">H157+J157</f>
        <v>275000</v>
      </c>
      <c r="L157" s="888"/>
    </row>
    <row r="158" spans="1:12" s="714" customFormat="1" ht="24" customHeight="1">
      <c r="A158" s="861"/>
      <c r="B158" s="800" t="s">
        <v>1139</v>
      </c>
      <c r="C158" s="801"/>
      <c r="D158" s="801"/>
      <c r="E158" s="802"/>
      <c r="F158" s="867" t="s">
        <v>438</v>
      </c>
      <c r="G158" s="858">
        <v>5600</v>
      </c>
      <c r="H158" s="864">
        <f t="shared" si="40"/>
        <v>0</v>
      </c>
      <c r="I158" s="865">
        <f t="shared" si="41"/>
        <v>560</v>
      </c>
      <c r="J158" s="864">
        <f t="shared" si="42"/>
        <v>0</v>
      </c>
      <c r="K158" s="799">
        <f t="shared" si="43"/>
        <v>0</v>
      </c>
      <c r="L158" s="888"/>
    </row>
    <row r="159" spans="1:12" s="714" customFormat="1" ht="24" customHeight="1">
      <c r="A159" s="861"/>
      <c r="B159" s="800" t="s">
        <v>1140</v>
      </c>
      <c r="C159" s="801"/>
      <c r="D159" s="801"/>
      <c r="E159" s="802"/>
      <c r="F159" s="867" t="s">
        <v>438</v>
      </c>
      <c r="G159" s="858">
        <v>6500</v>
      </c>
      <c r="H159" s="864">
        <f t="shared" si="40"/>
        <v>0</v>
      </c>
      <c r="I159" s="865">
        <f t="shared" si="41"/>
        <v>650</v>
      </c>
      <c r="J159" s="864">
        <f t="shared" si="42"/>
        <v>0</v>
      </c>
      <c r="K159" s="799">
        <f t="shared" si="43"/>
        <v>0</v>
      </c>
      <c r="L159" s="888"/>
    </row>
    <row r="160" spans="1:12" s="714" customFormat="1" ht="24" customHeight="1">
      <c r="A160" s="861"/>
      <c r="B160" s="800" t="s">
        <v>1141</v>
      </c>
      <c r="C160" s="801"/>
      <c r="D160" s="801"/>
      <c r="E160" s="802"/>
      <c r="F160" s="867" t="s">
        <v>438</v>
      </c>
      <c r="G160" s="858">
        <v>7600</v>
      </c>
      <c r="H160" s="864">
        <f t="shared" si="40"/>
        <v>0</v>
      </c>
      <c r="I160" s="865">
        <f t="shared" si="41"/>
        <v>760</v>
      </c>
      <c r="J160" s="864">
        <f t="shared" si="42"/>
        <v>0</v>
      </c>
      <c r="K160" s="799">
        <f t="shared" si="43"/>
        <v>0</v>
      </c>
      <c r="L160" s="888"/>
    </row>
    <row r="161" spans="1:12" s="714" customFormat="1" ht="24" customHeight="1">
      <c r="A161" s="861"/>
      <c r="B161" s="800" t="s">
        <v>1142</v>
      </c>
      <c r="C161" s="801"/>
      <c r="D161" s="801"/>
      <c r="E161" s="802">
        <v>20</v>
      </c>
      <c r="F161" s="867" t="s">
        <v>438</v>
      </c>
      <c r="G161" s="858">
        <v>11400</v>
      </c>
      <c r="H161" s="864">
        <f t="shared" si="40"/>
        <v>228000</v>
      </c>
      <c r="I161" s="865">
        <f t="shared" si="41"/>
        <v>1140</v>
      </c>
      <c r="J161" s="864">
        <f t="shared" si="42"/>
        <v>22800</v>
      </c>
      <c r="K161" s="799">
        <f t="shared" si="43"/>
        <v>250800</v>
      </c>
      <c r="L161" s="888"/>
    </row>
    <row r="162" spans="1:12" s="714" customFormat="1" ht="24" customHeight="1">
      <c r="A162" s="861"/>
      <c r="B162" s="800" t="s">
        <v>1143</v>
      </c>
      <c r="C162" s="801"/>
      <c r="D162" s="801"/>
      <c r="E162" s="802"/>
      <c r="F162" s="867" t="s">
        <v>438</v>
      </c>
      <c r="G162" s="858">
        <v>13800</v>
      </c>
      <c r="H162" s="864">
        <f t="shared" si="40"/>
        <v>0</v>
      </c>
      <c r="I162" s="865">
        <f t="shared" si="41"/>
        <v>1380</v>
      </c>
      <c r="J162" s="864">
        <f t="shared" si="42"/>
        <v>0</v>
      </c>
      <c r="K162" s="799">
        <f t="shared" si="43"/>
        <v>0</v>
      </c>
      <c r="L162" s="888"/>
    </row>
    <row r="163" spans="1:12" s="714" customFormat="1" ht="24" customHeight="1">
      <c r="A163" s="861" t="s">
        <v>1067</v>
      </c>
      <c r="B163" s="800" t="s">
        <v>1145</v>
      </c>
      <c r="C163" s="801"/>
      <c r="D163" s="801"/>
      <c r="E163" s="802"/>
      <c r="F163" s="867"/>
      <c r="G163" s="858"/>
      <c r="H163" s="864"/>
      <c r="I163" s="865"/>
      <c r="J163" s="864"/>
      <c r="K163" s="799">
        <f t="shared" si="43"/>
        <v>0</v>
      </c>
      <c r="L163" s="888"/>
    </row>
    <row r="164" spans="1:12" s="714" customFormat="1" ht="24" customHeight="1">
      <c r="A164" s="861"/>
      <c r="B164" s="800" t="s">
        <v>1138</v>
      </c>
      <c r="C164" s="801"/>
      <c r="D164" s="801"/>
      <c r="E164" s="802">
        <v>430</v>
      </c>
      <c r="F164" s="867" t="s">
        <v>438</v>
      </c>
      <c r="G164" s="858">
        <v>6200</v>
      </c>
      <c r="H164" s="864">
        <f t="shared" si="40"/>
        <v>2666000</v>
      </c>
      <c r="I164" s="865">
        <f>G164*0.1</f>
        <v>620</v>
      </c>
      <c r="J164" s="864">
        <f>ROUND(E164*I164,)</f>
        <v>266600</v>
      </c>
      <c r="K164" s="799">
        <f t="shared" si="43"/>
        <v>2932600</v>
      </c>
      <c r="L164" s="888"/>
    </row>
    <row r="165" spans="1:12" s="714" customFormat="1" ht="24" customHeight="1">
      <c r="A165" s="861"/>
      <c r="B165" s="800" t="s">
        <v>1139</v>
      </c>
      <c r="C165" s="801"/>
      <c r="D165" s="801"/>
      <c r="E165" s="802">
        <v>510</v>
      </c>
      <c r="F165" s="867" t="s">
        <v>438</v>
      </c>
      <c r="G165" s="858">
        <v>6700</v>
      </c>
      <c r="H165" s="864">
        <f t="shared" si="40"/>
        <v>3417000</v>
      </c>
      <c r="I165" s="865">
        <f>G165*0.1</f>
        <v>670</v>
      </c>
      <c r="J165" s="864">
        <f t="shared" ref="J165:J166" si="44">ROUND(E165*I165,)</f>
        <v>341700</v>
      </c>
      <c r="K165" s="799">
        <f t="shared" si="43"/>
        <v>3758700</v>
      </c>
      <c r="L165" s="888"/>
    </row>
    <row r="166" spans="1:12" s="714" customFormat="1" ht="24" customHeight="1">
      <c r="A166" s="861"/>
      <c r="B166" s="800" t="s">
        <v>1140</v>
      </c>
      <c r="C166" s="801"/>
      <c r="D166" s="801"/>
      <c r="E166" s="802">
        <v>320</v>
      </c>
      <c r="F166" s="867" t="s">
        <v>438</v>
      </c>
      <c r="G166" s="858">
        <v>7600</v>
      </c>
      <c r="H166" s="864">
        <f t="shared" si="40"/>
        <v>2432000</v>
      </c>
      <c r="I166" s="865">
        <f>G166*0.1</f>
        <v>760</v>
      </c>
      <c r="J166" s="864">
        <f t="shared" si="44"/>
        <v>243200</v>
      </c>
      <c r="K166" s="799">
        <f t="shared" si="43"/>
        <v>2675200</v>
      </c>
      <c r="L166" s="888"/>
    </row>
    <row r="167" spans="1:12" s="714" customFormat="1" ht="24" customHeight="1">
      <c r="A167" s="861"/>
      <c r="B167" s="800"/>
      <c r="C167" s="801"/>
      <c r="D167" s="801"/>
      <c r="E167" s="802"/>
      <c r="F167" s="867"/>
      <c r="G167" s="858"/>
      <c r="H167" s="864"/>
      <c r="I167" s="865"/>
      <c r="J167" s="864"/>
      <c r="K167" s="799"/>
      <c r="L167" s="888"/>
    </row>
    <row r="168" spans="1:12" s="714" customFormat="1" ht="24" customHeight="1">
      <c r="A168" s="861" t="s">
        <v>1069</v>
      </c>
      <c r="B168" s="800" t="s">
        <v>1147</v>
      </c>
      <c r="C168" s="801"/>
      <c r="D168" s="801"/>
      <c r="E168" s="802"/>
      <c r="F168" s="867"/>
      <c r="G168" s="858"/>
      <c r="H168" s="864"/>
      <c r="I168" s="865"/>
      <c r="J168" s="864"/>
      <c r="K168" s="799">
        <f t="shared" si="43"/>
        <v>0</v>
      </c>
      <c r="L168" s="888"/>
    </row>
    <row r="169" spans="1:12" s="714" customFormat="1" ht="24" customHeight="1">
      <c r="A169" s="861"/>
      <c r="B169" s="800" t="s">
        <v>1148</v>
      </c>
      <c r="C169" s="801"/>
      <c r="D169" s="801"/>
      <c r="E169" s="802">
        <v>2</v>
      </c>
      <c r="F169" s="803" t="s">
        <v>240</v>
      </c>
      <c r="G169" s="858">
        <v>8900</v>
      </c>
      <c r="H169" s="864">
        <f>ROUND(E169*G169,)</f>
        <v>17800</v>
      </c>
      <c r="I169" s="865">
        <f t="shared" ref="I169:I176" si="45">G169*0.05</f>
        <v>445</v>
      </c>
      <c r="J169" s="864">
        <f t="shared" ref="J169:J176" si="46">ROUND(E169*I169,)</f>
        <v>890</v>
      </c>
      <c r="K169" s="799">
        <f t="shared" si="43"/>
        <v>18690</v>
      </c>
      <c r="L169" s="888"/>
    </row>
    <row r="170" spans="1:12" s="714" customFormat="1" ht="24" customHeight="1">
      <c r="A170" s="861"/>
      <c r="B170" s="800" t="s">
        <v>1149</v>
      </c>
      <c r="C170" s="801"/>
      <c r="D170" s="801"/>
      <c r="E170" s="802">
        <v>4</v>
      </c>
      <c r="F170" s="803" t="s">
        <v>240</v>
      </c>
      <c r="G170" s="858">
        <v>8900</v>
      </c>
      <c r="H170" s="864">
        <f t="shared" ref="H170:H176" si="47">ROUND(E170*G170,)</f>
        <v>35600</v>
      </c>
      <c r="I170" s="865">
        <f t="shared" si="45"/>
        <v>445</v>
      </c>
      <c r="J170" s="864">
        <f t="shared" si="46"/>
        <v>1780</v>
      </c>
      <c r="K170" s="799">
        <f t="shared" si="43"/>
        <v>37380</v>
      </c>
      <c r="L170" s="888"/>
    </row>
    <row r="171" spans="1:12" s="714" customFormat="1" ht="24" customHeight="1">
      <c r="A171" s="861"/>
      <c r="B171" s="800" t="s">
        <v>1150</v>
      </c>
      <c r="C171" s="801"/>
      <c r="D171" s="801"/>
      <c r="E171" s="802">
        <v>4</v>
      </c>
      <c r="F171" s="803" t="s">
        <v>240</v>
      </c>
      <c r="G171" s="858">
        <v>9000</v>
      </c>
      <c r="H171" s="864">
        <f t="shared" si="47"/>
        <v>36000</v>
      </c>
      <c r="I171" s="865">
        <f t="shared" si="45"/>
        <v>450</v>
      </c>
      <c r="J171" s="864">
        <f t="shared" si="46"/>
        <v>1800</v>
      </c>
      <c r="K171" s="799">
        <f t="shared" si="43"/>
        <v>37800</v>
      </c>
      <c r="L171" s="888"/>
    </row>
    <row r="172" spans="1:12" s="714" customFormat="1" ht="24" customHeight="1">
      <c r="A172" s="861"/>
      <c r="B172" s="800" t="s">
        <v>1151</v>
      </c>
      <c r="C172" s="801"/>
      <c r="D172" s="801"/>
      <c r="E172" s="802">
        <v>12</v>
      </c>
      <c r="F172" s="803" t="s">
        <v>240</v>
      </c>
      <c r="G172" s="858">
        <v>9200</v>
      </c>
      <c r="H172" s="864">
        <f t="shared" si="47"/>
        <v>110400</v>
      </c>
      <c r="I172" s="865">
        <f t="shared" si="45"/>
        <v>460</v>
      </c>
      <c r="J172" s="864">
        <f t="shared" si="46"/>
        <v>5520</v>
      </c>
      <c r="K172" s="799">
        <f t="shared" si="43"/>
        <v>115920</v>
      </c>
      <c r="L172" s="888"/>
    </row>
    <row r="173" spans="1:12" s="714" customFormat="1" ht="24" customHeight="1">
      <c r="A173" s="861"/>
      <c r="B173" s="800" t="s">
        <v>1152</v>
      </c>
      <c r="C173" s="801"/>
      <c r="D173" s="801"/>
      <c r="E173" s="802">
        <v>7</v>
      </c>
      <c r="F173" s="803" t="s">
        <v>240</v>
      </c>
      <c r="G173" s="858">
        <v>11700</v>
      </c>
      <c r="H173" s="864">
        <f t="shared" si="47"/>
        <v>81900</v>
      </c>
      <c r="I173" s="865">
        <f t="shared" si="45"/>
        <v>585</v>
      </c>
      <c r="J173" s="864">
        <f t="shared" si="46"/>
        <v>4095</v>
      </c>
      <c r="K173" s="799">
        <f t="shared" si="43"/>
        <v>85995</v>
      </c>
      <c r="L173" s="888"/>
    </row>
    <row r="174" spans="1:12" s="714" customFormat="1" ht="24" customHeight="1">
      <c r="A174" s="861"/>
      <c r="B174" s="800" t="s">
        <v>1153</v>
      </c>
      <c r="C174" s="801"/>
      <c r="D174" s="801"/>
      <c r="E174" s="802">
        <v>8</v>
      </c>
      <c r="F174" s="803" t="s">
        <v>240</v>
      </c>
      <c r="G174" s="858">
        <v>11700</v>
      </c>
      <c r="H174" s="864">
        <f t="shared" si="47"/>
        <v>93600</v>
      </c>
      <c r="I174" s="865">
        <f t="shared" si="45"/>
        <v>585</v>
      </c>
      <c r="J174" s="864">
        <f t="shared" si="46"/>
        <v>4680</v>
      </c>
      <c r="K174" s="799">
        <f t="shared" si="43"/>
        <v>98280</v>
      </c>
      <c r="L174" s="888"/>
    </row>
    <row r="175" spans="1:12" s="714" customFormat="1" ht="24" customHeight="1">
      <c r="A175" s="861"/>
      <c r="B175" s="800" t="s">
        <v>1154</v>
      </c>
      <c r="C175" s="801"/>
      <c r="D175" s="801"/>
      <c r="E175" s="802">
        <v>9</v>
      </c>
      <c r="F175" s="803" t="s">
        <v>240</v>
      </c>
      <c r="G175" s="858">
        <v>28100</v>
      </c>
      <c r="H175" s="864">
        <f t="shared" si="47"/>
        <v>252900</v>
      </c>
      <c r="I175" s="865">
        <f t="shared" si="45"/>
        <v>1405</v>
      </c>
      <c r="J175" s="864">
        <f t="shared" si="46"/>
        <v>12645</v>
      </c>
      <c r="K175" s="799">
        <f t="shared" si="43"/>
        <v>265545</v>
      </c>
      <c r="L175" s="888"/>
    </row>
    <row r="176" spans="1:12" s="714" customFormat="1" ht="24" customHeight="1">
      <c r="A176" s="861"/>
      <c r="B176" s="800" t="s">
        <v>1155</v>
      </c>
      <c r="C176" s="801"/>
      <c r="D176" s="801"/>
      <c r="E176" s="802">
        <v>1</v>
      </c>
      <c r="F176" s="803" t="s">
        <v>240</v>
      </c>
      <c r="G176" s="858">
        <v>28100</v>
      </c>
      <c r="H176" s="864">
        <f t="shared" si="47"/>
        <v>28100</v>
      </c>
      <c r="I176" s="865">
        <f t="shared" si="45"/>
        <v>1405</v>
      </c>
      <c r="J176" s="864">
        <f t="shared" si="46"/>
        <v>1405</v>
      </c>
      <c r="K176" s="799">
        <f t="shared" si="43"/>
        <v>29505</v>
      </c>
      <c r="L176" s="888"/>
    </row>
    <row r="177" spans="1:16" s="714" customFormat="1" ht="24" customHeight="1">
      <c r="A177" s="861" t="s">
        <v>1071</v>
      </c>
      <c r="B177" s="800" t="s">
        <v>1157</v>
      </c>
      <c r="C177" s="801"/>
      <c r="D177" s="801"/>
      <c r="E177" s="802">
        <v>1</v>
      </c>
      <c r="F177" s="867" t="s">
        <v>948</v>
      </c>
      <c r="G177" s="907">
        <f>SUM(H157:H166)*15%</f>
        <v>1348950</v>
      </c>
      <c r="H177" s="908">
        <f>ROUND(E177*G177,)</f>
        <v>1348950</v>
      </c>
      <c r="I177" s="909">
        <f>G177*0.3</f>
        <v>404685</v>
      </c>
      <c r="J177" s="908">
        <f>ROUND(E177*I177,)</f>
        <v>404685</v>
      </c>
      <c r="K177" s="799">
        <f t="shared" si="43"/>
        <v>1753635</v>
      </c>
      <c r="L177" s="888"/>
    </row>
    <row r="178" spans="1:16" s="714" customFormat="1" ht="24" customHeight="1">
      <c r="A178" s="775"/>
      <c r="B178" s="2475" t="str">
        <f>"รวมราคารายการที่ "&amp;A155</f>
        <v>รวมราคารายการที่ 3.7</v>
      </c>
      <c r="C178" s="2476"/>
      <c r="D178" s="2477"/>
      <c r="E178" s="776"/>
      <c r="F178" s="777"/>
      <c r="G178" s="778"/>
      <c r="H178" s="779">
        <f>SUM(H155:H177)</f>
        <v>10998250</v>
      </c>
      <c r="I178" s="778"/>
      <c r="J178" s="779">
        <f>SUM(J155:J177)</f>
        <v>1336800</v>
      </c>
      <c r="K178" s="779">
        <f>SUM(K155:K177)</f>
        <v>12335050</v>
      </c>
      <c r="L178" s="777"/>
    </row>
    <row r="179" spans="1:16" s="714" customFormat="1" ht="24" customHeight="1">
      <c r="A179" s="911" t="s">
        <v>1339</v>
      </c>
      <c r="B179" s="816" t="s">
        <v>1159</v>
      </c>
      <c r="C179" s="850"/>
      <c r="D179" s="859"/>
      <c r="E179" s="851"/>
      <c r="F179" s="852"/>
      <c r="G179" s="853"/>
      <c r="H179" s="854"/>
      <c r="I179" s="855"/>
      <c r="J179" s="854"/>
      <c r="K179" s="912"/>
      <c r="L179" s="913"/>
    </row>
    <row r="180" spans="1:16" s="714" customFormat="1" ht="24" customHeight="1">
      <c r="A180" s="831" t="s">
        <v>1340</v>
      </c>
      <c r="B180" s="720" t="s">
        <v>1161</v>
      </c>
      <c r="C180" s="792"/>
      <c r="D180" s="792"/>
      <c r="E180" s="793"/>
      <c r="F180" s="794"/>
      <c r="G180" s="795"/>
      <c r="H180" s="796"/>
      <c r="I180" s="797"/>
      <c r="J180" s="796"/>
      <c r="K180" s="914"/>
      <c r="L180" s="804"/>
    </row>
    <row r="181" spans="1:16" s="714" customFormat="1" ht="24" customHeight="1">
      <c r="A181" s="831" t="s">
        <v>3043</v>
      </c>
      <c r="B181" s="720" t="s">
        <v>1162</v>
      </c>
      <c r="C181" s="792"/>
      <c r="D181" s="792"/>
      <c r="E181" s="793"/>
      <c r="F181" s="794"/>
      <c r="G181" s="827"/>
      <c r="H181" s="796"/>
      <c r="I181" s="797"/>
      <c r="J181" s="796"/>
      <c r="K181" s="914"/>
      <c r="L181" s="804"/>
    </row>
    <row r="182" spans="1:16" s="714" customFormat="1" ht="24" customHeight="1">
      <c r="A182" s="831"/>
      <c r="B182" s="720" t="s">
        <v>1163</v>
      </c>
      <c r="C182" s="792"/>
      <c r="D182" s="792"/>
      <c r="E182" s="805"/>
      <c r="F182" s="794" t="s">
        <v>438</v>
      </c>
      <c r="G182" s="827"/>
      <c r="H182" s="796"/>
      <c r="I182" s="797">
        <v>45</v>
      </c>
      <c r="J182" s="796"/>
      <c r="K182" s="799">
        <f t="shared" ref="K182:K221" si="48">H182+J182</f>
        <v>0</v>
      </c>
      <c r="L182" s="804"/>
    </row>
    <row r="183" spans="1:16" s="714" customFormat="1" ht="24" customHeight="1">
      <c r="A183" s="831"/>
      <c r="B183" s="720" t="s">
        <v>1164</v>
      </c>
      <c r="C183" s="792"/>
      <c r="D183" s="792"/>
      <c r="E183" s="805"/>
      <c r="F183" s="794" t="s">
        <v>438</v>
      </c>
      <c r="G183" s="827"/>
      <c r="H183" s="796"/>
      <c r="I183" s="797">
        <v>100</v>
      </c>
      <c r="J183" s="796"/>
      <c r="K183" s="799">
        <f t="shared" si="48"/>
        <v>0</v>
      </c>
      <c r="L183" s="804"/>
    </row>
    <row r="184" spans="1:16" s="714" customFormat="1" ht="24" customHeight="1">
      <c r="A184" s="831" t="s">
        <v>3044</v>
      </c>
      <c r="B184" s="720" t="s">
        <v>1165</v>
      </c>
      <c r="C184" s="792"/>
      <c r="D184" s="792"/>
      <c r="E184" s="793"/>
      <c r="F184" s="794"/>
      <c r="G184" s="806"/>
      <c r="H184" s="796"/>
      <c r="I184" s="797"/>
      <c r="J184" s="796"/>
      <c r="K184" s="799">
        <f t="shared" si="48"/>
        <v>0</v>
      </c>
      <c r="L184" s="804"/>
    </row>
    <row r="185" spans="1:16" s="714" customFormat="1" ht="24" customHeight="1">
      <c r="A185" s="831"/>
      <c r="B185" s="720" t="s">
        <v>1166</v>
      </c>
      <c r="C185" s="792"/>
      <c r="D185" s="792"/>
      <c r="E185" s="805">
        <v>3765</v>
      </c>
      <c r="F185" s="794" t="s">
        <v>438</v>
      </c>
      <c r="G185" s="806">
        <v>14</v>
      </c>
      <c r="H185" s="796">
        <f>ROUND(E185*G185,)</f>
        <v>52710</v>
      </c>
      <c r="I185" s="797">
        <v>10</v>
      </c>
      <c r="J185" s="796">
        <f t="shared" ref="J185:J222" si="49">ROUND(E185*I185,)</f>
        <v>37650</v>
      </c>
      <c r="K185" s="799">
        <f t="shared" si="48"/>
        <v>90360</v>
      </c>
      <c r="L185" s="1716" t="s">
        <v>2974</v>
      </c>
      <c r="N185" s="2347">
        <v>3450</v>
      </c>
      <c r="O185" s="714">
        <f t="shared" ref="O185:O196" si="50">ROUND(N185*O$239,0)</f>
        <v>3764</v>
      </c>
      <c r="P185" s="714">
        <v>3765</v>
      </c>
    </row>
    <row r="186" spans="1:16" s="714" customFormat="1" ht="24" customHeight="1">
      <c r="A186" s="831"/>
      <c r="B186" s="720" t="s">
        <v>1167</v>
      </c>
      <c r="C186" s="792"/>
      <c r="D186" s="792"/>
      <c r="E186" s="805">
        <v>1800</v>
      </c>
      <c r="F186" s="794" t="s">
        <v>438</v>
      </c>
      <c r="G186" s="806">
        <v>23</v>
      </c>
      <c r="H186" s="796">
        <f t="shared" ref="H186:H222" si="51">ROUND(E186*G186,)</f>
        <v>41400</v>
      </c>
      <c r="I186" s="797">
        <v>12</v>
      </c>
      <c r="J186" s="796">
        <f t="shared" si="49"/>
        <v>21600</v>
      </c>
      <c r="K186" s="799">
        <f t="shared" si="48"/>
        <v>63000</v>
      </c>
      <c r="L186" s="1716" t="s">
        <v>2974</v>
      </c>
      <c r="N186" s="2347">
        <v>1650</v>
      </c>
      <c r="O186" s="714">
        <f t="shared" si="50"/>
        <v>1800</v>
      </c>
      <c r="P186" s="714">
        <v>1800</v>
      </c>
    </row>
    <row r="187" spans="1:16" s="714" customFormat="1" ht="24" customHeight="1">
      <c r="A187" s="831"/>
      <c r="B187" s="720" t="s">
        <v>1168</v>
      </c>
      <c r="C187" s="792"/>
      <c r="D187" s="792"/>
      <c r="E187" s="805">
        <v>12820</v>
      </c>
      <c r="F187" s="794" t="s">
        <v>438</v>
      </c>
      <c r="G187" s="806">
        <v>39</v>
      </c>
      <c r="H187" s="796">
        <f t="shared" si="51"/>
        <v>499980</v>
      </c>
      <c r="I187" s="797">
        <v>16</v>
      </c>
      <c r="J187" s="796">
        <f t="shared" si="49"/>
        <v>205120</v>
      </c>
      <c r="K187" s="799">
        <f t="shared" si="48"/>
        <v>705100</v>
      </c>
      <c r="L187" s="1716" t="s">
        <v>2974</v>
      </c>
      <c r="N187" s="2347">
        <v>11750</v>
      </c>
      <c r="O187" s="714">
        <f t="shared" si="50"/>
        <v>12818</v>
      </c>
      <c r="P187" s="714">
        <v>12820</v>
      </c>
    </row>
    <row r="188" spans="1:16" s="714" customFormat="1" ht="24" customHeight="1">
      <c r="A188" s="831"/>
      <c r="B188" s="720" t="s">
        <v>1169</v>
      </c>
      <c r="C188" s="792"/>
      <c r="D188" s="792"/>
      <c r="E188" s="805">
        <v>5180</v>
      </c>
      <c r="F188" s="794" t="s">
        <v>438</v>
      </c>
      <c r="G188" s="806">
        <v>61</v>
      </c>
      <c r="H188" s="796">
        <f t="shared" si="51"/>
        <v>315980</v>
      </c>
      <c r="I188" s="797">
        <v>20</v>
      </c>
      <c r="J188" s="796">
        <f t="shared" si="49"/>
        <v>103600</v>
      </c>
      <c r="K188" s="799">
        <f t="shared" si="48"/>
        <v>419580</v>
      </c>
      <c r="L188" s="1716" t="s">
        <v>2974</v>
      </c>
      <c r="N188" s="2347">
        <v>4750</v>
      </c>
      <c r="O188" s="714">
        <f t="shared" si="50"/>
        <v>5182</v>
      </c>
      <c r="P188" s="714">
        <v>5180</v>
      </c>
    </row>
    <row r="189" spans="1:16" s="714" customFormat="1" ht="24" customHeight="1">
      <c r="A189" s="831"/>
      <c r="B189" s="720" t="s">
        <v>1170</v>
      </c>
      <c r="C189" s="792"/>
      <c r="D189" s="792"/>
      <c r="E189" s="805">
        <v>3220</v>
      </c>
      <c r="F189" s="794" t="s">
        <v>438</v>
      </c>
      <c r="G189" s="806">
        <v>96</v>
      </c>
      <c r="H189" s="796">
        <f t="shared" si="51"/>
        <v>309120</v>
      </c>
      <c r="I189" s="797">
        <v>25</v>
      </c>
      <c r="J189" s="796">
        <f t="shared" si="49"/>
        <v>80500</v>
      </c>
      <c r="K189" s="799">
        <f t="shared" si="48"/>
        <v>389620</v>
      </c>
      <c r="L189" s="1716" t="s">
        <v>2974</v>
      </c>
      <c r="N189" s="2347">
        <v>2950</v>
      </c>
      <c r="O189" s="714">
        <f t="shared" si="50"/>
        <v>3218</v>
      </c>
      <c r="P189" s="714">
        <v>3220</v>
      </c>
    </row>
    <row r="190" spans="1:16" s="714" customFormat="1" ht="24" customHeight="1">
      <c r="A190" s="831"/>
      <c r="B190" s="720" t="s">
        <v>1171</v>
      </c>
      <c r="C190" s="792"/>
      <c r="D190" s="792"/>
      <c r="E190" s="805">
        <v>3925</v>
      </c>
      <c r="F190" s="794" t="s">
        <v>438</v>
      </c>
      <c r="G190" s="806">
        <v>127</v>
      </c>
      <c r="H190" s="796">
        <f t="shared" si="51"/>
        <v>498475</v>
      </c>
      <c r="I190" s="797">
        <v>30</v>
      </c>
      <c r="J190" s="796">
        <f t="shared" si="49"/>
        <v>117750</v>
      </c>
      <c r="K190" s="799">
        <f t="shared" si="48"/>
        <v>616225</v>
      </c>
      <c r="L190" s="1716" t="s">
        <v>2974</v>
      </c>
      <c r="N190" s="2347">
        <v>3600</v>
      </c>
      <c r="O190" s="714">
        <f t="shared" si="50"/>
        <v>3927</v>
      </c>
      <c r="P190" s="714">
        <v>3925</v>
      </c>
    </row>
    <row r="191" spans="1:16" s="714" customFormat="1" ht="24" customHeight="1">
      <c r="A191" s="831"/>
      <c r="B191" s="720" t="s">
        <v>1163</v>
      </c>
      <c r="C191" s="792"/>
      <c r="D191" s="792"/>
      <c r="E191" s="805">
        <v>3220</v>
      </c>
      <c r="F191" s="794" t="s">
        <v>438</v>
      </c>
      <c r="G191" s="806">
        <v>183</v>
      </c>
      <c r="H191" s="796">
        <f t="shared" si="51"/>
        <v>589260</v>
      </c>
      <c r="I191" s="797">
        <v>40</v>
      </c>
      <c r="J191" s="796">
        <f t="shared" si="49"/>
        <v>128800</v>
      </c>
      <c r="K191" s="799">
        <f t="shared" si="48"/>
        <v>718060</v>
      </c>
      <c r="L191" s="1716" t="s">
        <v>2974</v>
      </c>
      <c r="N191" s="2347">
        <v>2950</v>
      </c>
      <c r="O191" s="714">
        <f t="shared" si="50"/>
        <v>3218</v>
      </c>
      <c r="P191" s="714">
        <v>3220</v>
      </c>
    </row>
    <row r="192" spans="1:16" s="714" customFormat="1" ht="24" customHeight="1">
      <c r="A192" s="831"/>
      <c r="B192" s="720" t="s">
        <v>1172</v>
      </c>
      <c r="C192" s="792"/>
      <c r="D192" s="792"/>
      <c r="E192" s="805">
        <v>1525</v>
      </c>
      <c r="F192" s="794" t="s">
        <v>438</v>
      </c>
      <c r="G192" s="806">
        <v>262</v>
      </c>
      <c r="H192" s="796">
        <f t="shared" si="51"/>
        <v>399550</v>
      </c>
      <c r="I192" s="797">
        <v>45</v>
      </c>
      <c r="J192" s="796">
        <f t="shared" si="49"/>
        <v>68625</v>
      </c>
      <c r="K192" s="799">
        <f t="shared" si="48"/>
        <v>468175</v>
      </c>
      <c r="L192" s="1716" t="s">
        <v>2974</v>
      </c>
      <c r="N192" s="2347">
        <v>1400</v>
      </c>
      <c r="O192" s="714">
        <f t="shared" si="50"/>
        <v>1527</v>
      </c>
      <c r="P192" s="714">
        <v>1525</v>
      </c>
    </row>
    <row r="193" spans="1:16" s="714" customFormat="1" ht="24" customHeight="1">
      <c r="A193" s="831"/>
      <c r="B193" s="720" t="s">
        <v>1173</v>
      </c>
      <c r="C193" s="792"/>
      <c r="D193" s="792"/>
      <c r="E193" s="805">
        <v>1000</v>
      </c>
      <c r="F193" s="794" t="s">
        <v>438</v>
      </c>
      <c r="G193" s="806">
        <v>361</v>
      </c>
      <c r="H193" s="796">
        <f t="shared" si="51"/>
        <v>361000</v>
      </c>
      <c r="I193" s="797">
        <v>55</v>
      </c>
      <c r="J193" s="796">
        <f t="shared" si="49"/>
        <v>55000</v>
      </c>
      <c r="K193" s="799">
        <f t="shared" si="48"/>
        <v>416000</v>
      </c>
      <c r="L193" s="1716" t="s">
        <v>2974</v>
      </c>
      <c r="N193" s="2347">
        <v>920</v>
      </c>
      <c r="O193" s="714">
        <f t="shared" si="50"/>
        <v>1004</v>
      </c>
      <c r="P193" s="714">
        <v>1000</v>
      </c>
    </row>
    <row r="194" spans="1:16" s="714" customFormat="1" ht="24" customHeight="1">
      <c r="A194" s="831"/>
      <c r="B194" s="720" t="s">
        <v>1174</v>
      </c>
      <c r="C194" s="792"/>
      <c r="D194" s="792"/>
      <c r="E194" s="805">
        <v>1910</v>
      </c>
      <c r="F194" s="794" t="s">
        <v>438</v>
      </c>
      <c r="G194" s="806">
        <v>458</v>
      </c>
      <c r="H194" s="796">
        <f t="shared" si="51"/>
        <v>874780</v>
      </c>
      <c r="I194" s="797">
        <v>60</v>
      </c>
      <c r="J194" s="796">
        <f t="shared" si="49"/>
        <v>114600</v>
      </c>
      <c r="K194" s="799">
        <f t="shared" si="48"/>
        <v>989380</v>
      </c>
      <c r="L194" s="1716" t="s">
        <v>2974</v>
      </c>
      <c r="N194" s="2347">
        <v>1750</v>
      </c>
      <c r="O194" s="714">
        <f t="shared" si="50"/>
        <v>1909</v>
      </c>
      <c r="P194" s="714">
        <v>1910</v>
      </c>
    </row>
    <row r="195" spans="1:16" s="714" customFormat="1" ht="24" customHeight="1">
      <c r="A195" s="831"/>
      <c r="B195" s="720" t="s">
        <v>1175</v>
      </c>
      <c r="C195" s="792"/>
      <c r="D195" s="792"/>
      <c r="E195" s="805">
        <v>65</v>
      </c>
      <c r="F195" s="794" t="s">
        <v>438</v>
      </c>
      <c r="G195" s="806">
        <v>525</v>
      </c>
      <c r="H195" s="796">
        <f t="shared" si="51"/>
        <v>34125</v>
      </c>
      <c r="I195" s="797">
        <v>70</v>
      </c>
      <c r="J195" s="796">
        <f t="shared" si="49"/>
        <v>4550</v>
      </c>
      <c r="K195" s="799">
        <f t="shared" si="48"/>
        <v>38675</v>
      </c>
      <c r="L195" s="805"/>
      <c r="N195" s="2347">
        <v>60</v>
      </c>
      <c r="O195" s="714">
        <f t="shared" si="50"/>
        <v>65</v>
      </c>
      <c r="P195" s="714">
        <v>65</v>
      </c>
    </row>
    <row r="196" spans="1:16" s="714" customFormat="1" ht="24" customHeight="1">
      <c r="A196" s="831"/>
      <c r="B196" s="720" t="s">
        <v>1176</v>
      </c>
      <c r="C196" s="792"/>
      <c r="D196" s="792"/>
      <c r="E196" s="805">
        <v>220</v>
      </c>
      <c r="F196" s="794" t="s">
        <v>438</v>
      </c>
      <c r="G196" s="806">
        <v>659</v>
      </c>
      <c r="H196" s="796">
        <f t="shared" si="51"/>
        <v>144980</v>
      </c>
      <c r="I196" s="797">
        <v>85</v>
      </c>
      <c r="J196" s="796">
        <f t="shared" si="49"/>
        <v>18700</v>
      </c>
      <c r="K196" s="799">
        <f t="shared" si="48"/>
        <v>163680</v>
      </c>
      <c r="L196" s="805"/>
      <c r="N196" s="2347">
        <v>200</v>
      </c>
      <c r="O196" s="714">
        <f t="shared" si="50"/>
        <v>218</v>
      </c>
      <c r="P196" s="714">
        <v>220</v>
      </c>
    </row>
    <row r="197" spans="1:16" s="714" customFormat="1" ht="24" customHeight="1">
      <c r="A197" s="831"/>
      <c r="B197" s="720" t="s">
        <v>1164</v>
      </c>
      <c r="C197" s="792"/>
      <c r="D197" s="792"/>
      <c r="E197" s="1717"/>
      <c r="F197" s="794" t="s">
        <v>438</v>
      </c>
      <c r="G197" s="806">
        <v>865</v>
      </c>
      <c r="H197" s="796">
        <f t="shared" si="51"/>
        <v>0</v>
      </c>
      <c r="I197" s="797">
        <v>100</v>
      </c>
      <c r="J197" s="796">
        <f t="shared" si="49"/>
        <v>0</v>
      </c>
      <c r="K197" s="914">
        <f t="shared" si="48"/>
        <v>0</v>
      </c>
      <c r="L197" s="805"/>
    </row>
    <row r="198" spans="1:16" s="714" customFormat="1" ht="24" customHeight="1">
      <c r="A198" s="831"/>
      <c r="B198" s="720" t="s">
        <v>1177</v>
      </c>
      <c r="C198" s="792"/>
      <c r="D198" s="792"/>
      <c r="E198" s="805">
        <v>1310</v>
      </c>
      <c r="F198" s="794" t="s">
        <v>438</v>
      </c>
      <c r="G198" s="806">
        <v>1084</v>
      </c>
      <c r="H198" s="796">
        <f>ROUND(E198*G198,)</f>
        <v>1420040</v>
      </c>
      <c r="I198" s="797">
        <v>110</v>
      </c>
      <c r="J198" s="796">
        <f t="shared" si="49"/>
        <v>144100</v>
      </c>
      <c r="K198" s="799">
        <f t="shared" si="48"/>
        <v>1564140</v>
      </c>
      <c r="L198" s="805"/>
      <c r="N198" s="2347">
        <v>1200</v>
      </c>
      <c r="O198" s="714">
        <f>ROUND(N198*O$239,0)</f>
        <v>1309</v>
      </c>
      <c r="P198" s="714">
        <v>1310</v>
      </c>
    </row>
    <row r="199" spans="1:16" s="714" customFormat="1" ht="24" customHeight="1">
      <c r="A199" s="831" t="s">
        <v>3045</v>
      </c>
      <c r="B199" s="720" t="s">
        <v>1178</v>
      </c>
      <c r="C199" s="792"/>
      <c r="D199" s="792"/>
      <c r="E199" s="805"/>
      <c r="F199" s="794"/>
      <c r="G199" s="806"/>
      <c r="H199" s="796"/>
      <c r="I199" s="797"/>
      <c r="J199" s="796"/>
      <c r="K199" s="799">
        <f t="shared" si="48"/>
        <v>0</v>
      </c>
      <c r="L199" s="915"/>
    </row>
    <row r="200" spans="1:16" s="714" customFormat="1" ht="24" customHeight="1">
      <c r="A200" s="831"/>
      <c r="B200" s="720" t="s">
        <v>1166</v>
      </c>
      <c r="C200" s="792"/>
      <c r="D200" s="792"/>
      <c r="E200" s="805">
        <v>600</v>
      </c>
      <c r="F200" s="794" t="s">
        <v>438</v>
      </c>
      <c r="G200" s="806">
        <v>50</v>
      </c>
      <c r="H200" s="796">
        <f t="shared" si="51"/>
        <v>30000</v>
      </c>
      <c r="I200" s="797">
        <v>14</v>
      </c>
      <c r="J200" s="796">
        <f t="shared" ref="J200:J212" si="52">ROUND(E200*I200,)</f>
        <v>8400</v>
      </c>
      <c r="K200" s="799">
        <f t="shared" si="48"/>
        <v>38400</v>
      </c>
      <c r="L200" s="805"/>
      <c r="N200" s="2347">
        <v>550</v>
      </c>
      <c r="O200" s="714">
        <f t="shared" ref="O200:O206" si="53">ROUND(N200*O$239,0)</f>
        <v>600</v>
      </c>
      <c r="P200" s="714">
        <v>600</v>
      </c>
    </row>
    <row r="201" spans="1:16" s="714" customFormat="1" ht="24" customHeight="1">
      <c r="A201" s="831"/>
      <c r="B201" s="720" t="s">
        <v>1167</v>
      </c>
      <c r="C201" s="792"/>
      <c r="D201" s="792"/>
      <c r="E201" s="805">
        <v>490</v>
      </c>
      <c r="F201" s="794" t="s">
        <v>438</v>
      </c>
      <c r="G201" s="806">
        <v>58</v>
      </c>
      <c r="H201" s="796">
        <f t="shared" si="51"/>
        <v>28420</v>
      </c>
      <c r="I201" s="797">
        <v>16</v>
      </c>
      <c r="J201" s="796">
        <f t="shared" si="52"/>
        <v>7840</v>
      </c>
      <c r="K201" s="799">
        <f t="shared" si="48"/>
        <v>36260</v>
      </c>
      <c r="L201" s="805"/>
      <c r="N201" s="2347">
        <v>450</v>
      </c>
      <c r="O201" s="714">
        <f t="shared" si="53"/>
        <v>491</v>
      </c>
      <c r="P201" s="714">
        <v>490</v>
      </c>
    </row>
    <row r="202" spans="1:16" s="714" customFormat="1" ht="24" customHeight="1">
      <c r="A202" s="831"/>
      <c r="B202" s="720" t="s">
        <v>1168</v>
      </c>
      <c r="C202" s="792"/>
      <c r="D202" s="792"/>
      <c r="E202" s="805">
        <v>655</v>
      </c>
      <c r="F202" s="794" t="s">
        <v>438</v>
      </c>
      <c r="G202" s="752">
        <v>85</v>
      </c>
      <c r="H202" s="796">
        <f t="shared" si="51"/>
        <v>55675</v>
      </c>
      <c r="I202" s="797">
        <v>25</v>
      </c>
      <c r="J202" s="796">
        <f t="shared" si="52"/>
        <v>16375</v>
      </c>
      <c r="K202" s="799">
        <f t="shared" si="48"/>
        <v>72050</v>
      </c>
      <c r="L202" s="805"/>
      <c r="N202" s="2347">
        <v>600</v>
      </c>
      <c r="O202" s="714">
        <f t="shared" si="53"/>
        <v>655</v>
      </c>
      <c r="P202" s="714">
        <v>655</v>
      </c>
    </row>
    <row r="203" spans="1:16" s="714" customFormat="1" ht="24" customHeight="1">
      <c r="A203" s="831"/>
      <c r="B203" s="720" t="s">
        <v>1169</v>
      </c>
      <c r="C203" s="792"/>
      <c r="D203" s="792"/>
      <c r="E203" s="805">
        <v>435</v>
      </c>
      <c r="F203" s="794" t="s">
        <v>438</v>
      </c>
      <c r="G203" s="752">
        <v>112</v>
      </c>
      <c r="H203" s="796">
        <f t="shared" si="51"/>
        <v>48720</v>
      </c>
      <c r="I203" s="797">
        <v>30</v>
      </c>
      <c r="J203" s="796">
        <f t="shared" si="52"/>
        <v>13050</v>
      </c>
      <c r="K203" s="799">
        <f t="shared" si="48"/>
        <v>61770</v>
      </c>
      <c r="L203" s="805"/>
      <c r="N203" s="2347">
        <v>400</v>
      </c>
      <c r="O203" s="714">
        <f t="shared" si="53"/>
        <v>436</v>
      </c>
      <c r="P203" s="714">
        <v>435</v>
      </c>
    </row>
    <row r="204" spans="1:16" s="714" customFormat="1" ht="24" customHeight="1">
      <c r="A204" s="831"/>
      <c r="B204" s="720" t="s">
        <v>1170</v>
      </c>
      <c r="C204" s="792"/>
      <c r="D204" s="792"/>
      <c r="E204" s="805">
        <v>2075</v>
      </c>
      <c r="F204" s="794" t="s">
        <v>438</v>
      </c>
      <c r="G204" s="752">
        <v>165</v>
      </c>
      <c r="H204" s="796">
        <f>ROUND(E204*G204,)</f>
        <v>342375</v>
      </c>
      <c r="I204" s="797">
        <v>35</v>
      </c>
      <c r="J204" s="796">
        <f t="shared" si="52"/>
        <v>72625</v>
      </c>
      <c r="K204" s="799">
        <f t="shared" si="48"/>
        <v>415000</v>
      </c>
      <c r="L204" s="805"/>
      <c r="N204" s="2347">
        <v>1900</v>
      </c>
      <c r="O204" s="714">
        <f t="shared" si="53"/>
        <v>2073</v>
      </c>
      <c r="P204" s="714">
        <v>2075</v>
      </c>
    </row>
    <row r="205" spans="1:16" s="714" customFormat="1" ht="24" customHeight="1">
      <c r="A205" s="831"/>
      <c r="B205" s="720" t="s">
        <v>1171</v>
      </c>
      <c r="C205" s="792"/>
      <c r="D205" s="792"/>
      <c r="E205" s="805">
        <v>1145</v>
      </c>
      <c r="F205" s="794" t="s">
        <v>438</v>
      </c>
      <c r="G205" s="752">
        <v>224</v>
      </c>
      <c r="H205" s="796">
        <f t="shared" si="51"/>
        <v>256480</v>
      </c>
      <c r="I205" s="797">
        <v>40</v>
      </c>
      <c r="J205" s="796">
        <f t="shared" si="52"/>
        <v>45800</v>
      </c>
      <c r="K205" s="799">
        <f t="shared" si="48"/>
        <v>302280</v>
      </c>
      <c r="L205" s="805"/>
      <c r="N205" s="2347">
        <v>1050</v>
      </c>
      <c r="O205" s="714">
        <f t="shared" si="53"/>
        <v>1145</v>
      </c>
      <c r="P205" s="714">
        <v>1145</v>
      </c>
    </row>
    <row r="206" spans="1:16" s="714" customFormat="1" ht="24" customHeight="1">
      <c r="A206" s="831"/>
      <c r="B206" s="720" t="s">
        <v>1163</v>
      </c>
      <c r="C206" s="792"/>
      <c r="D206" s="792"/>
      <c r="E206" s="805">
        <v>1910</v>
      </c>
      <c r="F206" s="794" t="s">
        <v>438</v>
      </c>
      <c r="G206" s="752">
        <v>296</v>
      </c>
      <c r="H206" s="796">
        <f t="shared" si="51"/>
        <v>565360</v>
      </c>
      <c r="I206" s="797">
        <v>55</v>
      </c>
      <c r="J206" s="796">
        <f t="shared" si="52"/>
        <v>105050</v>
      </c>
      <c r="K206" s="799">
        <f t="shared" si="48"/>
        <v>670410</v>
      </c>
      <c r="L206" s="805"/>
      <c r="N206" s="2347">
        <v>1750</v>
      </c>
      <c r="O206" s="714">
        <f t="shared" si="53"/>
        <v>1909</v>
      </c>
      <c r="P206" s="714">
        <v>1910</v>
      </c>
    </row>
    <row r="207" spans="1:16" s="714" customFormat="1" ht="24" customHeight="1">
      <c r="A207" s="831"/>
      <c r="B207" s="720" t="s">
        <v>1172</v>
      </c>
      <c r="C207" s="792"/>
      <c r="D207" s="792"/>
      <c r="E207" s="805"/>
      <c r="F207" s="794" t="s">
        <v>438</v>
      </c>
      <c r="G207" s="752">
        <v>431</v>
      </c>
      <c r="H207" s="796">
        <f t="shared" si="51"/>
        <v>0</v>
      </c>
      <c r="I207" s="797">
        <v>60</v>
      </c>
      <c r="J207" s="796">
        <f t="shared" si="52"/>
        <v>0</v>
      </c>
      <c r="K207" s="799">
        <f t="shared" si="48"/>
        <v>0</v>
      </c>
      <c r="L207" s="805"/>
      <c r="N207" s="2347"/>
    </row>
    <row r="208" spans="1:16" s="714" customFormat="1" ht="24" customHeight="1">
      <c r="A208" s="831"/>
      <c r="B208" s="720" t="s">
        <v>1173</v>
      </c>
      <c r="C208" s="792"/>
      <c r="D208" s="792"/>
      <c r="E208" s="805">
        <v>930</v>
      </c>
      <c r="F208" s="794" t="s">
        <v>438</v>
      </c>
      <c r="G208" s="752">
        <v>552</v>
      </c>
      <c r="H208" s="796">
        <f t="shared" si="51"/>
        <v>513360</v>
      </c>
      <c r="I208" s="797">
        <v>65</v>
      </c>
      <c r="J208" s="796">
        <f t="shared" si="52"/>
        <v>60450</v>
      </c>
      <c r="K208" s="799">
        <f t="shared" si="48"/>
        <v>573810</v>
      </c>
      <c r="L208" s="805"/>
      <c r="N208" s="2347">
        <v>850</v>
      </c>
      <c r="O208" s="714">
        <f>ROUND(N208*O$239,0)</f>
        <v>927</v>
      </c>
      <c r="P208" s="714">
        <v>930</v>
      </c>
    </row>
    <row r="209" spans="1:16" s="714" customFormat="1" ht="24" customHeight="1">
      <c r="A209" s="831"/>
      <c r="B209" s="720" t="s">
        <v>1174</v>
      </c>
      <c r="C209" s="792"/>
      <c r="D209" s="792"/>
      <c r="E209" s="805">
        <v>3055</v>
      </c>
      <c r="F209" s="794" t="s">
        <v>438</v>
      </c>
      <c r="G209" s="806">
        <v>666</v>
      </c>
      <c r="H209" s="796">
        <f t="shared" si="51"/>
        <v>2034630</v>
      </c>
      <c r="I209" s="797">
        <v>75</v>
      </c>
      <c r="J209" s="796">
        <f t="shared" si="52"/>
        <v>229125</v>
      </c>
      <c r="K209" s="799">
        <f t="shared" si="48"/>
        <v>2263755</v>
      </c>
      <c r="L209" s="805"/>
      <c r="N209" s="2347">
        <v>2800</v>
      </c>
      <c r="O209" s="714">
        <f>ROUND(N209*O$239,0)</f>
        <v>3055</v>
      </c>
      <c r="P209" s="714">
        <v>3055</v>
      </c>
    </row>
    <row r="210" spans="1:16" s="714" customFormat="1" ht="24" customHeight="1">
      <c r="A210" s="831"/>
      <c r="B210" s="720" t="s">
        <v>1175</v>
      </c>
      <c r="C210" s="792"/>
      <c r="D210" s="792"/>
      <c r="E210" s="805">
        <v>1690</v>
      </c>
      <c r="F210" s="794" t="s">
        <v>438</v>
      </c>
      <c r="G210" s="806">
        <v>826</v>
      </c>
      <c r="H210" s="796">
        <f>ROUND(E210*G210,)</f>
        <v>1395940</v>
      </c>
      <c r="I210" s="797">
        <v>80</v>
      </c>
      <c r="J210" s="796">
        <f>ROUND(E210*I210,)</f>
        <v>135200</v>
      </c>
      <c r="K210" s="799">
        <f t="shared" si="48"/>
        <v>1531140</v>
      </c>
      <c r="L210" s="805"/>
      <c r="N210" s="2347">
        <v>1550</v>
      </c>
      <c r="O210" s="714">
        <f>ROUND(N210*O$239,0)</f>
        <v>1691</v>
      </c>
      <c r="P210" s="714">
        <v>1690</v>
      </c>
    </row>
    <row r="211" spans="1:16" s="714" customFormat="1" ht="24" customHeight="1">
      <c r="A211" s="831"/>
      <c r="B211" s="720" t="s">
        <v>1176</v>
      </c>
      <c r="C211" s="792"/>
      <c r="D211" s="792"/>
      <c r="E211" s="805">
        <v>2725</v>
      </c>
      <c r="F211" s="794" t="s">
        <v>438</v>
      </c>
      <c r="G211" s="806">
        <v>1046</v>
      </c>
      <c r="H211" s="796">
        <f t="shared" si="51"/>
        <v>2850350</v>
      </c>
      <c r="I211" s="797">
        <v>90</v>
      </c>
      <c r="J211" s="796">
        <f t="shared" si="52"/>
        <v>245250</v>
      </c>
      <c r="K211" s="799">
        <f t="shared" si="48"/>
        <v>3095600</v>
      </c>
      <c r="L211" s="805"/>
      <c r="N211" s="2347">
        <v>2500</v>
      </c>
      <c r="O211" s="714">
        <f>ROUND(N211*O$239,0)</f>
        <v>2727</v>
      </c>
      <c r="P211" s="714">
        <v>2725</v>
      </c>
    </row>
    <row r="212" spans="1:16" s="714" customFormat="1" ht="24" customHeight="1">
      <c r="A212" s="831"/>
      <c r="B212" s="720" t="s">
        <v>1164</v>
      </c>
      <c r="C212" s="792"/>
      <c r="D212" s="792"/>
      <c r="E212" s="805">
        <v>1145</v>
      </c>
      <c r="F212" s="794" t="s">
        <v>438</v>
      </c>
      <c r="G212" s="806">
        <v>1375</v>
      </c>
      <c r="H212" s="796">
        <f t="shared" si="51"/>
        <v>1574375</v>
      </c>
      <c r="I212" s="797">
        <v>105</v>
      </c>
      <c r="J212" s="796">
        <f t="shared" si="52"/>
        <v>120225</v>
      </c>
      <c r="K212" s="799">
        <f t="shared" si="48"/>
        <v>1694600</v>
      </c>
      <c r="L212" s="805"/>
      <c r="N212" s="2347">
        <v>1050</v>
      </c>
      <c r="O212" s="714">
        <f>ROUND(N212*O$239,0)</f>
        <v>1145</v>
      </c>
      <c r="P212" s="714">
        <v>1145</v>
      </c>
    </row>
    <row r="213" spans="1:16" s="714" customFormat="1" ht="24" customHeight="1">
      <c r="A213" s="831" t="s">
        <v>3046</v>
      </c>
      <c r="B213" s="720" t="s">
        <v>1179</v>
      </c>
      <c r="C213" s="717"/>
      <c r="D213" s="717"/>
      <c r="E213" s="805"/>
      <c r="F213" s="916"/>
      <c r="G213" s="806"/>
      <c r="H213" s="796">
        <f t="shared" si="51"/>
        <v>0</v>
      </c>
      <c r="I213" s="807"/>
      <c r="J213" s="796">
        <f t="shared" si="49"/>
        <v>0</v>
      </c>
      <c r="K213" s="799">
        <f t="shared" si="48"/>
        <v>0</v>
      </c>
      <c r="L213" s="804"/>
    </row>
    <row r="214" spans="1:16" s="714" customFormat="1" ht="24" customHeight="1">
      <c r="A214" s="831"/>
      <c r="B214" s="720" t="s">
        <v>1166</v>
      </c>
      <c r="C214" s="717"/>
      <c r="D214" s="717"/>
      <c r="E214" s="805"/>
      <c r="F214" s="794" t="s">
        <v>438</v>
      </c>
      <c r="G214" s="806">
        <v>31</v>
      </c>
      <c r="H214" s="796">
        <f t="shared" si="51"/>
        <v>0</v>
      </c>
      <c r="I214" s="807">
        <v>14</v>
      </c>
      <c r="J214" s="796">
        <f t="shared" si="49"/>
        <v>0</v>
      </c>
      <c r="K214" s="799">
        <f t="shared" si="48"/>
        <v>0</v>
      </c>
      <c r="L214" s="804"/>
    </row>
    <row r="215" spans="1:16" s="714" customFormat="1" ht="24" customHeight="1">
      <c r="A215" s="831"/>
      <c r="B215" s="720" t="s">
        <v>1167</v>
      </c>
      <c r="C215" s="717"/>
      <c r="D215" s="717"/>
      <c r="E215" s="805">
        <v>165</v>
      </c>
      <c r="F215" s="794" t="s">
        <v>438</v>
      </c>
      <c r="G215" s="806">
        <v>43</v>
      </c>
      <c r="H215" s="796">
        <f t="shared" si="51"/>
        <v>7095</v>
      </c>
      <c r="I215" s="807">
        <v>16</v>
      </c>
      <c r="J215" s="796">
        <f t="shared" si="49"/>
        <v>2640</v>
      </c>
      <c r="K215" s="799">
        <f t="shared" si="48"/>
        <v>9735</v>
      </c>
      <c r="L215" s="804"/>
      <c r="N215" s="2347">
        <v>150</v>
      </c>
      <c r="O215" s="714">
        <f t="shared" ref="O215:O220" si="54">ROUND(N215*O$239,0)</f>
        <v>164</v>
      </c>
      <c r="P215" s="714">
        <v>165</v>
      </c>
    </row>
    <row r="216" spans="1:16" s="714" customFormat="1" ht="24" customHeight="1">
      <c r="A216" s="831"/>
      <c r="B216" s="720" t="s">
        <v>1168</v>
      </c>
      <c r="C216" s="792"/>
      <c r="D216" s="792"/>
      <c r="E216" s="805">
        <v>765</v>
      </c>
      <c r="F216" s="794" t="s">
        <v>438</v>
      </c>
      <c r="G216" s="752">
        <v>67</v>
      </c>
      <c r="H216" s="796">
        <f t="shared" si="51"/>
        <v>51255</v>
      </c>
      <c r="I216" s="807">
        <v>25</v>
      </c>
      <c r="J216" s="796">
        <f t="shared" si="49"/>
        <v>19125</v>
      </c>
      <c r="K216" s="799">
        <f t="shared" si="48"/>
        <v>70380</v>
      </c>
      <c r="L216" s="804"/>
      <c r="N216" s="2347">
        <v>700</v>
      </c>
      <c r="O216" s="714">
        <f t="shared" si="54"/>
        <v>764</v>
      </c>
      <c r="P216" s="714">
        <v>765</v>
      </c>
    </row>
    <row r="217" spans="1:16" s="714" customFormat="1" ht="24" customHeight="1">
      <c r="A217" s="831"/>
      <c r="B217" s="720" t="s">
        <v>1169</v>
      </c>
      <c r="C217" s="792"/>
      <c r="D217" s="792"/>
      <c r="E217" s="805">
        <v>240</v>
      </c>
      <c r="F217" s="794" t="s">
        <v>438</v>
      </c>
      <c r="G217" s="752">
        <v>92</v>
      </c>
      <c r="H217" s="796">
        <f t="shared" si="51"/>
        <v>22080</v>
      </c>
      <c r="I217" s="807">
        <v>30</v>
      </c>
      <c r="J217" s="796">
        <f t="shared" si="49"/>
        <v>7200</v>
      </c>
      <c r="K217" s="799">
        <f t="shared" si="48"/>
        <v>29280</v>
      </c>
      <c r="L217" s="804"/>
      <c r="N217" s="2347">
        <v>220</v>
      </c>
      <c r="O217" s="714">
        <f t="shared" si="54"/>
        <v>240</v>
      </c>
      <c r="P217" s="714">
        <v>240</v>
      </c>
    </row>
    <row r="218" spans="1:16" s="714" customFormat="1" ht="24" customHeight="1">
      <c r="A218" s="831"/>
      <c r="B218" s="720" t="s">
        <v>1170</v>
      </c>
      <c r="C218" s="792"/>
      <c r="D218" s="792"/>
      <c r="E218" s="805"/>
      <c r="F218" s="794" t="s">
        <v>438</v>
      </c>
      <c r="G218" s="752">
        <v>138</v>
      </c>
      <c r="H218" s="796">
        <f t="shared" si="51"/>
        <v>0</v>
      </c>
      <c r="I218" s="807">
        <v>35</v>
      </c>
      <c r="J218" s="796">
        <f t="shared" si="49"/>
        <v>0</v>
      </c>
      <c r="K218" s="799">
        <f t="shared" si="48"/>
        <v>0</v>
      </c>
      <c r="L218" s="804"/>
      <c r="N218" s="2347"/>
      <c r="O218" s="714">
        <f t="shared" si="54"/>
        <v>0</v>
      </c>
    </row>
    <row r="219" spans="1:16" s="714" customFormat="1" ht="24" customHeight="1">
      <c r="A219" s="831"/>
      <c r="B219" s="720" t="s">
        <v>1171</v>
      </c>
      <c r="C219" s="792"/>
      <c r="D219" s="792"/>
      <c r="E219" s="805">
        <v>1035</v>
      </c>
      <c r="F219" s="794" t="s">
        <v>438</v>
      </c>
      <c r="G219" s="752">
        <v>188</v>
      </c>
      <c r="H219" s="796">
        <f t="shared" si="51"/>
        <v>194580</v>
      </c>
      <c r="I219" s="807">
        <v>40</v>
      </c>
      <c r="J219" s="796">
        <f t="shared" si="49"/>
        <v>41400</v>
      </c>
      <c r="K219" s="799">
        <f t="shared" si="48"/>
        <v>235980</v>
      </c>
      <c r="L219" s="804"/>
      <c r="N219" s="2347">
        <v>950</v>
      </c>
      <c r="O219" s="714">
        <f t="shared" si="54"/>
        <v>1036</v>
      </c>
      <c r="P219" s="714">
        <v>1035</v>
      </c>
    </row>
    <row r="220" spans="1:16" s="714" customFormat="1" ht="24" customHeight="1">
      <c r="A220" s="831"/>
      <c r="B220" s="720" t="s">
        <v>1163</v>
      </c>
      <c r="C220" s="792"/>
      <c r="D220" s="792"/>
      <c r="E220" s="805">
        <v>980</v>
      </c>
      <c r="F220" s="794" t="s">
        <v>438</v>
      </c>
      <c r="G220" s="752">
        <v>263</v>
      </c>
      <c r="H220" s="796">
        <f t="shared" si="51"/>
        <v>257740</v>
      </c>
      <c r="I220" s="807">
        <v>55</v>
      </c>
      <c r="J220" s="796">
        <f t="shared" si="49"/>
        <v>53900</v>
      </c>
      <c r="K220" s="799">
        <f t="shared" si="48"/>
        <v>311640</v>
      </c>
      <c r="L220" s="804"/>
      <c r="N220" s="2347">
        <v>900</v>
      </c>
      <c r="O220" s="714">
        <f t="shared" si="54"/>
        <v>982</v>
      </c>
      <c r="P220" s="714">
        <v>980</v>
      </c>
    </row>
    <row r="221" spans="1:16" s="714" customFormat="1" ht="24" customHeight="1">
      <c r="A221" s="831"/>
      <c r="B221" s="720" t="s">
        <v>1172</v>
      </c>
      <c r="C221" s="792"/>
      <c r="D221" s="792"/>
      <c r="E221" s="805"/>
      <c r="F221" s="794" t="s">
        <v>438</v>
      </c>
      <c r="G221" s="752">
        <v>387</v>
      </c>
      <c r="H221" s="796">
        <f t="shared" si="51"/>
        <v>0</v>
      </c>
      <c r="I221" s="807">
        <v>60</v>
      </c>
      <c r="J221" s="796">
        <f t="shared" si="49"/>
        <v>0</v>
      </c>
      <c r="K221" s="799">
        <f t="shared" si="48"/>
        <v>0</v>
      </c>
      <c r="L221" s="804"/>
      <c r="N221" s="2347">
        <f>SUM(N185:N220)</f>
        <v>55000</v>
      </c>
      <c r="P221" s="714">
        <f>SUM(P185:P220)</f>
        <v>60000</v>
      </c>
    </row>
    <row r="222" spans="1:16" s="714" customFormat="1" ht="24" customHeight="1">
      <c r="A222" s="831"/>
      <c r="B222" s="720" t="s">
        <v>947</v>
      </c>
      <c r="C222" s="717"/>
      <c r="D222" s="717"/>
      <c r="E222" s="805">
        <v>1</v>
      </c>
      <c r="F222" s="794" t="s">
        <v>948</v>
      </c>
      <c r="G222" s="806">
        <f>ROUND(SUM(H182:H221)*5%,)</f>
        <v>788492</v>
      </c>
      <c r="H222" s="796">
        <f t="shared" si="51"/>
        <v>788492</v>
      </c>
      <c r="I222" s="807">
        <f>ROUND(G222*0.3,)</f>
        <v>236548</v>
      </c>
      <c r="J222" s="796">
        <f t="shared" si="49"/>
        <v>236548</v>
      </c>
      <c r="K222" s="799">
        <f>H222+J222</f>
        <v>1025040</v>
      </c>
      <c r="L222" s="804"/>
      <c r="N222" s="2347"/>
      <c r="O222" s="2347"/>
    </row>
    <row r="223" spans="1:16" s="714" customFormat="1" ht="24" customHeight="1">
      <c r="A223" s="831"/>
      <c r="B223" s="720" t="s">
        <v>957</v>
      </c>
      <c r="C223" s="717"/>
      <c r="D223" s="717"/>
      <c r="E223" s="917"/>
      <c r="F223" s="916"/>
      <c r="G223" s="806"/>
      <c r="H223" s="918"/>
      <c r="I223" s="807"/>
      <c r="J223" s="919"/>
      <c r="K223" s="919"/>
      <c r="L223" s="920"/>
    </row>
    <row r="224" spans="1:16" s="714" customFormat="1" ht="24" customHeight="1">
      <c r="A224" s="831"/>
      <c r="B224" s="720" t="s">
        <v>958</v>
      </c>
      <c r="C224" s="717"/>
      <c r="D224" s="717"/>
      <c r="E224" s="917"/>
      <c r="F224" s="916"/>
      <c r="G224" s="806"/>
      <c r="H224" s="918"/>
      <c r="I224" s="807"/>
      <c r="J224" s="919"/>
      <c r="K224" s="919"/>
      <c r="L224" s="920"/>
    </row>
    <row r="225" spans="1:16" s="714" customFormat="1" ht="24" customHeight="1">
      <c r="A225" s="831"/>
      <c r="B225" s="720" t="s">
        <v>958</v>
      </c>
      <c r="C225" s="717"/>
      <c r="D225" s="717"/>
      <c r="E225" s="917"/>
      <c r="F225" s="916"/>
      <c r="G225" s="806"/>
      <c r="H225" s="918"/>
      <c r="I225" s="807"/>
      <c r="J225" s="919"/>
      <c r="K225" s="919"/>
      <c r="L225" s="920"/>
    </row>
    <row r="226" spans="1:16" s="714" customFormat="1" ht="24" customHeight="1">
      <c r="A226" s="775"/>
      <c r="B226" s="2475" t="str">
        <f>"รวมราคารายการที่ "&amp;A179</f>
        <v>รวมราคารายการที่ 3.8</v>
      </c>
      <c r="C226" s="2476"/>
      <c r="D226" s="2477"/>
      <c r="E226" s="776"/>
      <c r="F226" s="777"/>
      <c r="G226" s="778"/>
      <c r="H226" s="779">
        <f>SUM(H179:H225)</f>
        <v>16558327</v>
      </c>
      <c r="I226" s="778"/>
      <c r="J226" s="779">
        <f>SUM(J179:J225)</f>
        <v>2520798</v>
      </c>
      <c r="K226" s="779">
        <f>SUM(K179:K225)</f>
        <v>19079125</v>
      </c>
      <c r="L226" s="777"/>
      <c r="N226" s="715"/>
    </row>
    <row r="227" spans="1:16" s="714" customFormat="1" ht="24" customHeight="1">
      <c r="A227" s="911" t="s">
        <v>1134</v>
      </c>
      <c r="B227" s="816" t="s">
        <v>1181</v>
      </c>
      <c r="C227" s="770"/>
      <c r="D227" s="770"/>
      <c r="E227" s="930"/>
      <c r="F227" s="931"/>
      <c r="G227" s="932"/>
      <c r="H227" s="933"/>
      <c r="I227" s="934"/>
      <c r="J227" s="935"/>
      <c r="K227" s="935"/>
      <c r="L227" s="936"/>
    </row>
    <row r="228" spans="1:16" s="714" customFormat="1" ht="24" customHeight="1">
      <c r="A228" s="831" t="s">
        <v>1136</v>
      </c>
      <c r="B228" s="720" t="s">
        <v>1182</v>
      </c>
      <c r="C228" s="717"/>
      <c r="D228" s="717"/>
      <c r="E228" s="917"/>
      <c r="F228" s="916"/>
      <c r="G228" s="806"/>
      <c r="H228" s="918"/>
      <c r="I228" s="807"/>
      <c r="J228" s="919"/>
      <c r="K228" s="919"/>
      <c r="L228" s="920"/>
    </row>
    <row r="229" spans="1:16" s="714" customFormat="1" ht="24" customHeight="1">
      <c r="A229" s="831" t="s">
        <v>3047</v>
      </c>
      <c r="B229" s="720" t="s">
        <v>1183</v>
      </c>
      <c r="C229" s="717"/>
      <c r="D229" s="717"/>
      <c r="E229" s="917"/>
      <c r="F229" s="916"/>
      <c r="G229" s="806"/>
      <c r="H229" s="918"/>
      <c r="I229" s="807"/>
      <c r="J229" s="919"/>
      <c r="K229" s="919"/>
      <c r="L229" s="920"/>
    </row>
    <row r="230" spans="1:16" s="714" customFormat="1" ht="24" customHeight="1">
      <c r="A230" s="831"/>
      <c r="B230" s="720" t="s">
        <v>1184</v>
      </c>
      <c r="C230" s="717"/>
      <c r="D230" s="717"/>
      <c r="E230" s="805">
        <v>710</v>
      </c>
      <c r="F230" s="794" t="s">
        <v>438</v>
      </c>
      <c r="G230" s="806">
        <v>75</v>
      </c>
      <c r="H230" s="796">
        <f t="shared" ref="H230:H243" si="55">ROUND(E230*G230,)</f>
        <v>53250</v>
      </c>
      <c r="I230" s="807">
        <v>28</v>
      </c>
      <c r="J230" s="796">
        <f t="shared" ref="J230:J243" si="56">ROUND(E230*I230,)</f>
        <v>19880</v>
      </c>
      <c r="K230" s="799">
        <f t="shared" ref="K230:K247" si="57">H230+J230</f>
        <v>73130</v>
      </c>
      <c r="L230" s="1716" t="s">
        <v>2974</v>
      </c>
      <c r="N230" s="714">
        <v>650</v>
      </c>
      <c r="O230" s="714">
        <f>ROUND(N230*O$239,0)</f>
        <v>709</v>
      </c>
      <c r="P230" s="714">
        <v>710</v>
      </c>
    </row>
    <row r="231" spans="1:16" s="714" customFormat="1" ht="24" customHeight="1">
      <c r="A231" s="831"/>
      <c r="B231" s="720" t="s">
        <v>1185</v>
      </c>
      <c r="C231" s="717"/>
      <c r="D231" s="717"/>
      <c r="E231" s="805">
        <v>2730</v>
      </c>
      <c r="F231" s="794" t="s">
        <v>438</v>
      </c>
      <c r="G231" s="806">
        <v>101</v>
      </c>
      <c r="H231" s="796">
        <f t="shared" si="55"/>
        <v>275730</v>
      </c>
      <c r="I231" s="807">
        <v>32</v>
      </c>
      <c r="J231" s="796">
        <f t="shared" si="56"/>
        <v>87360</v>
      </c>
      <c r="K231" s="799">
        <f t="shared" si="57"/>
        <v>363090</v>
      </c>
      <c r="L231" s="1716" t="s">
        <v>2974</v>
      </c>
      <c r="N231" s="714">
        <v>2500</v>
      </c>
      <c r="O231" s="714">
        <f t="shared" ref="O231:O238" si="58">ROUND(N231*O$239,0)</f>
        <v>2727</v>
      </c>
      <c r="P231" s="714">
        <v>2730</v>
      </c>
    </row>
    <row r="232" spans="1:16" s="714" customFormat="1" ht="24" customHeight="1">
      <c r="A232" s="831"/>
      <c r="B232" s="720" t="s">
        <v>1186</v>
      </c>
      <c r="C232" s="717"/>
      <c r="D232" s="717"/>
      <c r="E232" s="805">
        <v>2075</v>
      </c>
      <c r="F232" s="794" t="s">
        <v>438</v>
      </c>
      <c r="G232" s="806">
        <v>131</v>
      </c>
      <c r="H232" s="796">
        <f t="shared" si="55"/>
        <v>271825</v>
      </c>
      <c r="I232" s="807">
        <v>38</v>
      </c>
      <c r="J232" s="796">
        <f t="shared" si="56"/>
        <v>78850</v>
      </c>
      <c r="K232" s="799">
        <f t="shared" si="57"/>
        <v>350675</v>
      </c>
      <c r="L232" s="1716" t="s">
        <v>2974</v>
      </c>
      <c r="N232" s="714">
        <v>1900</v>
      </c>
      <c r="O232" s="714">
        <f t="shared" si="58"/>
        <v>2073</v>
      </c>
      <c r="P232" s="714">
        <v>2075</v>
      </c>
    </row>
    <row r="233" spans="1:16" s="714" customFormat="1" ht="24" customHeight="1">
      <c r="A233" s="831"/>
      <c r="B233" s="720" t="s">
        <v>1187</v>
      </c>
      <c r="C233" s="717"/>
      <c r="D233" s="717"/>
      <c r="E233" s="805">
        <v>1155</v>
      </c>
      <c r="F233" s="794" t="s">
        <v>438</v>
      </c>
      <c r="G233" s="806">
        <v>160</v>
      </c>
      <c r="H233" s="796">
        <f t="shared" si="55"/>
        <v>184800</v>
      </c>
      <c r="I233" s="807">
        <v>42</v>
      </c>
      <c r="J233" s="796">
        <f t="shared" si="56"/>
        <v>48510</v>
      </c>
      <c r="K233" s="799">
        <f t="shared" si="57"/>
        <v>233310</v>
      </c>
      <c r="L233" s="1716" t="s">
        <v>2974</v>
      </c>
      <c r="N233" s="714">
        <v>1060</v>
      </c>
      <c r="O233" s="714">
        <f t="shared" si="58"/>
        <v>1156</v>
      </c>
      <c r="P233" s="714">
        <v>1155</v>
      </c>
    </row>
    <row r="234" spans="1:16" s="714" customFormat="1" ht="24" customHeight="1">
      <c r="A234" s="831"/>
      <c r="B234" s="720" t="s">
        <v>1188</v>
      </c>
      <c r="C234" s="717"/>
      <c r="D234" s="717"/>
      <c r="E234" s="805">
        <v>2115</v>
      </c>
      <c r="F234" s="794" t="s">
        <v>438</v>
      </c>
      <c r="G234" s="806">
        <v>219</v>
      </c>
      <c r="H234" s="796">
        <f t="shared" si="55"/>
        <v>463185</v>
      </c>
      <c r="I234" s="807">
        <v>48</v>
      </c>
      <c r="J234" s="796">
        <f t="shared" si="56"/>
        <v>101520</v>
      </c>
      <c r="K234" s="799">
        <f t="shared" si="57"/>
        <v>564705</v>
      </c>
      <c r="L234" s="1716" t="s">
        <v>2974</v>
      </c>
      <c r="N234" s="714">
        <v>1940</v>
      </c>
      <c r="O234" s="714">
        <f t="shared" si="58"/>
        <v>2116</v>
      </c>
      <c r="P234" s="714">
        <v>2115</v>
      </c>
    </row>
    <row r="235" spans="1:16" s="714" customFormat="1" ht="24" customHeight="1">
      <c r="A235" s="831"/>
      <c r="B235" s="720" t="s">
        <v>1189</v>
      </c>
      <c r="C235" s="717"/>
      <c r="D235" s="717"/>
      <c r="E235" s="805">
        <v>915</v>
      </c>
      <c r="F235" s="794" t="s">
        <v>438</v>
      </c>
      <c r="G235" s="806">
        <v>352</v>
      </c>
      <c r="H235" s="796">
        <f t="shared" si="55"/>
        <v>322080</v>
      </c>
      <c r="I235" s="807">
        <v>55</v>
      </c>
      <c r="J235" s="796">
        <f t="shared" si="56"/>
        <v>50325</v>
      </c>
      <c r="K235" s="799">
        <f t="shared" si="57"/>
        <v>372405</v>
      </c>
      <c r="L235" s="805"/>
      <c r="N235" s="714">
        <v>840</v>
      </c>
      <c r="O235" s="714">
        <f t="shared" si="58"/>
        <v>916</v>
      </c>
      <c r="P235" s="714">
        <v>915</v>
      </c>
    </row>
    <row r="236" spans="1:16" s="714" customFormat="1" ht="24" customHeight="1">
      <c r="A236" s="831"/>
      <c r="B236" s="720" t="s">
        <v>1190</v>
      </c>
      <c r="C236" s="717"/>
      <c r="D236" s="717"/>
      <c r="E236" s="805">
        <v>1745</v>
      </c>
      <c r="F236" s="794" t="s">
        <v>438</v>
      </c>
      <c r="G236" s="806">
        <v>434</v>
      </c>
      <c r="H236" s="796">
        <f t="shared" si="55"/>
        <v>757330</v>
      </c>
      <c r="I236" s="807">
        <v>65</v>
      </c>
      <c r="J236" s="796">
        <f t="shared" si="56"/>
        <v>113425</v>
      </c>
      <c r="K236" s="799">
        <f t="shared" si="57"/>
        <v>870755</v>
      </c>
      <c r="L236" s="805"/>
      <c r="N236" s="714">
        <v>1600</v>
      </c>
      <c r="O236" s="714">
        <f t="shared" si="58"/>
        <v>1745</v>
      </c>
      <c r="P236" s="714">
        <v>1745</v>
      </c>
    </row>
    <row r="237" spans="1:16" s="714" customFormat="1" ht="24" customHeight="1">
      <c r="A237" s="831"/>
      <c r="B237" s="720" t="s">
        <v>1191</v>
      </c>
      <c r="C237" s="717"/>
      <c r="D237" s="717"/>
      <c r="E237" s="805">
        <v>260</v>
      </c>
      <c r="F237" s="794" t="s">
        <v>438</v>
      </c>
      <c r="G237" s="806">
        <v>505</v>
      </c>
      <c r="H237" s="796">
        <f t="shared" si="55"/>
        <v>131300</v>
      </c>
      <c r="I237" s="807">
        <v>75</v>
      </c>
      <c r="J237" s="796">
        <f t="shared" si="56"/>
        <v>19500</v>
      </c>
      <c r="K237" s="799">
        <f t="shared" si="57"/>
        <v>150800</v>
      </c>
      <c r="L237" s="805"/>
      <c r="N237" s="714">
        <v>240</v>
      </c>
      <c r="O237" s="714">
        <f t="shared" si="58"/>
        <v>262</v>
      </c>
      <c r="P237" s="714">
        <v>260</v>
      </c>
    </row>
    <row r="238" spans="1:16" s="714" customFormat="1" ht="24" customHeight="1">
      <c r="A238" s="831"/>
      <c r="B238" s="720" t="s">
        <v>951</v>
      </c>
      <c r="C238" s="717"/>
      <c r="D238" s="717"/>
      <c r="E238" s="805">
        <v>295</v>
      </c>
      <c r="F238" s="794" t="s">
        <v>438</v>
      </c>
      <c r="G238" s="806">
        <v>572</v>
      </c>
      <c r="H238" s="796">
        <f t="shared" si="55"/>
        <v>168740</v>
      </c>
      <c r="I238" s="807">
        <v>85</v>
      </c>
      <c r="J238" s="796">
        <f t="shared" si="56"/>
        <v>25075</v>
      </c>
      <c r="K238" s="799">
        <f t="shared" si="57"/>
        <v>193815</v>
      </c>
      <c r="L238" s="805"/>
      <c r="N238" s="714">
        <v>270</v>
      </c>
      <c r="O238" s="714">
        <f t="shared" si="58"/>
        <v>295</v>
      </c>
      <c r="P238" s="714">
        <v>295</v>
      </c>
    </row>
    <row r="239" spans="1:16" s="714" customFormat="1" ht="24" customHeight="1">
      <c r="A239" s="831"/>
      <c r="B239" s="720" t="s">
        <v>952</v>
      </c>
      <c r="C239" s="717"/>
      <c r="D239" s="717"/>
      <c r="E239" s="917">
        <v>1</v>
      </c>
      <c r="F239" s="916" t="s">
        <v>948</v>
      </c>
      <c r="G239" s="806">
        <f>SUM(H230:H238)*15%</f>
        <v>394236</v>
      </c>
      <c r="H239" s="796">
        <f t="shared" si="55"/>
        <v>394236</v>
      </c>
      <c r="I239" s="807">
        <f>G239*0.3</f>
        <v>118270.79999999999</v>
      </c>
      <c r="J239" s="796">
        <f t="shared" si="56"/>
        <v>118271</v>
      </c>
      <c r="K239" s="799">
        <f t="shared" si="57"/>
        <v>512507</v>
      </c>
      <c r="L239" s="917"/>
      <c r="N239" s="714">
        <f>SUM(N230:N238)</f>
        <v>11000</v>
      </c>
      <c r="O239" s="714">
        <f>12000/N239</f>
        <v>1.0909090909090908</v>
      </c>
      <c r="P239" s="714">
        <f>SUM(P230:P238)</f>
        <v>12000</v>
      </c>
    </row>
    <row r="240" spans="1:16" s="714" customFormat="1" ht="24" customHeight="1">
      <c r="A240" s="831" t="s">
        <v>3048</v>
      </c>
      <c r="B240" s="720" t="s">
        <v>1192</v>
      </c>
      <c r="C240" s="717"/>
      <c r="D240" s="717"/>
      <c r="E240" s="917"/>
      <c r="F240" s="916"/>
      <c r="G240" s="806"/>
      <c r="H240" s="796">
        <f t="shared" si="55"/>
        <v>0</v>
      </c>
      <c r="I240" s="807"/>
      <c r="J240" s="796">
        <f t="shared" si="56"/>
        <v>0</v>
      </c>
      <c r="K240" s="799">
        <f t="shared" si="57"/>
        <v>0</v>
      </c>
      <c r="L240" s="917"/>
      <c r="P240" s="714">
        <f>P239*5</f>
        <v>60000</v>
      </c>
    </row>
    <row r="241" spans="1:14" s="714" customFormat="1" ht="24" customHeight="1">
      <c r="A241" s="831"/>
      <c r="B241" s="720" t="s">
        <v>1193</v>
      </c>
      <c r="C241" s="717"/>
      <c r="D241" s="717"/>
      <c r="E241" s="917"/>
      <c r="F241" s="794" t="s">
        <v>438</v>
      </c>
      <c r="G241" s="806">
        <v>316</v>
      </c>
      <c r="H241" s="796">
        <f t="shared" si="55"/>
        <v>0</v>
      </c>
      <c r="I241" s="807">
        <v>50</v>
      </c>
      <c r="J241" s="796">
        <f t="shared" si="56"/>
        <v>0</v>
      </c>
      <c r="K241" s="799">
        <f t="shared" si="57"/>
        <v>0</v>
      </c>
      <c r="L241" s="917"/>
    </row>
    <row r="242" spans="1:14" s="714" customFormat="1" ht="24" customHeight="1">
      <c r="A242" s="831"/>
      <c r="B242" s="720" t="s">
        <v>1194</v>
      </c>
      <c r="C242" s="717"/>
      <c r="D242" s="717"/>
      <c r="E242" s="917"/>
      <c r="F242" s="794" t="s">
        <v>438</v>
      </c>
      <c r="G242" s="806">
        <v>666</v>
      </c>
      <c r="H242" s="796">
        <f t="shared" si="55"/>
        <v>0</v>
      </c>
      <c r="I242" s="807">
        <v>75</v>
      </c>
      <c r="J242" s="796">
        <f t="shared" si="56"/>
        <v>0</v>
      </c>
      <c r="K242" s="799">
        <f t="shared" si="57"/>
        <v>0</v>
      </c>
      <c r="L242" s="917"/>
    </row>
    <row r="243" spans="1:14" s="714" customFormat="1" ht="24" customHeight="1">
      <c r="A243" s="831"/>
      <c r="B243" s="720" t="s">
        <v>952</v>
      </c>
      <c r="C243" s="717"/>
      <c r="D243" s="717"/>
      <c r="E243" s="917"/>
      <c r="F243" s="916" t="s">
        <v>948</v>
      </c>
      <c r="G243" s="806">
        <f>SUM(H241:H242)*15%</f>
        <v>0</v>
      </c>
      <c r="H243" s="796">
        <f t="shared" si="55"/>
        <v>0</v>
      </c>
      <c r="I243" s="807">
        <f>G243*0.3</f>
        <v>0</v>
      </c>
      <c r="J243" s="796">
        <f t="shared" si="56"/>
        <v>0</v>
      </c>
      <c r="K243" s="799">
        <f t="shared" si="57"/>
        <v>0</v>
      </c>
      <c r="L243" s="917"/>
    </row>
    <row r="244" spans="1:14" s="714" customFormat="1" ht="24" customHeight="1">
      <c r="A244" s="831" t="s">
        <v>3049</v>
      </c>
      <c r="B244" s="720" t="s">
        <v>1195</v>
      </c>
      <c r="C244" s="717"/>
      <c r="D244" s="717"/>
      <c r="E244" s="917"/>
      <c r="F244" s="916"/>
      <c r="G244" s="806"/>
      <c r="H244" s="796"/>
      <c r="I244" s="807"/>
      <c r="J244" s="914"/>
      <c r="K244" s="799">
        <f t="shared" si="57"/>
        <v>0</v>
      </c>
      <c r="L244" s="917"/>
    </row>
    <row r="245" spans="1:14" s="714" customFormat="1" ht="24" customHeight="1">
      <c r="A245" s="831"/>
      <c r="B245" s="720" t="s">
        <v>1188</v>
      </c>
      <c r="C245" s="717"/>
      <c r="D245" s="717"/>
      <c r="E245" s="917"/>
      <c r="F245" s="794" t="s">
        <v>438</v>
      </c>
      <c r="G245" s="806">
        <v>334</v>
      </c>
      <c r="H245" s="796">
        <f t="shared" ref="H245:H247" si="59">ROUND(E245*G245,)</f>
        <v>0</v>
      </c>
      <c r="I245" s="807">
        <v>20</v>
      </c>
      <c r="J245" s="796">
        <f t="shared" ref="J245:J247" si="60">ROUND(E245*I245,)</f>
        <v>0</v>
      </c>
      <c r="K245" s="799">
        <f t="shared" si="57"/>
        <v>0</v>
      </c>
      <c r="L245" s="917"/>
    </row>
    <row r="246" spans="1:14" s="714" customFormat="1" ht="24" customHeight="1">
      <c r="A246" s="831"/>
      <c r="B246" s="720" t="s">
        <v>1189</v>
      </c>
      <c r="C246" s="717"/>
      <c r="D246" s="717"/>
      <c r="E246" s="917">
        <v>160</v>
      </c>
      <c r="F246" s="794" t="s">
        <v>438</v>
      </c>
      <c r="G246" s="806">
        <v>667</v>
      </c>
      <c r="H246" s="796">
        <f t="shared" si="59"/>
        <v>106720</v>
      </c>
      <c r="I246" s="807">
        <v>22</v>
      </c>
      <c r="J246" s="796">
        <f t="shared" si="60"/>
        <v>3520</v>
      </c>
      <c r="K246" s="799">
        <f t="shared" si="57"/>
        <v>110240</v>
      </c>
      <c r="L246" s="917"/>
    </row>
    <row r="247" spans="1:14" s="714" customFormat="1" ht="24" customHeight="1">
      <c r="A247" s="831"/>
      <c r="B247" s="720" t="s">
        <v>951</v>
      </c>
      <c r="C247" s="717"/>
      <c r="D247" s="717"/>
      <c r="E247" s="917"/>
      <c r="F247" s="794" t="s">
        <v>438</v>
      </c>
      <c r="G247" s="806">
        <v>1334</v>
      </c>
      <c r="H247" s="796">
        <f t="shared" si="59"/>
        <v>0</v>
      </c>
      <c r="I247" s="807">
        <v>25</v>
      </c>
      <c r="J247" s="796">
        <f t="shared" si="60"/>
        <v>0</v>
      </c>
      <c r="K247" s="799">
        <f t="shared" si="57"/>
        <v>0</v>
      </c>
      <c r="L247" s="917"/>
    </row>
    <row r="248" spans="1:14" s="714" customFormat="1" ht="24" customHeight="1">
      <c r="A248" s="831"/>
      <c r="B248" s="720" t="s">
        <v>957</v>
      </c>
      <c r="C248" s="717"/>
      <c r="D248" s="717"/>
      <c r="E248" s="917"/>
      <c r="F248" s="916"/>
      <c r="G248" s="806"/>
      <c r="H248" s="918"/>
      <c r="I248" s="807"/>
      <c r="J248" s="919"/>
      <c r="K248" s="919"/>
      <c r="L248" s="920"/>
    </row>
    <row r="249" spans="1:14" s="714" customFormat="1" ht="24" customHeight="1">
      <c r="A249" s="2353"/>
      <c r="B249" s="1012"/>
      <c r="C249" s="2368"/>
      <c r="D249" s="2368"/>
      <c r="E249" s="2354"/>
      <c r="F249" s="2355"/>
      <c r="G249" s="2356"/>
      <c r="H249" s="2357"/>
      <c r="I249" s="2358"/>
      <c r="J249" s="2359"/>
      <c r="K249" s="2359"/>
      <c r="L249" s="2360"/>
    </row>
    <row r="250" spans="1:14" s="714" customFormat="1" ht="24" customHeight="1">
      <c r="A250" s="775"/>
      <c r="B250" s="2475" t="str">
        <f>"รวมราคารายการที่ "&amp;A227</f>
        <v>รวมราคารายการที่ 3.9</v>
      </c>
      <c r="C250" s="2476"/>
      <c r="D250" s="2477"/>
      <c r="E250" s="776"/>
      <c r="F250" s="777"/>
      <c r="G250" s="778"/>
      <c r="H250" s="779">
        <f>SUM(H228:H248)</f>
        <v>3129196</v>
      </c>
      <c r="I250" s="778"/>
      <c r="J250" s="779">
        <f t="shared" ref="J250" si="61">SUM(J228:J248)</f>
        <v>666236</v>
      </c>
      <c r="K250" s="779">
        <f>SUM(K227:K248)</f>
        <v>3795432</v>
      </c>
      <c r="L250" s="777"/>
      <c r="N250" s="715"/>
    </row>
    <row r="251" spans="1:14" s="714" customFormat="1" ht="24" customHeight="1">
      <c r="A251" s="911" t="s">
        <v>1158</v>
      </c>
      <c r="B251" s="816" t="s">
        <v>1197</v>
      </c>
      <c r="C251" s="770"/>
      <c r="D251" s="770"/>
      <c r="E251" s="930"/>
      <c r="F251" s="709"/>
      <c r="G251" s="932"/>
      <c r="H251" s="854"/>
      <c r="I251" s="855"/>
      <c r="J251" s="854"/>
      <c r="K251" s="912"/>
      <c r="L251" s="936"/>
    </row>
    <row r="252" spans="1:14" s="714" customFormat="1" ht="24" customHeight="1">
      <c r="A252" s="831" t="s">
        <v>1160</v>
      </c>
      <c r="B252" s="720" t="s">
        <v>2975</v>
      </c>
      <c r="C252" s="717"/>
      <c r="D252" s="717"/>
      <c r="E252" s="917">
        <v>1</v>
      </c>
      <c r="F252" s="722" t="s">
        <v>240</v>
      </c>
      <c r="G252" s="806">
        <v>50000</v>
      </c>
      <c r="H252" s="796">
        <f t="shared" ref="H252" si="62">ROUND(E252*G252,)</f>
        <v>50000</v>
      </c>
      <c r="I252" s="807">
        <f t="shared" ref="I252" si="63">G252*0.05</f>
        <v>2500</v>
      </c>
      <c r="J252" s="796">
        <f t="shared" ref="J252" si="64">ROUND(E252*I252,)</f>
        <v>2500</v>
      </c>
      <c r="K252" s="914">
        <f t="shared" ref="K252" si="65">H252+J252</f>
        <v>52500</v>
      </c>
      <c r="L252" s="920"/>
    </row>
    <row r="253" spans="1:14" s="714" customFormat="1" ht="24" customHeight="1">
      <c r="A253" s="831"/>
      <c r="B253" s="720" t="s">
        <v>2976</v>
      </c>
      <c r="C253" s="717"/>
      <c r="D253" s="717"/>
      <c r="E253" s="917"/>
      <c r="F253" s="722"/>
      <c r="G253" s="806" t="s">
        <v>974</v>
      </c>
      <c r="H253" s="796"/>
      <c r="I253" s="797"/>
      <c r="J253" s="796"/>
      <c r="K253" s="914"/>
      <c r="L253" s="920"/>
    </row>
    <row r="254" spans="1:14" s="714" customFormat="1" ht="24" customHeight="1">
      <c r="A254" s="831"/>
      <c r="B254" s="720" t="s">
        <v>2977</v>
      </c>
      <c r="C254" s="717"/>
      <c r="D254" s="717"/>
      <c r="E254" s="917"/>
      <c r="F254" s="722"/>
      <c r="G254" s="806" t="s">
        <v>974</v>
      </c>
      <c r="H254" s="796"/>
      <c r="I254" s="797"/>
      <c r="J254" s="796"/>
      <c r="K254" s="914"/>
      <c r="L254" s="920"/>
    </row>
    <row r="255" spans="1:14" s="714" customFormat="1" ht="24" customHeight="1">
      <c r="A255" s="831"/>
      <c r="B255" s="720" t="s">
        <v>2978</v>
      </c>
      <c r="C255" s="717"/>
      <c r="D255" s="717"/>
      <c r="E255" s="917"/>
      <c r="F255" s="722"/>
      <c r="G255" s="806" t="s">
        <v>974</v>
      </c>
      <c r="H255" s="796"/>
      <c r="I255" s="797"/>
      <c r="J255" s="796"/>
      <c r="K255" s="914"/>
      <c r="L255" s="920"/>
    </row>
    <row r="256" spans="1:14" s="714" customFormat="1" ht="24" customHeight="1">
      <c r="A256" s="831"/>
      <c r="B256" s="720" t="s">
        <v>2979</v>
      </c>
      <c r="C256" s="717"/>
      <c r="D256" s="717"/>
      <c r="E256" s="917"/>
      <c r="F256" s="722"/>
      <c r="G256" s="806" t="s">
        <v>974</v>
      </c>
      <c r="H256" s="796"/>
      <c r="I256" s="797"/>
      <c r="J256" s="796"/>
      <c r="K256" s="914"/>
      <c r="L256" s="920"/>
    </row>
    <row r="257" spans="1:13" s="714" customFormat="1" ht="24" customHeight="1">
      <c r="A257" s="831"/>
      <c r="B257" s="720" t="s">
        <v>2980</v>
      </c>
      <c r="C257" s="717"/>
      <c r="D257" s="717"/>
      <c r="E257" s="917"/>
      <c r="F257" s="722"/>
      <c r="G257" s="806" t="s">
        <v>974</v>
      </c>
      <c r="H257" s="796"/>
      <c r="I257" s="797"/>
      <c r="J257" s="796"/>
      <c r="K257" s="914"/>
      <c r="L257" s="920"/>
    </row>
    <row r="258" spans="1:13" s="714" customFormat="1" ht="24" customHeight="1">
      <c r="A258" s="831"/>
      <c r="B258" s="720" t="s">
        <v>2981</v>
      </c>
      <c r="C258" s="717"/>
      <c r="D258" s="717"/>
      <c r="E258" s="917"/>
      <c r="F258" s="722"/>
      <c r="G258" s="806" t="s">
        <v>974</v>
      </c>
      <c r="H258" s="796"/>
      <c r="I258" s="797"/>
      <c r="J258" s="796"/>
      <c r="K258" s="914"/>
      <c r="L258" s="920"/>
    </row>
    <row r="259" spans="1:13" s="714" customFormat="1" ht="24" customHeight="1">
      <c r="A259" s="831"/>
      <c r="B259" s="720" t="s">
        <v>2982</v>
      </c>
      <c r="C259" s="717"/>
      <c r="D259" s="717"/>
      <c r="E259" s="917"/>
      <c r="F259" s="722"/>
      <c r="G259" s="806" t="s">
        <v>974</v>
      </c>
      <c r="H259" s="796"/>
      <c r="I259" s="797"/>
      <c r="J259" s="796"/>
      <c r="K259" s="914"/>
      <c r="L259" s="920"/>
    </row>
    <row r="260" spans="1:13" s="714" customFormat="1" ht="24" customHeight="1">
      <c r="A260" s="2267" t="s">
        <v>1362</v>
      </c>
      <c r="B260" s="720" t="s">
        <v>2983</v>
      </c>
      <c r="C260" s="770"/>
      <c r="D260" s="770"/>
      <c r="E260" s="930">
        <v>1</v>
      </c>
      <c r="F260" s="939" t="s">
        <v>240</v>
      </c>
      <c r="G260" s="932">
        <v>45000</v>
      </c>
      <c r="H260" s="933">
        <f>G260*E260</f>
        <v>45000</v>
      </c>
      <c r="I260" s="934">
        <f>G260*0.1</f>
        <v>4500</v>
      </c>
      <c r="J260" s="935">
        <f>I260*E260</f>
        <v>4500</v>
      </c>
      <c r="K260" s="938">
        <f t="shared" ref="K260" si="66">H260+J260</f>
        <v>49500</v>
      </c>
      <c r="L260" s="936"/>
    </row>
    <row r="261" spans="1:13" s="714" customFormat="1" ht="24" customHeight="1">
      <c r="A261" s="831" t="s">
        <v>1366</v>
      </c>
      <c r="B261" s="720" t="s">
        <v>1235</v>
      </c>
      <c r="C261" s="770"/>
      <c r="D261" s="770"/>
      <c r="E261" s="930"/>
      <c r="F261" s="939"/>
      <c r="G261" s="932"/>
      <c r="H261" s="933"/>
      <c r="I261" s="934"/>
      <c r="J261" s="935"/>
      <c r="K261" s="938"/>
      <c r="L261" s="936"/>
    </row>
    <row r="262" spans="1:13" s="714" customFormat="1" ht="24" customHeight="1">
      <c r="A262" s="2267"/>
      <c r="B262" s="720" t="s">
        <v>1249</v>
      </c>
      <c r="C262" s="717"/>
      <c r="D262" s="717"/>
      <c r="E262" s="917">
        <v>400</v>
      </c>
      <c r="F262" s="794" t="s">
        <v>438</v>
      </c>
      <c r="G262" s="806">
        <v>68</v>
      </c>
      <c r="H262" s="796">
        <f>ROUND(E262*G262,)</f>
        <v>27200</v>
      </c>
      <c r="I262" s="807">
        <v>12</v>
      </c>
      <c r="J262" s="796">
        <f t="shared" ref="J262" si="67">ROUND(E262*I262,)</f>
        <v>4800</v>
      </c>
      <c r="K262" s="914">
        <f t="shared" ref="K262" si="68">H262+J262</f>
        <v>32000</v>
      </c>
      <c r="L262" s="936"/>
    </row>
    <row r="263" spans="1:13" s="714" customFormat="1" ht="24" customHeight="1">
      <c r="A263" s="831"/>
      <c r="B263" s="720" t="s">
        <v>947</v>
      </c>
      <c r="C263" s="717"/>
      <c r="D263" s="717"/>
      <c r="E263" s="942">
        <v>1</v>
      </c>
      <c r="F263" s="916" t="s">
        <v>948</v>
      </c>
      <c r="G263" s="806">
        <f>ROUND(SUM(H262)*5%,)</f>
        <v>1360</v>
      </c>
      <c r="H263" s="796">
        <f>ROUND(E263*G263,)</f>
        <v>1360</v>
      </c>
      <c r="I263" s="807">
        <f>ROUND(G263*0.3,)</f>
        <v>408</v>
      </c>
      <c r="J263" s="796">
        <f>ROUND(E263*I263,)</f>
        <v>408</v>
      </c>
      <c r="K263" s="914">
        <f>H263+J263</f>
        <v>1768</v>
      </c>
      <c r="L263" s="920"/>
    </row>
    <row r="264" spans="1:13" s="714" customFormat="1" ht="24" customHeight="1">
      <c r="A264" s="831" t="s">
        <v>3024</v>
      </c>
      <c r="B264" s="720" t="s">
        <v>1199</v>
      </c>
      <c r="C264" s="717"/>
      <c r="D264" s="717"/>
      <c r="E264" s="917">
        <v>600</v>
      </c>
      <c r="F264" s="794" t="s">
        <v>438</v>
      </c>
      <c r="G264" s="806">
        <v>68</v>
      </c>
      <c r="H264" s="796">
        <f t="shared" ref="H264" si="69">ROUND(G264*E264,)</f>
        <v>40800</v>
      </c>
      <c r="I264" s="807">
        <v>5</v>
      </c>
      <c r="J264" s="796">
        <f t="shared" ref="J264:J268" si="70">ROUND(E264*I264,)</f>
        <v>3000</v>
      </c>
      <c r="K264" s="799">
        <f t="shared" ref="K264:K268" si="71">H264+J264</f>
        <v>43800</v>
      </c>
      <c r="L264" s="920"/>
    </row>
    <row r="265" spans="1:13" s="714" customFormat="1" ht="24" customHeight="1">
      <c r="A265" s="831"/>
      <c r="B265" s="720" t="s">
        <v>947</v>
      </c>
      <c r="C265" s="717"/>
      <c r="D265" s="717"/>
      <c r="E265" s="917"/>
      <c r="F265" s="916" t="s">
        <v>948</v>
      </c>
      <c r="G265" s="806">
        <f>SUM(H264)*5%</f>
        <v>2040</v>
      </c>
      <c r="H265" s="796">
        <f t="shared" ref="H265:H268" si="72">ROUND(E265*G265,)</f>
        <v>0</v>
      </c>
      <c r="I265" s="807">
        <f>G265*0.3</f>
        <v>612</v>
      </c>
      <c r="J265" s="796">
        <f t="shared" si="70"/>
        <v>0</v>
      </c>
      <c r="K265" s="799">
        <f t="shared" si="71"/>
        <v>0</v>
      </c>
      <c r="L265" s="920"/>
    </row>
    <row r="266" spans="1:13" s="714" customFormat="1" ht="24" customHeight="1">
      <c r="A266" s="831" t="s">
        <v>1369</v>
      </c>
      <c r="B266" s="705" t="s">
        <v>1280</v>
      </c>
      <c r="C266" s="717"/>
      <c r="D266" s="717"/>
      <c r="E266" s="917"/>
      <c r="F266" s="916"/>
      <c r="G266" s="806"/>
      <c r="H266" s="796">
        <f t="shared" si="72"/>
        <v>0</v>
      </c>
      <c r="I266" s="807"/>
      <c r="J266" s="796">
        <f t="shared" si="70"/>
        <v>0</v>
      </c>
      <c r="K266" s="799">
        <f t="shared" si="71"/>
        <v>0</v>
      </c>
      <c r="L266" s="920"/>
    </row>
    <row r="267" spans="1:13" s="714" customFormat="1" ht="24" customHeight="1">
      <c r="A267" s="831"/>
      <c r="B267" s="720" t="s">
        <v>1201</v>
      </c>
      <c r="C267" s="717"/>
      <c r="D267" s="717"/>
      <c r="E267" s="917">
        <f>E264</f>
        <v>600</v>
      </c>
      <c r="F267" s="794" t="s">
        <v>438</v>
      </c>
      <c r="G267" s="806">
        <v>27</v>
      </c>
      <c r="H267" s="796">
        <f t="shared" si="72"/>
        <v>16200</v>
      </c>
      <c r="I267" s="807">
        <v>22</v>
      </c>
      <c r="J267" s="796">
        <f t="shared" si="70"/>
        <v>13200</v>
      </c>
      <c r="K267" s="799">
        <f t="shared" si="71"/>
        <v>29400</v>
      </c>
      <c r="L267" s="1718" t="s">
        <v>2974</v>
      </c>
      <c r="M267" s="729"/>
    </row>
    <row r="268" spans="1:13" s="714" customFormat="1" ht="24" customHeight="1">
      <c r="A268" s="831"/>
      <c r="B268" s="720" t="s">
        <v>952</v>
      </c>
      <c r="C268" s="717"/>
      <c r="D268" s="717"/>
      <c r="E268" s="917">
        <v>1</v>
      </c>
      <c r="F268" s="916" t="s">
        <v>948</v>
      </c>
      <c r="G268" s="806">
        <f>SUM(H267)*15%</f>
        <v>2430</v>
      </c>
      <c r="H268" s="796">
        <f t="shared" si="72"/>
        <v>2430</v>
      </c>
      <c r="I268" s="807">
        <f>G268*0.3</f>
        <v>729</v>
      </c>
      <c r="J268" s="796">
        <f t="shared" si="70"/>
        <v>729</v>
      </c>
      <c r="K268" s="799">
        <f t="shared" si="71"/>
        <v>3159</v>
      </c>
      <c r="L268" s="920"/>
    </row>
    <row r="269" spans="1:13" s="714" customFormat="1" ht="24" customHeight="1">
      <c r="A269" s="831"/>
      <c r="B269" s="720" t="s">
        <v>957</v>
      </c>
      <c r="C269" s="717"/>
      <c r="D269" s="717"/>
      <c r="E269" s="917"/>
      <c r="F269" s="794"/>
      <c r="G269" s="806"/>
      <c r="H269" s="796"/>
      <c r="I269" s="806"/>
      <c r="J269" s="796"/>
      <c r="K269" s="914"/>
      <c r="L269" s="920"/>
    </row>
    <row r="270" spans="1:13" s="714" customFormat="1" ht="24" customHeight="1">
      <c r="A270" s="831"/>
      <c r="B270" s="720"/>
      <c r="C270" s="717"/>
      <c r="D270" s="717"/>
      <c r="E270" s="917"/>
      <c r="F270" s="794"/>
      <c r="G270" s="806"/>
      <c r="H270" s="796"/>
      <c r="I270" s="806"/>
      <c r="J270" s="914"/>
      <c r="K270" s="914"/>
      <c r="L270" s="920"/>
    </row>
    <row r="271" spans="1:13" s="714" customFormat="1" ht="24" customHeight="1">
      <c r="A271" s="831"/>
      <c r="B271" s="720"/>
      <c r="C271" s="717"/>
      <c r="D271" s="717"/>
      <c r="E271" s="917"/>
      <c r="F271" s="794"/>
      <c r="G271" s="806"/>
      <c r="H271" s="796"/>
      <c r="I271" s="806"/>
      <c r="J271" s="914"/>
      <c r="K271" s="914"/>
      <c r="L271" s="920"/>
    </row>
    <row r="272" spans="1:13" s="714" customFormat="1" ht="24" customHeight="1">
      <c r="A272" s="831"/>
      <c r="B272" s="720"/>
      <c r="C272" s="717"/>
      <c r="D272" s="717"/>
      <c r="E272" s="917"/>
      <c r="F272" s="794"/>
      <c r="G272" s="806"/>
      <c r="H272" s="796"/>
      <c r="I272" s="806"/>
      <c r="J272" s="914"/>
      <c r="K272" s="914"/>
      <c r="L272" s="920"/>
    </row>
    <row r="273" spans="1:12" s="714" customFormat="1" ht="24" customHeight="1">
      <c r="A273" s="831"/>
      <c r="B273" s="720" t="s">
        <v>958</v>
      </c>
      <c r="C273" s="717"/>
      <c r="D273" s="717"/>
      <c r="E273" s="917"/>
      <c r="F273" s="916"/>
      <c r="G273" s="806"/>
      <c r="H273" s="918"/>
      <c r="I273" s="807"/>
      <c r="J273" s="919"/>
      <c r="K273" s="919"/>
      <c r="L273" s="920"/>
    </row>
    <row r="274" spans="1:12" s="714" customFormat="1" ht="24" customHeight="1">
      <c r="A274" s="775"/>
      <c r="B274" s="2475" t="str">
        <f>"รวมราคารายการที่ "&amp;A251</f>
        <v>รวมราคารายการที่ 3.10</v>
      </c>
      <c r="C274" s="2476"/>
      <c r="D274" s="2477"/>
      <c r="E274" s="776"/>
      <c r="F274" s="777"/>
      <c r="G274" s="778"/>
      <c r="H274" s="779">
        <f>SUM(H251:H273)</f>
        <v>182990</v>
      </c>
      <c r="I274" s="778"/>
      <c r="J274" s="779">
        <f t="shared" ref="J274:K274" si="73">SUM(J251:J273)</f>
        <v>29137</v>
      </c>
      <c r="K274" s="779">
        <f t="shared" si="73"/>
        <v>212127</v>
      </c>
      <c r="L274" s="777"/>
    </row>
    <row r="275" spans="1:12" s="714" customFormat="1" ht="24" customHeight="1">
      <c r="A275" s="911" t="s">
        <v>1180</v>
      </c>
      <c r="B275" s="937" t="s">
        <v>1203</v>
      </c>
      <c r="C275" s="770"/>
      <c r="D275" s="770"/>
      <c r="E275" s="930"/>
      <c r="F275" s="709"/>
      <c r="G275" s="932"/>
      <c r="H275" s="854"/>
      <c r="I275" s="855"/>
      <c r="J275" s="854"/>
      <c r="K275" s="912"/>
      <c r="L275" s="936"/>
    </row>
    <row r="276" spans="1:12" s="714" customFormat="1" ht="24" customHeight="1">
      <c r="A276" s="831" t="s">
        <v>1082</v>
      </c>
      <c r="B276" s="720" t="s">
        <v>1205</v>
      </c>
      <c r="C276" s="717"/>
      <c r="D276" s="717"/>
      <c r="E276" s="917">
        <v>20</v>
      </c>
      <c r="F276" s="722" t="s">
        <v>240</v>
      </c>
      <c r="G276" s="806">
        <v>2400</v>
      </c>
      <c r="H276" s="796">
        <f t="shared" ref="H276:H290" si="74">ROUND(E276*G276,)</f>
        <v>48000</v>
      </c>
      <c r="I276" s="807">
        <f>G276*0.3</f>
        <v>720</v>
      </c>
      <c r="J276" s="796">
        <f t="shared" ref="J276:J290" si="75">ROUND(E276*I276,)</f>
        <v>14400</v>
      </c>
      <c r="K276" s="799">
        <f t="shared" ref="K276:K290" si="76">H276+J276</f>
        <v>62400</v>
      </c>
      <c r="L276" s="920"/>
    </row>
    <row r="277" spans="1:12" s="714" customFormat="1" ht="24" customHeight="1">
      <c r="A277" s="831" t="s">
        <v>1377</v>
      </c>
      <c r="B277" s="720" t="s">
        <v>1207</v>
      </c>
      <c r="C277" s="717"/>
      <c r="D277" s="717"/>
      <c r="E277" s="917"/>
      <c r="F277" s="722"/>
      <c r="G277" s="806"/>
      <c r="H277" s="796">
        <f t="shared" si="74"/>
        <v>0</v>
      </c>
      <c r="I277" s="807"/>
      <c r="J277" s="796">
        <f t="shared" si="75"/>
        <v>0</v>
      </c>
      <c r="K277" s="799">
        <f t="shared" si="76"/>
        <v>0</v>
      </c>
      <c r="L277" s="920"/>
    </row>
    <row r="278" spans="1:12" s="714" customFormat="1" ht="24" customHeight="1">
      <c r="A278" s="831"/>
      <c r="B278" s="720" t="s">
        <v>956</v>
      </c>
      <c r="C278" s="717"/>
      <c r="D278" s="717"/>
      <c r="E278" s="917">
        <v>1000</v>
      </c>
      <c r="F278" s="722" t="s">
        <v>438</v>
      </c>
      <c r="G278" s="806">
        <v>262</v>
      </c>
      <c r="H278" s="796">
        <f t="shared" si="74"/>
        <v>262000</v>
      </c>
      <c r="I278" s="797">
        <v>55</v>
      </c>
      <c r="J278" s="796">
        <f t="shared" si="75"/>
        <v>55000</v>
      </c>
      <c r="K278" s="799">
        <f t="shared" si="76"/>
        <v>317000</v>
      </c>
      <c r="L278" s="1716" t="s">
        <v>2974</v>
      </c>
    </row>
    <row r="279" spans="1:12" s="714" customFormat="1" ht="24" customHeight="1">
      <c r="A279" s="831" t="s">
        <v>1380</v>
      </c>
      <c r="B279" s="720" t="s">
        <v>1209</v>
      </c>
      <c r="C279" s="717"/>
      <c r="D279" s="717"/>
      <c r="E279" s="917"/>
      <c r="F279" s="722"/>
      <c r="G279" s="806"/>
      <c r="H279" s="796">
        <f t="shared" si="74"/>
        <v>0</v>
      </c>
      <c r="I279" s="807"/>
      <c r="J279" s="796">
        <f t="shared" si="75"/>
        <v>0</v>
      </c>
      <c r="K279" s="799">
        <f t="shared" si="76"/>
        <v>0</v>
      </c>
      <c r="L279" s="920"/>
    </row>
    <row r="280" spans="1:12" s="714" customFormat="1" ht="24" customHeight="1">
      <c r="A280" s="831"/>
      <c r="B280" s="720" t="s">
        <v>956</v>
      </c>
      <c r="C280" s="717"/>
      <c r="D280" s="717"/>
      <c r="E280" s="917">
        <v>1000</v>
      </c>
      <c r="F280" s="722" t="s">
        <v>438</v>
      </c>
      <c r="G280" s="806">
        <v>268</v>
      </c>
      <c r="H280" s="796">
        <f t="shared" si="74"/>
        <v>268000</v>
      </c>
      <c r="I280" s="807">
        <v>94</v>
      </c>
      <c r="J280" s="796">
        <f t="shared" si="75"/>
        <v>94000</v>
      </c>
      <c r="K280" s="799">
        <f t="shared" si="76"/>
        <v>362000</v>
      </c>
      <c r="L280" s="920"/>
    </row>
    <row r="281" spans="1:12" s="714" customFormat="1" ht="24" customHeight="1">
      <c r="A281" s="856" t="s">
        <v>1210</v>
      </c>
      <c r="B281" s="720" t="s">
        <v>1211</v>
      </c>
      <c r="C281" s="717"/>
      <c r="D281" s="717"/>
      <c r="E281" s="917">
        <v>200</v>
      </c>
      <c r="F281" s="722" t="s">
        <v>438</v>
      </c>
      <c r="G281" s="806">
        <v>210</v>
      </c>
      <c r="H281" s="796">
        <f t="shared" si="74"/>
        <v>42000</v>
      </c>
      <c r="I281" s="807">
        <v>56</v>
      </c>
      <c r="J281" s="796">
        <f t="shared" si="75"/>
        <v>11200</v>
      </c>
      <c r="K281" s="799">
        <f t="shared" si="76"/>
        <v>53200</v>
      </c>
      <c r="L281" s="920"/>
    </row>
    <row r="282" spans="1:12" s="714" customFormat="1" ht="24" customHeight="1">
      <c r="A282" s="856" t="s">
        <v>1212</v>
      </c>
      <c r="B282" s="720" t="s">
        <v>1213</v>
      </c>
      <c r="C282" s="717"/>
      <c r="D282" s="717"/>
      <c r="E282" s="917"/>
      <c r="F282" s="722" t="s">
        <v>438</v>
      </c>
      <c r="G282" s="806">
        <v>250</v>
      </c>
      <c r="H282" s="796">
        <f t="shared" si="74"/>
        <v>0</v>
      </c>
      <c r="I282" s="807">
        <v>56</v>
      </c>
      <c r="J282" s="796">
        <f t="shared" si="75"/>
        <v>0</v>
      </c>
      <c r="K282" s="799">
        <f t="shared" si="76"/>
        <v>0</v>
      </c>
      <c r="L282" s="920"/>
    </row>
    <row r="283" spans="1:12" s="714" customFormat="1" ht="24" customHeight="1">
      <c r="A283" s="856" t="s">
        <v>1214</v>
      </c>
      <c r="B283" s="720" t="s">
        <v>1215</v>
      </c>
      <c r="C283" s="717"/>
      <c r="D283" s="717"/>
      <c r="E283" s="917">
        <f>25*50</f>
        <v>1250</v>
      </c>
      <c r="F283" s="722" t="s">
        <v>438</v>
      </c>
      <c r="G283" s="806">
        <v>150</v>
      </c>
      <c r="H283" s="796">
        <f t="shared" si="74"/>
        <v>187500</v>
      </c>
      <c r="I283" s="807">
        <v>56</v>
      </c>
      <c r="J283" s="796">
        <f t="shared" si="75"/>
        <v>70000</v>
      </c>
      <c r="K283" s="799">
        <f t="shared" si="76"/>
        <v>257500</v>
      </c>
      <c r="L283" s="920"/>
    </row>
    <row r="284" spans="1:12" s="714" customFormat="1" ht="24" customHeight="1">
      <c r="A284" s="856" t="s">
        <v>1216</v>
      </c>
      <c r="B284" s="720" t="s">
        <v>1217</v>
      </c>
      <c r="C284" s="717"/>
      <c r="D284" s="717"/>
      <c r="E284" s="917">
        <v>20</v>
      </c>
      <c r="F284" s="722" t="s">
        <v>240</v>
      </c>
      <c r="G284" s="806">
        <v>2500</v>
      </c>
      <c r="H284" s="796">
        <f t="shared" si="74"/>
        <v>50000</v>
      </c>
      <c r="I284" s="807">
        <f>G284*0.1</f>
        <v>250</v>
      </c>
      <c r="J284" s="796">
        <f t="shared" si="75"/>
        <v>5000</v>
      </c>
      <c r="K284" s="799">
        <f t="shared" si="76"/>
        <v>55000</v>
      </c>
      <c r="L284" s="920"/>
    </row>
    <row r="285" spans="1:12" s="714" customFormat="1" ht="24" customHeight="1">
      <c r="A285" s="856" t="s">
        <v>1218</v>
      </c>
      <c r="B285" s="720" t="s">
        <v>1219</v>
      </c>
      <c r="C285" s="717"/>
      <c r="D285" s="717"/>
      <c r="E285" s="917">
        <v>45</v>
      </c>
      <c r="F285" s="722" t="s">
        <v>240</v>
      </c>
      <c r="G285" s="806">
        <v>2900</v>
      </c>
      <c r="H285" s="796">
        <f t="shared" si="74"/>
        <v>130500</v>
      </c>
      <c r="I285" s="807">
        <f>G285*0.1</f>
        <v>290</v>
      </c>
      <c r="J285" s="796">
        <f t="shared" si="75"/>
        <v>13050</v>
      </c>
      <c r="K285" s="799">
        <f t="shared" si="76"/>
        <v>143550</v>
      </c>
      <c r="L285" s="920"/>
    </row>
    <row r="286" spans="1:12" s="714" customFormat="1" ht="24" customHeight="1">
      <c r="A286" s="856" t="s">
        <v>1220</v>
      </c>
      <c r="B286" s="720" t="s">
        <v>1221</v>
      </c>
      <c r="C286" s="717"/>
      <c r="D286" s="717"/>
      <c r="E286" s="917">
        <v>16</v>
      </c>
      <c r="F286" s="722" t="s">
        <v>240</v>
      </c>
      <c r="G286" s="806">
        <v>2000</v>
      </c>
      <c r="H286" s="796">
        <f t="shared" si="74"/>
        <v>32000</v>
      </c>
      <c r="I286" s="807">
        <f>G286*0.1</f>
        <v>200</v>
      </c>
      <c r="J286" s="796">
        <f t="shared" si="75"/>
        <v>3200</v>
      </c>
      <c r="K286" s="799">
        <f t="shared" si="76"/>
        <v>35200</v>
      </c>
      <c r="L286" s="920"/>
    </row>
    <row r="287" spans="1:12" s="714" customFormat="1" ht="24" customHeight="1">
      <c r="A287" s="856" t="s">
        <v>1222</v>
      </c>
      <c r="B287" s="720" t="s">
        <v>950</v>
      </c>
      <c r="C287" s="717"/>
      <c r="D287" s="717"/>
      <c r="E287" s="917"/>
      <c r="F287" s="722"/>
      <c r="G287" s="806"/>
      <c r="H287" s="796">
        <f t="shared" si="74"/>
        <v>0</v>
      </c>
      <c r="I287" s="807"/>
      <c r="J287" s="796">
        <f t="shared" si="75"/>
        <v>0</v>
      </c>
      <c r="K287" s="799">
        <f t="shared" si="76"/>
        <v>0</v>
      </c>
      <c r="L287" s="920"/>
    </row>
    <row r="288" spans="1:12" s="714" customFormat="1" ht="24" customHeight="1">
      <c r="A288" s="831"/>
      <c r="B288" s="720" t="s">
        <v>1186</v>
      </c>
      <c r="C288" s="717"/>
      <c r="D288" s="717"/>
      <c r="E288" s="917">
        <f>E278</f>
        <v>1000</v>
      </c>
      <c r="F288" s="722" t="s">
        <v>438</v>
      </c>
      <c r="G288" s="806">
        <v>131</v>
      </c>
      <c r="H288" s="796">
        <f t="shared" si="74"/>
        <v>131000</v>
      </c>
      <c r="I288" s="807">
        <v>32</v>
      </c>
      <c r="J288" s="796">
        <f t="shared" si="75"/>
        <v>32000</v>
      </c>
      <c r="K288" s="799">
        <f t="shared" si="76"/>
        <v>163000</v>
      </c>
      <c r="L288" s="1716" t="s">
        <v>2974</v>
      </c>
    </row>
    <row r="289" spans="1:12" s="714" customFormat="1" ht="24" customHeight="1">
      <c r="A289" s="831"/>
      <c r="B289" s="720" t="s">
        <v>952</v>
      </c>
      <c r="C289" s="717"/>
      <c r="D289" s="717"/>
      <c r="E289" s="917">
        <v>1</v>
      </c>
      <c r="F289" s="916" t="s">
        <v>948</v>
      </c>
      <c r="G289" s="806">
        <f>SUM(H288)*15%</f>
        <v>19650</v>
      </c>
      <c r="H289" s="796">
        <f t="shared" si="74"/>
        <v>19650</v>
      </c>
      <c r="I289" s="807">
        <f>G289*0.3</f>
        <v>5895</v>
      </c>
      <c r="J289" s="796">
        <f t="shared" si="75"/>
        <v>5895</v>
      </c>
      <c r="K289" s="799">
        <f t="shared" si="76"/>
        <v>25545</v>
      </c>
      <c r="L289" s="920"/>
    </row>
    <row r="290" spans="1:12" s="714" customFormat="1" ht="24" customHeight="1">
      <c r="A290" s="856" t="s">
        <v>3050</v>
      </c>
      <c r="B290" s="720" t="s">
        <v>1223</v>
      </c>
      <c r="C290" s="717"/>
      <c r="D290" s="717"/>
      <c r="E290" s="917">
        <v>1</v>
      </c>
      <c r="F290" s="722" t="s">
        <v>948</v>
      </c>
      <c r="G290" s="806">
        <v>550000</v>
      </c>
      <c r="H290" s="796">
        <f t="shared" si="74"/>
        <v>550000</v>
      </c>
      <c r="I290" s="807">
        <f>G290*0.3</f>
        <v>165000</v>
      </c>
      <c r="J290" s="796">
        <f t="shared" si="75"/>
        <v>165000</v>
      </c>
      <c r="K290" s="799">
        <f t="shared" si="76"/>
        <v>715000</v>
      </c>
      <c r="L290" s="920"/>
    </row>
    <row r="291" spans="1:12" s="714" customFormat="1" ht="24" customHeight="1">
      <c r="A291" s="921"/>
      <c r="B291" s="705" t="s">
        <v>957</v>
      </c>
      <c r="C291" s="761"/>
      <c r="D291" s="761"/>
      <c r="E291" s="923"/>
      <c r="F291" s="763"/>
      <c r="G291" s="925"/>
      <c r="H291" s="926"/>
      <c r="I291" s="927"/>
      <c r="J291" s="928"/>
      <c r="K291" s="928"/>
      <c r="L291" s="929"/>
    </row>
    <row r="292" spans="1:12" s="714" customFormat="1" ht="24" customHeight="1">
      <c r="A292" s="831"/>
      <c r="B292" s="720" t="s">
        <v>958</v>
      </c>
      <c r="C292" s="717"/>
      <c r="D292" s="717"/>
      <c r="E292" s="917"/>
      <c r="F292" s="916"/>
      <c r="G292" s="806"/>
      <c r="H292" s="918"/>
      <c r="I292" s="807"/>
      <c r="J292" s="919"/>
      <c r="K292" s="919"/>
      <c r="L292" s="920"/>
    </row>
    <row r="293" spans="1:12" s="714" customFormat="1" ht="24" customHeight="1">
      <c r="A293" s="831"/>
      <c r="B293" s="720" t="s">
        <v>958</v>
      </c>
      <c r="C293" s="717"/>
      <c r="D293" s="717"/>
      <c r="E293" s="917"/>
      <c r="F293" s="794"/>
      <c r="G293" s="806"/>
      <c r="H293" s="796"/>
      <c r="I293" s="806"/>
      <c r="J293" s="796"/>
      <c r="K293" s="914"/>
      <c r="L293" s="920"/>
    </row>
    <row r="294" spans="1:12" s="714" customFormat="1" ht="24" customHeight="1">
      <c r="A294" s="921"/>
      <c r="B294" s="705"/>
      <c r="C294" s="761"/>
      <c r="D294" s="761"/>
      <c r="E294" s="923"/>
      <c r="F294" s="870"/>
      <c r="G294" s="925"/>
      <c r="H294" s="872"/>
      <c r="I294" s="925"/>
      <c r="J294" s="872"/>
      <c r="K294" s="938"/>
      <c r="L294" s="929"/>
    </row>
    <row r="295" spans="1:12" s="714" customFormat="1" ht="24" customHeight="1">
      <c r="A295" s="921"/>
      <c r="B295" s="705"/>
      <c r="C295" s="761"/>
      <c r="D295" s="761"/>
      <c r="E295" s="923"/>
      <c r="F295" s="870"/>
      <c r="G295" s="925"/>
      <c r="H295" s="872"/>
      <c r="I295" s="925"/>
      <c r="J295" s="872"/>
      <c r="K295" s="938"/>
      <c r="L295" s="929"/>
    </row>
    <row r="296" spans="1:12" s="714" customFormat="1" ht="24" customHeight="1">
      <c r="A296" s="921"/>
      <c r="B296" s="705"/>
      <c r="C296" s="761"/>
      <c r="D296" s="761"/>
      <c r="E296" s="923"/>
      <c r="F296" s="870"/>
      <c r="G296" s="925"/>
      <c r="H296" s="872"/>
      <c r="I296" s="925"/>
      <c r="J296" s="872"/>
      <c r="K296" s="938"/>
      <c r="L296" s="929"/>
    </row>
    <row r="297" spans="1:12" s="714" customFormat="1" ht="24" customHeight="1">
      <c r="A297" s="921"/>
      <c r="B297" s="705"/>
      <c r="C297" s="761"/>
      <c r="D297" s="761"/>
      <c r="E297" s="923"/>
      <c r="F297" s="870"/>
      <c r="G297" s="925"/>
      <c r="H297" s="872"/>
      <c r="I297" s="925"/>
      <c r="J297" s="872"/>
      <c r="K297" s="938"/>
      <c r="L297" s="929"/>
    </row>
    <row r="298" spans="1:12" s="714" customFormat="1" ht="24" customHeight="1">
      <c r="A298" s="775"/>
      <c r="B298" s="2475" t="str">
        <f>"รวมราคารายการที่ "&amp;A275</f>
        <v>รวมราคารายการที่ 3.11</v>
      </c>
      <c r="C298" s="2476"/>
      <c r="D298" s="2477"/>
      <c r="E298" s="776"/>
      <c r="F298" s="777"/>
      <c r="G298" s="778"/>
      <c r="H298" s="779">
        <f>SUM(H275:H297)</f>
        <v>1720650</v>
      </c>
      <c r="I298" s="778"/>
      <c r="J298" s="779">
        <f t="shared" ref="J298:K298" si="77">SUM(J275:J297)</f>
        <v>468745</v>
      </c>
      <c r="K298" s="779">
        <f t="shared" si="77"/>
        <v>2189395</v>
      </c>
      <c r="L298" s="777"/>
    </row>
    <row r="299" spans="1:12" s="714" customFormat="1" ht="24" customHeight="1">
      <c r="A299" s="911" t="s">
        <v>1196</v>
      </c>
      <c r="B299" s="816" t="s">
        <v>1225</v>
      </c>
      <c r="C299" s="770"/>
      <c r="D299" s="770"/>
      <c r="E299" s="930"/>
      <c r="F299" s="931"/>
      <c r="G299" s="932"/>
      <c r="H299" s="933"/>
      <c r="I299" s="934"/>
      <c r="J299" s="935"/>
      <c r="K299" s="935"/>
      <c r="L299" s="936"/>
    </row>
    <row r="300" spans="1:12" s="714" customFormat="1" ht="24" customHeight="1">
      <c r="A300" s="856" t="s">
        <v>1198</v>
      </c>
      <c r="B300" s="720" t="s">
        <v>1227</v>
      </c>
      <c r="C300" s="717"/>
      <c r="D300" s="717"/>
      <c r="E300" s="917">
        <v>2</v>
      </c>
      <c r="F300" s="722" t="s">
        <v>240</v>
      </c>
      <c r="G300" s="806">
        <v>1045000</v>
      </c>
      <c r="H300" s="796">
        <f t="shared" ref="H300:H303" si="78">ROUND(E300*G300,)</f>
        <v>2090000</v>
      </c>
      <c r="I300" s="807">
        <f>G300*0.05</f>
        <v>52250</v>
      </c>
      <c r="J300" s="796">
        <f t="shared" ref="J300:J303" si="79">ROUND(E300*I300,)</f>
        <v>104500</v>
      </c>
      <c r="K300" s="799">
        <f t="shared" ref="K300:K314" si="80">H300+J300</f>
        <v>2194500</v>
      </c>
      <c r="L300" s="920"/>
    </row>
    <row r="301" spans="1:12" s="714" customFormat="1" ht="24" customHeight="1">
      <c r="A301" s="856" t="s">
        <v>1200</v>
      </c>
      <c r="B301" s="720" t="s">
        <v>1229</v>
      </c>
      <c r="C301" s="717"/>
      <c r="D301" s="717"/>
      <c r="E301" s="917">
        <v>2</v>
      </c>
      <c r="F301" s="722" t="s">
        <v>240</v>
      </c>
      <c r="G301" s="806">
        <f>55000+15000</f>
        <v>70000</v>
      </c>
      <c r="H301" s="796">
        <f t="shared" si="78"/>
        <v>140000</v>
      </c>
      <c r="I301" s="807">
        <f>G301*0.05</f>
        <v>3500</v>
      </c>
      <c r="J301" s="796">
        <f t="shared" si="79"/>
        <v>7000</v>
      </c>
      <c r="K301" s="799">
        <f t="shared" si="80"/>
        <v>147000</v>
      </c>
      <c r="L301" s="920"/>
    </row>
    <row r="302" spans="1:12" s="714" customFormat="1" ht="24" customHeight="1">
      <c r="A302" s="856" t="s">
        <v>1440</v>
      </c>
      <c r="B302" s="720" t="s">
        <v>1231</v>
      </c>
      <c r="C302" s="717"/>
      <c r="D302" s="717"/>
      <c r="E302" s="917">
        <v>28</v>
      </c>
      <c r="F302" s="722" t="s">
        <v>240</v>
      </c>
      <c r="G302" s="806">
        <v>60000</v>
      </c>
      <c r="H302" s="796">
        <f t="shared" si="78"/>
        <v>1680000</v>
      </c>
      <c r="I302" s="807">
        <f>G302*0.05</f>
        <v>3000</v>
      </c>
      <c r="J302" s="796">
        <f t="shared" si="79"/>
        <v>84000</v>
      </c>
      <c r="K302" s="799">
        <f t="shared" si="80"/>
        <v>1764000</v>
      </c>
      <c r="L302" s="920"/>
    </row>
    <row r="303" spans="1:12" s="714" customFormat="1" ht="24" customHeight="1">
      <c r="A303" s="856" t="s">
        <v>2984</v>
      </c>
      <c r="B303" s="720" t="s">
        <v>1233</v>
      </c>
      <c r="C303" s="717"/>
      <c r="D303" s="717"/>
      <c r="E303" s="917">
        <v>2</v>
      </c>
      <c r="F303" s="722" t="s">
        <v>240</v>
      </c>
      <c r="G303" s="806">
        <v>30000</v>
      </c>
      <c r="H303" s="796">
        <f t="shared" si="78"/>
        <v>60000</v>
      </c>
      <c r="I303" s="807">
        <f>ROUND(G303*0.3,)</f>
        <v>9000</v>
      </c>
      <c r="J303" s="796">
        <f t="shared" si="79"/>
        <v>18000</v>
      </c>
      <c r="K303" s="799">
        <f t="shared" si="80"/>
        <v>78000</v>
      </c>
      <c r="L303" s="920"/>
    </row>
    <row r="304" spans="1:12" s="714" customFormat="1" ht="24" customHeight="1">
      <c r="A304" s="856" t="s">
        <v>1443</v>
      </c>
      <c r="B304" s="720" t="s">
        <v>2983</v>
      </c>
      <c r="C304" s="717"/>
      <c r="D304" s="717"/>
      <c r="E304" s="942">
        <v>1</v>
      </c>
      <c r="F304" s="722" t="s">
        <v>240</v>
      </c>
      <c r="G304" s="806">
        <v>45000</v>
      </c>
      <c r="H304" s="796">
        <f>ROUND(E304*G304,)</f>
        <v>45000</v>
      </c>
      <c r="I304" s="807">
        <f>G304*0.1</f>
        <v>4500</v>
      </c>
      <c r="J304" s="796">
        <f>ROUND(E304*I304,)</f>
        <v>4500</v>
      </c>
      <c r="K304" s="914">
        <f>H304+J304</f>
        <v>49500</v>
      </c>
      <c r="L304" s="920"/>
    </row>
    <row r="305" spans="1:21" s="714" customFormat="1" ht="24" customHeight="1">
      <c r="A305" s="993" t="s">
        <v>3051</v>
      </c>
      <c r="B305" s="720" t="s">
        <v>2985</v>
      </c>
      <c r="C305" s="706"/>
      <c r="D305" s="990"/>
      <c r="E305" s="721">
        <v>1</v>
      </c>
      <c r="F305" s="722" t="s">
        <v>240</v>
      </c>
      <c r="G305" s="795">
        <v>7500</v>
      </c>
      <c r="H305" s="796">
        <f>ROUND(E305*G305,)</f>
        <v>7500</v>
      </c>
      <c r="I305" s="797"/>
      <c r="J305" s="796">
        <f>ROUND(I305*E305,)</f>
        <v>0</v>
      </c>
      <c r="K305" s="797">
        <f>H305+J305</f>
        <v>7500</v>
      </c>
      <c r="L305" s="830"/>
      <c r="M305" s="729"/>
      <c r="N305" s="729"/>
      <c r="O305" s="729"/>
      <c r="P305" s="729"/>
      <c r="Q305" s="729"/>
      <c r="R305" s="729"/>
      <c r="S305" s="729"/>
      <c r="T305" s="729"/>
      <c r="U305" s="729"/>
    </row>
    <row r="306" spans="1:21" s="714" customFormat="1" ht="24" customHeight="1">
      <c r="A306" s="856" t="s">
        <v>3052</v>
      </c>
      <c r="B306" s="720" t="s">
        <v>1378</v>
      </c>
      <c r="C306" s="706"/>
      <c r="D306" s="990"/>
      <c r="E306" s="721"/>
      <c r="F306" s="722"/>
      <c r="G306" s="994"/>
      <c r="H306" s="914"/>
      <c r="I306" s="849"/>
      <c r="J306" s="796"/>
      <c r="K306" s="797"/>
      <c r="L306" s="830"/>
      <c r="M306" s="729"/>
      <c r="N306" s="729"/>
      <c r="O306" s="729"/>
      <c r="P306" s="729"/>
      <c r="Q306" s="729"/>
      <c r="R306" s="729"/>
      <c r="S306" s="729"/>
      <c r="T306" s="729"/>
      <c r="U306" s="729"/>
    </row>
    <row r="307" spans="1:21" s="714" customFormat="1" ht="24" customHeight="1">
      <c r="A307" s="1134"/>
      <c r="B307" s="720" t="s">
        <v>2986</v>
      </c>
      <c r="C307" s="706"/>
      <c r="D307" s="990"/>
      <c r="E307" s="917">
        <v>25</v>
      </c>
      <c r="F307" s="722"/>
      <c r="G307" s="994">
        <v>37</v>
      </c>
      <c r="H307" s="914">
        <f>ROUND(G307*E307,)</f>
        <v>925</v>
      </c>
      <c r="I307" s="849">
        <v>5</v>
      </c>
      <c r="J307" s="796">
        <f t="shared" ref="J307" si="81">I307*E307</f>
        <v>125</v>
      </c>
      <c r="K307" s="797">
        <f>J307+H307</f>
        <v>1050</v>
      </c>
      <c r="L307" s="830"/>
      <c r="M307" s="729"/>
      <c r="N307" s="729"/>
      <c r="O307" s="729"/>
      <c r="P307" s="729"/>
      <c r="Q307" s="729"/>
      <c r="R307" s="729"/>
      <c r="S307" s="729"/>
      <c r="T307" s="729"/>
      <c r="U307" s="729"/>
    </row>
    <row r="308" spans="1:21" s="714" customFormat="1" ht="24" customHeight="1">
      <c r="A308" s="831"/>
      <c r="B308" s="720" t="s">
        <v>947</v>
      </c>
      <c r="C308" s="717"/>
      <c r="D308" s="717"/>
      <c r="E308" s="942">
        <v>1</v>
      </c>
      <c r="F308" s="916" t="s">
        <v>948</v>
      </c>
      <c r="G308" s="806">
        <f>ROUND(SUM(H307)*5%,0)</f>
        <v>46</v>
      </c>
      <c r="H308" s="796">
        <f>ROUND(E308*G308,)</f>
        <v>46</v>
      </c>
      <c r="I308" s="807">
        <f>ROUND(G308*0.3,0)</f>
        <v>14</v>
      </c>
      <c r="J308" s="796">
        <f>ROUND(E308*I308,)</f>
        <v>14</v>
      </c>
      <c r="K308" s="914">
        <f>H308+J308</f>
        <v>60</v>
      </c>
      <c r="L308" s="920"/>
    </row>
    <row r="309" spans="1:21" s="714" customFormat="1" ht="24" customHeight="1">
      <c r="A309" s="921" t="s">
        <v>3053</v>
      </c>
      <c r="B309" s="720" t="s">
        <v>1235</v>
      </c>
      <c r="C309" s="717"/>
      <c r="D309" s="717"/>
      <c r="E309" s="917"/>
      <c r="F309" s="722"/>
      <c r="G309" s="806"/>
      <c r="H309" s="796"/>
      <c r="I309" s="807"/>
      <c r="J309" s="796"/>
      <c r="K309" s="799">
        <f t="shared" si="80"/>
        <v>0</v>
      </c>
      <c r="L309" s="920"/>
    </row>
    <row r="310" spans="1:21" s="714" customFormat="1" ht="24" customHeight="1">
      <c r="A310" s="856"/>
      <c r="B310" s="720" t="s">
        <v>1249</v>
      </c>
      <c r="C310" s="717"/>
      <c r="D310" s="717"/>
      <c r="E310" s="917">
        <v>700</v>
      </c>
      <c r="F310" s="794" t="s">
        <v>438</v>
      </c>
      <c r="G310" s="806">
        <v>68</v>
      </c>
      <c r="H310" s="796">
        <f>ROUND(E310*G310,)</f>
        <v>47600</v>
      </c>
      <c r="I310" s="807">
        <v>12</v>
      </c>
      <c r="J310" s="796">
        <f t="shared" ref="J310" si="82">ROUND(E310*I310,)</f>
        <v>8400</v>
      </c>
      <c r="K310" s="914">
        <f t="shared" si="80"/>
        <v>56000</v>
      </c>
      <c r="L310" s="920"/>
    </row>
    <row r="311" spans="1:21" s="714" customFormat="1" ht="24" customHeight="1">
      <c r="A311" s="831"/>
      <c r="B311" s="720" t="s">
        <v>947</v>
      </c>
      <c r="C311" s="717"/>
      <c r="D311" s="717"/>
      <c r="E311" s="942">
        <v>1</v>
      </c>
      <c r="F311" s="916" t="s">
        <v>948</v>
      </c>
      <c r="G311" s="806">
        <f>ROUND(SUM(H310:H310)*5%,)</f>
        <v>2380</v>
      </c>
      <c r="H311" s="796">
        <f>ROUND(E311*G311,)</f>
        <v>2380</v>
      </c>
      <c r="I311" s="807">
        <f>ROUND(G311*0.3,)</f>
        <v>714</v>
      </c>
      <c r="J311" s="796">
        <f>ROUND(E311*I311,)</f>
        <v>714</v>
      </c>
      <c r="K311" s="914">
        <f>H311+J311</f>
        <v>3094</v>
      </c>
      <c r="L311" s="920"/>
    </row>
    <row r="312" spans="1:21" s="714" customFormat="1" ht="24" customHeight="1">
      <c r="A312" s="921" t="s">
        <v>3054</v>
      </c>
      <c r="B312" s="720" t="s">
        <v>950</v>
      </c>
      <c r="C312" s="717"/>
      <c r="D312" s="717"/>
      <c r="E312" s="917"/>
      <c r="F312" s="722"/>
      <c r="G312" s="806"/>
      <c r="H312" s="796"/>
      <c r="I312" s="807"/>
      <c r="J312" s="796"/>
      <c r="K312" s="799">
        <f t="shared" si="80"/>
        <v>0</v>
      </c>
      <c r="L312" s="920"/>
    </row>
    <row r="313" spans="1:21" s="714" customFormat="1" ht="24" customHeight="1">
      <c r="A313" s="831"/>
      <c r="B313" s="720" t="s">
        <v>1201</v>
      </c>
      <c r="C313" s="717"/>
      <c r="D313" s="717"/>
      <c r="E313" s="917">
        <v>725</v>
      </c>
      <c r="F313" s="794" t="s">
        <v>438</v>
      </c>
      <c r="G313" s="806">
        <v>56</v>
      </c>
      <c r="H313" s="796">
        <f t="shared" ref="H313" si="83">ROUND(E313*G313,)</f>
        <v>40600</v>
      </c>
      <c r="I313" s="807">
        <v>26</v>
      </c>
      <c r="J313" s="796">
        <f t="shared" ref="J313:J314" si="84">ROUND(E313*I313,)</f>
        <v>18850</v>
      </c>
      <c r="K313" s="799">
        <f t="shared" si="80"/>
        <v>59450</v>
      </c>
      <c r="L313" s="1716" t="s">
        <v>2915</v>
      </c>
    </row>
    <row r="314" spans="1:21" s="714" customFormat="1" ht="24" customHeight="1">
      <c r="A314" s="831"/>
      <c r="B314" s="720" t="s">
        <v>1237</v>
      </c>
      <c r="C314" s="717"/>
      <c r="D314" s="717"/>
      <c r="E314" s="917">
        <v>1</v>
      </c>
      <c r="F314" s="916" t="s">
        <v>948</v>
      </c>
      <c r="G314" s="806">
        <f>SUM(H313)*15%</f>
        <v>6090</v>
      </c>
      <c r="H314" s="796">
        <f t="shared" ref="H314" si="85">ROUND(G314*E314,)</f>
        <v>6090</v>
      </c>
      <c r="I314" s="807">
        <f>G314*0.3</f>
        <v>1827</v>
      </c>
      <c r="J314" s="796">
        <f t="shared" si="84"/>
        <v>1827</v>
      </c>
      <c r="K314" s="799">
        <f t="shared" si="80"/>
        <v>7917</v>
      </c>
      <c r="L314" s="920"/>
    </row>
    <row r="315" spans="1:21" s="714" customFormat="1" ht="24" customHeight="1">
      <c r="A315" s="921" t="s">
        <v>3055</v>
      </c>
      <c r="B315" s="720" t="s">
        <v>1238</v>
      </c>
      <c r="C315" s="717"/>
      <c r="D315" s="717"/>
      <c r="E315" s="917">
        <v>1</v>
      </c>
      <c r="F315" s="916" t="s">
        <v>948</v>
      </c>
      <c r="G315" s="806"/>
      <c r="H315" s="796"/>
      <c r="I315" s="807">
        <v>25000</v>
      </c>
      <c r="J315" s="796">
        <f>ROUND(E315*I315,)</f>
        <v>25000</v>
      </c>
      <c r="K315" s="914">
        <f>H315+J315</f>
        <v>25000</v>
      </c>
      <c r="L315" s="920"/>
    </row>
    <row r="316" spans="1:21" s="714" customFormat="1" ht="24" customHeight="1">
      <c r="A316" s="831"/>
      <c r="B316" s="720" t="s">
        <v>957</v>
      </c>
      <c r="C316" s="717"/>
      <c r="D316" s="717"/>
      <c r="E316" s="917"/>
      <c r="F316" s="916"/>
      <c r="G316" s="806"/>
      <c r="H316" s="918"/>
      <c r="I316" s="807"/>
      <c r="J316" s="919"/>
      <c r="K316" s="919"/>
      <c r="L316" s="920"/>
    </row>
    <row r="317" spans="1:21" s="714" customFormat="1" ht="24" customHeight="1">
      <c r="A317" s="831"/>
      <c r="B317" s="720" t="s">
        <v>1239</v>
      </c>
      <c r="C317" s="717"/>
      <c r="D317" s="717"/>
      <c r="E317" s="917"/>
      <c r="F317" s="916"/>
      <c r="G317" s="806"/>
      <c r="H317" s="918"/>
      <c r="I317" s="807"/>
      <c r="J317" s="919"/>
      <c r="K317" s="919"/>
      <c r="L317" s="920"/>
    </row>
    <row r="318" spans="1:21" s="714" customFormat="1" ht="24" customHeight="1">
      <c r="A318" s="831"/>
      <c r="B318" s="720" t="s">
        <v>1239</v>
      </c>
      <c r="C318" s="717"/>
      <c r="D318" s="717"/>
      <c r="E318" s="917"/>
      <c r="F318" s="916"/>
      <c r="G318" s="806"/>
      <c r="H318" s="918"/>
      <c r="I318" s="807"/>
      <c r="J318" s="919"/>
      <c r="K318" s="919"/>
      <c r="L318" s="920"/>
    </row>
    <row r="319" spans="1:21" s="714" customFormat="1" ht="24" customHeight="1">
      <c r="A319" s="921"/>
      <c r="B319" s="705"/>
      <c r="C319" s="761"/>
      <c r="D319" s="761"/>
      <c r="E319" s="923"/>
      <c r="F319" s="1079"/>
      <c r="G319" s="925"/>
      <c r="H319" s="926"/>
      <c r="I319" s="925"/>
      <c r="J319" s="928"/>
      <c r="K319" s="928"/>
      <c r="L319" s="929"/>
    </row>
    <row r="320" spans="1:21" s="714" customFormat="1" ht="24" customHeight="1">
      <c r="A320" s="921"/>
      <c r="B320" s="705"/>
      <c r="C320" s="761"/>
      <c r="D320" s="761"/>
      <c r="E320" s="923"/>
      <c r="F320" s="1079"/>
      <c r="G320" s="925"/>
      <c r="H320" s="926"/>
      <c r="I320" s="925"/>
      <c r="J320" s="928"/>
      <c r="K320" s="928"/>
      <c r="L320" s="929"/>
    </row>
    <row r="321" spans="1:12" s="714" customFormat="1" ht="24" customHeight="1">
      <c r="A321" s="921"/>
      <c r="B321" s="705"/>
      <c r="C321" s="761"/>
      <c r="D321" s="761"/>
      <c r="E321" s="923"/>
      <c r="F321" s="870"/>
      <c r="G321" s="925"/>
      <c r="H321" s="872"/>
      <c r="I321" s="925"/>
      <c r="J321" s="872"/>
      <c r="K321" s="938"/>
      <c r="L321" s="929"/>
    </row>
    <row r="322" spans="1:12" s="714" customFormat="1" ht="24" customHeight="1">
      <c r="A322" s="775"/>
      <c r="B322" s="2475" t="str">
        <f>"รวมราคารายการที่ "&amp;A299</f>
        <v>รวมราคารายการที่ 3.12</v>
      </c>
      <c r="C322" s="2476"/>
      <c r="D322" s="2477"/>
      <c r="E322" s="776"/>
      <c r="F322" s="777"/>
      <c r="G322" s="778"/>
      <c r="H322" s="779">
        <f>SUM(H299:H321)</f>
        <v>4120141</v>
      </c>
      <c r="I322" s="778"/>
      <c r="J322" s="779">
        <f t="shared" ref="J322:K322" si="86">SUM(J299:J321)</f>
        <v>272930</v>
      </c>
      <c r="K322" s="779">
        <f t="shared" si="86"/>
        <v>4393071</v>
      </c>
      <c r="L322" s="777"/>
    </row>
    <row r="323" spans="1:12" s="714" customFormat="1" ht="24" customHeight="1">
      <c r="A323" s="911" t="s">
        <v>1202</v>
      </c>
      <c r="B323" s="816" t="s">
        <v>1241</v>
      </c>
      <c r="C323" s="770"/>
      <c r="D323" s="770"/>
      <c r="E323" s="930"/>
      <c r="F323" s="939"/>
      <c r="G323" s="932"/>
      <c r="H323" s="933"/>
      <c r="I323" s="934"/>
      <c r="J323" s="935"/>
      <c r="K323" s="935"/>
      <c r="L323" s="936"/>
    </row>
    <row r="324" spans="1:12" s="714" customFormat="1" ht="24" customHeight="1">
      <c r="A324" s="831" t="s">
        <v>1204</v>
      </c>
      <c r="B324" s="720" t="s">
        <v>1243</v>
      </c>
      <c r="C324" s="717"/>
      <c r="D324" s="717"/>
      <c r="E324" s="917"/>
      <c r="F324" s="940"/>
      <c r="G324" s="806"/>
      <c r="H324" s="796"/>
      <c r="I324" s="807"/>
      <c r="J324" s="796">
        <f t="shared" ref="J324:J326" si="87">ROUND(E324*I324,)</f>
        <v>0</v>
      </c>
      <c r="K324" s="914">
        <f t="shared" ref="K324:K342" si="88">H324+J324</f>
        <v>0</v>
      </c>
      <c r="L324" s="920"/>
    </row>
    <row r="325" spans="1:12" s="714" customFormat="1" ht="24" customHeight="1">
      <c r="A325" s="831"/>
      <c r="B325" s="720" t="s">
        <v>1244</v>
      </c>
      <c r="C325" s="717"/>
      <c r="D325" s="717"/>
      <c r="E325" s="917">
        <v>1</v>
      </c>
      <c r="F325" s="940" t="s">
        <v>240</v>
      </c>
      <c r="G325" s="806">
        <v>27500</v>
      </c>
      <c r="H325" s="796">
        <f t="shared" ref="H325:H327" si="89">ROUND(G325*E325,)</f>
        <v>27500</v>
      </c>
      <c r="I325" s="807"/>
      <c r="J325" s="796">
        <f t="shared" si="87"/>
        <v>0</v>
      </c>
      <c r="K325" s="799">
        <f t="shared" si="88"/>
        <v>27500</v>
      </c>
      <c r="L325" s="920"/>
    </row>
    <row r="326" spans="1:12" s="714" customFormat="1" ht="24" customHeight="1">
      <c r="A326" s="831"/>
      <c r="B326" s="720" t="s">
        <v>1245</v>
      </c>
      <c r="C326" s="717"/>
      <c r="D326" s="717"/>
      <c r="E326" s="917">
        <v>6</v>
      </c>
      <c r="F326" s="940" t="s">
        <v>240</v>
      </c>
      <c r="G326" s="806">
        <v>3000</v>
      </c>
      <c r="H326" s="796">
        <f t="shared" si="89"/>
        <v>18000</v>
      </c>
      <c r="I326" s="807"/>
      <c r="J326" s="796">
        <f t="shared" si="87"/>
        <v>0</v>
      </c>
      <c r="K326" s="799">
        <f t="shared" si="88"/>
        <v>18000</v>
      </c>
      <c r="L326" s="920"/>
    </row>
    <row r="327" spans="1:12" s="714" customFormat="1" ht="24" customHeight="1">
      <c r="A327" s="831"/>
      <c r="B327" s="720" t="s">
        <v>1246</v>
      </c>
      <c r="C327" s="717"/>
      <c r="D327" s="717"/>
      <c r="E327" s="917">
        <f>E326*24</f>
        <v>144</v>
      </c>
      <c r="F327" s="940" t="s">
        <v>240</v>
      </c>
      <c r="G327" s="806">
        <v>255</v>
      </c>
      <c r="H327" s="796">
        <f t="shared" si="89"/>
        <v>36720</v>
      </c>
      <c r="I327" s="807"/>
      <c r="J327" s="796"/>
      <c r="K327" s="799">
        <f t="shared" si="88"/>
        <v>36720</v>
      </c>
      <c r="L327" s="920"/>
    </row>
    <row r="328" spans="1:12" s="714" customFormat="1" ht="24" customHeight="1">
      <c r="A328" s="831" t="s">
        <v>1206</v>
      </c>
      <c r="B328" s="720" t="s">
        <v>1248</v>
      </c>
      <c r="C328" s="717"/>
      <c r="D328" s="717"/>
      <c r="E328" s="917"/>
      <c r="F328" s="941"/>
      <c r="G328" s="806"/>
      <c r="H328" s="918"/>
      <c r="I328" s="807"/>
      <c r="J328" s="914"/>
      <c r="K328" s="799">
        <f t="shared" si="88"/>
        <v>0</v>
      </c>
      <c r="L328" s="920"/>
    </row>
    <row r="329" spans="1:12" s="714" customFormat="1" ht="24" customHeight="1">
      <c r="A329" s="831" t="s">
        <v>3056</v>
      </c>
      <c r="B329" s="720" t="s">
        <v>1235</v>
      </c>
      <c r="C329" s="717"/>
      <c r="D329" s="717"/>
      <c r="E329" s="917"/>
      <c r="F329" s="941"/>
      <c r="G329" s="806"/>
      <c r="H329" s="918"/>
      <c r="I329" s="807"/>
      <c r="J329" s="914"/>
      <c r="K329" s="799">
        <f t="shared" si="88"/>
        <v>0</v>
      </c>
      <c r="L329" s="920"/>
    </row>
    <row r="330" spans="1:12" s="714" customFormat="1" ht="24" customHeight="1">
      <c r="A330" s="831"/>
      <c r="B330" s="720" t="s">
        <v>1249</v>
      </c>
      <c r="C330" s="717"/>
      <c r="D330" s="717"/>
      <c r="E330" s="942">
        <v>700</v>
      </c>
      <c r="F330" s="794" t="s">
        <v>438</v>
      </c>
      <c r="G330" s="795">
        <v>19</v>
      </c>
      <c r="H330" s="796">
        <f t="shared" ref="H330:H332" si="90">ROUND(E330*G330,)</f>
        <v>13300</v>
      </c>
      <c r="I330" s="807">
        <v>12</v>
      </c>
      <c r="J330" s="796">
        <f t="shared" ref="J330:J332" si="91">ROUND(E330*I330,)</f>
        <v>8400</v>
      </c>
      <c r="K330" s="799">
        <f t="shared" si="88"/>
        <v>21700</v>
      </c>
      <c r="L330" s="920"/>
    </row>
    <row r="331" spans="1:12" s="714" customFormat="1" ht="24" customHeight="1">
      <c r="A331" s="831"/>
      <c r="B331" s="720" t="s">
        <v>1250</v>
      </c>
      <c r="C331" s="717"/>
      <c r="D331" s="717"/>
      <c r="E331" s="942">
        <v>2500</v>
      </c>
      <c r="F331" s="794" t="s">
        <v>438</v>
      </c>
      <c r="G331" s="806">
        <v>35</v>
      </c>
      <c r="H331" s="796">
        <f t="shared" si="90"/>
        <v>87500</v>
      </c>
      <c r="I331" s="807">
        <v>12</v>
      </c>
      <c r="J331" s="796">
        <f t="shared" si="91"/>
        <v>30000</v>
      </c>
      <c r="K331" s="799">
        <f t="shared" si="88"/>
        <v>117500</v>
      </c>
      <c r="L331" s="920"/>
    </row>
    <row r="332" spans="1:12" s="714" customFormat="1" ht="24" customHeight="1">
      <c r="A332" s="831"/>
      <c r="B332" s="720" t="s">
        <v>947</v>
      </c>
      <c r="C332" s="717"/>
      <c r="D332" s="717"/>
      <c r="E332" s="917">
        <v>1</v>
      </c>
      <c r="F332" s="916" t="s">
        <v>948</v>
      </c>
      <c r="G332" s="806">
        <f>SUM(H330:H331)*5%</f>
        <v>5040</v>
      </c>
      <c r="H332" s="796">
        <f t="shared" si="90"/>
        <v>5040</v>
      </c>
      <c r="I332" s="807">
        <f>ROUND(G332*0.3,)</f>
        <v>1512</v>
      </c>
      <c r="J332" s="796">
        <f t="shared" si="91"/>
        <v>1512</v>
      </c>
      <c r="K332" s="799">
        <f t="shared" si="88"/>
        <v>6552</v>
      </c>
      <c r="L332" s="920"/>
    </row>
    <row r="333" spans="1:12" s="714" customFormat="1" ht="24" customHeight="1">
      <c r="A333" s="921" t="s">
        <v>1208</v>
      </c>
      <c r="B333" s="720" t="s">
        <v>950</v>
      </c>
      <c r="C333" s="717"/>
      <c r="D333" s="717"/>
      <c r="E333" s="917"/>
      <c r="F333" s="722"/>
      <c r="G333" s="806"/>
      <c r="H333" s="796"/>
      <c r="I333" s="807"/>
      <c r="J333" s="796"/>
      <c r="K333" s="799">
        <f t="shared" si="88"/>
        <v>0</v>
      </c>
      <c r="L333" s="920"/>
    </row>
    <row r="334" spans="1:12" s="714" customFormat="1" ht="24" customHeight="1">
      <c r="A334" s="831"/>
      <c r="B334" s="720" t="s">
        <v>1201</v>
      </c>
      <c r="C334" s="717"/>
      <c r="D334" s="717"/>
      <c r="E334" s="917"/>
      <c r="F334" s="794" t="s">
        <v>438</v>
      </c>
      <c r="G334" s="806">
        <v>56</v>
      </c>
      <c r="H334" s="796">
        <f t="shared" ref="H334" si="92">ROUND(E334*G334,)</f>
        <v>0</v>
      </c>
      <c r="I334" s="807">
        <v>26</v>
      </c>
      <c r="J334" s="796">
        <f t="shared" ref="J334:J335" si="93">ROUND(E334*I334,)</f>
        <v>0</v>
      </c>
      <c r="K334" s="799">
        <f t="shared" si="88"/>
        <v>0</v>
      </c>
      <c r="L334" s="1716" t="s">
        <v>2915</v>
      </c>
    </row>
    <row r="335" spans="1:12" s="714" customFormat="1" ht="24" customHeight="1">
      <c r="A335" s="831"/>
      <c r="B335" s="720" t="s">
        <v>1237</v>
      </c>
      <c r="C335" s="717"/>
      <c r="D335" s="717"/>
      <c r="E335" s="917">
        <v>1</v>
      </c>
      <c r="F335" s="916" t="s">
        <v>948</v>
      </c>
      <c r="G335" s="806">
        <f>SUM(H334)*15%</f>
        <v>0</v>
      </c>
      <c r="H335" s="796">
        <f t="shared" ref="H335" si="94">ROUND(G335*E335,)</f>
        <v>0</v>
      </c>
      <c r="I335" s="807">
        <f>G335*0.3</f>
        <v>0</v>
      </c>
      <c r="J335" s="796">
        <f t="shared" si="93"/>
        <v>0</v>
      </c>
      <c r="K335" s="799">
        <f t="shared" si="88"/>
        <v>0</v>
      </c>
      <c r="L335" s="920"/>
    </row>
    <row r="336" spans="1:12" s="714" customFormat="1" ht="24" customHeight="1">
      <c r="A336" s="831"/>
      <c r="B336" s="720"/>
      <c r="C336" s="717"/>
      <c r="D336" s="717"/>
      <c r="E336" s="917"/>
      <c r="F336" s="941"/>
      <c r="G336" s="806"/>
      <c r="H336" s="796"/>
      <c r="I336" s="807"/>
      <c r="J336" s="914"/>
      <c r="K336" s="799"/>
      <c r="L336" s="920"/>
    </row>
    <row r="337" spans="1:12" s="714" customFormat="1" ht="24" customHeight="1">
      <c r="A337" s="831" t="s">
        <v>3057</v>
      </c>
      <c r="B337" s="720" t="s">
        <v>1252</v>
      </c>
      <c r="C337" s="717"/>
      <c r="D337" s="717"/>
      <c r="E337" s="917"/>
      <c r="F337" s="941"/>
      <c r="G337" s="806"/>
      <c r="H337" s="918"/>
      <c r="I337" s="807"/>
      <c r="J337" s="914"/>
      <c r="K337" s="799">
        <f t="shared" si="88"/>
        <v>0</v>
      </c>
      <c r="L337" s="920"/>
    </row>
    <row r="338" spans="1:12" s="714" customFormat="1" ht="24" customHeight="1">
      <c r="A338" s="831"/>
      <c r="B338" s="720" t="s">
        <v>1193</v>
      </c>
      <c r="C338" s="717"/>
      <c r="D338" s="717"/>
      <c r="E338" s="1136">
        <v>350</v>
      </c>
      <c r="F338" s="794" t="s">
        <v>438</v>
      </c>
      <c r="G338" s="806">
        <v>316</v>
      </c>
      <c r="H338" s="796">
        <f t="shared" ref="H338:H341" si="95">ROUND(E338*G338,)</f>
        <v>110600</v>
      </c>
      <c r="I338" s="807">
        <v>50</v>
      </c>
      <c r="J338" s="796">
        <f t="shared" ref="J338:J342" si="96">ROUND(E338*I338,)</f>
        <v>17500</v>
      </c>
      <c r="K338" s="799">
        <f t="shared" si="88"/>
        <v>128100</v>
      </c>
      <c r="L338" s="920"/>
    </row>
    <row r="339" spans="1:12" s="714" customFormat="1" ht="24" customHeight="1">
      <c r="A339" s="831"/>
      <c r="B339" s="720" t="s">
        <v>1253</v>
      </c>
      <c r="C339" s="717"/>
      <c r="D339" s="717"/>
      <c r="E339" s="942">
        <v>700</v>
      </c>
      <c r="F339" s="794" t="s">
        <v>438</v>
      </c>
      <c r="G339" s="806">
        <v>455</v>
      </c>
      <c r="H339" s="918">
        <f t="shared" si="95"/>
        <v>318500</v>
      </c>
      <c r="I339" s="807">
        <v>69</v>
      </c>
      <c r="J339" s="914">
        <f t="shared" si="96"/>
        <v>48300</v>
      </c>
      <c r="K339" s="799">
        <f t="shared" si="88"/>
        <v>366800</v>
      </c>
      <c r="L339" s="920"/>
    </row>
    <row r="340" spans="1:12" s="714" customFormat="1" ht="24" customHeight="1">
      <c r="A340" s="831"/>
      <c r="B340" s="720" t="s">
        <v>1254</v>
      </c>
      <c r="C340" s="717"/>
      <c r="D340" s="717"/>
      <c r="E340" s="942"/>
      <c r="F340" s="794" t="s">
        <v>438</v>
      </c>
      <c r="G340" s="806">
        <v>666</v>
      </c>
      <c r="H340" s="796">
        <f t="shared" si="95"/>
        <v>0</v>
      </c>
      <c r="I340" s="807">
        <v>75</v>
      </c>
      <c r="J340" s="796">
        <f t="shared" si="96"/>
        <v>0</v>
      </c>
      <c r="K340" s="799">
        <f t="shared" si="88"/>
        <v>0</v>
      </c>
      <c r="L340" s="920"/>
    </row>
    <row r="341" spans="1:12" s="714" customFormat="1" ht="24" customHeight="1">
      <c r="A341" s="831"/>
      <c r="B341" s="720" t="s">
        <v>1237</v>
      </c>
      <c r="C341" s="717"/>
      <c r="D341" s="717"/>
      <c r="E341" s="917">
        <v>1</v>
      </c>
      <c r="F341" s="941" t="s">
        <v>948</v>
      </c>
      <c r="G341" s="806">
        <f>SUM(H338:H340)*15%</f>
        <v>64365</v>
      </c>
      <c r="H341" s="796">
        <f t="shared" si="95"/>
        <v>64365</v>
      </c>
      <c r="I341" s="807">
        <f>G341*0.3</f>
        <v>19309.5</v>
      </c>
      <c r="J341" s="796">
        <f t="shared" si="96"/>
        <v>19310</v>
      </c>
      <c r="K341" s="799">
        <f t="shared" si="88"/>
        <v>83675</v>
      </c>
      <c r="L341" s="920"/>
    </row>
    <row r="342" spans="1:12" s="714" customFormat="1" ht="24" customHeight="1">
      <c r="A342" s="831" t="s">
        <v>3058</v>
      </c>
      <c r="B342" s="720" t="s">
        <v>1238</v>
      </c>
      <c r="C342" s="717"/>
      <c r="D342" s="717"/>
      <c r="E342" s="917">
        <v>1</v>
      </c>
      <c r="F342" s="941" t="s">
        <v>948</v>
      </c>
      <c r="G342" s="806"/>
      <c r="H342" s="918"/>
      <c r="I342" s="807">
        <f>ROUND(SUM(H324:H332)*10%,)</f>
        <v>18806</v>
      </c>
      <c r="J342" s="796">
        <f t="shared" si="96"/>
        <v>18806</v>
      </c>
      <c r="K342" s="799">
        <f t="shared" si="88"/>
        <v>18806</v>
      </c>
      <c r="L342" s="920"/>
    </row>
    <row r="343" spans="1:12" s="714" customFormat="1" ht="24" customHeight="1">
      <c r="A343" s="831"/>
      <c r="B343" s="720" t="s">
        <v>957</v>
      </c>
      <c r="C343" s="717"/>
      <c r="D343" s="717"/>
      <c r="E343" s="917"/>
      <c r="F343" s="941"/>
      <c r="G343" s="806"/>
      <c r="H343" s="918"/>
      <c r="I343" s="807"/>
      <c r="J343" s="914"/>
      <c r="K343" s="914"/>
      <c r="L343" s="920"/>
    </row>
    <row r="344" spans="1:12" s="714" customFormat="1" ht="24" customHeight="1">
      <c r="A344" s="2353"/>
      <c r="B344" s="1012"/>
      <c r="C344" s="2368"/>
      <c r="D344" s="2368"/>
      <c r="E344" s="2354"/>
      <c r="F344" s="2361"/>
      <c r="G344" s="2356"/>
      <c r="H344" s="2357"/>
      <c r="I344" s="2358"/>
      <c r="J344" s="1204"/>
      <c r="K344" s="1204"/>
      <c r="L344" s="2360"/>
    </row>
    <row r="345" spans="1:12" s="714" customFormat="1" ht="24" customHeight="1">
      <c r="A345" s="2353"/>
      <c r="B345" s="1012"/>
      <c r="C345" s="2368"/>
      <c r="D345" s="2368"/>
      <c r="E345" s="2354"/>
      <c r="F345" s="2361"/>
      <c r="G345" s="2356"/>
      <c r="H345" s="2357"/>
      <c r="I345" s="2358"/>
      <c r="J345" s="1204"/>
      <c r="K345" s="1204"/>
      <c r="L345" s="2360"/>
    </row>
    <row r="346" spans="1:12" s="714" customFormat="1" ht="24" customHeight="1">
      <c r="A346" s="775"/>
      <c r="B346" s="2475" t="str">
        <f>"รวมราคารายการที่ "&amp;A323</f>
        <v>รวมราคารายการที่ 3.13</v>
      </c>
      <c r="C346" s="2476"/>
      <c r="D346" s="2477"/>
      <c r="E346" s="776"/>
      <c r="F346" s="777"/>
      <c r="G346" s="778"/>
      <c r="H346" s="779">
        <f>SUM(H323:H343)</f>
        <v>681525</v>
      </c>
      <c r="I346" s="778"/>
      <c r="J346" s="779">
        <f t="shared" ref="J346:K346" si="97">SUM(J323:J343)</f>
        <v>143828</v>
      </c>
      <c r="K346" s="779">
        <f t="shared" si="97"/>
        <v>825353</v>
      </c>
      <c r="L346" s="777"/>
    </row>
    <row r="347" spans="1:12" s="714" customFormat="1" ht="24" customHeight="1">
      <c r="A347" s="899" t="s">
        <v>1224</v>
      </c>
      <c r="B347" s="900" t="s">
        <v>1257</v>
      </c>
      <c r="C347" s="943"/>
      <c r="D347" s="943"/>
      <c r="E347" s="944"/>
      <c r="F347" s="945"/>
      <c r="G347" s="774"/>
      <c r="H347" s="773"/>
      <c r="I347" s="946"/>
      <c r="J347" s="947"/>
      <c r="K347" s="947"/>
      <c r="L347" s="936"/>
    </row>
    <row r="348" spans="1:12" s="714" customFormat="1" ht="24" customHeight="1">
      <c r="A348" s="2267" t="s">
        <v>1226</v>
      </c>
      <c r="B348" s="800" t="s">
        <v>2988</v>
      </c>
      <c r="C348" s="757"/>
      <c r="D348" s="757"/>
      <c r="E348" s="942">
        <v>1</v>
      </c>
      <c r="F348" s="803" t="s">
        <v>240</v>
      </c>
      <c r="G348" s="949">
        <v>19240</v>
      </c>
      <c r="H348" s="864">
        <v>19240</v>
      </c>
      <c r="I348" s="949">
        <v>1924</v>
      </c>
      <c r="J348" s="864">
        <v>1924</v>
      </c>
      <c r="K348" s="867">
        <v>21164</v>
      </c>
      <c r="L348" s="920"/>
    </row>
    <row r="349" spans="1:12" s="714" customFormat="1" ht="24" customHeight="1">
      <c r="A349" s="2267" t="s">
        <v>1228</v>
      </c>
      <c r="B349" s="720" t="s">
        <v>1378</v>
      </c>
      <c r="C349" s="770"/>
      <c r="D349" s="770"/>
      <c r="E349" s="930"/>
      <c r="F349" s="939"/>
      <c r="G349" s="932"/>
      <c r="H349" s="933"/>
      <c r="I349" s="934"/>
      <c r="J349" s="935"/>
      <c r="K349" s="938"/>
      <c r="L349" s="936"/>
    </row>
    <row r="350" spans="1:12" s="714" customFormat="1" ht="24" customHeight="1">
      <c r="A350" s="2267"/>
      <c r="B350" s="720" t="s">
        <v>2986</v>
      </c>
      <c r="C350" s="706"/>
      <c r="D350" s="990"/>
      <c r="E350" s="917">
        <v>350</v>
      </c>
      <c r="F350" s="794" t="s">
        <v>438</v>
      </c>
      <c r="G350" s="994">
        <v>37</v>
      </c>
      <c r="H350" s="914">
        <f>ROUND(G350*E350,)</f>
        <v>12950</v>
      </c>
      <c r="I350" s="849">
        <v>5</v>
      </c>
      <c r="J350" s="796">
        <f t="shared" ref="J350" si="98">I350*E350</f>
        <v>1750</v>
      </c>
      <c r="K350" s="797">
        <f>J350+H350</f>
        <v>14700</v>
      </c>
      <c r="L350" s="936"/>
    </row>
    <row r="351" spans="1:12" s="714" customFormat="1" ht="24" customHeight="1">
      <c r="A351" s="831"/>
      <c r="B351" s="720" t="s">
        <v>947</v>
      </c>
      <c r="C351" s="717"/>
      <c r="D351" s="717"/>
      <c r="E351" s="942">
        <v>1</v>
      </c>
      <c r="F351" s="916" t="s">
        <v>948</v>
      </c>
      <c r="G351" s="806">
        <f>ROUND(SUM(H350)*5%,)</f>
        <v>648</v>
      </c>
      <c r="H351" s="796">
        <f>ROUND(E351*G351,)</f>
        <v>648</v>
      </c>
      <c r="I351" s="807">
        <f>ROUND(G351*0.3,)</f>
        <v>194</v>
      </c>
      <c r="J351" s="796">
        <f>ROUND(E351*I351,)</f>
        <v>194</v>
      </c>
      <c r="K351" s="914">
        <f>H351+J351</f>
        <v>842</v>
      </c>
      <c r="L351" s="920"/>
    </row>
    <row r="352" spans="1:12" s="714" customFormat="1" ht="24" customHeight="1">
      <c r="A352" s="831" t="s">
        <v>1230</v>
      </c>
      <c r="B352" s="800" t="s">
        <v>1159</v>
      </c>
      <c r="C352" s="757"/>
      <c r="D352" s="757"/>
      <c r="E352" s="942"/>
      <c r="F352" s="948"/>
      <c r="G352" s="752"/>
      <c r="H352" s="864"/>
      <c r="I352" s="949"/>
      <c r="J352" s="864"/>
      <c r="K352" s="867"/>
      <c r="L352" s="920"/>
    </row>
    <row r="353" spans="1:17" s="714" customFormat="1" ht="24" customHeight="1">
      <c r="A353" s="831"/>
      <c r="B353" s="800" t="s">
        <v>1259</v>
      </c>
      <c r="C353" s="757"/>
      <c r="D353" s="757"/>
      <c r="E353" s="942">
        <v>5500</v>
      </c>
      <c r="F353" s="867" t="s">
        <v>438</v>
      </c>
      <c r="G353" s="752">
        <v>41</v>
      </c>
      <c r="H353" s="864">
        <f t="shared" ref="H353:H363" si="99">ROUND(G353*E353,)</f>
        <v>225500</v>
      </c>
      <c r="I353" s="949">
        <v>12</v>
      </c>
      <c r="J353" s="864">
        <f t="shared" ref="J353:J363" si="100">ROUND(E353*I353,)</f>
        <v>66000</v>
      </c>
      <c r="K353" s="799">
        <f t="shared" ref="K353:K363" si="101">H353+J353</f>
        <v>291500</v>
      </c>
      <c r="L353" s="1718" t="s">
        <v>2974</v>
      </c>
    </row>
    <row r="354" spans="1:17" s="714" customFormat="1" ht="24" customHeight="1">
      <c r="A354" s="831"/>
      <c r="B354" s="800" t="s">
        <v>1260</v>
      </c>
      <c r="C354" s="757"/>
      <c r="D354" s="757"/>
      <c r="E354" s="942">
        <v>1000</v>
      </c>
      <c r="F354" s="867" t="s">
        <v>438</v>
      </c>
      <c r="G354" s="752">
        <v>31</v>
      </c>
      <c r="H354" s="864">
        <f t="shared" si="99"/>
        <v>31000</v>
      </c>
      <c r="I354" s="949">
        <v>14</v>
      </c>
      <c r="J354" s="864">
        <f t="shared" si="100"/>
        <v>14000</v>
      </c>
      <c r="K354" s="799">
        <f t="shared" si="101"/>
        <v>45000</v>
      </c>
      <c r="L354" s="920"/>
    </row>
    <row r="355" spans="1:17" s="714" customFormat="1" ht="24" customHeight="1">
      <c r="A355" s="831" t="s">
        <v>1232</v>
      </c>
      <c r="B355" s="720" t="s">
        <v>1357</v>
      </c>
      <c r="C355" s="717"/>
      <c r="D355" s="717"/>
      <c r="E355" s="942"/>
      <c r="F355" s="916"/>
      <c r="G355" s="806"/>
      <c r="H355" s="796"/>
      <c r="I355" s="807"/>
      <c r="J355" s="796"/>
      <c r="K355" s="914"/>
      <c r="L355" s="919"/>
      <c r="M355" s="729"/>
      <c r="N355" s="729"/>
      <c r="O355" s="729"/>
      <c r="P355" s="729"/>
      <c r="Q355" s="729"/>
    </row>
    <row r="356" spans="1:17" s="714" customFormat="1" ht="24" customHeight="1">
      <c r="A356" s="831"/>
      <c r="B356" s="720" t="s">
        <v>1201</v>
      </c>
      <c r="C356" s="717"/>
      <c r="D356" s="717"/>
      <c r="E356" s="917">
        <v>25</v>
      </c>
      <c r="F356" s="794" t="s">
        <v>438</v>
      </c>
      <c r="G356" s="806">
        <v>27</v>
      </c>
      <c r="H356" s="796">
        <f t="shared" ref="H356:H357" si="102">ROUND(E356*G356,)</f>
        <v>675</v>
      </c>
      <c r="I356" s="807">
        <v>22</v>
      </c>
      <c r="J356" s="796">
        <f t="shared" ref="J356:J357" si="103">ROUND(E356*I356,)</f>
        <v>550</v>
      </c>
      <c r="K356" s="1030">
        <f t="shared" ref="K356:K357" si="104">H356+J356</f>
        <v>1225</v>
      </c>
      <c r="L356" s="1718" t="s">
        <v>2974</v>
      </c>
      <c r="M356" s="729"/>
      <c r="P356" s="729"/>
      <c r="Q356" s="729"/>
    </row>
    <row r="357" spans="1:17" s="714" customFormat="1" ht="24" customHeight="1">
      <c r="A357" s="831"/>
      <c r="B357" s="720" t="s">
        <v>1237</v>
      </c>
      <c r="C357" s="717"/>
      <c r="D357" s="717"/>
      <c r="E357" s="917">
        <v>1</v>
      </c>
      <c r="F357" s="916" t="s">
        <v>948</v>
      </c>
      <c r="G357" s="806">
        <f>ROUND(SUM(H356)*15%,0)</f>
        <v>101</v>
      </c>
      <c r="H357" s="796">
        <f t="shared" si="102"/>
        <v>101</v>
      </c>
      <c r="I357" s="807">
        <f>ROUND(G357*0.3,0)</f>
        <v>30</v>
      </c>
      <c r="J357" s="796">
        <f t="shared" si="103"/>
        <v>30</v>
      </c>
      <c r="K357" s="914">
        <f t="shared" si="104"/>
        <v>131</v>
      </c>
      <c r="L357" s="919"/>
      <c r="M357" s="729"/>
      <c r="N357" s="729"/>
      <c r="O357" s="729"/>
      <c r="P357" s="729"/>
      <c r="Q357" s="729"/>
    </row>
    <row r="358" spans="1:17" s="714" customFormat="1" ht="24" customHeight="1">
      <c r="A358" s="831" t="s">
        <v>1234</v>
      </c>
      <c r="B358" s="800" t="s">
        <v>1252</v>
      </c>
      <c r="C358" s="757"/>
      <c r="D358" s="757"/>
      <c r="E358" s="942"/>
      <c r="F358" s="948"/>
      <c r="G358" s="752"/>
      <c r="H358" s="864">
        <f t="shared" si="99"/>
        <v>0</v>
      </c>
      <c r="I358" s="949"/>
      <c r="J358" s="864">
        <f t="shared" si="100"/>
        <v>0</v>
      </c>
      <c r="K358" s="799">
        <f t="shared" si="101"/>
        <v>0</v>
      </c>
      <c r="L358" s="920"/>
    </row>
    <row r="359" spans="1:17" s="714" customFormat="1" ht="24" customHeight="1">
      <c r="A359" s="831"/>
      <c r="B359" s="720" t="s">
        <v>2991</v>
      </c>
      <c r="C359" s="717"/>
      <c r="D359" s="717"/>
      <c r="E359" s="942"/>
      <c r="F359" s="794" t="s">
        <v>438</v>
      </c>
      <c r="G359" s="806">
        <v>247</v>
      </c>
      <c r="H359" s="796">
        <f>ROUND(E359*G359,)</f>
        <v>0</v>
      </c>
      <c r="I359" s="807">
        <v>40</v>
      </c>
      <c r="J359" s="796">
        <f>ROUND(E359*I359,)</f>
        <v>0</v>
      </c>
      <c r="K359" s="914">
        <f>H359+J359</f>
        <v>0</v>
      </c>
      <c r="L359" s="920"/>
    </row>
    <row r="360" spans="1:17" s="714" customFormat="1" ht="24" customHeight="1">
      <c r="A360" s="831"/>
      <c r="B360" s="800" t="s">
        <v>1193</v>
      </c>
      <c r="C360" s="757"/>
      <c r="D360" s="757"/>
      <c r="E360" s="942">
        <v>250</v>
      </c>
      <c r="F360" s="867" t="s">
        <v>438</v>
      </c>
      <c r="G360" s="752">
        <v>316</v>
      </c>
      <c r="H360" s="864">
        <f t="shared" ref="H360:H361" si="105">ROUND(E360*G360,)</f>
        <v>79000</v>
      </c>
      <c r="I360" s="949">
        <v>50</v>
      </c>
      <c r="J360" s="864">
        <f t="shared" si="100"/>
        <v>12500</v>
      </c>
      <c r="K360" s="799">
        <f t="shared" si="101"/>
        <v>91500</v>
      </c>
      <c r="L360" s="920"/>
    </row>
    <row r="361" spans="1:17" s="714" customFormat="1" ht="24" customHeight="1">
      <c r="A361" s="831"/>
      <c r="B361" s="720" t="s">
        <v>1253</v>
      </c>
      <c r="C361" s="717"/>
      <c r="D361" s="717"/>
      <c r="E361" s="942">
        <v>300</v>
      </c>
      <c r="F361" s="794" t="s">
        <v>438</v>
      </c>
      <c r="G361" s="806">
        <v>455</v>
      </c>
      <c r="H361" s="918">
        <f t="shared" si="105"/>
        <v>136500</v>
      </c>
      <c r="I361" s="807">
        <v>69</v>
      </c>
      <c r="J361" s="914">
        <f t="shared" si="100"/>
        <v>20700</v>
      </c>
      <c r="K361" s="799">
        <f t="shared" si="101"/>
        <v>157200</v>
      </c>
      <c r="L361" s="920"/>
    </row>
    <row r="362" spans="1:17" s="714" customFormat="1" ht="24" customHeight="1">
      <c r="A362" s="831"/>
      <c r="B362" s="800" t="s">
        <v>1237</v>
      </c>
      <c r="C362" s="757"/>
      <c r="D362" s="757"/>
      <c r="E362" s="942">
        <v>1</v>
      </c>
      <c r="F362" s="948" t="s">
        <v>948</v>
      </c>
      <c r="G362" s="752">
        <f>ROUND(SUM(H359:H361)*15%,0)</f>
        <v>32325</v>
      </c>
      <c r="H362" s="864">
        <f t="shared" si="99"/>
        <v>32325</v>
      </c>
      <c r="I362" s="949">
        <f>G362*0.3</f>
        <v>9697.5</v>
      </c>
      <c r="J362" s="864">
        <f t="shared" si="100"/>
        <v>9698</v>
      </c>
      <c r="K362" s="799">
        <f t="shared" si="101"/>
        <v>42023</v>
      </c>
      <c r="L362" s="920"/>
    </row>
    <row r="363" spans="1:17" s="714" customFormat="1" ht="24" customHeight="1">
      <c r="A363" s="831" t="s">
        <v>1236</v>
      </c>
      <c r="B363" s="720" t="s">
        <v>1238</v>
      </c>
      <c r="C363" s="717"/>
      <c r="D363" s="717"/>
      <c r="E363" s="942">
        <v>1</v>
      </c>
      <c r="F363" s="916" t="s">
        <v>948</v>
      </c>
      <c r="G363" s="806"/>
      <c r="H363" s="796">
        <f t="shared" si="99"/>
        <v>0</v>
      </c>
      <c r="I363" s="807">
        <v>25000</v>
      </c>
      <c r="J363" s="796">
        <f t="shared" si="100"/>
        <v>25000</v>
      </c>
      <c r="K363" s="914">
        <f t="shared" si="101"/>
        <v>25000</v>
      </c>
      <c r="L363" s="919"/>
    </row>
    <row r="364" spans="1:17" s="714" customFormat="1" ht="24" customHeight="1">
      <c r="A364" s="831"/>
      <c r="B364" s="720" t="s">
        <v>957</v>
      </c>
      <c r="C364" s="717"/>
      <c r="D364" s="717"/>
      <c r="E364" s="917"/>
      <c r="F364" s="794"/>
      <c r="G364" s="806"/>
      <c r="H364" s="796"/>
      <c r="I364" s="807"/>
      <c r="J364" s="796"/>
      <c r="K364" s="1030"/>
      <c r="L364" s="1718"/>
    </row>
    <row r="365" spans="1:17" s="714" customFormat="1" ht="24" customHeight="1">
      <c r="A365" s="831"/>
      <c r="B365" s="720" t="s">
        <v>958</v>
      </c>
      <c r="C365" s="717"/>
      <c r="D365" s="717"/>
      <c r="E365" s="917"/>
      <c r="F365" s="916"/>
      <c r="G365" s="806"/>
      <c r="H365" s="796"/>
      <c r="I365" s="807"/>
      <c r="J365" s="796"/>
      <c r="K365" s="914"/>
      <c r="L365" s="919"/>
    </row>
    <row r="366" spans="1:17" s="714" customFormat="1" ht="24" customHeight="1">
      <c r="A366" s="831"/>
      <c r="B366" s="800"/>
      <c r="C366" s="757"/>
      <c r="D366" s="757"/>
      <c r="E366" s="942"/>
      <c r="F366" s="948"/>
      <c r="G366" s="752"/>
      <c r="H366" s="864"/>
      <c r="I366" s="949"/>
      <c r="J366" s="864"/>
      <c r="K366" s="799"/>
      <c r="L366" s="920"/>
    </row>
    <row r="367" spans="1:17" s="714" customFormat="1" ht="24" customHeight="1">
      <c r="A367" s="831"/>
      <c r="B367" s="720"/>
      <c r="C367" s="717"/>
      <c r="D367" s="717"/>
      <c r="E367" s="942"/>
      <c r="F367" s="794"/>
      <c r="G367" s="806"/>
      <c r="H367" s="796"/>
      <c r="I367" s="807"/>
      <c r="J367" s="796"/>
      <c r="K367" s="914"/>
      <c r="L367" s="920"/>
    </row>
    <row r="368" spans="1:17" s="714" customFormat="1" ht="24" customHeight="1">
      <c r="A368" s="831"/>
      <c r="B368" s="800"/>
      <c r="C368" s="757"/>
      <c r="D368" s="757"/>
      <c r="E368" s="942"/>
      <c r="F368" s="867"/>
      <c r="G368" s="752"/>
      <c r="H368" s="864"/>
      <c r="I368" s="949"/>
      <c r="J368" s="864"/>
      <c r="K368" s="799"/>
      <c r="L368" s="920"/>
    </row>
    <row r="369" spans="1:21" s="714" customFormat="1" ht="24" customHeight="1">
      <c r="A369" s="831"/>
      <c r="B369" s="720"/>
      <c r="C369" s="717"/>
      <c r="D369" s="717"/>
      <c r="E369" s="942"/>
      <c r="F369" s="916"/>
      <c r="G369" s="806"/>
      <c r="H369" s="796"/>
      <c r="I369" s="807"/>
      <c r="J369" s="796"/>
      <c r="K369" s="914"/>
      <c r="L369" s="919"/>
    </row>
    <row r="370" spans="1:21" s="714" customFormat="1" ht="24" customHeight="1">
      <c r="A370" s="775"/>
      <c r="B370" s="2475" t="str">
        <f>"รวมราคารายการที่ "&amp;A347</f>
        <v>รวมราคารายการที่ 3.14</v>
      </c>
      <c r="C370" s="2476"/>
      <c r="D370" s="2477"/>
      <c r="E370" s="776"/>
      <c r="F370" s="777"/>
      <c r="G370" s="778"/>
      <c r="H370" s="779">
        <f>SUM(H347:H365)</f>
        <v>537939</v>
      </c>
      <c r="I370" s="778"/>
      <c r="J370" s="779">
        <f t="shared" ref="J370:K370" si="106">SUM(J347:J365)</f>
        <v>152346</v>
      </c>
      <c r="K370" s="779">
        <f t="shared" si="106"/>
        <v>690285</v>
      </c>
      <c r="L370" s="777"/>
    </row>
    <row r="371" spans="1:21" s="714" customFormat="1" ht="24" customHeight="1">
      <c r="A371" s="911" t="s">
        <v>1240</v>
      </c>
      <c r="B371" s="816" t="s">
        <v>2993</v>
      </c>
      <c r="C371" s="770"/>
      <c r="D371" s="770"/>
      <c r="E371" s="930"/>
      <c r="F371" s="709"/>
      <c r="G371" s="932"/>
      <c r="H371" s="933"/>
      <c r="I371" s="934"/>
      <c r="J371" s="935"/>
      <c r="K371" s="935"/>
      <c r="L371" s="936"/>
    </row>
    <row r="372" spans="1:21" s="886" customFormat="1" ht="24" customHeight="1">
      <c r="A372" s="2268" t="s">
        <v>1242</v>
      </c>
      <c r="B372" s="720" t="s">
        <v>2995</v>
      </c>
      <c r="C372" s="706"/>
      <c r="D372" s="990"/>
      <c r="E372" s="721"/>
      <c r="F372" s="722"/>
      <c r="G372" s="795"/>
      <c r="H372" s="796"/>
      <c r="I372" s="797"/>
      <c r="J372" s="796"/>
      <c r="K372" s="797"/>
      <c r="L372" s="885"/>
      <c r="M372" s="1482"/>
      <c r="N372" s="1482"/>
      <c r="O372" s="1482"/>
      <c r="P372" s="1482"/>
      <c r="Q372" s="1482"/>
      <c r="R372" s="1482"/>
      <c r="S372" s="1482"/>
      <c r="T372" s="1482"/>
      <c r="U372" s="1482"/>
    </row>
    <row r="373" spans="1:21" s="886" customFormat="1" ht="24" customHeight="1">
      <c r="A373" s="2269"/>
      <c r="B373" s="720" t="s">
        <v>2996</v>
      </c>
      <c r="C373" s="706"/>
      <c r="D373" s="990"/>
      <c r="E373" s="721">
        <v>1</v>
      </c>
      <c r="F373" s="722" t="s">
        <v>240</v>
      </c>
      <c r="G373" s="858">
        <v>68500</v>
      </c>
      <c r="H373" s="796">
        <f>ROUND(E373*G373,)</f>
        <v>68500</v>
      </c>
      <c r="I373" s="865">
        <f>ROUND(G373*0.01,)</f>
        <v>685</v>
      </c>
      <c r="J373" s="796">
        <f>ROUND(I373*E373,)</f>
        <v>685</v>
      </c>
      <c r="K373" s="797">
        <f>H373+J373</f>
        <v>69185</v>
      </c>
      <c r="L373" s="885"/>
      <c r="M373" s="1482"/>
      <c r="N373" s="1482"/>
      <c r="O373" s="1482"/>
      <c r="P373" s="1482"/>
      <c r="Q373" s="1482"/>
      <c r="R373" s="1482"/>
      <c r="S373" s="1482"/>
      <c r="T373" s="1482"/>
      <c r="U373" s="1482"/>
    </row>
    <row r="374" spans="1:21" s="886" customFormat="1" ht="24" customHeight="1">
      <c r="A374" s="2269"/>
      <c r="B374" s="720" t="s">
        <v>1614</v>
      </c>
      <c r="C374" s="706"/>
      <c r="D374" s="990"/>
      <c r="E374" s="721">
        <v>1</v>
      </c>
      <c r="F374" s="722" t="s">
        <v>240</v>
      </c>
      <c r="G374" s="795">
        <v>3598</v>
      </c>
      <c r="H374" s="796">
        <f>ROUND(E374*G374,)</f>
        <v>3598</v>
      </c>
      <c r="I374" s="865">
        <f>ROUND(G374*0.01,)</f>
        <v>36</v>
      </c>
      <c r="J374" s="796">
        <f>ROUND(I374*E374,)</f>
        <v>36</v>
      </c>
      <c r="K374" s="797">
        <f>H374+J374</f>
        <v>3634</v>
      </c>
      <c r="L374" s="885"/>
      <c r="M374" s="1482"/>
      <c r="N374" s="1482"/>
      <c r="O374" s="1482"/>
      <c r="P374" s="1482"/>
      <c r="Q374" s="1482"/>
      <c r="R374" s="1482"/>
      <c r="S374" s="1482"/>
      <c r="T374" s="1482"/>
      <c r="U374" s="1482"/>
    </row>
    <row r="375" spans="1:21" s="886" customFormat="1" ht="24" customHeight="1">
      <c r="A375" s="2269"/>
      <c r="B375" s="720" t="s">
        <v>2997</v>
      </c>
      <c r="C375" s="706"/>
      <c r="D375" s="990"/>
      <c r="E375" s="721">
        <v>24</v>
      </c>
      <c r="F375" s="722" t="s">
        <v>240</v>
      </c>
      <c r="G375" s="795">
        <v>245</v>
      </c>
      <c r="H375" s="796">
        <f>ROUND(E375*G375,)</f>
        <v>5880</v>
      </c>
      <c r="I375" s="865">
        <f>ROUND(G375*0.01,)</f>
        <v>2</v>
      </c>
      <c r="J375" s="796">
        <f>ROUND(I375*E375,)</f>
        <v>48</v>
      </c>
      <c r="K375" s="797">
        <f>H375+J375</f>
        <v>5928</v>
      </c>
      <c r="L375" s="885"/>
      <c r="M375" s="1482"/>
      <c r="N375" s="1482"/>
      <c r="O375" s="1482"/>
      <c r="P375" s="1482"/>
      <c r="Q375" s="1482"/>
      <c r="R375" s="1482"/>
      <c r="S375" s="1482"/>
      <c r="T375" s="1482"/>
      <c r="U375" s="1482"/>
    </row>
    <row r="376" spans="1:21" s="886" customFormat="1" ht="24" customHeight="1">
      <c r="A376" s="2269"/>
      <c r="B376" s="720" t="s">
        <v>2998</v>
      </c>
      <c r="C376" s="706"/>
      <c r="D376" s="990"/>
      <c r="E376" s="721"/>
      <c r="F376" s="722" t="s">
        <v>240</v>
      </c>
      <c r="G376" s="795">
        <v>22500</v>
      </c>
      <c r="H376" s="796">
        <f>ROUND(E376*G376,)</f>
        <v>0</v>
      </c>
      <c r="I376" s="865">
        <f>ROUND(G376*0.01,)</f>
        <v>225</v>
      </c>
      <c r="J376" s="796">
        <f>ROUND(I376*E376,)</f>
        <v>0</v>
      </c>
      <c r="K376" s="797">
        <f>H376+J376</f>
        <v>0</v>
      </c>
      <c r="L376" s="885"/>
      <c r="M376" s="1482"/>
      <c r="N376" s="1482"/>
      <c r="O376" s="1482"/>
      <c r="P376" s="1482"/>
      <c r="Q376" s="1482"/>
      <c r="R376" s="1482"/>
      <c r="S376" s="1482"/>
      <c r="T376" s="1482"/>
      <c r="U376" s="1482"/>
    </row>
    <row r="377" spans="1:21" s="886" customFormat="1" ht="24" customHeight="1">
      <c r="A377" s="2268" t="s">
        <v>1247</v>
      </c>
      <c r="B377" s="720" t="s">
        <v>3000</v>
      </c>
      <c r="C377" s="706"/>
      <c r="D377" s="990"/>
      <c r="E377" s="721"/>
      <c r="F377" s="722"/>
      <c r="G377" s="795"/>
      <c r="H377" s="796"/>
      <c r="I377" s="797"/>
      <c r="J377" s="796"/>
      <c r="K377" s="797"/>
      <c r="L377" s="885"/>
      <c r="M377" s="1482"/>
      <c r="N377" s="1482"/>
      <c r="O377" s="1482"/>
      <c r="P377" s="1482"/>
      <c r="Q377" s="1482"/>
      <c r="R377" s="1482"/>
      <c r="S377" s="1482"/>
      <c r="T377" s="1482"/>
      <c r="U377" s="1482"/>
    </row>
    <row r="378" spans="1:21" s="886" customFormat="1" ht="24" customHeight="1">
      <c r="A378" s="2269"/>
      <c r="B378" s="720" t="s">
        <v>2996</v>
      </c>
      <c r="C378" s="706"/>
      <c r="D378" s="990"/>
      <c r="E378" s="721">
        <v>1</v>
      </c>
      <c r="F378" s="722" t="s">
        <v>240</v>
      </c>
      <c r="G378" s="858">
        <v>68500</v>
      </c>
      <c r="H378" s="796">
        <f>ROUND(E378*G378,)</f>
        <v>68500</v>
      </c>
      <c r="I378" s="865">
        <f>ROUND(G378*0.01,)</f>
        <v>685</v>
      </c>
      <c r="J378" s="796">
        <f>ROUND(I378*E378,)</f>
        <v>685</v>
      </c>
      <c r="K378" s="797">
        <f>H378+J378</f>
        <v>69185</v>
      </c>
      <c r="L378" s="885"/>
      <c r="M378" s="1482"/>
      <c r="N378" s="1482"/>
      <c r="O378" s="1482"/>
      <c r="P378" s="1482"/>
      <c r="Q378" s="1482"/>
      <c r="R378" s="1482"/>
      <c r="S378" s="1482"/>
      <c r="T378" s="1482"/>
      <c r="U378" s="1482"/>
    </row>
    <row r="379" spans="1:21" s="886" customFormat="1" ht="24" customHeight="1">
      <c r="A379" s="2269"/>
      <c r="B379" s="720" t="s">
        <v>1614</v>
      </c>
      <c r="C379" s="706"/>
      <c r="D379" s="990"/>
      <c r="E379" s="721">
        <v>1</v>
      </c>
      <c r="F379" s="722" t="s">
        <v>240</v>
      </c>
      <c r="G379" s="795">
        <v>3598</v>
      </c>
      <c r="H379" s="796">
        <f>ROUND(E379*G379,)</f>
        <v>3598</v>
      </c>
      <c r="I379" s="865">
        <f>ROUND(G379*0.01,)</f>
        <v>36</v>
      </c>
      <c r="J379" s="796">
        <f>ROUND(I379*E379,)</f>
        <v>36</v>
      </c>
      <c r="K379" s="797">
        <f>H379+J379</f>
        <v>3634</v>
      </c>
      <c r="L379" s="885"/>
      <c r="M379" s="1482"/>
      <c r="N379" s="1482"/>
      <c r="O379" s="1482"/>
      <c r="P379" s="1482"/>
      <c r="Q379" s="1482"/>
      <c r="R379" s="1482"/>
      <c r="S379" s="1482"/>
      <c r="T379" s="1482"/>
      <c r="U379" s="1482"/>
    </row>
    <row r="380" spans="1:21" s="886" customFormat="1" ht="24" customHeight="1">
      <c r="A380" s="2269"/>
      <c r="B380" s="720" t="s">
        <v>2997</v>
      </c>
      <c r="C380" s="706"/>
      <c r="D380" s="990"/>
      <c r="E380" s="721">
        <v>24</v>
      </c>
      <c r="F380" s="722" t="s">
        <v>240</v>
      </c>
      <c r="G380" s="795">
        <v>245</v>
      </c>
      <c r="H380" s="796">
        <f>ROUND(E380*G380,)</f>
        <v>5880</v>
      </c>
      <c r="I380" s="865">
        <f>ROUND(G380*0.01,)</f>
        <v>2</v>
      </c>
      <c r="J380" s="796">
        <f>ROUND(I380*E380,)</f>
        <v>48</v>
      </c>
      <c r="K380" s="797">
        <f>H380+J380</f>
        <v>5928</v>
      </c>
      <c r="L380" s="885"/>
      <c r="M380" s="1482"/>
      <c r="N380" s="1482"/>
      <c r="O380" s="1482"/>
      <c r="P380" s="1482"/>
      <c r="Q380" s="1482"/>
      <c r="R380" s="1482"/>
      <c r="S380" s="1482"/>
      <c r="T380" s="1482"/>
      <c r="U380" s="1482"/>
    </row>
    <row r="381" spans="1:21" s="886" customFormat="1" ht="24" customHeight="1">
      <c r="A381" s="2269"/>
      <c r="B381" s="720" t="s">
        <v>2998</v>
      </c>
      <c r="C381" s="706"/>
      <c r="D381" s="990"/>
      <c r="E381" s="721"/>
      <c r="F381" s="722" t="s">
        <v>240</v>
      </c>
      <c r="G381" s="795">
        <v>22500</v>
      </c>
      <c r="H381" s="796">
        <f>ROUND(E381*G381,)</f>
        <v>0</v>
      </c>
      <c r="I381" s="865">
        <f>ROUND(G381*0.01,)</f>
        <v>225</v>
      </c>
      <c r="J381" s="796">
        <f>ROUND(I381*E381,)</f>
        <v>0</v>
      </c>
      <c r="K381" s="797">
        <f>H381+J381</f>
        <v>0</v>
      </c>
      <c r="L381" s="885"/>
      <c r="M381" s="1482"/>
      <c r="N381" s="1482"/>
      <c r="O381" s="1482"/>
      <c r="P381" s="1482"/>
      <c r="Q381" s="1482"/>
      <c r="R381" s="1482"/>
      <c r="S381" s="1482"/>
      <c r="T381" s="1482"/>
      <c r="U381" s="1482"/>
    </row>
    <row r="382" spans="1:21" s="714" customFormat="1" ht="24" customHeight="1">
      <c r="A382" s="861" t="s">
        <v>1251</v>
      </c>
      <c r="B382" s="800" t="s">
        <v>3002</v>
      </c>
      <c r="C382" s="757"/>
      <c r="D382" s="757"/>
      <c r="E382" s="942"/>
      <c r="F382" s="803"/>
      <c r="G382" s="752"/>
      <c r="H382" s="751"/>
      <c r="I382" s="949"/>
      <c r="J382" s="973"/>
      <c r="K382" s="973"/>
      <c r="L382" s="920"/>
    </row>
    <row r="383" spans="1:21" s="714" customFormat="1" ht="24" customHeight="1">
      <c r="A383" s="861"/>
      <c r="B383" s="800" t="s">
        <v>3003</v>
      </c>
      <c r="C383" s="757"/>
      <c r="D383" s="757"/>
      <c r="E383" s="942">
        <v>1</v>
      </c>
      <c r="F383" s="803" t="s">
        <v>240</v>
      </c>
      <c r="G383" s="752">
        <v>20000</v>
      </c>
      <c r="H383" s="864">
        <f t="shared" ref="H383:H386" si="107">ROUND(G383*E383,)</f>
        <v>20000</v>
      </c>
      <c r="I383" s="949">
        <f t="shared" ref="I383:I386" si="108">G383*0.1</f>
        <v>2000</v>
      </c>
      <c r="J383" s="864">
        <f t="shared" ref="J383:J386" si="109">ROUND(E383*I383,)</f>
        <v>2000</v>
      </c>
      <c r="K383" s="867">
        <f t="shared" ref="K383:K386" si="110">H383+J383</f>
        <v>22000</v>
      </c>
      <c r="L383" s="920"/>
    </row>
    <row r="384" spans="1:21" s="714" customFormat="1" ht="24" customHeight="1">
      <c r="A384" s="861"/>
      <c r="B384" s="800" t="s">
        <v>3004</v>
      </c>
      <c r="C384" s="757"/>
      <c r="D384" s="757"/>
      <c r="E384" s="942">
        <v>1</v>
      </c>
      <c r="F384" s="803" t="s">
        <v>240</v>
      </c>
      <c r="G384" s="752">
        <v>20000</v>
      </c>
      <c r="H384" s="864">
        <f t="shared" si="107"/>
        <v>20000</v>
      </c>
      <c r="I384" s="949">
        <f t="shared" si="108"/>
        <v>2000</v>
      </c>
      <c r="J384" s="864">
        <f t="shared" si="109"/>
        <v>2000</v>
      </c>
      <c r="K384" s="867">
        <f t="shared" si="110"/>
        <v>22000</v>
      </c>
      <c r="L384" s="920"/>
    </row>
    <row r="385" spans="1:21" s="714" customFormat="1" ht="24" customHeight="1">
      <c r="A385" s="861"/>
      <c r="B385" s="800" t="s">
        <v>3005</v>
      </c>
      <c r="C385" s="757"/>
      <c r="D385" s="757"/>
      <c r="E385" s="942">
        <v>1</v>
      </c>
      <c r="F385" s="803" t="s">
        <v>240</v>
      </c>
      <c r="G385" s="752">
        <v>20000</v>
      </c>
      <c r="H385" s="864">
        <f t="shared" si="107"/>
        <v>20000</v>
      </c>
      <c r="I385" s="949">
        <f t="shared" si="108"/>
        <v>2000</v>
      </c>
      <c r="J385" s="864">
        <f t="shared" si="109"/>
        <v>2000</v>
      </c>
      <c r="K385" s="867">
        <f t="shared" si="110"/>
        <v>22000</v>
      </c>
      <c r="L385" s="920"/>
    </row>
    <row r="386" spans="1:21" s="714" customFormat="1" ht="24" customHeight="1">
      <c r="A386" s="861"/>
      <c r="B386" s="800" t="s">
        <v>3006</v>
      </c>
      <c r="C386" s="757"/>
      <c r="D386" s="757"/>
      <c r="E386" s="942">
        <v>1</v>
      </c>
      <c r="F386" s="803" t="s">
        <v>240</v>
      </c>
      <c r="G386" s="752">
        <v>20000</v>
      </c>
      <c r="H386" s="864">
        <f t="shared" si="107"/>
        <v>20000</v>
      </c>
      <c r="I386" s="949">
        <f t="shared" si="108"/>
        <v>2000</v>
      </c>
      <c r="J386" s="864">
        <f t="shared" si="109"/>
        <v>2000</v>
      </c>
      <c r="K386" s="867">
        <f t="shared" si="110"/>
        <v>22000</v>
      </c>
      <c r="L386" s="920"/>
    </row>
    <row r="387" spans="1:21" s="714" customFormat="1" ht="24" customHeight="1">
      <c r="A387" s="989" t="s">
        <v>1255</v>
      </c>
      <c r="B387" s="800" t="s">
        <v>3008</v>
      </c>
      <c r="C387" s="757"/>
      <c r="D387" s="757"/>
      <c r="E387" s="942"/>
      <c r="F387" s="803"/>
      <c r="G387" s="752"/>
      <c r="H387" s="751"/>
      <c r="I387" s="949"/>
      <c r="J387" s="973"/>
      <c r="K387" s="973"/>
      <c r="L387" s="920"/>
    </row>
    <row r="388" spans="1:21" s="714" customFormat="1" ht="24" customHeight="1">
      <c r="A388" s="861"/>
      <c r="B388" s="800" t="s">
        <v>3009</v>
      </c>
      <c r="C388" s="757"/>
      <c r="D388" s="757"/>
      <c r="E388" s="942">
        <v>1</v>
      </c>
      <c r="F388" s="803" t="s">
        <v>240</v>
      </c>
      <c r="G388" s="752">
        <v>300000</v>
      </c>
      <c r="H388" s="864">
        <f t="shared" ref="H388:H389" si="111">ROUND(G388*E388,)</f>
        <v>300000</v>
      </c>
      <c r="I388" s="949">
        <f t="shared" ref="I388:I389" si="112">G388*0.1</f>
        <v>30000</v>
      </c>
      <c r="J388" s="864">
        <f t="shared" ref="J388:J389" si="113">ROUND(E388*I388,)</f>
        <v>30000</v>
      </c>
      <c r="K388" s="867">
        <f t="shared" ref="K388:K390" si="114">H388+J388</f>
        <v>330000</v>
      </c>
      <c r="L388" s="920"/>
    </row>
    <row r="389" spans="1:21" s="714" customFormat="1" ht="24" customHeight="1">
      <c r="A389" s="861"/>
      <c r="B389" s="800" t="s">
        <v>3010</v>
      </c>
      <c r="C389" s="757"/>
      <c r="D389" s="757"/>
      <c r="E389" s="942">
        <v>4</v>
      </c>
      <c r="F389" s="803" t="s">
        <v>240</v>
      </c>
      <c r="G389" s="752">
        <v>16000</v>
      </c>
      <c r="H389" s="864">
        <f t="shared" si="111"/>
        <v>64000</v>
      </c>
      <c r="I389" s="949">
        <f t="shared" si="112"/>
        <v>1600</v>
      </c>
      <c r="J389" s="864">
        <f t="shared" si="113"/>
        <v>6400</v>
      </c>
      <c r="K389" s="867">
        <f t="shared" si="114"/>
        <v>70400</v>
      </c>
      <c r="L389" s="920"/>
    </row>
    <row r="390" spans="1:21" s="714" customFormat="1" ht="24" customHeight="1">
      <c r="A390" s="856" t="s">
        <v>2987</v>
      </c>
      <c r="B390" s="720" t="s">
        <v>2983</v>
      </c>
      <c r="C390" s="770"/>
      <c r="D390" s="770"/>
      <c r="E390" s="930">
        <v>1</v>
      </c>
      <c r="F390" s="939" t="s">
        <v>240</v>
      </c>
      <c r="G390" s="932">
        <v>45000</v>
      </c>
      <c r="H390" s="933">
        <f>G390*E390</f>
        <v>45000</v>
      </c>
      <c r="I390" s="934">
        <f>G390*0.1</f>
        <v>4500</v>
      </c>
      <c r="J390" s="935">
        <f>I390*E390</f>
        <v>4500</v>
      </c>
      <c r="K390" s="938">
        <f t="shared" si="114"/>
        <v>49500</v>
      </c>
      <c r="L390" s="936"/>
    </row>
    <row r="391" spans="1:21" s="714" customFormat="1" ht="24" customHeight="1">
      <c r="A391" s="856" t="s">
        <v>3059</v>
      </c>
      <c r="B391" s="720" t="s">
        <v>3122</v>
      </c>
      <c r="C391" s="706"/>
      <c r="D391" s="990"/>
      <c r="E391" s="721">
        <v>1</v>
      </c>
      <c r="F391" s="722" t="s">
        <v>240</v>
      </c>
      <c r="G391" s="795">
        <v>15000</v>
      </c>
      <c r="H391" s="796">
        <f>ROUND(E391*G391,)</f>
        <v>15000</v>
      </c>
      <c r="I391" s="797"/>
      <c r="J391" s="796">
        <f>ROUND(I391*E391,)</f>
        <v>0</v>
      </c>
      <c r="K391" s="797">
        <f>H391+J391</f>
        <v>15000</v>
      </c>
      <c r="L391" s="830"/>
      <c r="M391" s="729"/>
      <c r="N391" s="729"/>
      <c r="O391" s="729"/>
      <c r="P391" s="729"/>
      <c r="Q391" s="729"/>
      <c r="R391" s="729"/>
      <c r="S391" s="729"/>
      <c r="T391" s="729"/>
      <c r="U391" s="729"/>
    </row>
    <row r="392" spans="1:21" s="714" customFormat="1" ht="24" customHeight="1">
      <c r="A392" s="856" t="s">
        <v>3060</v>
      </c>
      <c r="B392" s="720" t="s">
        <v>1378</v>
      </c>
      <c r="C392" s="706"/>
      <c r="D392" s="990"/>
      <c r="E392" s="721"/>
      <c r="F392" s="722"/>
      <c r="G392" s="994"/>
      <c r="H392" s="914"/>
      <c r="I392" s="849"/>
      <c r="J392" s="796"/>
      <c r="K392" s="797"/>
      <c r="L392" s="830"/>
      <c r="M392" s="729"/>
      <c r="N392" s="729"/>
      <c r="O392" s="729"/>
      <c r="P392" s="729"/>
      <c r="Q392" s="729"/>
      <c r="R392" s="729"/>
      <c r="S392" s="729"/>
      <c r="T392" s="729"/>
      <c r="U392" s="729"/>
    </row>
    <row r="393" spans="1:21" s="714" customFormat="1" ht="24" customHeight="1">
      <c r="A393" s="1134"/>
      <c r="B393" s="720" t="s">
        <v>2986</v>
      </c>
      <c r="C393" s="706"/>
      <c r="D393" s="990"/>
      <c r="E393" s="917">
        <v>25</v>
      </c>
      <c r="F393" s="722"/>
      <c r="G393" s="994">
        <v>37</v>
      </c>
      <c r="H393" s="914">
        <f>ROUND(G393*E393,)</f>
        <v>925</v>
      </c>
      <c r="I393" s="849">
        <v>5</v>
      </c>
      <c r="J393" s="796">
        <f t="shared" ref="J393" si="115">I393*E393</f>
        <v>125</v>
      </c>
      <c r="K393" s="797">
        <f>J393+H393</f>
        <v>1050</v>
      </c>
      <c r="L393" s="830"/>
      <c r="M393" s="729"/>
      <c r="N393" s="729"/>
      <c r="O393" s="729"/>
      <c r="P393" s="729"/>
      <c r="Q393" s="729"/>
      <c r="R393" s="729"/>
      <c r="S393" s="729"/>
      <c r="T393" s="729"/>
      <c r="U393" s="729"/>
    </row>
    <row r="394" spans="1:21" s="714" customFormat="1" ht="24" customHeight="1">
      <c r="A394" s="831"/>
      <c r="B394" s="720" t="s">
        <v>947</v>
      </c>
      <c r="C394" s="717"/>
      <c r="D394" s="717"/>
      <c r="E394" s="942">
        <v>1</v>
      </c>
      <c r="F394" s="916" t="s">
        <v>948</v>
      </c>
      <c r="G394" s="806">
        <f>ROUND(SUM(H393)*5%,0)</f>
        <v>46</v>
      </c>
      <c r="H394" s="796">
        <f>ROUND(E394*G394,)</f>
        <v>46</v>
      </c>
      <c r="I394" s="807">
        <f>ROUND(G394*0.3,0)</f>
        <v>14</v>
      </c>
      <c r="J394" s="796">
        <f>ROUND(E394*I394,)</f>
        <v>14</v>
      </c>
      <c r="K394" s="914">
        <f>H394+J394</f>
        <v>60</v>
      </c>
      <c r="L394" s="920"/>
    </row>
    <row r="395" spans="1:21" s="714" customFormat="1" ht="24" customHeight="1">
      <c r="A395" s="831" t="s">
        <v>3061</v>
      </c>
      <c r="B395" s="720" t="s">
        <v>1235</v>
      </c>
      <c r="C395" s="717"/>
      <c r="D395" s="717"/>
      <c r="E395" s="942"/>
      <c r="F395" s="941"/>
      <c r="G395" s="806"/>
      <c r="H395" s="918"/>
      <c r="I395" s="807"/>
      <c r="J395" s="919"/>
      <c r="K395" s="919"/>
      <c r="L395" s="920"/>
    </row>
    <row r="396" spans="1:21" s="714" customFormat="1" ht="24" customHeight="1">
      <c r="A396" s="831"/>
      <c r="B396" s="720" t="s">
        <v>1249</v>
      </c>
      <c r="C396" s="717"/>
      <c r="D396" s="717"/>
      <c r="E396" s="942">
        <v>700</v>
      </c>
      <c r="F396" s="794" t="s">
        <v>438</v>
      </c>
      <c r="G396" s="806">
        <v>27</v>
      </c>
      <c r="H396" s="796">
        <f>ROUND(E396*G396,)</f>
        <v>18900</v>
      </c>
      <c r="I396" s="807">
        <v>12</v>
      </c>
      <c r="J396" s="796">
        <f>ROUND(E396*I396,)</f>
        <v>8400</v>
      </c>
      <c r="K396" s="914">
        <f>H396+J396</f>
        <v>27300</v>
      </c>
      <c r="L396" s="920"/>
    </row>
    <row r="397" spans="1:21" s="714" customFormat="1" ht="24" customHeight="1">
      <c r="A397" s="831"/>
      <c r="B397" s="720" t="s">
        <v>947</v>
      </c>
      <c r="C397" s="717"/>
      <c r="D397" s="717"/>
      <c r="E397" s="942">
        <v>1</v>
      </c>
      <c r="F397" s="916" t="s">
        <v>948</v>
      </c>
      <c r="G397" s="806">
        <f>SUM(H396)*5%</f>
        <v>945</v>
      </c>
      <c r="H397" s="796">
        <f>ROUND(E397*G397,)</f>
        <v>945</v>
      </c>
      <c r="I397" s="807">
        <f>G397*0.3</f>
        <v>283.5</v>
      </c>
      <c r="J397" s="796">
        <f>ROUND(E397*I397,)</f>
        <v>284</v>
      </c>
      <c r="K397" s="914">
        <f>H397+J397</f>
        <v>1229</v>
      </c>
      <c r="L397" s="920"/>
    </row>
    <row r="398" spans="1:21" s="714" customFormat="1" ht="24" customHeight="1">
      <c r="A398" s="831" t="s">
        <v>3062</v>
      </c>
      <c r="B398" s="720" t="s">
        <v>1357</v>
      </c>
      <c r="C398" s="717"/>
      <c r="D398" s="717"/>
      <c r="E398" s="942"/>
      <c r="F398" s="916"/>
      <c r="G398" s="806"/>
      <c r="H398" s="796"/>
      <c r="I398" s="807"/>
      <c r="J398" s="796"/>
      <c r="K398" s="914"/>
      <c r="L398" s="919"/>
      <c r="M398" s="729"/>
      <c r="N398" s="729"/>
      <c r="O398" s="729"/>
      <c r="P398" s="729"/>
      <c r="Q398" s="729"/>
    </row>
    <row r="399" spans="1:21" s="714" customFormat="1" ht="24" customHeight="1">
      <c r="A399" s="831"/>
      <c r="B399" s="720" t="s">
        <v>1201</v>
      </c>
      <c r="C399" s="717"/>
      <c r="D399" s="717"/>
      <c r="E399" s="917">
        <v>25</v>
      </c>
      <c r="F399" s="794" t="s">
        <v>438</v>
      </c>
      <c r="G399" s="806">
        <v>27</v>
      </c>
      <c r="H399" s="796">
        <f t="shared" ref="H399:H400" si="116">ROUND(E399*G399,)</f>
        <v>675</v>
      </c>
      <c r="I399" s="807">
        <v>22</v>
      </c>
      <c r="J399" s="796">
        <f t="shared" ref="J399:J400" si="117">ROUND(E399*I399,)</f>
        <v>550</v>
      </c>
      <c r="K399" s="1030">
        <f t="shared" ref="K399:K400" si="118">H399+J399</f>
        <v>1225</v>
      </c>
      <c r="L399" s="1718" t="s">
        <v>2974</v>
      </c>
      <c r="M399" s="729"/>
      <c r="P399" s="729"/>
      <c r="Q399" s="729"/>
    </row>
    <row r="400" spans="1:21" s="714" customFormat="1" ht="24" customHeight="1">
      <c r="A400" s="831"/>
      <c r="B400" s="720" t="s">
        <v>1237</v>
      </c>
      <c r="C400" s="717"/>
      <c r="D400" s="717"/>
      <c r="E400" s="917">
        <v>1</v>
      </c>
      <c r="F400" s="916" t="s">
        <v>948</v>
      </c>
      <c r="G400" s="806">
        <f>ROUND(SUM(H399)*15%,0)</f>
        <v>101</v>
      </c>
      <c r="H400" s="796">
        <f t="shared" si="116"/>
        <v>101</v>
      </c>
      <c r="I400" s="807">
        <f>ROUND(G400*0.3,0)</f>
        <v>30</v>
      </c>
      <c r="J400" s="796">
        <f t="shared" si="117"/>
        <v>30</v>
      </c>
      <c r="K400" s="914">
        <f t="shared" si="118"/>
        <v>131</v>
      </c>
      <c r="L400" s="919"/>
      <c r="M400" s="729"/>
      <c r="N400" s="729"/>
      <c r="O400" s="729"/>
      <c r="P400" s="729"/>
      <c r="Q400" s="729"/>
    </row>
    <row r="401" spans="1:21" s="714" customFormat="1" ht="24" customHeight="1">
      <c r="A401" s="831" t="s">
        <v>3063</v>
      </c>
      <c r="B401" s="720" t="s">
        <v>1252</v>
      </c>
      <c r="C401" s="717"/>
      <c r="D401" s="717"/>
      <c r="E401" s="942"/>
      <c r="F401" s="916"/>
      <c r="G401" s="806"/>
      <c r="H401" s="918"/>
      <c r="I401" s="807"/>
      <c r="J401" s="919"/>
      <c r="K401" s="919"/>
      <c r="L401" s="920"/>
    </row>
    <row r="402" spans="1:21" s="714" customFormat="1" ht="24" customHeight="1">
      <c r="A402" s="831"/>
      <c r="B402" s="720" t="s">
        <v>1193</v>
      </c>
      <c r="C402" s="717"/>
      <c r="D402" s="717"/>
      <c r="E402" s="942"/>
      <c r="F402" s="794" t="s">
        <v>438</v>
      </c>
      <c r="G402" s="806">
        <v>316</v>
      </c>
      <c r="H402" s="796">
        <f>ROUND(E402*G402,)</f>
        <v>0</v>
      </c>
      <c r="I402" s="807">
        <v>50</v>
      </c>
      <c r="J402" s="796">
        <f>ROUND(E402*I402,)</f>
        <v>0</v>
      </c>
      <c r="K402" s="914">
        <f>H402+J402</f>
        <v>0</v>
      </c>
      <c r="L402" s="920"/>
    </row>
    <row r="403" spans="1:21" s="714" customFormat="1" ht="24" customHeight="1">
      <c r="A403" s="831"/>
      <c r="B403" s="720" t="s">
        <v>1237</v>
      </c>
      <c r="C403" s="717"/>
      <c r="D403" s="717"/>
      <c r="E403" s="942"/>
      <c r="F403" s="916" t="s">
        <v>948</v>
      </c>
      <c r="G403" s="806">
        <f>SUM(H402)*15%</f>
        <v>0</v>
      </c>
      <c r="H403" s="796">
        <f>ROUND(G403*E403,)</f>
        <v>0</v>
      </c>
      <c r="I403" s="807">
        <f>G403*0.3</f>
        <v>0</v>
      </c>
      <c r="J403" s="796">
        <f>ROUND(E403*I403,)</f>
        <v>0</v>
      </c>
      <c r="K403" s="914">
        <f>H403+J403</f>
        <v>0</v>
      </c>
      <c r="L403" s="920"/>
    </row>
    <row r="404" spans="1:21" s="714" customFormat="1" ht="24" customHeight="1">
      <c r="A404" s="831" t="s">
        <v>3064</v>
      </c>
      <c r="B404" s="720" t="s">
        <v>1238</v>
      </c>
      <c r="C404" s="717"/>
      <c r="D404" s="717"/>
      <c r="E404" s="942">
        <v>1</v>
      </c>
      <c r="F404" s="916" t="s">
        <v>948</v>
      </c>
      <c r="G404" s="806"/>
      <c r="H404" s="918"/>
      <c r="I404" s="807">
        <v>50000</v>
      </c>
      <c r="J404" s="796">
        <f>ROUND(E404*I404,)</f>
        <v>50000</v>
      </c>
      <c r="K404" s="914">
        <f>H404+J404</f>
        <v>50000</v>
      </c>
      <c r="L404" s="920"/>
    </row>
    <row r="405" spans="1:21" s="714" customFormat="1" ht="24" customHeight="1">
      <c r="A405" s="921"/>
      <c r="B405" s="705" t="s">
        <v>957</v>
      </c>
      <c r="C405" s="761"/>
      <c r="D405" s="761"/>
      <c r="E405" s="1040"/>
      <c r="F405" s="924"/>
      <c r="G405" s="925"/>
      <c r="H405" s="926"/>
      <c r="I405" s="927"/>
      <c r="J405" s="928"/>
      <c r="K405" s="928"/>
      <c r="L405" s="929"/>
    </row>
    <row r="406" spans="1:21" s="714" customFormat="1" ht="24" customHeight="1">
      <c r="A406" s="861"/>
      <c r="B406" s="756" t="s">
        <v>958</v>
      </c>
      <c r="C406" s="761"/>
      <c r="D406" s="761"/>
      <c r="E406" s="942"/>
      <c r="F406" s="948"/>
      <c r="G406" s="752"/>
      <c r="H406" s="751"/>
      <c r="I406" s="949"/>
      <c r="J406" s="973"/>
      <c r="K406" s="973"/>
      <c r="L406" s="973"/>
      <c r="M406" s="729"/>
      <c r="N406" s="729"/>
      <c r="O406" s="729"/>
      <c r="P406" s="729"/>
    </row>
    <row r="407" spans="1:21" s="714" customFormat="1" ht="24" customHeight="1">
      <c r="A407" s="775"/>
      <c r="B407" s="2475" t="str">
        <f>"รวมราคารายการที่ "&amp;A371</f>
        <v>รวมราคารายการที่ 3.15</v>
      </c>
      <c r="C407" s="2476"/>
      <c r="D407" s="2477"/>
      <c r="E407" s="776"/>
      <c r="F407" s="777"/>
      <c r="G407" s="959"/>
      <c r="H407" s="779">
        <f>SUM(H371:H406)</f>
        <v>681548</v>
      </c>
      <c r="I407" s="778"/>
      <c r="J407" s="779">
        <f>SUM(J371:J406)</f>
        <v>109841</v>
      </c>
      <c r="K407" s="779">
        <f>SUM(K371:K406)</f>
        <v>791389</v>
      </c>
      <c r="L407" s="777"/>
    </row>
    <row r="408" spans="1:21" s="714" customFormat="1" ht="24" customHeight="1">
      <c r="A408" s="911" t="s">
        <v>1256</v>
      </c>
      <c r="B408" s="816" t="s">
        <v>1347</v>
      </c>
      <c r="C408" s="770"/>
      <c r="D408" s="770"/>
      <c r="E408" s="930"/>
      <c r="F408" s="931"/>
      <c r="G408" s="932"/>
      <c r="H408" s="933"/>
      <c r="I408" s="934"/>
      <c r="J408" s="935"/>
      <c r="K408" s="935"/>
      <c r="L408" s="936"/>
    </row>
    <row r="409" spans="1:21" s="886" customFormat="1" ht="24" customHeight="1">
      <c r="A409" s="2268" t="s">
        <v>1258</v>
      </c>
      <c r="B409" s="720" t="s">
        <v>3017</v>
      </c>
      <c r="C409" s="706"/>
      <c r="D409" s="990"/>
      <c r="E409" s="721"/>
      <c r="F409" s="722"/>
      <c r="G409" s="795"/>
      <c r="H409" s="796"/>
      <c r="I409" s="797"/>
      <c r="J409" s="796"/>
      <c r="K409" s="797"/>
      <c r="L409" s="885"/>
      <c r="M409" s="1482"/>
      <c r="N409" s="1482"/>
      <c r="O409" s="1482"/>
      <c r="P409" s="1482"/>
      <c r="Q409" s="1482"/>
      <c r="R409" s="1482"/>
      <c r="S409" s="1482"/>
      <c r="T409" s="1482"/>
      <c r="U409" s="1482"/>
    </row>
    <row r="410" spans="1:21" s="886" customFormat="1" ht="24" customHeight="1">
      <c r="A410" s="2269"/>
      <c r="B410" s="720" t="s">
        <v>2996</v>
      </c>
      <c r="C410" s="706"/>
      <c r="D410" s="990"/>
      <c r="E410" s="721">
        <v>1</v>
      </c>
      <c r="F410" s="722" t="s">
        <v>240</v>
      </c>
      <c r="G410" s="858">
        <v>68500</v>
      </c>
      <c r="H410" s="796">
        <f>ROUND(E410*G410,)</f>
        <v>68500</v>
      </c>
      <c r="I410" s="865">
        <f>ROUND(G410*0.01,)</f>
        <v>685</v>
      </c>
      <c r="J410" s="796">
        <f>ROUND(I410*E410,)</f>
        <v>685</v>
      </c>
      <c r="K410" s="797">
        <f>H410+J410</f>
        <v>69185</v>
      </c>
      <c r="L410" s="885"/>
      <c r="M410" s="1482"/>
      <c r="N410" s="1482"/>
      <c r="O410" s="1482"/>
      <c r="P410" s="1482"/>
      <c r="Q410" s="1482"/>
      <c r="R410" s="1482"/>
      <c r="S410" s="1482"/>
      <c r="T410" s="1482"/>
      <c r="U410" s="1482"/>
    </row>
    <row r="411" spans="1:21" s="886" customFormat="1" ht="24" customHeight="1">
      <c r="A411" s="2269"/>
      <c r="B411" s="720" t="s">
        <v>1614</v>
      </c>
      <c r="C411" s="706"/>
      <c r="D411" s="990"/>
      <c r="E411" s="721">
        <v>1</v>
      </c>
      <c r="F411" s="722" t="s">
        <v>240</v>
      </c>
      <c r="G411" s="795">
        <v>3598</v>
      </c>
      <c r="H411" s="796">
        <f>ROUND(E411*G411,)</f>
        <v>3598</v>
      </c>
      <c r="I411" s="865">
        <f>ROUND(G411*0.01,)</f>
        <v>36</v>
      </c>
      <c r="J411" s="796">
        <f>ROUND(I411*E411,)</f>
        <v>36</v>
      </c>
      <c r="K411" s="797">
        <f>H411+J411</f>
        <v>3634</v>
      </c>
      <c r="L411" s="885"/>
      <c r="M411" s="1482"/>
      <c r="N411" s="1482"/>
      <c r="O411" s="1482"/>
      <c r="P411" s="1482"/>
      <c r="Q411" s="1482"/>
      <c r="R411" s="1482"/>
      <c r="S411" s="1482"/>
      <c r="T411" s="1482"/>
      <c r="U411" s="1482"/>
    </row>
    <row r="412" spans="1:21" s="886" customFormat="1" ht="24" customHeight="1">
      <c r="A412" s="2269"/>
      <c r="B412" s="720" t="s">
        <v>2997</v>
      </c>
      <c r="C412" s="706"/>
      <c r="D412" s="990"/>
      <c r="E412" s="721">
        <v>24</v>
      </c>
      <c r="F412" s="722" t="s">
        <v>240</v>
      </c>
      <c r="G412" s="795">
        <v>245</v>
      </c>
      <c r="H412" s="796">
        <f>ROUND(E412*G412,)</f>
        <v>5880</v>
      </c>
      <c r="I412" s="865">
        <f>ROUND(G412*0.01,)</f>
        <v>2</v>
      </c>
      <c r="J412" s="796">
        <f>ROUND(I412*E412,)</f>
        <v>48</v>
      </c>
      <c r="K412" s="797">
        <f>H412+J412</f>
        <v>5928</v>
      </c>
      <c r="L412" s="885"/>
      <c r="M412" s="1482"/>
      <c r="N412" s="1482"/>
      <c r="O412" s="1482"/>
      <c r="P412" s="1482"/>
      <c r="Q412" s="1482"/>
      <c r="R412" s="1482"/>
      <c r="S412" s="1482"/>
      <c r="T412" s="1482"/>
      <c r="U412" s="1482"/>
    </row>
    <row r="413" spans="1:21" s="886" customFormat="1" ht="24" customHeight="1">
      <c r="A413" s="2269"/>
      <c r="B413" s="720" t="s">
        <v>2998</v>
      </c>
      <c r="C413" s="706"/>
      <c r="D413" s="990"/>
      <c r="E413" s="721"/>
      <c r="F413" s="722" t="s">
        <v>240</v>
      </c>
      <c r="G413" s="795">
        <v>22500</v>
      </c>
      <c r="H413" s="796">
        <f>ROUND(E413*G413,)</f>
        <v>0</v>
      </c>
      <c r="I413" s="865">
        <f>ROUND(G413*0.01,)</f>
        <v>225</v>
      </c>
      <c r="J413" s="796">
        <f>ROUND(I413*E413,)</f>
        <v>0</v>
      </c>
      <c r="K413" s="797">
        <f>H413+J413</f>
        <v>0</v>
      </c>
      <c r="L413" s="885"/>
      <c r="M413" s="1482"/>
      <c r="N413" s="1482"/>
      <c r="O413" s="1482"/>
      <c r="P413" s="1482"/>
      <c r="Q413" s="1482"/>
      <c r="R413" s="1482"/>
      <c r="S413" s="1482"/>
      <c r="T413" s="1482"/>
      <c r="U413" s="1482"/>
    </row>
    <row r="414" spans="1:21" s="886" customFormat="1" ht="24" customHeight="1">
      <c r="A414" s="2268" t="s">
        <v>1261</v>
      </c>
      <c r="B414" s="720" t="s">
        <v>3000</v>
      </c>
      <c r="C414" s="706"/>
      <c r="D414" s="990"/>
      <c r="E414" s="721"/>
      <c r="F414" s="722"/>
      <c r="G414" s="795"/>
      <c r="H414" s="796"/>
      <c r="I414" s="797"/>
      <c r="J414" s="796"/>
      <c r="K414" s="797"/>
      <c r="L414" s="885"/>
      <c r="M414" s="1482"/>
      <c r="N414" s="1482"/>
      <c r="O414" s="1482"/>
      <c r="P414" s="1482"/>
      <c r="Q414" s="1482"/>
      <c r="R414" s="1482"/>
      <c r="S414" s="1482"/>
      <c r="T414" s="1482"/>
      <c r="U414" s="1482"/>
    </row>
    <row r="415" spans="1:21" s="886" customFormat="1" ht="24" customHeight="1">
      <c r="A415" s="2269"/>
      <c r="B415" s="720" t="s">
        <v>2996</v>
      </c>
      <c r="C415" s="706"/>
      <c r="D415" s="990"/>
      <c r="E415" s="721">
        <v>1</v>
      </c>
      <c r="F415" s="722" t="s">
        <v>240</v>
      </c>
      <c r="G415" s="858">
        <v>68500</v>
      </c>
      <c r="H415" s="796">
        <f>ROUND(E415*G415,)</f>
        <v>68500</v>
      </c>
      <c r="I415" s="865">
        <f>ROUND(G415*0.01,)</f>
        <v>685</v>
      </c>
      <c r="J415" s="796">
        <f>ROUND(I415*E415,)</f>
        <v>685</v>
      </c>
      <c r="K415" s="797">
        <f>H415+J415</f>
        <v>69185</v>
      </c>
      <c r="L415" s="885"/>
      <c r="M415" s="1482"/>
      <c r="N415" s="1482"/>
      <c r="O415" s="1482"/>
      <c r="P415" s="1482"/>
      <c r="Q415" s="1482"/>
      <c r="R415" s="1482"/>
      <c r="S415" s="1482"/>
      <c r="T415" s="1482"/>
      <c r="U415" s="1482"/>
    </row>
    <row r="416" spans="1:21" s="886" customFormat="1" ht="24" customHeight="1">
      <c r="A416" s="2269"/>
      <c r="B416" s="720" t="s">
        <v>1614</v>
      </c>
      <c r="C416" s="706"/>
      <c r="D416" s="990"/>
      <c r="E416" s="721">
        <v>1</v>
      </c>
      <c r="F416" s="722" t="s">
        <v>240</v>
      </c>
      <c r="G416" s="795">
        <v>3598</v>
      </c>
      <c r="H416" s="796">
        <f>ROUND(E416*G416,)</f>
        <v>3598</v>
      </c>
      <c r="I416" s="865">
        <f>ROUND(G416*0.01,)</f>
        <v>36</v>
      </c>
      <c r="J416" s="796">
        <f>ROUND(I416*E416,)</f>
        <v>36</v>
      </c>
      <c r="K416" s="797">
        <f>H416+J416</f>
        <v>3634</v>
      </c>
      <c r="L416" s="885"/>
      <c r="M416" s="1482"/>
      <c r="N416" s="1482"/>
      <c r="O416" s="1482"/>
      <c r="P416" s="1482"/>
      <c r="Q416" s="1482"/>
      <c r="R416" s="1482"/>
      <c r="S416" s="1482"/>
      <c r="T416" s="1482"/>
      <c r="U416" s="1482"/>
    </row>
    <row r="417" spans="1:21" s="886" customFormat="1" ht="24" customHeight="1">
      <c r="A417" s="2269"/>
      <c r="B417" s="720" t="s">
        <v>2997</v>
      </c>
      <c r="C417" s="706"/>
      <c r="D417" s="990"/>
      <c r="E417" s="721">
        <v>24</v>
      </c>
      <c r="F417" s="722" t="s">
        <v>240</v>
      </c>
      <c r="G417" s="795">
        <v>245</v>
      </c>
      <c r="H417" s="796">
        <f>ROUND(E417*G417,)</f>
        <v>5880</v>
      </c>
      <c r="I417" s="865">
        <f>ROUND(G417*0.01,)</f>
        <v>2</v>
      </c>
      <c r="J417" s="796">
        <f>ROUND(I417*E417,)</f>
        <v>48</v>
      </c>
      <c r="K417" s="797">
        <f>H417+J417</f>
        <v>5928</v>
      </c>
      <c r="L417" s="885"/>
      <c r="M417" s="1482"/>
      <c r="N417" s="1482"/>
      <c r="O417" s="1482"/>
      <c r="P417" s="1482"/>
      <c r="Q417" s="1482"/>
      <c r="R417" s="1482"/>
      <c r="S417" s="1482"/>
      <c r="T417" s="1482"/>
      <c r="U417" s="1482"/>
    </row>
    <row r="418" spans="1:21" s="886" customFormat="1" ht="24" customHeight="1">
      <c r="A418" s="2269"/>
      <c r="B418" s="720" t="s">
        <v>2998</v>
      </c>
      <c r="C418" s="706"/>
      <c r="D418" s="990"/>
      <c r="E418" s="721"/>
      <c r="F418" s="722" t="s">
        <v>240</v>
      </c>
      <c r="G418" s="795">
        <v>22500</v>
      </c>
      <c r="H418" s="796">
        <f>ROUND(E418*G418,)</f>
        <v>0</v>
      </c>
      <c r="I418" s="865">
        <f>ROUND(G418*0.01,)</f>
        <v>225</v>
      </c>
      <c r="J418" s="796">
        <f>ROUND(I418*E418,)</f>
        <v>0</v>
      </c>
      <c r="K418" s="797">
        <f>H418+J418</f>
        <v>0</v>
      </c>
      <c r="L418" s="885"/>
      <c r="M418" s="1482"/>
      <c r="N418" s="1482"/>
      <c r="O418" s="1482"/>
      <c r="P418" s="1482"/>
      <c r="Q418" s="1482"/>
      <c r="R418" s="1482"/>
      <c r="S418" s="1482"/>
      <c r="T418" s="1482"/>
      <c r="U418" s="1482"/>
    </row>
    <row r="419" spans="1:21" s="714" customFormat="1" ht="24" customHeight="1">
      <c r="A419" s="2267" t="s">
        <v>1262</v>
      </c>
      <c r="B419" s="720" t="s">
        <v>2983</v>
      </c>
      <c r="C419" s="770"/>
      <c r="D419" s="770"/>
      <c r="E419" s="930">
        <v>1</v>
      </c>
      <c r="F419" s="939" t="s">
        <v>240</v>
      </c>
      <c r="G419" s="932">
        <v>45000</v>
      </c>
      <c r="H419" s="933">
        <f>G419*E419</f>
        <v>45000</v>
      </c>
      <c r="I419" s="934">
        <f>G419*0.1</f>
        <v>4500</v>
      </c>
      <c r="J419" s="935">
        <f>I419*E419</f>
        <v>4500</v>
      </c>
      <c r="K419" s="938">
        <f t="shared" ref="K419" si="119">H419+J419</f>
        <v>49500</v>
      </c>
      <c r="L419" s="936"/>
    </row>
    <row r="420" spans="1:21" s="714" customFormat="1" ht="24" customHeight="1">
      <c r="A420" s="989" t="s">
        <v>2989</v>
      </c>
      <c r="B420" s="720" t="s">
        <v>2985</v>
      </c>
      <c r="C420" s="706"/>
      <c r="D420" s="990"/>
      <c r="E420" s="721">
        <v>1</v>
      </c>
      <c r="F420" s="722" t="s">
        <v>240</v>
      </c>
      <c r="G420" s="795">
        <v>7500</v>
      </c>
      <c r="H420" s="796">
        <f>ROUND(E420*G420,)</f>
        <v>7500</v>
      </c>
      <c r="I420" s="797"/>
      <c r="J420" s="796">
        <f>ROUND(I420*E420,)</f>
        <v>0</v>
      </c>
      <c r="K420" s="797">
        <f>H420+J420</f>
        <v>7500</v>
      </c>
      <c r="L420" s="830"/>
      <c r="M420" s="729"/>
      <c r="N420" s="729"/>
      <c r="O420" s="729"/>
      <c r="P420" s="729"/>
      <c r="Q420" s="729"/>
      <c r="R420" s="729"/>
      <c r="S420" s="729"/>
      <c r="T420" s="729"/>
      <c r="U420" s="729"/>
    </row>
    <row r="421" spans="1:21" s="714" customFormat="1" ht="24" customHeight="1">
      <c r="A421" s="2267" t="s">
        <v>2990</v>
      </c>
      <c r="B421" s="720" t="s">
        <v>1378</v>
      </c>
      <c r="C421" s="706"/>
      <c r="D421" s="990"/>
      <c r="E421" s="721"/>
      <c r="F421" s="722"/>
      <c r="G421" s="994"/>
      <c r="H421" s="914"/>
      <c r="I421" s="849"/>
      <c r="J421" s="796"/>
      <c r="K421" s="797"/>
      <c r="L421" s="830"/>
      <c r="M421" s="729"/>
      <c r="N421" s="729"/>
      <c r="O421" s="729"/>
      <c r="P421" s="729"/>
      <c r="Q421" s="729"/>
      <c r="R421" s="729"/>
      <c r="S421" s="729"/>
      <c r="T421" s="729"/>
      <c r="U421" s="729"/>
    </row>
    <row r="422" spans="1:21" s="714" customFormat="1" ht="24" customHeight="1">
      <c r="A422" s="1134"/>
      <c r="B422" s="720" t="s">
        <v>2986</v>
      </c>
      <c r="C422" s="706"/>
      <c r="D422" s="990"/>
      <c r="E422" s="917">
        <v>25</v>
      </c>
      <c r="F422" s="794" t="s">
        <v>438</v>
      </c>
      <c r="G422" s="994">
        <v>37</v>
      </c>
      <c r="H422" s="914">
        <f>ROUND(G422*E422,)</f>
        <v>925</v>
      </c>
      <c r="I422" s="849">
        <v>5</v>
      </c>
      <c r="J422" s="796">
        <f t="shared" ref="J422" si="120">I422*E422</f>
        <v>125</v>
      </c>
      <c r="K422" s="797">
        <f>J422+H422</f>
        <v>1050</v>
      </c>
      <c r="L422" s="830"/>
      <c r="M422" s="729"/>
      <c r="N422" s="729"/>
      <c r="O422" s="729"/>
      <c r="P422" s="729"/>
      <c r="Q422" s="729"/>
      <c r="R422" s="729"/>
      <c r="S422" s="729"/>
      <c r="T422" s="729"/>
      <c r="U422" s="729"/>
    </row>
    <row r="423" spans="1:21" s="714" customFormat="1" ht="24" customHeight="1">
      <c r="A423" s="831"/>
      <c r="B423" s="720" t="s">
        <v>947</v>
      </c>
      <c r="C423" s="717"/>
      <c r="D423" s="717"/>
      <c r="E423" s="942">
        <v>1</v>
      </c>
      <c r="F423" s="916" t="s">
        <v>948</v>
      </c>
      <c r="G423" s="806">
        <f>ROUND(SUM(H422)*5%,0)</f>
        <v>46</v>
      </c>
      <c r="H423" s="796">
        <f>ROUND(E423*G423,)</f>
        <v>46</v>
      </c>
      <c r="I423" s="807">
        <f>ROUND(G423*0.3,0)</f>
        <v>14</v>
      </c>
      <c r="J423" s="796">
        <f>ROUND(E423*I423,)</f>
        <v>14</v>
      </c>
      <c r="K423" s="914">
        <f>H423+J423</f>
        <v>60</v>
      </c>
      <c r="L423" s="920"/>
    </row>
    <row r="424" spans="1:21" s="714" customFormat="1" ht="24" customHeight="1">
      <c r="A424" s="831" t="s">
        <v>2992</v>
      </c>
      <c r="B424" s="720" t="s">
        <v>1235</v>
      </c>
      <c r="C424" s="717"/>
      <c r="D424" s="717"/>
      <c r="E424" s="942"/>
      <c r="F424" s="722"/>
      <c r="G424" s="806"/>
      <c r="H424" s="918"/>
      <c r="I424" s="807"/>
      <c r="J424" s="919"/>
      <c r="K424" s="919"/>
      <c r="L424" s="920"/>
    </row>
    <row r="425" spans="1:21" s="714" customFormat="1" ht="24" customHeight="1">
      <c r="A425" s="831"/>
      <c r="B425" s="720" t="s">
        <v>1249</v>
      </c>
      <c r="C425" s="717"/>
      <c r="D425" s="717"/>
      <c r="E425" s="942">
        <v>700</v>
      </c>
      <c r="F425" s="794" t="s">
        <v>438</v>
      </c>
      <c r="G425" s="806">
        <v>27</v>
      </c>
      <c r="H425" s="796">
        <f>ROUND(E425*G425,)</f>
        <v>18900</v>
      </c>
      <c r="I425" s="807">
        <v>12</v>
      </c>
      <c r="J425" s="796">
        <f>ROUND(E425*I425,)</f>
        <v>8400</v>
      </c>
      <c r="K425" s="914">
        <f>H425+J425</f>
        <v>27300</v>
      </c>
      <c r="L425" s="920"/>
    </row>
    <row r="426" spans="1:21" s="714" customFormat="1" ht="24" customHeight="1">
      <c r="A426" s="831"/>
      <c r="B426" s="720" t="s">
        <v>947</v>
      </c>
      <c r="C426" s="717"/>
      <c r="D426" s="717"/>
      <c r="E426" s="942">
        <v>1</v>
      </c>
      <c r="F426" s="916" t="s">
        <v>948</v>
      </c>
      <c r="G426" s="806">
        <f>SUM(H425)*5%</f>
        <v>945</v>
      </c>
      <c r="H426" s="796">
        <f>ROUND(E426*G426,)</f>
        <v>945</v>
      </c>
      <c r="I426" s="807">
        <f>G426*0.3</f>
        <v>283.5</v>
      </c>
      <c r="J426" s="796">
        <f>ROUND(E426*I426,)</f>
        <v>284</v>
      </c>
      <c r="K426" s="914">
        <f>H426+J426</f>
        <v>1229</v>
      </c>
      <c r="L426" s="920"/>
    </row>
    <row r="427" spans="1:21" s="714" customFormat="1" ht="24" customHeight="1">
      <c r="A427" s="2267" t="s">
        <v>3065</v>
      </c>
      <c r="B427" s="720" t="s">
        <v>1357</v>
      </c>
      <c r="C427" s="717"/>
      <c r="D427" s="717"/>
      <c r="E427" s="942"/>
      <c r="F427" s="916"/>
      <c r="G427" s="806"/>
      <c r="H427" s="796"/>
      <c r="I427" s="807"/>
      <c r="J427" s="796"/>
      <c r="K427" s="914"/>
      <c r="L427" s="919"/>
      <c r="M427" s="729"/>
      <c r="N427" s="729"/>
      <c r="O427" s="729"/>
      <c r="P427" s="729"/>
      <c r="Q427" s="729"/>
    </row>
    <row r="428" spans="1:21" s="714" customFormat="1" ht="24" customHeight="1">
      <c r="A428" s="831"/>
      <c r="B428" s="720" t="s">
        <v>1201</v>
      </c>
      <c r="C428" s="717"/>
      <c r="D428" s="717"/>
      <c r="E428" s="917">
        <v>25</v>
      </c>
      <c r="F428" s="794" t="s">
        <v>438</v>
      </c>
      <c r="G428" s="806">
        <v>27</v>
      </c>
      <c r="H428" s="796">
        <f t="shared" ref="H428:H429" si="121">ROUND(E428*G428,)</f>
        <v>675</v>
      </c>
      <c r="I428" s="807">
        <v>22</v>
      </c>
      <c r="J428" s="796">
        <f t="shared" ref="J428:J429" si="122">ROUND(E428*I428,)</f>
        <v>550</v>
      </c>
      <c r="K428" s="1030">
        <f t="shared" ref="K428:K429" si="123">H428+J428</f>
        <v>1225</v>
      </c>
      <c r="L428" s="1718" t="s">
        <v>2974</v>
      </c>
      <c r="M428" s="729"/>
      <c r="P428" s="729"/>
      <c r="Q428" s="729"/>
    </row>
    <row r="429" spans="1:21" s="714" customFormat="1" ht="24" customHeight="1">
      <c r="A429" s="831"/>
      <c r="B429" s="720" t="s">
        <v>1237</v>
      </c>
      <c r="C429" s="717"/>
      <c r="D429" s="717"/>
      <c r="E429" s="917">
        <v>1</v>
      </c>
      <c r="F429" s="916" t="s">
        <v>948</v>
      </c>
      <c r="G429" s="806">
        <f>ROUND(SUM(H428)*15%,0)</f>
        <v>101</v>
      </c>
      <c r="H429" s="796">
        <f t="shared" si="121"/>
        <v>101</v>
      </c>
      <c r="I429" s="807">
        <f>ROUND(G429*0.3,0)</f>
        <v>30</v>
      </c>
      <c r="J429" s="796">
        <f t="shared" si="122"/>
        <v>30</v>
      </c>
      <c r="K429" s="914">
        <f t="shared" si="123"/>
        <v>131</v>
      </c>
      <c r="L429" s="919"/>
      <c r="M429" s="729"/>
      <c r="N429" s="729"/>
      <c r="O429" s="729"/>
      <c r="P429" s="729"/>
      <c r="Q429" s="729"/>
    </row>
    <row r="430" spans="1:21" s="714" customFormat="1" ht="24" customHeight="1">
      <c r="A430" s="831" t="s">
        <v>3066</v>
      </c>
      <c r="B430" s="720" t="s">
        <v>1252</v>
      </c>
      <c r="C430" s="717"/>
      <c r="D430" s="717"/>
      <c r="E430" s="942"/>
      <c r="F430" s="941"/>
      <c r="G430" s="806"/>
      <c r="H430" s="918"/>
      <c r="I430" s="807"/>
      <c r="J430" s="919"/>
      <c r="K430" s="919"/>
      <c r="L430" s="920"/>
    </row>
    <row r="431" spans="1:21" s="714" customFormat="1" ht="24" customHeight="1">
      <c r="A431" s="831"/>
      <c r="B431" s="720" t="s">
        <v>1193</v>
      </c>
      <c r="C431" s="717"/>
      <c r="D431" s="717"/>
      <c r="E431" s="942"/>
      <c r="F431" s="794" t="s">
        <v>438</v>
      </c>
      <c r="G431" s="806">
        <v>316</v>
      </c>
      <c r="H431" s="796">
        <f>ROUND(E431*G431,)</f>
        <v>0</v>
      </c>
      <c r="I431" s="807">
        <v>50</v>
      </c>
      <c r="J431" s="796">
        <f>ROUND(E431*I431,)</f>
        <v>0</v>
      </c>
      <c r="K431" s="914">
        <f>H431+J431</f>
        <v>0</v>
      </c>
      <c r="L431" s="920"/>
    </row>
    <row r="432" spans="1:21" s="714" customFormat="1" ht="24" customHeight="1">
      <c r="A432" s="831"/>
      <c r="B432" s="720" t="s">
        <v>1237</v>
      </c>
      <c r="C432" s="717"/>
      <c r="D432" s="717"/>
      <c r="E432" s="942"/>
      <c r="F432" s="941" t="s">
        <v>948</v>
      </c>
      <c r="G432" s="806">
        <f>SUM(H431)*15%</f>
        <v>0</v>
      </c>
      <c r="H432" s="796">
        <f>ROUND(G432*E432,)</f>
        <v>0</v>
      </c>
      <c r="I432" s="807">
        <f>G432*0.3</f>
        <v>0</v>
      </c>
      <c r="J432" s="796">
        <f>ROUND(E432*I432,)</f>
        <v>0</v>
      </c>
      <c r="K432" s="914">
        <f>H432+J432</f>
        <v>0</v>
      </c>
      <c r="L432" s="920"/>
    </row>
    <row r="433" spans="1:21" s="714" customFormat="1" ht="24" customHeight="1">
      <c r="A433" s="831" t="s">
        <v>3067</v>
      </c>
      <c r="B433" s="720" t="s">
        <v>1238</v>
      </c>
      <c r="C433" s="717"/>
      <c r="D433" s="717"/>
      <c r="E433" s="917">
        <v>1</v>
      </c>
      <c r="F433" s="916" t="s">
        <v>948</v>
      </c>
      <c r="G433" s="806"/>
      <c r="H433" s="918"/>
      <c r="I433" s="807">
        <v>100000</v>
      </c>
      <c r="J433" s="796">
        <f>ROUND(E433*I433,)</f>
        <v>100000</v>
      </c>
      <c r="K433" s="914">
        <f>H433+J433</f>
        <v>100000</v>
      </c>
      <c r="L433" s="920"/>
    </row>
    <row r="434" spans="1:21" s="714" customFormat="1" ht="24" customHeight="1">
      <c r="A434" s="831"/>
      <c r="B434" s="720" t="s">
        <v>957</v>
      </c>
      <c r="C434" s="717"/>
      <c r="D434" s="717"/>
      <c r="E434" s="917"/>
      <c r="F434" s="916"/>
      <c r="G434" s="806"/>
      <c r="H434" s="918"/>
      <c r="I434" s="807"/>
      <c r="J434" s="796"/>
      <c r="K434" s="914"/>
      <c r="L434" s="920"/>
    </row>
    <row r="435" spans="1:21" s="714" customFormat="1" ht="24" customHeight="1">
      <c r="A435" s="861"/>
      <c r="B435" s="756" t="s">
        <v>958</v>
      </c>
      <c r="C435" s="761"/>
      <c r="D435" s="761"/>
      <c r="E435" s="942"/>
      <c r="F435" s="948"/>
      <c r="G435" s="752"/>
      <c r="H435" s="751"/>
      <c r="I435" s="949"/>
      <c r="J435" s="973"/>
      <c r="K435" s="973"/>
      <c r="L435" s="973"/>
      <c r="M435" s="729"/>
      <c r="N435" s="729"/>
      <c r="O435" s="729"/>
      <c r="P435" s="729"/>
    </row>
    <row r="436" spans="1:21" s="714" customFormat="1" ht="24" customHeight="1">
      <c r="A436" s="861"/>
      <c r="B436" s="756" t="s">
        <v>958</v>
      </c>
      <c r="C436" s="761"/>
      <c r="D436" s="761"/>
      <c r="E436" s="942"/>
      <c r="F436" s="948"/>
      <c r="G436" s="752"/>
      <c r="H436" s="751"/>
      <c r="I436" s="949"/>
      <c r="J436" s="973"/>
      <c r="K436" s="973"/>
      <c r="L436" s="973"/>
      <c r="M436" s="729"/>
      <c r="N436" s="729"/>
      <c r="O436" s="729"/>
      <c r="P436" s="729"/>
    </row>
    <row r="437" spans="1:21" s="714" customFormat="1" ht="24" customHeight="1">
      <c r="A437" s="775"/>
      <c r="B437" s="2475" t="str">
        <f>"รวมราคารายการที่ "&amp;A408</f>
        <v>รวมราคารายการที่ 3.16</v>
      </c>
      <c r="C437" s="2476"/>
      <c r="D437" s="2477"/>
      <c r="E437" s="776"/>
      <c r="F437" s="777"/>
      <c r="G437" s="959"/>
      <c r="H437" s="779">
        <f>SUM(H408:H436)</f>
        <v>230048</v>
      </c>
      <c r="I437" s="778"/>
      <c r="J437" s="779">
        <f>SUM(J408:J436)</f>
        <v>115441</v>
      </c>
      <c r="K437" s="779">
        <f>SUM(K408:K436)</f>
        <v>345489</v>
      </c>
      <c r="L437" s="777"/>
    </row>
    <row r="438" spans="1:21" s="714" customFormat="1" ht="24" customHeight="1">
      <c r="A438" s="986" t="s">
        <v>1263</v>
      </c>
      <c r="B438" s="816" t="s">
        <v>1370</v>
      </c>
      <c r="C438" s="987"/>
      <c r="D438" s="707"/>
      <c r="E438" s="708"/>
      <c r="F438" s="709"/>
      <c r="G438" s="853"/>
      <c r="H438" s="854"/>
      <c r="I438" s="855"/>
      <c r="J438" s="854"/>
      <c r="K438" s="855"/>
      <c r="L438" s="988"/>
    </row>
    <row r="439" spans="1:21" s="714" customFormat="1" ht="24" customHeight="1">
      <c r="A439" s="989" t="s">
        <v>2994</v>
      </c>
      <c r="B439" s="720" t="s">
        <v>2983</v>
      </c>
      <c r="C439" s="706"/>
      <c r="D439" s="990"/>
      <c r="E439" s="721">
        <v>1</v>
      </c>
      <c r="F439" s="722" t="s">
        <v>240</v>
      </c>
      <c r="G439" s="795">
        <v>45000</v>
      </c>
      <c r="H439" s="796">
        <f>ROUND(E439*G439,)</f>
        <v>45000</v>
      </c>
      <c r="I439" s="797"/>
      <c r="J439" s="796">
        <f>ROUND(I439*E439,)</f>
        <v>0</v>
      </c>
      <c r="K439" s="797">
        <f>H439+J439</f>
        <v>45000</v>
      </c>
      <c r="L439" s="830"/>
      <c r="M439" s="729"/>
      <c r="N439" s="729"/>
      <c r="O439" s="729"/>
      <c r="P439" s="729"/>
      <c r="Q439" s="729"/>
      <c r="R439" s="729"/>
      <c r="S439" s="729"/>
      <c r="T439" s="729"/>
      <c r="U439" s="729"/>
    </row>
    <row r="440" spans="1:21" s="714" customFormat="1" ht="24" customHeight="1">
      <c r="A440" s="989" t="s">
        <v>2999</v>
      </c>
      <c r="B440" s="720" t="s">
        <v>2985</v>
      </c>
      <c r="C440" s="706"/>
      <c r="D440" s="990"/>
      <c r="E440" s="721">
        <v>1</v>
      </c>
      <c r="F440" s="722" t="s">
        <v>240</v>
      </c>
      <c r="G440" s="795">
        <v>7500</v>
      </c>
      <c r="H440" s="796">
        <f>ROUND(E440*G440,)</f>
        <v>7500</v>
      </c>
      <c r="I440" s="797"/>
      <c r="J440" s="796">
        <f>ROUND(I440*E440,)</f>
        <v>0</v>
      </c>
      <c r="K440" s="797">
        <f>H440+J440</f>
        <v>7500</v>
      </c>
      <c r="L440" s="830"/>
      <c r="M440" s="729"/>
      <c r="N440" s="729"/>
      <c r="O440" s="729"/>
      <c r="P440" s="729"/>
      <c r="Q440" s="729"/>
      <c r="R440" s="729"/>
      <c r="S440" s="729"/>
      <c r="T440" s="729"/>
      <c r="U440" s="729"/>
    </row>
    <row r="441" spans="1:21" s="714" customFormat="1" ht="24" customHeight="1">
      <c r="A441" s="989" t="s">
        <v>3001</v>
      </c>
      <c r="B441" s="720" t="s">
        <v>3018</v>
      </c>
      <c r="C441" s="706"/>
      <c r="D441" s="990"/>
      <c r="E441" s="721">
        <v>1</v>
      </c>
      <c r="F441" s="722" t="s">
        <v>240</v>
      </c>
      <c r="G441" s="795">
        <v>18525</v>
      </c>
      <c r="H441" s="796">
        <f>ROUND(E441*G441,)</f>
        <v>18525</v>
      </c>
      <c r="I441" s="797"/>
      <c r="J441" s="796">
        <f>ROUND(I441*E441,)</f>
        <v>0</v>
      </c>
      <c r="K441" s="797">
        <f>H441+J441</f>
        <v>18525</v>
      </c>
      <c r="L441" s="830"/>
      <c r="M441" s="729"/>
      <c r="N441" s="729"/>
      <c r="O441" s="729"/>
      <c r="P441" s="729"/>
      <c r="Q441" s="729"/>
      <c r="R441" s="729"/>
      <c r="S441" s="729"/>
      <c r="T441" s="729"/>
      <c r="U441" s="729"/>
    </row>
    <row r="442" spans="1:21" s="714" customFormat="1" ht="24" customHeight="1">
      <c r="A442" s="989" t="s">
        <v>3007</v>
      </c>
      <c r="B442" s="720" t="s">
        <v>3019</v>
      </c>
      <c r="C442" s="706"/>
      <c r="D442" s="990"/>
      <c r="E442" s="721">
        <v>1</v>
      </c>
      <c r="F442" s="722" t="s">
        <v>240</v>
      </c>
      <c r="G442" s="795">
        <v>60000</v>
      </c>
      <c r="H442" s="796">
        <f>ROUND(E442*G442,)</f>
        <v>60000</v>
      </c>
      <c r="I442" s="797"/>
      <c r="J442" s="796">
        <f>ROUND(I442*E442,)</f>
        <v>0</v>
      </c>
      <c r="K442" s="797">
        <f>H442+J442</f>
        <v>60000</v>
      </c>
      <c r="L442" s="830"/>
      <c r="M442" s="729"/>
      <c r="N442" s="729"/>
      <c r="O442" s="729"/>
      <c r="P442" s="729"/>
      <c r="Q442" s="729"/>
      <c r="R442" s="729"/>
      <c r="S442" s="729"/>
      <c r="T442" s="729"/>
      <c r="U442" s="729"/>
    </row>
    <row r="443" spans="1:21" s="886" customFormat="1" ht="24" customHeight="1">
      <c r="A443" s="2268" t="s">
        <v>3011</v>
      </c>
      <c r="B443" s="720" t="s">
        <v>3020</v>
      </c>
      <c r="C443" s="706"/>
      <c r="D443" s="990"/>
      <c r="E443" s="721"/>
      <c r="F443" s="722"/>
      <c r="G443" s="795"/>
      <c r="H443" s="796"/>
      <c r="I443" s="797"/>
      <c r="J443" s="796"/>
      <c r="K443" s="797"/>
      <c r="L443" s="885"/>
      <c r="M443" s="1482"/>
      <c r="N443" s="1482"/>
      <c r="O443" s="1482"/>
      <c r="P443" s="1482"/>
      <c r="Q443" s="1482"/>
      <c r="R443" s="1482"/>
      <c r="S443" s="1482"/>
      <c r="T443" s="1482"/>
      <c r="U443" s="1482"/>
    </row>
    <row r="444" spans="1:21" s="886" customFormat="1" ht="24" customHeight="1">
      <c r="A444" s="2269"/>
      <c r="B444" s="720" t="s">
        <v>2996</v>
      </c>
      <c r="C444" s="706"/>
      <c r="D444" s="990"/>
      <c r="E444" s="721">
        <v>1</v>
      </c>
      <c r="F444" s="722" t="s">
        <v>240</v>
      </c>
      <c r="G444" s="858">
        <v>68500</v>
      </c>
      <c r="H444" s="796">
        <f>ROUND(E444*G444,)</f>
        <v>68500</v>
      </c>
      <c r="I444" s="865">
        <f>ROUND(G444*0.01,)</f>
        <v>685</v>
      </c>
      <c r="J444" s="796">
        <f>ROUND(I444*E444,)</f>
        <v>685</v>
      </c>
      <c r="K444" s="797">
        <f>H444+J444</f>
        <v>69185</v>
      </c>
      <c r="L444" s="885"/>
      <c r="M444" s="1482"/>
      <c r="N444" s="1482"/>
      <c r="O444" s="1482"/>
      <c r="P444" s="1482"/>
      <c r="Q444" s="1482"/>
      <c r="R444" s="1482"/>
      <c r="S444" s="1482"/>
      <c r="T444" s="1482"/>
      <c r="U444" s="1482"/>
    </row>
    <row r="445" spans="1:21" s="886" customFormat="1" ht="24" customHeight="1">
      <c r="A445" s="2269"/>
      <c r="B445" s="720" t="s">
        <v>1614</v>
      </c>
      <c r="C445" s="706"/>
      <c r="D445" s="990"/>
      <c r="E445" s="721">
        <v>1</v>
      </c>
      <c r="F445" s="722" t="s">
        <v>240</v>
      </c>
      <c r="G445" s="795">
        <v>3598</v>
      </c>
      <c r="H445" s="796">
        <f>ROUND(E445*G445,)</f>
        <v>3598</v>
      </c>
      <c r="I445" s="865">
        <f>ROUND(G445*0.01,)</f>
        <v>36</v>
      </c>
      <c r="J445" s="796">
        <f>ROUND(I445*E445,)</f>
        <v>36</v>
      </c>
      <c r="K445" s="797">
        <f>H445+J445</f>
        <v>3634</v>
      </c>
      <c r="L445" s="885"/>
      <c r="M445" s="1482"/>
      <c r="N445" s="1482"/>
      <c r="O445" s="1482"/>
      <c r="P445" s="1482"/>
      <c r="Q445" s="1482"/>
      <c r="R445" s="1482"/>
      <c r="S445" s="1482"/>
      <c r="T445" s="1482"/>
      <c r="U445" s="1482"/>
    </row>
    <row r="446" spans="1:21" s="886" customFormat="1" ht="24" customHeight="1">
      <c r="A446" s="2269"/>
      <c r="B446" s="720" t="s">
        <v>2997</v>
      </c>
      <c r="C446" s="706"/>
      <c r="D446" s="990"/>
      <c r="E446" s="721">
        <v>24</v>
      </c>
      <c r="F446" s="722" t="s">
        <v>240</v>
      </c>
      <c r="G446" s="795">
        <v>245</v>
      </c>
      <c r="H446" s="796">
        <f>ROUND(E446*G446,)</f>
        <v>5880</v>
      </c>
      <c r="I446" s="865">
        <f>ROUND(G446*0.01,)</f>
        <v>2</v>
      </c>
      <c r="J446" s="796">
        <f>ROUND(I446*E446,)</f>
        <v>48</v>
      </c>
      <c r="K446" s="797">
        <f>H446+J446</f>
        <v>5928</v>
      </c>
      <c r="L446" s="885"/>
      <c r="M446" s="1482"/>
      <c r="N446" s="1482"/>
      <c r="O446" s="1482"/>
      <c r="P446" s="1482"/>
      <c r="Q446" s="1482"/>
      <c r="R446" s="1482"/>
      <c r="S446" s="1482"/>
      <c r="T446" s="1482"/>
      <c r="U446" s="1482"/>
    </row>
    <row r="447" spans="1:21" s="886" customFormat="1" ht="24" customHeight="1">
      <c r="A447" s="2269"/>
      <c r="B447" s="720" t="s">
        <v>2998</v>
      </c>
      <c r="C447" s="706"/>
      <c r="D447" s="990"/>
      <c r="E447" s="721"/>
      <c r="F447" s="722" t="s">
        <v>240</v>
      </c>
      <c r="G447" s="795">
        <v>22500</v>
      </c>
      <c r="H447" s="796">
        <f>ROUND(E447*G447,)</f>
        <v>0</v>
      </c>
      <c r="I447" s="865">
        <f>ROUND(G447*0.01,)</f>
        <v>225</v>
      </c>
      <c r="J447" s="796">
        <f>ROUND(I447*E447,)</f>
        <v>0</v>
      </c>
      <c r="K447" s="797">
        <f>H447+J447</f>
        <v>0</v>
      </c>
      <c r="L447" s="885"/>
      <c r="M447" s="1482"/>
      <c r="N447" s="1482"/>
      <c r="O447" s="1482"/>
      <c r="P447" s="1482"/>
      <c r="Q447" s="1482"/>
      <c r="R447" s="1482"/>
      <c r="S447" s="1482"/>
      <c r="T447" s="1482"/>
      <c r="U447" s="1482"/>
    </row>
    <row r="448" spans="1:21" s="886" customFormat="1" ht="24" customHeight="1">
      <c r="A448" s="2268" t="s">
        <v>3012</v>
      </c>
      <c r="B448" s="720" t="s">
        <v>3000</v>
      </c>
      <c r="C448" s="706"/>
      <c r="D448" s="990"/>
      <c r="E448" s="721"/>
      <c r="F448" s="722"/>
      <c r="G448" s="795"/>
      <c r="H448" s="796"/>
      <c r="I448" s="797"/>
      <c r="J448" s="796"/>
      <c r="K448" s="797"/>
      <c r="L448" s="885"/>
      <c r="M448" s="1482"/>
      <c r="N448" s="1482"/>
      <c r="O448" s="1482"/>
      <c r="P448" s="1482"/>
      <c r="Q448" s="1482"/>
      <c r="R448" s="1482"/>
      <c r="S448" s="1482"/>
      <c r="T448" s="1482"/>
      <c r="U448" s="1482"/>
    </row>
    <row r="449" spans="1:21" s="886" customFormat="1" ht="24" customHeight="1">
      <c r="A449" s="2269"/>
      <c r="B449" s="720" t="s">
        <v>2996</v>
      </c>
      <c r="C449" s="706"/>
      <c r="D449" s="990"/>
      <c r="E449" s="721">
        <v>1</v>
      </c>
      <c r="F449" s="722" t="s">
        <v>240</v>
      </c>
      <c r="G449" s="858">
        <v>68500</v>
      </c>
      <c r="H449" s="796">
        <f>ROUND(E449*G449,)</f>
        <v>68500</v>
      </c>
      <c r="I449" s="865">
        <f>ROUND(G449*0.01,)</f>
        <v>685</v>
      </c>
      <c r="J449" s="796">
        <f>ROUND(I449*E449,)</f>
        <v>685</v>
      </c>
      <c r="K449" s="797">
        <f>H449+J449</f>
        <v>69185</v>
      </c>
      <c r="L449" s="885"/>
      <c r="M449" s="1482"/>
      <c r="N449" s="1482"/>
      <c r="O449" s="1482"/>
      <c r="P449" s="1482"/>
      <c r="Q449" s="1482"/>
      <c r="R449" s="1482"/>
      <c r="S449" s="1482"/>
      <c r="T449" s="1482"/>
      <c r="U449" s="1482"/>
    </row>
    <row r="450" spans="1:21" s="886" customFormat="1" ht="24" customHeight="1">
      <c r="A450" s="2269"/>
      <c r="B450" s="720" t="s">
        <v>1614</v>
      </c>
      <c r="C450" s="706"/>
      <c r="D450" s="990"/>
      <c r="E450" s="721">
        <v>1</v>
      </c>
      <c r="F450" s="722" t="s">
        <v>240</v>
      </c>
      <c r="G450" s="795">
        <v>3598</v>
      </c>
      <c r="H450" s="796">
        <f>ROUND(E450*G450,)</f>
        <v>3598</v>
      </c>
      <c r="I450" s="865">
        <f>ROUND(G450*0.01,)</f>
        <v>36</v>
      </c>
      <c r="J450" s="796">
        <f>ROUND(I450*E450,)</f>
        <v>36</v>
      </c>
      <c r="K450" s="797">
        <f>H450+J450</f>
        <v>3634</v>
      </c>
      <c r="L450" s="885"/>
      <c r="M450" s="1482"/>
      <c r="N450" s="1482"/>
      <c r="O450" s="1482"/>
      <c r="P450" s="1482"/>
      <c r="Q450" s="1482"/>
      <c r="R450" s="1482"/>
      <c r="S450" s="1482"/>
      <c r="T450" s="1482"/>
      <c r="U450" s="1482"/>
    </row>
    <row r="451" spans="1:21" s="886" customFormat="1" ht="24" customHeight="1">
      <c r="A451" s="2269"/>
      <c r="B451" s="720" t="s">
        <v>2997</v>
      </c>
      <c r="C451" s="706"/>
      <c r="D451" s="990"/>
      <c r="E451" s="721">
        <v>24</v>
      </c>
      <c r="F451" s="722" t="s">
        <v>240</v>
      </c>
      <c r="G451" s="795">
        <v>245</v>
      </c>
      <c r="H451" s="796">
        <f>ROUND(E451*G451,)</f>
        <v>5880</v>
      </c>
      <c r="I451" s="865">
        <f>ROUND(G451*0.01,)</f>
        <v>2</v>
      </c>
      <c r="J451" s="796">
        <f>ROUND(I451*E451,)</f>
        <v>48</v>
      </c>
      <c r="K451" s="797">
        <f>H451+J451</f>
        <v>5928</v>
      </c>
      <c r="L451" s="885"/>
      <c r="M451" s="1482"/>
      <c r="N451" s="1482"/>
      <c r="O451" s="1482"/>
      <c r="P451" s="1482"/>
      <c r="Q451" s="1482"/>
      <c r="R451" s="1482"/>
      <c r="S451" s="1482"/>
      <c r="T451" s="1482"/>
      <c r="U451" s="1482"/>
    </row>
    <row r="452" spans="1:21" s="886" customFormat="1" ht="24" customHeight="1">
      <c r="A452" s="2269"/>
      <c r="B452" s="720" t="s">
        <v>2998</v>
      </c>
      <c r="C452" s="706"/>
      <c r="D452" s="990"/>
      <c r="E452" s="721"/>
      <c r="F452" s="722" t="s">
        <v>240</v>
      </c>
      <c r="G452" s="795">
        <v>22500</v>
      </c>
      <c r="H452" s="796">
        <f>ROUND(E452*G452,)</f>
        <v>0</v>
      </c>
      <c r="I452" s="865">
        <f>ROUND(G452*0.01,)</f>
        <v>225</v>
      </c>
      <c r="J452" s="796">
        <f>ROUND(I452*E452,)</f>
        <v>0</v>
      </c>
      <c r="K452" s="797">
        <f>H452+J452</f>
        <v>0</v>
      </c>
      <c r="L452" s="885"/>
      <c r="M452" s="1482"/>
      <c r="N452" s="1482"/>
      <c r="O452" s="1482"/>
      <c r="P452" s="1482"/>
      <c r="Q452" s="1482"/>
      <c r="R452" s="1482"/>
      <c r="S452" s="1482"/>
      <c r="T452" s="1482"/>
      <c r="U452" s="1482"/>
    </row>
    <row r="453" spans="1:21" s="714" customFormat="1" ht="24" customHeight="1">
      <c r="A453" s="989" t="s">
        <v>3013</v>
      </c>
      <c r="B453" s="720" t="s">
        <v>1235</v>
      </c>
      <c r="C453" s="706"/>
      <c r="D453" s="990"/>
      <c r="E453" s="721"/>
      <c r="F453" s="722"/>
      <c r="G453" s="795"/>
      <c r="H453" s="796"/>
      <c r="I453" s="797"/>
      <c r="J453" s="796"/>
      <c r="K453" s="797"/>
      <c r="L453" s="830"/>
      <c r="M453" s="729"/>
      <c r="N453" s="729"/>
      <c r="O453" s="729"/>
      <c r="P453" s="729"/>
      <c r="Q453" s="729"/>
      <c r="R453" s="729"/>
      <c r="S453" s="729"/>
      <c r="T453" s="729"/>
      <c r="U453" s="729"/>
    </row>
    <row r="454" spans="1:21" s="714" customFormat="1" ht="24" customHeight="1">
      <c r="A454" s="995"/>
      <c r="B454" s="720" t="s">
        <v>1249</v>
      </c>
      <c r="C454" s="717"/>
      <c r="D454" s="717"/>
      <c r="E454" s="942">
        <v>700</v>
      </c>
      <c r="F454" s="794" t="s">
        <v>438</v>
      </c>
      <c r="G454" s="806">
        <v>27</v>
      </c>
      <c r="H454" s="796">
        <f>ROUND(E454*G454,)</f>
        <v>18900</v>
      </c>
      <c r="I454" s="807">
        <v>12</v>
      </c>
      <c r="J454" s="796">
        <f>ROUND(E454*I454,)</f>
        <v>8400</v>
      </c>
      <c r="K454" s="914">
        <f>H454+J454</f>
        <v>27300</v>
      </c>
      <c r="L454" s="830"/>
      <c r="M454" s="729"/>
      <c r="N454" s="729"/>
      <c r="O454" s="729"/>
      <c r="P454" s="729"/>
      <c r="Q454" s="729"/>
      <c r="R454" s="729"/>
      <c r="S454" s="729"/>
      <c r="T454" s="729"/>
      <c r="U454" s="729"/>
    </row>
    <row r="455" spans="1:21" s="714" customFormat="1" ht="24" customHeight="1">
      <c r="A455" s="831"/>
      <c r="B455" s="720" t="s">
        <v>947</v>
      </c>
      <c r="C455" s="717"/>
      <c r="D455" s="717"/>
      <c r="E455" s="942">
        <v>1</v>
      </c>
      <c r="F455" s="916" t="s">
        <v>948</v>
      </c>
      <c r="G455" s="806">
        <f>ROUND(SUM(H454)*5%,0)</f>
        <v>945</v>
      </c>
      <c r="H455" s="796">
        <f>ROUND(E455*G455,)</f>
        <v>945</v>
      </c>
      <c r="I455" s="807">
        <f>ROUND(G455*0.3,0)</f>
        <v>284</v>
      </c>
      <c r="J455" s="796">
        <f>ROUND(E455*I455,)</f>
        <v>284</v>
      </c>
      <c r="K455" s="914">
        <f>H455+J455</f>
        <v>1229</v>
      </c>
      <c r="L455" s="920"/>
    </row>
    <row r="456" spans="1:21" s="714" customFormat="1" ht="24" customHeight="1">
      <c r="A456" s="989" t="s">
        <v>3014</v>
      </c>
      <c r="B456" s="720" t="s">
        <v>1378</v>
      </c>
      <c r="C456" s="706"/>
      <c r="D456" s="990"/>
      <c r="E456" s="721"/>
      <c r="F456" s="722"/>
      <c r="G456" s="795"/>
      <c r="H456" s="796"/>
      <c r="I456" s="797"/>
      <c r="J456" s="796"/>
      <c r="K456" s="797"/>
      <c r="L456" s="830"/>
      <c r="M456" s="729"/>
      <c r="N456" s="729"/>
      <c r="O456" s="729"/>
      <c r="P456" s="729"/>
      <c r="Q456" s="729"/>
      <c r="R456" s="729"/>
      <c r="S456" s="729"/>
      <c r="T456" s="729"/>
      <c r="U456" s="729"/>
    </row>
    <row r="457" spans="1:21" s="714" customFormat="1" ht="24" customHeight="1">
      <c r="A457" s="995"/>
      <c r="B457" s="720" t="s">
        <v>1379</v>
      </c>
      <c r="C457" s="706"/>
      <c r="D457" s="990"/>
      <c r="E457" s="721">
        <v>25</v>
      </c>
      <c r="F457" s="722" t="s">
        <v>438</v>
      </c>
      <c r="G457" s="795">
        <v>37</v>
      </c>
      <c r="H457" s="796">
        <f>ROUND(E457*G457,)</f>
        <v>925</v>
      </c>
      <c r="I457" s="797">
        <v>5</v>
      </c>
      <c r="J457" s="796">
        <f>ROUND(I457*E457,)</f>
        <v>125</v>
      </c>
      <c r="K457" s="797">
        <f>H457+I457</f>
        <v>930</v>
      </c>
      <c r="L457" s="830"/>
      <c r="M457" s="729"/>
      <c r="N457" s="729"/>
      <c r="O457" s="729"/>
      <c r="P457" s="729"/>
      <c r="Q457" s="729"/>
      <c r="R457" s="729"/>
      <c r="S457" s="729"/>
      <c r="T457" s="729"/>
      <c r="U457" s="729"/>
    </row>
    <row r="458" spans="1:21" s="714" customFormat="1" ht="24" customHeight="1">
      <c r="A458" s="2269"/>
      <c r="B458" s="720" t="s">
        <v>947</v>
      </c>
      <c r="C458" s="706"/>
      <c r="D458" s="990"/>
      <c r="E458" s="721">
        <v>1</v>
      </c>
      <c r="F458" s="722" t="s">
        <v>948</v>
      </c>
      <c r="G458" s="795">
        <f>ROUND(SUM(H457)*5%,0)</f>
        <v>46</v>
      </c>
      <c r="H458" s="796">
        <f>ROUND(E458*G458,)</f>
        <v>46</v>
      </c>
      <c r="I458" s="865">
        <f>ROUND(G458*0.3,0)</f>
        <v>14</v>
      </c>
      <c r="J458" s="796">
        <f>ROUND(E458*I458,)</f>
        <v>14</v>
      </c>
      <c r="K458" s="797">
        <f>H458+J458</f>
        <v>60</v>
      </c>
      <c r="L458" s="885"/>
    </row>
    <row r="459" spans="1:21" s="714" customFormat="1" ht="24" customHeight="1">
      <c r="A459" s="2269" t="s">
        <v>3015</v>
      </c>
      <c r="B459" s="720" t="s">
        <v>1357</v>
      </c>
      <c r="C459" s="706"/>
      <c r="D459" s="990"/>
      <c r="E459" s="721"/>
      <c r="F459" s="722"/>
      <c r="G459" s="795"/>
      <c r="H459" s="796"/>
      <c r="I459" s="865"/>
      <c r="J459" s="796"/>
      <c r="K459" s="797"/>
      <c r="L459" s="885"/>
      <c r="M459" s="729"/>
      <c r="N459" s="729"/>
      <c r="O459" s="729"/>
      <c r="P459" s="729"/>
      <c r="Q459" s="729"/>
      <c r="R459" s="729"/>
      <c r="S459" s="729"/>
      <c r="T459" s="729"/>
      <c r="U459" s="729"/>
    </row>
    <row r="460" spans="1:21" s="714" customFormat="1" ht="24" customHeight="1">
      <c r="A460" s="2269"/>
      <c r="B460" s="720" t="s">
        <v>1201</v>
      </c>
      <c r="C460" s="706"/>
      <c r="D460" s="990"/>
      <c r="E460" s="721">
        <v>25</v>
      </c>
      <c r="F460" s="722" t="s">
        <v>438</v>
      </c>
      <c r="G460" s="795">
        <v>27</v>
      </c>
      <c r="H460" s="796">
        <f t="shared" ref="H460" si="124">ROUND(E460*G460,)</f>
        <v>675</v>
      </c>
      <c r="I460" s="865">
        <v>22</v>
      </c>
      <c r="J460" s="796">
        <f t="shared" ref="J460" si="125">ROUND(E460*I460,)</f>
        <v>550</v>
      </c>
      <c r="K460" s="797">
        <f t="shared" ref="K460" si="126">H460+J460</f>
        <v>1225</v>
      </c>
      <c r="L460" s="885"/>
      <c r="M460" s="729"/>
      <c r="N460" s="729"/>
      <c r="O460" s="729"/>
      <c r="P460" s="729"/>
      <c r="Q460" s="729"/>
      <c r="R460" s="729"/>
      <c r="S460" s="729"/>
      <c r="T460" s="729"/>
      <c r="U460" s="729"/>
    </row>
    <row r="461" spans="1:21" s="714" customFormat="1" ht="24" customHeight="1">
      <c r="A461" s="989"/>
      <c r="B461" s="720" t="s">
        <v>1237</v>
      </c>
      <c r="C461" s="706"/>
      <c r="D461" s="990"/>
      <c r="E461" s="721">
        <v>1</v>
      </c>
      <c r="F461" s="722" t="s">
        <v>948</v>
      </c>
      <c r="G461" s="795">
        <f>ROUND(SUM(H460)*15%,0)</f>
        <v>101</v>
      </c>
      <c r="H461" s="796">
        <f>ROUND(E461*G461,)</f>
        <v>101</v>
      </c>
      <c r="I461" s="797">
        <f>ROUND(G461*0.3,0)</f>
        <v>30</v>
      </c>
      <c r="J461" s="796">
        <f>ROUND(I461*E461,)</f>
        <v>30</v>
      </c>
      <c r="K461" s="797">
        <f>H461+I461</f>
        <v>131</v>
      </c>
      <c r="L461" s="830"/>
      <c r="M461" s="729"/>
      <c r="N461" s="729"/>
      <c r="O461" s="729"/>
      <c r="P461" s="729"/>
      <c r="Q461" s="729"/>
      <c r="R461" s="729"/>
      <c r="S461" s="729"/>
      <c r="T461" s="729"/>
      <c r="U461" s="729"/>
    </row>
    <row r="462" spans="1:21" s="714" customFormat="1" ht="24" customHeight="1">
      <c r="A462" s="995" t="s">
        <v>3068</v>
      </c>
      <c r="B462" s="720" t="s">
        <v>950</v>
      </c>
      <c r="C462" s="717"/>
      <c r="D462" s="717"/>
      <c r="E462" s="942"/>
      <c r="F462" s="794"/>
      <c r="G462" s="806"/>
      <c r="H462" s="796"/>
      <c r="I462" s="807"/>
      <c r="J462" s="796"/>
      <c r="K462" s="914"/>
      <c r="L462" s="830"/>
      <c r="M462" s="729"/>
      <c r="N462" s="729"/>
      <c r="O462" s="729"/>
      <c r="P462" s="729"/>
      <c r="Q462" s="729"/>
      <c r="R462" s="729"/>
      <c r="S462" s="729"/>
      <c r="T462" s="729"/>
      <c r="U462" s="729"/>
    </row>
    <row r="463" spans="1:21" s="714" customFormat="1" ht="24" customHeight="1">
      <c r="A463" s="831"/>
      <c r="B463" s="720" t="s">
        <v>1201</v>
      </c>
      <c r="C463" s="717"/>
      <c r="D463" s="717"/>
      <c r="E463" s="942"/>
      <c r="F463" s="916" t="s">
        <v>438</v>
      </c>
      <c r="G463" s="806">
        <v>54</v>
      </c>
      <c r="H463" s="796">
        <f>ROUND(E463*G463,)</f>
        <v>0</v>
      </c>
      <c r="I463" s="807">
        <v>26</v>
      </c>
      <c r="J463" s="796">
        <f t="shared" ref="J463" si="127">ROUND(E463*I463,)</f>
        <v>0</v>
      </c>
      <c r="K463" s="914">
        <f t="shared" ref="K463" si="128">H463+J463</f>
        <v>0</v>
      </c>
      <c r="L463" s="920"/>
      <c r="M463" s="729"/>
      <c r="N463" s="729"/>
      <c r="O463" s="729"/>
      <c r="P463" s="729"/>
      <c r="Q463" s="729"/>
      <c r="R463" s="729"/>
      <c r="S463" s="729"/>
      <c r="T463" s="729"/>
      <c r="U463" s="729"/>
    </row>
    <row r="464" spans="1:21" s="714" customFormat="1" ht="24" customHeight="1">
      <c r="A464" s="989"/>
      <c r="B464" s="720" t="s">
        <v>1237</v>
      </c>
      <c r="C464" s="706"/>
      <c r="D464" s="990"/>
      <c r="E464" s="721">
        <v>1</v>
      </c>
      <c r="F464" s="722" t="s">
        <v>948</v>
      </c>
      <c r="G464" s="795">
        <f>ROUND(SUM(H463)*15%,0)</f>
        <v>0</v>
      </c>
      <c r="H464" s="796">
        <f>ROUND(E464*G464,)</f>
        <v>0</v>
      </c>
      <c r="I464" s="797">
        <f>ROUND(G464*0.3,0)</f>
        <v>0</v>
      </c>
      <c r="J464" s="796">
        <f>ROUND(I464*E464,)</f>
        <v>0</v>
      </c>
      <c r="K464" s="797">
        <f>H464+I464</f>
        <v>0</v>
      </c>
      <c r="L464" s="830"/>
      <c r="M464" s="729"/>
      <c r="N464" s="729"/>
      <c r="O464" s="729"/>
      <c r="P464" s="729"/>
      <c r="Q464" s="729"/>
      <c r="R464" s="729"/>
      <c r="S464" s="729"/>
      <c r="T464" s="729"/>
      <c r="U464" s="729"/>
    </row>
    <row r="465" spans="1:21" s="714" customFormat="1" ht="24" customHeight="1">
      <c r="A465" s="2269"/>
      <c r="B465" s="720"/>
      <c r="C465" s="706"/>
      <c r="D465" s="990"/>
      <c r="E465" s="721"/>
      <c r="F465" s="722"/>
      <c r="G465" s="795"/>
      <c r="H465" s="796"/>
      <c r="I465" s="865"/>
      <c r="J465" s="796"/>
      <c r="K465" s="797"/>
      <c r="L465" s="885"/>
      <c r="M465" s="729"/>
      <c r="N465" s="729"/>
      <c r="O465" s="729"/>
      <c r="P465" s="729"/>
      <c r="Q465" s="729"/>
      <c r="R465" s="729"/>
      <c r="S465" s="729"/>
      <c r="T465" s="729"/>
      <c r="U465" s="729"/>
    </row>
    <row r="466" spans="1:21" s="714" customFormat="1" ht="24" customHeight="1">
      <c r="A466" s="2269"/>
      <c r="B466" s="720"/>
      <c r="C466" s="706"/>
      <c r="D466" s="990"/>
      <c r="E466" s="721"/>
      <c r="F466" s="722"/>
      <c r="G466" s="795"/>
      <c r="H466" s="796"/>
      <c r="I466" s="865"/>
      <c r="J466" s="796"/>
      <c r="K466" s="797"/>
      <c r="L466" s="885"/>
      <c r="M466" s="729"/>
      <c r="N466" s="729"/>
      <c r="O466" s="729"/>
      <c r="P466" s="729"/>
      <c r="Q466" s="729"/>
      <c r="R466" s="729"/>
      <c r="S466" s="729"/>
      <c r="T466" s="729"/>
      <c r="U466" s="729"/>
    </row>
    <row r="467" spans="1:21" s="714" customFormat="1" ht="24" customHeight="1">
      <c r="A467" s="2269" t="s">
        <v>3069</v>
      </c>
      <c r="B467" s="720" t="s">
        <v>1252</v>
      </c>
      <c r="C467" s="706"/>
      <c r="D467" s="990"/>
      <c r="E467" s="721"/>
      <c r="F467" s="722"/>
      <c r="G467" s="795"/>
      <c r="H467" s="796"/>
      <c r="I467" s="865"/>
      <c r="J467" s="796"/>
      <c r="K467" s="797"/>
      <c r="L467" s="885"/>
    </row>
    <row r="468" spans="1:21" s="714" customFormat="1" ht="24" customHeight="1">
      <c r="A468" s="989"/>
      <c r="B468" s="720" t="s">
        <v>2991</v>
      </c>
      <c r="C468" s="706"/>
      <c r="D468" s="990"/>
      <c r="E468" s="721"/>
      <c r="F468" s="722" t="s">
        <v>438</v>
      </c>
      <c r="G468" s="795">
        <v>247</v>
      </c>
      <c r="H468" s="796">
        <f>ROUND(E468*G468,)</f>
        <v>0</v>
      </c>
      <c r="I468" s="797">
        <v>40</v>
      </c>
      <c r="J468" s="796">
        <f>ROUND(E468*I468,)</f>
        <v>0</v>
      </c>
      <c r="K468" s="797">
        <f>H468+J468</f>
        <v>0</v>
      </c>
      <c r="L468" s="830"/>
    </row>
    <row r="469" spans="1:21" s="714" customFormat="1" ht="24" customHeight="1">
      <c r="A469" s="995"/>
      <c r="B469" s="720" t="s">
        <v>1237</v>
      </c>
      <c r="C469" s="717"/>
      <c r="D469" s="717"/>
      <c r="E469" s="942">
        <v>1</v>
      </c>
      <c r="F469" s="794" t="s">
        <v>948</v>
      </c>
      <c r="G469" s="806">
        <f>ROUND(SUM(H468)*15%,0)</f>
        <v>0</v>
      </c>
      <c r="H469" s="796">
        <f>ROUND(G469*E469,)</f>
        <v>0</v>
      </c>
      <c r="I469" s="807">
        <f>ROUND(G469*0.3,0)</f>
        <v>0</v>
      </c>
      <c r="J469" s="796">
        <f t="shared" ref="J469" si="129">ROUND(E469*I469,)</f>
        <v>0</v>
      </c>
      <c r="K469" s="914">
        <f t="shared" ref="K469" si="130">H469+J469</f>
        <v>0</v>
      </c>
      <c r="L469" s="830"/>
    </row>
    <row r="470" spans="1:21" s="714" customFormat="1" ht="24" customHeight="1">
      <c r="A470" s="831" t="s">
        <v>3068</v>
      </c>
      <c r="B470" s="720" t="s">
        <v>1238</v>
      </c>
      <c r="C470" s="717"/>
      <c r="D470" s="717"/>
      <c r="E470" s="942">
        <v>1</v>
      </c>
      <c r="F470" s="916" t="s">
        <v>948</v>
      </c>
      <c r="G470" s="806"/>
      <c r="H470" s="796"/>
      <c r="I470" s="807">
        <v>50000</v>
      </c>
      <c r="J470" s="796">
        <f>ROUND(I470*E470,)</f>
        <v>50000</v>
      </c>
      <c r="K470" s="914">
        <f>H470+I470</f>
        <v>50000</v>
      </c>
      <c r="L470" s="920"/>
      <c r="M470" s="729"/>
      <c r="N470" s="729"/>
      <c r="O470" s="729"/>
      <c r="P470" s="729"/>
      <c r="Q470" s="729"/>
      <c r="R470" s="729"/>
      <c r="S470" s="729"/>
      <c r="T470" s="729"/>
      <c r="U470" s="729"/>
    </row>
    <row r="471" spans="1:21" s="714" customFormat="1" ht="24" customHeight="1">
      <c r="A471" s="996"/>
      <c r="B471" s="720" t="s">
        <v>957</v>
      </c>
      <c r="C471" s="706"/>
      <c r="D471" s="990"/>
      <c r="E471" s="721"/>
      <c r="F471" s="722"/>
      <c r="G471" s="795"/>
      <c r="H471" s="796"/>
      <c r="I471" s="797"/>
      <c r="J471" s="796"/>
      <c r="K471" s="797"/>
      <c r="L471" s="830"/>
      <c r="M471" s="729"/>
      <c r="N471" s="729"/>
      <c r="O471" s="729"/>
      <c r="P471" s="729"/>
      <c r="Q471" s="729"/>
      <c r="R471" s="729"/>
      <c r="S471" s="729"/>
      <c r="T471" s="729"/>
      <c r="U471" s="729"/>
    </row>
    <row r="472" spans="1:21" s="714" customFormat="1" ht="24" customHeight="1">
      <c r="A472" s="996"/>
      <c r="B472" s="720" t="s">
        <v>958</v>
      </c>
      <c r="C472" s="706"/>
      <c r="D472" s="990"/>
      <c r="E472" s="721"/>
      <c r="F472" s="722"/>
      <c r="G472" s="795"/>
      <c r="H472" s="796"/>
      <c r="I472" s="797"/>
      <c r="J472" s="796"/>
      <c r="K472" s="797"/>
      <c r="L472" s="830"/>
      <c r="M472" s="729"/>
      <c r="N472" s="729"/>
      <c r="O472" s="729"/>
      <c r="P472" s="729"/>
      <c r="Q472" s="729"/>
      <c r="R472" s="729"/>
      <c r="S472" s="729"/>
      <c r="T472" s="729"/>
      <c r="U472" s="729"/>
    </row>
    <row r="473" spans="1:21" s="714" customFormat="1" ht="24" customHeight="1">
      <c r="A473" s="1088"/>
      <c r="B473" s="705" t="s">
        <v>958</v>
      </c>
      <c r="C473" s="1089"/>
      <c r="D473" s="1137"/>
      <c r="E473" s="2270"/>
      <c r="F473" s="763"/>
      <c r="G473" s="871"/>
      <c r="H473" s="872"/>
      <c r="I473" s="873"/>
      <c r="J473" s="872"/>
      <c r="K473" s="873"/>
      <c r="L473" s="1270"/>
      <c r="M473" s="729"/>
      <c r="N473" s="729"/>
      <c r="O473" s="729"/>
      <c r="P473" s="729"/>
      <c r="Q473" s="729"/>
      <c r="R473" s="729"/>
      <c r="S473" s="729"/>
      <c r="T473" s="729"/>
      <c r="U473" s="729"/>
    </row>
    <row r="474" spans="1:21" s="714" customFormat="1" ht="24" customHeight="1">
      <c r="A474" s="775"/>
      <c r="B474" s="2475" t="str">
        <f>"รวมราคารายการที่ "&amp;A438</f>
        <v>รวมราคารายการที่ 3.17</v>
      </c>
      <c r="C474" s="2476"/>
      <c r="D474" s="2477"/>
      <c r="E474" s="776"/>
      <c r="F474" s="777"/>
      <c r="G474" s="959"/>
      <c r="H474" s="779">
        <f>SUM(H438:H473)</f>
        <v>308573</v>
      </c>
      <c r="I474" s="778"/>
      <c r="J474" s="779">
        <f t="shared" ref="J474:K474" si="131">SUM(J438:J473)</f>
        <v>60941</v>
      </c>
      <c r="K474" s="779">
        <f t="shared" si="131"/>
        <v>369394</v>
      </c>
      <c r="L474" s="777"/>
    </row>
    <row r="475" spans="1:21" s="714" customFormat="1" ht="24" customHeight="1">
      <c r="A475" s="911" t="s">
        <v>3016</v>
      </c>
      <c r="B475" s="816" t="s">
        <v>1264</v>
      </c>
      <c r="C475" s="770"/>
      <c r="D475" s="770"/>
      <c r="E475" s="930">
        <v>1</v>
      </c>
      <c r="F475" s="931" t="s">
        <v>948</v>
      </c>
      <c r="G475" s="932">
        <v>2630000</v>
      </c>
      <c r="H475" s="933">
        <f>ROUND(E475*G475,)</f>
        <v>2630000</v>
      </c>
      <c r="I475" s="934">
        <f>G475*0.05</f>
        <v>131500</v>
      </c>
      <c r="J475" s="935">
        <f>ROUND(E475*I475,)</f>
        <v>131500</v>
      </c>
      <c r="K475" s="799">
        <f t="shared" ref="K475" si="132">H475+J475</f>
        <v>2761500</v>
      </c>
      <c r="L475" s="936"/>
    </row>
    <row r="476" spans="1:21" s="714" customFormat="1" ht="24" customHeight="1">
      <c r="A476" s="831"/>
      <c r="B476" s="720"/>
      <c r="C476" s="717"/>
      <c r="D476" s="717"/>
      <c r="E476" s="942"/>
      <c r="F476" s="916"/>
      <c r="G476" s="806"/>
      <c r="H476" s="796"/>
      <c r="I476" s="807"/>
      <c r="J476" s="796"/>
      <c r="K476" s="914"/>
      <c r="L476" s="920"/>
    </row>
    <row r="477" spans="1:21" s="714" customFormat="1" ht="24" customHeight="1">
      <c r="A477" s="831"/>
      <c r="B477" s="720"/>
      <c r="C477" s="717"/>
      <c r="D477" s="717"/>
      <c r="E477" s="942"/>
      <c r="F477" s="794"/>
      <c r="G477" s="806"/>
      <c r="H477" s="796"/>
      <c r="I477" s="807"/>
      <c r="J477" s="796"/>
      <c r="K477" s="914"/>
      <c r="L477" s="920"/>
    </row>
    <row r="478" spans="1:21" s="714" customFormat="1" ht="24" customHeight="1">
      <c r="A478" s="831"/>
      <c r="B478" s="720"/>
      <c r="C478" s="717"/>
      <c r="D478" s="717"/>
      <c r="E478" s="917"/>
      <c r="F478" s="916"/>
      <c r="G478" s="806"/>
      <c r="H478" s="796"/>
      <c r="I478" s="807"/>
      <c r="J478" s="796"/>
      <c r="K478" s="914"/>
      <c r="L478" s="920"/>
    </row>
    <row r="479" spans="1:21" s="714" customFormat="1" ht="24" customHeight="1">
      <c r="A479" s="989"/>
      <c r="B479" s="720"/>
      <c r="C479" s="706"/>
      <c r="D479" s="990"/>
      <c r="E479" s="721"/>
      <c r="F479" s="722"/>
      <c r="G479" s="795"/>
      <c r="H479" s="796"/>
      <c r="I479" s="797"/>
      <c r="J479" s="796"/>
      <c r="K479" s="797"/>
      <c r="L479" s="830"/>
    </row>
    <row r="480" spans="1:21" s="714" customFormat="1" ht="24" customHeight="1">
      <c r="A480" s="996"/>
      <c r="B480" s="720"/>
      <c r="C480" s="706"/>
      <c r="D480" s="990"/>
      <c r="E480" s="721"/>
      <c r="F480" s="722"/>
      <c r="G480" s="795"/>
      <c r="H480" s="796"/>
      <c r="I480" s="797"/>
      <c r="J480" s="796"/>
      <c r="K480" s="797"/>
      <c r="L480" s="830"/>
    </row>
    <row r="481" spans="1:12" s="714" customFormat="1" ht="24" customHeight="1">
      <c r="A481" s="996"/>
      <c r="B481" s="720"/>
      <c r="C481" s="706"/>
      <c r="D481" s="990"/>
      <c r="E481" s="721"/>
      <c r="F481" s="722"/>
      <c r="G481" s="795"/>
      <c r="H481" s="796"/>
      <c r="I481" s="797"/>
      <c r="J481" s="796"/>
      <c r="K481" s="797"/>
      <c r="L481" s="830"/>
    </row>
    <row r="482" spans="1:12" s="714" customFormat="1" ht="24" customHeight="1">
      <c r="A482" s="831"/>
      <c r="B482" s="720"/>
      <c r="C482" s="717"/>
      <c r="D482" s="717"/>
      <c r="E482" s="942"/>
      <c r="F482" s="916"/>
      <c r="G482" s="806"/>
      <c r="H482" s="796"/>
      <c r="I482" s="807"/>
      <c r="J482" s="796"/>
      <c r="K482" s="914"/>
      <c r="L482" s="920"/>
    </row>
    <row r="483" spans="1:12" s="714" customFormat="1" ht="24" customHeight="1">
      <c r="A483" s="831"/>
      <c r="B483" s="720"/>
      <c r="C483" s="717"/>
      <c r="D483" s="717"/>
      <c r="E483" s="942"/>
      <c r="F483" s="794"/>
      <c r="G483" s="806"/>
      <c r="H483" s="796"/>
      <c r="I483" s="807"/>
      <c r="J483" s="796"/>
      <c r="K483" s="914"/>
      <c r="L483" s="920"/>
    </row>
    <row r="484" spans="1:12" s="714" customFormat="1" ht="24" customHeight="1">
      <c r="A484" s="831"/>
      <c r="B484" s="720"/>
      <c r="C484" s="717"/>
      <c r="D484" s="717"/>
      <c r="E484" s="917"/>
      <c r="F484" s="916"/>
      <c r="G484" s="806"/>
      <c r="H484" s="796"/>
      <c r="I484" s="807"/>
      <c r="J484" s="796"/>
      <c r="K484" s="914"/>
      <c r="L484" s="920"/>
    </row>
    <row r="485" spans="1:12" s="714" customFormat="1" ht="24" customHeight="1">
      <c r="A485" s="989"/>
      <c r="B485" s="720"/>
      <c r="C485" s="706"/>
      <c r="D485" s="990"/>
      <c r="E485" s="721"/>
      <c r="F485" s="722"/>
      <c r="G485" s="795"/>
      <c r="H485" s="796"/>
      <c r="I485" s="797"/>
      <c r="J485" s="796"/>
      <c r="K485" s="797"/>
      <c r="L485" s="830"/>
    </row>
    <row r="486" spans="1:12" s="714" customFormat="1" ht="24" customHeight="1">
      <c r="A486" s="996"/>
      <c r="B486" s="720"/>
      <c r="C486" s="706"/>
      <c r="D486" s="990"/>
      <c r="E486" s="721"/>
      <c r="F486" s="722"/>
      <c r="G486" s="795"/>
      <c r="H486" s="796"/>
      <c r="I486" s="797"/>
      <c r="J486" s="796"/>
      <c r="K486" s="797"/>
      <c r="L486" s="830"/>
    </row>
    <row r="487" spans="1:12" s="714" customFormat="1" ht="24" customHeight="1">
      <c r="A487" s="996"/>
      <c r="B487" s="720"/>
      <c r="C487" s="706"/>
      <c r="D487" s="990"/>
      <c r="E487" s="721"/>
      <c r="F487" s="722"/>
      <c r="G487" s="795"/>
      <c r="H487" s="796"/>
      <c r="I487" s="797"/>
      <c r="J487" s="796"/>
      <c r="K487" s="797"/>
      <c r="L487" s="830"/>
    </row>
    <row r="488" spans="1:12" s="714" customFormat="1" ht="24" customHeight="1">
      <c r="A488" s="831"/>
      <c r="B488" s="720"/>
      <c r="C488" s="717"/>
      <c r="D488" s="717"/>
      <c r="E488" s="942"/>
      <c r="F488" s="916"/>
      <c r="G488" s="806"/>
      <c r="H488" s="796"/>
      <c r="I488" s="807"/>
      <c r="J488" s="796"/>
      <c r="K488" s="914"/>
      <c r="L488" s="920"/>
    </row>
    <row r="489" spans="1:12" s="714" customFormat="1" ht="24" customHeight="1">
      <c r="A489" s="831"/>
      <c r="B489" s="720"/>
      <c r="C489" s="717"/>
      <c r="D489" s="717"/>
      <c r="E489" s="942"/>
      <c r="F489" s="794"/>
      <c r="G489" s="806"/>
      <c r="H489" s="796"/>
      <c r="I489" s="807"/>
      <c r="J489" s="796"/>
      <c r="K489" s="914"/>
      <c r="L489" s="920"/>
    </row>
    <row r="490" spans="1:12" s="714" customFormat="1" ht="24" customHeight="1">
      <c r="A490" s="775"/>
      <c r="B490" s="2475" t="str">
        <f>"รวมราคารายการที่ "&amp;A475</f>
        <v>รวมราคารายการที่ 3.18</v>
      </c>
      <c r="C490" s="2476"/>
      <c r="D490" s="2477"/>
      <c r="E490" s="776"/>
      <c r="F490" s="777"/>
      <c r="G490" s="778"/>
      <c r="H490" s="779">
        <f>SUM(H475:H489)</f>
        <v>2630000</v>
      </c>
      <c r="I490" s="778"/>
      <c r="J490" s="779">
        <f>SUM(J475:J489)</f>
        <v>131500</v>
      </c>
      <c r="K490" s="780">
        <f>SUM(K475:K489)</f>
        <v>2761500</v>
      </c>
      <c r="L490" s="777"/>
    </row>
  </sheetData>
  <mergeCells count="27">
    <mergeCell ref="B490:D490"/>
    <mergeCell ref="B322:D322"/>
    <mergeCell ref="B346:D346"/>
    <mergeCell ref="B370:D370"/>
    <mergeCell ref="B407:D407"/>
    <mergeCell ref="B437:D437"/>
    <mergeCell ref="B474:D474"/>
    <mergeCell ref="B298:D298"/>
    <mergeCell ref="B34:D34"/>
    <mergeCell ref="B51:D51"/>
    <mergeCell ref="B58:D58"/>
    <mergeCell ref="B68:D68"/>
    <mergeCell ref="B82:D82"/>
    <mergeCell ref="B122:D122"/>
    <mergeCell ref="B154:D154"/>
    <mergeCell ref="B178:D178"/>
    <mergeCell ref="B226:D226"/>
    <mergeCell ref="B250:D250"/>
    <mergeCell ref="B274:D274"/>
    <mergeCell ref="L7:L8"/>
    <mergeCell ref="A9:A10"/>
    <mergeCell ref="B9:D10"/>
    <mergeCell ref="E9:E10"/>
    <mergeCell ref="F9:F10"/>
    <mergeCell ref="G9:H9"/>
    <mergeCell ref="I9:J9"/>
    <mergeCell ref="L9:L10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(Main Equipment)-อาคารสนับนุน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31CA4-23E1-4EEF-906F-345A7E899452}">
  <sheetPr>
    <tabColor rgb="FFC00000"/>
  </sheetPr>
  <dimension ref="A1:U32"/>
  <sheetViews>
    <sheetView showGridLines="0" tabSelected="1" view="pageBreakPreview" topLeftCell="A16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1" width="20.703125" style="1" customWidth="1"/>
    <col min="12" max="12" width="15.703125" style="1" customWidth="1"/>
    <col min="13" max="99" width="7.703125" style="1" customWidth="1"/>
    <col min="100" max="16384" width="9" style="1"/>
  </cols>
  <sheetData>
    <row r="1" spans="1:12" ht="35.1" customHeight="1">
      <c r="A1" s="1560"/>
      <c r="B1" s="1560"/>
      <c r="C1" s="1561"/>
      <c r="D1" s="1561"/>
      <c r="E1" s="1561"/>
      <c r="F1" s="1562" t="s">
        <v>0</v>
      </c>
      <c r="G1" s="1563"/>
      <c r="H1" s="1564"/>
      <c r="I1" s="1564"/>
      <c r="J1" s="1565" t="s">
        <v>1</v>
      </c>
      <c r="K1" s="1566"/>
      <c r="L1" s="1564"/>
    </row>
    <row r="2" spans="1:12" ht="25.15" customHeight="1">
      <c r="A2" s="1567" t="s">
        <v>2</v>
      </c>
      <c r="B2" s="1568"/>
      <c r="C2" s="1569"/>
      <c r="D2" s="1570" t="s">
        <v>2668</v>
      </c>
      <c r="E2" s="1569"/>
      <c r="F2" s="1571"/>
      <c r="G2" s="1571"/>
      <c r="H2" s="1571"/>
      <c r="I2" s="1571"/>
      <c r="J2" s="1572"/>
      <c r="K2" s="1571"/>
      <c r="L2" s="1573"/>
    </row>
    <row r="3" spans="1:12" ht="25.15" customHeight="1">
      <c r="A3" s="1574" t="s">
        <v>22</v>
      </c>
      <c r="B3" s="1575"/>
      <c r="C3" s="1576"/>
      <c r="D3" s="1577"/>
      <c r="E3" s="1576"/>
      <c r="F3" s="1578"/>
      <c r="G3" s="1578"/>
      <c r="H3" s="1578"/>
      <c r="I3" s="1578"/>
      <c r="J3" s="1579"/>
      <c r="K3" s="1578"/>
      <c r="L3" s="1580"/>
    </row>
    <row r="4" spans="1:12" ht="25.15" customHeight="1">
      <c r="A4" s="1574"/>
      <c r="B4" s="1575"/>
      <c r="C4" s="1576"/>
      <c r="D4" s="41" t="s">
        <v>2970</v>
      </c>
      <c r="E4" s="1576"/>
      <c r="F4" s="1578"/>
      <c r="G4" s="1578"/>
      <c r="H4" s="1578"/>
      <c r="I4" s="1578"/>
      <c r="J4" s="1579"/>
      <c r="K4" s="1578"/>
      <c r="L4" s="1580"/>
    </row>
    <row r="5" spans="1:12" ht="25.15" customHeight="1">
      <c r="A5" s="1574" t="s">
        <v>3</v>
      </c>
      <c r="B5" s="1568"/>
      <c r="C5" s="1569"/>
      <c r="D5" s="1577" t="s">
        <v>21</v>
      </c>
      <c r="E5" s="1566"/>
      <c r="F5" s="1571"/>
      <c r="G5" s="1581" t="s">
        <v>4</v>
      </c>
      <c r="H5" s="1582"/>
      <c r="I5" s="1578"/>
      <c r="J5" s="1579"/>
      <c r="K5" s="1583"/>
      <c r="L5" s="1580"/>
    </row>
    <row r="6" spans="1:12" ht="25.15" customHeight="1">
      <c r="A6" s="1584" t="s">
        <v>20</v>
      </c>
      <c r="B6" s="1575"/>
      <c r="C6" s="1576"/>
      <c r="D6" s="1585"/>
      <c r="E6" s="1576"/>
      <c r="F6" s="1578"/>
      <c r="G6" s="1586"/>
      <c r="H6" s="1578"/>
      <c r="I6" s="1578"/>
      <c r="J6" s="1578"/>
      <c r="K6" s="1578"/>
      <c r="L6" s="1583"/>
    </row>
    <row r="7" spans="1:12" ht="25.15" customHeight="1">
      <c r="A7" s="1587" t="s">
        <v>26</v>
      </c>
      <c r="B7" s="1588"/>
      <c r="C7" s="1588"/>
      <c r="D7" s="1589"/>
      <c r="E7" s="1588"/>
      <c r="F7" s="1590" t="s">
        <v>5</v>
      </c>
      <c r="G7" s="1591"/>
      <c r="H7" s="1591" t="s">
        <v>6</v>
      </c>
      <c r="I7" s="1592"/>
      <c r="J7" s="1587" t="s">
        <v>23</v>
      </c>
      <c r="K7" s="1588"/>
      <c r="L7" s="2513" t="s">
        <v>7</v>
      </c>
    </row>
    <row r="8" spans="1:12" ht="10.15" customHeight="1">
      <c r="A8" s="1593"/>
      <c r="B8" s="1594"/>
      <c r="C8" s="1594"/>
      <c r="D8" s="303"/>
      <c r="E8" s="303"/>
      <c r="F8" s="1595"/>
      <c r="G8" s="1595"/>
      <c r="H8" s="1596"/>
      <c r="I8" s="1596"/>
      <c r="J8" s="1596"/>
      <c r="K8" s="1595"/>
      <c r="L8" s="2514"/>
    </row>
    <row r="9" spans="1:12" s="3" customFormat="1" ht="24" customHeight="1">
      <c r="A9" s="2515" t="s">
        <v>8</v>
      </c>
      <c r="B9" s="2517" t="s">
        <v>9</v>
      </c>
      <c r="C9" s="2518"/>
      <c r="D9" s="2519"/>
      <c r="E9" s="2523" t="s">
        <v>10</v>
      </c>
      <c r="F9" s="2438" t="s">
        <v>11</v>
      </c>
      <c r="G9" s="2525" t="s">
        <v>12</v>
      </c>
      <c r="H9" s="2526"/>
      <c r="I9" s="2525" t="s">
        <v>13</v>
      </c>
      <c r="J9" s="2526"/>
      <c r="K9" s="2265" t="s">
        <v>14</v>
      </c>
      <c r="L9" s="2527" t="s">
        <v>15</v>
      </c>
    </row>
    <row r="10" spans="1:12" s="3" customFormat="1" ht="24" customHeight="1">
      <c r="A10" s="2516"/>
      <c r="B10" s="2520"/>
      <c r="C10" s="2521"/>
      <c r="D10" s="2522"/>
      <c r="E10" s="2524"/>
      <c r="F10" s="2439"/>
      <c r="G10" s="1598" t="s">
        <v>16</v>
      </c>
      <c r="H10" s="1599" t="s">
        <v>17</v>
      </c>
      <c r="I10" s="1598" t="s">
        <v>16</v>
      </c>
      <c r="J10" s="1599" t="s">
        <v>17</v>
      </c>
      <c r="K10" s="2266" t="s">
        <v>18</v>
      </c>
      <c r="L10" s="2528"/>
    </row>
    <row r="11" spans="1:12" s="714" customFormat="1" ht="24" customHeight="1">
      <c r="A11" s="1601" t="s">
        <v>61</v>
      </c>
      <c r="B11" s="1602" t="s">
        <v>332</v>
      </c>
      <c r="C11" s="1603"/>
      <c r="D11" s="1210"/>
      <c r="E11" s="1150" t="s">
        <v>755</v>
      </c>
      <c r="F11" s="1150"/>
      <c r="G11" s="1604"/>
      <c r="H11" s="1001"/>
      <c r="I11" s="1002"/>
      <c r="J11" s="1001"/>
      <c r="K11" s="1001"/>
      <c r="L11" s="1605"/>
    </row>
    <row r="12" spans="1:12" ht="24" customHeight="1">
      <c r="A12" s="791" t="s">
        <v>2669</v>
      </c>
      <c r="B12" s="720" t="s">
        <v>2670</v>
      </c>
      <c r="C12" s="706"/>
      <c r="D12" s="990"/>
      <c r="E12" s="721">
        <v>1</v>
      </c>
      <c r="F12" s="722" t="s">
        <v>19</v>
      </c>
      <c r="G12" s="1606">
        <v>403028</v>
      </c>
      <c r="H12" s="1607">
        <f t="shared" ref="H12:H17" si="0">ROUND(E12*G12,)</f>
        <v>403028</v>
      </c>
      <c r="I12" s="1608"/>
      <c r="J12" s="1607">
        <f t="shared" ref="J12:J17" si="1">ROUND(I12*E12,)</f>
        <v>0</v>
      </c>
      <c r="K12" s="1607">
        <f t="shared" ref="K12:K17" si="2">H12+J12</f>
        <v>403028</v>
      </c>
      <c r="L12" s="1609"/>
    </row>
    <row r="13" spans="1:12" ht="24" customHeight="1">
      <c r="A13" s="791" t="s">
        <v>2671</v>
      </c>
      <c r="B13" s="1610" t="s">
        <v>2672</v>
      </c>
      <c r="C13" s="1611"/>
      <c r="D13" s="1612"/>
      <c r="E13" s="1613">
        <v>1</v>
      </c>
      <c r="F13" s="722" t="s">
        <v>19</v>
      </c>
      <c r="G13" s="1606">
        <v>123500</v>
      </c>
      <c r="H13" s="1607">
        <f t="shared" si="0"/>
        <v>123500</v>
      </c>
      <c r="I13" s="1608"/>
      <c r="J13" s="1607">
        <f t="shared" si="1"/>
        <v>0</v>
      </c>
      <c r="K13" s="1607">
        <f t="shared" si="2"/>
        <v>123500</v>
      </c>
      <c r="L13" s="1609"/>
    </row>
    <row r="14" spans="1:12" ht="24" customHeight="1">
      <c r="A14" s="791" t="s">
        <v>2673</v>
      </c>
      <c r="B14" s="1610" t="s">
        <v>2674</v>
      </c>
      <c r="C14" s="1611"/>
      <c r="D14" s="1612"/>
      <c r="E14" s="1614">
        <v>1</v>
      </c>
      <c r="F14" s="722" t="s">
        <v>19</v>
      </c>
      <c r="G14" s="1615">
        <v>23000</v>
      </c>
      <c r="H14" s="1607">
        <f t="shared" si="0"/>
        <v>23000</v>
      </c>
      <c r="I14" s="1608"/>
      <c r="J14" s="1607">
        <f t="shared" si="1"/>
        <v>0</v>
      </c>
      <c r="K14" s="1607">
        <f t="shared" si="2"/>
        <v>23000</v>
      </c>
      <c r="L14" s="1609"/>
    </row>
    <row r="15" spans="1:12" ht="24" customHeight="1">
      <c r="A15" s="791" t="s">
        <v>2675</v>
      </c>
      <c r="B15" s="1616" t="s">
        <v>2676</v>
      </c>
      <c r="C15" s="1617"/>
      <c r="D15" s="1618"/>
      <c r="E15" s="1619">
        <v>1</v>
      </c>
      <c r="F15" s="722" t="s">
        <v>19</v>
      </c>
      <c r="G15" s="1615">
        <v>1278250</v>
      </c>
      <c r="H15" s="1607">
        <f t="shared" si="0"/>
        <v>1278250</v>
      </c>
      <c r="I15" s="1608"/>
      <c r="J15" s="1607">
        <f t="shared" si="1"/>
        <v>0</v>
      </c>
      <c r="K15" s="1607">
        <f t="shared" si="2"/>
        <v>1278250</v>
      </c>
      <c r="L15" s="1609"/>
    </row>
    <row r="16" spans="1:12" ht="24" customHeight="1">
      <c r="A16" s="791" t="s">
        <v>2677</v>
      </c>
      <c r="B16" s="1616" t="s">
        <v>2678</v>
      </c>
      <c r="C16" s="1617"/>
      <c r="D16" s="1618"/>
      <c r="E16" s="1619">
        <v>1</v>
      </c>
      <c r="F16" s="722" t="s">
        <v>19</v>
      </c>
      <c r="G16" s="1615">
        <v>39201</v>
      </c>
      <c r="H16" s="1607">
        <f t="shared" si="0"/>
        <v>39201</v>
      </c>
      <c r="I16" s="1608"/>
      <c r="J16" s="1607">
        <f t="shared" si="1"/>
        <v>0</v>
      </c>
      <c r="K16" s="1607">
        <f t="shared" si="2"/>
        <v>39201</v>
      </c>
      <c r="L16" s="1609"/>
    </row>
    <row r="17" spans="1:21" ht="24" customHeight="1">
      <c r="A17" s="791" t="s">
        <v>2679</v>
      </c>
      <c r="B17" s="1616" t="s">
        <v>2680</v>
      </c>
      <c r="C17" s="1617"/>
      <c r="D17" s="1618"/>
      <c r="E17" s="1619">
        <v>1</v>
      </c>
      <c r="F17" s="722" t="s">
        <v>19</v>
      </c>
      <c r="G17" s="1615"/>
      <c r="H17" s="1607">
        <f t="shared" si="0"/>
        <v>0</v>
      </c>
      <c r="I17" s="1608">
        <v>100000</v>
      </c>
      <c r="J17" s="1607">
        <f t="shared" si="1"/>
        <v>100000</v>
      </c>
      <c r="K17" s="1607">
        <f t="shared" si="2"/>
        <v>100000</v>
      </c>
      <c r="L17" s="1609"/>
    </row>
    <row r="18" spans="1:21" ht="24" customHeight="1">
      <c r="A18" s="791"/>
      <c r="B18" s="1616"/>
      <c r="C18" s="1617"/>
      <c r="D18" s="1618"/>
      <c r="E18" s="1619"/>
      <c r="F18" s="722"/>
      <c r="G18" s="1615"/>
      <c r="H18" s="1607"/>
      <c r="I18" s="1608"/>
      <c r="J18" s="1607"/>
      <c r="K18" s="1607"/>
      <c r="L18" s="1609"/>
    </row>
    <row r="19" spans="1:21" ht="24" customHeight="1">
      <c r="A19" s="1620"/>
      <c r="B19" s="1616"/>
      <c r="C19" s="1617"/>
      <c r="D19" s="1618"/>
      <c r="E19" s="1619"/>
      <c r="F19" s="1621"/>
      <c r="G19" s="1615"/>
      <c r="H19" s="1607"/>
      <c r="I19" s="1608"/>
      <c r="J19" s="1607"/>
      <c r="K19" s="1607"/>
      <c r="L19" s="1609"/>
    </row>
    <row r="20" spans="1:21" ht="24" customHeight="1">
      <c r="A20" s="1620"/>
      <c r="B20" s="1616"/>
      <c r="C20" s="1617"/>
      <c r="D20" s="1618"/>
      <c r="E20" s="1619"/>
      <c r="F20" s="1621"/>
      <c r="G20" s="1615"/>
      <c r="H20" s="1607"/>
      <c r="I20" s="1608"/>
      <c r="J20" s="1607"/>
      <c r="K20" s="1607"/>
      <c r="L20" s="1609"/>
    </row>
    <row r="21" spans="1:21" ht="24" customHeight="1">
      <c r="A21" s="1620"/>
      <c r="B21" s="1616"/>
      <c r="C21" s="1617"/>
      <c r="D21" s="1618"/>
      <c r="E21" s="1619"/>
      <c r="F21" s="1621"/>
      <c r="G21" s="1615"/>
      <c r="H21" s="1607"/>
      <c r="I21" s="1608"/>
      <c r="J21" s="1607"/>
      <c r="K21" s="1607"/>
      <c r="L21" s="1609"/>
    </row>
    <row r="22" spans="1:21" ht="24" customHeight="1">
      <c r="A22" s="1622"/>
      <c r="B22" s="1623"/>
      <c r="C22" s="1624"/>
      <c r="D22" s="1625"/>
      <c r="E22" s="1626"/>
      <c r="F22" s="1626"/>
      <c r="G22" s="1627"/>
      <c r="H22" s="1607"/>
      <c r="I22" s="1608"/>
      <c r="J22" s="1607"/>
      <c r="K22" s="1628"/>
      <c r="L22" s="1609"/>
    </row>
    <row r="23" spans="1:21" ht="24" customHeight="1">
      <c r="A23" s="1622"/>
      <c r="B23" s="1623"/>
      <c r="C23" s="1624"/>
      <c r="D23" s="1625"/>
      <c r="E23" s="1626"/>
      <c r="F23" s="1626"/>
      <c r="G23" s="1627"/>
      <c r="H23" s="1607"/>
      <c r="I23" s="1608"/>
      <c r="J23" s="1607"/>
      <c r="K23" s="1628"/>
      <c r="L23" s="1609"/>
    </row>
    <row r="24" spans="1:21" ht="24" customHeight="1">
      <c r="A24" s="1622"/>
      <c r="B24" s="1623"/>
      <c r="C24" s="1624"/>
      <c r="D24" s="1625"/>
      <c r="E24" s="1626"/>
      <c r="F24" s="1626"/>
      <c r="G24" s="1627"/>
      <c r="H24" s="1607"/>
      <c r="I24" s="1608"/>
      <c r="J24" s="1607"/>
      <c r="K24" s="1628"/>
      <c r="L24" s="1609"/>
    </row>
    <row r="25" spans="1:21" ht="24" customHeight="1">
      <c r="A25" s="1629"/>
      <c r="B25" s="1623"/>
      <c r="C25" s="1624"/>
      <c r="D25" s="1625"/>
      <c r="E25" s="1626"/>
      <c r="F25" s="1626"/>
      <c r="G25" s="1627"/>
      <c r="H25" s="1607"/>
      <c r="I25" s="1608"/>
      <c r="J25" s="1607"/>
      <c r="K25" s="1628"/>
      <c r="L25" s="1609"/>
    </row>
    <row r="26" spans="1:21" ht="24" customHeight="1">
      <c r="A26" s="1629"/>
      <c r="B26" s="1623"/>
      <c r="C26" s="1624"/>
      <c r="D26" s="1625"/>
      <c r="E26" s="1626"/>
      <c r="F26" s="1626"/>
      <c r="G26" s="1627"/>
      <c r="H26" s="1607"/>
      <c r="I26" s="1608"/>
      <c r="J26" s="1607"/>
      <c r="K26" s="1628"/>
      <c r="L26" s="1609"/>
    </row>
    <row r="27" spans="1:21" ht="24" customHeight="1">
      <c r="A27" s="1629"/>
      <c r="B27" s="1623"/>
      <c r="C27" s="1624"/>
      <c r="D27" s="1625"/>
      <c r="E27" s="1626"/>
      <c r="F27" s="1626"/>
      <c r="G27" s="1627"/>
      <c r="H27" s="1607"/>
      <c r="I27" s="1608"/>
      <c r="J27" s="1607"/>
      <c r="K27" s="1628"/>
      <c r="L27" s="1609"/>
    </row>
    <row r="28" spans="1:21" ht="24" customHeight="1">
      <c r="A28" s="1629"/>
      <c r="B28" s="1623"/>
      <c r="C28" s="1624"/>
      <c r="D28" s="1625"/>
      <c r="E28" s="1626"/>
      <c r="F28" s="1626"/>
      <c r="G28" s="1627"/>
      <c r="H28" s="1607"/>
      <c r="I28" s="1608"/>
      <c r="J28" s="1607"/>
      <c r="K28" s="1628"/>
      <c r="L28" s="1609"/>
    </row>
    <row r="29" spans="1:21" ht="24" customHeight="1">
      <c r="A29" s="1629"/>
      <c r="B29" s="1623"/>
      <c r="C29" s="1624"/>
      <c r="D29" s="1625"/>
      <c r="E29" s="1626"/>
      <c r="F29" s="1626"/>
      <c r="G29" s="1627"/>
      <c r="H29" s="1607"/>
      <c r="I29" s="1608"/>
      <c r="J29" s="1607"/>
      <c r="K29" s="1628"/>
      <c r="L29" s="1609"/>
    </row>
    <row r="30" spans="1:21" ht="24" customHeight="1">
      <c r="A30" s="1629"/>
      <c r="B30" s="1623"/>
      <c r="C30" s="1624"/>
      <c r="D30" s="1625"/>
      <c r="E30" s="1626"/>
      <c r="F30" s="1626"/>
      <c r="G30" s="1627"/>
      <c r="H30" s="1607"/>
      <c r="I30" s="1608"/>
      <c r="J30" s="1607"/>
      <c r="K30" s="1628"/>
      <c r="L30" s="1609"/>
    </row>
    <row r="31" spans="1:21" ht="24" customHeight="1">
      <c r="A31" s="1629"/>
      <c r="B31" s="1623"/>
      <c r="C31" s="1624"/>
      <c r="D31" s="1625"/>
      <c r="E31" s="1626"/>
      <c r="F31" s="1626"/>
      <c r="G31" s="1627"/>
      <c r="H31" s="1607"/>
      <c r="I31" s="1608"/>
      <c r="J31" s="1607"/>
      <c r="K31" s="1628"/>
      <c r="L31" s="1609"/>
    </row>
    <row r="32" spans="1:21" s="714" customFormat="1" ht="30" customHeight="1">
      <c r="A32" s="777"/>
      <c r="B32" s="2512" t="str">
        <f>"รวมราคา"&amp;B11</f>
        <v>รวมราคาระบบก๊าซหุงต้ม (LPG System)</v>
      </c>
      <c r="C32" s="2512"/>
      <c r="D32" s="2512"/>
      <c r="E32" s="776"/>
      <c r="F32" s="777"/>
      <c r="G32" s="959"/>
      <c r="H32" s="960">
        <f>SUM(H12:H31)</f>
        <v>1866979</v>
      </c>
      <c r="I32" s="959"/>
      <c r="J32" s="960">
        <f>SUM(J12:J31)</f>
        <v>100000</v>
      </c>
      <c r="K32" s="777">
        <f>SUM(K12:K31)</f>
        <v>1966979</v>
      </c>
      <c r="L32" s="777"/>
      <c r="M32" s="729"/>
      <c r="N32" s="729"/>
      <c r="O32" s="729"/>
      <c r="P32" s="729"/>
      <c r="Q32" s="729"/>
      <c r="R32" s="729"/>
      <c r="S32" s="729"/>
      <c r="T32" s="729"/>
      <c r="U32" s="729"/>
    </row>
  </sheetData>
  <mergeCells count="9">
    <mergeCell ref="B32:D32"/>
    <mergeCell ref="L7:L8"/>
    <mergeCell ref="A9:A10"/>
    <mergeCell ref="B9:D10"/>
    <mergeCell ref="E9:E10"/>
    <mergeCell ref="F9:F10"/>
    <mergeCell ref="G9:H9"/>
    <mergeCell ref="I9:J9"/>
    <mergeCell ref="L9:L10"/>
  </mergeCells>
  <conditionalFormatting sqref="D4">
    <cfRule type="expression" dxfId="0" priority="1">
      <formula>SUMPRODUCT(--(ROW()=$O$12:$O$23))&gt;0</formula>
    </cfRule>
  </conditionalFormatting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&amp;Rระบบก๊าซหุงต้ม (LPG System)-อาคารสนับนุน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045B5-2947-4C5C-98FD-E62FA336FFFA}">
  <sheetPr>
    <tabColor rgb="FF7030A0"/>
  </sheetPr>
  <dimension ref="A1:U100"/>
  <sheetViews>
    <sheetView showGridLines="0" tabSelected="1" view="pageBreakPreview" topLeftCell="A46" zoomScale="85" zoomScaleNormal="60" zoomScaleSheetLayoutView="85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1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1" width="20.703125" style="1" customWidth="1"/>
    <col min="12" max="12" width="15.703125" style="1" customWidth="1"/>
    <col min="13" max="99" width="7.703125" style="1" customWidth="1"/>
    <col min="100" max="16384" width="9" style="1"/>
  </cols>
  <sheetData>
    <row r="1" spans="1:12" ht="35.1" customHeight="1">
      <c r="A1" s="30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2" ht="25.15" customHeight="1">
      <c r="A2" s="42" t="s">
        <v>2</v>
      </c>
      <c r="B2" s="33"/>
      <c r="C2" s="34"/>
      <c r="D2" s="11" t="s">
        <v>2682</v>
      </c>
      <c r="E2" s="34"/>
      <c r="F2" s="12"/>
      <c r="G2" s="12"/>
      <c r="H2" s="12"/>
      <c r="I2" s="12"/>
      <c r="J2" s="13"/>
      <c r="K2" s="12"/>
      <c r="L2" s="14"/>
    </row>
    <row r="3" spans="1:12" ht="25.15" customHeight="1">
      <c r="A3" s="43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2" ht="25.15" customHeight="1">
      <c r="A4" s="43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2" ht="25.15" customHeight="1">
      <c r="A5" s="43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2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2" ht="25.15" customHeight="1">
      <c r="A7" s="6" t="s">
        <v>26</v>
      </c>
      <c r="B7" s="20"/>
      <c r="C7" s="20"/>
      <c r="D7" s="21"/>
      <c r="E7" s="20"/>
      <c r="F7" s="44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2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</row>
    <row r="9" spans="1:12" s="3" customFormat="1" ht="24" customHeight="1">
      <c r="A9" s="2430" t="s">
        <v>8</v>
      </c>
      <c r="B9" s="2432" t="s">
        <v>9</v>
      </c>
      <c r="C9" s="2433"/>
      <c r="D9" s="2434"/>
      <c r="E9" s="243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259" t="s">
        <v>14</v>
      </c>
      <c r="L9" s="2442" t="s">
        <v>15</v>
      </c>
    </row>
    <row r="10" spans="1:12" s="3" customFormat="1" ht="24" customHeight="1">
      <c r="A10" s="2431"/>
      <c r="B10" s="2435"/>
      <c r="C10" s="2436"/>
      <c r="D10" s="2437"/>
      <c r="E10" s="2439"/>
      <c r="F10" s="2439"/>
      <c r="G10" s="28" t="s">
        <v>16</v>
      </c>
      <c r="H10" s="2261" t="s">
        <v>17</v>
      </c>
      <c r="I10" s="28" t="s">
        <v>16</v>
      </c>
      <c r="J10" s="2261" t="s">
        <v>17</v>
      </c>
      <c r="K10" s="2260" t="s">
        <v>18</v>
      </c>
      <c r="L10" s="2443"/>
    </row>
    <row r="11" spans="1:12" s="714" customFormat="1" ht="24" customHeight="1">
      <c r="A11" s="1601" t="s">
        <v>245</v>
      </c>
      <c r="B11" s="1602" t="s">
        <v>2683</v>
      </c>
      <c r="C11" s="1603"/>
      <c r="D11" s="1210"/>
      <c r="E11" s="1150" t="s">
        <v>755</v>
      </c>
      <c r="F11" s="1150"/>
      <c r="G11" s="1604"/>
      <c r="H11" s="1001"/>
      <c r="I11" s="1002"/>
      <c r="J11" s="1001"/>
      <c r="K11" s="1001"/>
      <c r="L11" s="1605"/>
    </row>
    <row r="12" spans="1:12" ht="24" customHeight="1">
      <c r="A12" s="704">
        <f>+A35</f>
        <v>9.1</v>
      </c>
      <c r="B12" s="720" t="str">
        <f>+B35</f>
        <v>ลิฟต์โดยสาร (Passenger Lift)</v>
      </c>
      <c r="C12" s="706"/>
      <c r="D12" s="990"/>
      <c r="E12" s="721">
        <v>1</v>
      </c>
      <c r="F12" s="722" t="s">
        <v>19</v>
      </c>
      <c r="G12" s="1606"/>
      <c r="H12" s="1607">
        <f>H40</f>
        <v>11400000</v>
      </c>
      <c r="I12" s="1608"/>
      <c r="J12" s="1607"/>
      <c r="K12" s="1607">
        <f>SUM(H12:J12)</f>
        <v>11400000</v>
      </c>
      <c r="L12" s="1609"/>
    </row>
    <row r="13" spans="1:12" ht="24" customHeight="1">
      <c r="A13" s="1630">
        <f>A41</f>
        <v>9.1999999999999993</v>
      </c>
      <c r="B13" s="1616" t="str">
        <f>B41</f>
        <v>ลิฟต์บริการ (Service &amp; Fireman Lift)</v>
      </c>
      <c r="C13" s="1617"/>
      <c r="D13" s="1618"/>
      <c r="E13" s="1631">
        <v>1</v>
      </c>
      <c r="F13" s="722" t="s">
        <v>19</v>
      </c>
      <c r="G13" s="1606"/>
      <c r="H13" s="1607">
        <f>H48</f>
        <v>16300000</v>
      </c>
      <c r="I13" s="1608"/>
      <c r="J13" s="1607"/>
      <c r="K13" s="1607">
        <f>SUM(H13:J13)</f>
        <v>16300000</v>
      </c>
      <c r="L13" s="1609"/>
    </row>
    <row r="14" spans="1:12" ht="24" customHeight="1">
      <c r="A14" s="1630" t="str">
        <f>A49</f>
        <v>9.3</v>
      </c>
      <c r="B14" s="1616" t="str">
        <f>B49</f>
        <v>บันไดเลื่อน (Service &amp; Fireman Lift)</v>
      </c>
      <c r="C14" s="1617"/>
      <c r="D14" s="1618"/>
      <c r="E14" s="1631">
        <v>1</v>
      </c>
      <c r="F14" s="722" t="s">
        <v>19</v>
      </c>
      <c r="G14" s="1606"/>
      <c r="H14" s="1607">
        <f>H59</f>
        <v>34400000</v>
      </c>
      <c r="I14" s="1608"/>
      <c r="J14" s="1607"/>
      <c r="K14" s="1607">
        <f>SUM(H14:J14)</f>
        <v>34400000</v>
      </c>
      <c r="L14" s="1609"/>
    </row>
    <row r="15" spans="1:12" ht="24" customHeight="1">
      <c r="A15" s="1630"/>
      <c r="B15" s="1616"/>
      <c r="C15" s="1617"/>
      <c r="D15" s="1618"/>
      <c r="E15" s="1631"/>
      <c r="F15" s="722"/>
      <c r="G15" s="1606"/>
      <c r="H15" s="1607"/>
      <c r="I15" s="1608"/>
      <c r="J15" s="1607"/>
      <c r="K15" s="1607"/>
      <c r="L15" s="1609"/>
    </row>
    <row r="16" spans="1:12" ht="24" customHeight="1">
      <c r="A16" s="1630"/>
      <c r="B16" s="1616"/>
      <c r="C16" s="1617"/>
      <c r="D16" s="1618"/>
      <c r="E16" s="1619"/>
      <c r="F16" s="722"/>
      <c r="G16" s="1615"/>
      <c r="H16" s="1607"/>
      <c r="I16" s="1608"/>
      <c r="J16" s="1607"/>
      <c r="K16" s="1607"/>
      <c r="L16" s="1609"/>
    </row>
    <row r="17" spans="1:12" ht="24" customHeight="1">
      <c r="A17" s="1630"/>
      <c r="B17" s="1616"/>
      <c r="C17" s="1617"/>
      <c r="D17" s="1618"/>
      <c r="E17" s="1619"/>
      <c r="F17" s="1632"/>
      <c r="G17" s="1615"/>
      <c r="H17" s="1607"/>
      <c r="I17" s="1608"/>
      <c r="J17" s="1607"/>
      <c r="K17" s="1607"/>
      <c r="L17" s="1609"/>
    </row>
    <row r="18" spans="1:12" ht="24" customHeight="1">
      <c r="A18" s="1620"/>
      <c r="B18" s="1616"/>
      <c r="C18" s="1617"/>
      <c r="D18" s="1618"/>
      <c r="E18" s="1619"/>
      <c r="F18" s="1621"/>
      <c r="G18" s="1615"/>
      <c r="H18" s="1607"/>
      <c r="I18" s="1608"/>
      <c r="J18" s="1607"/>
      <c r="K18" s="1607"/>
      <c r="L18" s="1609"/>
    </row>
    <row r="19" spans="1:12" ht="24" customHeight="1">
      <c r="A19" s="1620"/>
      <c r="B19" s="1616"/>
      <c r="C19" s="1617"/>
      <c r="D19" s="1618"/>
      <c r="E19" s="1619"/>
      <c r="F19" s="1621"/>
      <c r="G19" s="1615"/>
      <c r="H19" s="1607"/>
      <c r="I19" s="1608"/>
      <c r="J19" s="1607"/>
      <c r="K19" s="1607"/>
      <c r="L19" s="1609"/>
    </row>
    <row r="20" spans="1:12" ht="24" customHeight="1">
      <c r="A20" s="1620"/>
      <c r="B20" s="1616"/>
      <c r="C20" s="1617"/>
      <c r="D20" s="1618"/>
      <c r="E20" s="1619"/>
      <c r="F20" s="1621"/>
      <c r="G20" s="1615"/>
      <c r="H20" s="1607"/>
      <c r="I20" s="1608"/>
      <c r="J20" s="1607"/>
      <c r="K20" s="1607"/>
      <c r="L20" s="1609"/>
    </row>
    <row r="21" spans="1:12" ht="24" customHeight="1">
      <c r="A21" s="1620"/>
      <c r="B21" s="1616"/>
      <c r="C21" s="1617"/>
      <c r="D21" s="1618"/>
      <c r="E21" s="1619"/>
      <c r="F21" s="1621"/>
      <c r="G21" s="1615"/>
      <c r="H21" s="1607"/>
      <c r="I21" s="1608"/>
      <c r="J21" s="1607"/>
      <c r="K21" s="1607"/>
      <c r="L21" s="1609"/>
    </row>
    <row r="22" spans="1:12" ht="24" customHeight="1">
      <c r="A22" s="1620"/>
      <c r="B22" s="1616"/>
      <c r="C22" s="1617"/>
      <c r="D22" s="1618"/>
      <c r="E22" s="1619"/>
      <c r="F22" s="1621"/>
      <c r="G22" s="1615"/>
      <c r="H22" s="1607"/>
      <c r="I22" s="1608"/>
      <c r="J22" s="1607"/>
      <c r="K22" s="1607"/>
      <c r="L22" s="1609"/>
    </row>
    <row r="23" spans="1:12" ht="24" customHeight="1">
      <c r="A23" s="1620"/>
      <c r="B23" s="1616"/>
      <c r="C23" s="1617"/>
      <c r="D23" s="1618"/>
      <c r="E23" s="1619"/>
      <c r="F23" s="1621"/>
      <c r="G23" s="1615"/>
      <c r="H23" s="1607"/>
      <c r="I23" s="1608"/>
      <c r="J23" s="1607"/>
      <c r="K23" s="1607"/>
      <c r="L23" s="1609"/>
    </row>
    <row r="24" spans="1:12" ht="24" customHeight="1">
      <c r="A24" s="1620"/>
      <c r="B24" s="1616"/>
      <c r="C24" s="1617"/>
      <c r="D24" s="1618"/>
      <c r="E24" s="1619"/>
      <c r="F24" s="1621"/>
      <c r="G24" s="1615"/>
      <c r="H24" s="1607"/>
      <c r="I24" s="1608"/>
      <c r="J24" s="1607"/>
      <c r="K24" s="1607"/>
      <c r="L24" s="1609"/>
    </row>
    <row r="25" spans="1:12" ht="24" customHeight="1">
      <c r="A25" s="1620"/>
      <c r="B25" s="1616"/>
      <c r="C25" s="1617"/>
      <c r="D25" s="1618"/>
      <c r="E25" s="1619"/>
      <c r="F25" s="1621"/>
      <c r="G25" s="1615"/>
      <c r="H25" s="1607"/>
      <c r="I25" s="1608"/>
      <c r="J25" s="1607"/>
      <c r="K25" s="1607"/>
      <c r="L25" s="1609"/>
    </row>
    <row r="26" spans="1:12" ht="24" customHeight="1">
      <c r="A26" s="1620"/>
      <c r="B26" s="1616"/>
      <c r="C26" s="1617"/>
      <c r="D26" s="1618"/>
      <c r="E26" s="1619"/>
      <c r="F26" s="1621"/>
      <c r="G26" s="1615"/>
      <c r="H26" s="1607"/>
      <c r="I26" s="1608"/>
      <c r="J26" s="1607"/>
      <c r="K26" s="1607"/>
      <c r="L26" s="1609"/>
    </row>
    <row r="27" spans="1:12" ht="24" customHeight="1">
      <c r="A27" s="1622"/>
      <c r="B27" s="1623"/>
      <c r="C27" s="1624"/>
      <c r="D27" s="1625"/>
      <c r="E27" s="1626"/>
      <c r="F27" s="1626"/>
      <c r="G27" s="1627"/>
      <c r="H27" s="1607"/>
      <c r="I27" s="1608"/>
      <c r="J27" s="1607"/>
      <c r="K27" s="1628"/>
      <c r="L27" s="1609"/>
    </row>
    <row r="28" spans="1:12" ht="24" customHeight="1">
      <c r="A28" s="1622"/>
      <c r="B28" s="1623"/>
      <c r="C28" s="1624"/>
      <c r="D28" s="1625"/>
      <c r="E28" s="1626"/>
      <c r="F28" s="1626"/>
      <c r="G28" s="1627"/>
      <c r="H28" s="1607"/>
      <c r="I28" s="1608"/>
      <c r="J28" s="1607"/>
      <c r="K28" s="1628"/>
      <c r="L28" s="1609"/>
    </row>
    <row r="29" spans="1:12" ht="24" customHeight="1">
      <c r="A29" s="1622"/>
      <c r="B29" s="1623"/>
      <c r="C29" s="1624"/>
      <c r="D29" s="1625"/>
      <c r="E29" s="1626"/>
      <c r="F29" s="1626"/>
      <c r="G29" s="1627"/>
      <c r="H29" s="1607"/>
      <c r="I29" s="1608"/>
      <c r="J29" s="1607"/>
      <c r="K29" s="1628"/>
      <c r="L29" s="1609"/>
    </row>
    <row r="30" spans="1:12" ht="24" customHeight="1">
      <c r="A30" s="1629"/>
      <c r="B30" s="1623"/>
      <c r="C30" s="1624"/>
      <c r="D30" s="1625"/>
      <c r="E30" s="1626"/>
      <c r="F30" s="1626"/>
      <c r="G30" s="1627"/>
      <c r="H30" s="1607"/>
      <c r="I30" s="1608"/>
      <c r="J30" s="1607"/>
      <c r="K30" s="1628"/>
      <c r="L30" s="1609"/>
    </row>
    <row r="31" spans="1:12" ht="24" customHeight="1">
      <c r="A31" s="1629"/>
      <c r="B31" s="1623"/>
      <c r="C31" s="1624"/>
      <c r="D31" s="1625"/>
      <c r="E31" s="1626"/>
      <c r="F31" s="1626"/>
      <c r="G31" s="1627"/>
      <c r="H31" s="1607"/>
      <c r="I31" s="1608"/>
      <c r="J31" s="1607"/>
      <c r="K31" s="1628"/>
      <c r="L31" s="1609"/>
    </row>
    <row r="32" spans="1:12" ht="24" customHeight="1">
      <c r="A32" s="1629"/>
      <c r="B32" s="1623"/>
      <c r="C32" s="1624"/>
      <c r="D32" s="1625"/>
      <c r="E32" s="1626"/>
      <c r="F32" s="1626"/>
      <c r="G32" s="1627"/>
      <c r="H32" s="1607"/>
      <c r="I32" s="1608"/>
      <c r="J32" s="1607"/>
      <c r="K32" s="1628"/>
      <c r="L32" s="1609"/>
    </row>
    <row r="33" spans="1:21" ht="24" customHeight="1">
      <c r="A33" s="1633"/>
      <c r="B33" s="1634"/>
      <c r="C33" s="1635"/>
      <c r="D33" s="1636"/>
      <c r="E33" s="1637"/>
      <c r="F33" s="1637"/>
      <c r="G33" s="1638"/>
      <c r="H33" s="1639"/>
      <c r="I33" s="1640"/>
      <c r="J33" s="1639"/>
      <c r="K33" s="1641"/>
      <c r="L33" s="1642"/>
    </row>
    <row r="34" spans="1:21" s="714" customFormat="1" ht="30" customHeight="1">
      <c r="A34" s="777"/>
      <c r="B34" s="2512" t="str">
        <f>"รวมราคา"&amp;B11</f>
        <v>รวมราคาระบบลิฟต์และบันไดเลื่อน (Lift &amp; Escalator System)</v>
      </c>
      <c r="C34" s="2512"/>
      <c r="D34" s="2512"/>
      <c r="E34" s="776"/>
      <c r="F34" s="777"/>
      <c r="G34" s="959"/>
      <c r="H34" s="960">
        <f>SUM(H12:H33)</f>
        <v>62100000</v>
      </c>
      <c r="I34" s="959"/>
      <c r="J34" s="960"/>
      <c r="K34" s="777">
        <f>SUM(K11:K33)</f>
        <v>62100000</v>
      </c>
      <c r="L34" s="777"/>
      <c r="M34" s="729"/>
      <c r="N34" s="729"/>
      <c r="O34" s="729"/>
      <c r="P34" s="729"/>
      <c r="Q34" s="729"/>
      <c r="R34" s="729"/>
      <c r="S34" s="729"/>
      <c r="T34" s="729"/>
      <c r="U34" s="729"/>
    </row>
    <row r="35" spans="1:21" s="714" customFormat="1" ht="24" customHeight="1">
      <c r="A35" s="1643">
        <v>9.1</v>
      </c>
      <c r="B35" s="816" t="s">
        <v>2684</v>
      </c>
      <c r="C35" s="987"/>
      <c r="D35" s="707"/>
      <c r="E35" s="708"/>
      <c r="F35" s="1644"/>
      <c r="G35" s="1645"/>
      <c r="H35" s="1001"/>
      <c r="I35" s="1646"/>
      <c r="J35" s="1001"/>
      <c r="K35" s="1002"/>
      <c r="L35" s="988"/>
      <c r="M35" s="729"/>
      <c r="N35" s="729"/>
      <c r="O35" s="729"/>
      <c r="P35" s="729"/>
      <c r="Q35" s="729"/>
      <c r="R35" s="729"/>
      <c r="S35" s="729"/>
      <c r="T35" s="729"/>
      <c r="U35" s="729"/>
    </row>
    <row r="36" spans="1:21" s="714" customFormat="1" ht="24" customHeight="1">
      <c r="A36" s="704" t="s">
        <v>2685</v>
      </c>
      <c r="B36" s="720" t="s">
        <v>2130</v>
      </c>
      <c r="C36" s="706"/>
      <c r="D36" s="990"/>
      <c r="E36" s="721"/>
      <c r="F36" s="1647"/>
      <c r="G36" s="1648"/>
      <c r="H36" s="711"/>
      <c r="I36" s="1649"/>
      <c r="J36" s="711"/>
      <c r="K36" s="712"/>
      <c r="L36" s="830"/>
      <c r="M36" s="729"/>
      <c r="N36" s="729"/>
      <c r="O36" s="729"/>
      <c r="P36" s="729"/>
      <c r="Q36" s="729"/>
      <c r="R36" s="729"/>
      <c r="S36" s="729"/>
      <c r="T36" s="729"/>
      <c r="U36" s="729"/>
    </row>
    <row r="37" spans="1:21" s="714" customFormat="1" ht="24" customHeight="1">
      <c r="A37" s="704"/>
      <c r="B37" s="720" t="s">
        <v>2686</v>
      </c>
      <c r="C37" s="706"/>
      <c r="D37" s="990"/>
      <c r="E37" s="721">
        <v>2</v>
      </c>
      <c r="F37" s="1647" t="s">
        <v>240</v>
      </c>
      <c r="G37" s="1648">
        <f>2650000+(10*20000)</f>
        <v>2850000</v>
      </c>
      <c r="H37" s="711">
        <f t="shared" ref="H37:H38" si="0">E37*G37</f>
        <v>5700000</v>
      </c>
      <c r="I37" s="1649"/>
      <c r="J37" s="711">
        <f t="shared" ref="J37:J38" si="1">I37*E37</f>
        <v>0</v>
      </c>
      <c r="K37" s="712">
        <f t="shared" ref="K37:K38" si="2">H37+J37</f>
        <v>5700000</v>
      </c>
      <c r="L37" s="1650"/>
      <c r="M37" s="729"/>
      <c r="N37" s="729"/>
      <c r="O37" s="729"/>
      <c r="P37" s="729"/>
      <c r="Q37" s="729"/>
      <c r="R37" s="729"/>
      <c r="S37" s="729"/>
      <c r="T37" s="729"/>
      <c r="U37" s="729"/>
    </row>
    <row r="38" spans="1:21" s="714" customFormat="1" ht="24" customHeight="1">
      <c r="A38" s="704"/>
      <c r="B38" s="720" t="s">
        <v>2687</v>
      </c>
      <c r="C38" s="706"/>
      <c r="D38" s="990"/>
      <c r="E38" s="721">
        <v>2</v>
      </c>
      <c r="F38" s="1647" t="s">
        <v>240</v>
      </c>
      <c r="G38" s="1648">
        <f>2650000+(10*20000)</f>
        <v>2850000</v>
      </c>
      <c r="H38" s="711">
        <f t="shared" si="0"/>
        <v>5700000</v>
      </c>
      <c r="I38" s="1649"/>
      <c r="J38" s="711">
        <f t="shared" si="1"/>
        <v>0</v>
      </c>
      <c r="K38" s="712">
        <f t="shared" si="2"/>
        <v>5700000</v>
      </c>
      <c r="L38" s="1650"/>
      <c r="M38" s="729"/>
      <c r="N38" s="729"/>
      <c r="O38" s="729"/>
      <c r="P38" s="729"/>
      <c r="Q38" s="729"/>
      <c r="R38" s="729"/>
      <c r="S38" s="729"/>
      <c r="T38" s="729"/>
      <c r="U38" s="729"/>
    </row>
    <row r="39" spans="1:21" s="714" customFormat="1" ht="24" customHeight="1">
      <c r="A39" s="704"/>
      <c r="B39" s="720"/>
      <c r="C39" s="706"/>
      <c r="D39" s="990"/>
      <c r="E39" s="721"/>
      <c r="F39" s="1647"/>
      <c r="G39" s="1651"/>
      <c r="H39" s="711"/>
      <c r="I39" s="1649"/>
      <c r="J39" s="711"/>
      <c r="K39" s="712"/>
      <c r="L39" s="1652"/>
      <c r="M39" s="729"/>
      <c r="N39" s="729"/>
      <c r="O39" s="729"/>
      <c r="P39" s="729"/>
      <c r="Q39" s="729"/>
      <c r="R39" s="729"/>
      <c r="S39" s="729"/>
      <c r="T39" s="729"/>
      <c r="U39" s="729"/>
    </row>
    <row r="40" spans="1:21" s="714" customFormat="1" ht="24" customHeight="1">
      <c r="A40" s="777"/>
      <c r="B40" s="2512" t="str">
        <f>"รวมราคารายการที่ "&amp;A35</f>
        <v>รวมราคารายการที่ 9.1</v>
      </c>
      <c r="C40" s="2512"/>
      <c r="D40" s="2512"/>
      <c r="E40" s="776"/>
      <c r="F40" s="777"/>
      <c r="G40" s="959"/>
      <c r="H40" s="960">
        <f>SUM(H37:H39)</f>
        <v>11400000</v>
      </c>
      <c r="I40" s="959"/>
      <c r="J40" s="960"/>
      <c r="K40" s="777">
        <f>SUM(K37:K39)</f>
        <v>11400000</v>
      </c>
      <c r="L40" s="777"/>
      <c r="M40" s="729"/>
      <c r="N40" s="729"/>
      <c r="O40" s="729"/>
      <c r="P40" s="729"/>
      <c r="Q40" s="729"/>
      <c r="R40" s="729"/>
      <c r="S40" s="729"/>
      <c r="T40" s="729"/>
      <c r="U40" s="729"/>
    </row>
    <row r="41" spans="1:21" s="714" customFormat="1" ht="24" customHeight="1">
      <c r="A41" s="1643">
        <v>9.1999999999999993</v>
      </c>
      <c r="B41" s="816" t="s">
        <v>2688</v>
      </c>
      <c r="C41" s="987"/>
      <c r="D41" s="1653"/>
      <c r="E41" s="1654"/>
      <c r="F41" s="1644"/>
      <c r="G41" s="1655"/>
      <c r="H41" s="1001"/>
      <c r="I41" s="1656"/>
      <c r="J41" s="1001"/>
      <c r="K41" s="1002"/>
      <c r="L41" s="1657"/>
      <c r="M41" s="729"/>
      <c r="N41" s="729"/>
      <c r="O41" s="729"/>
      <c r="P41" s="729"/>
      <c r="Q41" s="729"/>
      <c r="R41" s="729"/>
      <c r="S41" s="729"/>
      <c r="T41" s="729"/>
      <c r="U41" s="729"/>
    </row>
    <row r="42" spans="1:21" s="714" customFormat="1" ht="24" customHeight="1">
      <c r="A42" s="704"/>
      <c r="B42" s="720" t="s">
        <v>2130</v>
      </c>
      <c r="C42" s="706"/>
      <c r="D42" s="716"/>
      <c r="E42" s="1136"/>
      <c r="F42" s="1647"/>
      <c r="G42" s="1651"/>
      <c r="H42" s="711"/>
      <c r="I42" s="1649"/>
      <c r="J42" s="711"/>
      <c r="K42" s="712"/>
      <c r="L42" s="1650"/>
      <c r="M42" s="729"/>
      <c r="N42" s="729"/>
      <c r="O42" s="729"/>
      <c r="P42" s="729"/>
      <c r="Q42" s="729"/>
      <c r="R42" s="729"/>
      <c r="S42" s="729"/>
      <c r="T42" s="729"/>
      <c r="U42" s="729"/>
    </row>
    <row r="43" spans="1:21" s="714" customFormat="1" ht="24" customHeight="1">
      <c r="A43" s="704"/>
      <c r="B43" s="720" t="s">
        <v>2689</v>
      </c>
      <c r="C43" s="706"/>
      <c r="D43" s="990"/>
      <c r="E43" s="721">
        <v>2</v>
      </c>
      <c r="F43" s="1647" t="s">
        <v>240</v>
      </c>
      <c r="G43" s="1651">
        <v>2200000</v>
      </c>
      <c r="H43" s="711">
        <f t="shared" ref="H43:H46" si="3">E43*G43</f>
        <v>4400000</v>
      </c>
      <c r="I43" s="1649"/>
      <c r="J43" s="711">
        <f t="shared" ref="J43:J46" si="4">I43*E43</f>
        <v>0</v>
      </c>
      <c r="K43" s="712">
        <f t="shared" ref="K43:K46" si="5">H43+J43</f>
        <v>4400000</v>
      </c>
      <c r="L43" s="1650"/>
      <c r="M43" s="729"/>
      <c r="N43" s="729"/>
      <c r="O43" s="729"/>
      <c r="P43" s="729"/>
      <c r="Q43" s="729"/>
      <c r="R43" s="729"/>
      <c r="S43" s="729"/>
      <c r="T43" s="729"/>
      <c r="U43" s="729"/>
    </row>
    <row r="44" spans="1:21" s="714" customFormat="1" ht="24" customHeight="1">
      <c r="A44" s="704"/>
      <c r="B44" s="720" t="s">
        <v>2690</v>
      </c>
      <c r="C44" s="706"/>
      <c r="D44" s="990"/>
      <c r="E44" s="721">
        <v>2</v>
      </c>
      <c r="F44" s="1647" t="s">
        <v>240</v>
      </c>
      <c r="G44" s="1651">
        <v>2200000</v>
      </c>
      <c r="H44" s="711">
        <f t="shared" si="3"/>
        <v>4400000</v>
      </c>
      <c r="I44" s="1649"/>
      <c r="J44" s="711">
        <f t="shared" si="4"/>
        <v>0</v>
      </c>
      <c r="K44" s="712">
        <f t="shared" si="5"/>
        <v>4400000</v>
      </c>
      <c r="L44" s="1650"/>
      <c r="M44" s="729"/>
      <c r="N44" s="729"/>
      <c r="O44" s="729"/>
      <c r="P44" s="729"/>
      <c r="Q44" s="729"/>
      <c r="R44" s="729"/>
      <c r="S44" s="729"/>
      <c r="T44" s="729"/>
      <c r="U44" s="729"/>
    </row>
    <row r="45" spans="1:21" s="714" customFormat="1" ht="24" customHeight="1">
      <c r="A45" s="704"/>
      <c r="B45" s="720" t="s">
        <v>2691</v>
      </c>
      <c r="C45" s="706"/>
      <c r="D45" s="990"/>
      <c r="E45" s="721">
        <v>1</v>
      </c>
      <c r="F45" s="1647" t="s">
        <v>240</v>
      </c>
      <c r="G45" s="1651">
        <v>5500000</v>
      </c>
      <c r="H45" s="711">
        <f t="shared" si="3"/>
        <v>5500000</v>
      </c>
      <c r="I45" s="1649"/>
      <c r="J45" s="711">
        <f t="shared" si="4"/>
        <v>0</v>
      </c>
      <c r="K45" s="712">
        <f t="shared" si="5"/>
        <v>5500000</v>
      </c>
      <c r="L45" s="1650"/>
      <c r="M45" s="729"/>
      <c r="N45" s="729"/>
      <c r="O45" s="729"/>
      <c r="P45" s="729"/>
      <c r="Q45" s="729"/>
      <c r="R45" s="729"/>
      <c r="S45" s="729"/>
      <c r="T45" s="729"/>
      <c r="U45" s="729"/>
    </row>
    <row r="46" spans="1:21" s="714" customFormat="1" ht="24" customHeight="1">
      <c r="A46" s="704"/>
      <c r="B46" s="720" t="s">
        <v>2692</v>
      </c>
      <c r="C46" s="706"/>
      <c r="D46" s="990"/>
      <c r="E46" s="721">
        <v>1</v>
      </c>
      <c r="F46" s="1647" t="s">
        <v>240</v>
      </c>
      <c r="G46" s="1651">
        <v>2000000</v>
      </c>
      <c r="H46" s="711">
        <f t="shared" si="3"/>
        <v>2000000</v>
      </c>
      <c r="I46" s="1649"/>
      <c r="J46" s="711">
        <f t="shared" si="4"/>
        <v>0</v>
      </c>
      <c r="K46" s="712">
        <f t="shared" si="5"/>
        <v>2000000</v>
      </c>
      <c r="L46" s="1650"/>
      <c r="M46" s="729"/>
      <c r="N46" s="729"/>
      <c r="O46" s="729"/>
      <c r="P46" s="729"/>
      <c r="Q46" s="729"/>
      <c r="R46" s="729"/>
      <c r="S46" s="729"/>
      <c r="T46" s="729"/>
      <c r="U46" s="729"/>
    </row>
    <row r="47" spans="1:21" s="714" customFormat="1" ht="24" customHeight="1">
      <c r="A47" s="704"/>
      <c r="B47" s="720"/>
      <c r="C47" s="706"/>
      <c r="D47" s="990"/>
      <c r="E47" s="721"/>
      <c r="F47" s="1647"/>
      <c r="G47" s="1651"/>
      <c r="H47" s="711"/>
      <c r="I47" s="1649"/>
      <c r="J47" s="711"/>
      <c r="K47" s="712"/>
      <c r="L47" s="1650"/>
      <c r="M47" s="729"/>
      <c r="N47" s="729"/>
      <c r="O47" s="729"/>
      <c r="P47" s="729"/>
      <c r="Q47" s="729"/>
      <c r="R47" s="729"/>
      <c r="S47" s="729"/>
      <c r="T47" s="729"/>
      <c r="U47" s="729"/>
    </row>
    <row r="48" spans="1:21" s="714" customFormat="1" ht="24" customHeight="1">
      <c r="A48" s="777"/>
      <c r="B48" s="2512" t="str">
        <f>"รวมราคารายการที่ "&amp;A41</f>
        <v>รวมราคารายการที่ 9.2</v>
      </c>
      <c r="C48" s="2512"/>
      <c r="D48" s="2512"/>
      <c r="E48" s="776"/>
      <c r="F48" s="777"/>
      <c r="G48" s="959"/>
      <c r="H48" s="960">
        <f>SUM(H41:H47)</f>
        <v>16300000</v>
      </c>
      <c r="I48" s="959"/>
      <c r="J48" s="960"/>
      <c r="K48" s="960">
        <f>SUM(K41:K47)</f>
        <v>16300000</v>
      </c>
      <c r="L48" s="777"/>
      <c r="M48" s="729"/>
      <c r="N48" s="729"/>
      <c r="O48" s="729"/>
      <c r="P48" s="729"/>
      <c r="Q48" s="729"/>
      <c r="R48" s="729"/>
      <c r="S48" s="729"/>
      <c r="T48" s="729"/>
      <c r="U48" s="729"/>
    </row>
    <row r="49" spans="1:21" s="714" customFormat="1" ht="24" customHeight="1">
      <c r="A49" s="1038" t="s">
        <v>2693</v>
      </c>
      <c r="B49" s="816" t="s">
        <v>2694</v>
      </c>
      <c r="C49" s="706"/>
      <c r="D49" s="990"/>
      <c r="E49" s="721"/>
      <c r="F49" s="1647"/>
      <c r="G49" s="1651"/>
      <c r="H49" s="711"/>
      <c r="I49" s="1649"/>
      <c r="J49" s="711"/>
      <c r="K49" s="712"/>
      <c r="L49" s="1650"/>
      <c r="M49" s="729"/>
      <c r="N49" s="729"/>
      <c r="O49" s="729"/>
      <c r="P49" s="729"/>
      <c r="Q49" s="729"/>
      <c r="R49" s="729"/>
      <c r="S49" s="729"/>
      <c r="T49" s="729"/>
      <c r="U49" s="729"/>
    </row>
    <row r="50" spans="1:21" s="714" customFormat="1" ht="24" customHeight="1">
      <c r="A50" s="704"/>
      <c r="B50" s="720" t="s">
        <v>2130</v>
      </c>
      <c r="C50" s="706"/>
      <c r="D50" s="990"/>
      <c r="E50" s="721"/>
      <c r="F50" s="1647"/>
      <c r="G50" s="1651"/>
      <c r="H50" s="711"/>
      <c r="I50" s="1649"/>
      <c r="J50" s="711"/>
      <c r="K50" s="712"/>
      <c r="L50" s="1650"/>
      <c r="M50" s="729"/>
      <c r="N50" s="729"/>
      <c r="O50" s="729"/>
      <c r="P50" s="729"/>
      <c r="Q50" s="729"/>
      <c r="R50" s="729"/>
      <c r="S50" s="729"/>
      <c r="T50" s="729"/>
      <c r="U50" s="729"/>
    </row>
    <row r="51" spans="1:21" s="714" customFormat="1" ht="24" customHeight="1">
      <c r="A51" s="704"/>
      <c r="B51" s="720" t="s">
        <v>2695</v>
      </c>
      <c r="C51" s="706"/>
      <c r="D51" s="990"/>
      <c r="E51" s="721">
        <v>10</v>
      </c>
      <c r="F51" s="1647" t="s">
        <v>240</v>
      </c>
      <c r="G51" s="1651">
        <v>1200000</v>
      </c>
      <c r="H51" s="711">
        <f t="shared" ref="H51:H54" si="6">E51*G51</f>
        <v>12000000</v>
      </c>
      <c r="I51" s="1649"/>
      <c r="J51" s="711">
        <f t="shared" ref="J51:J54" si="7">I51*E51</f>
        <v>0</v>
      </c>
      <c r="K51" s="712">
        <f t="shared" ref="K51:K54" si="8">H51+J51</f>
        <v>12000000</v>
      </c>
      <c r="L51" s="1650"/>
      <c r="M51" s="729"/>
      <c r="N51" s="729"/>
      <c r="O51" s="729"/>
      <c r="P51" s="729"/>
      <c r="Q51" s="729"/>
      <c r="R51" s="729"/>
      <c r="S51" s="729"/>
      <c r="T51" s="729"/>
      <c r="U51" s="729"/>
    </row>
    <row r="52" spans="1:21" s="714" customFormat="1" ht="24" customHeight="1">
      <c r="A52" s="704"/>
      <c r="B52" s="720" t="s">
        <v>2696</v>
      </c>
      <c r="C52" s="706"/>
      <c r="D52" s="990"/>
      <c r="E52" s="721">
        <v>8</v>
      </c>
      <c r="F52" s="1647" t="s">
        <v>240</v>
      </c>
      <c r="G52" s="1651">
        <v>1300000</v>
      </c>
      <c r="H52" s="711">
        <f t="shared" si="6"/>
        <v>10400000</v>
      </c>
      <c r="I52" s="1649"/>
      <c r="J52" s="711">
        <f t="shared" si="7"/>
        <v>0</v>
      </c>
      <c r="K52" s="712">
        <f t="shared" si="8"/>
        <v>10400000</v>
      </c>
      <c r="L52" s="1650"/>
      <c r="M52" s="729"/>
      <c r="N52" s="729"/>
      <c r="O52" s="729"/>
      <c r="P52" s="729"/>
      <c r="Q52" s="729"/>
      <c r="R52" s="729"/>
      <c r="S52" s="729"/>
      <c r="T52" s="729"/>
      <c r="U52" s="729"/>
    </row>
    <row r="53" spans="1:21" s="714" customFormat="1" ht="24" customHeight="1">
      <c r="A53" s="704"/>
      <c r="B53" s="720" t="s">
        <v>2697</v>
      </c>
      <c r="C53" s="706"/>
      <c r="D53" s="990"/>
      <c r="E53" s="721">
        <v>4</v>
      </c>
      <c r="F53" s="1647" t="s">
        <v>240</v>
      </c>
      <c r="G53" s="1651">
        <v>1400000</v>
      </c>
      <c r="H53" s="711">
        <f t="shared" si="6"/>
        <v>5600000</v>
      </c>
      <c r="I53" s="1649"/>
      <c r="J53" s="711">
        <f t="shared" si="7"/>
        <v>0</v>
      </c>
      <c r="K53" s="712">
        <f t="shared" si="8"/>
        <v>5600000</v>
      </c>
      <c r="L53" s="1650"/>
      <c r="M53" s="729"/>
      <c r="N53" s="729"/>
      <c r="O53" s="729"/>
      <c r="P53" s="729"/>
      <c r="Q53" s="729"/>
      <c r="R53" s="729"/>
      <c r="S53" s="729"/>
      <c r="T53" s="729"/>
      <c r="U53" s="729"/>
    </row>
    <row r="54" spans="1:21" s="714" customFormat="1" ht="24" customHeight="1">
      <c r="A54" s="704"/>
      <c r="B54" s="720" t="s">
        <v>2698</v>
      </c>
      <c r="C54" s="706"/>
      <c r="D54" s="990"/>
      <c r="E54" s="721">
        <v>4</v>
      </c>
      <c r="F54" s="1647" t="s">
        <v>240</v>
      </c>
      <c r="G54" s="1651">
        <v>1600000</v>
      </c>
      <c r="H54" s="711">
        <f t="shared" si="6"/>
        <v>6400000</v>
      </c>
      <c r="I54" s="1649"/>
      <c r="J54" s="711">
        <f t="shared" si="7"/>
        <v>0</v>
      </c>
      <c r="K54" s="712">
        <f t="shared" si="8"/>
        <v>6400000</v>
      </c>
      <c r="L54" s="1650"/>
      <c r="M54" s="729"/>
      <c r="N54" s="729"/>
      <c r="O54" s="729"/>
      <c r="P54" s="729"/>
      <c r="Q54" s="729"/>
      <c r="R54" s="729"/>
      <c r="S54" s="729"/>
      <c r="T54" s="729"/>
      <c r="U54" s="729"/>
    </row>
    <row r="55" spans="1:21" s="714" customFormat="1" ht="24" customHeight="1">
      <c r="A55" s="704"/>
      <c r="B55" s="720"/>
      <c r="C55" s="706"/>
      <c r="D55" s="990"/>
      <c r="E55" s="721"/>
      <c r="F55" s="1647"/>
      <c r="G55" s="1651"/>
      <c r="H55" s="711"/>
      <c r="I55" s="1649"/>
      <c r="J55" s="711"/>
      <c r="K55" s="712"/>
      <c r="L55" s="1650"/>
      <c r="M55" s="729"/>
      <c r="N55" s="729"/>
      <c r="O55" s="729"/>
      <c r="P55" s="729"/>
      <c r="Q55" s="729"/>
      <c r="R55" s="729"/>
      <c r="S55" s="729"/>
      <c r="T55" s="729"/>
      <c r="U55" s="729"/>
    </row>
    <row r="56" spans="1:21" s="714" customFormat="1" ht="24" customHeight="1">
      <c r="A56" s="704"/>
      <c r="B56" s="720"/>
      <c r="C56" s="706"/>
      <c r="D56" s="990"/>
      <c r="E56" s="721"/>
      <c r="F56" s="1647"/>
      <c r="G56" s="1651"/>
      <c r="H56" s="711"/>
      <c r="I56" s="1649"/>
      <c r="J56" s="711"/>
      <c r="K56" s="712"/>
      <c r="L56" s="1650"/>
      <c r="M56" s="729"/>
      <c r="N56" s="729"/>
      <c r="O56" s="729"/>
      <c r="P56" s="729"/>
      <c r="Q56" s="729"/>
      <c r="R56" s="729"/>
      <c r="S56" s="729"/>
      <c r="T56" s="729"/>
      <c r="U56" s="729"/>
    </row>
    <row r="57" spans="1:21" s="714" customFormat="1" ht="24" customHeight="1">
      <c r="A57" s="704"/>
      <c r="B57" s="720"/>
      <c r="C57" s="706"/>
      <c r="D57" s="990"/>
      <c r="E57" s="721"/>
      <c r="F57" s="1647"/>
      <c r="G57" s="1651"/>
      <c r="H57" s="711"/>
      <c r="I57" s="1649"/>
      <c r="J57" s="711"/>
      <c r="K57" s="712"/>
      <c r="L57" s="1650"/>
      <c r="M57" s="729"/>
      <c r="N57" s="729"/>
      <c r="O57" s="729"/>
      <c r="P57" s="729"/>
      <c r="Q57" s="729"/>
      <c r="R57" s="729"/>
      <c r="S57" s="729"/>
      <c r="T57" s="729"/>
      <c r="U57" s="729"/>
    </row>
    <row r="58" spans="1:21" s="714" customFormat="1" ht="24" customHeight="1">
      <c r="A58" s="704"/>
      <c r="B58" s="720"/>
      <c r="C58" s="706"/>
      <c r="D58" s="990"/>
      <c r="E58" s="721"/>
      <c r="F58" s="1647"/>
      <c r="G58" s="1651"/>
      <c r="H58" s="711"/>
      <c r="I58" s="1649"/>
      <c r="J58" s="711"/>
      <c r="K58" s="712"/>
      <c r="L58" s="1650"/>
      <c r="M58" s="729"/>
      <c r="N58" s="729"/>
      <c r="O58" s="729"/>
      <c r="P58" s="729"/>
      <c r="Q58" s="729"/>
      <c r="R58" s="729"/>
      <c r="S58" s="729"/>
      <c r="T58" s="729"/>
      <c r="U58" s="729"/>
    </row>
    <row r="59" spans="1:21" s="714" customFormat="1" ht="24" customHeight="1">
      <c r="A59" s="777"/>
      <c r="B59" s="2512" t="str">
        <f>"รวมราคารายการที่ "&amp;A49</f>
        <v>รวมราคารายการที่ 9.3</v>
      </c>
      <c r="C59" s="2512"/>
      <c r="D59" s="2512"/>
      <c r="E59" s="776"/>
      <c r="F59" s="777"/>
      <c r="G59" s="959"/>
      <c r="H59" s="960">
        <f>SUM(H50:H58)</f>
        <v>34400000</v>
      </c>
      <c r="I59" s="959"/>
      <c r="J59" s="960"/>
      <c r="K59" s="960">
        <f>SUM(K50:K58)</f>
        <v>34400000</v>
      </c>
      <c r="L59" s="777"/>
      <c r="M59" s="729"/>
      <c r="N59" s="729"/>
      <c r="O59" s="729"/>
      <c r="P59" s="729"/>
      <c r="Q59" s="729"/>
      <c r="R59" s="729"/>
      <c r="S59" s="729"/>
      <c r="T59" s="729"/>
      <c r="U59" s="729"/>
    </row>
    <row r="60" spans="1:21" s="714" customFormat="1" ht="21.3">
      <c r="A60" s="950"/>
    </row>
    <row r="61" spans="1:21" s="714" customFormat="1" ht="21.3">
      <c r="A61" s="950"/>
    </row>
    <row r="62" spans="1:21" s="714" customFormat="1" ht="21.3">
      <c r="A62" s="950"/>
    </row>
    <row r="63" spans="1:21" s="714" customFormat="1" ht="21.3">
      <c r="A63" s="950"/>
    </row>
    <row r="64" spans="1:21" s="714" customFormat="1" ht="21.3">
      <c r="A64" s="950"/>
    </row>
    <row r="65" spans="1:1" s="714" customFormat="1" ht="21.3">
      <c r="A65" s="950"/>
    </row>
    <row r="66" spans="1:1" s="714" customFormat="1" ht="21.3">
      <c r="A66" s="950"/>
    </row>
    <row r="67" spans="1:1" s="714" customFormat="1" ht="21.3">
      <c r="A67" s="950"/>
    </row>
    <row r="68" spans="1:1" s="714" customFormat="1" ht="21.3">
      <c r="A68" s="950"/>
    </row>
    <row r="69" spans="1:1" s="714" customFormat="1" ht="21.3">
      <c r="A69" s="950"/>
    </row>
    <row r="70" spans="1:1" s="714" customFormat="1" ht="21.3">
      <c r="A70" s="950"/>
    </row>
    <row r="71" spans="1:1" s="714" customFormat="1" ht="21.3">
      <c r="A71" s="950"/>
    </row>
    <row r="72" spans="1:1" s="714" customFormat="1" ht="21.3">
      <c r="A72" s="950"/>
    </row>
    <row r="73" spans="1:1" s="714" customFormat="1" ht="21.3">
      <c r="A73" s="950"/>
    </row>
    <row r="74" spans="1:1" s="714" customFormat="1" ht="21.3">
      <c r="A74" s="950"/>
    </row>
    <row r="75" spans="1:1" s="714" customFormat="1" ht="21.3">
      <c r="A75" s="950"/>
    </row>
    <row r="76" spans="1:1" s="714" customFormat="1" ht="21.3">
      <c r="A76" s="950"/>
    </row>
    <row r="77" spans="1:1" s="714" customFormat="1" ht="21.3">
      <c r="A77" s="950"/>
    </row>
    <row r="78" spans="1:1" s="714" customFormat="1" ht="21.3">
      <c r="A78" s="950"/>
    </row>
    <row r="79" spans="1:1" s="714" customFormat="1" ht="21.3">
      <c r="A79" s="950"/>
    </row>
    <row r="80" spans="1:1" s="714" customFormat="1" ht="21.3">
      <c r="A80" s="950"/>
    </row>
    <row r="81" spans="1:1" s="714" customFormat="1" ht="21.3">
      <c r="A81" s="950"/>
    </row>
    <row r="82" spans="1:1" s="714" customFormat="1" ht="21.3">
      <c r="A82" s="950"/>
    </row>
    <row r="83" spans="1:1" s="714" customFormat="1" ht="21.3">
      <c r="A83" s="950"/>
    </row>
    <row r="84" spans="1:1" s="714" customFormat="1" ht="21.3">
      <c r="A84" s="950"/>
    </row>
    <row r="85" spans="1:1" s="714" customFormat="1" ht="21.3">
      <c r="A85" s="950"/>
    </row>
    <row r="86" spans="1:1" s="714" customFormat="1" ht="21.3">
      <c r="A86" s="950"/>
    </row>
    <row r="87" spans="1:1" s="714" customFormat="1" ht="21.3">
      <c r="A87" s="950"/>
    </row>
    <row r="88" spans="1:1" s="714" customFormat="1" ht="21.3">
      <c r="A88" s="950"/>
    </row>
    <row r="89" spans="1:1" s="714" customFormat="1" ht="21.3">
      <c r="A89" s="950"/>
    </row>
    <row r="90" spans="1:1" s="714" customFormat="1" ht="21.3">
      <c r="A90" s="950"/>
    </row>
    <row r="91" spans="1:1" s="714" customFormat="1" ht="21.3">
      <c r="A91" s="950"/>
    </row>
    <row r="92" spans="1:1" s="714" customFormat="1" ht="21.3">
      <c r="A92" s="950"/>
    </row>
    <row r="93" spans="1:1" s="714" customFormat="1" ht="21.3">
      <c r="A93" s="950"/>
    </row>
    <row r="94" spans="1:1" s="714" customFormat="1" ht="21.3">
      <c r="A94" s="950"/>
    </row>
    <row r="95" spans="1:1" s="714" customFormat="1" ht="21.3">
      <c r="A95" s="950"/>
    </row>
    <row r="96" spans="1:1" s="714" customFormat="1" ht="21.3">
      <c r="A96" s="950"/>
    </row>
    <row r="97" spans="1:1" s="714" customFormat="1" ht="21.3">
      <c r="A97" s="950"/>
    </row>
    <row r="98" spans="1:1" s="714" customFormat="1" ht="21.3">
      <c r="A98" s="950"/>
    </row>
    <row r="99" spans="1:1" s="714" customFormat="1" ht="21.3">
      <c r="A99" s="950"/>
    </row>
    <row r="100" spans="1:1" s="714" customFormat="1" ht="21.3">
      <c r="A100" s="950"/>
    </row>
  </sheetData>
  <mergeCells count="12">
    <mergeCell ref="A9:A10"/>
    <mergeCell ref="B9:D10"/>
    <mergeCell ref="E9:E10"/>
    <mergeCell ref="F9:F10"/>
    <mergeCell ref="G9:H9"/>
    <mergeCell ref="B34:D34"/>
    <mergeCell ref="B40:D40"/>
    <mergeCell ref="B48:D48"/>
    <mergeCell ref="B59:D59"/>
    <mergeCell ref="L7:L8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&amp;Rงานระบบลิฟต์และบันไดเลื่อน-อาคารสนับนุน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C00000"/>
  </sheetPr>
  <dimension ref="A1:U109"/>
  <sheetViews>
    <sheetView showGridLines="0" tabSelected="1" view="pageBreakPreview" topLeftCell="A13" zoomScale="60" zoomScaleNormal="60" workbookViewId="0">
      <selection activeCell="O16" sqref="O16"/>
    </sheetView>
  </sheetViews>
  <sheetFormatPr defaultColWidth="9.1171875" defaultRowHeight="23.4"/>
  <cols>
    <col min="1" max="1" width="9.5859375" style="1700" customWidth="1"/>
    <col min="2" max="2" width="5.703125" style="1635" customWidth="1"/>
    <col min="3" max="3" width="7.29296875" style="1635" customWidth="1"/>
    <col min="4" max="4" width="79.703125" style="1635" customWidth="1"/>
    <col min="5" max="5" width="14.5859375" style="1635" customWidth="1"/>
    <col min="6" max="6" width="11.1171875" style="1635" customWidth="1"/>
    <col min="7" max="7" width="15.1171875" style="1635" customWidth="1"/>
    <col min="8" max="8" width="16.41015625" style="1635" customWidth="1"/>
    <col min="9" max="10" width="15.1171875" style="1635" customWidth="1"/>
    <col min="11" max="11" width="18.41015625" style="1635" customWidth="1"/>
    <col min="12" max="12" width="25.29296875" style="1635" customWidth="1"/>
    <col min="13" max="14" width="7.703125" style="1635" customWidth="1"/>
    <col min="15" max="15" width="15.87890625" style="1635" bestFit="1" customWidth="1"/>
    <col min="16" max="16" width="16.703125" style="1635" bestFit="1" customWidth="1"/>
    <col min="17" max="99" width="7.703125" style="1635" customWidth="1"/>
    <col min="100" max="256" width="9.1171875" style="1635"/>
    <col min="257" max="257" width="9.5859375" style="1635" customWidth="1"/>
    <col min="258" max="258" width="5.703125" style="1635" customWidth="1"/>
    <col min="259" max="259" width="7.29296875" style="1635" customWidth="1"/>
    <col min="260" max="260" width="88.703125" style="1635" customWidth="1"/>
    <col min="261" max="261" width="14.5859375" style="1635" customWidth="1"/>
    <col min="262" max="262" width="11.1171875" style="1635" customWidth="1"/>
    <col min="263" max="263" width="15.1171875" style="1635" customWidth="1"/>
    <col min="264" max="264" width="16.41015625" style="1635" customWidth="1"/>
    <col min="265" max="266" width="15.1171875" style="1635" customWidth="1"/>
    <col min="267" max="267" width="18.41015625" style="1635" customWidth="1"/>
    <col min="268" max="268" width="31.87890625" style="1635" customWidth="1"/>
    <col min="269" max="355" width="7.703125" style="1635" customWidth="1"/>
    <col min="356" max="512" width="9.1171875" style="1635"/>
    <col min="513" max="513" width="9.5859375" style="1635" customWidth="1"/>
    <col min="514" max="514" width="5.703125" style="1635" customWidth="1"/>
    <col min="515" max="515" width="7.29296875" style="1635" customWidth="1"/>
    <col min="516" max="516" width="88.703125" style="1635" customWidth="1"/>
    <col min="517" max="517" width="14.5859375" style="1635" customWidth="1"/>
    <col min="518" max="518" width="11.1171875" style="1635" customWidth="1"/>
    <col min="519" max="519" width="15.1171875" style="1635" customWidth="1"/>
    <col min="520" max="520" width="16.41015625" style="1635" customWidth="1"/>
    <col min="521" max="522" width="15.1171875" style="1635" customWidth="1"/>
    <col min="523" max="523" width="18.41015625" style="1635" customWidth="1"/>
    <col min="524" max="524" width="31.87890625" style="1635" customWidth="1"/>
    <col min="525" max="611" width="7.703125" style="1635" customWidth="1"/>
    <col min="612" max="768" width="9.1171875" style="1635"/>
    <col min="769" max="769" width="9.5859375" style="1635" customWidth="1"/>
    <col min="770" max="770" width="5.703125" style="1635" customWidth="1"/>
    <col min="771" max="771" width="7.29296875" style="1635" customWidth="1"/>
    <col min="772" max="772" width="88.703125" style="1635" customWidth="1"/>
    <col min="773" max="773" width="14.5859375" style="1635" customWidth="1"/>
    <col min="774" max="774" width="11.1171875" style="1635" customWidth="1"/>
    <col min="775" max="775" width="15.1171875" style="1635" customWidth="1"/>
    <col min="776" max="776" width="16.41015625" style="1635" customWidth="1"/>
    <col min="777" max="778" width="15.1171875" style="1635" customWidth="1"/>
    <col min="779" max="779" width="18.41015625" style="1635" customWidth="1"/>
    <col min="780" max="780" width="31.87890625" style="1635" customWidth="1"/>
    <col min="781" max="867" width="7.703125" style="1635" customWidth="1"/>
    <col min="868" max="1024" width="9.1171875" style="1635"/>
    <col min="1025" max="1025" width="9.5859375" style="1635" customWidth="1"/>
    <col min="1026" max="1026" width="5.703125" style="1635" customWidth="1"/>
    <col min="1027" max="1027" width="7.29296875" style="1635" customWidth="1"/>
    <col min="1028" max="1028" width="88.703125" style="1635" customWidth="1"/>
    <col min="1029" max="1029" width="14.5859375" style="1635" customWidth="1"/>
    <col min="1030" max="1030" width="11.1171875" style="1635" customWidth="1"/>
    <col min="1031" max="1031" width="15.1171875" style="1635" customWidth="1"/>
    <col min="1032" max="1032" width="16.41015625" style="1635" customWidth="1"/>
    <col min="1033" max="1034" width="15.1171875" style="1635" customWidth="1"/>
    <col min="1035" max="1035" width="18.41015625" style="1635" customWidth="1"/>
    <col min="1036" max="1036" width="31.87890625" style="1635" customWidth="1"/>
    <col min="1037" max="1123" width="7.703125" style="1635" customWidth="1"/>
    <col min="1124" max="1280" width="9.1171875" style="1635"/>
    <col min="1281" max="1281" width="9.5859375" style="1635" customWidth="1"/>
    <col min="1282" max="1282" width="5.703125" style="1635" customWidth="1"/>
    <col min="1283" max="1283" width="7.29296875" style="1635" customWidth="1"/>
    <col min="1284" max="1284" width="88.703125" style="1635" customWidth="1"/>
    <col min="1285" max="1285" width="14.5859375" style="1635" customWidth="1"/>
    <col min="1286" max="1286" width="11.1171875" style="1635" customWidth="1"/>
    <col min="1287" max="1287" width="15.1171875" style="1635" customWidth="1"/>
    <col min="1288" max="1288" width="16.41015625" style="1635" customWidth="1"/>
    <col min="1289" max="1290" width="15.1171875" style="1635" customWidth="1"/>
    <col min="1291" max="1291" width="18.41015625" style="1635" customWidth="1"/>
    <col min="1292" max="1292" width="31.87890625" style="1635" customWidth="1"/>
    <col min="1293" max="1379" width="7.703125" style="1635" customWidth="1"/>
    <col min="1380" max="1536" width="9.1171875" style="1635"/>
    <col min="1537" max="1537" width="9.5859375" style="1635" customWidth="1"/>
    <col min="1538" max="1538" width="5.703125" style="1635" customWidth="1"/>
    <col min="1539" max="1539" width="7.29296875" style="1635" customWidth="1"/>
    <col min="1540" max="1540" width="88.703125" style="1635" customWidth="1"/>
    <col min="1541" max="1541" width="14.5859375" style="1635" customWidth="1"/>
    <col min="1542" max="1542" width="11.1171875" style="1635" customWidth="1"/>
    <col min="1543" max="1543" width="15.1171875" style="1635" customWidth="1"/>
    <col min="1544" max="1544" width="16.41015625" style="1635" customWidth="1"/>
    <col min="1545" max="1546" width="15.1171875" style="1635" customWidth="1"/>
    <col min="1547" max="1547" width="18.41015625" style="1635" customWidth="1"/>
    <col min="1548" max="1548" width="31.87890625" style="1635" customWidth="1"/>
    <col min="1549" max="1635" width="7.703125" style="1635" customWidth="1"/>
    <col min="1636" max="1792" width="9.1171875" style="1635"/>
    <col min="1793" max="1793" width="9.5859375" style="1635" customWidth="1"/>
    <col min="1794" max="1794" width="5.703125" style="1635" customWidth="1"/>
    <col min="1795" max="1795" width="7.29296875" style="1635" customWidth="1"/>
    <col min="1796" max="1796" width="88.703125" style="1635" customWidth="1"/>
    <col min="1797" max="1797" width="14.5859375" style="1635" customWidth="1"/>
    <col min="1798" max="1798" width="11.1171875" style="1635" customWidth="1"/>
    <col min="1799" max="1799" width="15.1171875" style="1635" customWidth="1"/>
    <col min="1800" max="1800" width="16.41015625" style="1635" customWidth="1"/>
    <col min="1801" max="1802" width="15.1171875" style="1635" customWidth="1"/>
    <col min="1803" max="1803" width="18.41015625" style="1635" customWidth="1"/>
    <col min="1804" max="1804" width="31.87890625" style="1635" customWidth="1"/>
    <col min="1805" max="1891" width="7.703125" style="1635" customWidth="1"/>
    <col min="1892" max="2048" width="9.1171875" style="1635"/>
    <col min="2049" max="2049" width="9.5859375" style="1635" customWidth="1"/>
    <col min="2050" max="2050" width="5.703125" style="1635" customWidth="1"/>
    <col min="2051" max="2051" width="7.29296875" style="1635" customWidth="1"/>
    <col min="2052" max="2052" width="88.703125" style="1635" customWidth="1"/>
    <col min="2053" max="2053" width="14.5859375" style="1635" customWidth="1"/>
    <col min="2054" max="2054" width="11.1171875" style="1635" customWidth="1"/>
    <col min="2055" max="2055" width="15.1171875" style="1635" customWidth="1"/>
    <col min="2056" max="2056" width="16.41015625" style="1635" customWidth="1"/>
    <col min="2057" max="2058" width="15.1171875" style="1635" customWidth="1"/>
    <col min="2059" max="2059" width="18.41015625" style="1635" customWidth="1"/>
    <col min="2060" max="2060" width="31.87890625" style="1635" customWidth="1"/>
    <col min="2061" max="2147" width="7.703125" style="1635" customWidth="1"/>
    <col min="2148" max="2304" width="9.1171875" style="1635"/>
    <col min="2305" max="2305" width="9.5859375" style="1635" customWidth="1"/>
    <col min="2306" max="2306" width="5.703125" style="1635" customWidth="1"/>
    <col min="2307" max="2307" width="7.29296875" style="1635" customWidth="1"/>
    <col min="2308" max="2308" width="88.703125" style="1635" customWidth="1"/>
    <col min="2309" max="2309" width="14.5859375" style="1635" customWidth="1"/>
    <col min="2310" max="2310" width="11.1171875" style="1635" customWidth="1"/>
    <col min="2311" max="2311" width="15.1171875" style="1635" customWidth="1"/>
    <col min="2312" max="2312" width="16.41015625" style="1635" customWidth="1"/>
    <col min="2313" max="2314" width="15.1171875" style="1635" customWidth="1"/>
    <col min="2315" max="2315" width="18.41015625" style="1635" customWidth="1"/>
    <col min="2316" max="2316" width="31.87890625" style="1635" customWidth="1"/>
    <col min="2317" max="2403" width="7.703125" style="1635" customWidth="1"/>
    <col min="2404" max="2560" width="9.1171875" style="1635"/>
    <col min="2561" max="2561" width="9.5859375" style="1635" customWidth="1"/>
    <col min="2562" max="2562" width="5.703125" style="1635" customWidth="1"/>
    <col min="2563" max="2563" width="7.29296875" style="1635" customWidth="1"/>
    <col min="2564" max="2564" width="88.703125" style="1635" customWidth="1"/>
    <col min="2565" max="2565" width="14.5859375" style="1635" customWidth="1"/>
    <col min="2566" max="2566" width="11.1171875" style="1635" customWidth="1"/>
    <col min="2567" max="2567" width="15.1171875" style="1635" customWidth="1"/>
    <col min="2568" max="2568" width="16.41015625" style="1635" customWidth="1"/>
    <col min="2569" max="2570" width="15.1171875" style="1635" customWidth="1"/>
    <col min="2571" max="2571" width="18.41015625" style="1635" customWidth="1"/>
    <col min="2572" max="2572" width="31.87890625" style="1635" customWidth="1"/>
    <col min="2573" max="2659" width="7.703125" style="1635" customWidth="1"/>
    <col min="2660" max="2816" width="9.1171875" style="1635"/>
    <col min="2817" max="2817" width="9.5859375" style="1635" customWidth="1"/>
    <col min="2818" max="2818" width="5.703125" style="1635" customWidth="1"/>
    <col min="2819" max="2819" width="7.29296875" style="1635" customWidth="1"/>
    <col min="2820" max="2820" width="88.703125" style="1635" customWidth="1"/>
    <col min="2821" max="2821" width="14.5859375" style="1635" customWidth="1"/>
    <col min="2822" max="2822" width="11.1171875" style="1635" customWidth="1"/>
    <col min="2823" max="2823" width="15.1171875" style="1635" customWidth="1"/>
    <col min="2824" max="2824" width="16.41015625" style="1635" customWidth="1"/>
    <col min="2825" max="2826" width="15.1171875" style="1635" customWidth="1"/>
    <col min="2827" max="2827" width="18.41015625" style="1635" customWidth="1"/>
    <col min="2828" max="2828" width="31.87890625" style="1635" customWidth="1"/>
    <col min="2829" max="2915" width="7.703125" style="1635" customWidth="1"/>
    <col min="2916" max="3072" width="9.1171875" style="1635"/>
    <col min="3073" max="3073" width="9.5859375" style="1635" customWidth="1"/>
    <col min="3074" max="3074" width="5.703125" style="1635" customWidth="1"/>
    <col min="3075" max="3075" width="7.29296875" style="1635" customWidth="1"/>
    <col min="3076" max="3076" width="88.703125" style="1635" customWidth="1"/>
    <col min="3077" max="3077" width="14.5859375" style="1635" customWidth="1"/>
    <col min="3078" max="3078" width="11.1171875" style="1635" customWidth="1"/>
    <col min="3079" max="3079" width="15.1171875" style="1635" customWidth="1"/>
    <col min="3080" max="3080" width="16.41015625" style="1635" customWidth="1"/>
    <col min="3081" max="3082" width="15.1171875" style="1635" customWidth="1"/>
    <col min="3083" max="3083" width="18.41015625" style="1635" customWidth="1"/>
    <col min="3084" max="3084" width="31.87890625" style="1635" customWidth="1"/>
    <col min="3085" max="3171" width="7.703125" style="1635" customWidth="1"/>
    <col min="3172" max="3328" width="9.1171875" style="1635"/>
    <col min="3329" max="3329" width="9.5859375" style="1635" customWidth="1"/>
    <col min="3330" max="3330" width="5.703125" style="1635" customWidth="1"/>
    <col min="3331" max="3331" width="7.29296875" style="1635" customWidth="1"/>
    <col min="3332" max="3332" width="88.703125" style="1635" customWidth="1"/>
    <col min="3333" max="3333" width="14.5859375" style="1635" customWidth="1"/>
    <col min="3334" max="3334" width="11.1171875" style="1635" customWidth="1"/>
    <col min="3335" max="3335" width="15.1171875" style="1635" customWidth="1"/>
    <col min="3336" max="3336" width="16.41015625" style="1635" customWidth="1"/>
    <col min="3337" max="3338" width="15.1171875" style="1635" customWidth="1"/>
    <col min="3339" max="3339" width="18.41015625" style="1635" customWidth="1"/>
    <col min="3340" max="3340" width="31.87890625" style="1635" customWidth="1"/>
    <col min="3341" max="3427" width="7.703125" style="1635" customWidth="1"/>
    <col min="3428" max="3584" width="9.1171875" style="1635"/>
    <col min="3585" max="3585" width="9.5859375" style="1635" customWidth="1"/>
    <col min="3586" max="3586" width="5.703125" style="1635" customWidth="1"/>
    <col min="3587" max="3587" width="7.29296875" style="1635" customWidth="1"/>
    <col min="3588" max="3588" width="88.703125" style="1635" customWidth="1"/>
    <col min="3589" max="3589" width="14.5859375" style="1635" customWidth="1"/>
    <col min="3590" max="3590" width="11.1171875" style="1635" customWidth="1"/>
    <col min="3591" max="3591" width="15.1171875" style="1635" customWidth="1"/>
    <col min="3592" max="3592" width="16.41015625" style="1635" customWidth="1"/>
    <col min="3593" max="3594" width="15.1171875" style="1635" customWidth="1"/>
    <col min="3595" max="3595" width="18.41015625" style="1635" customWidth="1"/>
    <col min="3596" max="3596" width="31.87890625" style="1635" customWidth="1"/>
    <col min="3597" max="3683" width="7.703125" style="1635" customWidth="1"/>
    <col min="3684" max="3840" width="9.1171875" style="1635"/>
    <col min="3841" max="3841" width="9.5859375" style="1635" customWidth="1"/>
    <col min="3842" max="3842" width="5.703125" style="1635" customWidth="1"/>
    <col min="3843" max="3843" width="7.29296875" style="1635" customWidth="1"/>
    <col min="3844" max="3844" width="88.703125" style="1635" customWidth="1"/>
    <col min="3845" max="3845" width="14.5859375" style="1635" customWidth="1"/>
    <col min="3846" max="3846" width="11.1171875" style="1635" customWidth="1"/>
    <col min="3847" max="3847" width="15.1171875" style="1635" customWidth="1"/>
    <col min="3848" max="3848" width="16.41015625" style="1635" customWidth="1"/>
    <col min="3849" max="3850" width="15.1171875" style="1635" customWidth="1"/>
    <col min="3851" max="3851" width="18.41015625" style="1635" customWidth="1"/>
    <col min="3852" max="3852" width="31.87890625" style="1635" customWidth="1"/>
    <col min="3853" max="3939" width="7.703125" style="1635" customWidth="1"/>
    <col min="3940" max="4096" width="9.1171875" style="1635"/>
    <col min="4097" max="4097" width="9.5859375" style="1635" customWidth="1"/>
    <col min="4098" max="4098" width="5.703125" style="1635" customWidth="1"/>
    <col min="4099" max="4099" width="7.29296875" style="1635" customWidth="1"/>
    <col min="4100" max="4100" width="88.703125" style="1635" customWidth="1"/>
    <col min="4101" max="4101" width="14.5859375" style="1635" customWidth="1"/>
    <col min="4102" max="4102" width="11.1171875" style="1635" customWidth="1"/>
    <col min="4103" max="4103" width="15.1171875" style="1635" customWidth="1"/>
    <col min="4104" max="4104" width="16.41015625" style="1635" customWidth="1"/>
    <col min="4105" max="4106" width="15.1171875" style="1635" customWidth="1"/>
    <col min="4107" max="4107" width="18.41015625" style="1635" customWidth="1"/>
    <col min="4108" max="4108" width="31.87890625" style="1635" customWidth="1"/>
    <col min="4109" max="4195" width="7.703125" style="1635" customWidth="1"/>
    <col min="4196" max="4352" width="9.1171875" style="1635"/>
    <col min="4353" max="4353" width="9.5859375" style="1635" customWidth="1"/>
    <col min="4354" max="4354" width="5.703125" style="1635" customWidth="1"/>
    <col min="4355" max="4355" width="7.29296875" style="1635" customWidth="1"/>
    <col min="4356" max="4356" width="88.703125" style="1635" customWidth="1"/>
    <col min="4357" max="4357" width="14.5859375" style="1635" customWidth="1"/>
    <col min="4358" max="4358" width="11.1171875" style="1635" customWidth="1"/>
    <col min="4359" max="4359" width="15.1171875" style="1635" customWidth="1"/>
    <col min="4360" max="4360" width="16.41015625" style="1635" customWidth="1"/>
    <col min="4361" max="4362" width="15.1171875" style="1635" customWidth="1"/>
    <col min="4363" max="4363" width="18.41015625" style="1635" customWidth="1"/>
    <col min="4364" max="4364" width="31.87890625" style="1635" customWidth="1"/>
    <col min="4365" max="4451" width="7.703125" style="1635" customWidth="1"/>
    <col min="4452" max="4608" width="9.1171875" style="1635"/>
    <col min="4609" max="4609" width="9.5859375" style="1635" customWidth="1"/>
    <col min="4610" max="4610" width="5.703125" style="1635" customWidth="1"/>
    <col min="4611" max="4611" width="7.29296875" style="1635" customWidth="1"/>
    <col min="4612" max="4612" width="88.703125" style="1635" customWidth="1"/>
    <col min="4613" max="4613" width="14.5859375" style="1635" customWidth="1"/>
    <col min="4614" max="4614" width="11.1171875" style="1635" customWidth="1"/>
    <col min="4615" max="4615" width="15.1171875" style="1635" customWidth="1"/>
    <col min="4616" max="4616" width="16.41015625" style="1635" customWidth="1"/>
    <col min="4617" max="4618" width="15.1171875" style="1635" customWidth="1"/>
    <col min="4619" max="4619" width="18.41015625" style="1635" customWidth="1"/>
    <col min="4620" max="4620" width="31.87890625" style="1635" customWidth="1"/>
    <col min="4621" max="4707" width="7.703125" style="1635" customWidth="1"/>
    <col min="4708" max="4864" width="9.1171875" style="1635"/>
    <col min="4865" max="4865" width="9.5859375" style="1635" customWidth="1"/>
    <col min="4866" max="4866" width="5.703125" style="1635" customWidth="1"/>
    <col min="4867" max="4867" width="7.29296875" style="1635" customWidth="1"/>
    <col min="4868" max="4868" width="88.703125" style="1635" customWidth="1"/>
    <col min="4869" max="4869" width="14.5859375" style="1635" customWidth="1"/>
    <col min="4870" max="4870" width="11.1171875" style="1635" customWidth="1"/>
    <col min="4871" max="4871" width="15.1171875" style="1635" customWidth="1"/>
    <col min="4872" max="4872" width="16.41015625" style="1635" customWidth="1"/>
    <col min="4873" max="4874" width="15.1171875" style="1635" customWidth="1"/>
    <col min="4875" max="4875" width="18.41015625" style="1635" customWidth="1"/>
    <col min="4876" max="4876" width="31.87890625" style="1635" customWidth="1"/>
    <col min="4877" max="4963" width="7.703125" style="1635" customWidth="1"/>
    <col min="4964" max="5120" width="9.1171875" style="1635"/>
    <col min="5121" max="5121" width="9.5859375" style="1635" customWidth="1"/>
    <col min="5122" max="5122" width="5.703125" style="1635" customWidth="1"/>
    <col min="5123" max="5123" width="7.29296875" style="1635" customWidth="1"/>
    <col min="5124" max="5124" width="88.703125" style="1635" customWidth="1"/>
    <col min="5125" max="5125" width="14.5859375" style="1635" customWidth="1"/>
    <col min="5126" max="5126" width="11.1171875" style="1635" customWidth="1"/>
    <col min="5127" max="5127" width="15.1171875" style="1635" customWidth="1"/>
    <col min="5128" max="5128" width="16.41015625" style="1635" customWidth="1"/>
    <col min="5129" max="5130" width="15.1171875" style="1635" customWidth="1"/>
    <col min="5131" max="5131" width="18.41015625" style="1635" customWidth="1"/>
    <col min="5132" max="5132" width="31.87890625" style="1635" customWidth="1"/>
    <col min="5133" max="5219" width="7.703125" style="1635" customWidth="1"/>
    <col min="5220" max="5376" width="9.1171875" style="1635"/>
    <col min="5377" max="5377" width="9.5859375" style="1635" customWidth="1"/>
    <col min="5378" max="5378" width="5.703125" style="1635" customWidth="1"/>
    <col min="5379" max="5379" width="7.29296875" style="1635" customWidth="1"/>
    <col min="5380" max="5380" width="88.703125" style="1635" customWidth="1"/>
    <col min="5381" max="5381" width="14.5859375" style="1635" customWidth="1"/>
    <col min="5382" max="5382" width="11.1171875" style="1635" customWidth="1"/>
    <col min="5383" max="5383" width="15.1171875" style="1635" customWidth="1"/>
    <col min="5384" max="5384" width="16.41015625" style="1635" customWidth="1"/>
    <col min="5385" max="5386" width="15.1171875" style="1635" customWidth="1"/>
    <col min="5387" max="5387" width="18.41015625" style="1635" customWidth="1"/>
    <col min="5388" max="5388" width="31.87890625" style="1635" customWidth="1"/>
    <col min="5389" max="5475" width="7.703125" style="1635" customWidth="1"/>
    <col min="5476" max="5632" width="9.1171875" style="1635"/>
    <col min="5633" max="5633" width="9.5859375" style="1635" customWidth="1"/>
    <col min="5634" max="5634" width="5.703125" style="1635" customWidth="1"/>
    <col min="5635" max="5635" width="7.29296875" style="1635" customWidth="1"/>
    <col min="5636" max="5636" width="88.703125" style="1635" customWidth="1"/>
    <col min="5637" max="5637" width="14.5859375" style="1635" customWidth="1"/>
    <col min="5638" max="5638" width="11.1171875" style="1635" customWidth="1"/>
    <col min="5639" max="5639" width="15.1171875" style="1635" customWidth="1"/>
    <col min="5640" max="5640" width="16.41015625" style="1635" customWidth="1"/>
    <col min="5641" max="5642" width="15.1171875" style="1635" customWidth="1"/>
    <col min="5643" max="5643" width="18.41015625" style="1635" customWidth="1"/>
    <col min="5644" max="5644" width="31.87890625" style="1635" customWidth="1"/>
    <col min="5645" max="5731" width="7.703125" style="1635" customWidth="1"/>
    <col min="5732" max="5888" width="9.1171875" style="1635"/>
    <col min="5889" max="5889" width="9.5859375" style="1635" customWidth="1"/>
    <col min="5890" max="5890" width="5.703125" style="1635" customWidth="1"/>
    <col min="5891" max="5891" width="7.29296875" style="1635" customWidth="1"/>
    <col min="5892" max="5892" width="88.703125" style="1635" customWidth="1"/>
    <col min="5893" max="5893" width="14.5859375" style="1635" customWidth="1"/>
    <col min="5894" max="5894" width="11.1171875" style="1635" customWidth="1"/>
    <col min="5895" max="5895" width="15.1171875" style="1635" customWidth="1"/>
    <col min="5896" max="5896" width="16.41015625" style="1635" customWidth="1"/>
    <col min="5897" max="5898" width="15.1171875" style="1635" customWidth="1"/>
    <col min="5899" max="5899" width="18.41015625" style="1635" customWidth="1"/>
    <col min="5900" max="5900" width="31.87890625" style="1635" customWidth="1"/>
    <col min="5901" max="5987" width="7.703125" style="1635" customWidth="1"/>
    <col min="5988" max="6144" width="9.1171875" style="1635"/>
    <col min="6145" max="6145" width="9.5859375" style="1635" customWidth="1"/>
    <col min="6146" max="6146" width="5.703125" style="1635" customWidth="1"/>
    <col min="6147" max="6147" width="7.29296875" style="1635" customWidth="1"/>
    <col min="6148" max="6148" width="88.703125" style="1635" customWidth="1"/>
    <col min="6149" max="6149" width="14.5859375" style="1635" customWidth="1"/>
    <col min="6150" max="6150" width="11.1171875" style="1635" customWidth="1"/>
    <col min="6151" max="6151" width="15.1171875" style="1635" customWidth="1"/>
    <col min="6152" max="6152" width="16.41015625" style="1635" customWidth="1"/>
    <col min="6153" max="6154" width="15.1171875" style="1635" customWidth="1"/>
    <col min="6155" max="6155" width="18.41015625" style="1635" customWidth="1"/>
    <col min="6156" max="6156" width="31.87890625" style="1635" customWidth="1"/>
    <col min="6157" max="6243" width="7.703125" style="1635" customWidth="1"/>
    <col min="6244" max="6400" width="9.1171875" style="1635"/>
    <col min="6401" max="6401" width="9.5859375" style="1635" customWidth="1"/>
    <col min="6402" max="6402" width="5.703125" style="1635" customWidth="1"/>
    <col min="6403" max="6403" width="7.29296875" style="1635" customWidth="1"/>
    <col min="6404" max="6404" width="88.703125" style="1635" customWidth="1"/>
    <col min="6405" max="6405" width="14.5859375" style="1635" customWidth="1"/>
    <col min="6406" max="6406" width="11.1171875" style="1635" customWidth="1"/>
    <col min="6407" max="6407" width="15.1171875" style="1635" customWidth="1"/>
    <col min="6408" max="6408" width="16.41015625" style="1635" customWidth="1"/>
    <col min="6409" max="6410" width="15.1171875" style="1635" customWidth="1"/>
    <col min="6411" max="6411" width="18.41015625" style="1635" customWidth="1"/>
    <col min="6412" max="6412" width="31.87890625" style="1635" customWidth="1"/>
    <col min="6413" max="6499" width="7.703125" style="1635" customWidth="1"/>
    <col min="6500" max="6656" width="9.1171875" style="1635"/>
    <col min="6657" max="6657" width="9.5859375" style="1635" customWidth="1"/>
    <col min="6658" max="6658" width="5.703125" style="1635" customWidth="1"/>
    <col min="6659" max="6659" width="7.29296875" style="1635" customWidth="1"/>
    <col min="6660" max="6660" width="88.703125" style="1635" customWidth="1"/>
    <col min="6661" max="6661" width="14.5859375" style="1635" customWidth="1"/>
    <col min="6662" max="6662" width="11.1171875" style="1635" customWidth="1"/>
    <col min="6663" max="6663" width="15.1171875" style="1635" customWidth="1"/>
    <col min="6664" max="6664" width="16.41015625" style="1635" customWidth="1"/>
    <col min="6665" max="6666" width="15.1171875" style="1635" customWidth="1"/>
    <col min="6667" max="6667" width="18.41015625" style="1635" customWidth="1"/>
    <col min="6668" max="6668" width="31.87890625" style="1635" customWidth="1"/>
    <col min="6669" max="6755" width="7.703125" style="1635" customWidth="1"/>
    <col min="6756" max="6912" width="9.1171875" style="1635"/>
    <col min="6913" max="6913" width="9.5859375" style="1635" customWidth="1"/>
    <col min="6914" max="6914" width="5.703125" style="1635" customWidth="1"/>
    <col min="6915" max="6915" width="7.29296875" style="1635" customWidth="1"/>
    <col min="6916" max="6916" width="88.703125" style="1635" customWidth="1"/>
    <col min="6917" max="6917" width="14.5859375" style="1635" customWidth="1"/>
    <col min="6918" max="6918" width="11.1171875" style="1635" customWidth="1"/>
    <col min="6919" max="6919" width="15.1171875" style="1635" customWidth="1"/>
    <col min="6920" max="6920" width="16.41015625" style="1635" customWidth="1"/>
    <col min="6921" max="6922" width="15.1171875" style="1635" customWidth="1"/>
    <col min="6923" max="6923" width="18.41015625" style="1635" customWidth="1"/>
    <col min="6924" max="6924" width="31.87890625" style="1635" customWidth="1"/>
    <col min="6925" max="7011" width="7.703125" style="1635" customWidth="1"/>
    <col min="7012" max="7168" width="9.1171875" style="1635"/>
    <col min="7169" max="7169" width="9.5859375" style="1635" customWidth="1"/>
    <col min="7170" max="7170" width="5.703125" style="1635" customWidth="1"/>
    <col min="7171" max="7171" width="7.29296875" style="1635" customWidth="1"/>
    <col min="7172" max="7172" width="88.703125" style="1635" customWidth="1"/>
    <col min="7173" max="7173" width="14.5859375" style="1635" customWidth="1"/>
    <col min="7174" max="7174" width="11.1171875" style="1635" customWidth="1"/>
    <col min="7175" max="7175" width="15.1171875" style="1635" customWidth="1"/>
    <col min="7176" max="7176" width="16.41015625" style="1635" customWidth="1"/>
    <col min="7177" max="7178" width="15.1171875" style="1635" customWidth="1"/>
    <col min="7179" max="7179" width="18.41015625" style="1635" customWidth="1"/>
    <col min="7180" max="7180" width="31.87890625" style="1635" customWidth="1"/>
    <col min="7181" max="7267" width="7.703125" style="1635" customWidth="1"/>
    <col min="7268" max="7424" width="9.1171875" style="1635"/>
    <col min="7425" max="7425" width="9.5859375" style="1635" customWidth="1"/>
    <col min="7426" max="7426" width="5.703125" style="1635" customWidth="1"/>
    <col min="7427" max="7427" width="7.29296875" style="1635" customWidth="1"/>
    <col min="7428" max="7428" width="88.703125" style="1635" customWidth="1"/>
    <col min="7429" max="7429" width="14.5859375" style="1635" customWidth="1"/>
    <col min="7430" max="7430" width="11.1171875" style="1635" customWidth="1"/>
    <col min="7431" max="7431" width="15.1171875" style="1635" customWidth="1"/>
    <col min="7432" max="7432" width="16.41015625" style="1635" customWidth="1"/>
    <col min="7433" max="7434" width="15.1171875" style="1635" customWidth="1"/>
    <col min="7435" max="7435" width="18.41015625" style="1635" customWidth="1"/>
    <col min="7436" max="7436" width="31.87890625" style="1635" customWidth="1"/>
    <col min="7437" max="7523" width="7.703125" style="1635" customWidth="1"/>
    <col min="7524" max="7680" width="9.1171875" style="1635"/>
    <col min="7681" max="7681" width="9.5859375" style="1635" customWidth="1"/>
    <col min="7682" max="7682" width="5.703125" style="1635" customWidth="1"/>
    <col min="7683" max="7683" width="7.29296875" style="1635" customWidth="1"/>
    <col min="7684" max="7684" width="88.703125" style="1635" customWidth="1"/>
    <col min="7685" max="7685" width="14.5859375" style="1635" customWidth="1"/>
    <col min="7686" max="7686" width="11.1171875" style="1635" customWidth="1"/>
    <col min="7687" max="7687" width="15.1171875" style="1635" customWidth="1"/>
    <col min="7688" max="7688" width="16.41015625" style="1635" customWidth="1"/>
    <col min="7689" max="7690" width="15.1171875" style="1635" customWidth="1"/>
    <col min="7691" max="7691" width="18.41015625" style="1635" customWidth="1"/>
    <col min="7692" max="7692" width="31.87890625" style="1635" customWidth="1"/>
    <col min="7693" max="7779" width="7.703125" style="1635" customWidth="1"/>
    <col min="7780" max="7936" width="9.1171875" style="1635"/>
    <col min="7937" max="7937" width="9.5859375" style="1635" customWidth="1"/>
    <col min="7938" max="7938" width="5.703125" style="1635" customWidth="1"/>
    <col min="7939" max="7939" width="7.29296875" style="1635" customWidth="1"/>
    <col min="7940" max="7940" width="88.703125" style="1635" customWidth="1"/>
    <col min="7941" max="7941" width="14.5859375" style="1635" customWidth="1"/>
    <col min="7942" max="7942" width="11.1171875" style="1635" customWidth="1"/>
    <col min="7943" max="7943" width="15.1171875" style="1635" customWidth="1"/>
    <col min="7944" max="7944" width="16.41015625" style="1635" customWidth="1"/>
    <col min="7945" max="7946" width="15.1171875" style="1635" customWidth="1"/>
    <col min="7947" max="7947" width="18.41015625" style="1635" customWidth="1"/>
    <col min="7948" max="7948" width="31.87890625" style="1635" customWidth="1"/>
    <col min="7949" max="8035" width="7.703125" style="1635" customWidth="1"/>
    <col min="8036" max="8192" width="9.1171875" style="1635"/>
    <col min="8193" max="8193" width="9.5859375" style="1635" customWidth="1"/>
    <col min="8194" max="8194" width="5.703125" style="1635" customWidth="1"/>
    <col min="8195" max="8195" width="7.29296875" style="1635" customWidth="1"/>
    <col min="8196" max="8196" width="88.703125" style="1635" customWidth="1"/>
    <col min="8197" max="8197" width="14.5859375" style="1635" customWidth="1"/>
    <col min="8198" max="8198" width="11.1171875" style="1635" customWidth="1"/>
    <col min="8199" max="8199" width="15.1171875" style="1635" customWidth="1"/>
    <col min="8200" max="8200" width="16.41015625" style="1635" customWidth="1"/>
    <col min="8201" max="8202" width="15.1171875" style="1635" customWidth="1"/>
    <col min="8203" max="8203" width="18.41015625" style="1635" customWidth="1"/>
    <col min="8204" max="8204" width="31.87890625" style="1635" customWidth="1"/>
    <col min="8205" max="8291" width="7.703125" style="1635" customWidth="1"/>
    <col min="8292" max="8448" width="9.1171875" style="1635"/>
    <col min="8449" max="8449" width="9.5859375" style="1635" customWidth="1"/>
    <col min="8450" max="8450" width="5.703125" style="1635" customWidth="1"/>
    <col min="8451" max="8451" width="7.29296875" style="1635" customWidth="1"/>
    <col min="8452" max="8452" width="88.703125" style="1635" customWidth="1"/>
    <col min="8453" max="8453" width="14.5859375" style="1635" customWidth="1"/>
    <col min="8454" max="8454" width="11.1171875" style="1635" customWidth="1"/>
    <col min="8455" max="8455" width="15.1171875" style="1635" customWidth="1"/>
    <col min="8456" max="8456" width="16.41015625" style="1635" customWidth="1"/>
    <col min="8457" max="8458" width="15.1171875" style="1635" customWidth="1"/>
    <col min="8459" max="8459" width="18.41015625" style="1635" customWidth="1"/>
    <col min="8460" max="8460" width="31.87890625" style="1635" customWidth="1"/>
    <col min="8461" max="8547" width="7.703125" style="1635" customWidth="1"/>
    <col min="8548" max="8704" width="9.1171875" style="1635"/>
    <col min="8705" max="8705" width="9.5859375" style="1635" customWidth="1"/>
    <col min="8706" max="8706" width="5.703125" style="1635" customWidth="1"/>
    <col min="8707" max="8707" width="7.29296875" style="1635" customWidth="1"/>
    <col min="8708" max="8708" width="88.703125" style="1635" customWidth="1"/>
    <col min="8709" max="8709" width="14.5859375" style="1635" customWidth="1"/>
    <col min="8710" max="8710" width="11.1171875" style="1635" customWidth="1"/>
    <col min="8711" max="8711" width="15.1171875" style="1635" customWidth="1"/>
    <col min="8712" max="8712" width="16.41015625" style="1635" customWidth="1"/>
    <col min="8713" max="8714" width="15.1171875" style="1635" customWidth="1"/>
    <col min="8715" max="8715" width="18.41015625" style="1635" customWidth="1"/>
    <col min="8716" max="8716" width="31.87890625" style="1635" customWidth="1"/>
    <col min="8717" max="8803" width="7.703125" style="1635" customWidth="1"/>
    <col min="8804" max="8960" width="9.1171875" style="1635"/>
    <col min="8961" max="8961" width="9.5859375" style="1635" customWidth="1"/>
    <col min="8962" max="8962" width="5.703125" style="1635" customWidth="1"/>
    <col min="8963" max="8963" width="7.29296875" style="1635" customWidth="1"/>
    <col min="8964" max="8964" width="88.703125" style="1635" customWidth="1"/>
    <col min="8965" max="8965" width="14.5859375" style="1635" customWidth="1"/>
    <col min="8966" max="8966" width="11.1171875" style="1635" customWidth="1"/>
    <col min="8967" max="8967" width="15.1171875" style="1635" customWidth="1"/>
    <col min="8968" max="8968" width="16.41015625" style="1635" customWidth="1"/>
    <col min="8969" max="8970" width="15.1171875" style="1635" customWidth="1"/>
    <col min="8971" max="8971" width="18.41015625" style="1635" customWidth="1"/>
    <col min="8972" max="8972" width="31.87890625" style="1635" customWidth="1"/>
    <col min="8973" max="9059" width="7.703125" style="1635" customWidth="1"/>
    <col min="9060" max="9216" width="9.1171875" style="1635"/>
    <col min="9217" max="9217" width="9.5859375" style="1635" customWidth="1"/>
    <col min="9218" max="9218" width="5.703125" style="1635" customWidth="1"/>
    <col min="9219" max="9219" width="7.29296875" style="1635" customWidth="1"/>
    <col min="9220" max="9220" width="88.703125" style="1635" customWidth="1"/>
    <col min="9221" max="9221" width="14.5859375" style="1635" customWidth="1"/>
    <col min="9222" max="9222" width="11.1171875" style="1635" customWidth="1"/>
    <col min="9223" max="9223" width="15.1171875" style="1635" customWidth="1"/>
    <col min="9224" max="9224" width="16.41015625" style="1635" customWidth="1"/>
    <col min="9225" max="9226" width="15.1171875" style="1635" customWidth="1"/>
    <col min="9227" max="9227" width="18.41015625" style="1635" customWidth="1"/>
    <col min="9228" max="9228" width="31.87890625" style="1635" customWidth="1"/>
    <col min="9229" max="9315" width="7.703125" style="1635" customWidth="1"/>
    <col min="9316" max="9472" width="9.1171875" style="1635"/>
    <col min="9473" max="9473" width="9.5859375" style="1635" customWidth="1"/>
    <col min="9474" max="9474" width="5.703125" style="1635" customWidth="1"/>
    <col min="9475" max="9475" width="7.29296875" style="1635" customWidth="1"/>
    <col min="9476" max="9476" width="88.703125" style="1635" customWidth="1"/>
    <col min="9477" max="9477" width="14.5859375" style="1635" customWidth="1"/>
    <col min="9478" max="9478" width="11.1171875" style="1635" customWidth="1"/>
    <col min="9479" max="9479" width="15.1171875" style="1635" customWidth="1"/>
    <col min="9480" max="9480" width="16.41015625" style="1635" customWidth="1"/>
    <col min="9481" max="9482" width="15.1171875" style="1635" customWidth="1"/>
    <col min="9483" max="9483" width="18.41015625" style="1635" customWidth="1"/>
    <col min="9484" max="9484" width="31.87890625" style="1635" customWidth="1"/>
    <col min="9485" max="9571" width="7.703125" style="1635" customWidth="1"/>
    <col min="9572" max="9728" width="9.1171875" style="1635"/>
    <col min="9729" max="9729" width="9.5859375" style="1635" customWidth="1"/>
    <col min="9730" max="9730" width="5.703125" style="1635" customWidth="1"/>
    <col min="9731" max="9731" width="7.29296875" style="1635" customWidth="1"/>
    <col min="9732" max="9732" width="88.703125" style="1635" customWidth="1"/>
    <col min="9733" max="9733" width="14.5859375" style="1635" customWidth="1"/>
    <col min="9734" max="9734" width="11.1171875" style="1635" customWidth="1"/>
    <col min="9735" max="9735" width="15.1171875" style="1635" customWidth="1"/>
    <col min="9736" max="9736" width="16.41015625" style="1635" customWidth="1"/>
    <col min="9737" max="9738" width="15.1171875" style="1635" customWidth="1"/>
    <col min="9739" max="9739" width="18.41015625" style="1635" customWidth="1"/>
    <col min="9740" max="9740" width="31.87890625" style="1635" customWidth="1"/>
    <col min="9741" max="9827" width="7.703125" style="1635" customWidth="1"/>
    <col min="9828" max="9984" width="9.1171875" style="1635"/>
    <col min="9985" max="9985" width="9.5859375" style="1635" customWidth="1"/>
    <col min="9986" max="9986" width="5.703125" style="1635" customWidth="1"/>
    <col min="9987" max="9987" width="7.29296875" style="1635" customWidth="1"/>
    <col min="9988" max="9988" width="88.703125" style="1635" customWidth="1"/>
    <col min="9989" max="9989" width="14.5859375" style="1635" customWidth="1"/>
    <col min="9990" max="9990" width="11.1171875" style="1635" customWidth="1"/>
    <col min="9991" max="9991" width="15.1171875" style="1635" customWidth="1"/>
    <col min="9992" max="9992" width="16.41015625" style="1635" customWidth="1"/>
    <col min="9993" max="9994" width="15.1171875" style="1635" customWidth="1"/>
    <col min="9995" max="9995" width="18.41015625" style="1635" customWidth="1"/>
    <col min="9996" max="9996" width="31.87890625" style="1635" customWidth="1"/>
    <col min="9997" max="10083" width="7.703125" style="1635" customWidth="1"/>
    <col min="10084" max="10240" width="9.1171875" style="1635"/>
    <col min="10241" max="10241" width="9.5859375" style="1635" customWidth="1"/>
    <col min="10242" max="10242" width="5.703125" style="1635" customWidth="1"/>
    <col min="10243" max="10243" width="7.29296875" style="1635" customWidth="1"/>
    <col min="10244" max="10244" width="88.703125" style="1635" customWidth="1"/>
    <col min="10245" max="10245" width="14.5859375" style="1635" customWidth="1"/>
    <col min="10246" max="10246" width="11.1171875" style="1635" customWidth="1"/>
    <col min="10247" max="10247" width="15.1171875" style="1635" customWidth="1"/>
    <col min="10248" max="10248" width="16.41015625" style="1635" customWidth="1"/>
    <col min="10249" max="10250" width="15.1171875" style="1635" customWidth="1"/>
    <col min="10251" max="10251" width="18.41015625" style="1635" customWidth="1"/>
    <col min="10252" max="10252" width="31.87890625" style="1635" customWidth="1"/>
    <col min="10253" max="10339" width="7.703125" style="1635" customWidth="1"/>
    <col min="10340" max="10496" width="9.1171875" style="1635"/>
    <col min="10497" max="10497" width="9.5859375" style="1635" customWidth="1"/>
    <col min="10498" max="10498" width="5.703125" style="1635" customWidth="1"/>
    <col min="10499" max="10499" width="7.29296875" style="1635" customWidth="1"/>
    <col min="10500" max="10500" width="88.703125" style="1635" customWidth="1"/>
    <col min="10501" max="10501" width="14.5859375" style="1635" customWidth="1"/>
    <col min="10502" max="10502" width="11.1171875" style="1635" customWidth="1"/>
    <col min="10503" max="10503" width="15.1171875" style="1635" customWidth="1"/>
    <col min="10504" max="10504" width="16.41015625" style="1635" customWidth="1"/>
    <col min="10505" max="10506" width="15.1171875" style="1635" customWidth="1"/>
    <col min="10507" max="10507" width="18.41015625" style="1635" customWidth="1"/>
    <col min="10508" max="10508" width="31.87890625" style="1635" customWidth="1"/>
    <col min="10509" max="10595" width="7.703125" style="1635" customWidth="1"/>
    <col min="10596" max="10752" width="9.1171875" style="1635"/>
    <col min="10753" max="10753" width="9.5859375" style="1635" customWidth="1"/>
    <col min="10754" max="10754" width="5.703125" style="1635" customWidth="1"/>
    <col min="10755" max="10755" width="7.29296875" style="1635" customWidth="1"/>
    <col min="10756" max="10756" width="88.703125" style="1635" customWidth="1"/>
    <col min="10757" max="10757" width="14.5859375" style="1635" customWidth="1"/>
    <col min="10758" max="10758" width="11.1171875" style="1635" customWidth="1"/>
    <col min="10759" max="10759" width="15.1171875" style="1635" customWidth="1"/>
    <col min="10760" max="10760" width="16.41015625" style="1635" customWidth="1"/>
    <col min="10761" max="10762" width="15.1171875" style="1635" customWidth="1"/>
    <col min="10763" max="10763" width="18.41015625" style="1635" customWidth="1"/>
    <col min="10764" max="10764" width="31.87890625" style="1635" customWidth="1"/>
    <col min="10765" max="10851" width="7.703125" style="1635" customWidth="1"/>
    <col min="10852" max="11008" width="9.1171875" style="1635"/>
    <col min="11009" max="11009" width="9.5859375" style="1635" customWidth="1"/>
    <col min="11010" max="11010" width="5.703125" style="1635" customWidth="1"/>
    <col min="11011" max="11011" width="7.29296875" style="1635" customWidth="1"/>
    <col min="11012" max="11012" width="88.703125" style="1635" customWidth="1"/>
    <col min="11013" max="11013" width="14.5859375" style="1635" customWidth="1"/>
    <col min="11014" max="11014" width="11.1171875" style="1635" customWidth="1"/>
    <col min="11015" max="11015" width="15.1171875" style="1635" customWidth="1"/>
    <col min="11016" max="11016" width="16.41015625" style="1635" customWidth="1"/>
    <col min="11017" max="11018" width="15.1171875" style="1635" customWidth="1"/>
    <col min="11019" max="11019" width="18.41015625" style="1635" customWidth="1"/>
    <col min="11020" max="11020" width="31.87890625" style="1635" customWidth="1"/>
    <col min="11021" max="11107" width="7.703125" style="1635" customWidth="1"/>
    <col min="11108" max="11264" width="9.1171875" style="1635"/>
    <col min="11265" max="11265" width="9.5859375" style="1635" customWidth="1"/>
    <col min="11266" max="11266" width="5.703125" style="1635" customWidth="1"/>
    <col min="11267" max="11267" width="7.29296875" style="1635" customWidth="1"/>
    <col min="11268" max="11268" width="88.703125" style="1635" customWidth="1"/>
    <col min="11269" max="11269" width="14.5859375" style="1635" customWidth="1"/>
    <col min="11270" max="11270" width="11.1171875" style="1635" customWidth="1"/>
    <col min="11271" max="11271" width="15.1171875" style="1635" customWidth="1"/>
    <col min="11272" max="11272" width="16.41015625" style="1635" customWidth="1"/>
    <col min="11273" max="11274" width="15.1171875" style="1635" customWidth="1"/>
    <col min="11275" max="11275" width="18.41015625" style="1635" customWidth="1"/>
    <col min="11276" max="11276" width="31.87890625" style="1635" customWidth="1"/>
    <col min="11277" max="11363" width="7.703125" style="1635" customWidth="1"/>
    <col min="11364" max="11520" width="9.1171875" style="1635"/>
    <col min="11521" max="11521" width="9.5859375" style="1635" customWidth="1"/>
    <col min="11522" max="11522" width="5.703125" style="1635" customWidth="1"/>
    <col min="11523" max="11523" width="7.29296875" style="1635" customWidth="1"/>
    <col min="11524" max="11524" width="88.703125" style="1635" customWidth="1"/>
    <col min="11525" max="11525" width="14.5859375" style="1635" customWidth="1"/>
    <col min="11526" max="11526" width="11.1171875" style="1635" customWidth="1"/>
    <col min="11527" max="11527" width="15.1171875" style="1635" customWidth="1"/>
    <col min="11528" max="11528" width="16.41015625" style="1635" customWidth="1"/>
    <col min="11529" max="11530" width="15.1171875" style="1635" customWidth="1"/>
    <col min="11531" max="11531" width="18.41015625" style="1635" customWidth="1"/>
    <col min="11532" max="11532" width="31.87890625" style="1635" customWidth="1"/>
    <col min="11533" max="11619" width="7.703125" style="1635" customWidth="1"/>
    <col min="11620" max="11776" width="9.1171875" style="1635"/>
    <col min="11777" max="11777" width="9.5859375" style="1635" customWidth="1"/>
    <col min="11778" max="11778" width="5.703125" style="1635" customWidth="1"/>
    <col min="11779" max="11779" width="7.29296875" style="1635" customWidth="1"/>
    <col min="11780" max="11780" width="88.703125" style="1635" customWidth="1"/>
    <col min="11781" max="11781" width="14.5859375" style="1635" customWidth="1"/>
    <col min="11782" max="11782" width="11.1171875" style="1635" customWidth="1"/>
    <col min="11783" max="11783" width="15.1171875" style="1635" customWidth="1"/>
    <col min="11784" max="11784" width="16.41015625" style="1635" customWidth="1"/>
    <col min="11785" max="11786" width="15.1171875" style="1635" customWidth="1"/>
    <col min="11787" max="11787" width="18.41015625" style="1635" customWidth="1"/>
    <col min="11788" max="11788" width="31.87890625" style="1635" customWidth="1"/>
    <col min="11789" max="11875" width="7.703125" style="1635" customWidth="1"/>
    <col min="11876" max="12032" width="9.1171875" style="1635"/>
    <col min="12033" max="12033" width="9.5859375" style="1635" customWidth="1"/>
    <col min="12034" max="12034" width="5.703125" style="1635" customWidth="1"/>
    <col min="12035" max="12035" width="7.29296875" style="1635" customWidth="1"/>
    <col min="12036" max="12036" width="88.703125" style="1635" customWidth="1"/>
    <col min="12037" max="12037" width="14.5859375" style="1635" customWidth="1"/>
    <col min="12038" max="12038" width="11.1171875" style="1635" customWidth="1"/>
    <col min="12039" max="12039" width="15.1171875" style="1635" customWidth="1"/>
    <col min="12040" max="12040" width="16.41015625" style="1635" customWidth="1"/>
    <col min="12041" max="12042" width="15.1171875" style="1635" customWidth="1"/>
    <col min="12043" max="12043" width="18.41015625" style="1635" customWidth="1"/>
    <col min="12044" max="12044" width="31.87890625" style="1635" customWidth="1"/>
    <col min="12045" max="12131" width="7.703125" style="1635" customWidth="1"/>
    <col min="12132" max="12288" width="9.1171875" style="1635"/>
    <col min="12289" max="12289" width="9.5859375" style="1635" customWidth="1"/>
    <col min="12290" max="12290" width="5.703125" style="1635" customWidth="1"/>
    <col min="12291" max="12291" width="7.29296875" style="1635" customWidth="1"/>
    <col min="12292" max="12292" width="88.703125" style="1635" customWidth="1"/>
    <col min="12293" max="12293" width="14.5859375" style="1635" customWidth="1"/>
    <col min="12294" max="12294" width="11.1171875" style="1635" customWidth="1"/>
    <col min="12295" max="12295" width="15.1171875" style="1635" customWidth="1"/>
    <col min="12296" max="12296" width="16.41015625" style="1635" customWidth="1"/>
    <col min="12297" max="12298" width="15.1171875" style="1635" customWidth="1"/>
    <col min="12299" max="12299" width="18.41015625" style="1635" customWidth="1"/>
    <col min="12300" max="12300" width="31.87890625" style="1635" customWidth="1"/>
    <col min="12301" max="12387" width="7.703125" style="1635" customWidth="1"/>
    <col min="12388" max="12544" width="9.1171875" style="1635"/>
    <col min="12545" max="12545" width="9.5859375" style="1635" customWidth="1"/>
    <col min="12546" max="12546" width="5.703125" style="1635" customWidth="1"/>
    <col min="12547" max="12547" width="7.29296875" style="1635" customWidth="1"/>
    <col min="12548" max="12548" width="88.703125" style="1635" customWidth="1"/>
    <col min="12549" max="12549" width="14.5859375" style="1635" customWidth="1"/>
    <col min="12550" max="12550" width="11.1171875" style="1635" customWidth="1"/>
    <col min="12551" max="12551" width="15.1171875" style="1635" customWidth="1"/>
    <col min="12552" max="12552" width="16.41015625" style="1635" customWidth="1"/>
    <col min="12553" max="12554" width="15.1171875" style="1635" customWidth="1"/>
    <col min="12555" max="12555" width="18.41015625" style="1635" customWidth="1"/>
    <col min="12556" max="12556" width="31.87890625" style="1635" customWidth="1"/>
    <col min="12557" max="12643" width="7.703125" style="1635" customWidth="1"/>
    <col min="12644" max="12800" width="9.1171875" style="1635"/>
    <col min="12801" max="12801" width="9.5859375" style="1635" customWidth="1"/>
    <col min="12802" max="12802" width="5.703125" style="1635" customWidth="1"/>
    <col min="12803" max="12803" width="7.29296875" style="1635" customWidth="1"/>
    <col min="12804" max="12804" width="88.703125" style="1635" customWidth="1"/>
    <col min="12805" max="12805" width="14.5859375" style="1635" customWidth="1"/>
    <col min="12806" max="12806" width="11.1171875" style="1635" customWidth="1"/>
    <col min="12807" max="12807" width="15.1171875" style="1635" customWidth="1"/>
    <col min="12808" max="12808" width="16.41015625" style="1635" customWidth="1"/>
    <col min="12809" max="12810" width="15.1171875" style="1635" customWidth="1"/>
    <col min="12811" max="12811" width="18.41015625" style="1635" customWidth="1"/>
    <col min="12812" max="12812" width="31.87890625" style="1635" customWidth="1"/>
    <col min="12813" max="12899" width="7.703125" style="1635" customWidth="1"/>
    <col min="12900" max="13056" width="9.1171875" style="1635"/>
    <col min="13057" max="13057" width="9.5859375" style="1635" customWidth="1"/>
    <col min="13058" max="13058" width="5.703125" style="1635" customWidth="1"/>
    <col min="13059" max="13059" width="7.29296875" style="1635" customWidth="1"/>
    <col min="13060" max="13060" width="88.703125" style="1635" customWidth="1"/>
    <col min="13061" max="13061" width="14.5859375" style="1635" customWidth="1"/>
    <col min="13062" max="13062" width="11.1171875" style="1635" customWidth="1"/>
    <col min="13063" max="13063" width="15.1171875" style="1635" customWidth="1"/>
    <col min="13064" max="13064" width="16.41015625" style="1635" customWidth="1"/>
    <col min="13065" max="13066" width="15.1171875" style="1635" customWidth="1"/>
    <col min="13067" max="13067" width="18.41015625" style="1635" customWidth="1"/>
    <col min="13068" max="13068" width="31.87890625" style="1635" customWidth="1"/>
    <col min="13069" max="13155" width="7.703125" style="1635" customWidth="1"/>
    <col min="13156" max="13312" width="9.1171875" style="1635"/>
    <col min="13313" max="13313" width="9.5859375" style="1635" customWidth="1"/>
    <col min="13314" max="13314" width="5.703125" style="1635" customWidth="1"/>
    <col min="13315" max="13315" width="7.29296875" style="1635" customWidth="1"/>
    <col min="13316" max="13316" width="88.703125" style="1635" customWidth="1"/>
    <col min="13317" max="13317" width="14.5859375" style="1635" customWidth="1"/>
    <col min="13318" max="13318" width="11.1171875" style="1635" customWidth="1"/>
    <col min="13319" max="13319" width="15.1171875" style="1635" customWidth="1"/>
    <col min="13320" max="13320" width="16.41015625" style="1635" customWidth="1"/>
    <col min="13321" max="13322" width="15.1171875" style="1635" customWidth="1"/>
    <col min="13323" max="13323" width="18.41015625" style="1635" customWidth="1"/>
    <col min="13324" max="13324" width="31.87890625" style="1635" customWidth="1"/>
    <col min="13325" max="13411" width="7.703125" style="1635" customWidth="1"/>
    <col min="13412" max="13568" width="9.1171875" style="1635"/>
    <col min="13569" max="13569" width="9.5859375" style="1635" customWidth="1"/>
    <col min="13570" max="13570" width="5.703125" style="1635" customWidth="1"/>
    <col min="13571" max="13571" width="7.29296875" style="1635" customWidth="1"/>
    <col min="13572" max="13572" width="88.703125" style="1635" customWidth="1"/>
    <col min="13573" max="13573" width="14.5859375" style="1635" customWidth="1"/>
    <col min="13574" max="13574" width="11.1171875" style="1635" customWidth="1"/>
    <col min="13575" max="13575" width="15.1171875" style="1635" customWidth="1"/>
    <col min="13576" max="13576" width="16.41015625" style="1635" customWidth="1"/>
    <col min="13577" max="13578" width="15.1171875" style="1635" customWidth="1"/>
    <col min="13579" max="13579" width="18.41015625" style="1635" customWidth="1"/>
    <col min="13580" max="13580" width="31.87890625" style="1635" customWidth="1"/>
    <col min="13581" max="13667" width="7.703125" style="1635" customWidth="1"/>
    <col min="13668" max="13824" width="9.1171875" style="1635"/>
    <col min="13825" max="13825" width="9.5859375" style="1635" customWidth="1"/>
    <col min="13826" max="13826" width="5.703125" style="1635" customWidth="1"/>
    <col min="13827" max="13827" width="7.29296875" style="1635" customWidth="1"/>
    <col min="13828" max="13828" width="88.703125" style="1635" customWidth="1"/>
    <col min="13829" max="13829" width="14.5859375" style="1635" customWidth="1"/>
    <col min="13830" max="13830" width="11.1171875" style="1635" customWidth="1"/>
    <col min="13831" max="13831" width="15.1171875" style="1635" customWidth="1"/>
    <col min="13832" max="13832" width="16.41015625" style="1635" customWidth="1"/>
    <col min="13833" max="13834" width="15.1171875" style="1635" customWidth="1"/>
    <col min="13835" max="13835" width="18.41015625" style="1635" customWidth="1"/>
    <col min="13836" max="13836" width="31.87890625" style="1635" customWidth="1"/>
    <col min="13837" max="13923" width="7.703125" style="1635" customWidth="1"/>
    <col min="13924" max="14080" width="9.1171875" style="1635"/>
    <col min="14081" max="14081" width="9.5859375" style="1635" customWidth="1"/>
    <col min="14082" max="14082" width="5.703125" style="1635" customWidth="1"/>
    <col min="14083" max="14083" width="7.29296875" style="1635" customWidth="1"/>
    <col min="14084" max="14084" width="88.703125" style="1635" customWidth="1"/>
    <col min="14085" max="14085" width="14.5859375" style="1635" customWidth="1"/>
    <col min="14086" max="14086" width="11.1171875" style="1635" customWidth="1"/>
    <col min="14087" max="14087" width="15.1171875" style="1635" customWidth="1"/>
    <col min="14088" max="14088" width="16.41015625" style="1635" customWidth="1"/>
    <col min="14089" max="14090" width="15.1171875" style="1635" customWidth="1"/>
    <col min="14091" max="14091" width="18.41015625" style="1635" customWidth="1"/>
    <col min="14092" max="14092" width="31.87890625" style="1635" customWidth="1"/>
    <col min="14093" max="14179" width="7.703125" style="1635" customWidth="1"/>
    <col min="14180" max="14336" width="9.1171875" style="1635"/>
    <col min="14337" max="14337" width="9.5859375" style="1635" customWidth="1"/>
    <col min="14338" max="14338" width="5.703125" style="1635" customWidth="1"/>
    <col min="14339" max="14339" width="7.29296875" style="1635" customWidth="1"/>
    <col min="14340" max="14340" width="88.703125" style="1635" customWidth="1"/>
    <col min="14341" max="14341" width="14.5859375" style="1635" customWidth="1"/>
    <col min="14342" max="14342" width="11.1171875" style="1635" customWidth="1"/>
    <col min="14343" max="14343" width="15.1171875" style="1635" customWidth="1"/>
    <col min="14344" max="14344" width="16.41015625" style="1635" customWidth="1"/>
    <col min="14345" max="14346" width="15.1171875" style="1635" customWidth="1"/>
    <col min="14347" max="14347" width="18.41015625" style="1635" customWidth="1"/>
    <col min="14348" max="14348" width="31.87890625" style="1635" customWidth="1"/>
    <col min="14349" max="14435" width="7.703125" style="1635" customWidth="1"/>
    <col min="14436" max="14592" width="9.1171875" style="1635"/>
    <col min="14593" max="14593" width="9.5859375" style="1635" customWidth="1"/>
    <col min="14594" max="14594" width="5.703125" style="1635" customWidth="1"/>
    <col min="14595" max="14595" width="7.29296875" style="1635" customWidth="1"/>
    <col min="14596" max="14596" width="88.703125" style="1635" customWidth="1"/>
    <col min="14597" max="14597" width="14.5859375" style="1635" customWidth="1"/>
    <col min="14598" max="14598" width="11.1171875" style="1635" customWidth="1"/>
    <col min="14599" max="14599" width="15.1171875" style="1635" customWidth="1"/>
    <col min="14600" max="14600" width="16.41015625" style="1635" customWidth="1"/>
    <col min="14601" max="14602" width="15.1171875" style="1635" customWidth="1"/>
    <col min="14603" max="14603" width="18.41015625" style="1635" customWidth="1"/>
    <col min="14604" max="14604" width="31.87890625" style="1635" customWidth="1"/>
    <col min="14605" max="14691" width="7.703125" style="1635" customWidth="1"/>
    <col min="14692" max="14848" width="9.1171875" style="1635"/>
    <col min="14849" max="14849" width="9.5859375" style="1635" customWidth="1"/>
    <col min="14850" max="14850" width="5.703125" style="1635" customWidth="1"/>
    <col min="14851" max="14851" width="7.29296875" style="1635" customWidth="1"/>
    <col min="14852" max="14852" width="88.703125" style="1635" customWidth="1"/>
    <col min="14853" max="14853" width="14.5859375" style="1635" customWidth="1"/>
    <col min="14854" max="14854" width="11.1171875" style="1635" customWidth="1"/>
    <col min="14855" max="14855" width="15.1171875" style="1635" customWidth="1"/>
    <col min="14856" max="14856" width="16.41015625" style="1635" customWidth="1"/>
    <col min="14857" max="14858" width="15.1171875" style="1635" customWidth="1"/>
    <col min="14859" max="14859" width="18.41015625" style="1635" customWidth="1"/>
    <col min="14860" max="14860" width="31.87890625" style="1635" customWidth="1"/>
    <col min="14861" max="14947" width="7.703125" style="1635" customWidth="1"/>
    <col min="14948" max="15104" width="9.1171875" style="1635"/>
    <col min="15105" max="15105" width="9.5859375" style="1635" customWidth="1"/>
    <col min="15106" max="15106" width="5.703125" style="1635" customWidth="1"/>
    <col min="15107" max="15107" width="7.29296875" style="1635" customWidth="1"/>
    <col min="15108" max="15108" width="88.703125" style="1635" customWidth="1"/>
    <col min="15109" max="15109" width="14.5859375" style="1635" customWidth="1"/>
    <col min="15110" max="15110" width="11.1171875" style="1635" customWidth="1"/>
    <col min="15111" max="15111" width="15.1171875" style="1635" customWidth="1"/>
    <col min="15112" max="15112" width="16.41015625" style="1635" customWidth="1"/>
    <col min="15113" max="15114" width="15.1171875" style="1635" customWidth="1"/>
    <col min="15115" max="15115" width="18.41015625" style="1635" customWidth="1"/>
    <col min="15116" max="15116" width="31.87890625" style="1635" customWidth="1"/>
    <col min="15117" max="15203" width="7.703125" style="1635" customWidth="1"/>
    <col min="15204" max="15360" width="9.1171875" style="1635"/>
    <col min="15361" max="15361" width="9.5859375" style="1635" customWidth="1"/>
    <col min="15362" max="15362" width="5.703125" style="1635" customWidth="1"/>
    <col min="15363" max="15363" width="7.29296875" style="1635" customWidth="1"/>
    <col min="15364" max="15364" width="88.703125" style="1635" customWidth="1"/>
    <col min="15365" max="15365" width="14.5859375" style="1635" customWidth="1"/>
    <col min="15366" max="15366" width="11.1171875" style="1635" customWidth="1"/>
    <col min="15367" max="15367" width="15.1171875" style="1635" customWidth="1"/>
    <col min="15368" max="15368" width="16.41015625" style="1635" customWidth="1"/>
    <col min="15369" max="15370" width="15.1171875" style="1635" customWidth="1"/>
    <col min="15371" max="15371" width="18.41015625" style="1635" customWidth="1"/>
    <col min="15372" max="15372" width="31.87890625" style="1635" customWidth="1"/>
    <col min="15373" max="15459" width="7.703125" style="1635" customWidth="1"/>
    <col min="15460" max="15616" width="9.1171875" style="1635"/>
    <col min="15617" max="15617" width="9.5859375" style="1635" customWidth="1"/>
    <col min="15618" max="15618" width="5.703125" style="1635" customWidth="1"/>
    <col min="15619" max="15619" width="7.29296875" style="1635" customWidth="1"/>
    <col min="15620" max="15620" width="88.703125" style="1635" customWidth="1"/>
    <col min="15621" max="15621" width="14.5859375" style="1635" customWidth="1"/>
    <col min="15622" max="15622" width="11.1171875" style="1635" customWidth="1"/>
    <col min="15623" max="15623" width="15.1171875" style="1635" customWidth="1"/>
    <col min="15624" max="15624" width="16.41015625" style="1635" customWidth="1"/>
    <col min="15625" max="15626" width="15.1171875" style="1635" customWidth="1"/>
    <col min="15627" max="15627" width="18.41015625" style="1635" customWidth="1"/>
    <col min="15628" max="15628" width="31.87890625" style="1635" customWidth="1"/>
    <col min="15629" max="15715" width="7.703125" style="1635" customWidth="1"/>
    <col min="15716" max="15872" width="9.1171875" style="1635"/>
    <col min="15873" max="15873" width="9.5859375" style="1635" customWidth="1"/>
    <col min="15874" max="15874" width="5.703125" style="1635" customWidth="1"/>
    <col min="15875" max="15875" width="7.29296875" style="1635" customWidth="1"/>
    <col min="15876" max="15876" width="88.703125" style="1635" customWidth="1"/>
    <col min="15877" max="15877" width="14.5859375" style="1635" customWidth="1"/>
    <col min="15878" max="15878" width="11.1171875" style="1635" customWidth="1"/>
    <col min="15879" max="15879" width="15.1171875" style="1635" customWidth="1"/>
    <col min="15880" max="15880" width="16.41015625" style="1635" customWidth="1"/>
    <col min="15881" max="15882" width="15.1171875" style="1635" customWidth="1"/>
    <col min="15883" max="15883" width="18.41015625" style="1635" customWidth="1"/>
    <col min="15884" max="15884" width="31.87890625" style="1635" customWidth="1"/>
    <col min="15885" max="15971" width="7.703125" style="1635" customWidth="1"/>
    <col min="15972" max="16128" width="9.1171875" style="1635"/>
    <col min="16129" max="16129" width="9.5859375" style="1635" customWidth="1"/>
    <col min="16130" max="16130" width="5.703125" style="1635" customWidth="1"/>
    <col min="16131" max="16131" width="7.29296875" style="1635" customWidth="1"/>
    <col min="16132" max="16132" width="88.703125" style="1635" customWidth="1"/>
    <col min="16133" max="16133" width="14.5859375" style="1635" customWidth="1"/>
    <col min="16134" max="16134" width="11.1171875" style="1635" customWidth="1"/>
    <col min="16135" max="16135" width="15.1171875" style="1635" customWidth="1"/>
    <col min="16136" max="16136" width="16.41015625" style="1635" customWidth="1"/>
    <col min="16137" max="16138" width="15.1171875" style="1635" customWidth="1"/>
    <col min="16139" max="16139" width="18.41015625" style="1635" customWidth="1"/>
    <col min="16140" max="16140" width="31.87890625" style="1635" customWidth="1"/>
    <col min="16141" max="16227" width="7.703125" style="1635" customWidth="1"/>
    <col min="16228" max="16384" width="9.1171875" style="1635"/>
  </cols>
  <sheetData>
    <row r="1" spans="1:16" ht="35.1" customHeight="1">
      <c r="A1" s="1560"/>
      <c r="B1" s="1560"/>
      <c r="C1" s="1561"/>
      <c r="D1" s="1561"/>
      <c r="E1" s="1561"/>
      <c r="F1" s="1562" t="s">
        <v>0</v>
      </c>
      <c r="G1" s="1563"/>
      <c r="H1" s="1564"/>
      <c r="I1" s="1564"/>
      <c r="J1" s="1565" t="s">
        <v>1</v>
      </c>
      <c r="K1" s="1566"/>
      <c r="L1" s="1564"/>
    </row>
    <row r="2" spans="1:16" ht="25" customHeight="1">
      <c r="A2" s="1567" t="s">
        <v>2</v>
      </c>
      <c r="B2" s="1568"/>
      <c r="C2" s="1569"/>
      <c r="D2" s="1570" t="s">
        <v>2699</v>
      </c>
      <c r="E2" s="1569"/>
      <c r="F2" s="1571"/>
      <c r="G2" s="1571"/>
      <c r="H2" s="1571"/>
      <c r="I2" s="1571"/>
      <c r="J2" s="1572"/>
      <c r="K2" s="1571"/>
      <c r="L2" s="1573"/>
    </row>
    <row r="3" spans="1:16" ht="25" customHeight="1">
      <c r="A3" s="1574" t="s">
        <v>22</v>
      </c>
      <c r="B3" s="1575"/>
      <c r="C3" s="1576"/>
      <c r="D3" s="1577"/>
      <c r="E3" s="1576"/>
      <c r="F3" s="1578"/>
      <c r="G3" s="1578"/>
      <c r="H3" s="1578"/>
      <c r="I3" s="1578"/>
      <c r="J3" s="1579"/>
      <c r="K3" s="1578"/>
      <c r="L3" s="1580"/>
    </row>
    <row r="4" spans="1:16" ht="25" customHeight="1">
      <c r="A4" s="1574"/>
      <c r="B4" s="1575"/>
      <c r="C4" s="1576"/>
      <c r="D4" s="41" t="s">
        <v>2970</v>
      </c>
      <c r="E4" s="1576"/>
      <c r="F4" s="1578"/>
      <c r="G4" s="1578"/>
      <c r="H4" s="1578"/>
      <c r="I4" s="1578"/>
      <c r="J4" s="1579"/>
      <c r="K4" s="1578"/>
      <c r="L4" s="1580"/>
    </row>
    <row r="5" spans="1:16" ht="25" customHeight="1">
      <c r="A5" s="1574" t="s">
        <v>3</v>
      </c>
      <c r="B5" s="1568"/>
      <c r="C5" s="1569"/>
      <c r="D5" s="1577" t="s">
        <v>21</v>
      </c>
      <c r="E5" s="1566"/>
      <c r="F5" s="1571"/>
      <c r="G5" s="1581" t="s">
        <v>4</v>
      </c>
      <c r="H5" s="1582"/>
      <c r="I5" s="1578"/>
      <c r="J5" s="1579"/>
      <c r="K5" s="1583"/>
      <c r="L5" s="1580"/>
    </row>
    <row r="6" spans="1:16" ht="25" customHeight="1">
      <c r="A6" s="1584" t="s">
        <v>20</v>
      </c>
      <c r="B6" s="1575"/>
      <c r="C6" s="1576"/>
      <c r="D6" s="1585"/>
      <c r="E6" s="1576"/>
      <c r="F6" s="1578"/>
      <c r="G6" s="1586"/>
      <c r="H6" s="1578"/>
      <c r="I6" s="1578"/>
      <c r="J6" s="1578"/>
      <c r="K6" s="1578"/>
      <c r="L6" s="1583"/>
    </row>
    <row r="7" spans="1:16" ht="25" customHeight="1">
      <c r="A7" s="1587" t="s">
        <v>2700</v>
      </c>
      <c r="B7" s="1588"/>
      <c r="C7" s="1588"/>
      <c r="D7" s="1589"/>
      <c r="E7" s="1588"/>
      <c r="F7" s="1590" t="s">
        <v>5</v>
      </c>
      <c r="G7" s="1591"/>
      <c r="H7" s="1591" t="s">
        <v>6</v>
      </c>
      <c r="I7" s="1592"/>
      <c r="J7" s="1587" t="s">
        <v>23</v>
      </c>
      <c r="K7" s="1588"/>
      <c r="L7" s="2513" t="s">
        <v>7</v>
      </c>
    </row>
    <row r="8" spans="1:16" ht="18" customHeight="1">
      <c r="A8" s="1593"/>
      <c r="B8" s="1594"/>
      <c r="C8" s="1594"/>
      <c r="D8" s="303"/>
      <c r="E8" s="303"/>
      <c r="F8" s="1595"/>
      <c r="G8" s="1595"/>
      <c r="H8" s="1596"/>
      <c r="I8" s="1596"/>
      <c r="J8" s="1596"/>
      <c r="K8" s="1595"/>
      <c r="L8" s="2514"/>
    </row>
    <row r="9" spans="1:16" s="1566" customFormat="1" ht="24" customHeight="1">
      <c r="A9" s="2515" t="s">
        <v>8</v>
      </c>
      <c r="B9" s="2517" t="s">
        <v>9</v>
      </c>
      <c r="C9" s="2518"/>
      <c r="D9" s="2519"/>
      <c r="E9" s="2523" t="s">
        <v>10</v>
      </c>
      <c r="F9" s="2523" t="s">
        <v>11</v>
      </c>
      <c r="G9" s="2525" t="s">
        <v>12</v>
      </c>
      <c r="H9" s="2526"/>
      <c r="I9" s="2525" t="s">
        <v>13</v>
      </c>
      <c r="J9" s="2526"/>
      <c r="K9" s="1597" t="s">
        <v>14</v>
      </c>
      <c r="L9" s="2527" t="s">
        <v>15</v>
      </c>
    </row>
    <row r="10" spans="1:16" s="1566" customFormat="1" ht="24" customHeight="1">
      <c r="A10" s="2516"/>
      <c r="B10" s="2520"/>
      <c r="C10" s="2521"/>
      <c r="D10" s="2522"/>
      <c r="E10" s="2524"/>
      <c r="F10" s="2524"/>
      <c r="G10" s="1598" t="s">
        <v>16</v>
      </c>
      <c r="H10" s="1599" t="s">
        <v>17</v>
      </c>
      <c r="I10" s="1598" t="s">
        <v>16</v>
      </c>
      <c r="J10" s="1599" t="s">
        <v>17</v>
      </c>
      <c r="K10" s="1600" t="s">
        <v>18</v>
      </c>
      <c r="L10" s="2528"/>
    </row>
    <row r="11" spans="1:16" s="1566" customFormat="1" ht="24" customHeight="1">
      <c r="A11" s="1315" t="s">
        <v>34</v>
      </c>
      <c r="B11" s="1658" t="s">
        <v>2701</v>
      </c>
      <c r="C11" s="1658"/>
      <c r="D11" s="1658"/>
      <c r="E11" s="93"/>
      <c r="F11" s="93"/>
      <c r="G11" s="1659"/>
      <c r="H11" s="416"/>
      <c r="I11" s="418"/>
      <c r="J11" s="416"/>
      <c r="K11" s="1660"/>
      <c r="L11" s="1661"/>
    </row>
    <row r="12" spans="1:16" s="1566" customFormat="1" ht="24" customHeight="1">
      <c r="A12" s="1662"/>
      <c r="B12" s="1663"/>
      <c r="C12" s="121"/>
      <c r="D12" s="1664"/>
      <c r="E12" s="711"/>
      <c r="F12" s="93"/>
      <c r="G12" s="1659"/>
      <c r="H12" s="416"/>
      <c r="I12" s="418"/>
      <c r="J12" s="416"/>
      <c r="K12" s="1660"/>
      <c r="L12" s="1661"/>
    </row>
    <row r="13" spans="1:16" s="1566" customFormat="1" ht="24" customHeight="1">
      <c r="A13" s="1143">
        <v>1.1000000000000001</v>
      </c>
      <c r="B13" s="1665" t="s">
        <v>2702</v>
      </c>
      <c r="C13" s="1665"/>
      <c r="D13" s="1665"/>
      <c r="E13" s="999">
        <v>1</v>
      </c>
      <c r="F13" s="711" t="s">
        <v>19</v>
      </c>
      <c r="G13" s="58"/>
      <c r="H13" s="711">
        <f>SUM(H40:H63)</f>
        <v>14995977.209999999</v>
      </c>
      <c r="I13" s="60"/>
      <c r="J13" s="711">
        <f>SUM(J40:J63)</f>
        <v>3708315.6</v>
      </c>
      <c r="K13" s="711">
        <f>H13+J13</f>
        <v>18704292.809999999</v>
      </c>
      <c r="L13" s="61"/>
      <c r="P13" s="1666"/>
    </row>
    <row r="14" spans="1:16" s="1566" customFormat="1" ht="24" customHeight="1">
      <c r="A14" s="1143">
        <v>1.2</v>
      </c>
      <c r="B14" s="1665" t="s">
        <v>2703</v>
      </c>
      <c r="C14" s="1665"/>
      <c r="D14" s="1665"/>
      <c r="E14" s="999">
        <v>1</v>
      </c>
      <c r="F14" s="711" t="s">
        <v>19</v>
      </c>
      <c r="G14" s="58"/>
      <c r="H14" s="711">
        <f>H109</f>
        <v>1617757</v>
      </c>
      <c r="I14" s="60"/>
      <c r="J14" s="711">
        <f>J109</f>
        <v>301700</v>
      </c>
      <c r="K14" s="711">
        <f>H14+J14</f>
        <v>1919457</v>
      </c>
      <c r="L14" s="61"/>
      <c r="O14" s="1666"/>
      <c r="P14" s="1666"/>
    </row>
    <row r="15" spans="1:16" s="1566" customFormat="1" ht="24" customHeight="1">
      <c r="A15" s="65"/>
      <c r="B15" s="1665"/>
      <c r="C15" s="1665"/>
      <c r="D15" s="1665"/>
      <c r="E15" s="67"/>
      <c r="F15" s="67"/>
      <c r="G15" s="58"/>
      <c r="H15" s="59"/>
      <c r="I15" s="60"/>
      <c r="J15" s="59"/>
      <c r="K15" s="59"/>
      <c r="L15" s="61"/>
    </row>
    <row r="16" spans="1:16" s="1566" customFormat="1" ht="24" customHeight="1">
      <c r="A16" s="65"/>
      <c r="B16" s="125"/>
      <c r="C16" s="63"/>
      <c r="D16" s="64"/>
      <c r="E16" s="67"/>
      <c r="F16" s="67"/>
      <c r="G16" s="58"/>
      <c r="H16" s="59"/>
      <c r="I16" s="60"/>
      <c r="J16" s="59"/>
      <c r="K16" s="59"/>
      <c r="L16" s="61"/>
    </row>
    <row r="17" spans="1:15" s="1566" customFormat="1" ht="24" customHeight="1">
      <c r="A17" s="65"/>
      <c r="B17" s="125"/>
      <c r="C17" s="63"/>
      <c r="D17" s="64"/>
      <c r="E17" s="67"/>
      <c r="F17" s="67"/>
      <c r="G17" s="58"/>
      <c r="H17" s="59"/>
      <c r="I17" s="60"/>
      <c r="J17" s="59"/>
      <c r="K17" s="59"/>
      <c r="L17" s="61"/>
    </row>
    <row r="18" spans="1:15" s="1566" customFormat="1" ht="24" customHeight="1">
      <c r="A18" s="65"/>
      <c r="B18" s="125"/>
      <c r="C18" s="63"/>
      <c r="D18" s="64"/>
      <c r="E18" s="67"/>
      <c r="F18" s="67"/>
      <c r="G18" s="58"/>
      <c r="H18" s="59"/>
      <c r="I18" s="60"/>
      <c r="J18" s="59"/>
      <c r="K18" s="59"/>
      <c r="L18" s="61"/>
    </row>
    <row r="19" spans="1:15" s="1566" customFormat="1" ht="24" customHeight="1">
      <c r="A19" s="65"/>
      <c r="B19" s="125"/>
      <c r="C19" s="63"/>
      <c r="D19" s="64"/>
      <c r="E19" s="67"/>
      <c r="F19" s="67"/>
      <c r="G19" s="58"/>
      <c r="H19" s="59"/>
      <c r="I19" s="60"/>
      <c r="J19" s="59"/>
      <c r="K19" s="59"/>
      <c r="L19" s="61"/>
    </row>
    <row r="20" spans="1:15" s="1566" customFormat="1" ht="24" customHeight="1">
      <c r="A20" s="65"/>
      <c r="B20" s="125"/>
      <c r="C20" s="63"/>
      <c r="D20" s="64"/>
      <c r="E20" s="67"/>
      <c r="F20" s="67"/>
      <c r="G20" s="58"/>
      <c r="H20" s="59"/>
      <c r="I20" s="60"/>
      <c r="J20" s="59"/>
      <c r="K20" s="59"/>
      <c r="L20" s="61"/>
    </row>
    <row r="21" spans="1:15" s="1566" customFormat="1" ht="24" customHeight="1">
      <c r="A21" s="65"/>
      <c r="B21" s="125"/>
      <c r="C21" s="63"/>
      <c r="D21" s="64"/>
      <c r="E21" s="67"/>
      <c r="F21" s="67"/>
      <c r="G21" s="58"/>
      <c r="H21" s="59"/>
      <c r="I21" s="60"/>
      <c r="J21" s="59"/>
      <c r="K21" s="59"/>
      <c r="L21" s="61"/>
    </row>
    <row r="22" spans="1:15" s="1566" customFormat="1" ht="24" customHeight="1">
      <c r="A22" s="65"/>
      <c r="B22" s="125"/>
      <c r="C22" s="63"/>
      <c r="D22" s="64"/>
      <c r="E22" s="67"/>
      <c r="F22" s="67"/>
      <c r="G22" s="58"/>
      <c r="H22" s="59"/>
      <c r="I22" s="60"/>
      <c r="J22" s="59"/>
      <c r="K22" s="59"/>
      <c r="L22" s="61"/>
    </row>
    <row r="23" spans="1:15" s="1566" customFormat="1" ht="24" customHeight="1">
      <c r="A23" s="65"/>
      <c r="B23" s="125"/>
      <c r="C23" s="63"/>
      <c r="D23" s="64"/>
      <c r="E23" s="67"/>
      <c r="F23" s="67"/>
      <c r="G23" s="58"/>
      <c r="H23" s="59"/>
      <c r="I23" s="60"/>
      <c r="J23" s="59"/>
      <c r="K23" s="59"/>
      <c r="L23" s="61"/>
    </row>
    <row r="24" spans="1:15" s="1566" customFormat="1" ht="24" customHeight="1">
      <c r="A24" s="65"/>
      <c r="B24" s="125"/>
      <c r="C24" s="63"/>
      <c r="D24" s="64"/>
      <c r="E24" s="67"/>
      <c r="F24" s="67"/>
      <c r="G24" s="58"/>
      <c r="H24" s="59"/>
      <c r="I24" s="60"/>
      <c r="J24" s="59"/>
      <c r="K24" s="68"/>
      <c r="L24" s="61"/>
    </row>
    <row r="25" spans="1:15" s="1566" customFormat="1" ht="24" customHeight="1">
      <c r="A25" s="65"/>
      <c r="B25" s="125"/>
      <c r="C25" s="63"/>
      <c r="D25" s="64"/>
      <c r="E25" s="67"/>
      <c r="F25" s="67"/>
      <c r="G25" s="58"/>
      <c r="H25" s="59"/>
      <c r="I25" s="60"/>
      <c r="J25" s="59"/>
      <c r="K25" s="68"/>
      <c r="L25" s="61"/>
    </row>
    <row r="26" spans="1:15" s="1566" customFormat="1" ht="24" customHeight="1">
      <c r="A26" s="65"/>
      <c r="B26" s="125"/>
      <c r="C26" s="63"/>
      <c r="D26" s="64"/>
      <c r="E26" s="67"/>
      <c r="F26" s="67"/>
      <c r="G26" s="58"/>
      <c r="H26" s="59"/>
      <c r="I26" s="60"/>
      <c r="J26" s="59"/>
      <c r="K26" s="68"/>
      <c r="L26" s="61"/>
    </row>
    <row r="27" spans="1:15" s="1566" customFormat="1" ht="24" customHeight="1">
      <c r="A27" s="65"/>
      <c r="B27" s="125"/>
      <c r="C27" s="63"/>
      <c r="D27" s="64"/>
      <c r="E27" s="67"/>
      <c r="F27" s="67"/>
      <c r="G27" s="58"/>
      <c r="H27" s="59"/>
      <c r="I27" s="60"/>
      <c r="J27" s="59"/>
      <c r="K27" s="68"/>
      <c r="L27" s="61"/>
      <c r="O27" s="1566">
        <v>17957927.719999999</v>
      </c>
    </row>
    <row r="28" spans="1:15" s="1566" customFormat="1" ht="24" customHeight="1">
      <c r="A28" s="65"/>
      <c r="B28" s="125"/>
      <c r="C28" s="63"/>
      <c r="D28" s="64"/>
      <c r="E28" s="67"/>
      <c r="F28" s="67"/>
      <c r="G28" s="58"/>
      <c r="H28" s="59"/>
      <c r="I28" s="60"/>
      <c r="J28" s="59"/>
      <c r="K28" s="68"/>
      <c r="L28" s="61"/>
    </row>
    <row r="29" spans="1:15" s="1566" customFormat="1" ht="24" customHeight="1">
      <c r="A29" s="65"/>
      <c r="B29" s="125"/>
      <c r="C29" s="63"/>
      <c r="D29" s="64"/>
      <c r="E29" s="67"/>
      <c r="F29" s="67"/>
      <c r="G29" s="58"/>
      <c r="H29" s="59"/>
      <c r="I29" s="60"/>
      <c r="J29" s="59"/>
      <c r="K29" s="68"/>
      <c r="L29" s="61"/>
    </row>
    <row r="30" spans="1:15" s="1566" customFormat="1" ht="24" customHeight="1">
      <c r="A30" s="65"/>
      <c r="B30" s="125"/>
      <c r="C30" s="63"/>
      <c r="D30" s="64"/>
      <c r="E30" s="67"/>
      <c r="F30" s="67"/>
      <c r="G30" s="58"/>
      <c r="H30" s="59"/>
      <c r="I30" s="60"/>
      <c r="J30" s="59"/>
      <c r="K30" s="68"/>
      <c r="L30" s="61"/>
    </row>
    <row r="31" spans="1:15" s="1566" customFormat="1" ht="24" customHeight="1">
      <c r="A31" s="65"/>
      <c r="B31" s="125"/>
      <c r="C31" s="63"/>
      <c r="D31" s="64"/>
      <c r="E31" s="67"/>
      <c r="F31" s="67"/>
      <c r="G31" s="58"/>
      <c r="H31" s="59"/>
      <c r="I31" s="60"/>
      <c r="J31" s="59"/>
      <c r="K31" s="68"/>
      <c r="L31" s="61"/>
    </row>
    <row r="32" spans="1:15" s="1566" customFormat="1" ht="24" customHeight="1">
      <c r="A32" s="65"/>
      <c r="B32" s="125"/>
      <c r="C32" s="63"/>
      <c r="D32" s="64"/>
      <c r="E32" s="67"/>
      <c r="F32" s="67"/>
      <c r="G32" s="58"/>
      <c r="H32" s="59"/>
      <c r="I32" s="60"/>
      <c r="J32" s="59"/>
      <c r="K32" s="68"/>
      <c r="L32" s="61"/>
    </row>
    <row r="33" spans="1:13" s="1566" customFormat="1" ht="24" customHeight="1">
      <c r="A33" s="73"/>
      <c r="B33" s="74"/>
      <c r="C33" s="62"/>
      <c r="D33" s="75"/>
      <c r="E33" s="76"/>
      <c r="F33" s="76"/>
      <c r="G33" s="77"/>
      <c r="H33" s="78"/>
      <c r="I33" s="79"/>
      <c r="J33" s="78"/>
      <c r="K33" s="80"/>
      <c r="L33" s="81"/>
    </row>
    <row r="34" spans="1:13" s="1566" customFormat="1" ht="24" customHeight="1">
      <c r="A34" s="82"/>
      <c r="B34" s="2529" t="s">
        <v>2704</v>
      </c>
      <c r="C34" s="2530"/>
      <c r="D34" s="2530"/>
      <c r="E34" s="2530"/>
      <c r="F34" s="2530"/>
      <c r="G34" s="2531"/>
      <c r="H34" s="1226">
        <f>SUM(H64,H109)</f>
        <v>16613734.209999999</v>
      </c>
      <c r="I34" s="1667"/>
      <c r="J34" s="1226">
        <f>SUM(J64,J109)</f>
        <v>4010015.6</v>
      </c>
      <c r="K34" s="1226">
        <f>SUM(K64,K109)</f>
        <v>20623749.809999999</v>
      </c>
      <c r="L34" s="86"/>
    </row>
    <row r="35" spans="1:13" s="1566" customFormat="1" ht="24" customHeight="1">
      <c r="A35" s="1701"/>
      <c r="B35" s="1702"/>
      <c r="C35" s="1703"/>
      <c r="D35" s="1704"/>
      <c r="E35" s="1705"/>
      <c r="F35" s="1705"/>
      <c r="G35" s="1706"/>
      <c r="H35" s="1707"/>
      <c r="I35" s="1706"/>
      <c r="J35" s="1707"/>
      <c r="K35" s="1708"/>
      <c r="L35" s="1708"/>
    </row>
    <row r="36" spans="1:13" ht="24" customHeight="1">
      <c r="A36" s="1143">
        <v>1</v>
      </c>
      <c r="B36" s="1144" t="s">
        <v>2705</v>
      </c>
      <c r="C36" s="1151"/>
      <c r="D36" s="1625"/>
      <c r="E36" s="1626"/>
      <c r="F36" s="1626"/>
      <c r="G36" s="1709"/>
      <c r="H36" s="1607"/>
      <c r="I36" s="1608"/>
      <c r="J36" s="1607"/>
      <c r="K36" s="1628"/>
      <c r="L36" s="1710"/>
    </row>
    <row r="37" spans="1:13" ht="24" customHeight="1">
      <c r="A37" s="1143" t="s">
        <v>2706</v>
      </c>
      <c r="B37" s="1144" t="s">
        <v>2702</v>
      </c>
      <c r="C37" s="1123"/>
      <c r="D37" s="1625"/>
      <c r="E37" s="1626"/>
      <c r="F37" s="1626"/>
      <c r="G37" s="1709"/>
      <c r="H37" s="1607"/>
      <c r="I37" s="1608"/>
      <c r="J37" s="1607"/>
      <c r="K37" s="1628"/>
      <c r="L37" s="1710"/>
    </row>
    <row r="38" spans="1:13" ht="24" customHeight="1">
      <c r="A38" s="1147" t="s">
        <v>36</v>
      </c>
      <c r="B38" s="1127" t="s">
        <v>2707</v>
      </c>
      <c r="C38" s="1668"/>
      <c r="D38" s="1122"/>
      <c r="E38" s="1711"/>
      <c r="F38" s="1711"/>
      <c r="G38" s="1709"/>
      <c r="H38" s="1607"/>
      <c r="I38" s="1608"/>
      <c r="J38" s="1607"/>
      <c r="K38" s="1628"/>
      <c r="L38" s="1710"/>
    </row>
    <row r="39" spans="1:13" ht="24" customHeight="1">
      <c r="A39" s="831"/>
      <c r="B39" s="1127"/>
      <c r="C39" s="1669" t="s">
        <v>2708</v>
      </c>
      <c r="D39" s="1124"/>
      <c r="E39" s="1711"/>
      <c r="F39" s="1711"/>
      <c r="G39" s="1709"/>
      <c r="H39" s="1607"/>
      <c r="I39" s="1608"/>
      <c r="J39" s="1607"/>
      <c r="K39" s="1628"/>
      <c r="L39" s="1710"/>
    </row>
    <row r="40" spans="1:13" ht="24" customHeight="1">
      <c r="A40" s="831"/>
      <c r="B40" s="1127"/>
      <c r="C40" s="1665" t="s">
        <v>2709</v>
      </c>
      <c r="D40" s="718"/>
      <c r="E40" s="1712">
        <f>SUM(E41:E42)</f>
        <v>1938</v>
      </c>
      <c r="F40" s="722" t="s">
        <v>37</v>
      </c>
      <c r="G40" s="1671">
        <v>70.290000000000006</v>
      </c>
      <c r="H40" s="711">
        <f t="shared" ref="H40:H46" si="0">E40*G40</f>
        <v>136222.02000000002</v>
      </c>
      <c r="I40" s="712">
        <v>61</v>
      </c>
      <c r="J40" s="711">
        <f t="shared" ref="J40:J46" si="1">E40*I40</f>
        <v>118218</v>
      </c>
      <c r="K40" s="711">
        <f t="shared" ref="K40:K46" si="2">H40+J40</f>
        <v>254440.02000000002</v>
      </c>
      <c r="L40" s="1024"/>
    </row>
    <row r="41" spans="1:13" ht="24" customHeight="1">
      <c r="A41" s="831"/>
      <c r="B41" s="1672" t="s">
        <v>2710</v>
      </c>
      <c r="C41" s="1665" t="s">
        <v>2711</v>
      </c>
      <c r="D41" s="1673"/>
      <c r="E41" s="1712">
        <v>1488</v>
      </c>
      <c r="F41" s="722" t="s">
        <v>37</v>
      </c>
      <c r="G41" s="1671">
        <v>1300</v>
      </c>
      <c r="H41" s="711">
        <f t="shared" si="0"/>
        <v>1934400</v>
      </c>
      <c r="I41" s="712">
        <v>300</v>
      </c>
      <c r="J41" s="711">
        <f t="shared" si="1"/>
        <v>446400</v>
      </c>
      <c r="K41" s="711">
        <f t="shared" si="2"/>
        <v>2380800</v>
      </c>
      <c r="L41" s="1024"/>
    </row>
    <row r="42" spans="1:13" ht="24" customHeight="1">
      <c r="A42" s="831"/>
      <c r="B42" s="1672" t="s">
        <v>2712</v>
      </c>
      <c r="C42" s="1665" t="s">
        <v>2713</v>
      </c>
      <c r="D42" s="1673"/>
      <c r="E42" s="1712">
        <v>450</v>
      </c>
      <c r="F42" s="722" t="s">
        <v>37</v>
      </c>
      <c r="G42" s="1671">
        <v>1300</v>
      </c>
      <c r="H42" s="711">
        <f t="shared" si="0"/>
        <v>585000</v>
      </c>
      <c r="I42" s="712">
        <v>300</v>
      </c>
      <c r="J42" s="711">
        <f t="shared" si="1"/>
        <v>135000</v>
      </c>
      <c r="K42" s="711">
        <f t="shared" si="2"/>
        <v>720000</v>
      </c>
      <c r="L42" s="1024"/>
    </row>
    <row r="43" spans="1:13" ht="24" customHeight="1">
      <c r="A43" s="831"/>
      <c r="B43" s="1674" t="s">
        <v>2714</v>
      </c>
      <c r="C43" s="1665" t="s">
        <v>2715</v>
      </c>
      <c r="D43" s="1124"/>
      <c r="E43" s="1712">
        <v>3422</v>
      </c>
      <c r="F43" s="1713" t="s">
        <v>37</v>
      </c>
      <c r="G43" s="1671">
        <v>850</v>
      </c>
      <c r="H43" s="711">
        <f t="shared" si="0"/>
        <v>2908700</v>
      </c>
      <c r="I43" s="712">
        <v>121</v>
      </c>
      <c r="J43" s="711">
        <f t="shared" si="1"/>
        <v>414062</v>
      </c>
      <c r="K43" s="711">
        <f t="shared" si="2"/>
        <v>3322762</v>
      </c>
      <c r="L43" s="1676" t="s">
        <v>2716</v>
      </c>
    </row>
    <row r="44" spans="1:13" ht="24" customHeight="1">
      <c r="A44" s="831"/>
      <c r="B44" s="1674"/>
      <c r="C44" s="1665" t="s">
        <v>2717</v>
      </c>
      <c r="D44" s="1124"/>
      <c r="E44" s="1712">
        <f>SUM(E43)</f>
        <v>3422</v>
      </c>
      <c r="F44" s="1713" t="s">
        <v>37</v>
      </c>
      <c r="G44" s="1671"/>
      <c r="H44" s="711"/>
      <c r="I44" s="712">
        <v>40</v>
      </c>
      <c r="J44" s="711">
        <v>176400</v>
      </c>
      <c r="K44" s="711">
        <v>176400</v>
      </c>
      <c r="L44" s="1676" t="s">
        <v>2716</v>
      </c>
    </row>
    <row r="45" spans="1:13" ht="24" customHeight="1">
      <c r="A45" s="1029"/>
      <c r="B45" s="1674" t="s">
        <v>2718</v>
      </c>
      <c r="C45" s="1665" t="s">
        <v>2719</v>
      </c>
      <c r="D45" s="1124"/>
      <c r="E45" s="1670">
        <v>40</v>
      </c>
      <c r="F45" s="1675" t="s">
        <v>37</v>
      </c>
      <c r="G45" s="1671">
        <v>750</v>
      </c>
      <c r="H45" s="711">
        <f t="shared" si="0"/>
        <v>30000</v>
      </c>
      <c r="I45" s="712">
        <v>300</v>
      </c>
      <c r="J45" s="711">
        <f t="shared" si="1"/>
        <v>12000</v>
      </c>
      <c r="K45" s="711">
        <f t="shared" si="2"/>
        <v>42000</v>
      </c>
      <c r="L45" s="1024"/>
    </row>
    <row r="46" spans="1:13" ht="24" customHeight="1">
      <c r="A46" s="1029"/>
      <c r="B46" s="1674" t="s">
        <v>2720</v>
      </c>
      <c r="C46" s="1665" t="s">
        <v>2721</v>
      </c>
      <c r="D46" s="707"/>
      <c r="E46" s="1670">
        <v>499.8</v>
      </c>
      <c r="F46" s="709" t="s">
        <v>37</v>
      </c>
      <c r="G46" s="1671">
        <v>141</v>
      </c>
      <c r="H46" s="711">
        <f t="shared" si="0"/>
        <v>70471.8</v>
      </c>
      <c r="I46" s="712"/>
      <c r="J46" s="711">
        <f t="shared" si="1"/>
        <v>0</v>
      </c>
      <c r="K46" s="711">
        <f t="shared" si="2"/>
        <v>70471.8</v>
      </c>
      <c r="L46" s="1676" t="s">
        <v>2722</v>
      </c>
      <c r="M46" s="1677"/>
    </row>
    <row r="47" spans="1:13" ht="22.15" customHeight="1">
      <c r="A47" s="1143"/>
      <c r="B47" s="1144"/>
      <c r="C47" s="1123"/>
      <c r="D47" s="1314"/>
      <c r="E47" s="1146"/>
      <c r="F47" s="1146"/>
      <c r="G47" s="696"/>
      <c r="H47" s="697"/>
      <c r="I47" s="698"/>
      <c r="J47" s="697"/>
      <c r="K47" s="699"/>
      <c r="L47" s="1678" t="s">
        <v>2723</v>
      </c>
    </row>
    <row r="48" spans="1:13" ht="24" customHeight="1">
      <c r="A48" s="1147" t="s">
        <v>38</v>
      </c>
      <c r="B48" s="1127" t="s">
        <v>2724</v>
      </c>
      <c r="C48" s="1668"/>
      <c r="D48" s="693"/>
      <c r="E48" s="1210"/>
      <c r="F48" s="709"/>
      <c r="G48" s="1236"/>
      <c r="H48" s="697"/>
      <c r="I48" s="698"/>
      <c r="J48" s="697"/>
      <c r="K48" s="699"/>
      <c r="L48" s="953"/>
    </row>
    <row r="49" spans="1:21" ht="24" customHeight="1">
      <c r="A49" s="1143"/>
      <c r="B49" s="1674"/>
      <c r="C49" s="1665" t="s">
        <v>2770</v>
      </c>
      <c r="D49" s="1124"/>
      <c r="E49" s="1670">
        <v>1173.53</v>
      </c>
      <c r="F49" s="1675" t="s">
        <v>37</v>
      </c>
      <c r="G49" s="1671">
        <v>1615.35</v>
      </c>
      <c r="H49" s="711">
        <f>ROUND(E49*G49,2)</f>
        <v>1895661.69</v>
      </c>
      <c r="I49" s="712">
        <v>784.76</v>
      </c>
      <c r="J49" s="711">
        <f>ROUND(E49*I49,2)</f>
        <v>920939.4</v>
      </c>
      <c r="K49" s="711">
        <f t="shared" ref="K49:K57" si="3">H49+J49</f>
        <v>2816601.09</v>
      </c>
      <c r="L49" s="1024"/>
    </row>
    <row r="50" spans="1:21" ht="24" customHeight="1">
      <c r="A50" s="1029"/>
      <c r="B50" s="1674"/>
      <c r="C50" s="1665" t="s">
        <v>2717</v>
      </c>
      <c r="D50" s="1124"/>
      <c r="E50" s="1670">
        <f>SUM(E51:E52)</f>
        <v>2192</v>
      </c>
      <c r="F50" s="1675" t="s">
        <v>37</v>
      </c>
      <c r="G50" s="1671"/>
      <c r="H50" s="711"/>
      <c r="I50" s="712">
        <v>40</v>
      </c>
      <c r="J50" s="711">
        <f t="shared" ref="J50:J57" si="4">E50*I50</f>
        <v>87680</v>
      </c>
      <c r="K50" s="711">
        <f t="shared" si="3"/>
        <v>87680</v>
      </c>
      <c r="L50" s="1676" t="s">
        <v>2716</v>
      </c>
    </row>
    <row r="51" spans="1:21" ht="24" customHeight="1">
      <c r="A51" s="1029"/>
      <c r="B51" s="1674" t="s">
        <v>2725</v>
      </c>
      <c r="C51" s="1665" t="s">
        <v>2726</v>
      </c>
      <c r="D51" s="1124"/>
      <c r="E51" s="1670">
        <v>1578</v>
      </c>
      <c r="F51" s="1675" t="s">
        <v>37</v>
      </c>
      <c r="G51" s="1671">
        <v>1500</v>
      </c>
      <c r="H51" s="711">
        <f t="shared" ref="H51:H57" si="5">E51*G51</f>
        <v>2367000</v>
      </c>
      <c r="I51" s="712">
        <v>250</v>
      </c>
      <c r="J51" s="711">
        <f t="shared" si="4"/>
        <v>394500</v>
      </c>
      <c r="K51" s="711">
        <f t="shared" si="3"/>
        <v>2761500</v>
      </c>
      <c r="L51" s="1024"/>
    </row>
    <row r="52" spans="1:21" ht="24" customHeight="1">
      <c r="A52" s="1029"/>
      <c r="B52" s="1674" t="s">
        <v>2725</v>
      </c>
      <c r="C52" s="1665" t="s">
        <v>2727</v>
      </c>
      <c r="D52" s="1124"/>
      <c r="E52" s="1670">
        <v>614</v>
      </c>
      <c r="F52" s="1675" t="s">
        <v>37</v>
      </c>
      <c r="G52" s="1671">
        <v>1500</v>
      </c>
      <c r="H52" s="711">
        <f t="shared" si="5"/>
        <v>921000</v>
      </c>
      <c r="I52" s="712">
        <v>250</v>
      </c>
      <c r="J52" s="711">
        <f t="shared" si="4"/>
        <v>153500</v>
      </c>
      <c r="K52" s="711">
        <f t="shared" si="3"/>
        <v>1074500</v>
      </c>
      <c r="L52" s="1024"/>
    </row>
    <row r="53" spans="1:21" ht="24" customHeight="1">
      <c r="A53" s="1029"/>
      <c r="B53" s="1674"/>
      <c r="C53" s="1665" t="s">
        <v>2728</v>
      </c>
      <c r="D53" s="1124"/>
      <c r="E53" s="1670">
        <v>3107.68</v>
      </c>
      <c r="F53" s="709" t="s">
        <v>37</v>
      </c>
      <c r="G53" s="1671">
        <v>240</v>
      </c>
      <c r="H53" s="711">
        <f t="shared" si="5"/>
        <v>745843.19999999995</v>
      </c>
      <c r="I53" s="712">
        <v>50</v>
      </c>
      <c r="J53" s="711">
        <f t="shared" si="4"/>
        <v>155384</v>
      </c>
      <c r="K53" s="711">
        <f t="shared" si="3"/>
        <v>901227.2</v>
      </c>
      <c r="L53" s="1024"/>
    </row>
    <row r="54" spans="1:21" s="1197" customFormat="1" ht="24" customHeight="1">
      <c r="A54" s="1029"/>
      <c r="B54" s="1148"/>
      <c r="C54" s="1123" t="s">
        <v>2729</v>
      </c>
      <c r="D54" s="1679"/>
      <c r="E54" s="1670">
        <v>3107.68</v>
      </c>
      <c r="F54" s="1150" t="s">
        <v>37</v>
      </c>
      <c r="G54" s="1671">
        <v>800</v>
      </c>
      <c r="H54" s="711">
        <f t="shared" si="5"/>
        <v>2486144</v>
      </c>
      <c r="I54" s="712">
        <v>150</v>
      </c>
      <c r="J54" s="711">
        <f t="shared" si="4"/>
        <v>466152</v>
      </c>
      <c r="K54" s="711">
        <f t="shared" si="3"/>
        <v>2952296</v>
      </c>
      <c r="L54" s="1024"/>
    </row>
    <row r="55" spans="1:21" s="1197" customFormat="1" ht="24" customHeight="1">
      <c r="A55" s="1029"/>
      <c r="B55" s="1148"/>
      <c r="C55" s="1123" t="s">
        <v>2730</v>
      </c>
      <c r="D55" s="1679"/>
      <c r="E55" s="1670"/>
      <c r="F55" s="1150"/>
      <c r="G55" s="1671"/>
      <c r="H55" s="711"/>
      <c r="I55" s="712"/>
      <c r="J55" s="711"/>
      <c r="K55" s="711"/>
      <c r="L55" s="1024"/>
    </row>
    <row r="56" spans="1:21" s="1197" customFormat="1" ht="24" customHeight="1">
      <c r="A56" s="1680"/>
      <c r="B56" s="1148"/>
      <c r="C56" s="1123" t="s">
        <v>2731</v>
      </c>
      <c r="D56" s="1665"/>
      <c r="E56" s="1681">
        <v>1369.65</v>
      </c>
      <c r="F56" s="1150" t="s">
        <v>616</v>
      </c>
      <c r="G56" s="1682">
        <v>450</v>
      </c>
      <c r="H56" s="711">
        <f t="shared" si="5"/>
        <v>616342.5</v>
      </c>
      <c r="I56" s="712">
        <v>100</v>
      </c>
      <c r="J56" s="711">
        <f t="shared" si="4"/>
        <v>136965</v>
      </c>
      <c r="K56" s="711">
        <f t="shared" si="3"/>
        <v>753307.5</v>
      </c>
      <c r="L56" s="1683"/>
      <c r="M56" s="1635"/>
      <c r="N56" s="1635"/>
      <c r="O56" s="1635"/>
    </row>
    <row r="57" spans="1:21" ht="24" customHeight="1">
      <c r="A57" s="1029"/>
      <c r="B57" s="1674"/>
      <c r="C57" s="1665" t="s">
        <v>2732</v>
      </c>
      <c r="D57" s="1124"/>
      <c r="E57" s="1670">
        <v>3107.68</v>
      </c>
      <c r="F57" s="709" t="s">
        <v>37</v>
      </c>
      <c r="G57" s="1682">
        <v>25</v>
      </c>
      <c r="H57" s="711">
        <f t="shared" si="5"/>
        <v>77692</v>
      </c>
      <c r="I57" s="712">
        <v>15</v>
      </c>
      <c r="J57" s="711">
        <f t="shared" si="4"/>
        <v>46615.199999999997</v>
      </c>
      <c r="K57" s="711">
        <f t="shared" si="3"/>
        <v>124307.2</v>
      </c>
      <c r="L57" s="1024"/>
    </row>
    <row r="58" spans="1:21" ht="22.15" customHeight="1">
      <c r="A58" s="1143"/>
      <c r="B58" s="1144"/>
      <c r="C58" s="1123"/>
      <c r="D58" s="1314"/>
      <c r="E58" s="1146"/>
      <c r="F58" s="1146"/>
      <c r="G58" s="696"/>
      <c r="H58" s="697"/>
      <c r="I58" s="698"/>
      <c r="J58" s="697"/>
      <c r="K58" s="699"/>
      <c r="L58" s="953"/>
    </row>
    <row r="59" spans="1:21" s="1197" customFormat="1" ht="24" customHeight="1">
      <c r="A59" s="1147" t="s">
        <v>39</v>
      </c>
      <c r="B59" s="1148" t="s">
        <v>2733</v>
      </c>
      <c r="C59" s="1665"/>
      <c r="D59" s="1665"/>
      <c r="E59" s="1150"/>
      <c r="F59" s="1150"/>
      <c r="G59" s="710"/>
      <c r="H59" s="711"/>
      <c r="I59" s="712"/>
      <c r="J59" s="711"/>
      <c r="K59" s="1129"/>
      <c r="L59" s="1024"/>
    </row>
    <row r="60" spans="1:21" s="1197" customFormat="1" ht="24" customHeight="1">
      <c r="A60" s="1684"/>
      <c r="B60" s="1148"/>
      <c r="C60" s="1665" t="s">
        <v>2734</v>
      </c>
      <c r="D60" s="1665"/>
      <c r="E60" s="1150">
        <v>350</v>
      </c>
      <c r="F60" s="1150" t="s">
        <v>240</v>
      </c>
      <c r="G60" s="1682">
        <v>500</v>
      </c>
      <c r="H60" s="711">
        <f>E60*G60</f>
        <v>175000</v>
      </c>
      <c r="I60" s="712">
        <v>100</v>
      </c>
      <c r="J60" s="711">
        <f>E60*I60</f>
        <v>35000</v>
      </c>
      <c r="K60" s="711">
        <f>H60+J60</f>
        <v>210000</v>
      </c>
      <c r="L60" s="1024"/>
    </row>
    <row r="61" spans="1:21" s="1197" customFormat="1" ht="24" customHeight="1">
      <c r="A61" s="1684"/>
      <c r="B61" s="1148"/>
      <c r="C61" s="1665" t="s">
        <v>2732</v>
      </c>
      <c r="D61" s="1665"/>
      <c r="E61" s="1150">
        <v>500</v>
      </c>
      <c r="F61" s="1150" t="s">
        <v>37</v>
      </c>
      <c r="G61" s="1682">
        <v>25</v>
      </c>
      <c r="H61" s="711">
        <f>E61*G61</f>
        <v>12500</v>
      </c>
      <c r="I61" s="712">
        <v>15</v>
      </c>
      <c r="J61" s="711">
        <f>E61*I61</f>
        <v>7500</v>
      </c>
      <c r="K61" s="711">
        <f>H61+J61</f>
        <v>20000</v>
      </c>
      <c r="L61" s="1024"/>
    </row>
    <row r="62" spans="1:21" s="1197" customFormat="1" ht="24" customHeight="1">
      <c r="A62" s="1684"/>
      <c r="B62" s="1148"/>
      <c r="C62" s="1665" t="s">
        <v>2735</v>
      </c>
      <c r="D62" s="1665"/>
      <c r="E62" s="1150">
        <v>40</v>
      </c>
      <c r="F62" s="1150" t="s">
        <v>240</v>
      </c>
      <c r="G62" s="1682">
        <v>850</v>
      </c>
      <c r="H62" s="711">
        <f>E62*G62</f>
        <v>34000</v>
      </c>
      <c r="I62" s="712">
        <v>50</v>
      </c>
      <c r="J62" s="711">
        <f>E62*I62</f>
        <v>2000</v>
      </c>
      <c r="K62" s="711">
        <f>H62+J62</f>
        <v>36000</v>
      </c>
      <c r="L62" s="1023"/>
    </row>
    <row r="63" spans="1:21" ht="22.15" customHeight="1">
      <c r="A63" s="1143"/>
      <c r="B63" s="1144"/>
      <c r="C63" s="1123"/>
      <c r="D63" s="1314"/>
      <c r="E63" s="1146"/>
      <c r="F63" s="1146"/>
      <c r="G63" s="696"/>
      <c r="H63" s="697"/>
      <c r="I63" s="698"/>
      <c r="J63" s="697"/>
      <c r="K63" s="699"/>
      <c r="L63" s="953"/>
    </row>
    <row r="64" spans="1:21" s="1197" customFormat="1" ht="22.15" customHeight="1">
      <c r="A64" s="1685"/>
      <c r="B64" s="2532" t="s">
        <v>2736</v>
      </c>
      <c r="C64" s="2533"/>
      <c r="D64" s="2534"/>
      <c r="E64" s="1686"/>
      <c r="F64" s="1152"/>
      <c r="G64" s="1152"/>
      <c r="H64" s="1687">
        <f>SUM(H40:H63)</f>
        <v>14995977.209999999</v>
      </c>
      <c r="I64" s="726"/>
      <c r="J64" s="1687">
        <f>SUM(J40:J63)</f>
        <v>3708315.6</v>
      </c>
      <c r="K64" s="1687">
        <f>SUM(K40:K62)</f>
        <v>18704292.809999999</v>
      </c>
      <c r="L64" s="1688"/>
      <c r="M64" s="1689"/>
      <c r="N64" s="1689"/>
      <c r="O64" s="1689"/>
      <c r="P64" s="1689"/>
      <c r="Q64" s="1689"/>
      <c r="R64" s="1689"/>
      <c r="S64" s="1689"/>
      <c r="T64" s="1689"/>
      <c r="U64" s="1689"/>
    </row>
    <row r="65" spans="1:13" s="1197" customFormat="1" ht="21.6" customHeight="1">
      <c r="A65" s="1684"/>
      <c r="B65" s="1148"/>
      <c r="C65" s="1665"/>
      <c r="D65" s="1665"/>
      <c r="E65" s="1150"/>
      <c r="F65" s="1150"/>
      <c r="G65" s="1682"/>
      <c r="H65" s="711"/>
      <c r="I65" s="712"/>
      <c r="J65" s="711"/>
      <c r="K65" s="711"/>
      <c r="L65" s="1023"/>
    </row>
    <row r="66" spans="1:13" s="1197" customFormat="1" ht="22" customHeight="1">
      <c r="A66" s="1143">
        <v>1.2</v>
      </c>
      <c r="B66" s="1144" t="s">
        <v>2703</v>
      </c>
      <c r="C66" s="1208"/>
      <c r="D66" s="1210"/>
      <c r="E66" s="1212"/>
      <c r="F66" s="1212"/>
      <c r="G66" s="1000"/>
      <c r="H66" s="1001"/>
      <c r="I66" s="1002"/>
      <c r="J66" s="1001"/>
      <c r="K66" s="1678"/>
      <c r="L66" s="1605"/>
    </row>
    <row r="67" spans="1:13" s="1197" customFormat="1" ht="22" customHeight="1">
      <c r="A67" s="1505" t="s">
        <v>40</v>
      </c>
      <c r="B67" s="1690" t="s">
        <v>2737</v>
      </c>
      <c r="C67" s="1123"/>
      <c r="D67" s="1210"/>
      <c r="E67" s="1212"/>
      <c r="F67" s="1212"/>
      <c r="G67" s="1691"/>
      <c r="H67" s="1001"/>
      <c r="I67" s="1002"/>
      <c r="J67" s="1001"/>
      <c r="K67" s="1678"/>
      <c r="L67" s="1605"/>
    </row>
    <row r="68" spans="1:13" s="1197" customFormat="1" ht="22" customHeight="1">
      <c r="A68" s="1147"/>
      <c r="B68" s="1127"/>
      <c r="C68" s="1669" t="s">
        <v>2738</v>
      </c>
      <c r="D68" s="1210"/>
      <c r="E68" s="1212"/>
      <c r="F68" s="1212"/>
      <c r="G68" s="1691"/>
      <c r="H68" s="1001"/>
      <c r="I68" s="1002"/>
      <c r="J68" s="1001"/>
      <c r="K68" s="1678"/>
      <c r="L68" s="1605"/>
    </row>
    <row r="69" spans="1:13" s="1197" customFormat="1" ht="22" customHeight="1">
      <c r="A69" s="1143"/>
      <c r="B69" s="1690" t="s">
        <v>2739</v>
      </c>
      <c r="C69" s="1665" t="s">
        <v>2740</v>
      </c>
      <c r="D69" s="1210"/>
      <c r="E69" s="1212">
        <v>36</v>
      </c>
      <c r="F69" s="1212" t="s">
        <v>240</v>
      </c>
      <c r="G69" s="710">
        <v>3200</v>
      </c>
      <c r="H69" s="711">
        <f>E69*G69</f>
        <v>115200</v>
      </c>
      <c r="I69" s="712">
        <v>300</v>
      </c>
      <c r="J69" s="711">
        <f>E69*I69</f>
        <v>10800</v>
      </c>
      <c r="K69" s="711">
        <f>H69+J69</f>
        <v>126000</v>
      </c>
      <c r="L69" s="1692"/>
    </row>
    <row r="70" spans="1:13" s="1197" customFormat="1" ht="22" customHeight="1">
      <c r="A70" s="1143"/>
      <c r="B70" s="1690" t="s">
        <v>2741</v>
      </c>
      <c r="C70" s="1665" t="s">
        <v>2742</v>
      </c>
      <c r="D70" s="1210"/>
      <c r="E70" s="1212">
        <v>54</v>
      </c>
      <c r="F70" s="1212" t="s">
        <v>240</v>
      </c>
      <c r="G70" s="710">
        <v>3800</v>
      </c>
      <c r="H70" s="711">
        <f>E70*G70</f>
        <v>205200</v>
      </c>
      <c r="I70" s="712">
        <v>300</v>
      </c>
      <c r="J70" s="711">
        <f>E70*I70</f>
        <v>16200</v>
      </c>
      <c r="K70" s="711">
        <f>H70+J70</f>
        <v>221400</v>
      </c>
      <c r="L70" s="1692"/>
    </row>
    <row r="71" spans="1:13" s="1197" customFormat="1" ht="22" customHeight="1">
      <c r="A71" s="1143"/>
      <c r="B71" s="1690" t="s">
        <v>2743</v>
      </c>
      <c r="C71" s="1665" t="s">
        <v>2744</v>
      </c>
      <c r="D71" s="1210"/>
      <c r="E71" s="1212">
        <v>734</v>
      </c>
      <c r="F71" s="1212" t="s">
        <v>616</v>
      </c>
      <c r="G71" s="710">
        <v>1200</v>
      </c>
      <c r="H71" s="711">
        <f>E71*G71</f>
        <v>880800</v>
      </c>
      <c r="I71" s="712">
        <v>100</v>
      </c>
      <c r="J71" s="711">
        <f>E71*I71</f>
        <v>73400</v>
      </c>
      <c r="K71" s="711">
        <f>H71+J71</f>
        <v>954200</v>
      </c>
      <c r="L71" s="1024"/>
    </row>
    <row r="72" spans="1:13" s="1197" customFormat="1" ht="22" customHeight="1">
      <c r="A72" s="1143"/>
      <c r="B72" s="1144"/>
      <c r="C72" s="1665" t="s">
        <v>2745</v>
      </c>
      <c r="D72" s="1210"/>
      <c r="E72" s="1212">
        <v>6</v>
      </c>
      <c r="F72" s="1212" t="s">
        <v>240</v>
      </c>
      <c r="G72" s="710">
        <v>292</v>
      </c>
      <c r="H72" s="711">
        <f>E72*G72</f>
        <v>1752</v>
      </c>
      <c r="I72" s="712">
        <v>115</v>
      </c>
      <c r="J72" s="711">
        <f>E72*I72</f>
        <v>690</v>
      </c>
      <c r="K72" s="711">
        <f>H72+J72</f>
        <v>2442</v>
      </c>
      <c r="L72" s="1024"/>
    </row>
    <row r="73" spans="1:13" customFormat="1" ht="21.3">
      <c r="A73" s="1143"/>
      <c r="B73" s="1144"/>
      <c r="C73" s="1665"/>
      <c r="D73" s="1210"/>
      <c r="E73" s="1212"/>
      <c r="F73" s="1212"/>
      <c r="G73" s="1000"/>
      <c r="H73" s="1001"/>
      <c r="I73" s="1002"/>
      <c r="J73" s="1001"/>
      <c r="K73" s="1678"/>
      <c r="L73" s="1023"/>
    </row>
    <row r="74" spans="1:13" s="1197" customFormat="1" ht="21">
      <c r="A74" s="1143"/>
      <c r="B74" s="1144"/>
      <c r="C74" s="1123"/>
      <c r="D74" s="1210"/>
      <c r="E74" s="1212"/>
      <c r="F74" s="1212"/>
      <c r="G74" s="1000"/>
      <c r="H74" s="1001"/>
      <c r="I74" s="1002"/>
      <c r="J74" s="1001"/>
      <c r="K74" s="1678"/>
      <c r="L74" s="1605"/>
    </row>
    <row r="75" spans="1:13" s="1197" customFormat="1" ht="21">
      <c r="A75" s="1505" t="s">
        <v>41</v>
      </c>
      <c r="B75" s="1690" t="s">
        <v>2746</v>
      </c>
      <c r="C75" s="1123"/>
      <c r="D75" s="1210"/>
      <c r="E75" s="1212"/>
      <c r="F75" s="1212"/>
      <c r="G75" s="1691"/>
      <c r="H75" s="1001"/>
      <c r="I75" s="1002"/>
      <c r="J75" s="1001"/>
      <c r="K75" s="1678"/>
      <c r="L75" s="1605"/>
    </row>
    <row r="76" spans="1:13" s="1197" customFormat="1" ht="21">
      <c r="A76" s="1693"/>
      <c r="B76" s="1694" t="s">
        <v>2747</v>
      </c>
      <c r="C76" s="1695"/>
      <c r="D76" s="1303"/>
      <c r="E76" s="1670"/>
      <c r="F76" s="1675"/>
      <c r="G76" s="1682"/>
      <c r="H76" s="711"/>
      <c r="I76" s="712"/>
      <c r="J76" s="711"/>
      <c r="K76" s="711"/>
      <c r="L76" s="678"/>
      <c r="M76" s="1696" t="s">
        <v>2748</v>
      </c>
    </row>
    <row r="77" spans="1:13">
      <c r="A77" s="1693"/>
      <c r="B77" s="1674"/>
      <c r="C77" s="1665" t="s">
        <v>2749</v>
      </c>
      <c r="D77" s="1210"/>
      <c r="E77" s="1212">
        <v>200</v>
      </c>
      <c r="F77" s="1212" t="s">
        <v>616</v>
      </c>
      <c r="G77" s="710">
        <v>75</v>
      </c>
      <c r="H77" s="711">
        <f t="shared" ref="H77:H92" si="6">E77*G77</f>
        <v>15000</v>
      </c>
      <c r="I77" s="712">
        <v>100</v>
      </c>
      <c r="J77" s="711">
        <f t="shared" ref="J77:J92" si="7">E77*I77</f>
        <v>20000</v>
      </c>
      <c r="K77" s="711">
        <f t="shared" ref="K77:K92" si="8">H77+J77</f>
        <v>35000</v>
      </c>
      <c r="L77" s="1676" t="s">
        <v>2750</v>
      </c>
    </row>
    <row r="78" spans="1:13">
      <c r="A78" s="1693"/>
      <c r="B78" s="1674"/>
      <c r="C78" s="1665" t="s">
        <v>2751</v>
      </c>
      <c r="D78" s="1210"/>
      <c r="E78" s="1212">
        <v>300</v>
      </c>
      <c r="F78" s="1212" t="s">
        <v>616</v>
      </c>
      <c r="G78" s="710">
        <v>75</v>
      </c>
      <c r="H78" s="711">
        <f t="shared" si="6"/>
        <v>22500</v>
      </c>
      <c r="I78" s="712">
        <v>100</v>
      </c>
      <c r="J78" s="711">
        <f t="shared" si="7"/>
        <v>30000</v>
      </c>
      <c r="K78" s="711">
        <f t="shared" si="8"/>
        <v>52500</v>
      </c>
      <c r="L78" s="1676" t="s">
        <v>2750</v>
      </c>
    </row>
    <row r="79" spans="1:13" s="1197" customFormat="1" ht="21">
      <c r="A79" s="1693"/>
      <c r="B79" s="1674"/>
      <c r="C79" s="1665" t="s">
        <v>2752</v>
      </c>
      <c r="D79" s="1210"/>
      <c r="E79" s="1212">
        <v>300</v>
      </c>
      <c r="F79" s="1212" t="s">
        <v>616</v>
      </c>
      <c r="G79" s="710">
        <v>48</v>
      </c>
      <c r="H79" s="711">
        <f t="shared" si="6"/>
        <v>14400</v>
      </c>
      <c r="I79" s="712">
        <v>75</v>
      </c>
      <c r="J79" s="711">
        <f t="shared" si="7"/>
        <v>22500</v>
      </c>
      <c r="K79" s="711">
        <f t="shared" si="8"/>
        <v>36900</v>
      </c>
      <c r="L79" s="1676" t="s">
        <v>2750</v>
      </c>
    </row>
    <row r="80" spans="1:13">
      <c r="A80" s="1693"/>
      <c r="B80" s="1674"/>
      <c r="C80" s="1665" t="s">
        <v>2753</v>
      </c>
      <c r="D80" s="1210"/>
      <c r="E80" s="1212">
        <v>900</v>
      </c>
      <c r="F80" s="1212" t="s">
        <v>616</v>
      </c>
      <c r="G80" s="710">
        <v>26</v>
      </c>
      <c r="H80" s="711">
        <f t="shared" si="6"/>
        <v>23400</v>
      </c>
      <c r="I80" s="712">
        <v>30</v>
      </c>
      <c r="J80" s="711">
        <f t="shared" si="7"/>
        <v>27000</v>
      </c>
      <c r="K80" s="711">
        <f t="shared" si="8"/>
        <v>50400</v>
      </c>
      <c r="L80" s="1676" t="s">
        <v>2750</v>
      </c>
    </row>
    <row r="81" spans="1:12">
      <c r="A81" s="1693"/>
      <c r="B81" s="1674"/>
      <c r="C81" s="1665" t="s">
        <v>2754</v>
      </c>
      <c r="D81" s="1210"/>
      <c r="E81" s="1212">
        <v>1</v>
      </c>
      <c r="F81" s="1212" t="s">
        <v>19</v>
      </c>
      <c r="G81" s="710">
        <v>37650</v>
      </c>
      <c r="H81" s="711">
        <f t="shared" si="6"/>
        <v>37650</v>
      </c>
      <c r="I81" s="712">
        <v>11295</v>
      </c>
      <c r="J81" s="711">
        <f t="shared" si="7"/>
        <v>11295</v>
      </c>
      <c r="K81" s="711">
        <f t="shared" si="8"/>
        <v>48945</v>
      </c>
      <c r="L81" s="1676" t="s">
        <v>2750</v>
      </c>
    </row>
    <row r="82" spans="1:12">
      <c r="A82" s="1693"/>
      <c r="B82" s="1674"/>
      <c r="C82" s="1665" t="s">
        <v>2755</v>
      </c>
      <c r="D82" s="1210"/>
      <c r="E82" s="1212">
        <v>316</v>
      </c>
      <c r="F82" s="1212" t="s">
        <v>2756</v>
      </c>
      <c r="G82" s="710">
        <v>230</v>
      </c>
      <c r="H82" s="711">
        <f t="shared" si="6"/>
        <v>72680</v>
      </c>
      <c r="I82" s="712">
        <v>30</v>
      </c>
      <c r="J82" s="711">
        <f t="shared" si="7"/>
        <v>9480</v>
      </c>
      <c r="K82" s="711">
        <f t="shared" si="8"/>
        <v>82160</v>
      </c>
      <c r="L82" s="678"/>
    </row>
    <row r="83" spans="1:12">
      <c r="A83" s="1693"/>
      <c r="B83" s="1674"/>
      <c r="C83" s="1665" t="s">
        <v>2757</v>
      </c>
      <c r="D83" s="1210"/>
      <c r="E83" s="1212">
        <v>316</v>
      </c>
      <c r="F83" s="1212" t="s">
        <v>240</v>
      </c>
      <c r="G83" s="710">
        <v>180</v>
      </c>
      <c r="H83" s="711">
        <f t="shared" si="6"/>
        <v>56880</v>
      </c>
      <c r="I83" s="712">
        <v>30</v>
      </c>
      <c r="J83" s="711">
        <f t="shared" si="7"/>
        <v>9480</v>
      </c>
      <c r="K83" s="711">
        <f t="shared" si="8"/>
        <v>66360</v>
      </c>
      <c r="L83" s="678"/>
    </row>
    <row r="84" spans="1:12">
      <c r="A84" s="1693"/>
      <c r="B84" s="1674"/>
      <c r="C84" s="1665" t="s">
        <v>2758</v>
      </c>
      <c r="D84" s="1210"/>
      <c r="E84" s="1212">
        <v>117</v>
      </c>
      <c r="F84" s="1212" t="s">
        <v>240</v>
      </c>
      <c r="G84" s="710">
        <v>35</v>
      </c>
      <c r="H84" s="711">
        <f t="shared" si="6"/>
        <v>4095</v>
      </c>
      <c r="I84" s="712">
        <v>15</v>
      </c>
      <c r="J84" s="711">
        <f t="shared" si="7"/>
        <v>1755</v>
      </c>
      <c r="K84" s="711">
        <f t="shared" si="8"/>
        <v>5850</v>
      </c>
      <c r="L84" s="678"/>
    </row>
    <row r="85" spans="1:12">
      <c r="A85" s="1693"/>
      <c r="B85" s="1674"/>
      <c r="C85" s="1665" t="s">
        <v>2759</v>
      </c>
      <c r="D85" s="1210"/>
      <c r="E85" s="1212">
        <v>12</v>
      </c>
      <c r="F85" s="1212" t="s">
        <v>2760</v>
      </c>
      <c r="G85" s="710">
        <v>4800</v>
      </c>
      <c r="H85" s="711">
        <f t="shared" si="6"/>
        <v>57600</v>
      </c>
      <c r="I85" s="712">
        <v>1500</v>
      </c>
      <c r="J85" s="711">
        <f t="shared" si="7"/>
        <v>18000</v>
      </c>
      <c r="K85" s="711">
        <f t="shared" si="8"/>
        <v>75600</v>
      </c>
      <c r="L85" s="678"/>
    </row>
    <row r="86" spans="1:12">
      <c r="A86" s="1693"/>
      <c r="B86" s="1674"/>
      <c r="C86" s="1665" t="s">
        <v>2761</v>
      </c>
      <c r="D86" s="1210"/>
      <c r="E86" s="1212">
        <v>12</v>
      </c>
      <c r="F86" s="1212" t="s">
        <v>2762</v>
      </c>
      <c r="G86" s="710">
        <v>1200</v>
      </c>
      <c r="H86" s="711">
        <f t="shared" si="6"/>
        <v>14400</v>
      </c>
      <c r="I86" s="712">
        <v>300</v>
      </c>
      <c r="J86" s="711">
        <f t="shared" si="7"/>
        <v>3600</v>
      </c>
      <c r="K86" s="711">
        <f t="shared" si="8"/>
        <v>18000</v>
      </c>
      <c r="L86" s="678"/>
    </row>
    <row r="87" spans="1:12">
      <c r="A87" s="1693"/>
      <c r="B87" s="1674"/>
      <c r="C87" s="1665" t="s">
        <v>2763</v>
      </c>
      <c r="D87" s="1210"/>
      <c r="E87" s="1212">
        <v>2</v>
      </c>
      <c r="F87" s="1212" t="s">
        <v>2760</v>
      </c>
      <c r="G87" s="710">
        <v>9700</v>
      </c>
      <c r="H87" s="711">
        <f t="shared" si="6"/>
        <v>19400</v>
      </c>
      <c r="I87" s="712">
        <v>3000</v>
      </c>
      <c r="J87" s="711">
        <f t="shared" si="7"/>
        <v>6000</v>
      </c>
      <c r="K87" s="711">
        <f t="shared" si="8"/>
        <v>25400</v>
      </c>
      <c r="L87" s="678"/>
    </row>
    <row r="88" spans="1:12">
      <c r="A88" s="1693"/>
      <c r="B88" s="1674"/>
      <c r="C88" s="1665" t="s">
        <v>2764</v>
      </c>
      <c r="D88" s="1210"/>
      <c r="E88" s="1212">
        <v>2</v>
      </c>
      <c r="F88" s="1212" t="s">
        <v>2760</v>
      </c>
      <c r="G88" s="710">
        <v>2500</v>
      </c>
      <c r="H88" s="711">
        <f t="shared" si="6"/>
        <v>5000</v>
      </c>
      <c r="I88" s="712">
        <v>1000</v>
      </c>
      <c r="J88" s="711">
        <f t="shared" si="7"/>
        <v>2000</v>
      </c>
      <c r="K88" s="711">
        <f t="shared" si="8"/>
        <v>7000</v>
      </c>
      <c r="L88" s="678"/>
    </row>
    <row r="89" spans="1:12">
      <c r="A89" s="1693"/>
      <c r="B89" s="1674"/>
      <c r="C89" s="1665" t="s">
        <v>2765</v>
      </c>
      <c r="D89" s="1210"/>
      <c r="E89" s="1212">
        <v>2</v>
      </c>
      <c r="F89" s="1212" t="s">
        <v>2760</v>
      </c>
      <c r="G89" s="710">
        <v>12000</v>
      </c>
      <c r="H89" s="711">
        <f t="shared" si="6"/>
        <v>24000</v>
      </c>
      <c r="I89" s="712">
        <v>2000</v>
      </c>
      <c r="J89" s="711">
        <f t="shared" si="7"/>
        <v>4000</v>
      </c>
      <c r="K89" s="711">
        <f t="shared" si="8"/>
        <v>28000</v>
      </c>
      <c r="L89" s="678"/>
    </row>
    <row r="90" spans="1:12">
      <c r="A90" s="1693"/>
      <c r="B90" s="1674"/>
      <c r="C90" s="1665" t="s">
        <v>2766</v>
      </c>
      <c r="D90" s="1210"/>
      <c r="E90" s="1212">
        <v>1200</v>
      </c>
      <c r="F90" s="1212" t="s">
        <v>616</v>
      </c>
      <c r="G90" s="710">
        <v>24</v>
      </c>
      <c r="H90" s="711">
        <f t="shared" si="6"/>
        <v>28800</v>
      </c>
      <c r="I90" s="712">
        <v>20</v>
      </c>
      <c r="J90" s="711">
        <f t="shared" si="7"/>
        <v>24000</v>
      </c>
      <c r="K90" s="711">
        <f t="shared" si="8"/>
        <v>52800</v>
      </c>
      <c r="L90" s="678"/>
    </row>
    <row r="91" spans="1:12">
      <c r="A91" s="1693"/>
      <c r="B91" s="1674"/>
      <c r="C91" s="1665" t="s">
        <v>2767</v>
      </c>
      <c r="D91" s="1210"/>
      <c r="E91" s="1212">
        <v>200</v>
      </c>
      <c r="F91" s="1212" t="s">
        <v>616</v>
      </c>
      <c r="G91" s="710">
        <v>20</v>
      </c>
      <c r="H91" s="711">
        <f t="shared" si="6"/>
        <v>4000</v>
      </c>
      <c r="I91" s="712">
        <v>20</v>
      </c>
      <c r="J91" s="711">
        <f t="shared" si="7"/>
        <v>4000</v>
      </c>
      <c r="K91" s="711">
        <f t="shared" si="8"/>
        <v>8000</v>
      </c>
      <c r="L91" s="678"/>
    </row>
    <row r="92" spans="1:12">
      <c r="A92" s="1693"/>
      <c r="B92" s="1674"/>
      <c r="C92" s="1665" t="s">
        <v>2768</v>
      </c>
      <c r="D92" s="1210"/>
      <c r="E92" s="1212">
        <v>1</v>
      </c>
      <c r="F92" s="1212" t="s">
        <v>19</v>
      </c>
      <c r="G92" s="710">
        <v>15000</v>
      </c>
      <c r="H92" s="711">
        <f t="shared" si="6"/>
        <v>15000</v>
      </c>
      <c r="I92" s="712">
        <v>7500</v>
      </c>
      <c r="J92" s="711">
        <f t="shared" si="7"/>
        <v>7500</v>
      </c>
      <c r="K92" s="711">
        <f t="shared" si="8"/>
        <v>22500</v>
      </c>
      <c r="L92" s="678"/>
    </row>
    <row r="93" spans="1:12">
      <c r="A93" s="1693"/>
      <c r="B93" s="1674"/>
      <c r="C93" s="1665"/>
      <c r="D93" s="1210"/>
      <c r="E93" s="1212"/>
      <c r="F93" s="1212"/>
      <c r="G93" s="1000"/>
      <c r="H93" s="1001"/>
      <c r="I93" s="1002"/>
      <c r="J93" s="1001"/>
      <c r="K93" s="1678"/>
      <c r="L93" s="1697"/>
    </row>
    <row r="94" spans="1:12">
      <c r="A94" s="1693"/>
      <c r="B94" s="1674"/>
      <c r="C94" s="1665"/>
      <c r="D94" s="1210"/>
      <c r="E94" s="1212"/>
      <c r="F94" s="1212"/>
      <c r="G94" s="1000"/>
      <c r="H94" s="1001"/>
      <c r="I94" s="1002"/>
      <c r="J94" s="1001"/>
      <c r="K94" s="1678"/>
      <c r="L94" s="1697"/>
    </row>
    <row r="95" spans="1:12">
      <c r="A95" s="1693"/>
      <c r="B95" s="1674"/>
      <c r="C95" s="1665"/>
      <c r="D95" s="1210"/>
      <c r="E95" s="1212"/>
      <c r="F95" s="1212"/>
      <c r="G95" s="1000"/>
      <c r="H95" s="1001"/>
      <c r="I95" s="1002"/>
      <c r="J95" s="1001"/>
      <c r="K95" s="1678"/>
      <c r="L95" s="1697"/>
    </row>
    <row r="96" spans="1:12">
      <c r="A96" s="1693"/>
      <c r="B96" s="1674"/>
      <c r="C96" s="1665"/>
      <c r="D96" s="1210"/>
      <c r="E96" s="1212"/>
      <c r="F96" s="1212"/>
      <c r="G96" s="1000"/>
      <c r="H96" s="1001"/>
      <c r="I96" s="1002"/>
      <c r="J96" s="1001"/>
      <c r="K96" s="1678"/>
      <c r="L96" s="1697"/>
    </row>
    <row r="97" spans="1:16">
      <c r="A97" s="1693"/>
      <c r="B97" s="1674"/>
      <c r="C97" s="1665"/>
      <c r="D97" s="1210"/>
      <c r="E97" s="1212"/>
      <c r="F97" s="1212"/>
      <c r="G97" s="1000"/>
      <c r="H97" s="1001"/>
      <c r="I97" s="1002"/>
      <c r="J97" s="1001"/>
      <c r="K97" s="1678"/>
      <c r="L97" s="1697"/>
    </row>
    <row r="98" spans="1:16">
      <c r="A98" s="1693"/>
      <c r="B98" s="1674"/>
      <c r="C98" s="1665"/>
      <c r="D98" s="1210"/>
      <c r="E98" s="1212"/>
      <c r="F98" s="1212"/>
      <c r="G98" s="1000"/>
      <c r="H98" s="1001"/>
      <c r="I98" s="1002"/>
      <c r="J98" s="1001"/>
      <c r="K98" s="1678"/>
      <c r="L98" s="1697"/>
    </row>
    <row r="99" spans="1:16">
      <c r="A99" s="1693"/>
      <c r="B99" s="1674"/>
      <c r="C99" s="1665"/>
      <c r="D99" s="1210"/>
      <c r="E99" s="1212"/>
      <c r="F99" s="1212"/>
      <c r="G99" s="1000"/>
      <c r="H99" s="1001"/>
      <c r="I99" s="1002"/>
      <c r="J99" s="1001"/>
      <c r="K99" s="1678"/>
      <c r="L99" s="1697"/>
    </row>
    <row r="100" spans="1:16">
      <c r="A100" s="1693"/>
      <c r="B100" s="1674"/>
      <c r="C100" s="1665"/>
      <c r="D100" s="1210"/>
      <c r="E100" s="1212"/>
      <c r="F100" s="1212"/>
      <c r="G100" s="1000"/>
      <c r="H100" s="1001"/>
      <c r="I100" s="1002"/>
      <c r="J100" s="1001"/>
      <c r="K100" s="1678"/>
      <c r="L100" s="1697"/>
    </row>
    <row r="101" spans="1:16">
      <c r="A101" s="1693"/>
      <c r="B101" s="1674"/>
      <c r="C101" s="1665"/>
      <c r="D101" s="1210"/>
      <c r="E101" s="1212"/>
      <c r="F101" s="1212"/>
      <c r="G101" s="1000"/>
      <c r="H101" s="1001"/>
      <c r="I101" s="1002"/>
      <c r="J101" s="1001"/>
      <c r="K101" s="1678"/>
      <c r="L101" s="1697"/>
    </row>
    <row r="102" spans="1:16">
      <c r="A102" s="1693"/>
      <c r="B102" s="1674"/>
      <c r="C102" s="1665"/>
      <c r="D102" s="1210"/>
      <c r="E102" s="1212"/>
      <c r="F102" s="1212"/>
      <c r="G102" s="1000"/>
      <c r="H102" s="1001"/>
      <c r="I102" s="1002"/>
      <c r="J102" s="1001"/>
      <c r="K102" s="1678"/>
      <c r="L102" s="1697"/>
    </row>
    <row r="103" spans="1:16">
      <c r="A103" s="1693"/>
      <c r="B103" s="1674"/>
      <c r="C103" s="1665"/>
      <c r="D103" s="1210"/>
      <c r="E103" s="1212"/>
      <c r="F103" s="1212"/>
      <c r="G103" s="1000"/>
      <c r="H103" s="1001"/>
      <c r="I103" s="1002"/>
      <c r="J103" s="1001"/>
      <c r="K103" s="1678"/>
      <c r="L103" s="1697"/>
    </row>
    <row r="104" spans="1:16">
      <c r="A104" s="1693"/>
      <c r="B104" s="1674"/>
      <c r="C104" s="1665"/>
      <c r="D104" s="1210"/>
      <c r="E104" s="1212"/>
      <c r="F104" s="1212"/>
      <c r="G104" s="1000"/>
      <c r="H104" s="1001"/>
      <c r="I104" s="1002"/>
      <c r="J104" s="1001"/>
      <c r="K104" s="1678"/>
      <c r="L104" s="1697"/>
    </row>
    <row r="105" spans="1:16">
      <c r="A105" s="1693"/>
      <c r="B105" s="1674"/>
      <c r="C105" s="1665"/>
      <c r="D105" s="1210"/>
      <c r="E105" s="1212"/>
      <c r="F105" s="1212"/>
      <c r="G105" s="1000"/>
      <c r="H105" s="1001"/>
      <c r="I105" s="1002"/>
      <c r="J105" s="1001"/>
      <c r="K105" s="1678"/>
      <c r="L105" s="1697"/>
    </row>
    <row r="106" spans="1:16">
      <c r="A106" s="1693"/>
      <c r="B106" s="1674"/>
      <c r="C106" s="1665"/>
      <c r="D106" s="1210"/>
      <c r="E106" s="1212"/>
      <c r="F106" s="1212"/>
      <c r="G106" s="1000"/>
      <c r="H106" s="1001"/>
      <c r="I106" s="1002"/>
      <c r="J106" s="1001"/>
      <c r="K106" s="1678"/>
      <c r="L106" s="1697"/>
    </row>
    <row r="107" spans="1:16">
      <c r="A107" s="1693"/>
      <c r="B107" s="1674"/>
      <c r="C107" s="1665"/>
      <c r="D107" s="1210"/>
      <c r="E107" s="1212"/>
      <c r="F107" s="1212"/>
      <c r="G107" s="1000"/>
      <c r="H107" s="1001"/>
      <c r="I107" s="1002"/>
      <c r="J107" s="1001"/>
      <c r="K107" s="1678"/>
      <c r="L107" s="1697"/>
    </row>
    <row r="108" spans="1:16">
      <c r="A108" s="1143"/>
      <c r="B108" s="1144"/>
      <c r="C108" s="1123"/>
      <c r="D108" s="1210"/>
      <c r="E108" s="1212"/>
      <c r="F108" s="1212"/>
      <c r="G108" s="1691"/>
      <c r="H108" s="1001"/>
      <c r="I108" s="1002"/>
      <c r="J108" s="1001"/>
      <c r="K108" s="1678"/>
      <c r="L108" s="1605"/>
    </row>
    <row r="109" spans="1:16">
      <c r="A109" s="1698"/>
      <c r="B109" s="2532" t="s">
        <v>2769</v>
      </c>
      <c r="C109" s="2533"/>
      <c r="D109" s="2534"/>
      <c r="E109" s="1686"/>
      <c r="F109" s="1152"/>
      <c r="G109" s="1152"/>
      <c r="H109" s="1687">
        <f>SUM(H69:H108)</f>
        <v>1617757</v>
      </c>
      <c r="I109" s="726"/>
      <c r="J109" s="1687">
        <f>SUM(J69:J108)</f>
        <v>301700</v>
      </c>
      <c r="K109" s="1687">
        <f>SUM(K69:K92)</f>
        <v>1919457</v>
      </c>
      <c r="L109" s="1688"/>
      <c r="P109" s="1699"/>
    </row>
  </sheetData>
  <mergeCells count="11">
    <mergeCell ref="B34:G34"/>
    <mergeCell ref="B64:D64"/>
    <mergeCell ref="B109:D109"/>
    <mergeCell ref="L7:L8"/>
    <mergeCell ref="A9:A10"/>
    <mergeCell ref="B9:D10"/>
    <mergeCell ref="E9:E10"/>
    <mergeCell ref="F9:F10"/>
    <mergeCell ref="G9:H9"/>
    <mergeCell ref="I9:J9"/>
    <mergeCell ref="L9:L10"/>
  </mergeCells>
  <printOptions horizontalCentered="1"/>
  <pageMargins left="0.59055118110236204" right="0.196850393700787" top="0.59055118110236204" bottom="0.39370078740157499" header="0.39370078740157499" footer="0.15748031496063"/>
  <pageSetup paperSize="9" scale="65" fitToHeight="0" orientation="landscape" r:id="rId1"/>
  <headerFooter>
    <oddHeader xml:space="preserve">&amp;Rแผ่นที่ &amp;P ใน &amp;N แผ่น     </oddHeader>
    <oddFooter>&amp;Rงานระบบภูมิสถาปัตย์ Hard scape-อาคารสนับสนุน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C00000"/>
  </sheetPr>
  <dimension ref="A1:N35"/>
  <sheetViews>
    <sheetView showGridLines="0" view="pageBreakPreview" zoomScale="85" zoomScaleNormal="60" zoomScaleSheetLayoutView="85" workbookViewId="0">
      <selection activeCell="K12" sqref="K12"/>
    </sheetView>
  </sheetViews>
  <sheetFormatPr defaultColWidth="9" defaultRowHeight="23.7"/>
  <cols>
    <col min="1" max="1" width="12" style="557" customWidth="1"/>
    <col min="2" max="3" width="7.29296875" style="481" customWidth="1"/>
    <col min="4" max="4" width="60.5859375" style="481" customWidth="1"/>
    <col min="5" max="5" width="15.5859375" style="481" customWidth="1"/>
    <col min="6" max="6" width="14.29296875" style="481" customWidth="1"/>
    <col min="7" max="7" width="52" style="481" customWidth="1"/>
    <col min="8" max="8" width="32.5859375" style="481" customWidth="1"/>
    <col min="9" max="92" width="7.5859375" style="481" customWidth="1"/>
    <col min="93" max="16384" width="9" style="481"/>
  </cols>
  <sheetData>
    <row r="1" spans="1:8" ht="35.25" customHeight="1">
      <c r="A1" s="476"/>
      <c r="B1" s="476"/>
      <c r="C1" s="477"/>
      <c r="D1" s="477"/>
      <c r="E1" s="477"/>
      <c r="F1" s="478" t="s">
        <v>0</v>
      </c>
      <c r="G1" s="479"/>
      <c r="H1" s="480" t="s">
        <v>246</v>
      </c>
    </row>
    <row r="2" spans="1:8" ht="24" customHeight="1">
      <c r="A2" s="482"/>
      <c r="B2" s="483"/>
      <c r="C2" s="484"/>
      <c r="D2" s="485"/>
      <c r="E2" s="484"/>
      <c r="F2" s="486"/>
      <c r="G2" s="486"/>
      <c r="H2" s="487"/>
    </row>
    <row r="3" spans="1:8" ht="24" customHeight="1">
      <c r="A3" s="488" t="s">
        <v>247</v>
      </c>
      <c r="B3" s="489"/>
      <c r="C3" s="490"/>
      <c r="D3" s="491"/>
      <c r="E3" s="490"/>
      <c r="F3" s="492"/>
      <c r="G3" s="492"/>
      <c r="H3" s="493"/>
    </row>
    <row r="4" spans="1:8" ht="24" customHeight="1">
      <c r="A4" s="494"/>
      <c r="B4" s="495"/>
      <c r="C4" s="496"/>
      <c r="D4" s="41" t="s">
        <v>2970</v>
      </c>
      <c r="E4" s="496"/>
      <c r="F4" s="497"/>
      <c r="G4" s="497"/>
      <c r="H4" s="498"/>
    </row>
    <row r="5" spans="1:8" ht="24" customHeight="1">
      <c r="A5" s="488" t="s">
        <v>3</v>
      </c>
      <c r="B5" s="489"/>
      <c r="C5" s="490"/>
      <c r="D5" s="491" t="s">
        <v>21</v>
      </c>
      <c r="E5" s="499"/>
      <c r="F5" s="492"/>
      <c r="G5" s="492"/>
      <c r="H5" s="493"/>
    </row>
    <row r="6" spans="1:8" ht="24" customHeight="1">
      <c r="A6" s="500" t="s">
        <v>20</v>
      </c>
      <c r="B6" s="495"/>
      <c r="C6" s="496"/>
      <c r="D6" s="501"/>
      <c r="E6" s="496"/>
      <c r="F6" s="497"/>
      <c r="G6" s="497"/>
      <c r="H6" s="502"/>
    </row>
    <row r="7" spans="1:8" ht="24" customHeight="1">
      <c r="A7" s="503" t="s">
        <v>26</v>
      </c>
      <c r="B7" s="504"/>
      <c r="C7" s="504"/>
      <c r="D7" s="505"/>
      <c r="E7" s="504"/>
      <c r="F7" s="503" t="s">
        <v>248</v>
      </c>
      <c r="G7" s="506"/>
      <c r="H7" s="2540" t="s">
        <v>7</v>
      </c>
    </row>
    <row r="8" spans="1:8" ht="10.15" customHeight="1">
      <c r="A8" s="4"/>
      <c r="B8" s="507"/>
      <c r="C8" s="507"/>
      <c r="D8" s="508"/>
      <c r="E8" s="508"/>
      <c r="F8" s="509"/>
      <c r="G8" s="510"/>
      <c r="H8" s="2541"/>
    </row>
    <row r="9" spans="1:8" s="499" customFormat="1" ht="24" customHeight="1">
      <c r="A9" s="2542" t="s">
        <v>8</v>
      </c>
      <c r="B9" s="2544" t="s">
        <v>9</v>
      </c>
      <c r="C9" s="2545"/>
      <c r="D9" s="2546"/>
      <c r="E9" s="2550" t="s">
        <v>10</v>
      </c>
      <c r="F9" s="2550" t="s">
        <v>11</v>
      </c>
      <c r="G9" s="511" t="s">
        <v>249</v>
      </c>
      <c r="H9" s="2552" t="s">
        <v>15</v>
      </c>
    </row>
    <row r="10" spans="1:8" s="499" customFormat="1" ht="24" customHeight="1">
      <c r="A10" s="2543"/>
      <c r="B10" s="2547"/>
      <c r="C10" s="2548"/>
      <c r="D10" s="2549"/>
      <c r="E10" s="2551"/>
      <c r="F10" s="2551"/>
      <c r="G10" s="512" t="s">
        <v>250</v>
      </c>
      <c r="H10" s="2553"/>
    </row>
    <row r="11" spans="1:8" ht="24" customHeight="1">
      <c r="A11" s="513"/>
      <c r="B11" s="514" t="s">
        <v>60</v>
      </c>
      <c r="C11" s="515"/>
      <c r="D11" s="516"/>
      <c r="E11" s="517"/>
      <c r="F11" s="517"/>
      <c r="G11" s="518"/>
      <c r="H11" s="519"/>
    </row>
    <row r="12" spans="1:8" ht="24" customHeight="1">
      <c r="A12" s="520"/>
      <c r="B12" s="521"/>
      <c r="C12" s="522"/>
      <c r="D12" s="523"/>
      <c r="E12" s="524"/>
      <c r="F12" s="524"/>
      <c r="G12" s="525"/>
      <c r="H12" s="526"/>
    </row>
    <row r="13" spans="1:8" ht="24" customHeight="1">
      <c r="A13" s="527" t="s">
        <v>34</v>
      </c>
      <c r="B13" s="528" t="s">
        <v>251</v>
      </c>
      <c r="C13" s="529"/>
      <c r="D13" s="530"/>
      <c r="E13" s="531">
        <v>1</v>
      </c>
      <c r="F13" s="532" t="s">
        <v>19</v>
      </c>
      <c r="G13" s="533">
        <f>แบบแสดงการคำนวณค่าใช้จ่ายพิเศษ!F35</f>
        <v>4665200</v>
      </c>
      <c r="H13" s="534"/>
    </row>
    <row r="14" spans="1:8" ht="24" customHeight="1">
      <c r="A14" s="527" t="s">
        <v>243</v>
      </c>
      <c r="B14" s="528" t="s">
        <v>252</v>
      </c>
      <c r="C14" s="529"/>
      <c r="D14" s="530"/>
      <c r="E14" s="535">
        <v>1</v>
      </c>
      <c r="F14" s="532" t="s">
        <v>19</v>
      </c>
      <c r="G14" s="533">
        <f>แบบแสดงการคำนวณค่าใช้จ่ายพิเศษ!F79</f>
        <v>898715.46999999986</v>
      </c>
      <c r="H14" s="534"/>
    </row>
    <row r="15" spans="1:8" ht="24" customHeight="1">
      <c r="A15" s="527" t="s">
        <v>25</v>
      </c>
      <c r="B15" s="528" t="s">
        <v>253</v>
      </c>
      <c r="C15" s="522"/>
      <c r="D15" s="523"/>
      <c r="E15" s="535">
        <v>1</v>
      </c>
      <c r="F15" s="532" t="s">
        <v>19</v>
      </c>
      <c r="G15" s="533">
        <f>แบบแสดงการคำนวณค่าใช้จ่ายพิเศษ!F121</f>
        <v>1759080</v>
      </c>
      <c r="H15" s="536"/>
    </row>
    <row r="16" spans="1:8" ht="24" customHeight="1">
      <c r="A16" s="527" t="s">
        <v>27</v>
      </c>
      <c r="B16" s="528" t="s">
        <v>254</v>
      </c>
      <c r="C16" s="522"/>
      <c r="D16" s="523"/>
      <c r="E16" s="535">
        <v>1</v>
      </c>
      <c r="F16" s="532" t="s">
        <v>19</v>
      </c>
      <c r="G16" s="533">
        <f>แบบแสดงการคำนวณค่าใช้จ่ายพิเศษ!F163</f>
        <v>1040040</v>
      </c>
      <c r="H16" s="536"/>
    </row>
    <row r="17" spans="1:8" ht="24" customHeight="1">
      <c r="A17" s="527" t="s">
        <v>29</v>
      </c>
      <c r="B17" s="528" t="s">
        <v>255</v>
      </c>
      <c r="C17" s="522"/>
      <c r="D17" s="523"/>
      <c r="E17" s="531">
        <v>1</v>
      </c>
      <c r="F17" s="532" t="s">
        <v>19</v>
      </c>
      <c r="G17" s="533">
        <f>แบบแสดงการคำนวณค่าใช้จ่ายพิเศษ!F204</f>
        <v>500000</v>
      </c>
      <c r="H17" s="536"/>
    </row>
    <row r="18" spans="1:8" ht="24" customHeight="1">
      <c r="A18" s="527" t="s">
        <v>32</v>
      </c>
      <c r="B18" s="528" t="s">
        <v>256</v>
      </c>
      <c r="C18" s="522"/>
      <c r="D18" s="523"/>
      <c r="E18" s="535">
        <v>1</v>
      </c>
      <c r="F18" s="532" t="s">
        <v>19</v>
      </c>
      <c r="G18" s="533">
        <f>แบบแสดงการคำนวณค่าใช้จ่ายพิเศษ!F245</f>
        <v>2140000</v>
      </c>
      <c r="H18" s="536"/>
    </row>
    <row r="19" spans="1:8" ht="24" customHeight="1">
      <c r="A19" s="527" t="s">
        <v>244</v>
      </c>
      <c r="B19" s="528" t="s">
        <v>257</v>
      </c>
      <c r="C19" s="522"/>
      <c r="D19" s="523"/>
      <c r="E19" s="535">
        <v>1</v>
      </c>
      <c r="F19" s="532" t="s">
        <v>19</v>
      </c>
      <c r="G19" s="533">
        <f>แบบแสดงการคำนวณค่าใช้จ่ายพิเศษ!F286</f>
        <v>5000000</v>
      </c>
      <c r="H19" s="536"/>
    </row>
    <row r="20" spans="1:8" ht="24" customHeight="1">
      <c r="A20" s="527" t="s">
        <v>61</v>
      </c>
      <c r="B20" s="528" t="s">
        <v>258</v>
      </c>
      <c r="C20" s="522"/>
      <c r="D20" s="523"/>
      <c r="E20" s="535">
        <v>1</v>
      </c>
      <c r="F20" s="532" t="s">
        <v>19</v>
      </c>
      <c r="G20" s="533">
        <f>แบบแสดงการคำนวณค่าใช้จ่ายพิเศษ!F327</f>
        <v>2500000</v>
      </c>
      <c r="H20" s="536"/>
    </row>
    <row r="21" spans="1:8" ht="24" customHeight="1">
      <c r="A21" s="527" t="s">
        <v>245</v>
      </c>
      <c r="B21" s="528" t="s">
        <v>308</v>
      </c>
      <c r="C21" s="522"/>
      <c r="D21" s="523"/>
      <c r="E21" s="535">
        <v>1</v>
      </c>
      <c r="F21" s="532" t="s">
        <v>19</v>
      </c>
      <c r="G21" s="533">
        <f>แบบแสดงการคำนวณค่าใช้จ่ายพิเศษ!F368</f>
        <v>27820000</v>
      </c>
      <c r="H21" s="536"/>
    </row>
    <row r="22" spans="1:8" ht="24" customHeight="1">
      <c r="A22" s="527" t="s">
        <v>2771</v>
      </c>
      <c r="B22" s="528" t="s">
        <v>2681</v>
      </c>
      <c r="C22" s="522"/>
      <c r="D22" s="523"/>
      <c r="E22" s="535">
        <v>1</v>
      </c>
      <c r="F22" s="532" t="s">
        <v>19</v>
      </c>
      <c r="G22" s="533">
        <f>แบบแสดงการคำนวณค่าใช้จ่ายพิเศษ!F409</f>
        <v>85600</v>
      </c>
      <c r="H22" s="536"/>
    </row>
    <row r="23" spans="1:8" ht="24" customHeight="1">
      <c r="A23" s="527"/>
      <c r="B23" s="528"/>
      <c r="C23" s="522"/>
      <c r="D23" s="523"/>
      <c r="E23" s="535"/>
      <c r="F23" s="532"/>
      <c r="G23" s="533"/>
      <c r="H23" s="536"/>
    </row>
    <row r="24" spans="1:8" ht="24" customHeight="1">
      <c r="A24" s="527"/>
      <c r="B24" s="528"/>
      <c r="C24" s="522"/>
      <c r="D24" s="523"/>
      <c r="E24" s="535"/>
      <c r="F24" s="532"/>
      <c r="G24" s="533"/>
      <c r="H24" s="536"/>
    </row>
    <row r="25" spans="1:8" ht="24" customHeight="1">
      <c r="A25" s="527"/>
      <c r="B25" s="528"/>
      <c r="C25" s="522"/>
      <c r="D25" s="523"/>
      <c r="E25" s="535"/>
      <c r="F25" s="532"/>
      <c r="G25" s="533"/>
      <c r="H25" s="536"/>
    </row>
    <row r="26" spans="1:8" ht="24" customHeight="1">
      <c r="A26" s="527"/>
      <c r="B26" s="528"/>
      <c r="C26" s="522"/>
      <c r="D26" s="523"/>
      <c r="E26" s="535"/>
      <c r="F26" s="532"/>
      <c r="G26" s="533"/>
      <c r="H26" s="536"/>
    </row>
    <row r="27" spans="1:8" ht="24" customHeight="1">
      <c r="A27" s="527"/>
      <c r="B27" s="127"/>
      <c r="C27" s="522"/>
      <c r="D27" s="523"/>
      <c r="E27" s="531"/>
      <c r="F27" s="532"/>
      <c r="G27" s="533"/>
      <c r="H27" s="537"/>
    </row>
    <row r="28" spans="1:8" ht="24" customHeight="1">
      <c r="A28" s="538"/>
      <c r="B28" s="127"/>
      <c r="C28" s="522"/>
      <c r="D28" s="523"/>
      <c r="E28" s="531"/>
      <c r="F28" s="532"/>
      <c r="G28" s="525"/>
      <c r="H28" s="526"/>
    </row>
    <row r="29" spans="1:8" ht="24" customHeight="1">
      <c r="A29" s="538"/>
      <c r="B29" s="2535"/>
      <c r="C29" s="2536"/>
      <c r="D29" s="2537"/>
      <c r="E29" s="539"/>
      <c r="F29" s="539"/>
      <c r="G29" s="540"/>
      <c r="H29" s="541"/>
    </row>
    <row r="30" spans="1:8" ht="24" customHeight="1">
      <c r="A30" s="538"/>
      <c r="B30" s="2535"/>
      <c r="C30" s="2536"/>
      <c r="D30" s="2537"/>
      <c r="E30" s="539"/>
      <c r="F30" s="539"/>
      <c r="G30" s="540"/>
      <c r="H30" s="541"/>
    </row>
    <row r="31" spans="1:8" ht="24" customHeight="1">
      <c r="A31" s="538"/>
      <c r="B31" s="542"/>
      <c r="C31" s="543"/>
      <c r="D31" s="516"/>
      <c r="E31" s="531"/>
      <c r="F31" s="532"/>
      <c r="G31" s="518"/>
      <c r="H31" s="541"/>
    </row>
    <row r="32" spans="1:8" ht="24" customHeight="1">
      <c r="A32" s="544"/>
      <c r="B32" s="542"/>
      <c r="C32" s="543"/>
      <c r="D32" s="516"/>
      <c r="E32" s="517"/>
      <c r="F32" s="517"/>
      <c r="G32" s="518"/>
      <c r="H32" s="541"/>
    </row>
    <row r="33" spans="1:14" ht="24" customHeight="1">
      <c r="A33" s="544"/>
      <c r="B33" s="542"/>
      <c r="C33" s="543"/>
      <c r="D33" s="516"/>
      <c r="E33" s="517"/>
      <c r="F33" s="517"/>
      <c r="G33" s="518"/>
      <c r="H33" s="541"/>
    </row>
    <row r="34" spans="1:14" ht="24" customHeight="1">
      <c r="A34" s="545"/>
      <c r="B34" s="546"/>
      <c r="C34" s="547"/>
      <c r="D34" s="548"/>
      <c r="E34" s="549"/>
      <c r="F34" s="549"/>
      <c r="G34" s="550"/>
      <c r="H34" s="551"/>
    </row>
    <row r="35" spans="1:14" ht="30" customHeight="1">
      <c r="A35" s="552"/>
      <c r="B35" s="2538" t="s">
        <v>259</v>
      </c>
      <c r="C35" s="2539"/>
      <c r="D35" s="2539"/>
      <c r="E35" s="553"/>
      <c r="F35" s="554"/>
      <c r="G35" s="555">
        <f>SUM(G13:G34)</f>
        <v>46408635.469999999</v>
      </c>
      <c r="H35" s="552"/>
      <c r="I35" s="556"/>
      <c r="J35" s="556"/>
      <c r="K35" s="556"/>
      <c r="L35" s="556"/>
      <c r="M35" s="556"/>
      <c r="N35" s="556"/>
    </row>
  </sheetData>
  <mergeCells count="9">
    <mergeCell ref="B29:D29"/>
    <mergeCell ref="B30:D30"/>
    <mergeCell ref="B35:D35"/>
    <mergeCell ref="H7:H8"/>
    <mergeCell ref="A9:A10"/>
    <mergeCell ref="B9:D10"/>
    <mergeCell ref="E9:E10"/>
    <mergeCell ref="F9:F10"/>
    <mergeCell ref="H9:H10"/>
  </mergeCells>
  <printOptions horizontalCentered="1"/>
  <pageMargins left="0.59055118110236227" right="0.19685039370078741" top="0.59055118110236227" bottom="0.39370078740157483" header="0.39370078740157483" footer="0.15748031496062992"/>
  <pageSetup paperSize="9" scale="65" fitToHeight="0" orientation="landscape" r:id="rId1"/>
  <headerFooter>
    <oddHeader xml:space="preserve">&amp;Rแผ่นที่ &amp;P ใน &amp;N แผ่น              </oddHeader>
    <oddFooter>&amp;Rค่าใช้จ่ายพิเศษตามข้อกำหนด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410"/>
  <sheetViews>
    <sheetView view="pageBreakPreview" topLeftCell="A249" zoomScale="85" zoomScaleNormal="100" zoomScaleSheetLayoutView="85" workbookViewId="0">
      <selection activeCell="K257" sqref="K257"/>
    </sheetView>
  </sheetViews>
  <sheetFormatPr defaultColWidth="9" defaultRowHeight="23.7"/>
  <cols>
    <col min="1" max="1" width="9.87890625" style="561" customWidth="1"/>
    <col min="2" max="2" width="23.5859375" style="622" customWidth="1"/>
    <col min="3" max="3" width="10.5859375" style="561" customWidth="1"/>
    <col min="4" max="4" width="9.87890625" style="561" customWidth="1"/>
    <col min="5" max="5" width="27.41015625" style="561" customWidth="1"/>
    <col min="6" max="6" width="27" style="561" customWidth="1"/>
    <col min="7" max="7" width="15.5859375" style="561" customWidth="1"/>
    <col min="8" max="8" width="27" style="561" customWidth="1"/>
    <col min="9" max="9" width="9" style="561"/>
    <col min="10" max="10" width="22" style="561" customWidth="1"/>
    <col min="11" max="11" width="16.1171875" style="561" bestFit="1" customWidth="1"/>
    <col min="12" max="13" width="9" style="561"/>
    <col min="14" max="14" width="12" style="561" bestFit="1" customWidth="1"/>
    <col min="15" max="15" width="15.87890625" style="561" bestFit="1" customWidth="1"/>
    <col min="16" max="16384" width="9" style="561"/>
  </cols>
  <sheetData>
    <row r="1" spans="1:9" ht="22.15" customHeight="1">
      <c r="A1" s="558"/>
      <c r="B1" s="559"/>
      <c r="C1" s="558"/>
      <c r="D1" s="558"/>
      <c r="E1" s="558"/>
      <c r="F1" s="558"/>
      <c r="G1" s="558"/>
      <c r="H1" s="560"/>
    </row>
    <row r="2" spans="1:9" ht="22.15" customHeight="1">
      <c r="A2" s="2584" t="s">
        <v>260</v>
      </c>
      <c r="B2" s="2585"/>
      <c r="C2" s="2585"/>
      <c r="D2" s="2585"/>
      <c r="E2" s="2585"/>
      <c r="F2" s="2585"/>
      <c r="G2" s="2585"/>
      <c r="H2" s="2585"/>
    </row>
    <row r="3" spans="1:9" ht="22.15" customHeight="1">
      <c r="A3" s="2584" t="s">
        <v>261</v>
      </c>
      <c r="B3" s="2585"/>
      <c r="C3" s="2585"/>
      <c r="D3" s="2585"/>
      <c r="E3" s="2585"/>
      <c r="F3" s="2585"/>
      <c r="G3" s="2585"/>
      <c r="H3" s="2585"/>
    </row>
    <row r="4" spans="1:9" ht="22.15" customHeight="1">
      <c r="A4" s="562"/>
      <c r="B4" s="559"/>
      <c r="C4" s="563"/>
      <c r="D4" s="559"/>
      <c r="E4" s="559"/>
      <c r="F4" s="559"/>
      <c r="G4" s="559"/>
      <c r="H4" s="559"/>
    </row>
    <row r="5" spans="1:9" ht="22.15" customHeight="1">
      <c r="A5" s="564"/>
      <c r="B5" s="565"/>
      <c r="C5" s="565"/>
      <c r="D5" s="566"/>
      <c r="E5" s="566"/>
      <c r="F5" s="559"/>
      <c r="G5" s="559"/>
      <c r="H5" s="559"/>
    </row>
    <row r="6" spans="1:9" ht="22.15" customHeight="1">
      <c r="A6" s="567" t="s">
        <v>262</v>
      </c>
      <c r="B6" s="568"/>
      <c r="C6" s="569"/>
      <c r="D6" s="570"/>
      <c r="E6" s="570"/>
      <c r="F6" s="570"/>
      <c r="G6" s="570"/>
      <c r="H6" s="571"/>
    </row>
    <row r="7" spans="1:9" ht="22.15" customHeight="1">
      <c r="A7" s="572"/>
      <c r="B7" s="573"/>
      <c r="C7" s="41" t="s">
        <v>2970</v>
      </c>
      <c r="D7" s="574"/>
      <c r="E7" s="574"/>
      <c r="F7" s="570"/>
      <c r="G7" s="574"/>
      <c r="H7" s="575"/>
    </row>
    <row r="8" spans="1:9" ht="22.15" customHeight="1">
      <c r="A8" s="574" t="s">
        <v>62</v>
      </c>
      <c r="B8" s="573"/>
      <c r="C8" s="574" t="s">
        <v>63</v>
      </c>
      <c r="D8" s="574"/>
      <c r="E8" s="574"/>
      <c r="F8" s="576"/>
      <c r="G8" s="574"/>
      <c r="H8" s="575"/>
    </row>
    <row r="9" spans="1:9" ht="22.15" customHeight="1">
      <c r="A9" s="574" t="s">
        <v>64</v>
      </c>
      <c r="B9" s="573"/>
      <c r="C9" s="574"/>
      <c r="D9" s="577"/>
      <c r="E9" s="577"/>
      <c r="F9" s="577"/>
      <c r="G9" s="577"/>
      <c r="H9" s="575"/>
    </row>
    <row r="10" spans="1:9" ht="22.15" customHeight="1">
      <c r="A10" s="574" t="s">
        <v>88</v>
      </c>
      <c r="B10" s="573"/>
      <c r="C10" s="578"/>
      <c r="D10" s="579"/>
      <c r="E10" s="580"/>
      <c r="F10" s="580"/>
      <c r="G10" s="580"/>
      <c r="H10" s="575"/>
    </row>
    <row r="11" spans="1:9" s="481" customFormat="1" ht="25.15" customHeight="1">
      <c r="A11" s="503" t="s">
        <v>26</v>
      </c>
      <c r="B11" s="504"/>
      <c r="C11" s="504"/>
      <c r="D11" s="505"/>
      <c r="E11" s="504"/>
      <c r="F11" s="581"/>
      <c r="G11" s="582" t="s">
        <v>248</v>
      </c>
      <c r="H11" s="581"/>
      <c r="I11" s="583"/>
    </row>
    <row r="12" spans="1:9" s="481" customFormat="1" ht="25.15" customHeight="1">
      <c r="A12" s="2586" t="s">
        <v>263</v>
      </c>
      <c r="B12" s="2586"/>
      <c r="C12" s="2586"/>
      <c r="D12" s="2586"/>
      <c r="E12" s="2586"/>
      <c r="F12" s="2586"/>
      <c r="G12" s="2586"/>
      <c r="H12" s="2586"/>
      <c r="I12" s="583"/>
    </row>
    <row r="13" spans="1:9" s="481" customFormat="1" ht="51" customHeight="1">
      <c r="A13" s="2587" t="s">
        <v>264</v>
      </c>
      <c r="B13" s="2587"/>
      <c r="C13" s="2587"/>
      <c r="D13" s="2587"/>
      <c r="E13" s="2587"/>
      <c r="F13" s="2587"/>
      <c r="G13" s="2587"/>
      <c r="H13" s="2587"/>
      <c r="I13" s="583"/>
    </row>
    <row r="14" spans="1:9" s="481" customFormat="1" ht="25.15" customHeight="1">
      <c r="A14" s="503" t="s">
        <v>265</v>
      </c>
      <c r="B14" s="504"/>
      <c r="C14" s="504"/>
      <c r="D14" s="505"/>
      <c r="E14" s="504"/>
      <c r="F14" s="584"/>
      <c r="G14" s="582"/>
      <c r="H14" s="584"/>
      <c r="I14" s="583"/>
    </row>
    <row r="15" spans="1:9" s="481" customFormat="1" ht="24" customHeight="1">
      <c r="A15" s="585"/>
      <c r="B15" s="583"/>
      <c r="C15" s="583"/>
      <c r="D15" s="586"/>
      <c r="E15" s="583"/>
      <c r="F15" s="587"/>
      <c r="G15" s="588"/>
      <c r="H15" s="589" t="s">
        <v>65</v>
      </c>
      <c r="I15" s="583"/>
    </row>
    <row r="16" spans="1:9" ht="10.5" customHeight="1">
      <c r="A16" s="579"/>
      <c r="B16" s="590"/>
      <c r="C16" s="591"/>
      <c r="D16" s="558"/>
      <c r="E16" s="558"/>
      <c r="F16" s="558"/>
      <c r="G16" s="558"/>
      <c r="H16" s="592"/>
    </row>
    <row r="17" spans="1:10" ht="22.15" customHeight="1">
      <c r="A17" s="2588" t="s">
        <v>8</v>
      </c>
      <c r="B17" s="2590" t="s">
        <v>266</v>
      </c>
      <c r="C17" s="2591"/>
      <c r="D17" s="2591"/>
      <c r="E17" s="2592"/>
      <c r="F17" s="2588" t="s">
        <v>10</v>
      </c>
      <c r="G17" s="2596" t="s">
        <v>15</v>
      </c>
      <c r="H17" s="2597"/>
    </row>
    <row r="18" spans="1:10" ht="22.15" customHeight="1" thickBot="1">
      <c r="A18" s="2589"/>
      <c r="B18" s="2593"/>
      <c r="C18" s="2594"/>
      <c r="D18" s="2594"/>
      <c r="E18" s="2595"/>
      <c r="F18" s="2589"/>
      <c r="G18" s="2598"/>
      <c r="H18" s="2599"/>
    </row>
    <row r="19" spans="1:10" ht="25.15" customHeight="1" thickTop="1">
      <c r="A19" s="593">
        <v>1</v>
      </c>
      <c r="B19" s="2605" t="s">
        <v>267</v>
      </c>
      <c r="C19" s="2606"/>
      <c r="D19" s="2606"/>
      <c r="E19" s="2607"/>
      <c r="F19" s="594">
        <f>(120000*8*2)+(120000*2)+(40000*2)+(120000*2)+(110000*2)+(80000*8*2)+(80000*2)+(80000*2)+(30000*2)</f>
        <v>4360000</v>
      </c>
      <c r="G19" s="2608"/>
      <c r="H19" s="2609"/>
    </row>
    <row r="20" spans="1:10" ht="22.15" customHeight="1">
      <c r="A20" s="595"/>
      <c r="B20" s="2600" t="s">
        <v>298</v>
      </c>
      <c r="C20" s="2601"/>
      <c r="D20" s="2601"/>
      <c r="E20" s="2602"/>
      <c r="F20" s="596"/>
      <c r="G20" s="2603"/>
      <c r="H20" s="2604"/>
    </row>
    <row r="21" spans="1:10" ht="22.15" customHeight="1">
      <c r="A21" s="597"/>
      <c r="B21" s="2600" t="s">
        <v>299</v>
      </c>
      <c r="C21" s="2601"/>
      <c r="D21" s="2601"/>
      <c r="E21" s="2602"/>
      <c r="F21" s="594"/>
      <c r="G21" s="2603"/>
      <c r="H21" s="2604"/>
      <c r="J21" s="24"/>
    </row>
    <row r="22" spans="1:10" ht="22.15" customHeight="1">
      <c r="A22" s="597"/>
      <c r="B22" s="2600" t="s">
        <v>300</v>
      </c>
      <c r="C22" s="2601"/>
      <c r="D22" s="2601"/>
      <c r="E22" s="2602"/>
      <c r="F22" s="594"/>
      <c r="G22" s="2603"/>
      <c r="H22" s="2604"/>
      <c r="J22" s="24"/>
    </row>
    <row r="23" spans="1:10" ht="22.15" customHeight="1">
      <c r="A23" s="597"/>
      <c r="B23" s="2600" t="s">
        <v>301</v>
      </c>
      <c r="C23" s="2601"/>
      <c r="D23" s="2601"/>
      <c r="E23" s="2602"/>
      <c r="F23" s="594"/>
      <c r="G23" s="2603"/>
      <c r="H23" s="2604"/>
      <c r="J23" s="24"/>
    </row>
    <row r="24" spans="1:10" ht="22.15" customHeight="1">
      <c r="A24" s="597"/>
      <c r="B24" s="2600" t="s">
        <v>302</v>
      </c>
      <c r="C24" s="2601"/>
      <c r="D24" s="2601"/>
      <c r="E24" s="2602"/>
      <c r="F24" s="594"/>
      <c r="G24" s="2603"/>
      <c r="H24" s="2604"/>
    </row>
    <row r="25" spans="1:10" ht="22.15" customHeight="1">
      <c r="A25" s="597"/>
      <c r="B25" s="2600" t="s">
        <v>304</v>
      </c>
      <c r="C25" s="2601"/>
      <c r="D25" s="2601"/>
      <c r="E25" s="2602"/>
      <c r="F25" s="594"/>
      <c r="G25" s="2603"/>
      <c r="H25" s="2604"/>
    </row>
    <row r="26" spans="1:10" ht="22.15" customHeight="1">
      <c r="A26" s="598"/>
      <c r="B26" s="2610" t="s">
        <v>268</v>
      </c>
      <c r="C26" s="2611"/>
      <c r="D26" s="2611"/>
      <c r="E26" s="2612"/>
      <c r="F26" s="594"/>
      <c r="G26" s="2603"/>
      <c r="H26" s="2604"/>
    </row>
    <row r="27" spans="1:10" s="601" customFormat="1" ht="22.15" customHeight="1">
      <c r="A27" s="599"/>
      <c r="B27" s="2600" t="s">
        <v>303</v>
      </c>
      <c r="C27" s="2601"/>
      <c r="D27" s="2601"/>
      <c r="E27" s="2602"/>
      <c r="F27" s="600"/>
      <c r="G27" s="2603"/>
      <c r="H27" s="2604"/>
      <c r="J27" s="602"/>
    </row>
    <row r="28" spans="1:10" s="601" customFormat="1" ht="22.15" customHeight="1">
      <c r="A28" s="599"/>
      <c r="B28" s="2600" t="s">
        <v>269</v>
      </c>
      <c r="C28" s="2601"/>
      <c r="D28" s="2601"/>
      <c r="E28" s="2602"/>
      <c r="F28" s="600"/>
      <c r="G28" s="2603"/>
      <c r="H28" s="2604"/>
    </row>
    <row r="29" spans="1:10" ht="22.15" customHeight="1">
      <c r="A29" s="597"/>
      <c r="B29" s="2600" t="s">
        <v>270</v>
      </c>
      <c r="C29" s="2601"/>
      <c r="D29" s="2601"/>
      <c r="E29" s="2602"/>
      <c r="F29" s="603"/>
      <c r="G29" s="2603"/>
      <c r="H29" s="2604"/>
    </row>
    <row r="30" spans="1:10" s="601" customFormat="1" ht="22.15" customHeight="1">
      <c r="A30" s="599"/>
      <c r="B30" s="2600" t="s">
        <v>271</v>
      </c>
      <c r="C30" s="2601"/>
      <c r="D30" s="2601"/>
      <c r="E30" s="2602"/>
      <c r="F30" s="600"/>
      <c r="G30" s="2603"/>
      <c r="H30" s="2604"/>
    </row>
    <row r="31" spans="1:10" s="601" customFormat="1" ht="22.15" customHeight="1">
      <c r="A31" s="599"/>
      <c r="B31" s="2617"/>
      <c r="C31" s="2601"/>
      <c r="D31" s="2601"/>
      <c r="E31" s="2602"/>
      <c r="F31" s="596"/>
      <c r="G31" s="2603"/>
      <c r="H31" s="2604"/>
    </row>
    <row r="32" spans="1:10" ht="22.15" customHeight="1" thickBot="1">
      <c r="A32" s="604"/>
      <c r="B32" s="2618"/>
      <c r="C32" s="2619"/>
      <c r="D32" s="2619"/>
      <c r="E32" s="2620"/>
      <c r="F32" s="605"/>
      <c r="G32" s="2615"/>
      <c r="H32" s="2616"/>
    </row>
    <row r="33" spans="1:8" s="609" customFormat="1" ht="25.15" customHeight="1" thickTop="1" thickBot="1">
      <c r="A33" s="606"/>
      <c r="B33" s="607"/>
      <c r="C33" s="607"/>
      <c r="D33" s="2621" t="s">
        <v>272</v>
      </c>
      <c r="E33" s="2622"/>
      <c r="F33" s="608">
        <f>SUM(F19:F32)</f>
        <v>4360000</v>
      </c>
      <c r="G33" s="2615"/>
      <c r="H33" s="2616"/>
    </row>
    <row r="34" spans="1:8" s="611" customFormat="1" ht="22.15" customHeight="1" thickTop="1" thickBot="1">
      <c r="A34" s="610"/>
      <c r="B34" s="609"/>
      <c r="C34" s="609"/>
      <c r="D34" s="2613" t="s">
        <v>273</v>
      </c>
      <c r="E34" s="2614"/>
      <c r="F34" s="608">
        <f>F33*7%</f>
        <v>305200</v>
      </c>
      <c r="G34" s="2615"/>
      <c r="H34" s="2616"/>
    </row>
    <row r="35" spans="1:8" s="611" customFormat="1" ht="22.15" customHeight="1" thickTop="1" thickBot="1">
      <c r="A35" s="610"/>
      <c r="B35" s="609"/>
      <c r="C35" s="609"/>
      <c r="D35" s="2613" t="s">
        <v>274</v>
      </c>
      <c r="E35" s="2614"/>
      <c r="F35" s="608">
        <f>F33+F34</f>
        <v>4665200</v>
      </c>
      <c r="G35" s="2615"/>
      <c r="H35" s="2616"/>
    </row>
    <row r="36" spans="1:8" s="611" customFormat="1" ht="22.15" customHeight="1" thickTop="1">
      <c r="A36" s="610"/>
      <c r="B36" s="601"/>
      <c r="C36" s="612"/>
      <c r="D36" s="613"/>
      <c r="G36" s="614"/>
      <c r="H36" s="615"/>
    </row>
    <row r="37" spans="1:8" s="611" customFormat="1" ht="22.15" customHeight="1">
      <c r="B37" s="601"/>
      <c r="C37" s="612"/>
      <c r="D37" s="613"/>
      <c r="F37" s="616"/>
      <c r="G37" s="617"/>
      <c r="H37" s="615"/>
    </row>
    <row r="38" spans="1:8" s="611" customFormat="1" ht="22.15" customHeight="1">
      <c r="B38" s="601"/>
      <c r="C38" s="612"/>
      <c r="D38" s="613"/>
      <c r="F38" s="616"/>
      <c r="G38" s="617"/>
      <c r="H38" s="615"/>
    </row>
    <row r="39" spans="1:8" s="611" customFormat="1" ht="22.15" customHeight="1">
      <c r="B39" s="601"/>
      <c r="C39" s="612"/>
      <c r="D39" s="613"/>
      <c r="F39" s="616"/>
      <c r="G39" s="617"/>
      <c r="H39" s="615"/>
    </row>
    <row r="40" spans="1:8" s="611" customFormat="1" ht="22.15" customHeight="1">
      <c r="B40" s="601"/>
      <c r="C40" s="612"/>
      <c r="D40" s="613"/>
      <c r="F40" s="616"/>
      <c r="G40" s="617"/>
      <c r="H40" s="615"/>
    </row>
    <row r="41" spans="1:8" s="611" customFormat="1" ht="22.15" customHeight="1">
      <c r="B41" s="601"/>
      <c r="C41" s="612"/>
      <c r="D41" s="613"/>
      <c r="F41" s="616"/>
      <c r="G41" s="617"/>
      <c r="H41" s="615"/>
    </row>
    <row r="42" spans="1:8" s="611" customFormat="1" ht="22.15" customHeight="1">
      <c r="B42" s="601"/>
      <c r="C42" s="612"/>
      <c r="D42" s="613"/>
      <c r="F42" s="616"/>
      <c r="G42" s="617"/>
      <c r="H42" s="615"/>
    </row>
    <row r="43" spans="1:8" s="611" customFormat="1" ht="22.15" customHeight="1">
      <c r="B43" s="601"/>
      <c r="C43" s="612"/>
      <c r="D43" s="613"/>
      <c r="F43" s="616"/>
      <c r="G43" s="617"/>
      <c r="H43" s="615"/>
    </row>
    <row r="44" spans="1:8" s="611" customFormat="1" ht="22.15" customHeight="1">
      <c r="B44" s="601"/>
      <c r="C44" s="612"/>
      <c r="D44" s="613"/>
      <c r="F44" s="616"/>
      <c r="G44" s="617"/>
      <c r="H44" s="615"/>
    </row>
    <row r="45" spans="1:8" s="611" customFormat="1" ht="22.15" customHeight="1">
      <c r="B45" s="601"/>
      <c r="C45" s="612"/>
      <c r="D45" s="613"/>
      <c r="F45" s="616"/>
      <c r="G45" s="617"/>
      <c r="H45" s="615"/>
    </row>
    <row r="46" spans="1:8" s="611" customFormat="1" ht="22.15" customHeight="1">
      <c r="B46" s="601"/>
      <c r="C46" s="612"/>
      <c r="D46" s="613"/>
      <c r="F46" s="616"/>
      <c r="G46" s="617"/>
      <c r="H46" s="615"/>
    </row>
    <row r="47" spans="1:8" s="611" customFormat="1" ht="22.15" customHeight="1">
      <c r="B47" s="601"/>
      <c r="C47" s="612"/>
      <c r="D47" s="613"/>
      <c r="F47" s="616"/>
      <c r="G47" s="617"/>
      <c r="H47" s="615"/>
    </row>
    <row r="48" spans="1:8" s="611" customFormat="1" ht="22.15" customHeight="1">
      <c r="B48" s="601"/>
      <c r="C48" s="612"/>
      <c r="D48" s="613"/>
      <c r="F48" s="616"/>
      <c r="G48" s="617"/>
      <c r="H48" s="615"/>
    </row>
    <row r="49" spans="1:11" s="611" customFormat="1" ht="22.15" customHeight="1">
      <c r="B49" s="601"/>
      <c r="C49" s="612"/>
      <c r="D49" s="613"/>
      <c r="F49" s="616"/>
      <c r="G49" s="617"/>
      <c r="H49" s="615"/>
    </row>
    <row r="50" spans="1:11" s="611" customFormat="1" ht="22.15" customHeight="1">
      <c r="B50" s="601"/>
      <c r="C50" s="612"/>
      <c r="D50" s="613"/>
      <c r="F50" s="616"/>
      <c r="G50" s="617"/>
      <c r="H50" s="615"/>
    </row>
    <row r="51" spans="1:11" s="611" customFormat="1" ht="22.15" customHeight="1">
      <c r="B51" s="601"/>
      <c r="C51" s="612"/>
      <c r="D51" s="613"/>
      <c r="F51" s="616"/>
      <c r="G51" s="617"/>
      <c r="H51" s="615"/>
      <c r="K51" s="618"/>
    </row>
    <row r="52" spans="1:11" s="611" customFormat="1" ht="22.15" customHeight="1">
      <c r="B52" s="601"/>
      <c r="C52" s="612"/>
      <c r="D52" s="613"/>
      <c r="F52" s="616"/>
      <c r="G52" s="617"/>
      <c r="H52" s="615"/>
    </row>
    <row r="53" spans="1:11" s="611" customFormat="1" ht="22.15" customHeight="1">
      <c r="B53" s="601"/>
      <c r="C53" s="612"/>
      <c r="D53" s="613"/>
      <c r="F53" s="616"/>
      <c r="G53" s="617"/>
      <c r="H53" s="615"/>
    </row>
    <row r="54" spans="1:11" s="611" customFormat="1" ht="22.15" customHeight="1">
      <c r="B54" s="601"/>
      <c r="C54" s="612"/>
      <c r="D54" s="613"/>
      <c r="F54" s="616"/>
      <c r="G54" s="617"/>
      <c r="H54" s="615"/>
    </row>
    <row r="55" spans="1:11" s="611" customFormat="1" ht="22.15" customHeight="1">
      <c r="B55" s="601"/>
      <c r="C55" s="612"/>
      <c r="D55" s="613"/>
      <c r="F55" s="616"/>
      <c r="G55" s="617"/>
      <c r="H55" s="615"/>
    </row>
    <row r="56" spans="1:11" s="481" customFormat="1" ht="25.15" customHeight="1">
      <c r="A56" s="2586" t="s">
        <v>263</v>
      </c>
      <c r="B56" s="2586"/>
      <c r="C56" s="2586"/>
      <c r="D56" s="2586"/>
      <c r="E56" s="2586"/>
      <c r="F56" s="2586"/>
      <c r="G56" s="2586"/>
      <c r="H56" s="2586"/>
      <c r="I56" s="583"/>
    </row>
    <row r="57" spans="1:11" s="481" customFormat="1" ht="51" customHeight="1">
      <c r="A57" s="2587" t="s">
        <v>275</v>
      </c>
      <c r="B57" s="2587"/>
      <c r="C57" s="2587"/>
      <c r="D57" s="2587"/>
      <c r="E57" s="2587"/>
      <c r="F57" s="2587"/>
      <c r="G57" s="2587"/>
      <c r="H57" s="2587"/>
      <c r="I57" s="583"/>
    </row>
    <row r="58" spans="1:11" s="481" customFormat="1" ht="25.15" customHeight="1">
      <c r="A58" s="503" t="s">
        <v>265</v>
      </c>
      <c r="B58" s="504"/>
      <c r="C58" s="504"/>
      <c r="D58" s="505"/>
      <c r="E58" s="504"/>
      <c r="F58" s="584"/>
      <c r="G58" s="582"/>
      <c r="H58" s="584"/>
      <c r="I58" s="583"/>
    </row>
    <row r="59" spans="1:11" s="481" customFormat="1" ht="24" customHeight="1">
      <c r="A59" s="585"/>
      <c r="B59" s="583"/>
      <c r="C59" s="583"/>
      <c r="D59" s="586"/>
      <c r="E59" s="583"/>
      <c r="F59" s="587"/>
      <c r="G59" s="588"/>
      <c r="H59" s="589" t="s">
        <v>65</v>
      </c>
      <c r="I59" s="583"/>
    </row>
    <row r="60" spans="1:11" ht="10.5" customHeight="1">
      <c r="A60" s="579"/>
      <c r="B60" s="590"/>
      <c r="C60" s="591"/>
      <c r="D60" s="558"/>
      <c r="E60" s="558"/>
      <c r="F60" s="558"/>
      <c r="G60" s="558"/>
      <c r="H60" s="592"/>
    </row>
    <row r="61" spans="1:11" ht="22.15" customHeight="1">
      <c r="A61" s="2588" t="s">
        <v>8</v>
      </c>
      <c r="B61" s="2590" t="s">
        <v>266</v>
      </c>
      <c r="C61" s="2591"/>
      <c r="D61" s="2591"/>
      <c r="E61" s="2592"/>
      <c r="F61" s="2588" t="s">
        <v>10</v>
      </c>
      <c r="G61" s="2596" t="s">
        <v>15</v>
      </c>
      <c r="H61" s="2597"/>
    </row>
    <row r="62" spans="1:11" ht="22.15" customHeight="1" thickBot="1">
      <c r="A62" s="2589"/>
      <c r="B62" s="2593"/>
      <c r="C62" s="2594"/>
      <c r="D62" s="2594"/>
      <c r="E62" s="2595"/>
      <c r="F62" s="2589"/>
      <c r="G62" s="2598"/>
      <c r="H62" s="2599"/>
    </row>
    <row r="63" spans="1:11" ht="25.15" customHeight="1" thickTop="1">
      <c r="A63" s="593">
        <v>2</v>
      </c>
      <c r="B63" s="2605" t="s">
        <v>276</v>
      </c>
      <c r="C63" s="2606"/>
      <c r="D63" s="2606"/>
      <c r="E63" s="2607"/>
      <c r="F63" s="594">
        <f>J65*100</f>
        <v>839920.99999999988</v>
      </c>
      <c r="G63" s="2608"/>
      <c r="H63" s="2609"/>
    </row>
    <row r="64" spans="1:11" ht="22.15" customHeight="1">
      <c r="A64" s="595"/>
      <c r="B64" s="2623" t="s">
        <v>277</v>
      </c>
      <c r="C64" s="2601"/>
      <c r="D64" s="2601"/>
      <c r="E64" s="2602"/>
      <c r="F64" s="596"/>
      <c r="G64" s="2603"/>
      <c r="H64" s="2604"/>
    </row>
    <row r="65" spans="1:10" ht="22.15" customHeight="1">
      <c r="A65" s="597"/>
      <c r="B65" s="2600" t="str">
        <f>"คอนกรีตพื้นประมาณ "&amp;J65&amp;" ลูกบาศก์เมตร เป็นเงิน "&amp;J65&amp;" x 100 = "&amp;J66&amp;" บาท"</f>
        <v>คอนกรีตพื้นประมาณ 8399.21 ลูกบาศก์เมตร เป็นเงิน 8399.21 x 100 = 839921 บาท</v>
      </c>
      <c r="C65" s="2601"/>
      <c r="D65" s="2601"/>
      <c r="E65" s="2602"/>
      <c r="F65" s="594"/>
      <c r="G65" s="2603"/>
      <c r="H65" s="2604"/>
      <c r="J65" s="656">
        <f>'01.ST ศูนย์ประชุม'!N113</f>
        <v>8399.2099999999991</v>
      </c>
    </row>
    <row r="66" spans="1:10" ht="22.15" customHeight="1">
      <c r="A66" s="597"/>
      <c r="B66" s="2617"/>
      <c r="C66" s="2601"/>
      <c r="D66" s="2601"/>
      <c r="E66" s="2602"/>
      <c r="F66" s="594"/>
      <c r="G66" s="2603"/>
      <c r="H66" s="2604"/>
      <c r="J66" s="656">
        <f>J65*100</f>
        <v>839920.99999999988</v>
      </c>
    </row>
    <row r="67" spans="1:10" ht="22.15" customHeight="1">
      <c r="A67" s="597"/>
      <c r="B67" s="2617"/>
      <c r="C67" s="2601"/>
      <c r="D67" s="2601"/>
      <c r="E67" s="2602"/>
      <c r="F67" s="594"/>
      <c r="G67" s="2603"/>
      <c r="H67" s="2604"/>
    </row>
    <row r="68" spans="1:10" ht="22.15" customHeight="1">
      <c r="A68" s="597"/>
      <c r="B68" s="2617"/>
      <c r="C68" s="2601"/>
      <c r="D68" s="2601"/>
      <c r="E68" s="2602"/>
      <c r="F68" s="594"/>
      <c r="G68" s="2603"/>
      <c r="H68" s="2604"/>
    </row>
    <row r="69" spans="1:10" ht="22.15" customHeight="1">
      <c r="A69" s="597"/>
      <c r="B69" s="2617"/>
      <c r="C69" s="2601"/>
      <c r="D69" s="2601"/>
      <c r="E69" s="2602"/>
      <c r="F69" s="594"/>
      <c r="G69" s="2603"/>
      <c r="H69" s="2604"/>
    </row>
    <row r="70" spans="1:10" ht="22.15" customHeight="1">
      <c r="A70" s="598"/>
      <c r="B70" s="2617"/>
      <c r="C70" s="2601"/>
      <c r="D70" s="2601"/>
      <c r="E70" s="2602"/>
      <c r="F70" s="594"/>
      <c r="G70" s="2603"/>
      <c r="H70" s="2604"/>
    </row>
    <row r="71" spans="1:10" s="601" customFormat="1" ht="22.15" customHeight="1">
      <c r="A71" s="599"/>
      <c r="B71" s="2617"/>
      <c r="C71" s="2601"/>
      <c r="D71" s="2601"/>
      <c r="E71" s="2602"/>
      <c r="F71" s="600"/>
      <c r="G71" s="2603"/>
      <c r="H71" s="2604"/>
    </row>
    <row r="72" spans="1:10" s="601" customFormat="1" ht="22.15" customHeight="1">
      <c r="A72" s="599"/>
      <c r="B72" s="2617"/>
      <c r="C72" s="2601"/>
      <c r="D72" s="2601"/>
      <c r="E72" s="2602"/>
      <c r="F72" s="600"/>
      <c r="G72" s="2603"/>
      <c r="H72" s="2604"/>
    </row>
    <row r="73" spans="1:10" ht="22.15" customHeight="1">
      <c r="A73" s="597"/>
      <c r="B73" s="2617"/>
      <c r="C73" s="2601"/>
      <c r="D73" s="2601"/>
      <c r="E73" s="2602"/>
      <c r="F73" s="603"/>
      <c r="G73" s="2603"/>
      <c r="H73" s="2604"/>
    </row>
    <row r="74" spans="1:10" s="601" customFormat="1" ht="22.15" customHeight="1">
      <c r="A74" s="599"/>
      <c r="B74" s="2617"/>
      <c r="C74" s="2601"/>
      <c r="D74" s="2601"/>
      <c r="E74" s="2602"/>
      <c r="F74" s="600"/>
      <c r="G74" s="2603"/>
      <c r="H74" s="2604"/>
    </row>
    <row r="75" spans="1:10" s="601" customFormat="1" ht="22.15" customHeight="1">
      <c r="A75" s="599"/>
      <c r="B75" s="2617"/>
      <c r="C75" s="2601"/>
      <c r="D75" s="2601"/>
      <c r="E75" s="2602"/>
      <c r="F75" s="596"/>
      <c r="G75" s="2603"/>
      <c r="H75" s="2604"/>
    </row>
    <row r="76" spans="1:10" ht="22.15" customHeight="1" thickBot="1">
      <c r="A76" s="604"/>
      <c r="B76" s="2618"/>
      <c r="C76" s="2619"/>
      <c r="D76" s="2619"/>
      <c r="E76" s="2620"/>
      <c r="F76" s="605"/>
      <c r="G76" s="2615"/>
      <c r="H76" s="2616"/>
    </row>
    <row r="77" spans="1:10" s="609" customFormat="1" ht="25.15" customHeight="1" thickTop="1" thickBot="1">
      <c r="A77" s="606"/>
      <c r="B77" s="2621" t="s">
        <v>272</v>
      </c>
      <c r="C77" s="2621"/>
      <c r="D77" s="2621"/>
      <c r="E77" s="2622"/>
      <c r="F77" s="608">
        <f>SUM(F63:F76)</f>
        <v>839920.99999999988</v>
      </c>
      <c r="G77" s="2615"/>
      <c r="H77" s="2616"/>
    </row>
    <row r="78" spans="1:10" s="611" customFormat="1" ht="22.15" customHeight="1" thickTop="1" thickBot="1">
      <c r="A78" s="610"/>
      <c r="B78" s="2613" t="s">
        <v>273</v>
      </c>
      <c r="C78" s="2613"/>
      <c r="D78" s="2613"/>
      <c r="E78" s="2614"/>
      <c r="F78" s="608">
        <f>F77*7%</f>
        <v>58794.469999999994</v>
      </c>
      <c r="G78" s="2615"/>
      <c r="H78" s="2616"/>
    </row>
    <row r="79" spans="1:10" s="611" customFormat="1" ht="22.15" customHeight="1" thickTop="1" thickBot="1">
      <c r="A79" s="610"/>
      <c r="B79" s="2613" t="s">
        <v>274</v>
      </c>
      <c r="C79" s="2613"/>
      <c r="D79" s="2613"/>
      <c r="E79" s="2614"/>
      <c r="F79" s="608">
        <f>F77+F78</f>
        <v>898715.46999999986</v>
      </c>
      <c r="G79" s="2615"/>
      <c r="H79" s="2616"/>
    </row>
    <row r="80" spans="1:10" s="611" customFormat="1" ht="22.15" customHeight="1" thickTop="1">
      <c r="A80" s="610"/>
      <c r="B80" s="601"/>
      <c r="C80" s="612"/>
      <c r="D80" s="613"/>
      <c r="E80" s="619"/>
      <c r="F80" s="620"/>
      <c r="G80" s="621"/>
      <c r="H80" s="621"/>
    </row>
    <row r="81" spans="1:8" s="611" customFormat="1" ht="22.15" customHeight="1">
      <c r="A81" s="610"/>
      <c r="B81" s="601"/>
      <c r="C81" s="612"/>
      <c r="D81" s="613"/>
      <c r="E81" s="619"/>
      <c r="F81" s="620"/>
      <c r="G81" s="621"/>
      <c r="H81" s="621"/>
    </row>
    <row r="82" spans="1:8" s="611" customFormat="1" ht="22.15" customHeight="1">
      <c r="A82" s="610"/>
      <c r="B82" s="601"/>
      <c r="C82" s="612"/>
      <c r="D82" s="613"/>
      <c r="E82" s="619"/>
      <c r="F82" s="620"/>
      <c r="G82" s="621"/>
      <c r="H82" s="621"/>
    </row>
    <row r="83" spans="1:8" s="611" customFormat="1" ht="22.15" customHeight="1">
      <c r="A83" s="610"/>
      <c r="B83" s="601"/>
      <c r="C83" s="612"/>
      <c r="D83" s="613"/>
      <c r="E83" s="619"/>
      <c r="F83" s="620"/>
      <c r="G83" s="621"/>
      <c r="H83" s="621"/>
    </row>
    <row r="84" spans="1:8" s="611" customFormat="1" ht="22.15" customHeight="1">
      <c r="A84" s="610"/>
      <c r="B84" s="601"/>
      <c r="C84" s="612"/>
      <c r="D84" s="613"/>
      <c r="E84" s="619"/>
      <c r="F84" s="620"/>
      <c r="G84" s="621"/>
      <c r="H84" s="621"/>
    </row>
    <row r="85" spans="1:8" s="611" customFormat="1" ht="22.15" customHeight="1">
      <c r="A85" s="610"/>
      <c r="B85" s="601"/>
      <c r="C85" s="612"/>
      <c r="D85" s="613"/>
      <c r="E85" s="619"/>
      <c r="F85" s="620"/>
      <c r="G85" s="621"/>
      <c r="H85" s="621"/>
    </row>
    <row r="86" spans="1:8" s="611" customFormat="1" ht="22.15" customHeight="1">
      <c r="A86" s="610"/>
      <c r="B86" s="601"/>
      <c r="C86" s="612"/>
      <c r="D86" s="613"/>
      <c r="E86" s="619"/>
      <c r="F86" s="620"/>
      <c r="G86" s="621"/>
      <c r="H86" s="621"/>
    </row>
    <row r="87" spans="1:8" s="611" customFormat="1" ht="22.15" customHeight="1">
      <c r="A87" s="610"/>
      <c r="B87" s="601"/>
      <c r="C87" s="612"/>
      <c r="D87" s="613"/>
      <c r="E87" s="619"/>
      <c r="F87" s="620"/>
      <c r="G87" s="621"/>
      <c r="H87" s="621"/>
    </row>
    <row r="88" spans="1:8" s="611" customFormat="1" ht="22.15" customHeight="1">
      <c r="A88" s="610"/>
      <c r="B88" s="601"/>
      <c r="C88" s="612"/>
      <c r="D88" s="613"/>
      <c r="E88" s="619"/>
      <c r="F88" s="620"/>
      <c r="G88" s="621"/>
      <c r="H88" s="621"/>
    </row>
    <row r="89" spans="1:8" s="611" customFormat="1" ht="22.15" customHeight="1">
      <c r="A89" s="610"/>
      <c r="B89" s="601"/>
      <c r="C89" s="612"/>
      <c r="D89" s="613"/>
      <c r="E89" s="619"/>
      <c r="F89" s="620"/>
      <c r="G89" s="621"/>
      <c r="H89" s="621"/>
    </row>
    <row r="90" spans="1:8" s="611" customFormat="1" ht="22.15" customHeight="1">
      <c r="A90" s="610"/>
      <c r="B90" s="601"/>
      <c r="C90" s="612"/>
      <c r="D90" s="613"/>
      <c r="E90" s="619"/>
      <c r="F90" s="620"/>
      <c r="G90" s="621"/>
      <c r="H90" s="621"/>
    </row>
    <row r="91" spans="1:8" s="611" customFormat="1" ht="22.15" customHeight="1">
      <c r="A91" s="610"/>
      <c r="B91" s="601"/>
      <c r="C91" s="612"/>
      <c r="D91" s="613"/>
      <c r="E91" s="619"/>
      <c r="F91" s="620"/>
      <c r="G91" s="621"/>
      <c r="H91" s="621"/>
    </row>
    <row r="92" spans="1:8" s="611" customFormat="1" ht="22.15" customHeight="1">
      <c r="A92" s="610"/>
      <c r="B92" s="601"/>
      <c r="C92" s="612"/>
      <c r="D92" s="613"/>
      <c r="E92" s="619"/>
      <c r="F92" s="620"/>
      <c r="G92" s="621"/>
      <c r="H92" s="621"/>
    </row>
    <row r="93" spans="1:8" s="611" customFormat="1" ht="22.15" customHeight="1">
      <c r="A93" s="610"/>
      <c r="B93" s="601"/>
      <c r="C93" s="612"/>
      <c r="D93" s="613"/>
      <c r="E93" s="619"/>
      <c r="F93" s="620"/>
      <c r="G93" s="621"/>
      <c r="H93" s="621"/>
    </row>
    <row r="94" spans="1:8" s="611" customFormat="1" ht="22.15" customHeight="1">
      <c r="A94" s="610"/>
      <c r="B94" s="601"/>
      <c r="C94" s="612"/>
      <c r="D94" s="613"/>
      <c r="E94" s="619"/>
      <c r="F94" s="620"/>
      <c r="G94" s="621"/>
      <c r="H94" s="621"/>
    </row>
    <row r="95" spans="1:8" s="611" customFormat="1" ht="22.15" customHeight="1">
      <c r="A95" s="610"/>
      <c r="B95" s="601"/>
      <c r="C95" s="612"/>
      <c r="D95" s="613"/>
      <c r="E95" s="619"/>
      <c r="F95" s="620"/>
      <c r="G95" s="621"/>
      <c r="H95" s="621"/>
    </row>
    <row r="96" spans="1:8" s="611" customFormat="1" ht="22.15" customHeight="1">
      <c r="A96" s="610"/>
      <c r="B96" s="601"/>
      <c r="C96" s="612"/>
      <c r="D96" s="613"/>
      <c r="E96" s="619"/>
      <c r="F96" s="620"/>
      <c r="G96" s="621"/>
      <c r="H96" s="621"/>
    </row>
    <row r="97" spans="1:11" s="611" customFormat="1" ht="22.15" customHeight="1">
      <c r="A97" s="610"/>
      <c r="B97" s="601"/>
      <c r="C97" s="612"/>
      <c r="D97" s="613"/>
      <c r="E97" s="619"/>
      <c r="F97" s="620"/>
      <c r="G97" s="621"/>
      <c r="H97" s="621"/>
    </row>
    <row r="98" spans="1:11" s="481" customFormat="1" ht="25.15" customHeight="1">
      <c r="A98" s="2586" t="s">
        <v>263</v>
      </c>
      <c r="B98" s="2586"/>
      <c r="C98" s="2586"/>
      <c r="D98" s="2586"/>
      <c r="E98" s="2586"/>
      <c r="F98" s="2586"/>
      <c r="G98" s="2586"/>
      <c r="H98" s="2586"/>
      <c r="I98" s="583"/>
    </row>
    <row r="99" spans="1:11" s="481" customFormat="1" ht="51" customHeight="1">
      <c r="A99" s="2587" t="s">
        <v>278</v>
      </c>
      <c r="B99" s="2587"/>
      <c r="C99" s="2587"/>
      <c r="D99" s="2587"/>
      <c r="E99" s="2587"/>
      <c r="F99" s="2587"/>
      <c r="G99" s="2587"/>
      <c r="H99" s="2587"/>
      <c r="I99" s="583"/>
    </row>
    <row r="100" spans="1:11" s="481" customFormat="1" ht="25.15" customHeight="1">
      <c r="A100" s="503" t="s">
        <v>265</v>
      </c>
      <c r="B100" s="504"/>
      <c r="C100" s="504"/>
      <c r="D100" s="505"/>
      <c r="E100" s="504"/>
      <c r="F100" s="584"/>
      <c r="G100" s="582"/>
      <c r="H100" s="584"/>
      <c r="I100" s="583"/>
    </row>
    <row r="101" spans="1:11" s="481" customFormat="1" ht="24" customHeight="1">
      <c r="A101" s="585"/>
      <c r="B101" s="583"/>
      <c r="C101" s="583"/>
      <c r="D101" s="586"/>
      <c r="E101" s="583"/>
      <c r="F101" s="587"/>
      <c r="G101" s="588"/>
      <c r="H101" s="589" t="s">
        <v>65</v>
      </c>
      <c r="I101" s="583"/>
    </row>
    <row r="102" spans="1:11" ht="10.5" customHeight="1">
      <c r="A102" s="579"/>
      <c r="B102" s="590"/>
      <c r="C102" s="591"/>
      <c r="D102" s="558"/>
      <c r="E102" s="558"/>
      <c r="F102" s="558"/>
      <c r="G102" s="558"/>
      <c r="H102" s="592"/>
    </row>
    <row r="103" spans="1:11" ht="22.15" customHeight="1">
      <c r="A103" s="2588" t="s">
        <v>8</v>
      </c>
      <c r="B103" s="2590" t="s">
        <v>266</v>
      </c>
      <c r="C103" s="2591"/>
      <c r="D103" s="2591"/>
      <c r="E103" s="2592"/>
      <c r="F103" s="2588" t="s">
        <v>10</v>
      </c>
      <c r="G103" s="2596" t="s">
        <v>15</v>
      </c>
      <c r="H103" s="2597"/>
    </row>
    <row r="104" spans="1:11" ht="22.15" customHeight="1" thickBot="1">
      <c r="A104" s="2589"/>
      <c r="B104" s="2593"/>
      <c r="C104" s="2594"/>
      <c r="D104" s="2594"/>
      <c r="E104" s="2595"/>
      <c r="F104" s="2589"/>
      <c r="G104" s="2598"/>
      <c r="H104" s="2599"/>
      <c r="J104" s="561">
        <v>18</v>
      </c>
      <c r="K104" s="561" t="s">
        <v>6</v>
      </c>
    </row>
    <row r="105" spans="1:11" ht="25.15" customHeight="1" thickTop="1">
      <c r="A105" s="593">
        <v>3</v>
      </c>
      <c r="B105" s="2605" t="s">
        <v>279</v>
      </c>
      <c r="C105" s="2606"/>
      <c r="D105" s="2606"/>
      <c r="E105" s="2607"/>
      <c r="F105" s="594">
        <f>J105+J109+J112</f>
        <v>1644000</v>
      </c>
      <c r="G105" s="2608"/>
      <c r="H105" s="2609"/>
      <c r="J105" s="24">
        <f>12000*7*J104</f>
        <v>1512000</v>
      </c>
    </row>
    <row r="106" spans="1:11" ht="22.15" customHeight="1">
      <c r="A106" s="595"/>
      <c r="B106" s="2623" t="s">
        <v>280</v>
      </c>
      <c r="C106" s="2601"/>
      <c r="D106" s="2601"/>
      <c r="E106" s="2602"/>
      <c r="F106" s="596"/>
      <c r="G106" s="2603"/>
      <c r="H106" s="2604"/>
      <c r="J106" s="24"/>
    </row>
    <row r="107" spans="1:11" ht="22.15" customHeight="1">
      <c r="A107" s="597"/>
      <c r="B107" s="2600" t="str">
        <f>"เป็นเงิน = 12,000x7x"&amp;J104&amp;" = "&amp;J105&amp;" บาท"</f>
        <v>เป็นเงิน = 12,000x7x18 = 1512000 บาท</v>
      </c>
      <c r="C107" s="2601"/>
      <c r="D107" s="2601"/>
      <c r="E107" s="2602"/>
      <c r="F107" s="594"/>
      <c r="G107" s="2603"/>
      <c r="H107" s="2604"/>
      <c r="J107" s="24"/>
    </row>
    <row r="108" spans="1:11" ht="22.15" customHeight="1">
      <c r="A108" s="597"/>
      <c r="B108" s="2617"/>
      <c r="C108" s="2601"/>
      <c r="D108" s="2601"/>
      <c r="E108" s="2602"/>
      <c r="F108" s="594"/>
      <c r="G108" s="2603"/>
      <c r="H108" s="2604"/>
      <c r="J108" s="24"/>
    </row>
    <row r="109" spans="1:11" ht="22.15" customHeight="1">
      <c r="A109" s="597"/>
      <c r="B109" s="2617" t="s">
        <v>281</v>
      </c>
      <c r="C109" s="2601"/>
      <c r="D109" s="2601"/>
      <c r="E109" s="2602"/>
      <c r="F109" s="594"/>
      <c r="G109" s="2603"/>
      <c r="H109" s="2604"/>
      <c r="J109" s="24">
        <f>2*8000*7</f>
        <v>112000</v>
      </c>
    </row>
    <row r="110" spans="1:11" ht="22.15" customHeight="1">
      <c r="A110" s="597"/>
      <c r="B110" s="2617" t="s">
        <v>282</v>
      </c>
      <c r="C110" s="2601"/>
      <c r="D110" s="2601"/>
      <c r="E110" s="2602"/>
      <c r="F110" s="594"/>
      <c r="G110" s="2603"/>
      <c r="H110" s="2604"/>
      <c r="J110" s="24"/>
    </row>
    <row r="111" spans="1:11" ht="22.15" customHeight="1">
      <c r="A111" s="597"/>
      <c r="B111" s="2617"/>
      <c r="C111" s="2601"/>
      <c r="D111" s="2601"/>
      <c r="E111" s="2602"/>
      <c r="F111" s="594"/>
      <c r="G111" s="2603"/>
      <c r="H111" s="2604"/>
      <c r="J111" s="24"/>
    </row>
    <row r="112" spans="1:11" ht="22.15" customHeight="1">
      <c r="A112" s="598"/>
      <c r="B112" s="2617" t="s">
        <v>283</v>
      </c>
      <c r="C112" s="2601"/>
      <c r="D112" s="2601"/>
      <c r="E112" s="2602"/>
      <c r="F112" s="594"/>
      <c r="G112" s="2603"/>
      <c r="H112" s="2604"/>
      <c r="J112" s="24">
        <f>10000*2</f>
        <v>20000</v>
      </c>
    </row>
    <row r="113" spans="1:10" s="601" customFormat="1" ht="22.15" customHeight="1">
      <c r="A113" s="599"/>
      <c r="B113" s="2617" t="s">
        <v>284</v>
      </c>
      <c r="C113" s="2601"/>
      <c r="D113" s="2601"/>
      <c r="E113" s="2602"/>
      <c r="F113" s="600"/>
      <c r="G113" s="2603"/>
      <c r="H113" s="2604"/>
      <c r="J113" s="602"/>
    </row>
    <row r="114" spans="1:10" s="601" customFormat="1" ht="22.15" customHeight="1">
      <c r="A114" s="599"/>
      <c r="B114" s="2617"/>
      <c r="C114" s="2601"/>
      <c r="D114" s="2601"/>
      <c r="E114" s="2602"/>
      <c r="F114" s="600"/>
      <c r="G114" s="2603"/>
      <c r="H114" s="2604"/>
    </row>
    <row r="115" spans="1:10" ht="22.15" customHeight="1">
      <c r="A115" s="597"/>
      <c r="B115" s="2617"/>
      <c r="C115" s="2601"/>
      <c r="D115" s="2601"/>
      <c r="E115" s="2602"/>
      <c r="F115" s="603"/>
      <c r="G115" s="2603"/>
      <c r="H115" s="2604"/>
    </row>
    <row r="116" spans="1:10" s="601" customFormat="1" ht="22.15" customHeight="1">
      <c r="A116" s="599"/>
      <c r="B116" s="2617"/>
      <c r="C116" s="2601"/>
      <c r="D116" s="2601"/>
      <c r="E116" s="2602"/>
      <c r="F116" s="600"/>
      <c r="G116" s="2603"/>
      <c r="H116" s="2604"/>
    </row>
    <row r="117" spans="1:10" s="601" customFormat="1" ht="22.15" customHeight="1">
      <c r="A117" s="599"/>
      <c r="B117" s="2617"/>
      <c r="C117" s="2601"/>
      <c r="D117" s="2601"/>
      <c r="E117" s="2602"/>
      <c r="F117" s="596"/>
      <c r="G117" s="2603"/>
      <c r="H117" s="2604"/>
    </row>
    <row r="118" spans="1:10" ht="22.15" customHeight="1" thickBot="1">
      <c r="A118" s="604"/>
      <c r="B118" s="2618"/>
      <c r="C118" s="2619"/>
      <c r="D118" s="2619"/>
      <c r="E118" s="2620"/>
      <c r="F118" s="605"/>
      <c r="G118" s="2615"/>
      <c r="H118" s="2616"/>
    </row>
    <row r="119" spans="1:10" s="609" customFormat="1" ht="25.15" customHeight="1" thickTop="1" thickBot="1">
      <c r="A119" s="606"/>
      <c r="B119" s="2621" t="s">
        <v>272</v>
      </c>
      <c r="C119" s="2621"/>
      <c r="D119" s="2621"/>
      <c r="E119" s="2622"/>
      <c r="F119" s="608">
        <f>SUM(F105:F118)</f>
        <v>1644000</v>
      </c>
      <c r="G119" s="2615"/>
      <c r="H119" s="2616"/>
    </row>
    <row r="120" spans="1:10" s="611" customFormat="1" ht="22.15" customHeight="1" thickTop="1" thickBot="1">
      <c r="A120" s="610"/>
      <c r="B120" s="2613" t="s">
        <v>273</v>
      </c>
      <c r="C120" s="2613"/>
      <c r="D120" s="2613"/>
      <c r="E120" s="2614"/>
      <c r="F120" s="608">
        <f>F119*7%</f>
        <v>115080.00000000001</v>
      </c>
      <c r="G120" s="2615"/>
      <c r="H120" s="2616"/>
    </row>
    <row r="121" spans="1:10" s="611" customFormat="1" ht="22.15" customHeight="1" thickTop="1" thickBot="1">
      <c r="A121" s="610"/>
      <c r="B121" s="2613" t="s">
        <v>274</v>
      </c>
      <c r="C121" s="2613"/>
      <c r="D121" s="2613"/>
      <c r="E121" s="2614"/>
      <c r="F121" s="608">
        <f>F119+F120</f>
        <v>1759080</v>
      </c>
      <c r="G121" s="2615"/>
      <c r="H121" s="2616"/>
    </row>
    <row r="122" spans="1:10" ht="24" thickTop="1"/>
    <row r="140" spans="1:8">
      <c r="A140" s="2586" t="s">
        <v>263</v>
      </c>
      <c r="B140" s="2586"/>
      <c r="C140" s="2586"/>
      <c r="D140" s="2586"/>
      <c r="E140" s="2586"/>
      <c r="F140" s="2586"/>
      <c r="G140" s="2586"/>
      <c r="H140" s="2586"/>
    </row>
    <row r="141" spans="1:8" ht="23.85" customHeight="1">
      <c r="A141" s="2587" t="s">
        <v>285</v>
      </c>
      <c r="B141" s="2587"/>
      <c r="C141" s="2587"/>
      <c r="D141" s="2587"/>
      <c r="E141" s="2587"/>
      <c r="F141" s="2587"/>
      <c r="G141" s="2587"/>
      <c r="H141" s="2587"/>
    </row>
    <row r="142" spans="1:8">
      <c r="A142" s="503" t="s">
        <v>265</v>
      </c>
      <c r="B142" s="504"/>
      <c r="C142" s="504"/>
      <c r="D142" s="505"/>
      <c r="E142" s="504"/>
      <c r="F142" s="584"/>
      <c r="G142" s="582"/>
      <c r="H142" s="584"/>
    </row>
    <row r="143" spans="1:8">
      <c r="A143" s="585"/>
      <c r="B143" s="583"/>
      <c r="C143" s="583"/>
      <c r="D143" s="586"/>
      <c r="E143" s="583"/>
      <c r="F143" s="587"/>
      <c r="G143" s="588"/>
      <c r="H143" s="589" t="s">
        <v>65</v>
      </c>
    </row>
    <row r="144" spans="1:8">
      <c r="A144" s="579"/>
      <c r="B144" s="590"/>
      <c r="C144" s="591"/>
      <c r="D144" s="558"/>
      <c r="E144" s="558"/>
      <c r="F144" s="558"/>
      <c r="G144" s="558"/>
      <c r="H144" s="592"/>
    </row>
    <row r="145" spans="1:8">
      <c r="A145" s="2588" t="s">
        <v>8</v>
      </c>
      <c r="B145" s="2590" t="s">
        <v>266</v>
      </c>
      <c r="C145" s="2591"/>
      <c r="D145" s="2591"/>
      <c r="E145" s="2592"/>
      <c r="F145" s="2588" t="s">
        <v>10</v>
      </c>
      <c r="G145" s="2596" t="s">
        <v>15</v>
      </c>
      <c r="H145" s="2597"/>
    </row>
    <row r="146" spans="1:8" ht="24" thickBot="1">
      <c r="A146" s="2589"/>
      <c r="B146" s="2593"/>
      <c r="C146" s="2594"/>
      <c r="D146" s="2594"/>
      <c r="E146" s="2595"/>
      <c r="F146" s="2589"/>
      <c r="G146" s="2598"/>
      <c r="H146" s="2599"/>
    </row>
    <row r="147" spans="1:8" ht="24" thickTop="1">
      <c r="A147" s="593">
        <v>4</v>
      </c>
      <c r="B147" s="2605" t="s">
        <v>286</v>
      </c>
      <c r="C147" s="2606"/>
      <c r="D147" s="2606"/>
      <c r="E147" s="2607"/>
      <c r="F147" s="594">
        <f>12150*80</f>
        <v>972000</v>
      </c>
      <c r="G147" s="2608"/>
      <c r="H147" s="2609"/>
    </row>
    <row r="148" spans="1:8">
      <c r="A148" s="595"/>
      <c r="B148" s="2623" t="s">
        <v>287</v>
      </c>
      <c r="C148" s="2601"/>
      <c r="D148" s="2601"/>
      <c r="E148" s="2602"/>
      <c r="F148" s="596"/>
      <c r="G148" s="2603"/>
      <c r="H148" s="2604"/>
    </row>
    <row r="149" spans="1:8">
      <c r="A149" s="597"/>
      <c r="B149" s="2600" t="s">
        <v>288</v>
      </c>
      <c r="C149" s="2601"/>
      <c r="D149" s="2601"/>
      <c r="E149" s="2602"/>
      <c r="F149" s="594"/>
      <c r="G149" s="2603"/>
      <c r="H149" s="2604"/>
    </row>
    <row r="150" spans="1:8">
      <c r="A150" s="597"/>
      <c r="B150" s="2617" t="s">
        <v>289</v>
      </c>
      <c r="C150" s="2601"/>
      <c r="D150" s="2601"/>
      <c r="E150" s="2602"/>
      <c r="F150" s="594"/>
      <c r="G150" s="2603"/>
      <c r="H150" s="2604"/>
    </row>
    <row r="151" spans="1:8">
      <c r="A151" s="597"/>
      <c r="B151" s="2617"/>
      <c r="C151" s="2601"/>
      <c r="D151" s="2601"/>
      <c r="E151" s="2602"/>
      <c r="F151" s="594"/>
      <c r="G151" s="2603"/>
      <c r="H151" s="2604"/>
    </row>
    <row r="152" spans="1:8">
      <c r="A152" s="597"/>
      <c r="B152" s="2617" t="s">
        <v>290</v>
      </c>
      <c r="C152" s="2601"/>
      <c r="D152" s="2601"/>
      <c r="E152" s="2602"/>
      <c r="F152" s="594"/>
      <c r="G152" s="2603"/>
      <c r="H152" s="2604"/>
    </row>
    <row r="153" spans="1:8">
      <c r="A153" s="597"/>
      <c r="B153" s="2617" t="s">
        <v>305</v>
      </c>
      <c r="C153" s="2601"/>
      <c r="D153" s="2601"/>
      <c r="E153" s="2602"/>
      <c r="F153" s="594"/>
      <c r="G153" s="2603"/>
      <c r="H153" s="2604"/>
    </row>
    <row r="154" spans="1:8">
      <c r="A154" s="598"/>
      <c r="B154" s="2617"/>
      <c r="C154" s="2601"/>
      <c r="D154" s="2601"/>
      <c r="E154" s="2602"/>
      <c r="F154" s="594"/>
      <c r="G154" s="2603"/>
      <c r="H154" s="2604"/>
    </row>
    <row r="155" spans="1:8">
      <c r="A155" s="599"/>
      <c r="B155" s="2617"/>
      <c r="C155" s="2601"/>
      <c r="D155" s="2601"/>
      <c r="E155" s="2602"/>
      <c r="F155" s="600"/>
      <c r="G155" s="2603"/>
      <c r="H155" s="2604"/>
    </row>
    <row r="156" spans="1:8">
      <c r="A156" s="599"/>
      <c r="B156" s="2617"/>
      <c r="C156" s="2601"/>
      <c r="D156" s="2601"/>
      <c r="E156" s="2602"/>
      <c r="F156" s="600"/>
      <c r="G156" s="2603"/>
      <c r="H156" s="2604"/>
    </row>
    <row r="157" spans="1:8">
      <c r="A157" s="597"/>
      <c r="B157" s="2617"/>
      <c r="C157" s="2601"/>
      <c r="D157" s="2601"/>
      <c r="E157" s="2602"/>
      <c r="F157" s="603"/>
      <c r="G157" s="2603"/>
      <c r="H157" s="2604"/>
    </row>
    <row r="158" spans="1:8">
      <c r="A158" s="599"/>
      <c r="B158" s="2617"/>
      <c r="C158" s="2601"/>
      <c r="D158" s="2601"/>
      <c r="E158" s="2602"/>
      <c r="F158" s="600"/>
      <c r="G158" s="2603"/>
      <c r="H158" s="2604"/>
    </row>
    <row r="159" spans="1:8">
      <c r="A159" s="599"/>
      <c r="B159" s="2617"/>
      <c r="C159" s="2601"/>
      <c r="D159" s="2601"/>
      <c r="E159" s="2602"/>
      <c r="F159" s="596"/>
      <c r="G159" s="2603"/>
      <c r="H159" s="2604"/>
    </row>
    <row r="160" spans="1:8" ht="24" thickBot="1">
      <c r="A160" s="604"/>
      <c r="B160" s="2618"/>
      <c r="C160" s="2619"/>
      <c r="D160" s="2619"/>
      <c r="E160" s="2620"/>
      <c r="F160" s="605"/>
      <c r="G160" s="2615"/>
      <c r="H160" s="2616"/>
    </row>
    <row r="161" spans="1:8" ht="24.3" thickTop="1" thickBot="1">
      <c r="A161" s="606"/>
      <c r="B161" s="2621" t="s">
        <v>272</v>
      </c>
      <c r="C161" s="2621"/>
      <c r="D161" s="2621"/>
      <c r="E161" s="2622"/>
      <c r="F161" s="608">
        <f>SUM(F147:F160)</f>
        <v>972000</v>
      </c>
      <c r="G161" s="2615"/>
      <c r="H161" s="2616"/>
    </row>
    <row r="162" spans="1:8" ht="24.3" thickTop="1" thickBot="1">
      <c r="A162" s="610"/>
      <c r="B162" s="2613" t="s">
        <v>273</v>
      </c>
      <c r="C162" s="2613"/>
      <c r="D162" s="2613"/>
      <c r="E162" s="2614"/>
      <c r="F162" s="608">
        <f>F161*7%</f>
        <v>68040</v>
      </c>
      <c r="G162" s="2615"/>
      <c r="H162" s="2616"/>
    </row>
    <row r="163" spans="1:8" ht="24.3" thickTop="1" thickBot="1">
      <c r="A163" s="610"/>
      <c r="B163" s="2613" t="s">
        <v>274</v>
      </c>
      <c r="C163" s="2613"/>
      <c r="D163" s="2613"/>
      <c r="E163" s="2614"/>
      <c r="F163" s="608">
        <f>F161+F162</f>
        <v>1040040</v>
      </c>
      <c r="G163" s="2615"/>
      <c r="H163" s="2616"/>
    </row>
    <row r="164" spans="1:8" ht="24" thickTop="1"/>
    <row r="181" spans="1:8">
      <c r="A181" s="2565" t="s">
        <v>263</v>
      </c>
      <c r="B181" s="2565"/>
      <c r="C181" s="2565"/>
      <c r="D181" s="2565"/>
      <c r="E181" s="2565"/>
      <c r="F181" s="2565"/>
      <c r="G181" s="2565"/>
      <c r="H181" s="2565"/>
    </row>
    <row r="182" spans="1:8">
      <c r="A182" s="2566" t="s">
        <v>291</v>
      </c>
      <c r="B182" s="2566"/>
      <c r="C182" s="2566"/>
      <c r="D182" s="2566"/>
      <c r="E182" s="2566"/>
      <c r="F182" s="2566"/>
      <c r="G182" s="2566"/>
      <c r="H182" s="2566"/>
    </row>
    <row r="183" spans="1:8">
      <c r="A183" s="623" t="s">
        <v>265</v>
      </c>
      <c r="B183" s="504"/>
      <c r="C183" s="504"/>
      <c r="D183" s="505"/>
      <c r="E183" s="504"/>
      <c r="F183" s="624"/>
      <c r="G183" s="625"/>
      <c r="H183" s="624"/>
    </row>
    <row r="184" spans="1:8">
      <c r="A184" s="626"/>
      <c r="B184" s="583"/>
      <c r="C184" s="583"/>
      <c r="D184" s="586"/>
      <c r="E184" s="583"/>
      <c r="F184" s="627"/>
      <c r="G184" s="628"/>
      <c r="H184" s="629" t="s">
        <v>65</v>
      </c>
    </row>
    <row r="185" spans="1:8">
      <c r="A185" s="630"/>
      <c r="B185" s="631"/>
      <c r="C185" s="632"/>
      <c r="D185" s="633"/>
      <c r="E185" s="633"/>
      <c r="F185" s="633"/>
      <c r="G185" s="633"/>
      <c r="H185" s="634"/>
    </row>
    <row r="186" spans="1:8">
      <c r="A186" s="2567" t="s">
        <v>8</v>
      </c>
      <c r="B186" s="2569" t="s">
        <v>266</v>
      </c>
      <c r="C186" s="2570"/>
      <c r="D186" s="2570"/>
      <c r="E186" s="2571"/>
      <c r="F186" s="2567" t="s">
        <v>10</v>
      </c>
      <c r="G186" s="2575" t="s">
        <v>15</v>
      </c>
      <c r="H186" s="2576"/>
    </row>
    <row r="187" spans="1:8" ht="24" thickBot="1">
      <c r="A187" s="2568"/>
      <c r="B187" s="2572"/>
      <c r="C187" s="2573"/>
      <c r="D187" s="2573"/>
      <c r="E187" s="2574"/>
      <c r="F187" s="2568"/>
      <c r="G187" s="2577"/>
      <c r="H187" s="2578"/>
    </row>
    <row r="188" spans="1:8" ht="24" thickTop="1">
      <c r="A188" s="635">
        <v>5</v>
      </c>
      <c r="B188" s="2579" t="s">
        <v>292</v>
      </c>
      <c r="C188" s="2580"/>
      <c r="D188" s="2580"/>
      <c r="E188" s="2581"/>
      <c r="F188" s="636" t="s">
        <v>358</v>
      </c>
      <c r="G188" s="2582"/>
      <c r="H188" s="2583"/>
    </row>
    <row r="189" spans="1:8">
      <c r="A189" s="637"/>
      <c r="B189" s="2623"/>
      <c r="C189" s="2601"/>
      <c r="D189" s="2601"/>
      <c r="E189" s="2602"/>
      <c r="F189" s="638"/>
      <c r="G189" s="2557"/>
      <c r="H189" s="2558"/>
    </row>
    <row r="190" spans="1:8">
      <c r="A190" s="639"/>
      <c r="B190" s="2623"/>
      <c r="C190" s="2601"/>
      <c r="D190" s="2601"/>
      <c r="E190" s="2602"/>
      <c r="F190" s="640"/>
      <c r="G190" s="2557"/>
      <c r="H190" s="2558"/>
    </row>
    <row r="191" spans="1:8">
      <c r="A191" s="639"/>
      <c r="B191" s="2600"/>
      <c r="C191" s="2601"/>
      <c r="D191" s="2601"/>
      <c r="E191" s="2602"/>
      <c r="F191" s="640"/>
      <c r="G191" s="2557"/>
      <c r="H191" s="2558"/>
    </row>
    <row r="192" spans="1:8">
      <c r="A192" s="639"/>
      <c r="B192" s="2617"/>
      <c r="C192" s="2601"/>
      <c r="D192" s="2601"/>
      <c r="E192" s="2602"/>
      <c r="F192" s="640"/>
      <c r="G192" s="2557"/>
      <c r="H192" s="2558"/>
    </row>
    <row r="193" spans="1:8">
      <c r="A193" s="639"/>
      <c r="B193" s="2617"/>
      <c r="C193" s="2601"/>
      <c r="D193" s="2601"/>
      <c r="E193" s="2602"/>
      <c r="F193" s="640"/>
      <c r="G193" s="2557"/>
      <c r="H193" s="2558"/>
    </row>
    <row r="194" spans="1:8">
      <c r="A194" s="639"/>
      <c r="B194" s="2617"/>
      <c r="C194" s="2601"/>
      <c r="D194" s="2601"/>
      <c r="E194" s="2602"/>
      <c r="F194" s="640"/>
      <c r="G194" s="2557"/>
      <c r="H194" s="2558"/>
    </row>
    <row r="195" spans="1:8">
      <c r="A195" s="641"/>
      <c r="B195" s="2617"/>
      <c r="C195" s="2601"/>
      <c r="D195" s="2601"/>
      <c r="E195" s="2602"/>
      <c r="F195" s="640"/>
      <c r="G195" s="2557"/>
      <c r="H195" s="2558"/>
    </row>
    <row r="196" spans="1:8">
      <c r="A196" s="642"/>
      <c r="B196" s="2554"/>
      <c r="C196" s="2555"/>
      <c r="D196" s="2555"/>
      <c r="E196" s="2556"/>
      <c r="F196" s="643"/>
      <c r="G196" s="2557"/>
      <c r="H196" s="2558"/>
    </row>
    <row r="197" spans="1:8">
      <c r="A197" s="642"/>
      <c r="B197" s="2554"/>
      <c r="C197" s="2555"/>
      <c r="D197" s="2555"/>
      <c r="E197" s="2556"/>
      <c r="F197" s="643"/>
      <c r="G197" s="2557"/>
      <c r="H197" s="2558"/>
    </row>
    <row r="198" spans="1:8">
      <c r="A198" s="639"/>
      <c r="B198" s="2554"/>
      <c r="C198" s="2555"/>
      <c r="D198" s="2555"/>
      <c r="E198" s="2556"/>
      <c r="F198" s="636"/>
      <c r="G198" s="2557"/>
      <c r="H198" s="2558"/>
    </row>
    <row r="199" spans="1:8">
      <c r="A199" s="642"/>
      <c r="B199" s="2554"/>
      <c r="C199" s="2555"/>
      <c r="D199" s="2555"/>
      <c r="E199" s="2556"/>
      <c r="F199" s="643"/>
      <c r="G199" s="2557"/>
      <c r="H199" s="2558"/>
    </row>
    <row r="200" spans="1:8">
      <c r="A200" s="642"/>
      <c r="B200" s="2554"/>
      <c r="C200" s="2555"/>
      <c r="D200" s="2555"/>
      <c r="E200" s="2556"/>
      <c r="F200" s="638"/>
      <c r="G200" s="2557"/>
      <c r="H200" s="2558"/>
    </row>
    <row r="201" spans="1:8" ht="24" thickBot="1">
      <c r="A201" s="644"/>
      <c r="B201" s="2559"/>
      <c r="C201" s="2560"/>
      <c r="D201" s="2560"/>
      <c r="E201" s="2561"/>
      <c r="F201" s="645"/>
      <c r="G201" s="2562"/>
      <c r="H201" s="2563"/>
    </row>
    <row r="202" spans="1:8" ht="24.3" thickTop="1" thickBot="1">
      <c r="A202" s="646"/>
      <c r="B202" s="647"/>
      <c r="C202" s="647"/>
      <c r="D202" s="647"/>
      <c r="E202" s="648" t="s">
        <v>272</v>
      </c>
      <c r="F202" s="649"/>
      <c r="G202" s="2562"/>
      <c r="H202" s="2563"/>
    </row>
    <row r="203" spans="1:8" ht="24.3" thickTop="1" thickBot="1">
      <c r="A203" s="650"/>
      <c r="B203" s="651"/>
      <c r="C203" s="652"/>
      <c r="D203" s="653"/>
      <c r="E203" s="648" t="s">
        <v>273</v>
      </c>
      <c r="F203" s="649"/>
      <c r="G203" s="2562"/>
      <c r="H203" s="2563"/>
    </row>
    <row r="204" spans="1:8" ht="24.3" thickTop="1" thickBot="1">
      <c r="A204" s="650"/>
      <c r="B204" s="651"/>
      <c r="C204" s="652"/>
      <c r="D204" s="653"/>
      <c r="E204" s="648" t="s">
        <v>274</v>
      </c>
      <c r="F204" s="649">
        <v>500000</v>
      </c>
      <c r="G204" s="2562"/>
      <c r="H204" s="2563"/>
    </row>
    <row r="205" spans="1:8" ht="24" thickTop="1"/>
    <row r="222" spans="1:8">
      <c r="A222" s="2565" t="s">
        <v>263</v>
      </c>
      <c r="B222" s="2565"/>
      <c r="C222" s="2565"/>
      <c r="D222" s="2565"/>
      <c r="E222" s="2565"/>
      <c r="F222" s="2565"/>
      <c r="G222" s="2565"/>
      <c r="H222" s="2565"/>
    </row>
    <row r="223" spans="1:8">
      <c r="A223" s="2566" t="s">
        <v>293</v>
      </c>
      <c r="B223" s="2566"/>
      <c r="C223" s="2566"/>
      <c r="D223" s="2566"/>
      <c r="E223" s="2566"/>
      <c r="F223" s="2566"/>
      <c r="G223" s="2566"/>
      <c r="H223" s="2566"/>
    </row>
    <row r="224" spans="1:8">
      <c r="A224" s="623" t="s">
        <v>265</v>
      </c>
      <c r="B224" s="504"/>
      <c r="C224" s="504"/>
      <c r="D224" s="505"/>
      <c r="E224" s="504"/>
      <c r="F224" s="624"/>
      <c r="G224" s="625"/>
      <c r="H224" s="624"/>
    </row>
    <row r="225" spans="1:8">
      <c r="A225" s="626"/>
      <c r="B225" s="583"/>
      <c r="C225" s="583"/>
      <c r="D225" s="586"/>
      <c r="E225" s="583"/>
      <c r="F225" s="627"/>
      <c r="G225" s="628"/>
      <c r="H225" s="629" t="s">
        <v>65</v>
      </c>
    </row>
    <row r="226" spans="1:8">
      <c r="A226" s="630"/>
      <c r="B226" s="631"/>
      <c r="C226" s="632"/>
      <c r="D226" s="633"/>
      <c r="E226" s="633"/>
      <c r="F226" s="633"/>
      <c r="G226" s="633"/>
      <c r="H226" s="634"/>
    </row>
    <row r="227" spans="1:8">
      <c r="A227" s="2567" t="s">
        <v>8</v>
      </c>
      <c r="B227" s="2569" t="s">
        <v>266</v>
      </c>
      <c r="C227" s="2570"/>
      <c r="D227" s="2570"/>
      <c r="E227" s="2571"/>
      <c r="F227" s="2567" t="s">
        <v>10</v>
      </c>
      <c r="G227" s="2575" t="s">
        <v>15</v>
      </c>
      <c r="H227" s="2576"/>
    </row>
    <row r="228" spans="1:8" ht="24" thickBot="1">
      <c r="A228" s="2568"/>
      <c r="B228" s="2572"/>
      <c r="C228" s="2573"/>
      <c r="D228" s="2573"/>
      <c r="E228" s="2574"/>
      <c r="F228" s="2568"/>
      <c r="G228" s="2577"/>
      <c r="H228" s="2578"/>
    </row>
    <row r="229" spans="1:8" ht="24" thickTop="1">
      <c r="A229" s="635">
        <v>6</v>
      </c>
      <c r="B229" s="2579" t="s">
        <v>294</v>
      </c>
      <c r="C229" s="2580"/>
      <c r="D229" s="2580"/>
      <c r="E229" s="2581"/>
      <c r="F229" s="636" t="s">
        <v>358</v>
      </c>
      <c r="G229" s="2582"/>
      <c r="H229" s="2583"/>
    </row>
    <row r="230" spans="1:8">
      <c r="A230" s="637"/>
      <c r="B230" s="2623"/>
      <c r="C230" s="2601"/>
      <c r="D230" s="2601"/>
      <c r="E230" s="2602"/>
      <c r="F230" s="638"/>
      <c r="G230" s="2557"/>
      <c r="H230" s="2558"/>
    </row>
    <row r="231" spans="1:8">
      <c r="A231" s="639"/>
      <c r="B231" s="2623"/>
      <c r="C231" s="2601"/>
      <c r="D231" s="2601"/>
      <c r="E231" s="2602"/>
      <c r="F231" s="640"/>
      <c r="G231" s="2557"/>
      <c r="H231" s="2558"/>
    </row>
    <row r="232" spans="1:8">
      <c r="A232" s="639"/>
      <c r="B232" s="2600"/>
      <c r="C232" s="2601"/>
      <c r="D232" s="2601"/>
      <c r="E232" s="2602"/>
      <c r="F232" s="640"/>
      <c r="G232" s="2557"/>
      <c r="H232" s="2558"/>
    </row>
    <row r="233" spans="1:8">
      <c r="A233" s="639"/>
      <c r="B233" s="2617"/>
      <c r="C233" s="2601"/>
      <c r="D233" s="2601"/>
      <c r="E233" s="2602"/>
      <c r="F233" s="640"/>
      <c r="G233" s="2557"/>
      <c r="H233" s="2558"/>
    </row>
    <row r="234" spans="1:8">
      <c r="A234" s="639"/>
      <c r="B234" s="2617"/>
      <c r="C234" s="2601"/>
      <c r="D234" s="2601"/>
      <c r="E234" s="2602"/>
      <c r="F234" s="640"/>
      <c r="G234" s="2557"/>
      <c r="H234" s="2558"/>
    </row>
    <row r="235" spans="1:8">
      <c r="A235" s="639"/>
      <c r="B235" s="2617"/>
      <c r="C235" s="2601"/>
      <c r="D235" s="2601"/>
      <c r="E235" s="2602"/>
      <c r="F235" s="640"/>
      <c r="G235" s="2557"/>
      <c r="H235" s="2558"/>
    </row>
    <row r="236" spans="1:8">
      <c r="A236" s="641"/>
      <c r="B236" s="2617"/>
      <c r="C236" s="2601"/>
      <c r="D236" s="2601"/>
      <c r="E236" s="2602"/>
      <c r="F236" s="640"/>
      <c r="G236" s="2557"/>
      <c r="H236" s="2558"/>
    </row>
    <row r="237" spans="1:8">
      <c r="A237" s="642"/>
      <c r="B237" s="2554"/>
      <c r="C237" s="2555"/>
      <c r="D237" s="2555"/>
      <c r="E237" s="2556"/>
      <c r="F237" s="643"/>
      <c r="G237" s="2557"/>
      <c r="H237" s="2558"/>
    </row>
    <row r="238" spans="1:8">
      <c r="A238" s="642"/>
      <c r="B238" s="2554"/>
      <c r="C238" s="2555"/>
      <c r="D238" s="2555"/>
      <c r="E238" s="2556"/>
      <c r="F238" s="643"/>
      <c r="G238" s="2557"/>
      <c r="H238" s="2558"/>
    </row>
    <row r="239" spans="1:8">
      <c r="A239" s="639"/>
      <c r="B239" s="2554"/>
      <c r="C239" s="2555"/>
      <c r="D239" s="2555"/>
      <c r="E239" s="2556"/>
      <c r="F239" s="636"/>
      <c r="G239" s="2557"/>
      <c r="H239" s="2558"/>
    </row>
    <row r="240" spans="1:8">
      <c r="A240" s="642"/>
      <c r="B240" s="2554"/>
      <c r="C240" s="2555"/>
      <c r="D240" s="2555"/>
      <c r="E240" s="2556"/>
      <c r="F240" s="643"/>
      <c r="G240" s="2557"/>
      <c r="H240" s="2558"/>
    </row>
    <row r="241" spans="1:8">
      <c r="A241" s="642"/>
      <c r="B241" s="2554"/>
      <c r="C241" s="2555"/>
      <c r="D241" s="2555"/>
      <c r="E241" s="2556"/>
      <c r="F241" s="638"/>
      <c r="G241" s="2557"/>
      <c r="H241" s="2558"/>
    </row>
    <row r="242" spans="1:8" ht="24" thickBot="1">
      <c r="A242" s="644"/>
      <c r="B242" s="2559"/>
      <c r="C242" s="2560"/>
      <c r="D242" s="2560"/>
      <c r="E242" s="2561"/>
      <c r="F242" s="645"/>
      <c r="G242" s="2562"/>
      <c r="H242" s="2563"/>
    </row>
    <row r="243" spans="1:8" ht="24.3" thickTop="1" thickBot="1">
      <c r="A243" s="646"/>
      <c r="B243" s="647"/>
      <c r="C243" s="647"/>
      <c r="D243" s="647"/>
      <c r="E243" s="648" t="s">
        <v>272</v>
      </c>
      <c r="F243" s="649">
        <v>2000000</v>
      </c>
      <c r="G243" s="2562"/>
      <c r="H243" s="2563"/>
    </row>
    <row r="244" spans="1:8" ht="24.3" thickTop="1" thickBot="1">
      <c r="A244" s="650"/>
      <c r="B244" s="651"/>
      <c r="C244" s="652"/>
      <c r="D244" s="653"/>
      <c r="E244" s="648" t="s">
        <v>273</v>
      </c>
      <c r="F244" s="649">
        <f>F243*0.07</f>
        <v>140000</v>
      </c>
      <c r="G244" s="2562"/>
      <c r="H244" s="2563"/>
    </row>
    <row r="245" spans="1:8" ht="24.3" thickTop="1" thickBot="1">
      <c r="A245" s="650"/>
      <c r="B245" s="651"/>
      <c r="C245" s="652"/>
      <c r="D245" s="653"/>
      <c r="E245" s="648" t="s">
        <v>274</v>
      </c>
      <c r="F245" s="649">
        <f>F243+F244</f>
        <v>2140000</v>
      </c>
      <c r="G245" s="2562"/>
      <c r="H245" s="2563"/>
    </row>
    <row r="246" spans="1:8" ht="24" thickTop="1">
      <c r="A246" s="654"/>
      <c r="B246" s="655"/>
      <c r="C246" s="654"/>
      <c r="D246" s="654"/>
      <c r="E246" s="654"/>
      <c r="F246" s="654"/>
      <c r="G246" s="654"/>
      <c r="H246" s="654"/>
    </row>
    <row r="247" spans="1:8">
      <c r="A247" s="654"/>
      <c r="B247" s="655"/>
      <c r="C247" s="654"/>
      <c r="D247" s="654"/>
      <c r="E247" s="654"/>
      <c r="F247" s="654"/>
      <c r="G247" s="654"/>
      <c r="H247" s="654"/>
    </row>
    <row r="263" spans="1:15">
      <c r="A263" s="2565" t="s">
        <v>263</v>
      </c>
      <c r="B263" s="2565"/>
      <c r="C263" s="2565"/>
      <c r="D263" s="2565"/>
      <c r="E263" s="2565"/>
      <c r="F263" s="2565"/>
      <c r="G263" s="2565"/>
      <c r="H263" s="2565"/>
    </row>
    <row r="264" spans="1:15">
      <c r="A264" s="2566" t="s">
        <v>295</v>
      </c>
      <c r="B264" s="2566"/>
      <c r="C264" s="2566"/>
      <c r="D264" s="2566"/>
      <c r="E264" s="2566"/>
      <c r="F264" s="2566"/>
      <c r="G264" s="2566"/>
      <c r="H264" s="2566"/>
    </row>
    <row r="265" spans="1:15">
      <c r="A265" s="623" t="s">
        <v>265</v>
      </c>
      <c r="B265" s="504"/>
      <c r="C265" s="504"/>
      <c r="D265" s="505"/>
      <c r="E265" s="504"/>
      <c r="F265" s="624"/>
      <c r="G265" s="625"/>
      <c r="H265" s="624"/>
    </row>
    <row r="266" spans="1:15">
      <c r="A266" s="626"/>
      <c r="B266" s="583"/>
      <c r="C266" s="583"/>
      <c r="D266" s="586"/>
      <c r="E266" s="583"/>
      <c r="F266" s="627"/>
      <c r="G266" s="628"/>
      <c r="H266" s="629" t="s">
        <v>65</v>
      </c>
    </row>
    <row r="267" spans="1:15">
      <c r="A267" s="630"/>
      <c r="B267" s="631"/>
      <c r="C267" s="632"/>
      <c r="D267" s="633"/>
      <c r="E267" s="633"/>
      <c r="F267" s="633"/>
      <c r="G267" s="633"/>
      <c r="H267" s="634"/>
    </row>
    <row r="268" spans="1:15">
      <c r="A268" s="2567" t="s">
        <v>8</v>
      </c>
      <c r="B268" s="2569" t="s">
        <v>266</v>
      </c>
      <c r="C268" s="2570"/>
      <c r="D268" s="2570"/>
      <c r="E268" s="2571"/>
      <c r="F268" s="2567" t="s">
        <v>10</v>
      </c>
      <c r="G268" s="2575" t="s">
        <v>15</v>
      </c>
      <c r="H268" s="2576"/>
      <c r="J268" s="561" t="s">
        <v>339</v>
      </c>
      <c r="K268" s="24" t="e">
        <f>'Sum-ศูนย์ประชุม'!J31+#REF!</f>
        <v>#REF!</v>
      </c>
      <c r="L268" s="561" t="s">
        <v>73</v>
      </c>
    </row>
    <row r="269" spans="1:15" ht="24" thickBot="1">
      <c r="A269" s="2568"/>
      <c r="B269" s="2572"/>
      <c r="C269" s="2573"/>
      <c r="D269" s="2573"/>
      <c r="E269" s="2574"/>
      <c r="F269" s="2568"/>
      <c r="G269" s="2577"/>
      <c r="H269" s="2578"/>
      <c r="J269" s="561" t="s">
        <v>317</v>
      </c>
      <c r="K269" s="561">
        <v>331</v>
      </c>
      <c r="L269" s="561" t="s">
        <v>73</v>
      </c>
    </row>
    <row r="270" spans="1:15" ht="24" thickTop="1">
      <c r="A270" s="635">
        <v>7</v>
      </c>
      <c r="B270" s="2579" t="s">
        <v>296</v>
      </c>
      <c r="C270" s="2580"/>
      <c r="D270" s="2580"/>
      <c r="E270" s="2581"/>
      <c r="F270" s="636" t="s">
        <v>358</v>
      </c>
      <c r="G270" s="2582"/>
      <c r="H270" s="2583"/>
      <c r="J270" s="561" t="s">
        <v>340</v>
      </c>
      <c r="K270" s="656" t="e">
        <f>K268/840</f>
        <v>#REF!</v>
      </c>
      <c r="L270" s="561" t="s">
        <v>73</v>
      </c>
    </row>
    <row r="271" spans="1:15">
      <c r="A271" s="637"/>
      <c r="B271" s="2623"/>
      <c r="C271" s="2601"/>
      <c r="D271" s="2601"/>
      <c r="E271" s="2602"/>
      <c r="F271" s="638"/>
      <c r="G271" s="2557"/>
      <c r="H271" s="2558"/>
      <c r="J271" s="561" t="s">
        <v>341</v>
      </c>
      <c r="K271" s="656" t="e">
        <f>ROUNDUP(K270/K269,0)</f>
        <v>#REF!</v>
      </c>
      <c r="L271" s="561" t="s">
        <v>342</v>
      </c>
      <c r="M271" s="656"/>
      <c r="N271" s="24"/>
      <c r="O271" s="656"/>
    </row>
    <row r="272" spans="1:15">
      <c r="A272" s="639"/>
      <c r="B272" s="2623"/>
      <c r="C272" s="2601"/>
      <c r="D272" s="2601"/>
      <c r="E272" s="2602"/>
      <c r="F272" s="640"/>
      <c r="G272" s="2557"/>
      <c r="H272" s="2558"/>
      <c r="K272" s="656" t="e">
        <f>K271*540</f>
        <v>#REF!</v>
      </c>
    </row>
    <row r="273" spans="1:11">
      <c r="A273" s="639"/>
      <c r="B273" s="2600"/>
      <c r="C273" s="2601"/>
      <c r="D273" s="2601"/>
      <c r="E273" s="2602"/>
      <c r="F273" s="640"/>
      <c r="G273" s="2557"/>
      <c r="H273" s="2558"/>
      <c r="K273" s="656" t="e">
        <f>K272*10</f>
        <v>#REF!</v>
      </c>
    </row>
    <row r="274" spans="1:11">
      <c r="A274" s="639"/>
      <c r="B274" s="2617"/>
      <c r="C274" s="2601"/>
      <c r="D274" s="2601"/>
      <c r="E274" s="2602"/>
      <c r="F274" s="640"/>
      <c r="G274" s="2557"/>
      <c r="H274" s="2558"/>
    </row>
    <row r="275" spans="1:11">
      <c r="A275" s="639"/>
      <c r="B275" s="2617"/>
      <c r="C275" s="2601"/>
      <c r="D275" s="2601"/>
      <c r="E275" s="2602"/>
      <c r="F275" s="640"/>
      <c r="G275" s="2557"/>
      <c r="H275" s="2558"/>
    </row>
    <row r="276" spans="1:11">
      <c r="A276" s="639"/>
      <c r="B276" s="2617"/>
      <c r="C276" s="2601"/>
      <c r="D276" s="2601"/>
      <c r="E276" s="2602"/>
      <c r="F276" s="640"/>
      <c r="G276" s="2557"/>
      <c r="H276" s="2558"/>
    </row>
    <row r="277" spans="1:11">
      <c r="A277" s="641"/>
      <c r="B277" s="2617"/>
      <c r="C277" s="2601"/>
      <c r="D277" s="2601"/>
      <c r="E277" s="2602"/>
      <c r="F277" s="640"/>
      <c r="G277" s="2557"/>
      <c r="H277" s="2558"/>
    </row>
    <row r="278" spans="1:11">
      <c r="A278" s="642"/>
      <c r="B278" s="2554"/>
      <c r="C278" s="2555"/>
      <c r="D278" s="2555"/>
      <c r="E278" s="2556"/>
      <c r="F278" s="643"/>
      <c r="G278" s="2557"/>
      <c r="H278" s="2558"/>
    </row>
    <row r="279" spans="1:11">
      <c r="A279" s="642"/>
      <c r="B279" s="2554"/>
      <c r="C279" s="2555"/>
      <c r="D279" s="2555"/>
      <c r="E279" s="2556"/>
      <c r="F279" s="643"/>
      <c r="G279" s="2557"/>
      <c r="H279" s="2558"/>
    </row>
    <row r="280" spans="1:11">
      <c r="A280" s="639"/>
      <c r="B280" s="2554"/>
      <c r="C280" s="2555"/>
      <c r="D280" s="2555"/>
      <c r="E280" s="2556"/>
      <c r="F280" s="636"/>
      <c r="G280" s="2557"/>
      <c r="H280" s="2558"/>
    </row>
    <row r="281" spans="1:11">
      <c r="A281" s="642"/>
      <c r="B281" s="2554"/>
      <c r="C281" s="2555"/>
      <c r="D281" s="2555"/>
      <c r="E281" s="2556"/>
      <c r="F281" s="643"/>
      <c r="G281" s="2557"/>
      <c r="H281" s="2558"/>
    </row>
    <row r="282" spans="1:11">
      <c r="A282" s="642"/>
      <c r="B282" s="2554"/>
      <c r="C282" s="2555"/>
      <c r="D282" s="2555"/>
      <c r="E282" s="2556"/>
      <c r="F282" s="638"/>
      <c r="G282" s="2557"/>
      <c r="H282" s="2558"/>
    </row>
    <row r="283" spans="1:11" ht="24" thickBot="1">
      <c r="A283" s="644"/>
      <c r="B283" s="2559"/>
      <c r="C283" s="2560"/>
      <c r="D283" s="2560"/>
      <c r="E283" s="2561"/>
      <c r="F283" s="645"/>
      <c r="G283" s="2562"/>
      <c r="H283" s="2563"/>
    </row>
    <row r="284" spans="1:11" ht="24.3" thickTop="1" thickBot="1">
      <c r="A284" s="646"/>
      <c r="B284" s="647"/>
      <c r="C284" s="647"/>
      <c r="D284" s="647"/>
      <c r="E284" s="648" t="s">
        <v>272</v>
      </c>
      <c r="F284" s="649"/>
      <c r="G284" s="2562"/>
      <c r="H284" s="2563"/>
    </row>
    <row r="285" spans="1:11" ht="24.3" thickTop="1" thickBot="1">
      <c r="A285" s="650"/>
      <c r="B285" s="651"/>
      <c r="C285" s="652"/>
      <c r="D285" s="653"/>
      <c r="E285" s="648" t="s">
        <v>273</v>
      </c>
      <c r="F285" s="649"/>
      <c r="G285" s="2562"/>
      <c r="H285" s="2563"/>
    </row>
    <row r="286" spans="1:11" ht="24.3" thickTop="1" thickBot="1">
      <c r="A286" s="650"/>
      <c r="B286" s="651"/>
      <c r="C286" s="652"/>
      <c r="D286" s="653"/>
      <c r="E286" s="648" t="s">
        <v>274</v>
      </c>
      <c r="F286" s="649">
        <v>5000000</v>
      </c>
      <c r="G286" s="2562"/>
      <c r="H286" s="2563"/>
    </row>
    <row r="287" spans="1:11" ht="24" thickTop="1">
      <c r="A287" s="654"/>
      <c r="B287" s="655"/>
      <c r="C287" s="654"/>
      <c r="D287" s="654"/>
      <c r="E287" s="654"/>
      <c r="F287" s="654"/>
      <c r="G287" s="654"/>
      <c r="H287" s="654"/>
    </row>
    <row r="288" spans="1:11">
      <c r="A288" s="654"/>
      <c r="B288" s="655"/>
      <c r="C288" s="654"/>
      <c r="D288" s="654"/>
      <c r="E288" s="654"/>
      <c r="F288" s="654"/>
      <c r="G288" s="654"/>
      <c r="H288" s="654"/>
    </row>
    <row r="304" spans="1:8">
      <c r="A304" s="2565" t="s">
        <v>263</v>
      </c>
      <c r="B304" s="2565"/>
      <c r="C304" s="2565"/>
      <c r="D304" s="2565"/>
      <c r="E304" s="2565"/>
      <c r="F304" s="2565"/>
      <c r="G304" s="2565"/>
      <c r="H304" s="2565"/>
    </row>
    <row r="305" spans="1:8">
      <c r="A305" s="2566" t="s">
        <v>297</v>
      </c>
      <c r="B305" s="2566"/>
      <c r="C305" s="2566"/>
      <c r="D305" s="2566"/>
      <c r="E305" s="2566"/>
      <c r="F305" s="2566"/>
      <c r="G305" s="2566"/>
      <c r="H305" s="2566"/>
    </row>
    <row r="306" spans="1:8">
      <c r="A306" s="623" t="s">
        <v>265</v>
      </c>
      <c r="B306" s="504"/>
      <c r="C306" s="504"/>
      <c r="D306" s="505"/>
      <c r="E306" s="504"/>
      <c r="F306" s="624"/>
      <c r="G306" s="625"/>
      <c r="H306" s="624"/>
    </row>
    <row r="307" spans="1:8">
      <c r="A307" s="626"/>
      <c r="B307" s="583"/>
      <c r="C307" s="583"/>
      <c r="D307" s="586"/>
      <c r="E307" s="583"/>
      <c r="F307" s="627"/>
      <c r="G307" s="628"/>
      <c r="H307" s="629" t="s">
        <v>65</v>
      </c>
    </row>
    <row r="308" spans="1:8">
      <c r="A308" s="630"/>
      <c r="B308" s="631"/>
      <c r="C308" s="632"/>
      <c r="D308" s="633"/>
      <c r="E308" s="633"/>
      <c r="F308" s="633"/>
      <c r="G308" s="633"/>
      <c r="H308" s="634"/>
    </row>
    <row r="309" spans="1:8">
      <c r="A309" s="2567" t="s">
        <v>8</v>
      </c>
      <c r="B309" s="2569" t="s">
        <v>266</v>
      </c>
      <c r="C309" s="2570"/>
      <c r="D309" s="2570"/>
      <c r="E309" s="2571"/>
      <c r="F309" s="2567" t="s">
        <v>10</v>
      </c>
      <c r="G309" s="2575" t="s">
        <v>15</v>
      </c>
      <c r="H309" s="2576"/>
    </row>
    <row r="310" spans="1:8" ht="24" thickBot="1">
      <c r="A310" s="2568"/>
      <c r="B310" s="2572"/>
      <c r="C310" s="2573"/>
      <c r="D310" s="2573"/>
      <c r="E310" s="2574"/>
      <c r="F310" s="2568"/>
      <c r="G310" s="2577"/>
      <c r="H310" s="2578"/>
    </row>
    <row r="311" spans="1:8" ht="24" thickTop="1">
      <c r="A311" s="635">
        <v>8</v>
      </c>
      <c r="B311" s="2579" t="s">
        <v>258</v>
      </c>
      <c r="C311" s="2580"/>
      <c r="D311" s="2580"/>
      <c r="E311" s="2581"/>
      <c r="F311" s="636" t="s">
        <v>358</v>
      </c>
      <c r="G311" s="2582"/>
      <c r="H311" s="2583"/>
    </row>
    <row r="312" spans="1:8">
      <c r="A312" s="637"/>
      <c r="B312" s="2623"/>
      <c r="C312" s="2601"/>
      <c r="D312" s="2601"/>
      <c r="E312" s="2602"/>
      <c r="F312" s="638"/>
      <c r="G312" s="2557"/>
      <c r="H312" s="2558"/>
    </row>
    <row r="313" spans="1:8">
      <c r="A313" s="639"/>
      <c r="B313" s="2623"/>
      <c r="C313" s="2601"/>
      <c r="D313" s="2601"/>
      <c r="E313" s="2602"/>
      <c r="F313" s="640"/>
      <c r="G313" s="2557"/>
      <c r="H313" s="2558"/>
    </row>
    <row r="314" spans="1:8">
      <c r="A314" s="639"/>
      <c r="B314" s="2600"/>
      <c r="C314" s="2601"/>
      <c r="D314" s="2601"/>
      <c r="E314" s="2602"/>
      <c r="F314" s="640"/>
      <c r="G314" s="2557"/>
      <c r="H314" s="2558"/>
    </row>
    <row r="315" spans="1:8">
      <c r="A315" s="639"/>
      <c r="B315" s="2617"/>
      <c r="C315" s="2601"/>
      <c r="D315" s="2601"/>
      <c r="E315" s="2602"/>
      <c r="F315" s="640"/>
      <c r="G315" s="2557"/>
      <c r="H315" s="2558"/>
    </row>
    <row r="316" spans="1:8">
      <c r="A316" s="639"/>
      <c r="B316" s="2617"/>
      <c r="C316" s="2601"/>
      <c r="D316" s="2601"/>
      <c r="E316" s="2602"/>
      <c r="F316" s="640"/>
      <c r="G316" s="2557"/>
      <c r="H316" s="2558"/>
    </row>
    <row r="317" spans="1:8">
      <c r="A317" s="639"/>
      <c r="B317" s="2617"/>
      <c r="C317" s="2601"/>
      <c r="D317" s="2601"/>
      <c r="E317" s="2602"/>
      <c r="F317" s="640"/>
      <c r="G317" s="2557"/>
      <c r="H317" s="2558"/>
    </row>
    <row r="318" spans="1:8">
      <c r="A318" s="641"/>
      <c r="B318" s="2617"/>
      <c r="C318" s="2601"/>
      <c r="D318" s="2601"/>
      <c r="E318" s="2602"/>
      <c r="F318" s="640"/>
      <c r="G318" s="2557"/>
      <c r="H318" s="2558"/>
    </row>
    <row r="319" spans="1:8">
      <c r="A319" s="642"/>
      <c r="B319" s="2554"/>
      <c r="C319" s="2555"/>
      <c r="D319" s="2555"/>
      <c r="E319" s="2556"/>
      <c r="F319" s="643"/>
      <c r="G319" s="2557"/>
      <c r="H319" s="2558"/>
    </row>
    <row r="320" spans="1:8">
      <c r="A320" s="642"/>
      <c r="B320" s="2554"/>
      <c r="C320" s="2555"/>
      <c r="D320" s="2555"/>
      <c r="E320" s="2556"/>
      <c r="F320" s="643"/>
      <c r="G320" s="2557"/>
      <c r="H320" s="2558"/>
    </row>
    <row r="321" spans="1:8">
      <c r="A321" s="639"/>
      <c r="B321" s="2554"/>
      <c r="C321" s="2555"/>
      <c r="D321" s="2555"/>
      <c r="E321" s="2556"/>
      <c r="F321" s="636"/>
      <c r="G321" s="2557"/>
      <c r="H321" s="2558"/>
    </row>
    <row r="322" spans="1:8">
      <c r="A322" s="642"/>
      <c r="B322" s="2554"/>
      <c r="C322" s="2555"/>
      <c r="D322" s="2555"/>
      <c r="E322" s="2556"/>
      <c r="F322" s="643"/>
      <c r="G322" s="2557"/>
      <c r="H322" s="2558"/>
    </row>
    <row r="323" spans="1:8">
      <c r="A323" s="642"/>
      <c r="B323" s="2554"/>
      <c r="C323" s="2555"/>
      <c r="D323" s="2555"/>
      <c r="E323" s="2556"/>
      <c r="F323" s="638"/>
      <c r="G323" s="2557"/>
      <c r="H323" s="2558"/>
    </row>
    <row r="324" spans="1:8" ht="24" thickBot="1">
      <c r="A324" s="644"/>
      <c r="B324" s="2559"/>
      <c r="C324" s="2560"/>
      <c r="D324" s="2560"/>
      <c r="E324" s="2561"/>
      <c r="F324" s="645"/>
      <c r="G324" s="2562"/>
      <c r="H324" s="2563"/>
    </row>
    <row r="325" spans="1:8" ht="24.3" thickTop="1" thickBot="1">
      <c r="A325" s="646"/>
      <c r="B325" s="647"/>
      <c r="C325" s="647"/>
      <c r="D325" s="647"/>
      <c r="E325" s="648" t="s">
        <v>272</v>
      </c>
      <c r="F325" s="649"/>
      <c r="G325" s="2562"/>
      <c r="H325" s="2563"/>
    </row>
    <row r="326" spans="1:8" ht="24.3" thickTop="1" thickBot="1">
      <c r="A326" s="650"/>
      <c r="B326" s="651"/>
      <c r="C326" s="652"/>
      <c r="D326" s="653"/>
      <c r="E326" s="648" t="s">
        <v>273</v>
      </c>
      <c r="F326" s="649"/>
      <c r="G326" s="2562"/>
      <c r="H326" s="2563"/>
    </row>
    <row r="327" spans="1:8" ht="24.3" thickTop="1" thickBot="1">
      <c r="A327" s="650"/>
      <c r="B327" s="651"/>
      <c r="C327" s="652"/>
      <c r="D327" s="653"/>
      <c r="E327" s="648" t="s">
        <v>274</v>
      </c>
      <c r="F327" s="649">
        <v>2500000</v>
      </c>
      <c r="G327" s="2562"/>
      <c r="H327" s="2563"/>
    </row>
    <row r="328" spans="1:8" ht="24" thickTop="1">
      <c r="A328" s="654"/>
      <c r="B328" s="655"/>
      <c r="C328" s="654"/>
      <c r="D328" s="654"/>
      <c r="E328" s="654"/>
      <c r="F328" s="654"/>
      <c r="G328" s="654"/>
      <c r="H328" s="654"/>
    </row>
    <row r="329" spans="1:8">
      <c r="A329" s="654"/>
      <c r="B329" s="655"/>
      <c r="C329" s="654"/>
      <c r="D329" s="654"/>
      <c r="E329" s="654"/>
      <c r="F329" s="654"/>
      <c r="G329" s="654"/>
      <c r="H329" s="654"/>
    </row>
    <row r="330" spans="1:8">
      <c r="A330" s="654"/>
      <c r="B330" s="655"/>
      <c r="C330" s="654"/>
      <c r="D330" s="654"/>
      <c r="E330" s="654"/>
      <c r="F330" s="654"/>
      <c r="G330" s="654"/>
      <c r="H330" s="654"/>
    </row>
    <row r="331" spans="1:8">
      <c r="A331" s="654"/>
      <c r="B331" s="655"/>
      <c r="C331" s="654"/>
      <c r="D331" s="654"/>
      <c r="E331" s="654"/>
      <c r="F331" s="654"/>
      <c r="G331" s="654"/>
      <c r="H331" s="654"/>
    </row>
    <row r="332" spans="1:8">
      <c r="A332" s="654"/>
      <c r="B332" s="655"/>
      <c r="C332" s="654"/>
      <c r="D332" s="654"/>
      <c r="E332" s="654"/>
      <c r="F332" s="654"/>
      <c r="G332" s="654"/>
      <c r="H332" s="654"/>
    </row>
    <row r="333" spans="1:8">
      <c r="A333" s="654"/>
      <c r="B333" s="655"/>
      <c r="C333" s="654"/>
      <c r="D333" s="654"/>
      <c r="E333" s="654"/>
      <c r="F333" s="654"/>
      <c r="G333" s="654"/>
      <c r="H333" s="654"/>
    </row>
    <row r="334" spans="1:8">
      <c r="A334" s="654"/>
      <c r="B334" s="655"/>
      <c r="C334" s="654"/>
      <c r="D334" s="654"/>
      <c r="E334" s="654"/>
      <c r="F334" s="654"/>
      <c r="G334" s="654"/>
      <c r="H334" s="654"/>
    </row>
    <row r="335" spans="1:8">
      <c r="A335" s="654"/>
      <c r="B335" s="655"/>
      <c r="C335" s="654"/>
      <c r="D335" s="654"/>
      <c r="E335" s="654"/>
      <c r="F335" s="654"/>
      <c r="G335" s="654"/>
      <c r="H335" s="654"/>
    </row>
    <row r="336" spans="1:8">
      <c r="A336" s="654"/>
      <c r="B336" s="655"/>
      <c r="C336" s="654"/>
      <c r="D336" s="654"/>
      <c r="E336" s="654"/>
      <c r="F336" s="654"/>
      <c r="G336" s="654"/>
      <c r="H336" s="654"/>
    </row>
    <row r="337" spans="1:10">
      <c r="A337" s="654"/>
      <c r="B337" s="655"/>
      <c r="C337" s="654"/>
      <c r="D337" s="654"/>
      <c r="E337" s="654"/>
      <c r="F337" s="654"/>
      <c r="G337" s="654"/>
      <c r="H337" s="654"/>
    </row>
    <row r="338" spans="1:10">
      <c r="A338" s="654"/>
      <c r="B338" s="655"/>
      <c r="C338" s="654"/>
      <c r="D338" s="654"/>
      <c r="E338" s="654"/>
      <c r="F338" s="654"/>
      <c r="G338" s="654"/>
      <c r="H338" s="654"/>
    </row>
    <row r="339" spans="1:10">
      <c r="A339" s="654"/>
      <c r="B339" s="655"/>
      <c r="C339" s="654"/>
      <c r="D339" s="654"/>
      <c r="E339" s="654"/>
      <c r="F339" s="654"/>
      <c r="G339" s="654"/>
      <c r="H339" s="654"/>
    </row>
    <row r="340" spans="1:10">
      <c r="A340" s="654"/>
      <c r="B340" s="655"/>
      <c r="C340" s="654"/>
      <c r="D340" s="654"/>
      <c r="E340" s="654"/>
      <c r="F340" s="654"/>
      <c r="G340" s="654"/>
      <c r="H340" s="654"/>
    </row>
    <row r="341" spans="1:10">
      <c r="A341" s="654"/>
      <c r="B341" s="655"/>
      <c r="C341" s="654"/>
      <c r="D341" s="654"/>
      <c r="E341" s="654"/>
      <c r="F341" s="654"/>
      <c r="G341" s="654"/>
      <c r="H341" s="654"/>
    </row>
    <row r="342" spans="1:10">
      <c r="A342" s="654"/>
      <c r="B342" s="655"/>
      <c r="C342" s="654"/>
      <c r="D342" s="654"/>
      <c r="E342" s="654"/>
      <c r="F342" s="654"/>
      <c r="G342" s="654"/>
      <c r="H342" s="654"/>
    </row>
    <row r="343" spans="1:10">
      <c r="A343" s="654"/>
      <c r="B343" s="655"/>
      <c r="C343" s="654"/>
      <c r="D343" s="654"/>
      <c r="E343" s="654"/>
      <c r="F343" s="654"/>
      <c r="G343" s="654"/>
      <c r="H343" s="654"/>
    </row>
    <row r="345" spans="1:10">
      <c r="A345" s="2565" t="s">
        <v>263</v>
      </c>
      <c r="B345" s="2565"/>
      <c r="C345" s="2565"/>
      <c r="D345" s="2565"/>
      <c r="E345" s="2565"/>
      <c r="F345" s="2565"/>
      <c r="G345" s="2565"/>
      <c r="H345" s="2565"/>
    </row>
    <row r="346" spans="1:10">
      <c r="A346" s="2566" t="s">
        <v>306</v>
      </c>
      <c r="B346" s="2566"/>
      <c r="C346" s="2566"/>
      <c r="D346" s="2566"/>
      <c r="E346" s="2566"/>
      <c r="F346" s="2566"/>
      <c r="G346" s="2566"/>
      <c r="H346" s="2566"/>
    </row>
    <row r="347" spans="1:10">
      <c r="A347" s="623" t="s">
        <v>265</v>
      </c>
      <c r="B347" s="504"/>
      <c r="C347" s="504"/>
      <c r="D347" s="505"/>
      <c r="E347" s="504"/>
      <c r="F347" s="624"/>
      <c r="G347" s="625"/>
      <c r="H347" s="624"/>
    </row>
    <row r="348" spans="1:10">
      <c r="A348" s="626"/>
      <c r="B348" s="583"/>
      <c r="C348" s="583"/>
      <c r="D348" s="586"/>
      <c r="E348" s="583"/>
      <c r="F348" s="627"/>
      <c r="G348" s="628"/>
      <c r="H348" s="629" t="s">
        <v>65</v>
      </c>
    </row>
    <row r="349" spans="1:10">
      <c r="A349" s="630"/>
      <c r="B349" s="631"/>
      <c r="C349" s="632"/>
      <c r="D349" s="633"/>
      <c r="E349" s="633"/>
      <c r="F349" s="633"/>
      <c r="G349" s="633"/>
      <c r="H349" s="634"/>
    </row>
    <row r="350" spans="1:10">
      <c r="A350" s="2567" t="s">
        <v>8</v>
      </c>
      <c r="B350" s="2569" t="s">
        <v>266</v>
      </c>
      <c r="C350" s="2570"/>
      <c r="D350" s="2570"/>
      <c r="E350" s="2571"/>
      <c r="F350" s="2567" t="s">
        <v>10</v>
      </c>
      <c r="G350" s="2575" t="s">
        <v>15</v>
      </c>
      <c r="H350" s="2576"/>
    </row>
    <row r="351" spans="1:10" ht="24" thickBot="1">
      <c r="A351" s="2568"/>
      <c r="B351" s="2572"/>
      <c r="C351" s="2573"/>
      <c r="D351" s="2573"/>
      <c r="E351" s="2574"/>
      <c r="F351" s="2568"/>
      <c r="G351" s="2577"/>
      <c r="H351" s="2578"/>
    </row>
    <row r="352" spans="1:10" ht="24" thickTop="1">
      <c r="A352" s="635">
        <v>9</v>
      </c>
      <c r="B352" s="2579" t="s">
        <v>937</v>
      </c>
      <c r="C352" s="2580"/>
      <c r="D352" s="2580"/>
      <c r="E352" s="2581"/>
      <c r="F352" s="640">
        <f>J353</f>
        <v>26000000</v>
      </c>
      <c r="G352" s="2582"/>
      <c r="H352" s="2583"/>
      <c r="J352" s="561">
        <v>10</v>
      </c>
    </row>
    <row r="353" spans="1:10">
      <c r="A353" s="637"/>
      <c r="B353" s="2564" t="s">
        <v>883</v>
      </c>
      <c r="C353" s="2555"/>
      <c r="D353" s="2555"/>
      <c r="E353" s="2556"/>
      <c r="F353" s="638"/>
      <c r="G353" s="2557"/>
      <c r="H353" s="2558"/>
      <c r="J353" s="24">
        <f>650000*4*J352</f>
        <v>26000000</v>
      </c>
    </row>
    <row r="354" spans="1:10">
      <c r="A354" s="639"/>
      <c r="B354" s="2564" t="str">
        <f>"   ค่าเช่า 650,000 บาท/คัน/เดือน เป็นเงิน 650,000 x "&amp;J352&amp;" x 4 = "&amp;J353&amp;" บาท"</f>
        <v xml:space="preserve">   ค่าเช่า 650,000 บาท/คัน/เดือน เป็นเงิน 650,000 x 10 x 4 = 26000000 บาท</v>
      </c>
      <c r="C354" s="2555"/>
      <c r="D354" s="2555"/>
      <c r="E354" s="2556"/>
      <c r="F354" s="640"/>
      <c r="G354" s="2557"/>
      <c r="H354" s="2558"/>
      <c r="J354" s="561" t="s">
        <v>307</v>
      </c>
    </row>
    <row r="355" spans="1:10">
      <c r="A355" s="639"/>
      <c r="B355" s="2554"/>
      <c r="C355" s="2555"/>
      <c r="D355" s="2555"/>
      <c r="E355" s="2556"/>
      <c r="F355" s="640"/>
      <c r="G355" s="2557"/>
      <c r="H355" s="2558"/>
    </row>
    <row r="356" spans="1:10">
      <c r="A356" s="639"/>
      <c r="B356" s="2554"/>
      <c r="C356" s="2555"/>
      <c r="D356" s="2555"/>
      <c r="E356" s="2556"/>
      <c r="F356" s="640"/>
      <c r="G356" s="2557"/>
      <c r="H356" s="2558"/>
    </row>
    <row r="357" spans="1:10">
      <c r="A357" s="639"/>
      <c r="B357" s="2554"/>
      <c r="C357" s="2555"/>
      <c r="D357" s="2555"/>
      <c r="E357" s="2556"/>
      <c r="F357" s="640"/>
      <c r="G357" s="2557"/>
      <c r="H357" s="2558"/>
    </row>
    <row r="358" spans="1:10">
      <c r="A358" s="639"/>
      <c r="B358" s="2554"/>
      <c r="C358" s="2555"/>
      <c r="D358" s="2555"/>
      <c r="E358" s="2556"/>
      <c r="F358" s="640"/>
      <c r="G358" s="2557"/>
      <c r="H358" s="2558"/>
    </row>
    <row r="359" spans="1:10">
      <c r="A359" s="641"/>
      <c r="B359" s="2554"/>
      <c r="C359" s="2555"/>
      <c r="D359" s="2555"/>
      <c r="E359" s="2556"/>
      <c r="F359" s="640"/>
      <c r="G359" s="2557"/>
      <c r="H359" s="2558"/>
    </row>
    <row r="360" spans="1:10">
      <c r="A360" s="642"/>
      <c r="B360" s="2554"/>
      <c r="C360" s="2555"/>
      <c r="D360" s="2555"/>
      <c r="E360" s="2556"/>
      <c r="F360" s="643"/>
      <c r="G360" s="2557"/>
      <c r="H360" s="2558"/>
    </row>
    <row r="361" spans="1:10">
      <c r="A361" s="642"/>
      <c r="B361" s="2554"/>
      <c r="C361" s="2555"/>
      <c r="D361" s="2555"/>
      <c r="E361" s="2556"/>
      <c r="F361" s="643"/>
      <c r="G361" s="2557"/>
      <c r="H361" s="2558"/>
    </row>
    <row r="362" spans="1:10">
      <c r="A362" s="639"/>
      <c r="B362" s="2554"/>
      <c r="C362" s="2555"/>
      <c r="D362" s="2555"/>
      <c r="E362" s="2556"/>
      <c r="F362" s="636"/>
      <c r="G362" s="2557"/>
      <c r="H362" s="2558"/>
    </row>
    <row r="363" spans="1:10">
      <c r="A363" s="642"/>
      <c r="B363" s="2554"/>
      <c r="C363" s="2555"/>
      <c r="D363" s="2555"/>
      <c r="E363" s="2556"/>
      <c r="F363" s="643"/>
      <c r="G363" s="2557"/>
      <c r="H363" s="2558"/>
    </row>
    <row r="364" spans="1:10">
      <c r="A364" s="642"/>
      <c r="B364" s="2554"/>
      <c r="C364" s="2555"/>
      <c r="D364" s="2555"/>
      <c r="E364" s="2556"/>
      <c r="F364" s="638"/>
      <c r="G364" s="2557"/>
      <c r="H364" s="2558"/>
    </row>
    <row r="365" spans="1:10" ht="24" thickBot="1">
      <c r="A365" s="644"/>
      <c r="B365" s="2559"/>
      <c r="C365" s="2560"/>
      <c r="D365" s="2560"/>
      <c r="E365" s="2561"/>
      <c r="F365" s="645"/>
      <c r="G365" s="2562"/>
      <c r="H365" s="2563"/>
    </row>
    <row r="366" spans="1:10" ht="24.3" thickTop="1" thickBot="1">
      <c r="A366" s="646"/>
      <c r="B366" s="647"/>
      <c r="C366" s="647"/>
      <c r="D366" s="647"/>
      <c r="E366" s="648" t="s">
        <v>272</v>
      </c>
      <c r="F366" s="649">
        <f>SUM(F352:F365)</f>
        <v>26000000</v>
      </c>
      <c r="G366" s="2562"/>
      <c r="H366" s="2563"/>
    </row>
    <row r="367" spans="1:10" ht="24.3" thickTop="1" thickBot="1">
      <c r="A367" s="650"/>
      <c r="B367" s="651"/>
      <c r="C367" s="652"/>
      <c r="D367" s="653"/>
      <c r="E367" s="648" t="s">
        <v>273</v>
      </c>
      <c r="F367" s="649">
        <f>F366*7%</f>
        <v>1820000.0000000002</v>
      </c>
      <c r="G367" s="2562"/>
      <c r="H367" s="2563"/>
    </row>
    <row r="368" spans="1:10" ht="24.3" thickTop="1" thickBot="1">
      <c r="A368" s="650"/>
      <c r="B368" s="651"/>
      <c r="C368" s="652"/>
      <c r="D368" s="653"/>
      <c r="E368" s="648" t="s">
        <v>274</v>
      </c>
      <c r="F368" s="649">
        <f>F366+F367</f>
        <v>27820000</v>
      </c>
      <c r="G368" s="2562"/>
      <c r="H368" s="2563"/>
    </row>
    <row r="369" spans="1:8" ht="24" thickTop="1">
      <c r="A369" s="650"/>
      <c r="B369" s="651"/>
      <c r="C369" s="652"/>
      <c r="D369" s="653"/>
      <c r="E369" s="648"/>
      <c r="F369" s="657"/>
      <c r="G369" s="658"/>
      <c r="H369" s="658"/>
    </row>
    <row r="370" spans="1:8">
      <c r="A370" s="650"/>
      <c r="B370" s="651"/>
      <c r="C370" s="652"/>
      <c r="D370" s="653"/>
      <c r="E370" s="648"/>
      <c r="F370" s="657"/>
      <c r="G370" s="658"/>
      <c r="H370" s="658"/>
    </row>
    <row r="371" spans="1:8">
      <c r="A371" s="650"/>
      <c r="B371" s="651"/>
      <c r="C371" s="652"/>
      <c r="D371" s="653"/>
      <c r="E371" s="648"/>
      <c r="F371" s="657"/>
      <c r="G371" s="658"/>
      <c r="H371" s="658"/>
    </row>
    <row r="372" spans="1:8">
      <c r="A372" s="650"/>
      <c r="B372" s="651"/>
      <c r="C372" s="652"/>
      <c r="D372" s="653"/>
      <c r="E372" s="648"/>
      <c r="F372" s="657"/>
      <c r="G372" s="658"/>
      <c r="H372" s="658"/>
    </row>
    <row r="373" spans="1:8">
      <c r="A373" s="650"/>
      <c r="B373" s="651"/>
      <c r="C373" s="652"/>
      <c r="D373" s="653"/>
      <c r="E373" s="648"/>
      <c r="F373" s="657"/>
      <c r="G373" s="658"/>
      <c r="H373" s="658"/>
    </row>
    <row r="374" spans="1:8">
      <c r="A374" s="650"/>
      <c r="B374" s="651"/>
      <c r="C374" s="652"/>
      <c r="D374" s="653"/>
      <c r="E374" s="648"/>
      <c r="F374" s="657"/>
      <c r="G374" s="658"/>
      <c r="H374" s="658"/>
    </row>
    <row r="375" spans="1:8">
      <c r="A375" s="650"/>
      <c r="B375" s="651"/>
      <c r="C375" s="652"/>
      <c r="D375" s="653"/>
      <c r="E375" s="648"/>
      <c r="F375" s="657"/>
      <c r="G375" s="658"/>
      <c r="H375" s="658"/>
    </row>
    <row r="376" spans="1:8">
      <c r="A376" s="650"/>
      <c r="B376" s="651"/>
      <c r="C376" s="652"/>
      <c r="D376" s="653"/>
      <c r="E376" s="648"/>
      <c r="F376" s="657"/>
      <c r="G376" s="658"/>
      <c r="H376" s="658"/>
    </row>
    <row r="377" spans="1:8">
      <c r="A377" s="650"/>
      <c r="B377" s="651"/>
      <c r="C377" s="652"/>
      <c r="D377" s="653"/>
      <c r="E377" s="648"/>
      <c r="F377" s="657"/>
      <c r="G377" s="658"/>
      <c r="H377" s="658"/>
    </row>
    <row r="378" spans="1:8">
      <c r="A378" s="650"/>
      <c r="B378" s="651"/>
      <c r="C378" s="652"/>
      <c r="D378" s="653"/>
      <c r="E378" s="648"/>
      <c r="F378" s="657"/>
      <c r="G378" s="658"/>
      <c r="H378" s="658"/>
    </row>
    <row r="379" spans="1:8">
      <c r="A379" s="650"/>
      <c r="B379" s="651"/>
      <c r="C379" s="652"/>
      <c r="D379" s="653"/>
      <c r="E379" s="648"/>
      <c r="F379" s="657"/>
      <c r="G379" s="658"/>
      <c r="H379" s="658"/>
    </row>
    <row r="380" spans="1:8">
      <c r="A380" s="650"/>
      <c r="B380" s="651"/>
      <c r="C380" s="652"/>
      <c r="D380" s="653"/>
      <c r="E380" s="648"/>
      <c r="F380" s="657"/>
      <c r="G380" s="658"/>
      <c r="H380" s="658"/>
    </row>
    <row r="381" spans="1:8">
      <c r="A381" s="650"/>
      <c r="B381" s="651"/>
      <c r="C381" s="652"/>
      <c r="D381" s="653"/>
      <c r="E381" s="648"/>
      <c r="F381" s="657"/>
      <c r="G381" s="658"/>
      <c r="H381" s="658"/>
    </row>
    <row r="382" spans="1:8">
      <c r="A382" s="650"/>
      <c r="B382" s="651"/>
      <c r="C382" s="652"/>
      <c r="D382" s="653"/>
      <c r="E382" s="648"/>
      <c r="F382" s="657"/>
      <c r="G382" s="658"/>
      <c r="H382" s="658"/>
    </row>
    <row r="383" spans="1:8">
      <c r="A383" s="650"/>
      <c r="B383" s="651"/>
      <c r="C383" s="652"/>
      <c r="D383" s="653"/>
      <c r="E383" s="648"/>
      <c r="F383" s="657"/>
      <c r="G383" s="658"/>
      <c r="H383" s="658"/>
    </row>
    <row r="384" spans="1:8">
      <c r="A384" s="650"/>
      <c r="B384" s="651"/>
      <c r="C384" s="652"/>
      <c r="D384" s="653"/>
      <c r="E384" s="648"/>
      <c r="F384" s="657"/>
      <c r="G384" s="658"/>
      <c r="H384" s="658"/>
    </row>
    <row r="385" spans="1:8">
      <c r="A385" s="650"/>
      <c r="B385" s="651"/>
      <c r="C385" s="652"/>
      <c r="D385" s="653"/>
      <c r="E385" s="648"/>
      <c r="F385" s="657"/>
      <c r="G385" s="658"/>
      <c r="H385" s="658"/>
    </row>
    <row r="386" spans="1:8">
      <c r="A386" s="2565" t="s">
        <v>263</v>
      </c>
      <c r="B386" s="2565"/>
      <c r="C386" s="2565"/>
      <c r="D386" s="2565"/>
      <c r="E386" s="2565"/>
      <c r="F386" s="2565"/>
      <c r="G386" s="2565"/>
      <c r="H386" s="2565"/>
    </row>
    <row r="387" spans="1:8">
      <c r="A387" s="2566" t="s">
        <v>2772</v>
      </c>
      <c r="B387" s="2566"/>
      <c r="C387" s="2566"/>
      <c r="D387" s="2566"/>
      <c r="E387" s="2566"/>
      <c r="F387" s="2566"/>
      <c r="G387" s="2566"/>
      <c r="H387" s="2566"/>
    </row>
    <row r="388" spans="1:8">
      <c r="A388" s="680" t="s">
        <v>265</v>
      </c>
      <c r="B388" s="504"/>
      <c r="C388" s="504"/>
      <c r="D388" s="505"/>
      <c r="E388" s="504"/>
      <c r="F388" s="624"/>
      <c r="G388" s="625"/>
      <c r="H388" s="624"/>
    </row>
    <row r="389" spans="1:8">
      <c r="A389" s="626"/>
      <c r="B389" s="583"/>
      <c r="C389" s="583"/>
      <c r="D389" s="586"/>
      <c r="E389" s="583"/>
      <c r="F389" s="627"/>
      <c r="G389" s="628"/>
      <c r="H389" s="629" t="s">
        <v>65</v>
      </c>
    </row>
    <row r="390" spans="1:8">
      <c r="A390" s="630"/>
      <c r="B390" s="631"/>
      <c r="C390" s="632"/>
      <c r="D390" s="633"/>
      <c r="E390" s="633"/>
      <c r="F390" s="633"/>
      <c r="G390" s="633"/>
      <c r="H390" s="634"/>
    </row>
    <row r="391" spans="1:8">
      <c r="A391" s="2567" t="s">
        <v>8</v>
      </c>
      <c r="B391" s="2569" t="s">
        <v>266</v>
      </c>
      <c r="C391" s="2570"/>
      <c r="D391" s="2570"/>
      <c r="E391" s="2571"/>
      <c r="F391" s="2567" t="s">
        <v>10</v>
      </c>
      <c r="G391" s="2575" t="s">
        <v>15</v>
      </c>
      <c r="H391" s="2576"/>
    </row>
    <row r="392" spans="1:8" ht="24" thickBot="1">
      <c r="A392" s="2568"/>
      <c r="B392" s="2572"/>
      <c r="C392" s="2573"/>
      <c r="D392" s="2573"/>
      <c r="E392" s="2574"/>
      <c r="F392" s="2568"/>
      <c r="G392" s="2577"/>
      <c r="H392" s="2578"/>
    </row>
    <row r="393" spans="1:8" ht="24" thickTop="1">
      <c r="A393" s="635">
        <v>10</v>
      </c>
      <c r="B393" s="2579" t="s">
        <v>2681</v>
      </c>
      <c r="C393" s="2580"/>
      <c r="D393" s="2580"/>
      <c r="E393" s="2581"/>
      <c r="F393" s="640">
        <v>80000</v>
      </c>
      <c r="G393" s="2582"/>
      <c r="H393" s="2583"/>
    </row>
    <row r="394" spans="1:8">
      <c r="A394" s="637"/>
      <c r="B394" s="2564"/>
      <c r="C394" s="2555"/>
      <c r="D394" s="2555"/>
      <c r="E394" s="2556"/>
      <c r="F394" s="638"/>
      <c r="G394" s="2557"/>
      <c r="H394" s="2558"/>
    </row>
    <row r="395" spans="1:8">
      <c r="A395" s="639"/>
      <c r="B395" s="2564"/>
      <c r="C395" s="2555"/>
      <c r="D395" s="2555"/>
      <c r="E395" s="2556"/>
      <c r="F395" s="640"/>
      <c r="G395" s="2557"/>
      <c r="H395" s="2558"/>
    </row>
    <row r="396" spans="1:8">
      <c r="A396" s="639"/>
      <c r="B396" s="2554"/>
      <c r="C396" s="2555"/>
      <c r="D396" s="2555"/>
      <c r="E396" s="2556"/>
      <c r="F396" s="640"/>
      <c r="G396" s="2557"/>
      <c r="H396" s="2558"/>
    </row>
    <row r="397" spans="1:8">
      <c r="A397" s="639"/>
      <c r="B397" s="2554"/>
      <c r="C397" s="2555"/>
      <c r="D397" s="2555"/>
      <c r="E397" s="2556"/>
      <c r="F397" s="640"/>
      <c r="G397" s="2557"/>
      <c r="H397" s="2558"/>
    </row>
    <row r="398" spans="1:8">
      <c r="A398" s="639"/>
      <c r="B398" s="2554"/>
      <c r="C398" s="2555"/>
      <c r="D398" s="2555"/>
      <c r="E398" s="2556"/>
      <c r="F398" s="640"/>
      <c r="G398" s="2557"/>
      <c r="H398" s="2558"/>
    </row>
    <row r="399" spans="1:8">
      <c r="A399" s="639"/>
      <c r="B399" s="2554"/>
      <c r="C399" s="2555"/>
      <c r="D399" s="2555"/>
      <c r="E399" s="2556"/>
      <c r="F399" s="640"/>
      <c r="G399" s="2557"/>
      <c r="H399" s="2558"/>
    </row>
    <row r="400" spans="1:8">
      <c r="A400" s="641"/>
      <c r="B400" s="2554"/>
      <c r="C400" s="2555"/>
      <c r="D400" s="2555"/>
      <c r="E400" s="2556"/>
      <c r="F400" s="640"/>
      <c r="G400" s="2557"/>
      <c r="H400" s="2558"/>
    </row>
    <row r="401" spans="1:8">
      <c r="A401" s="642"/>
      <c r="B401" s="2554"/>
      <c r="C401" s="2555"/>
      <c r="D401" s="2555"/>
      <c r="E401" s="2556"/>
      <c r="F401" s="643"/>
      <c r="G401" s="2557"/>
      <c r="H401" s="2558"/>
    </row>
    <row r="402" spans="1:8">
      <c r="A402" s="642"/>
      <c r="B402" s="2554"/>
      <c r="C402" s="2555"/>
      <c r="D402" s="2555"/>
      <c r="E402" s="2556"/>
      <c r="F402" s="643"/>
      <c r="G402" s="2557"/>
      <c r="H402" s="2558"/>
    </row>
    <row r="403" spans="1:8">
      <c r="A403" s="639"/>
      <c r="B403" s="2554"/>
      <c r="C403" s="2555"/>
      <c r="D403" s="2555"/>
      <c r="E403" s="2556"/>
      <c r="F403" s="636"/>
      <c r="G403" s="2557"/>
      <c r="H403" s="2558"/>
    </row>
    <row r="404" spans="1:8">
      <c r="A404" s="642"/>
      <c r="B404" s="2554"/>
      <c r="C404" s="2555"/>
      <c r="D404" s="2555"/>
      <c r="E404" s="2556"/>
      <c r="F404" s="643"/>
      <c r="G404" s="2557"/>
      <c r="H404" s="2558"/>
    </row>
    <row r="405" spans="1:8">
      <c r="A405" s="642"/>
      <c r="B405" s="2554"/>
      <c r="C405" s="2555"/>
      <c r="D405" s="2555"/>
      <c r="E405" s="2556"/>
      <c r="F405" s="638"/>
      <c r="G405" s="2557"/>
      <c r="H405" s="2558"/>
    </row>
    <row r="406" spans="1:8" ht="24" thickBot="1">
      <c r="A406" s="644"/>
      <c r="B406" s="2559"/>
      <c r="C406" s="2560"/>
      <c r="D406" s="2560"/>
      <c r="E406" s="2561"/>
      <c r="F406" s="645"/>
      <c r="G406" s="2562"/>
      <c r="H406" s="2563"/>
    </row>
    <row r="407" spans="1:8" ht="24.3" thickTop="1" thickBot="1">
      <c r="A407" s="646"/>
      <c r="B407" s="647"/>
      <c r="C407" s="647"/>
      <c r="D407" s="647"/>
      <c r="E407" s="648" t="s">
        <v>272</v>
      </c>
      <c r="F407" s="649">
        <f>SUM(F393:F406)</f>
        <v>80000</v>
      </c>
      <c r="G407" s="2562"/>
      <c r="H407" s="2563"/>
    </row>
    <row r="408" spans="1:8" ht="24.3" thickTop="1" thickBot="1">
      <c r="A408" s="650"/>
      <c r="B408" s="651"/>
      <c r="C408" s="652"/>
      <c r="D408" s="653"/>
      <c r="E408" s="648" t="s">
        <v>273</v>
      </c>
      <c r="F408" s="649">
        <f>F407*7%</f>
        <v>5600.0000000000009</v>
      </c>
      <c r="G408" s="2562"/>
      <c r="H408" s="2563"/>
    </row>
    <row r="409" spans="1:8" ht="24.3" thickTop="1" thickBot="1">
      <c r="A409" s="650"/>
      <c r="B409" s="651"/>
      <c r="C409" s="652"/>
      <c r="D409" s="653"/>
      <c r="E409" s="648" t="s">
        <v>274</v>
      </c>
      <c r="F409" s="649">
        <f>F407+F408</f>
        <v>85600</v>
      </c>
      <c r="G409" s="2562"/>
      <c r="H409" s="2563"/>
    </row>
    <row r="410" spans="1:8" ht="24" thickTop="1"/>
  </sheetData>
  <mergeCells count="394">
    <mergeCell ref="G368:H368"/>
    <mergeCell ref="B364:E364"/>
    <mergeCell ref="G364:H364"/>
    <mergeCell ref="B365:E365"/>
    <mergeCell ref="G365:H365"/>
    <mergeCell ref="G366:H366"/>
    <mergeCell ref="G367:H367"/>
    <mergeCell ref="B361:E361"/>
    <mergeCell ref="G361:H361"/>
    <mergeCell ref="B362:E362"/>
    <mergeCell ref="G362:H362"/>
    <mergeCell ref="B363:E363"/>
    <mergeCell ref="G363:H363"/>
    <mergeCell ref="B358:E358"/>
    <mergeCell ref="G358:H358"/>
    <mergeCell ref="B359:E359"/>
    <mergeCell ref="G359:H359"/>
    <mergeCell ref="B360:E360"/>
    <mergeCell ref="G360:H360"/>
    <mergeCell ref="B355:E355"/>
    <mergeCell ref="G355:H355"/>
    <mergeCell ref="B356:E356"/>
    <mergeCell ref="G356:H356"/>
    <mergeCell ref="B357:E357"/>
    <mergeCell ref="G357:H357"/>
    <mergeCell ref="B352:E352"/>
    <mergeCell ref="G352:H352"/>
    <mergeCell ref="B353:E353"/>
    <mergeCell ref="G353:H353"/>
    <mergeCell ref="B354:E354"/>
    <mergeCell ref="G354:H354"/>
    <mergeCell ref="G327:H327"/>
    <mergeCell ref="A345:E345"/>
    <mergeCell ref="F345:H345"/>
    <mergeCell ref="A346:H346"/>
    <mergeCell ref="A350:A351"/>
    <mergeCell ref="B350:E351"/>
    <mergeCell ref="F350:F351"/>
    <mergeCell ref="G350:H351"/>
    <mergeCell ref="B323:E323"/>
    <mergeCell ref="G323:H323"/>
    <mergeCell ref="B324:E324"/>
    <mergeCell ref="G324:H324"/>
    <mergeCell ref="G325:H325"/>
    <mergeCell ref="G326:H326"/>
    <mergeCell ref="B320:E320"/>
    <mergeCell ref="G320:H320"/>
    <mergeCell ref="B321:E321"/>
    <mergeCell ref="G321:H321"/>
    <mergeCell ref="B322:E322"/>
    <mergeCell ref="G322:H322"/>
    <mergeCell ref="B317:E317"/>
    <mergeCell ref="G317:H317"/>
    <mergeCell ref="B318:E318"/>
    <mergeCell ref="G318:H318"/>
    <mergeCell ref="B319:E319"/>
    <mergeCell ref="G319:H319"/>
    <mergeCell ref="B314:E314"/>
    <mergeCell ref="G314:H314"/>
    <mergeCell ref="B315:E315"/>
    <mergeCell ref="G315:H315"/>
    <mergeCell ref="B316:E316"/>
    <mergeCell ref="G316:H316"/>
    <mergeCell ref="B311:E311"/>
    <mergeCell ref="G311:H311"/>
    <mergeCell ref="B312:E312"/>
    <mergeCell ref="G312:H312"/>
    <mergeCell ref="B313:E313"/>
    <mergeCell ref="G313:H313"/>
    <mergeCell ref="G286:H286"/>
    <mergeCell ref="A304:E304"/>
    <mergeCell ref="F304:H304"/>
    <mergeCell ref="A305:H305"/>
    <mergeCell ref="A309:A310"/>
    <mergeCell ref="B309:E310"/>
    <mergeCell ref="F309:F310"/>
    <mergeCell ref="G309:H310"/>
    <mergeCell ref="B282:E282"/>
    <mergeCell ref="G282:H282"/>
    <mergeCell ref="B283:E283"/>
    <mergeCell ref="G283:H283"/>
    <mergeCell ref="G284:H284"/>
    <mergeCell ref="G285:H285"/>
    <mergeCell ref="B279:E279"/>
    <mergeCell ref="G279:H279"/>
    <mergeCell ref="B280:E280"/>
    <mergeCell ref="G280:H280"/>
    <mergeCell ref="B281:E281"/>
    <mergeCell ref="G281:H281"/>
    <mergeCell ref="B276:E276"/>
    <mergeCell ref="G276:H276"/>
    <mergeCell ref="B277:E277"/>
    <mergeCell ref="G277:H277"/>
    <mergeCell ref="B278:E278"/>
    <mergeCell ref="G278:H278"/>
    <mergeCell ref="B273:E273"/>
    <mergeCell ref="G273:H273"/>
    <mergeCell ref="B274:E274"/>
    <mergeCell ref="G274:H274"/>
    <mergeCell ref="B275:E275"/>
    <mergeCell ref="G275:H275"/>
    <mergeCell ref="B270:E270"/>
    <mergeCell ref="G270:H270"/>
    <mergeCell ref="B271:E271"/>
    <mergeCell ref="G271:H271"/>
    <mergeCell ref="B272:E272"/>
    <mergeCell ref="G272:H272"/>
    <mergeCell ref="G245:H245"/>
    <mergeCell ref="A263:E263"/>
    <mergeCell ref="F263:H263"/>
    <mergeCell ref="A264:H264"/>
    <mergeCell ref="A268:A269"/>
    <mergeCell ref="B268:E269"/>
    <mergeCell ref="F268:F269"/>
    <mergeCell ref="G268:H269"/>
    <mergeCell ref="B241:E241"/>
    <mergeCell ref="G241:H241"/>
    <mergeCell ref="B242:E242"/>
    <mergeCell ref="G242:H242"/>
    <mergeCell ref="G243:H243"/>
    <mergeCell ref="G244:H244"/>
    <mergeCell ref="B238:E238"/>
    <mergeCell ref="G238:H238"/>
    <mergeCell ref="B239:E239"/>
    <mergeCell ref="G239:H239"/>
    <mergeCell ref="B240:E240"/>
    <mergeCell ref="G240:H240"/>
    <mergeCell ref="B235:E235"/>
    <mergeCell ref="G235:H235"/>
    <mergeCell ref="B236:E236"/>
    <mergeCell ref="G236:H236"/>
    <mergeCell ref="B237:E237"/>
    <mergeCell ref="G237:H237"/>
    <mergeCell ref="B232:E232"/>
    <mergeCell ref="G232:H232"/>
    <mergeCell ref="B233:E233"/>
    <mergeCell ref="G233:H233"/>
    <mergeCell ref="B234:E234"/>
    <mergeCell ref="G234:H234"/>
    <mergeCell ref="B229:E229"/>
    <mergeCell ref="G229:H229"/>
    <mergeCell ref="B230:E230"/>
    <mergeCell ref="G230:H230"/>
    <mergeCell ref="B231:E231"/>
    <mergeCell ref="G231:H231"/>
    <mergeCell ref="G204:H204"/>
    <mergeCell ref="A222:E222"/>
    <mergeCell ref="F222:H222"/>
    <mergeCell ref="A223:H223"/>
    <mergeCell ref="A227:A228"/>
    <mergeCell ref="B227:E228"/>
    <mergeCell ref="F227:F228"/>
    <mergeCell ref="G227:H228"/>
    <mergeCell ref="B200:E200"/>
    <mergeCell ref="G200:H200"/>
    <mergeCell ref="B201:E201"/>
    <mergeCell ref="G201:H201"/>
    <mergeCell ref="G202:H202"/>
    <mergeCell ref="G203:H203"/>
    <mergeCell ref="B197:E197"/>
    <mergeCell ref="G197:H197"/>
    <mergeCell ref="B198:E198"/>
    <mergeCell ref="G198:H198"/>
    <mergeCell ref="B199:E199"/>
    <mergeCell ref="G199:H199"/>
    <mergeCell ref="B194:E194"/>
    <mergeCell ref="G194:H194"/>
    <mergeCell ref="B195:E195"/>
    <mergeCell ref="G195:H195"/>
    <mergeCell ref="B196:E196"/>
    <mergeCell ref="G196:H196"/>
    <mergeCell ref="B191:E191"/>
    <mergeCell ref="G191:H191"/>
    <mergeCell ref="B192:E192"/>
    <mergeCell ref="G192:H192"/>
    <mergeCell ref="B193:E193"/>
    <mergeCell ref="G193:H193"/>
    <mergeCell ref="B188:E188"/>
    <mergeCell ref="G188:H188"/>
    <mergeCell ref="B189:E189"/>
    <mergeCell ref="G189:H189"/>
    <mergeCell ref="B190:E190"/>
    <mergeCell ref="G190:H190"/>
    <mergeCell ref="B163:E163"/>
    <mergeCell ref="G163:H163"/>
    <mergeCell ref="A181:E181"/>
    <mergeCell ref="F181:H181"/>
    <mergeCell ref="A182:H182"/>
    <mergeCell ref="A186:A187"/>
    <mergeCell ref="B186:E187"/>
    <mergeCell ref="F186:F187"/>
    <mergeCell ref="G186:H187"/>
    <mergeCell ref="B160:E160"/>
    <mergeCell ref="G160:H160"/>
    <mergeCell ref="B161:E161"/>
    <mergeCell ref="G161:H161"/>
    <mergeCell ref="B162:E162"/>
    <mergeCell ref="G162:H162"/>
    <mergeCell ref="B157:E157"/>
    <mergeCell ref="G157:H157"/>
    <mergeCell ref="B158:E158"/>
    <mergeCell ref="G158:H158"/>
    <mergeCell ref="B159:E159"/>
    <mergeCell ref="G159:H159"/>
    <mergeCell ref="B154:E154"/>
    <mergeCell ref="G154:H154"/>
    <mergeCell ref="B155:E155"/>
    <mergeCell ref="G155:H155"/>
    <mergeCell ref="B156:E156"/>
    <mergeCell ref="G156:H156"/>
    <mergeCell ref="B151:E151"/>
    <mergeCell ref="G151:H151"/>
    <mergeCell ref="B152:E152"/>
    <mergeCell ref="G152:H152"/>
    <mergeCell ref="B153:E153"/>
    <mergeCell ref="G153:H153"/>
    <mergeCell ref="B148:E148"/>
    <mergeCell ref="G148:H148"/>
    <mergeCell ref="B149:E149"/>
    <mergeCell ref="G149:H149"/>
    <mergeCell ref="B150:E150"/>
    <mergeCell ref="G150:H150"/>
    <mergeCell ref="A141:H141"/>
    <mergeCell ref="A145:A146"/>
    <mergeCell ref="B145:E146"/>
    <mergeCell ref="F145:F146"/>
    <mergeCell ref="G145:H146"/>
    <mergeCell ref="B147:E147"/>
    <mergeCell ref="G147:H147"/>
    <mergeCell ref="B120:E120"/>
    <mergeCell ref="G120:H120"/>
    <mergeCell ref="B121:E121"/>
    <mergeCell ref="G121:H121"/>
    <mergeCell ref="A140:E140"/>
    <mergeCell ref="F140:H140"/>
    <mergeCell ref="B117:E117"/>
    <mergeCell ref="G117:H117"/>
    <mergeCell ref="B118:E118"/>
    <mergeCell ref="G118:H118"/>
    <mergeCell ref="B119:E119"/>
    <mergeCell ref="G119:H119"/>
    <mergeCell ref="B114:E114"/>
    <mergeCell ref="G114:H114"/>
    <mergeCell ref="B115:E115"/>
    <mergeCell ref="G115:H115"/>
    <mergeCell ref="B116:E116"/>
    <mergeCell ref="G116:H116"/>
    <mergeCell ref="B111:E111"/>
    <mergeCell ref="G111:H111"/>
    <mergeCell ref="B112:E112"/>
    <mergeCell ref="G112:H112"/>
    <mergeCell ref="B113:E113"/>
    <mergeCell ref="G113:H113"/>
    <mergeCell ref="B108:E108"/>
    <mergeCell ref="G108:H108"/>
    <mergeCell ref="B109:E109"/>
    <mergeCell ref="G109:H109"/>
    <mergeCell ref="B110:E110"/>
    <mergeCell ref="G110:H110"/>
    <mergeCell ref="B105:E105"/>
    <mergeCell ref="G105:H105"/>
    <mergeCell ref="B106:E106"/>
    <mergeCell ref="G106:H106"/>
    <mergeCell ref="B107:E107"/>
    <mergeCell ref="G107:H107"/>
    <mergeCell ref="B79:E79"/>
    <mergeCell ref="G79:H79"/>
    <mergeCell ref="A98:E98"/>
    <mergeCell ref="F98:H98"/>
    <mergeCell ref="A99:H99"/>
    <mergeCell ref="A103:A104"/>
    <mergeCell ref="B103:E104"/>
    <mergeCell ref="F103:F104"/>
    <mergeCell ref="G103:H104"/>
    <mergeCell ref="B76:E76"/>
    <mergeCell ref="G76:H76"/>
    <mergeCell ref="B77:E77"/>
    <mergeCell ref="G77:H77"/>
    <mergeCell ref="B78:E78"/>
    <mergeCell ref="G78:H78"/>
    <mergeCell ref="B73:E73"/>
    <mergeCell ref="G73:H73"/>
    <mergeCell ref="B74:E74"/>
    <mergeCell ref="G74:H74"/>
    <mergeCell ref="B75:E75"/>
    <mergeCell ref="G75:H75"/>
    <mergeCell ref="B70:E70"/>
    <mergeCell ref="G70:H70"/>
    <mergeCell ref="B71:E71"/>
    <mergeCell ref="G71:H71"/>
    <mergeCell ref="B72:E72"/>
    <mergeCell ref="G72:H72"/>
    <mergeCell ref="B67:E67"/>
    <mergeCell ref="G67:H67"/>
    <mergeCell ref="B68:E68"/>
    <mergeCell ref="G68:H68"/>
    <mergeCell ref="B69:E69"/>
    <mergeCell ref="G69:H69"/>
    <mergeCell ref="B64:E64"/>
    <mergeCell ref="G64:H64"/>
    <mergeCell ref="B65:E65"/>
    <mergeCell ref="G65:H65"/>
    <mergeCell ref="B66:E66"/>
    <mergeCell ref="G66:H66"/>
    <mergeCell ref="A57:H57"/>
    <mergeCell ref="A61:A62"/>
    <mergeCell ref="B61:E62"/>
    <mergeCell ref="F61:F62"/>
    <mergeCell ref="G61:H62"/>
    <mergeCell ref="B63:E63"/>
    <mergeCell ref="G63:H63"/>
    <mergeCell ref="D34:E34"/>
    <mergeCell ref="G34:H34"/>
    <mergeCell ref="D35:E35"/>
    <mergeCell ref="G35:H35"/>
    <mergeCell ref="A56:E56"/>
    <mergeCell ref="F56:H56"/>
    <mergeCell ref="B31:E31"/>
    <mergeCell ref="G31:H31"/>
    <mergeCell ref="B32:E32"/>
    <mergeCell ref="G32:H32"/>
    <mergeCell ref="D33:E33"/>
    <mergeCell ref="G33:H33"/>
    <mergeCell ref="B28:E28"/>
    <mergeCell ref="G28:H28"/>
    <mergeCell ref="B29:E29"/>
    <mergeCell ref="G29:H29"/>
    <mergeCell ref="B30:E30"/>
    <mergeCell ref="G30:H30"/>
    <mergeCell ref="B25:E25"/>
    <mergeCell ref="G25:H25"/>
    <mergeCell ref="B26:E26"/>
    <mergeCell ref="G26:H26"/>
    <mergeCell ref="B27:E27"/>
    <mergeCell ref="G27:H27"/>
    <mergeCell ref="B22:E22"/>
    <mergeCell ref="G22:H22"/>
    <mergeCell ref="B23:E23"/>
    <mergeCell ref="G23:H23"/>
    <mergeCell ref="B24:E24"/>
    <mergeCell ref="G24:H24"/>
    <mergeCell ref="B19:E19"/>
    <mergeCell ref="G19:H19"/>
    <mergeCell ref="B20:E20"/>
    <mergeCell ref="G20:H20"/>
    <mergeCell ref="B21:E21"/>
    <mergeCell ref="G21:H21"/>
    <mergeCell ref="A2:H2"/>
    <mergeCell ref="A3:H3"/>
    <mergeCell ref="A12:E12"/>
    <mergeCell ref="F12:H12"/>
    <mergeCell ref="A13:H13"/>
    <mergeCell ref="A17:A18"/>
    <mergeCell ref="B17:E18"/>
    <mergeCell ref="F17:F18"/>
    <mergeCell ref="G17:H18"/>
    <mergeCell ref="A386:E386"/>
    <mergeCell ref="F386:H386"/>
    <mergeCell ref="A387:H387"/>
    <mergeCell ref="A391:A392"/>
    <mergeCell ref="B391:E392"/>
    <mergeCell ref="F391:F392"/>
    <mergeCell ref="G391:H392"/>
    <mergeCell ref="B393:E393"/>
    <mergeCell ref="G393:H393"/>
    <mergeCell ref="B394:E394"/>
    <mergeCell ref="G394:H394"/>
    <mergeCell ref="B395:E395"/>
    <mergeCell ref="G395:H395"/>
    <mergeCell ref="B396:E396"/>
    <mergeCell ref="G396:H396"/>
    <mergeCell ref="B397:E397"/>
    <mergeCell ref="G397:H397"/>
    <mergeCell ref="B398:E398"/>
    <mergeCell ref="G398:H398"/>
    <mergeCell ref="B399:E399"/>
    <mergeCell ref="G399:H399"/>
    <mergeCell ref="B400:E400"/>
    <mergeCell ref="G400:H400"/>
    <mergeCell ref="B401:E401"/>
    <mergeCell ref="G401:H401"/>
    <mergeCell ref="B402:E402"/>
    <mergeCell ref="G402:H402"/>
    <mergeCell ref="B403:E403"/>
    <mergeCell ref="G403:H403"/>
    <mergeCell ref="B404:E404"/>
    <mergeCell ref="G404:H404"/>
    <mergeCell ref="B405:E405"/>
    <mergeCell ref="G405:H405"/>
    <mergeCell ref="B406:E406"/>
    <mergeCell ref="G406:H406"/>
    <mergeCell ref="G407:H407"/>
    <mergeCell ref="G408:H408"/>
    <mergeCell ref="G409:H409"/>
  </mergeCells>
  <pageMargins left="0.59055118110236204" right="0.196850393700787" top="0.59055118110236204" bottom="0.39370078740157499" header="0.31496062992126" footer="0.15748031496063"/>
  <pageSetup paperSize="9" scale="65" orientation="portrait" r:id="rId1"/>
  <headerFooter>
    <oddHeader xml:space="preserve">&amp;Rแผ่นที่ &amp;P ใน &amp;N แผ่น    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2:AF31"/>
  <sheetViews>
    <sheetView view="pageBreakPreview" topLeftCell="A13" zoomScale="85" zoomScaleNormal="100" zoomScaleSheetLayoutView="85" workbookViewId="0">
      <selection activeCell="A29" sqref="A29"/>
    </sheetView>
  </sheetViews>
  <sheetFormatPr defaultColWidth="9" defaultRowHeight="26.7"/>
  <cols>
    <col min="1" max="1" width="54" style="129" customWidth="1"/>
    <col min="2" max="2" width="9" style="129" customWidth="1"/>
    <col min="3" max="3" width="5.1171875" style="129" customWidth="1"/>
    <col min="4" max="4" width="9" style="129" bestFit="1" customWidth="1"/>
    <col min="5" max="5" width="5.703125" style="129" customWidth="1"/>
    <col min="6" max="6" width="13" style="129" customWidth="1"/>
    <col min="7" max="7" width="8.5859375" style="129" bestFit="1" customWidth="1"/>
    <col min="8" max="8" width="21.29296875" style="129" bestFit="1" customWidth="1"/>
    <col min="9" max="9" width="1.703125" style="129" bestFit="1" customWidth="1"/>
    <col min="10" max="10" width="19.1171875" style="129" bestFit="1" customWidth="1"/>
    <col min="11" max="11" width="1.703125" style="129" bestFit="1" customWidth="1"/>
    <col min="12" max="12" width="11" style="129" customWidth="1"/>
    <col min="13" max="13" width="25.87890625" style="129" customWidth="1"/>
    <col min="14" max="15" width="9" style="129" hidden="1" customWidth="1"/>
    <col min="16" max="16" width="19.1171875" style="129" hidden="1" customWidth="1"/>
    <col min="17" max="20" width="9" style="129" hidden="1" customWidth="1"/>
    <col min="21" max="21" width="16.29296875" style="129" hidden="1" customWidth="1"/>
    <col min="22" max="22" width="7.5859375" style="129" hidden="1" customWidth="1"/>
    <col min="23" max="23" width="19.703125" style="129" hidden="1" customWidth="1"/>
    <col min="24" max="25" width="16.29296875" style="129" hidden="1" customWidth="1"/>
    <col min="26" max="26" width="9" style="129" hidden="1" customWidth="1"/>
    <col min="27" max="27" width="9" style="129"/>
    <col min="28" max="28" width="17" style="129" bestFit="1" customWidth="1"/>
    <col min="29" max="29" width="11.29296875" style="129" customWidth="1"/>
    <col min="30" max="30" width="9" style="129" customWidth="1"/>
    <col min="31" max="32" width="17" style="129" bestFit="1" customWidth="1"/>
    <col min="33" max="16384" width="9" style="129"/>
  </cols>
  <sheetData>
    <row r="2" spans="1:32">
      <c r="A2" s="128" t="s">
        <v>66</v>
      </c>
    </row>
    <row r="4" spans="1:32">
      <c r="A4" s="130" t="s">
        <v>67</v>
      </c>
      <c r="B4" s="130" t="s">
        <v>68</v>
      </c>
      <c r="C4" s="2627">
        <v>0.1</v>
      </c>
      <c r="D4" s="2627"/>
      <c r="E4" s="2627"/>
      <c r="F4" s="130"/>
      <c r="G4" s="130"/>
      <c r="H4" s="130"/>
      <c r="I4" s="130"/>
      <c r="J4" s="130"/>
      <c r="K4" s="130"/>
    </row>
    <row r="5" spans="1:32">
      <c r="A5" s="130" t="s">
        <v>69</v>
      </c>
      <c r="B5" s="130" t="s">
        <v>68</v>
      </c>
      <c r="C5" s="2627">
        <v>0.05</v>
      </c>
      <c r="D5" s="2627"/>
      <c r="E5" s="2627"/>
      <c r="F5" s="130"/>
      <c r="G5" s="130"/>
      <c r="H5" s="130"/>
      <c r="I5" s="130"/>
      <c r="J5" s="130"/>
      <c r="K5" s="130"/>
    </row>
    <row r="6" spans="1:32">
      <c r="A6" s="130" t="s">
        <v>70</v>
      </c>
      <c r="B6" s="130" t="s">
        <v>68</v>
      </c>
      <c r="C6" s="2627">
        <v>0.05</v>
      </c>
      <c r="D6" s="2627"/>
      <c r="E6" s="2627"/>
      <c r="F6" s="130"/>
      <c r="G6" s="130"/>
      <c r="H6" s="130"/>
      <c r="I6" s="130"/>
      <c r="J6" s="130"/>
      <c r="K6" s="130"/>
    </row>
    <row r="7" spans="1:32">
      <c r="A7" s="130" t="s">
        <v>71</v>
      </c>
      <c r="B7" s="130" t="s">
        <v>68</v>
      </c>
      <c r="C7" s="2627">
        <v>7.0000000000000007E-2</v>
      </c>
      <c r="D7" s="2627"/>
      <c r="E7" s="2627"/>
      <c r="F7" s="130"/>
      <c r="G7" s="130"/>
      <c r="H7" s="130"/>
      <c r="I7" s="130"/>
      <c r="J7" s="130"/>
      <c r="K7" s="130"/>
      <c r="U7" s="131">
        <v>0</v>
      </c>
      <c r="V7" s="132"/>
      <c r="W7" s="132"/>
      <c r="X7" s="132">
        <v>0</v>
      </c>
      <c r="Y7" s="131">
        <v>500000</v>
      </c>
      <c r="AB7" s="133"/>
      <c r="AC7" s="132"/>
      <c r="AD7" s="132"/>
      <c r="AE7" s="132"/>
      <c r="AF7" s="133"/>
    </row>
    <row r="8" spans="1:32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U8" s="134">
        <v>500000</v>
      </c>
      <c r="V8" s="132">
        <v>1.3059000000000001</v>
      </c>
      <c r="W8" s="132"/>
      <c r="X8" s="134">
        <v>500000</v>
      </c>
      <c r="Y8" s="135">
        <v>1000000</v>
      </c>
      <c r="AB8" s="133"/>
      <c r="AC8" s="132"/>
      <c r="AD8" s="132"/>
      <c r="AE8" s="133"/>
      <c r="AF8" s="133"/>
    </row>
    <row r="9" spans="1:32">
      <c r="A9" s="130" t="s">
        <v>72</v>
      </c>
      <c r="B9" s="130" t="s">
        <v>68</v>
      </c>
      <c r="C9" s="2624">
        <f>SUM('ปร.5(ก)อาคาร'!F19:F33)</f>
        <v>1092180308.0214679</v>
      </c>
      <c r="D9" s="2624"/>
      <c r="E9" s="2624"/>
      <c r="F9" s="136" t="s">
        <v>73</v>
      </c>
      <c r="G9" s="130"/>
      <c r="H9" s="130"/>
      <c r="I9" s="130"/>
      <c r="J9" s="130"/>
      <c r="K9" s="130"/>
      <c r="M9" s="137"/>
      <c r="U9" s="135">
        <v>1000000</v>
      </c>
      <c r="V9" s="138">
        <v>1.3033999999999999</v>
      </c>
      <c r="W9" s="132"/>
      <c r="X9" s="135">
        <v>1000000</v>
      </c>
      <c r="Y9" s="135">
        <v>2000000</v>
      </c>
      <c r="AB9" s="133"/>
      <c r="AC9" s="138"/>
      <c r="AD9" s="132"/>
      <c r="AE9" s="133"/>
      <c r="AF9" s="133"/>
    </row>
    <row r="10" spans="1:32">
      <c r="A10" s="130" t="s">
        <v>74</v>
      </c>
      <c r="B10" s="130"/>
      <c r="C10" s="2624"/>
      <c r="D10" s="2624"/>
      <c r="E10" s="2624"/>
      <c r="F10" s="136"/>
      <c r="G10" s="130"/>
      <c r="H10" s="130"/>
      <c r="I10" s="130"/>
      <c r="J10" s="130"/>
      <c r="K10" s="130"/>
      <c r="N10" s="132" t="s">
        <v>75</v>
      </c>
      <c r="P10" s="139">
        <f>C9</f>
        <v>1092180308.0214679</v>
      </c>
      <c r="U10" s="135">
        <v>2000000</v>
      </c>
      <c r="V10" s="140">
        <v>1.3018000000000001</v>
      </c>
      <c r="W10" s="141"/>
      <c r="X10" s="135">
        <v>2000000</v>
      </c>
      <c r="Y10" s="135">
        <v>5000000</v>
      </c>
      <c r="AB10" s="133"/>
      <c r="AC10" s="138"/>
      <c r="AD10" s="141"/>
      <c r="AE10" s="133"/>
      <c r="AF10" s="133"/>
    </row>
    <row r="11" spans="1:32">
      <c r="A11" s="130"/>
      <c r="B11" s="130"/>
      <c r="C11" s="2624"/>
      <c r="D11" s="2624"/>
      <c r="E11" s="2624"/>
      <c r="F11" s="136"/>
      <c r="G11" s="130"/>
      <c r="H11" s="130"/>
      <c r="I11" s="130"/>
      <c r="J11" s="130"/>
      <c r="K11" s="130"/>
      <c r="N11" s="132" t="s">
        <v>76</v>
      </c>
      <c r="P11" s="129">
        <f>VLOOKUP(C9,U7:V31,1)</f>
        <v>500000000</v>
      </c>
      <c r="Q11" s="132" t="s">
        <v>77</v>
      </c>
      <c r="R11" s="129">
        <f>IF(C9&lt;500000,0,VLOOKUP(P11,U7:V31,2))</f>
        <v>1.1728000000000001</v>
      </c>
      <c r="U11" s="135">
        <v>5000000</v>
      </c>
      <c r="V11" s="142">
        <v>1.2982</v>
      </c>
      <c r="W11" s="141"/>
      <c r="X11" s="135">
        <v>5000000</v>
      </c>
      <c r="Y11" s="143">
        <v>10000000</v>
      </c>
      <c r="AB11" s="133"/>
      <c r="AC11" s="138"/>
      <c r="AD11" s="141"/>
      <c r="AE11" s="133"/>
      <c r="AF11" s="144"/>
    </row>
    <row r="12" spans="1:32">
      <c r="A12" s="130"/>
      <c r="B12" s="130"/>
      <c r="C12" s="2625"/>
      <c r="D12" s="2625"/>
      <c r="E12" s="2625"/>
      <c r="F12" s="130"/>
      <c r="G12" s="130"/>
      <c r="H12" s="130"/>
      <c r="I12" s="130"/>
      <c r="J12" s="130"/>
      <c r="K12" s="130"/>
      <c r="N12" s="132" t="s">
        <v>78</v>
      </c>
      <c r="P12" s="129">
        <f>VLOOKUP(P11,X7:Y31,2)</f>
        <v>0</v>
      </c>
      <c r="Q12" s="132" t="s">
        <v>79</v>
      </c>
      <c r="R12" s="129">
        <f>IF(C9&gt;500000000,1.1728,VLOOKUP(P12,U7:V31,2))</f>
        <v>1.1728000000000001</v>
      </c>
      <c r="U12" s="143">
        <v>10000000</v>
      </c>
      <c r="V12" s="142">
        <v>1.2917000000000001</v>
      </c>
      <c r="W12" s="141"/>
      <c r="X12" s="143">
        <v>10000000</v>
      </c>
      <c r="Y12" s="143">
        <v>15000000</v>
      </c>
      <c r="AB12" s="144"/>
      <c r="AC12" s="138"/>
      <c r="AD12" s="141"/>
      <c r="AE12" s="144"/>
      <c r="AF12" s="144"/>
    </row>
    <row r="13" spans="1:32">
      <c r="A13" s="130"/>
      <c r="B13" s="130"/>
      <c r="C13" s="2625"/>
      <c r="D13" s="2625"/>
      <c r="E13" s="2625"/>
      <c r="F13" s="130"/>
      <c r="G13" s="130"/>
      <c r="H13" s="130"/>
      <c r="I13" s="130"/>
      <c r="J13" s="130"/>
      <c r="K13" s="130"/>
      <c r="M13" s="137">
        <f>C9*1.172</f>
        <v>1280035321.0011604</v>
      </c>
      <c r="N13" s="132"/>
      <c r="U13" s="143">
        <v>15000000</v>
      </c>
      <c r="V13" s="145">
        <v>1.2566999999999999</v>
      </c>
      <c r="W13" s="141"/>
      <c r="X13" s="143">
        <v>15000000</v>
      </c>
      <c r="Y13" s="135">
        <v>20000000</v>
      </c>
      <c r="AB13" s="144"/>
      <c r="AC13" s="146"/>
      <c r="AD13" s="141"/>
      <c r="AE13" s="144"/>
      <c r="AF13" s="133"/>
    </row>
    <row r="14" spans="1:32">
      <c r="M14" s="137">
        <f>M13-C9</f>
        <v>187855012.97969246</v>
      </c>
      <c r="N14" s="132" t="s">
        <v>80</v>
      </c>
      <c r="P14" s="129">
        <f>IF(C9&gt;500000000,V31,IF(C9&lt;500000,V8,(C12-((C12-C13)*(C9-C10))/(C11-C10))))</f>
        <v>1.1728000000000001</v>
      </c>
      <c r="U14" s="135">
        <v>20000000</v>
      </c>
      <c r="V14" s="145">
        <v>1.2490000000000001</v>
      </c>
      <c r="W14" s="141"/>
      <c r="X14" s="135">
        <v>20000000</v>
      </c>
      <c r="Y14" s="135">
        <v>25000000</v>
      </c>
      <c r="AB14" s="133"/>
      <c r="AC14" s="146"/>
      <c r="AD14" s="141"/>
      <c r="AE14" s="133"/>
      <c r="AF14" s="133"/>
    </row>
    <row r="15" spans="1:32">
      <c r="A15" s="130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N15" s="132" t="s">
        <v>81</v>
      </c>
      <c r="P15" s="129">
        <f>FLOOR(P14,0.0001)</f>
        <v>1.1728000000000001</v>
      </c>
      <c r="U15" s="135">
        <v>25000000</v>
      </c>
      <c r="V15" s="145">
        <v>1.222</v>
      </c>
      <c r="W15" s="141"/>
      <c r="X15" s="135">
        <v>25000000</v>
      </c>
      <c r="Y15" s="135">
        <v>30000000</v>
      </c>
      <c r="AB15" s="133"/>
      <c r="AC15" s="146"/>
      <c r="AD15" s="141"/>
      <c r="AE15" s="133"/>
      <c r="AF15" s="133"/>
    </row>
    <row r="16" spans="1:32">
      <c r="A16" s="130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U16" s="135">
        <v>30000000</v>
      </c>
      <c r="V16" s="142">
        <v>1.2135</v>
      </c>
      <c r="W16" s="141"/>
      <c r="X16" s="135">
        <v>30000000</v>
      </c>
      <c r="Y16" s="135">
        <v>40000000</v>
      </c>
      <c r="AB16" s="133"/>
      <c r="AC16" s="138"/>
      <c r="AD16" s="141"/>
      <c r="AE16" s="133"/>
      <c r="AF16" s="133"/>
    </row>
    <row r="17" spans="1:32" ht="23.25" customHeight="1">
      <c r="A17" s="130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U17" s="135">
        <v>40000000</v>
      </c>
      <c r="V17" s="142">
        <v>1.2131000000000001</v>
      </c>
      <c r="W17" s="141"/>
      <c r="X17" s="135">
        <v>40000000</v>
      </c>
      <c r="Y17" s="135">
        <v>50000000</v>
      </c>
      <c r="AB17" s="133"/>
      <c r="AC17" s="138"/>
      <c r="AD17" s="141"/>
      <c r="AE17" s="133"/>
      <c r="AF17" s="133"/>
    </row>
    <row r="18" spans="1:32">
      <c r="A18" s="130"/>
      <c r="B18" s="148"/>
      <c r="C18" s="148"/>
      <c r="D18" s="149"/>
      <c r="E18" s="148"/>
      <c r="F18" s="149"/>
      <c r="G18" s="149"/>
      <c r="H18" s="150"/>
      <c r="I18" s="149"/>
      <c r="J18" s="150"/>
      <c r="K18" s="149"/>
      <c r="L18" s="151"/>
      <c r="M18" s="151"/>
      <c r="U18" s="135"/>
      <c r="V18" s="142"/>
      <c r="W18" s="141"/>
      <c r="X18" s="135"/>
      <c r="Y18" s="135"/>
      <c r="AB18" s="133"/>
      <c r="AC18" s="138"/>
      <c r="AD18" s="141"/>
      <c r="AE18" s="133"/>
      <c r="AF18" s="133"/>
    </row>
    <row r="19" spans="1:32">
      <c r="A19" s="130"/>
      <c r="E19" s="152"/>
      <c r="F19" s="139"/>
      <c r="G19" s="148"/>
      <c r="H19" s="139"/>
      <c r="U19" s="135"/>
      <c r="V19" s="142"/>
      <c r="W19" s="141"/>
      <c r="X19" s="135"/>
      <c r="Y19" s="135"/>
      <c r="AB19" s="133"/>
      <c r="AC19" s="138"/>
      <c r="AD19" s="141"/>
      <c r="AE19" s="133"/>
      <c r="AF19" s="133"/>
    </row>
    <row r="20" spans="1:32">
      <c r="M20" s="137"/>
      <c r="U20" s="135"/>
      <c r="V20" s="142"/>
      <c r="W20" s="141"/>
      <c r="X20" s="135"/>
      <c r="Y20" s="135"/>
      <c r="AB20" s="133"/>
      <c r="AC20" s="138"/>
      <c r="AD20" s="141"/>
      <c r="AE20" s="133"/>
      <c r="AF20" s="133"/>
    </row>
    <row r="21" spans="1:32">
      <c r="A21" s="153" t="s">
        <v>82</v>
      </c>
      <c r="B21" s="154" t="s">
        <v>68</v>
      </c>
      <c r="C21" s="2626">
        <v>1.1719999999999999</v>
      </c>
      <c r="D21" s="2626"/>
      <c r="E21" s="2626"/>
      <c r="F21" s="2626"/>
      <c r="G21" s="154"/>
      <c r="H21" s="154"/>
      <c r="I21" s="154"/>
      <c r="J21" s="154"/>
      <c r="K21" s="155"/>
      <c r="M21" s="137"/>
      <c r="U21" s="135"/>
      <c r="V21" s="142"/>
      <c r="W21" s="141"/>
      <c r="X21" s="135"/>
      <c r="Y21" s="135"/>
      <c r="AB21" s="133"/>
      <c r="AC21" s="138"/>
      <c r="AD21" s="141"/>
      <c r="AE21" s="133"/>
      <c r="AF21" s="133"/>
    </row>
    <row r="22" spans="1:32">
      <c r="A22" s="156"/>
      <c r="B22" s="157"/>
      <c r="C22" s="157"/>
      <c r="D22" s="157"/>
      <c r="E22" s="157"/>
      <c r="F22" s="157"/>
      <c r="G22" s="157"/>
      <c r="H22" s="157"/>
      <c r="I22" s="157"/>
      <c r="J22" s="157"/>
      <c r="K22" s="158"/>
      <c r="U22" s="135">
        <v>90000000</v>
      </c>
      <c r="V22" s="142">
        <v>1.2015</v>
      </c>
      <c r="W22" s="141"/>
      <c r="X22" s="135">
        <v>90000000</v>
      </c>
      <c r="Y22" s="135">
        <v>100000000</v>
      </c>
      <c r="AB22" s="133"/>
      <c r="AC22" s="138"/>
      <c r="AD22" s="141"/>
      <c r="AE22" s="133"/>
      <c r="AF22" s="133"/>
    </row>
    <row r="23" spans="1:32">
      <c r="U23" s="135">
        <v>100000000</v>
      </c>
      <c r="V23" s="142">
        <v>1.2015</v>
      </c>
      <c r="W23" s="141"/>
      <c r="X23" s="135">
        <v>100000000</v>
      </c>
      <c r="Y23" s="135">
        <v>150000000</v>
      </c>
      <c r="AB23" s="133"/>
      <c r="AC23" s="138"/>
      <c r="AD23" s="141"/>
      <c r="AE23" s="133"/>
      <c r="AF23" s="133"/>
    </row>
    <row r="24" spans="1:32">
      <c r="M24" s="159"/>
      <c r="U24" s="135">
        <v>150000000</v>
      </c>
      <c r="V24" s="142">
        <v>1.1984999999999999</v>
      </c>
      <c r="W24" s="141"/>
      <c r="X24" s="135">
        <v>150000000</v>
      </c>
      <c r="Y24" s="135">
        <v>200000000</v>
      </c>
      <c r="AB24" s="133"/>
      <c r="AC24" s="138"/>
      <c r="AD24" s="141"/>
      <c r="AE24" s="133"/>
      <c r="AF24" s="133"/>
    </row>
    <row r="25" spans="1:32">
      <c r="B25" s="160"/>
      <c r="C25" s="160"/>
      <c r="D25" s="160"/>
      <c r="E25" s="160"/>
      <c r="F25" s="160"/>
      <c r="G25" s="160"/>
      <c r="H25" s="160"/>
      <c r="I25" s="160"/>
      <c r="J25" s="160"/>
      <c r="K25" s="160"/>
      <c r="U25" s="135">
        <v>200000000</v>
      </c>
      <c r="V25" s="142">
        <v>1.1982999999999999</v>
      </c>
      <c r="W25" s="141"/>
      <c r="X25" s="135">
        <v>200000000</v>
      </c>
      <c r="Y25" s="135">
        <v>250000000</v>
      </c>
      <c r="AB25" s="133"/>
      <c r="AC25" s="138"/>
      <c r="AD25" s="141"/>
      <c r="AE25" s="133"/>
      <c r="AF25" s="133"/>
    </row>
    <row r="26" spans="1:32">
      <c r="U26" s="135">
        <v>250000000</v>
      </c>
      <c r="V26" s="142">
        <v>1.1968000000000001</v>
      </c>
      <c r="W26" s="141"/>
      <c r="X26" s="135">
        <v>250000000</v>
      </c>
      <c r="Y26" s="135">
        <v>300000000</v>
      </c>
      <c r="AB26" s="133"/>
      <c r="AC26" s="138"/>
      <c r="AD26" s="141"/>
      <c r="AE26" s="133"/>
      <c r="AF26" s="133"/>
    </row>
    <row r="27" spans="1:32">
      <c r="U27" s="135">
        <v>300000000</v>
      </c>
      <c r="V27" s="142">
        <v>1.1902999999999999</v>
      </c>
      <c r="W27" s="141"/>
      <c r="X27" s="135">
        <v>300000000</v>
      </c>
      <c r="Y27" s="135">
        <v>350000000</v>
      </c>
      <c r="AB27" s="133"/>
      <c r="AC27" s="138"/>
      <c r="AD27" s="141"/>
      <c r="AE27" s="133"/>
      <c r="AF27" s="133"/>
    </row>
    <row r="28" spans="1:32">
      <c r="U28" s="135">
        <v>350000000</v>
      </c>
      <c r="V28" s="142">
        <v>1.1817</v>
      </c>
      <c r="W28" s="141"/>
      <c r="X28" s="135">
        <v>350000000</v>
      </c>
      <c r="Y28" s="135">
        <v>400000000</v>
      </c>
      <c r="AB28" s="133"/>
      <c r="AC28" s="138"/>
      <c r="AD28" s="141"/>
      <c r="AE28" s="133"/>
      <c r="AF28" s="133"/>
    </row>
    <row r="29" spans="1:32">
      <c r="U29" s="135">
        <v>400000000</v>
      </c>
      <c r="V29" s="142">
        <v>1.1802999999999999</v>
      </c>
      <c r="W29" s="141"/>
      <c r="X29" s="135">
        <v>400000000</v>
      </c>
      <c r="Y29" s="135">
        <v>500000000</v>
      </c>
      <c r="AB29" s="133"/>
      <c r="AC29" s="138"/>
      <c r="AD29" s="141"/>
      <c r="AE29" s="133"/>
      <c r="AF29" s="133"/>
    </row>
    <row r="30" spans="1:32" ht="27" thickBot="1">
      <c r="U30" s="161">
        <v>500000000</v>
      </c>
      <c r="V30" s="142">
        <v>1.1795</v>
      </c>
      <c r="W30" s="141"/>
      <c r="X30" s="135">
        <v>500000000</v>
      </c>
      <c r="Y30" s="162">
        <v>500000000</v>
      </c>
      <c r="AB30" s="133"/>
      <c r="AC30" s="138"/>
      <c r="AD30" s="141"/>
      <c r="AE30" s="133"/>
      <c r="AF30" s="133"/>
    </row>
    <row r="31" spans="1:32" ht="27" thickBot="1">
      <c r="U31" s="162">
        <v>500000000</v>
      </c>
      <c r="V31" s="163">
        <v>1.1728000000000001</v>
      </c>
      <c r="W31" s="141"/>
      <c r="X31" s="162">
        <v>500000000</v>
      </c>
      <c r="Y31" s="164"/>
      <c r="AB31" s="133"/>
      <c r="AC31" s="138"/>
      <c r="AD31" s="141"/>
      <c r="AE31" s="133"/>
      <c r="AF31" s="164"/>
    </row>
  </sheetData>
  <mergeCells count="10">
    <mergeCell ref="C11:E11"/>
    <mergeCell ref="C12:E12"/>
    <mergeCell ref="C13:E13"/>
    <mergeCell ref="C21:F21"/>
    <mergeCell ref="C4:E4"/>
    <mergeCell ref="C5:E5"/>
    <mergeCell ref="C6:E6"/>
    <mergeCell ref="C7:E7"/>
    <mergeCell ref="C9:E9"/>
    <mergeCell ref="C10:E10"/>
  </mergeCells>
  <pageMargins left="0.59055118110236227" right="0.19685039370078741" top="0.59055118110236227" bottom="0.39370078740157483" header="0.31496062992125984" footer="0.15748031496062992"/>
  <pageSetup paperSize="9"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49B70-C877-4766-AE66-F99E5C4DE1EA}">
  <sheetPr>
    <tabColor rgb="FF92D050"/>
  </sheetPr>
  <dimension ref="A1:U259"/>
  <sheetViews>
    <sheetView tabSelected="1" view="pageBreakPreview" topLeftCell="A3" zoomScaleNormal="100" zoomScaleSheetLayoutView="10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7.41015625" style="1" customWidth="1"/>
    <col min="13" max="13" width="7.703125" style="1" customWidth="1"/>
    <col min="14" max="14" width="15.41015625" style="1" customWidth="1"/>
    <col min="15" max="15" width="13.41015625" style="1" customWidth="1"/>
    <col min="16" max="17" width="7.703125" style="1" customWidth="1"/>
    <col min="18" max="19" width="12.703125" style="1" customWidth="1"/>
    <col min="20" max="94" width="7.703125" style="1" customWidth="1"/>
    <col min="95" max="16384" width="9" style="1"/>
  </cols>
  <sheetData>
    <row r="1" spans="1:16" ht="35.200000000000003" customHeight="1">
      <c r="A1" s="681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6" ht="25.15" customHeight="1">
      <c r="A2" s="683" t="s">
        <v>2</v>
      </c>
      <c r="B2" s="33"/>
      <c r="C2" s="34"/>
      <c r="D2" s="11" t="s">
        <v>938</v>
      </c>
      <c r="E2" s="34"/>
      <c r="F2" s="12"/>
      <c r="G2" s="12"/>
      <c r="H2" s="12"/>
      <c r="I2" s="12"/>
      <c r="J2" s="13"/>
      <c r="K2" s="12"/>
      <c r="L2" s="14"/>
    </row>
    <row r="3" spans="1:16" ht="25.15" customHeight="1">
      <c r="A3" s="685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6" ht="25.15" customHeight="1">
      <c r="A4" s="687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6" ht="25.15" customHeight="1">
      <c r="A5" s="685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6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6" ht="26.2" customHeight="1">
      <c r="A7" s="6" t="s">
        <v>26</v>
      </c>
      <c r="B7" s="20"/>
      <c r="C7" s="20"/>
      <c r="D7" s="21"/>
      <c r="E7" s="20"/>
      <c r="F7" s="689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6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</row>
    <row r="9" spans="1:16" s="3" customFormat="1" ht="24" customHeight="1">
      <c r="A9" s="2430" t="s">
        <v>8</v>
      </c>
      <c r="B9" s="2432" t="s">
        <v>9</v>
      </c>
      <c r="C9" s="2433"/>
      <c r="D9" s="2434"/>
      <c r="E9" s="247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362" t="s">
        <v>14</v>
      </c>
      <c r="L9" s="2480" t="s">
        <v>15</v>
      </c>
    </row>
    <row r="10" spans="1:16" s="3" customFormat="1" ht="24" customHeight="1">
      <c r="A10" s="2431"/>
      <c r="B10" s="2435"/>
      <c r="C10" s="2436"/>
      <c r="D10" s="2437"/>
      <c r="E10" s="2479"/>
      <c r="F10" s="2439"/>
      <c r="G10" s="28" t="s">
        <v>16</v>
      </c>
      <c r="H10" s="2364" t="s">
        <v>17</v>
      </c>
      <c r="I10" s="28" t="s">
        <v>16</v>
      </c>
      <c r="J10" s="2364" t="s">
        <v>17</v>
      </c>
      <c r="K10" s="2363" t="s">
        <v>18</v>
      </c>
      <c r="L10" s="2481"/>
    </row>
    <row r="11" spans="1:16" ht="24" customHeight="1">
      <c r="A11" s="690" t="s">
        <v>25</v>
      </c>
      <c r="B11" s="2381" t="s">
        <v>1265</v>
      </c>
      <c r="C11" s="692"/>
      <c r="D11" s="693"/>
      <c r="E11" s="694"/>
      <c r="F11" s="695"/>
      <c r="G11" s="696"/>
      <c r="H11" s="697"/>
      <c r="I11" s="698"/>
      <c r="J11" s="697"/>
      <c r="K11" s="1365"/>
      <c r="L11" s="953"/>
    </row>
    <row r="12" spans="1:16" s="714" customFormat="1" ht="24" customHeight="1">
      <c r="A12" s="719" t="str">
        <f>A35</f>
        <v>3.1</v>
      </c>
      <c r="B12" s="754" t="str">
        <f>B35</f>
        <v>Distribution Board</v>
      </c>
      <c r="C12" s="717"/>
      <c r="D12" s="718"/>
      <c r="E12" s="708">
        <v>1</v>
      </c>
      <c r="F12" s="709" t="s">
        <v>19</v>
      </c>
      <c r="G12" s="710"/>
      <c r="H12" s="711">
        <f>H43</f>
        <v>0</v>
      </c>
      <c r="I12" s="956"/>
      <c r="J12" s="711">
        <f>J43</f>
        <v>0</v>
      </c>
      <c r="K12" s="999">
        <f>K43</f>
        <v>0</v>
      </c>
      <c r="L12" s="954"/>
    </row>
    <row r="13" spans="1:16" s="714" customFormat="1" ht="24" customHeight="1">
      <c r="A13" s="719" t="str">
        <f>A44</f>
        <v>3.2</v>
      </c>
      <c r="B13" s="754" t="str">
        <f>B44</f>
        <v>Essential Distribution Board</v>
      </c>
      <c r="C13" s="717"/>
      <c r="D13" s="718"/>
      <c r="E13" s="708">
        <v>1</v>
      </c>
      <c r="F13" s="709" t="s">
        <v>19</v>
      </c>
      <c r="G13" s="710"/>
      <c r="H13" s="711">
        <f>H51</f>
        <v>0</v>
      </c>
      <c r="I13" s="956"/>
      <c r="J13" s="711">
        <f>J51</f>
        <v>0</v>
      </c>
      <c r="K13" s="999">
        <f>K51</f>
        <v>0</v>
      </c>
      <c r="L13" s="954"/>
    </row>
    <row r="14" spans="1:16" s="714" customFormat="1" ht="24" customHeight="1">
      <c r="A14" s="719" t="str">
        <f>A52</f>
        <v>3.3</v>
      </c>
      <c r="B14" s="705" t="str">
        <f>B52</f>
        <v>แผงสวิทช์ย่อยและเซอร์กิต เบรคเกอร์ (Panelboard &amp; CB)</v>
      </c>
      <c r="C14" s="717"/>
      <c r="D14" s="718"/>
      <c r="E14" s="708">
        <v>1</v>
      </c>
      <c r="F14" s="709" t="s">
        <v>19</v>
      </c>
      <c r="G14" s="710"/>
      <c r="H14" s="711">
        <f>H64</f>
        <v>26948</v>
      </c>
      <c r="I14" s="712"/>
      <c r="J14" s="711">
        <f>J64</f>
        <v>3000</v>
      </c>
      <c r="K14" s="999">
        <f>K64</f>
        <v>29948</v>
      </c>
      <c r="L14" s="954"/>
    </row>
    <row r="15" spans="1:16" s="714" customFormat="1" ht="24" customHeight="1">
      <c r="A15" s="719" t="str">
        <f>A65</f>
        <v>3.4</v>
      </c>
      <c r="B15" s="705" t="str">
        <f>B65</f>
        <v>สายไฟฟ้า (Cable &amp; Wire)</v>
      </c>
      <c r="C15" s="717"/>
      <c r="D15" s="718"/>
      <c r="E15" s="708">
        <v>1</v>
      </c>
      <c r="F15" s="709" t="s">
        <v>19</v>
      </c>
      <c r="G15" s="710"/>
      <c r="H15" s="711">
        <f>H73</f>
        <v>895986</v>
      </c>
      <c r="I15" s="712"/>
      <c r="J15" s="711">
        <f>J73</f>
        <v>420920</v>
      </c>
      <c r="K15" s="999">
        <f>K73</f>
        <v>1316906</v>
      </c>
      <c r="L15" s="954"/>
      <c r="P15" s="715"/>
    </row>
    <row r="16" spans="1:16" s="714" customFormat="1" ht="24" customHeight="1">
      <c r="A16" s="719" t="str">
        <f>A74</f>
        <v>3.5</v>
      </c>
      <c r="B16" s="705" t="str">
        <f>B74</f>
        <v>รางเดินสายไฟฟ้า (Raceway)</v>
      </c>
      <c r="C16" s="717"/>
      <c r="D16" s="718"/>
      <c r="E16" s="708">
        <v>1</v>
      </c>
      <c r="F16" s="709" t="s">
        <v>19</v>
      </c>
      <c r="G16" s="710"/>
      <c r="H16" s="711">
        <f>H87</f>
        <v>926935</v>
      </c>
      <c r="I16" s="712"/>
      <c r="J16" s="711">
        <f>J87</f>
        <v>340722</v>
      </c>
      <c r="K16" s="999">
        <f>K87</f>
        <v>1267657</v>
      </c>
      <c r="L16" s="954"/>
      <c r="P16" s="715"/>
    </row>
    <row r="17" spans="1:12" s="714" customFormat="1" ht="24" customHeight="1">
      <c r="A17" s="719" t="str">
        <f>A88</f>
        <v>3.6</v>
      </c>
      <c r="B17" s="705" t="str">
        <f>B88</f>
        <v>สวิทช์และเต้ารับ (Switch &amp; Outlet)</v>
      </c>
      <c r="C17" s="717"/>
      <c r="D17" s="718"/>
      <c r="E17" s="708">
        <v>1</v>
      </c>
      <c r="F17" s="709" t="s">
        <v>19</v>
      </c>
      <c r="G17" s="710"/>
      <c r="H17" s="711">
        <f>H98</f>
        <v>5474</v>
      </c>
      <c r="I17" s="712"/>
      <c r="J17" s="711">
        <f>J98</f>
        <v>2840</v>
      </c>
      <c r="K17" s="999">
        <f>K98</f>
        <v>8314</v>
      </c>
      <c r="L17" s="954"/>
    </row>
    <row r="18" spans="1:12" s="714" customFormat="1" ht="24" customHeight="1">
      <c r="A18" s="704" t="str">
        <f>A99</f>
        <v>3.7</v>
      </c>
      <c r="B18" s="705" t="str">
        <f>B99</f>
        <v>ระบบควบคุมแสงสว่าง (Lighting Control System)</v>
      </c>
      <c r="C18" s="717"/>
      <c r="D18" s="718"/>
      <c r="E18" s="708">
        <v>1</v>
      </c>
      <c r="F18" s="709" t="s">
        <v>19</v>
      </c>
      <c r="G18" s="710"/>
      <c r="H18" s="711">
        <f>H106</f>
        <v>195560</v>
      </c>
      <c r="I18" s="712"/>
      <c r="J18" s="711">
        <f>J106</f>
        <v>9778</v>
      </c>
      <c r="K18" s="999">
        <f>K106</f>
        <v>205338</v>
      </c>
      <c r="L18" s="954"/>
    </row>
    <row r="19" spans="1:12" s="714" customFormat="1" ht="24" customHeight="1">
      <c r="A19" s="719" t="str">
        <f>A107</f>
        <v>3.8</v>
      </c>
      <c r="B19" s="705" t="str">
        <f>B107</f>
        <v>โคมไฟฟ้า (Luminaire)</v>
      </c>
      <c r="C19" s="717"/>
      <c r="D19" s="718"/>
      <c r="E19" s="708">
        <v>1</v>
      </c>
      <c r="F19" s="709" t="s">
        <v>19</v>
      </c>
      <c r="G19" s="710"/>
      <c r="H19" s="711">
        <f>H130</f>
        <v>394635</v>
      </c>
      <c r="I19" s="712"/>
      <c r="J19" s="711">
        <f>J130</f>
        <v>93381</v>
      </c>
      <c r="K19" s="999">
        <f>K130</f>
        <v>488016</v>
      </c>
      <c r="L19" s="954"/>
    </row>
    <row r="20" spans="1:12" s="714" customFormat="1" ht="24" customHeight="1">
      <c r="A20" s="719" t="str">
        <f>A131</f>
        <v>3.9</v>
      </c>
      <c r="B20" s="720" t="str">
        <f>B131</f>
        <v>ระบบสัญญาณแจ้งเหตุเพลิงไหม้ (Fire Alarm System)</v>
      </c>
      <c r="C20" s="717"/>
      <c r="D20" s="718"/>
      <c r="E20" s="708">
        <v>1</v>
      </c>
      <c r="F20" s="722" t="s">
        <v>19</v>
      </c>
      <c r="G20" s="723"/>
      <c r="H20" s="711">
        <f>H166</f>
        <v>791674</v>
      </c>
      <c r="I20" s="712"/>
      <c r="J20" s="711">
        <f>J166</f>
        <v>140317</v>
      </c>
      <c r="K20" s="999">
        <f>K166</f>
        <v>931991</v>
      </c>
      <c r="L20" s="954"/>
    </row>
    <row r="21" spans="1:12" s="714" customFormat="1" ht="24" customHeight="1">
      <c r="A21" s="719" t="str">
        <f>A167</f>
        <v>3.10</v>
      </c>
      <c r="B21" s="720" t="str">
        <f>B167</f>
        <v>ระบบเสียงและประกาศเรียก (Public Address System)</v>
      </c>
      <c r="C21" s="717"/>
      <c r="D21" s="718"/>
      <c r="E21" s="708">
        <v>1</v>
      </c>
      <c r="F21" s="722" t="s">
        <v>19</v>
      </c>
      <c r="G21" s="723"/>
      <c r="H21" s="711">
        <f>H182</f>
        <v>155262</v>
      </c>
      <c r="I21" s="712"/>
      <c r="J21" s="711">
        <f>J182</f>
        <v>34868</v>
      </c>
      <c r="K21" s="999">
        <f>K182</f>
        <v>190130</v>
      </c>
      <c r="L21" s="954"/>
    </row>
    <row r="22" spans="1:12" s="714" customFormat="1" ht="24" customHeight="1">
      <c r="A22" s="719" t="str">
        <f>A183</f>
        <v>3.11</v>
      </c>
      <c r="B22" s="720" t="str">
        <f>B183</f>
        <v>ระบบควบคุมประตูอัตโนมัติ (Access Control System)</v>
      </c>
      <c r="C22" s="717"/>
      <c r="D22" s="718"/>
      <c r="E22" s="708">
        <v>1</v>
      </c>
      <c r="F22" s="722" t="s">
        <v>19</v>
      </c>
      <c r="G22" s="723"/>
      <c r="H22" s="711">
        <f>H207</f>
        <v>309396</v>
      </c>
      <c r="I22" s="712"/>
      <c r="J22" s="711">
        <f>J207</f>
        <v>12992</v>
      </c>
      <c r="K22" s="999">
        <f>K207</f>
        <v>322388</v>
      </c>
      <c r="L22" s="954"/>
    </row>
    <row r="23" spans="1:12" s="714" customFormat="1" ht="24" customHeight="1">
      <c r="A23" s="719" t="str">
        <f>A208</f>
        <v>3.12</v>
      </c>
      <c r="B23" s="720" t="str">
        <f>B208</f>
        <v>ระบบบริหารจัดการอาคาร (Building Management System : BMS)</v>
      </c>
      <c r="C23" s="717"/>
      <c r="D23" s="718"/>
      <c r="E23" s="708">
        <v>1</v>
      </c>
      <c r="F23" s="722" t="s">
        <v>19</v>
      </c>
      <c r="G23" s="710"/>
      <c r="H23" s="711">
        <f>H231</f>
        <v>589857</v>
      </c>
      <c r="I23" s="956"/>
      <c r="J23" s="711">
        <f>J231</f>
        <v>60143</v>
      </c>
      <c r="K23" s="999">
        <f>K231</f>
        <v>650000</v>
      </c>
      <c r="L23" s="954"/>
    </row>
    <row r="24" spans="1:12" s="714" customFormat="1" ht="24" customHeight="1">
      <c r="A24" s="719" t="str">
        <f>A232</f>
        <v>3.13</v>
      </c>
      <c r="B24" s="754" t="str">
        <f>B232</f>
        <v>ระบบแจ้งเหตุฉุกเฉิน (Panic Alarm System)</v>
      </c>
      <c r="C24" s="717"/>
      <c r="D24" s="718"/>
      <c r="E24" s="708">
        <v>1</v>
      </c>
      <c r="F24" s="722" t="s">
        <v>19</v>
      </c>
      <c r="G24" s="710"/>
      <c r="H24" s="711">
        <f>H250</f>
        <v>380617</v>
      </c>
      <c r="I24" s="956"/>
      <c r="J24" s="711">
        <f>J250</f>
        <v>15333</v>
      </c>
      <c r="K24" s="999">
        <f>K250</f>
        <v>395950</v>
      </c>
      <c r="L24" s="954"/>
    </row>
    <row r="25" spans="1:12" s="714" customFormat="1" ht="24" customHeight="1">
      <c r="A25" s="719"/>
      <c r="B25" s="720"/>
      <c r="C25" s="717"/>
      <c r="D25" s="718"/>
      <c r="E25" s="721"/>
      <c r="F25" s="722"/>
      <c r="G25" s="710"/>
      <c r="H25" s="711"/>
      <c r="I25" s="956"/>
      <c r="J25" s="957"/>
      <c r="K25" s="1005"/>
      <c r="L25" s="954"/>
    </row>
    <row r="26" spans="1:12" s="714" customFormat="1" ht="24" customHeight="1">
      <c r="A26" s="719"/>
      <c r="B26" s="720"/>
      <c r="C26" s="717"/>
      <c r="D26" s="718"/>
      <c r="E26" s="721"/>
      <c r="F26" s="722"/>
      <c r="G26" s="710"/>
      <c r="H26" s="711"/>
      <c r="I26" s="956"/>
      <c r="J26" s="957"/>
      <c r="K26" s="1005"/>
      <c r="L26" s="954"/>
    </row>
    <row r="27" spans="1:12" s="714" customFormat="1" ht="24" customHeight="1">
      <c r="A27" s="719"/>
      <c r="B27" s="720"/>
      <c r="C27" s="717"/>
      <c r="D27" s="718"/>
      <c r="E27" s="721"/>
      <c r="F27" s="722"/>
      <c r="G27" s="710"/>
      <c r="H27" s="711"/>
      <c r="I27" s="956"/>
      <c r="J27" s="957"/>
      <c r="K27" s="1005"/>
      <c r="L27" s="954"/>
    </row>
    <row r="28" spans="1:12" s="714" customFormat="1" ht="24" customHeight="1">
      <c r="A28" s="719"/>
      <c r="B28" s="720"/>
      <c r="C28" s="717"/>
      <c r="D28" s="718"/>
      <c r="E28" s="721"/>
      <c r="F28" s="722"/>
      <c r="G28" s="710"/>
      <c r="H28" s="711"/>
      <c r="I28" s="956"/>
      <c r="J28" s="957"/>
      <c r="K28" s="1005"/>
      <c r="L28" s="954"/>
    </row>
    <row r="29" spans="1:12" s="714" customFormat="1" ht="24" customHeight="1">
      <c r="A29" s="719"/>
      <c r="B29" s="720"/>
      <c r="C29" s="717"/>
      <c r="D29" s="718"/>
      <c r="E29" s="721"/>
      <c r="F29" s="722"/>
      <c r="G29" s="710"/>
      <c r="H29" s="711"/>
      <c r="I29" s="956"/>
      <c r="J29" s="957"/>
      <c r="K29" s="1005"/>
      <c r="L29" s="954"/>
    </row>
    <row r="30" spans="1:12" s="714" customFormat="1" ht="24" customHeight="1">
      <c r="A30" s="719"/>
      <c r="B30" s="720"/>
      <c r="C30" s="717"/>
      <c r="D30" s="718"/>
      <c r="E30" s="721"/>
      <c r="F30" s="722"/>
      <c r="G30" s="710"/>
      <c r="H30" s="711"/>
      <c r="I30" s="956"/>
      <c r="J30" s="957"/>
      <c r="K30" s="1005"/>
      <c r="L30" s="954"/>
    </row>
    <row r="31" spans="1:12" s="714" customFormat="1" ht="24" customHeight="1">
      <c r="A31" s="719"/>
      <c r="B31" s="720"/>
      <c r="C31" s="717"/>
      <c r="D31" s="718"/>
      <c r="E31" s="721"/>
      <c r="F31" s="722"/>
      <c r="G31" s="710"/>
      <c r="H31" s="711"/>
      <c r="I31" s="956"/>
      <c r="J31" s="957"/>
      <c r="K31" s="1005"/>
      <c r="L31" s="954"/>
    </row>
    <row r="32" spans="1:12" s="714" customFormat="1" ht="24" customHeight="1">
      <c r="A32" s="719"/>
      <c r="B32" s="720"/>
      <c r="C32" s="717"/>
      <c r="D32" s="718"/>
      <c r="E32" s="721"/>
      <c r="F32" s="722"/>
      <c r="G32" s="710"/>
      <c r="H32" s="711"/>
      <c r="I32" s="956"/>
      <c r="J32" s="957"/>
      <c r="K32" s="1005"/>
      <c r="L32" s="954"/>
    </row>
    <row r="33" spans="1:17" s="714" customFormat="1" ht="24" customHeight="1">
      <c r="A33" s="719"/>
      <c r="B33" s="720"/>
      <c r="C33" s="717"/>
      <c r="D33" s="718"/>
      <c r="E33" s="721"/>
      <c r="F33" s="722"/>
      <c r="G33" s="710"/>
      <c r="H33" s="711"/>
      <c r="I33" s="956"/>
      <c r="J33" s="957"/>
      <c r="K33" s="1005"/>
      <c r="L33" s="954"/>
    </row>
    <row r="34" spans="1:17" s="714" customFormat="1" ht="24" customHeight="1">
      <c r="A34" s="775"/>
      <c r="B34" s="2475" t="str">
        <f>"รวมราคา"&amp;B11</f>
        <v>รวมราคางานระบบไฟฟ้าและสื่อสาร ชั้น B2</v>
      </c>
      <c r="C34" s="2476"/>
      <c r="D34" s="2477"/>
      <c r="E34" s="2369"/>
      <c r="F34" s="777"/>
      <c r="G34" s="959"/>
      <c r="H34" s="960">
        <f>SUM(H11:H33)</f>
        <v>4672344</v>
      </c>
      <c r="I34" s="959"/>
      <c r="J34" s="960">
        <f>SUM(J11:J33)</f>
        <v>1134294</v>
      </c>
      <c r="K34" s="777">
        <f>SUM(K11:K33)</f>
        <v>5806638</v>
      </c>
      <c r="L34" s="1006"/>
      <c r="M34" s="729"/>
      <c r="N34" s="729"/>
      <c r="O34" s="1131"/>
      <c r="P34" s="729"/>
    </row>
    <row r="35" spans="1:17" s="714" customFormat="1" ht="24" customHeight="1">
      <c r="A35" s="911" t="s">
        <v>1266</v>
      </c>
      <c r="B35" s="816" t="s">
        <v>1050</v>
      </c>
      <c r="C35" s="859"/>
      <c r="D35" s="2382"/>
      <c r="E35" s="2370"/>
      <c r="F35" s="852"/>
      <c r="G35" s="853"/>
      <c r="H35" s="854"/>
      <c r="I35" s="855"/>
      <c r="J35" s="854"/>
      <c r="K35" s="1007"/>
      <c r="L35" s="2392"/>
    </row>
    <row r="36" spans="1:17" s="884" customFormat="1" ht="24" customHeight="1">
      <c r="A36" s="878"/>
      <c r="B36" s="720" t="s">
        <v>1428</v>
      </c>
      <c r="C36" s="895"/>
      <c r="D36" s="2383"/>
      <c r="E36" s="2371"/>
      <c r="F36" s="722" t="s">
        <v>240</v>
      </c>
      <c r="G36" s="858"/>
      <c r="H36" s="796">
        <f t="shared" ref="H36:H38" si="0">ROUND(G36*E36,)</f>
        <v>0</v>
      </c>
      <c r="I36" s="865"/>
      <c r="J36" s="796">
        <f t="shared" ref="J36:J38" si="1">ROUND(E36*I36,)</f>
        <v>0</v>
      </c>
      <c r="K36" s="799">
        <f t="shared" ref="K36:K38" si="2">H36+J36</f>
        <v>0</v>
      </c>
      <c r="L36" s="2393"/>
    </row>
    <row r="37" spans="1:17" s="884" customFormat="1" ht="24" customHeight="1">
      <c r="A37" s="831"/>
      <c r="B37" s="720" t="s">
        <v>1428</v>
      </c>
      <c r="C37" s="801"/>
      <c r="D37" s="1332"/>
      <c r="E37" s="2372"/>
      <c r="F37" s="722" t="s">
        <v>240</v>
      </c>
      <c r="G37" s="858"/>
      <c r="H37" s="796">
        <f t="shared" si="0"/>
        <v>0</v>
      </c>
      <c r="I37" s="865"/>
      <c r="J37" s="796">
        <f t="shared" si="1"/>
        <v>0</v>
      </c>
      <c r="K37" s="799">
        <f t="shared" si="2"/>
        <v>0</v>
      </c>
      <c r="L37" s="2393"/>
    </row>
    <row r="38" spans="1:17" s="884" customFormat="1" ht="24" customHeight="1">
      <c r="A38" s="831"/>
      <c r="B38" s="720" t="s">
        <v>1428</v>
      </c>
      <c r="C38" s="792"/>
      <c r="D38" s="1346"/>
      <c r="E38" s="2373"/>
      <c r="F38" s="722" t="s">
        <v>240</v>
      </c>
      <c r="G38" s="795"/>
      <c r="H38" s="796">
        <f t="shared" si="0"/>
        <v>0</v>
      </c>
      <c r="I38" s="797"/>
      <c r="J38" s="796">
        <f t="shared" si="1"/>
        <v>0</v>
      </c>
      <c r="K38" s="799">
        <f t="shared" si="2"/>
        <v>0</v>
      </c>
      <c r="L38" s="2393"/>
    </row>
    <row r="39" spans="1:17" s="714" customFormat="1" ht="24" customHeight="1">
      <c r="A39" s="831"/>
      <c r="B39" s="720" t="s">
        <v>957</v>
      </c>
      <c r="C39" s="792"/>
      <c r="D39" s="1346"/>
      <c r="E39" s="2373"/>
      <c r="F39" s="794"/>
      <c r="G39" s="795"/>
      <c r="H39" s="796"/>
      <c r="I39" s="797"/>
      <c r="J39" s="864"/>
      <c r="K39" s="1030"/>
      <c r="L39" s="1010"/>
      <c r="M39" s="729"/>
      <c r="N39" s="729"/>
      <c r="O39" s="729"/>
      <c r="P39" s="729"/>
      <c r="Q39" s="729"/>
    </row>
    <row r="40" spans="1:17" s="714" customFormat="1" ht="24" customHeight="1">
      <c r="A40" s="719"/>
      <c r="B40" s="720" t="s">
        <v>1428</v>
      </c>
      <c r="C40" s="717"/>
      <c r="D40" s="718"/>
      <c r="E40" s="721"/>
      <c r="F40" s="722"/>
      <c r="G40" s="710"/>
      <c r="H40" s="711"/>
      <c r="I40" s="712"/>
      <c r="J40" s="957"/>
      <c r="K40" s="1005"/>
      <c r="L40" s="954"/>
    </row>
    <row r="41" spans="1:17" s="714" customFormat="1" ht="24" customHeight="1">
      <c r="A41" s="719"/>
      <c r="B41" s="720" t="s">
        <v>1428</v>
      </c>
      <c r="C41" s="717"/>
      <c r="D41" s="718"/>
      <c r="E41" s="721"/>
      <c r="F41" s="722"/>
      <c r="G41" s="710"/>
      <c r="H41" s="711"/>
      <c r="I41" s="712"/>
      <c r="J41" s="957"/>
      <c r="K41" s="1005"/>
      <c r="L41" s="954"/>
    </row>
    <row r="42" spans="1:17" s="714" customFormat="1" ht="24" customHeight="1">
      <c r="A42" s="719"/>
      <c r="B42" s="720"/>
      <c r="C42" s="717"/>
      <c r="D42" s="718"/>
      <c r="E42" s="721"/>
      <c r="F42" s="722"/>
      <c r="G42" s="710"/>
      <c r="H42" s="711"/>
      <c r="I42" s="956"/>
      <c r="J42" s="957"/>
      <c r="K42" s="1005"/>
      <c r="L42" s="954"/>
    </row>
    <row r="43" spans="1:17" s="714" customFormat="1" ht="24" customHeight="1">
      <c r="A43" s="775"/>
      <c r="B43" s="2475" t="str">
        <f>"รวมราคารายการที่ "&amp;A35</f>
        <v>รวมราคารายการที่ 3.1</v>
      </c>
      <c r="C43" s="2476"/>
      <c r="D43" s="2477"/>
      <c r="E43" s="2369"/>
      <c r="F43" s="777"/>
      <c r="G43" s="959"/>
      <c r="H43" s="960">
        <f>SUM(H35:H42)</f>
        <v>0</v>
      </c>
      <c r="I43" s="959"/>
      <c r="J43" s="960">
        <f>SUM(J35:J42)</f>
        <v>0</v>
      </c>
      <c r="K43" s="777">
        <f>SUM(K35:K42)</f>
        <v>0</v>
      </c>
      <c r="L43" s="1006"/>
      <c r="M43" s="729"/>
      <c r="N43" s="729"/>
      <c r="O43" s="729"/>
      <c r="P43" s="729"/>
      <c r="Q43" s="729"/>
    </row>
    <row r="44" spans="1:17" s="714" customFormat="1" ht="24" customHeight="1">
      <c r="A44" s="911" t="s">
        <v>1275</v>
      </c>
      <c r="B44" s="816" t="s">
        <v>1103</v>
      </c>
      <c r="C44" s="859"/>
      <c r="D44" s="2382"/>
      <c r="E44" s="2370"/>
      <c r="F44" s="852"/>
      <c r="G44" s="853"/>
      <c r="H44" s="854"/>
      <c r="I44" s="855"/>
      <c r="J44" s="854"/>
      <c r="K44" s="1007"/>
      <c r="L44" s="2392"/>
    </row>
    <row r="45" spans="1:17" s="884" customFormat="1" ht="24" customHeight="1">
      <c r="A45" s="878"/>
      <c r="B45" s="720" t="s">
        <v>1428</v>
      </c>
      <c r="C45" s="895"/>
      <c r="D45" s="2383"/>
      <c r="E45" s="2371"/>
      <c r="F45" s="722" t="s">
        <v>240</v>
      </c>
      <c r="G45" s="858"/>
      <c r="H45" s="796">
        <f t="shared" ref="H45:H47" si="3">ROUND(G45*E45,)</f>
        <v>0</v>
      </c>
      <c r="I45" s="865"/>
      <c r="J45" s="796">
        <f t="shared" ref="J45:J47" si="4">ROUND(E45*I45,)</f>
        <v>0</v>
      </c>
      <c r="K45" s="799">
        <f t="shared" ref="K45:K47" si="5">H45+J45</f>
        <v>0</v>
      </c>
      <c r="L45" s="2393"/>
    </row>
    <row r="46" spans="1:17" s="884" customFormat="1" ht="24" customHeight="1">
      <c r="A46" s="831"/>
      <c r="B46" s="720" t="s">
        <v>1428</v>
      </c>
      <c r="C46" s="801"/>
      <c r="D46" s="1332"/>
      <c r="E46" s="2372"/>
      <c r="F46" s="722" t="s">
        <v>240</v>
      </c>
      <c r="G46" s="858"/>
      <c r="H46" s="796">
        <f t="shared" si="3"/>
        <v>0</v>
      </c>
      <c r="I46" s="865"/>
      <c r="J46" s="796">
        <f t="shared" si="4"/>
        <v>0</v>
      </c>
      <c r="K46" s="799">
        <f t="shared" si="5"/>
        <v>0</v>
      </c>
      <c r="L46" s="2393"/>
    </row>
    <row r="47" spans="1:17" s="884" customFormat="1" ht="24" customHeight="1">
      <c r="A47" s="831"/>
      <c r="B47" s="720" t="s">
        <v>1428</v>
      </c>
      <c r="C47" s="792"/>
      <c r="D47" s="1346"/>
      <c r="E47" s="2373"/>
      <c r="F47" s="722" t="s">
        <v>240</v>
      </c>
      <c r="G47" s="795"/>
      <c r="H47" s="796">
        <f t="shared" si="3"/>
        <v>0</v>
      </c>
      <c r="I47" s="797"/>
      <c r="J47" s="796">
        <f t="shared" si="4"/>
        <v>0</v>
      </c>
      <c r="K47" s="799">
        <f t="shared" si="5"/>
        <v>0</v>
      </c>
      <c r="L47" s="2393"/>
    </row>
    <row r="48" spans="1:17" s="714" customFormat="1" ht="24" customHeight="1">
      <c r="A48" s="831"/>
      <c r="B48" s="720" t="s">
        <v>957</v>
      </c>
      <c r="C48" s="792"/>
      <c r="D48" s="1346"/>
      <c r="E48" s="2373"/>
      <c r="F48" s="794"/>
      <c r="G48" s="795"/>
      <c r="H48" s="796"/>
      <c r="I48" s="797"/>
      <c r="J48" s="864"/>
      <c r="K48" s="1030"/>
      <c r="L48" s="1010"/>
      <c r="M48" s="729"/>
      <c r="N48" s="729"/>
      <c r="O48" s="729"/>
      <c r="P48" s="729"/>
      <c r="Q48" s="729"/>
    </row>
    <row r="49" spans="1:17" s="714" customFormat="1" ht="24" customHeight="1">
      <c r="A49" s="719"/>
      <c r="B49" s="720" t="s">
        <v>1428</v>
      </c>
      <c r="C49" s="717"/>
      <c r="D49" s="718"/>
      <c r="E49" s="721"/>
      <c r="F49" s="722"/>
      <c r="G49" s="710"/>
      <c r="H49" s="711"/>
      <c r="I49" s="712"/>
      <c r="J49" s="957"/>
      <c r="K49" s="1005"/>
      <c r="L49" s="954"/>
    </row>
    <row r="50" spans="1:17" s="714" customFormat="1" ht="24" customHeight="1">
      <c r="A50" s="719"/>
      <c r="B50" s="720" t="s">
        <v>1428</v>
      </c>
      <c r="C50" s="717"/>
      <c r="D50" s="718"/>
      <c r="E50" s="721"/>
      <c r="F50" s="722"/>
      <c r="G50" s="710"/>
      <c r="H50" s="711"/>
      <c r="I50" s="712"/>
      <c r="J50" s="957"/>
      <c r="K50" s="1005"/>
      <c r="L50" s="954"/>
    </row>
    <row r="51" spans="1:17" s="714" customFormat="1" ht="24" customHeight="1">
      <c r="A51" s="775"/>
      <c r="B51" s="2475" t="str">
        <f>"รวมราคารายการที่ "&amp;A44</f>
        <v>รวมราคารายการที่ 3.2</v>
      </c>
      <c r="C51" s="2476"/>
      <c r="D51" s="2477"/>
      <c r="E51" s="2369"/>
      <c r="F51" s="777"/>
      <c r="G51" s="959"/>
      <c r="H51" s="960">
        <f>SUM(H44:H50)</f>
        <v>0</v>
      </c>
      <c r="I51" s="959"/>
      <c r="J51" s="960">
        <f>SUM(J44:J50)</f>
        <v>0</v>
      </c>
      <c r="K51" s="777">
        <f>SUM(K44:K50)</f>
        <v>0</v>
      </c>
      <c r="L51" s="1006"/>
      <c r="M51" s="729"/>
      <c r="N51" s="729"/>
      <c r="O51" s="729"/>
      <c r="P51" s="729"/>
      <c r="Q51" s="729"/>
    </row>
    <row r="52" spans="1:17" s="714" customFormat="1" ht="24" customHeight="1">
      <c r="A52" s="961" t="s">
        <v>1279</v>
      </c>
      <c r="B52" s="782" t="s">
        <v>1267</v>
      </c>
      <c r="C52" s="784"/>
      <c r="D52" s="2384"/>
      <c r="E52" s="2374"/>
      <c r="F52" s="786"/>
      <c r="G52" s="787"/>
      <c r="H52" s="788"/>
      <c r="I52" s="789"/>
      <c r="J52" s="788"/>
      <c r="K52" s="965"/>
      <c r="L52" s="1074"/>
      <c r="M52" s="729"/>
      <c r="N52" s="729"/>
      <c r="O52" s="729"/>
      <c r="P52" s="729"/>
    </row>
    <row r="53" spans="1:17" s="714" customFormat="1" ht="24" customHeight="1">
      <c r="A53" s="861" t="s">
        <v>965</v>
      </c>
      <c r="B53" s="963" t="s">
        <v>1268</v>
      </c>
      <c r="C53" s="801"/>
      <c r="D53" s="1332"/>
      <c r="E53" s="2372"/>
      <c r="F53" s="867"/>
      <c r="G53" s="858"/>
      <c r="H53" s="864">
        <f t="shared" ref="H53:H62" si="6">ROUND(E53*G53,)</f>
        <v>0</v>
      </c>
      <c r="I53" s="865"/>
      <c r="J53" s="864">
        <f t="shared" ref="J53:J61" si="7">ROUND(E53*I53,)</f>
        <v>0</v>
      </c>
      <c r="K53" s="966">
        <f t="shared" ref="K53:K62" si="8">H53+J53</f>
        <v>0</v>
      </c>
      <c r="L53" s="1010"/>
      <c r="M53" s="729"/>
      <c r="N53" s="729"/>
      <c r="O53" s="729"/>
      <c r="P53" s="729"/>
    </row>
    <row r="54" spans="1:17" s="714" customFormat="1" ht="24" customHeight="1">
      <c r="A54" s="861"/>
      <c r="B54" s="800" t="s">
        <v>1269</v>
      </c>
      <c r="C54" s="801"/>
      <c r="D54" s="1332"/>
      <c r="E54" s="2372">
        <v>1</v>
      </c>
      <c r="F54" s="803" t="s">
        <v>240</v>
      </c>
      <c r="G54" s="858">
        <v>4800</v>
      </c>
      <c r="H54" s="864">
        <f t="shared" si="6"/>
        <v>4800</v>
      </c>
      <c r="I54" s="865">
        <v>1500</v>
      </c>
      <c r="J54" s="864">
        <f t="shared" si="7"/>
        <v>1500</v>
      </c>
      <c r="K54" s="966">
        <f t="shared" si="8"/>
        <v>6300</v>
      </c>
      <c r="L54" s="1010"/>
      <c r="M54" s="729"/>
      <c r="N54" s="729"/>
      <c r="O54" s="729"/>
      <c r="P54" s="729"/>
    </row>
    <row r="55" spans="1:17" s="714" customFormat="1" ht="24" customHeight="1">
      <c r="A55" s="861"/>
      <c r="B55" s="800" t="s">
        <v>1270</v>
      </c>
      <c r="C55" s="801"/>
      <c r="D55" s="1332"/>
      <c r="E55" s="2372">
        <v>1</v>
      </c>
      <c r="F55" s="803" t="s">
        <v>240</v>
      </c>
      <c r="G55" s="858">
        <v>2400</v>
      </c>
      <c r="H55" s="864">
        <f t="shared" si="6"/>
        <v>2400</v>
      </c>
      <c r="I55" s="865"/>
      <c r="J55" s="864">
        <f t="shared" si="7"/>
        <v>0</v>
      </c>
      <c r="K55" s="966">
        <f t="shared" si="8"/>
        <v>2400</v>
      </c>
      <c r="L55" s="1010"/>
      <c r="M55" s="729"/>
      <c r="N55" s="729"/>
      <c r="O55" s="729"/>
      <c r="P55" s="729"/>
    </row>
    <row r="56" spans="1:17" s="714" customFormat="1" ht="24" customHeight="1">
      <c r="A56" s="861"/>
      <c r="B56" s="800" t="s">
        <v>1271</v>
      </c>
      <c r="C56" s="801"/>
      <c r="D56" s="1332"/>
      <c r="E56" s="2372">
        <v>15</v>
      </c>
      <c r="F56" s="803" t="s">
        <v>240</v>
      </c>
      <c r="G56" s="858">
        <v>138</v>
      </c>
      <c r="H56" s="864">
        <f t="shared" si="6"/>
        <v>2070</v>
      </c>
      <c r="I56" s="865"/>
      <c r="J56" s="864">
        <f t="shared" si="7"/>
        <v>0</v>
      </c>
      <c r="K56" s="966">
        <f t="shared" si="8"/>
        <v>2070</v>
      </c>
      <c r="L56" s="1010"/>
      <c r="M56" s="729"/>
      <c r="N56" s="729"/>
      <c r="O56" s="729"/>
      <c r="P56" s="729"/>
    </row>
    <row r="57" spans="1:17" s="714" customFormat="1" ht="24" customHeight="1">
      <c r="A57" s="861"/>
      <c r="B57" s="800" t="s">
        <v>1272</v>
      </c>
      <c r="C57" s="801"/>
      <c r="D57" s="1332"/>
      <c r="E57" s="2372">
        <v>1</v>
      </c>
      <c r="F57" s="803" t="s">
        <v>240</v>
      </c>
      <c r="G57" s="858">
        <v>680</v>
      </c>
      <c r="H57" s="864">
        <f t="shared" si="6"/>
        <v>680</v>
      </c>
      <c r="I57" s="865"/>
      <c r="J57" s="864"/>
      <c r="K57" s="966">
        <f t="shared" si="8"/>
        <v>680</v>
      </c>
      <c r="L57" s="1010"/>
      <c r="M57" s="729"/>
      <c r="N57" s="729"/>
      <c r="O57" s="729"/>
      <c r="P57" s="729"/>
    </row>
    <row r="58" spans="1:17" s="714" customFormat="1" ht="24" customHeight="1">
      <c r="A58" s="861"/>
      <c r="B58" s="800" t="s">
        <v>1273</v>
      </c>
      <c r="C58" s="801"/>
      <c r="D58" s="1332"/>
      <c r="E58" s="2372">
        <v>3</v>
      </c>
      <c r="F58" s="803" t="s">
        <v>240</v>
      </c>
      <c r="G58" s="858">
        <v>1288</v>
      </c>
      <c r="H58" s="864">
        <f t="shared" si="6"/>
        <v>3864</v>
      </c>
      <c r="I58" s="865"/>
      <c r="J58" s="864"/>
      <c r="K58" s="966">
        <f t="shared" si="8"/>
        <v>3864</v>
      </c>
      <c r="L58" s="1010"/>
      <c r="M58" s="729"/>
      <c r="N58" s="729"/>
      <c r="O58" s="729"/>
      <c r="P58" s="729"/>
    </row>
    <row r="59" spans="1:17" s="714" customFormat="1" ht="24" customHeight="1">
      <c r="A59" s="861"/>
      <c r="B59" s="800" t="s">
        <v>1274</v>
      </c>
      <c r="C59" s="801"/>
      <c r="D59" s="1332"/>
      <c r="E59" s="2372">
        <v>1</v>
      </c>
      <c r="F59" s="803" t="s">
        <v>240</v>
      </c>
      <c r="G59" s="858">
        <v>4800</v>
      </c>
      <c r="H59" s="864">
        <f t="shared" si="6"/>
        <v>4800</v>
      </c>
      <c r="I59" s="865">
        <v>1500</v>
      </c>
      <c r="J59" s="864">
        <f t="shared" si="7"/>
        <v>1500</v>
      </c>
      <c r="K59" s="966">
        <f t="shared" si="8"/>
        <v>6300</v>
      </c>
      <c r="L59" s="1010"/>
      <c r="M59" s="729"/>
      <c r="N59" s="729"/>
      <c r="O59" s="729"/>
      <c r="P59" s="729"/>
    </row>
    <row r="60" spans="1:17" s="714" customFormat="1" ht="24" customHeight="1">
      <c r="A60" s="861"/>
      <c r="B60" s="800" t="s">
        <v>1270</v>
      </c>
      <c r="C60" s="801"/>
      <c r="D60" s="1332"/>
      <c r="E60" s="2372">
        <v>1</v>
      </c>
      <c r="F60" s="803" t="s">
        <v>240</v>
      </c>
      <c r="G60" s="858">
        <v>2400</v>
      </c>
      <c r="H60" s="864">
        <f t="shared" si="6"/>
        <v>2400</v>
      </c>
      <c r="I60" s="865"/>
      <c r="J60" s="864">
        <f t="shared" si="7"/>
        <v>0</v>
      </c>
      <c r="K60" s="966">
        <f t="shared" si="8"/>
        <v>2400</v>
      </c>
      <c r="L60" s="1010"/>
      <c r="M60" s="729"/>
      <c r="N60" s="729"/>
      <c r="O60" s="729"/>
      <c r="P60" s="729"/>
    </row>
    <row r="61" spans="1:17" s="714" customFormat="1" ht="24" customHeight="1">
      <c r="A61" s="861"/>
      <c r="B61" s="800" t="s">
        <v>1271</v>
      </c>
      <c r="C61" s="801"/>
      <c r="D61" s="1332"/>
      <c r="E61" s="2372">
        <v>15</v>
      </c>
      <c r="F61" s="803" t="s">
        <v>240</v>
      </c>
      <c r="G61" s="858">
        <v>138</v>
      </c>
      <c r="H61" s="864">
        <f t="shared" si="6"/>
        <v>2070</v>
      </c>
      <c r="I61" s="865"/>
      <c r="J61" s="864">
        <f t="shared" si="7"/>
        <v>0</v>
      </c>
      <c r="K61" s="966">
        <f t="shared" si="8"/>
        <v>2070</v>
      </c>
      <c r="L61" s="1010"/>
      <c r="M61" s="729"/>
      <c r="N61" s="729"/>
      <c r="O61" s="729"/>
      <c r="P61" s="729"/>
    </row>
    <row r="62" spans="1:17" s="714" customFormat="1" ht="24" customHeight="1">
      <c r="A62" s="861"/>
      <c r="B62" s="800" t="s">
        <v>1273</v>
      </c>
      <c r="C62" s="801"/>
      <c r="D62" s="1332"/>
      <c r="E62" s="2372">
        <v>3</v>
      </c>
      <c r="F62" s="803" t="s">
        <v>240</v>
      </c>
      <c r="G62" s="858">
        <v>1288</v>
      </c>
      <c r="H62" s="864">
        <f t="shared" si="6"/>
        <v>3864</v>
      </c>
      <c r="I62" s="865"/>
      <c r="J62" s="864"/>
      <c r="K62" s="966">
        <f t="shared" si="8"/>
        <v>3864</v>
      </c>
      <c r="L62" s="1010"/>
      <c r="M62" s="729"/>
      <c r="N62" s="729"/>
      <c r="O62" s="729"/>
      <c r="P62" s="729"/>
    </row>
    <row r="63" spans="1:17" s="714" customFormat="1" ht="24" customHeight="1">
      <c r="A63" s="831"/>
      <c r="B63" s="720" t="s">
        <v>957</v>
      </c>
      <c r="C63" s="792"/>
      <c r="D63" s="1346"/>
      <c r="E63" s="2373"/>
      <c r="F63" s="794"/>
      <c r="G63" s="795"/>
      <c r="H63" s="796"/>
      <c r="I63" s="797"/>
      <c r="J63" s="796"/>
      <c r="K63" s="1014"/>
      <c r="L63" s="1010"/>
      <c r="M63" s="729"/>
      <c r="N63" s="729"/>
      <c r="O63" s="729"/>
      <c r="P63" s="729"/>
    </row>
    <row r="64" spans="1:17" s="714" customFormat="1" ht="24" customHeight="1">
      <c r="A64" s="775"/>
      <c r="B64" s="2475" t="str">
        <f>"รวมราคารายการที่ "&amp;A52</f>
        <v>รวมราคารายการที่ 3.3</v>
      </c>
      <c r="C64" s="2476"/>
      <c r="D64" s="2477"/>
      <c r="E64" s="2369"/>
      <c r="F64" s="777"/>
      <c r="G64" s="959"/>
      <c r="H64" s="960">
        <f>SUM(H53:H63)</f>
        <v>26948</v>
      </c>
      <c r="I64" s="959"/>
      <c r="J64" s="960">
        <f>SUM(J53:J63)</f>
        <v>3000</v>
      </c>
      <c r="K64" s="777">
        <f>SUM(K53:K63)</f>
        <v>29948</v>
      </c>
      <c r="L64" s="1006"/>
      <c r="M64" s="729"/>
      <c r="N64" s="729"/>
      <c r="O64" s="729"/>
      <c r="P64" s="729"/>
    </row>
    <row r="65" spans="1:16" s="714" customFormat="1" ht="24" customHeight="1">
      <c r="A65" s="911" t="s">
        <v>1282</v>
      </c>
      <c r="B65" s="816" t="s">
        <v>1159</v>
      </c>
      <c r="C65" s="850"/>
      <c r="D65" s="2382"/>
      <c r="E65" s="2370"/>
      <c r="F65" s="852"/>
      <c r="G65" s="853"/>
      <c r="H65" s="854"/>
      <c r="I65" s="855"/>
      <c r="J65" s="854"/>
      <c r="K65" s="965"/>
      <c r="L65" s="912"/>
      <c r="M65" s="729"/>
      <c r="N65" s="729"/>
      <c r="O65" s="729"/>
      <c r="P65" s="729"/>
    </row>
    <row r="66" spans="1:16" s="714" customFormat="1" ht="24" customHeight="1">
      <c r="A66" s="856" t="s">
        <v>971</v>
      </c>
      <c r="B66" s="720" t="s">
        <v>1276</v>
      </c>
      <c r="C66" s="717"/>
      <c r="D66" s="718"/>
      <c r="E66" s="1141"/>
      <c r="F66" s="916"/>
      <c r="G66" s="806"/>
      <c r="H66" s="796">
        <f t="shared" ref="H66:H71" si="9">ROUND(E66*G66,)</f>
        <v>0</v>
      </c>
      <c r="I66" s="807"/>
      <c r="J66" s="796">
        <f t="shared" ref="J66:J71" si="10">ROUND(E66*I66,)</f>
        <v>0</v>
      </c>
      <c r="K66" s="966">
        <f t="shared" ref="K66:K71" si="11">H66+J66</f>
        <v>0</v>
      </c>
      <c r="L66" s="919"/>
      <c r="M66" s="729"/>
      <c r="N66" s="729"/>
      <c r="O66" s="729"/>
      <c r="P66" s="729"/>
    </row>
    <row r="67" spans="1:16" s="714" customFormat="1" ht="24" customHeight="1">
      <c r="A67" s="831"/>
      <c r="B67" s="720" t="s">
        <v>1277</v>
      </c>
      <c r="C67" s="717"/>
      <c r="D67" s="718"/>
      <c r="E67" s="915"/>
      <c r="F67" s="794" t="s">
        <v>438</v>
      </c>
      <c r="G67" s="806">
        <v>41</v>
      </c>
      <c r="H67" s="796">
        <f t="shared" si="9"/>
        <v>0</v>
      </c>
      <c r="I67" s="807">
        <v>12</v>
      </c>
      <c r="J67" s="796">
        <f t="shared" si="10"/>
        <v>0</v>
      </c>
      <c r="K67" s="966">
        <f t="shared" si="11"/>
        <v>0</v>
      </c>
      <c r="L67" s="919"/>
      <c r="M67" s="729"/>
      <c r="N67" s="729"/>
      <c r="O67" s="729"/>
      <c r="P67" s="729"/>
    </row>
    <row r="68" spans="1:16" s="714" customFormat="1" ht="24" customHeight="1">
      <c r="A68" s="856" t="s">
        <v>975</v>
      </c>
      <c r="B68" s="720" t="s">
        <v>1179</v>
      </c>
      <c r="C68" s="717"/>
      <c r="D68" s="718"/>
      <c r="E68" s="2375"/>
      <c r="F68" s="916"/>
      <c r="G68" s="806"/>
      <c r="H68" s="796">
        <f t="shared" si="9"/>
        <v>0</v>
      </c>
      <c r="I68" s="807"/>
      <c r="J68" s="796">
        <f t="shared" si="10"/>
        <v>0</v>
      </c>
      <c r="K68" s="966">
        <f t="shared" si="11"/>
        <v>0</v>
      </c>
      <c r="L68" s="919"/>
      <c r="M68" s="729"/>
      <c r="N68" s="729"/>
      <c r="O68" s="729"/>
      <c r="P68" s="729"/>
    </row>
    <row r="69" spans="1:16" s="714" customFormat="1" ht="24" customHeight="1">
      <c r="A69" s="831"/>
      <c r="B69" s="720" t="s">
        <v>1277</v>
      </c>
      <c r="C69" s="717"/>
      <c r="D69" s="718"/>
      <c r="E69" s="915">
        <v>19590</v>
      </c>
      <c r="F69" s="794" t="s">
        <v>438</v>
      </c>
      <c r="G69" s="806">
        <v>24</v>
      </c>
      <c r="H69" s="796">
        <f t="shared" si="9"/>
        <v>470160</v>
      </c>
      <c r="I69" s="807">
        <v>12</v>
      </c>
      <c r="J69" s="796">
        <f t="shared" si="10"/>
        <v>235080</v>
      </c>
      <c r="K69" s="966">
        <f t="shared" si="11"/>
        <v>705240</v>
      </c>
      <c r="L69" s="919"/>
      <c r="M69" s="729"/>
      <c r="N69" s="729"/>
      <c r="O69" s="1131"/>
      <c r="P69" s="729"/>
    </row>
    <row r="70" spans="1:16" s="714" customFormat="1" ht="24" customHeight="1">
      <c r="A70" s="831"/>
      <c r="B70" s="720" t="s">
        <v>1166</v>
      </c>
      <c r="C70" s="717"/>
      <c r="D70" s="718"/>
      <c r="E70" s="915">
        <v>12360</v>
      </c>
      <c r="F70" s="794" t="s">
        <v>438</v>
      </c>
      <c r="G70" s="806">
        <v>31</v>
      </c>
      <c r="H70" s="796">
        <f t="shared" si="9"/>
        <v>383160</v>
      </c>
      <c r="I70" s="807">
        <v>14</v>
      </c>
      <c r="J70" s="796">
        <f t="shared" si="10"/>
        <v>173040</v>
      </c>
      <c r="K70" s="966">
        <f t="shared" si="11"/>
        <v>556200</v>
      </c>
      <c r="L70" s="919"/>
      <c r="M70" s="729"/>
      <c r="N70" s="729"/>
      <c r="O70" s="1131"/>
      <c r="P70" s="729"/>
    </row>
    <row r="71" spans="1:16" s="714" customFormat="1" ht="24" customHeight="1">
      <c r="A71" s="856"/>
      <c r="B71" s="720" t="s">
        <v>1278</v>
      </c>
      <c r="C71" s="717"/>
      <c r="D71" s="718"/>
      <c r="E71" s="915">
        <v>1</v>
      </c>
      <c r="F71" s="794" t="s">
        <v>948</v>
      </c>
      <c r="G71" s="806">
        <f>ROUND(SUM(H67:H70)*0.05,)</f>
        <v>42666</v>
      </c>
      <c r="H71" s="796">
        <f t="shared" si="9"/>
        <v>42666</v>
      </c>
      <c r="I71" s="797">
        <f>ROUND(G71*0.3,)</f>
        <v>12800</v>
      </c>
      <c r="J71" s="796">
        <f t="shared" si="10"/>
        <v>12800</v>
      </c>
      <c r="K71" s="966">
        <f t="shared" si="11"/>
        <v>55466</v>
      </c>
      <c r="L71" s="919"/>
      <c r="M71" s="729"/>
      <c r="N71" s="729"/>
      <c r="O71" s="729"/>
      <c r="P71" s="729"/>
    </row>
    <row r="72" spans="1:16" s="714" customFormat="1" ht="24" customHeight="1">
      <c r="A72" s="831"/>
      <c r="B72" s="720" t="s">
        <v>957</v>
      </c>
      <c r="C72" s="717"/>
      <c r="D72" s="718"/>
      <c r="E72" s="1141"/>
      <c r="F72" s="916"/>
      <c r="G72" s="806"/>
      <c r="H72" s="918"/>
      <c r="I72" s="807"/>
      <c r="J72" s="919"/>
      <c r="K72" s="968"/>
      <c r="L72" s="919"/>
      <c r="M72" s="729"/>
      <c r="N72" s="729"/>
      <c r="O72" s="729"/>
      <c r="P72" s="729"/>
    </row>
    <row r="73" spans="1:16" s="714" customFormat="1" ht="24" customHeight="1">
      <c r="A73" s="775"/>
      <c r="B73" s="2475" t="str">
        <f>"รวมราคารายการที่ "&amp;A65</f>
        <v>รวมราคารายการที่ 3.4</v>
      </c>
      <c r="C73" s="2476"/>
      <c r="D73" s="2477"/>
      <c r="E73" s="2369"/>
      <c r="F73" s="777"/>
      <c r="G73" s="959"/>
      <c r="H73" s="960">
        <f>SUM(H65:H72)</f>
        <v>895986</v>
      </c>
      <c r="I73" s="959"/>
      <c r="J73" s="960">
        <f>SUM(J65:J72)</f>
        <v>420920</v>
      </c>
      <c r="K73" s="777">
        <f>SUM(K65:K72)</f>
        <v>1316906</v>
      </c>
      <c r="L73" s="1006"/>
      <c r="M73" s="729"/>
      <c r="N73" s="2348"/>
      <c r="O73" s="729"/>
      <c r="P73" s="729"/>
    </row>
    <row r="74" spans="1:16" s="714" customFormat="1" ht="24" customHeight="1">
      <c r="A74" s="911" t="s">
        <v>1290</v>
      </c>
      <c r="B74" s="816" t="s">
        <v>1181</v>
      </c>
      <c r="C74" s="770"/>
      <c r="D74" s="771"/>
      <c r="E74" s="2376"/>
      <c r="F74" s="931"/>
      <c r="G74" s="932"/>
      <c r="H74" s="933"/>
      <c r="I74" s="934"/>
      <c r="J74" s="935"/>
      <c r="K74" s="1013"/>
      <c r="L74" s="935"/>
      <c r="M74" s="729"/>
      <c r="N74" s="729"/>
      <c r="O74" s="729"/>
      <c r="P74" s="729"/>
    </row>
    <row r="75" spans="1:16" s="714" customFormat="1" ht="24" customHeight="1">
      <c r="A75" s="831" t="s">
        <v>991</v>
      </c>
      <c r="B75" s="720" t="s">
        <v>1280</v>
      </c>
      <c r="C75" s="717"/>
      <c r="D75" s="718"/>
      <c r="E75" s="1141"/>
      <c r="F75" s="916"/>
      <c r="G75" s="806"/>
      <c r="H75" s="796">
        <f t="shared" ref="H75:H84" si="12">ROUND(E75*G75,)</f>
        <v>0</v>
      </c>
      <c r="I75" s="807"/>
      <c r="J75" s="796">
        <f t="shared" ref="J75:J84" si="13">ROUND(E75*I75,)</f>
        <v>0</v>
      </c>
      <c r="K75" s="968"/>
      <c r="L75" s="919"/>
      <c r="M75" s="729"/>
      <c r="N75" s="729"/>
      <c r="O75" s="729"/>
      <c r="P75" s="729"/>
    </row>
    <row r="76" spans="1:16" s="714" customFormat="1" ht="24" customHeight="1">
      <c r="A76" s="831"/>
      <c r="B76" s="720" t="s">
        <v>1201</v>
      </c>
      <c r="C76" s="717"/>
      <c r="D76" s="718"/>
      <c r="E76" s="1141"/>
      <c r="F76" s="794" t="s">
        <v>438</v>
      </c>
      <c r="G76" s="806">
        <v>27</v>
      </c>
      <c r="H76" s="796">
        <f t="shared" si="12"/>
        <v>0</v>
      </c>
      <c r="I76" s="807">
        <v>22</v>
      </c>
      <c r="J76" s="796">
        <f t="shared" si="13"/>
        <v>0</v>
      </c>
      <c r="K76" s="966">
        <f t="shared" ref="K76:K84" si="14">H76+J76</f>
        <v>0</v>
      </c>
      <c r="L76" s="2394" t="s">
        <v>2974</v>
      </c>
      <c r="M76" s="729"/>
      <c r="P76" s="729"/>
    </row>
    <row r="77" spans="1:16" s="714" customFormat="1" ht="24" customHeight="1">
      <c r="A77" s="831"/>
      <c r="B77" s="720" t="s">
        <v>952</v>
      </c>
      <c r="C77" s="717"/>
      <c r="D77" s="718"/>
      <c r="E77" s="1141">
        <v>1</v>
      </c>
      <c r="F77" s="916" t="s">
        <v>948</v>
      </c>
      <c r="G77" s="806">
        <f>ROUND(SUM(H76:H76)*15%,)</f>
        <v>0</v>
      </c>
      <c r="H77" s="796">
        <f t="shared" si="12"/>
        <v>0</v>
      </c>
      <c r="I77" s="797">
        <f>ROUND(G77*0.3,)</f>
        <v>0</v>
      </c>
      <c r="J77" s="796">
        <f t="shared" si="13"/>
        <v>0</v>
      </c>
      <c r="K77" s="966">
        <f t="shared" si="14"/>
        <v>0</v>
      </c>
      <c r="L77" s="919"/>
      <c r="M77" s="729"/>
      <c r="N77" s="729"/>
      <c r="O77" s="729"/>
      <c r="P77" s="729"/>
    </row>
    <row r="78" spans="1:16" s="714" customFormat="1" ht="24" customHeight="1">
      <c r="A78" s="831" t="s">
        <v>1020</v>
      </c>
      <c r="B78" s="720" t="s">
        <v>950</v>
      </c>
      <c r="C78" s="717"/>
      <c r="D78" s="718"/>
      <c r="E78" s="1141"/>
      <c r="F78" s="916"/>
      <c r="G78" s="806"/>
      <c r="H78" s="796">
        <f t="shared" si="12"/>
        <v>0</v>
      </c>
      <c r="I78" s="807"/>
      <c r="J78" s="796">
        <f t="shared" si="13"/>
        <v>0</v>
      </c>
      <c r="K78" s="966">
        <f t="shared" si="14"/>
        <v>0</v>
      </c>
      <c r="L78" s="919"/>
      <c r="M78" s="729"/>
      <c r="N78" s="729"/>
      <c r="O78" s="729"/>
      <c r="P78" s="729"/>
    </row>
    <row r="79" spans="1:16" s="714" customFormat="1" ht="24" customHeight="1">
      <c r="A79" s="831"/>
      <c r="B79" s="720" t="s">
        <v>1201</v>
      </c>
      <c r="C79" s="717"/>
      <c r="D79" s="718"/>
      <c r="E79" s="1141"/>
      <c r="F79" s="794" t="s">
        <v>438</v>
      </c>
      <c r="G79" s="806">
        <v>56</v>
      </c>
      <c r="H79" s="796">
        <f t="shared" si="12"/>
        <v>0</v>
      </c>
      <c r="I79" s="807">
        <v>26</v>
      </c>
      <c r="J79" s="796">
        <f t="shared" si="13"/>
        <v>0</v>
      </c>
      <c r="K79" s="966">
        <f t="shared" si="14"/>
        <v>0</v>
      </c>
      <c r="L79" s="2394" t="s">
        <v>2974</v>
      </c>
      <c r="M79" s="729"/>
      <c r="P79" s="729"/>
    </row>
    <row r="80" spans="1:16" s="714" customFormat="1" ht="24" customHeight="1">
      <c r="A80" s="831"/>
      <c r="B80" s="720" t="s">
        <v>1184</v>
      </c>
      <c r="C80" s="717"/>
      <c r="D80" s="718"/>
      <c r="E80" s="915">
        <v>10650</v>
      </c>
      <c r="F80" s="794" t="s">
        <v>438</v>
      </c>
      <c r="G80" s="806">
        <v>75</v>
      </c>
      <c r="H80" s="796">
        <f t="shared" si="12"/>
        <v>798750</v>
      </c>
      <c r="I80" s="807">
        <v>28</v>
      </c>
      <c r="J80" s="796">
        <f t="shared" si="13"/>
        <v>298200</v>
      </c>
      <c r="K80" s="799">
        <f t="shared" si="14"/>
        <v>1096950</v>
      </c>
      <c r="L80" s="2394" t="s">
        <v>2974</v>
      </c>
      <c r="O80" s="1131"/>
    </row>
    <row r="81" spans="1:17" s="714" customFormat="1" ht="24" customHeight="1">
      <c r="A81" s="831"/>
      <c r="B81" s="720" t="s">
        <v>1185</v>
      </c>
      <c r="C81" s="717"/>
      <c r="D81" s="718"/>
      <c r="E81" s="1141"/>
      <c r="F81" s="794" t="s">
        <v>438</v>
      </c>
      <c r="G81" s="806">
        <v>101</v>
      </c>
      <c r="H81" s="796">
        <f t="shared" si="12"/>
        <v>0</v>
      </c>
      <c r="I81" s="807">
        <v>32</v>
      </c>
      <c r="J81" s="796">
        <f t="shared" si="13"/>
        <v>0</v>
      </c>
      <c r="K81" s="966">
        <f t="shared" si="14"/>
        <v>0</v>
      </c>
      <c r="L81" s="2394" t="s">
        <v>2974</v>
      </c>
      <c r="M81" s="729"/>
      <c r="N81" s="729"/>
      <c r="P81" s="729"/>
    </row>
    <row r="82" spans="1:17" s="714" customFormat="1" ht="24" customHeight="1">
      <c r="A82" s="831"/>
      <c r="B82" s="720" t="s">
        <v>952</v>
      </c>
      <c r="C82" s="717"/>
      <c r="D82" s="718"/>
      <c r="E82" s="1141">
        <v>1</v>
      </c>
      <c r="F82" s="916" t="s">
        <v>948</v>
      </c>
      <c r="G82" s="806">
        <f>ROUND(SUM(H79:H81)*15%,)</f>
        <v>119813</v>
      </c>
      <c r="H82" s="796">
        <f t="shared" si="12"/>
        <v>119813</v>
      </c>
      <c r="I82" s="797">
        <f>ROUND(G82*0.3,)</f>
        <v>35944</v>
      </c>
      <c r="J82" s="796">
        <f t="shared" si="13"/>
        <v>35944</v>
      </c>
      <c r="K82" s="966">
        <f t="shared" si="14"/>
        <v>155757</v>
      </c>
      <c r="L82" s="919"/>
      <c r="M82" s="729"/>
      <c r="N82" s="729"/>
      <c r="O82" s="729"/>
      <c r="P82" s="729"/>
    </row>
    <row r="83" spans="1:17" s="714" customFormat="1" ht="24" customHeight="1">
      <c r="A83" s="831" t="s">
        <v>1578</v>
      </c>
      <c r="B83" s="720" t="s">
        <v>1281</v>
      </c>
      <c r="C83" s="717"/>
      <c r="D83" s="718"/>
      <c r="E83" s="1141"/>
      <c r="F83" s="916"/>
      <c r="G83" s="806"/>
      <c r="H83" s="796">
        <f t="shared" si="12"/>
        <v>0</v>
      </c>
      <c r="I83" s="807"/>
      <c r="J83" s="796">
        <f t="shared" si="13"/>
        <v>0</v>
      </c>
      <c r="K83" s="966">
        <f t="shared" si="14"/>
        <v>0</v>
      </c>
      <c r="L83" s="919"/>
      <c r="M83" s="729"/>
      <c r="N83" s="729"/>
      <c r="O83" s="729"/>
      <c r="P83" s="729"/>
    </row>
    <row r="84" spans="1:17" s="714" customFormat="1" ht="24" customHeight="1">
      <c r="A84" s="831"/>
      <c r="B84" s="720" t="s">
        <v>1201</v>
      </c>
      <c r="C84" s="717"/>
      <c r="D84" s="718"/>
      <c r="E84" s="1141">
        <v>598</v>
      </c>
      <c r="F84" s="794" t="s">
        <v>438</v>
      </c>
      <c r="G84" s="806">
        <v>14</v>
      </c>
      <c r="H84" s="796">
        <f t="shared" si="12"/>
        <v>8372</v>
      </c>
      <c r="I84" s="807">
        <v>11</v>
      </c>
      <c r="J84" s="796">
        <f t="shared" si="13"/>
        <v>6578</v>
      </c>
      <c r="K84" s="966">
        <f t="shared" si="14"/>
        <v>14950</v>
      </c>
      <c r="L84" s="919"/>
      <c r="M84" s="729"/>
      <c r="N84" s="729"/>
      <c r="O84" s="729"/>
      <c r="P84" s="729"/>
    </row>
    <row r="85" spans="1:17" s="714" customFormat="1" ht="24" customHeight="1">
      <c r="A85" s="831"/>
      <c r="B85" s="720" t="s">
        <v>957</v>
      </c>
      <c r="C85" s="717"/>
      <c r="D85" s="718"/>
      <c r="E85" s="1141"/>
      <c r="F85" s="916"/>
      <c r="G85" s="806"/>
      <c r="H85" s="918"/>
      <c r="I85" s="807"/>
      <c r="J85" s="919"/>
      <c r="K85" s="968"/>
      <c r="L85" s="919"/>
      <c r="M85" s="729"/>
      <c r="N85" s="729"/>
      <c r="O85" s="729"/>
      <c r="P85" s="729"/>
    </row>
    <row r="86" spans="1:17" s="714" customFormat="1" ht="24" customHeight="1">
      <c r="A86" s="831"/>
      <c r="B86" s="720" t="s">
        <v>958</v>
      </c>
      <c r="C86" s="717"/>
      <c r="D86" s="718"/>
      <c r="E86" s="1141"/>
      <c r="F86" s="916"/>
      <c r="G86" s="806"/>
      <c r="H86" s="918"/>
      <c r="I86" s="807"/>
      <c r="J86" s="919"/>
      <c r="K86" s="968"/>
      <c r="L86" s="919"/>
      <c r="M86" s="729"/>
      <c r="N86" s="729"/>
      <c r="O86" s="729"/>
      <c r="P86" s="729"/>
    </row>
    <row r="87" spans="1:17" s="714" customFormat="1" ht="24" customHeight="1">
      <c r="A87" s="775"/>
      <c r="B87" s="2475" t="str">
        <f>"รวมราคารายการที่ "&amp;A74</f>
        <v>รวมราคารายการที่ 3.5</v>
      </c>
      <c r="C87" s="2476"/>
      <c r="D87" s="2477"/>
      <c r="E87" s="2369"/>
      <c r="F87" s="777"/>
      <c r="G87" s="959"/>
      <c r="H87" s="960">
        <f>SUM(H74:H86)</f>
        <v>926935</v>
      </c>
      <c r="I87" s="959"/>
      <c r="J87" s="960">
        <f t="shared" ref="J87:K87" si="15">SUM(J74:J86)</f>
        <v>340722</v>
      </c>
      <c r="K87" s="777">
        <f t="shared" si="15"/>
        <v>1267657</v>
      </c>
      <c r="L87" s="1006"/>
      <c r="M87" s="729"/>
      <c r="N87" s="2348"/>
      <c r="O87" s="729"/>
      <c r="P87" s="729"/>
    </row>
    <row r="88" spans="1:17" s="714" customFormat="1" ht="24" customHeight="1">
      <c r="A88" s="911" t="s">
        <v>1293</v>
      </c>
      <c r="B88" s="816" t="s">
        <v>1283</v>
      </c>
      <c r="C88" s="770"/>
      <c r="D88" s="771"/>
      <c r="E88" s="2376"/>
      <c r="F88" s="931"/>
      <c r="G88" s="932"/>
      <c r="H88" s="933"/>
      <c r="I88" s="934"/>
      <c r="J88" s="935"/>
      <c r="K88" s="1013"/>
      <c r="L88" s="935"/>
      <c r="M88" s="729"/>
      <c r="N88" s="729"/>
      <c r="O88" s="729"/>
      <c r="P88" s="729"/>
    </row>
    <row r="89" spans="1:17" s="714" customFormat="1" ht="24" customHeight="1">
      <c r="A89" s="831" t="s">
        <v>1032</v>
      </c>
      <c r="B89" s="720" t="s">
        <v>1283</v>
      </c>
      <c r="C89" s="717"/>
      <c r="D89" s="718"/>
      <c r="E89" s="1141"/>
      <c r="F89" s="916"/>
      <c r="G89" s="806"/>
      <c r="H89" s="918"/>
      <c r="I89" s="807"/>
      <c r="J89" s="919"/>
      <c r="K89" s="968"/>
      <c r="L89" s="919"/>
      <c r="M89" s="729"/>
      <c r="N89" s="729"/>
      <c r="O89" s="729"/>
      <c r="P89" s="729"/>
    </row>
    <row r="90" spans="1:17" s="714" customFormat="1" ht="24" customHeight="1">
      <c r="A90" s="831"/>
      <c r="B90" s="720" t="s">
        <v>1284</v>
      </c>
      <c r="C90" s="717"/>
      <c r="D90" s="718"/>
      <c r="E90" s="1141">
        <v>4</v>
      </c>
      <c r="F90" s="722" t="s">
        <v>240</v>
      </c>
      <c r="G90" s="806">
        <v>90</v>
      </c>
      <c r="H90" s="796">
        <f t="shared" ref="H90:H95" si="16">ROUND(E90*G90,)</f>
        <v>360</v>
      </c>
      <c r="I90" s="807">
        <v>80</v>
      </c>
      <c r="J90" s="796">
        <f t="shared" ref="J90:J95" si="17">ROUND(E90*I90,)</f>
        <v>320</v>
      </c>
      <c r="K90" s="966">
        <f t="shared" ref="K90:K95" si="18">H90+J90</f>
        <v>680</v>
      </c>
      <c r="L90" s="919"/>
      <c r="M90" s="729"/>
      <c r="N90" s="729"/>
      <c r="O90" s="729"/>
      <c r="P90" s="729"/>
    </row>
    <row r="91" spans="1:17" s="714" customFormat="1" ht="24" customHeight="1">
      <c r="A91" s="831"/>
      <c r="B91" s="720" t="s">
        <v>1285</v>
      </c>
      <c r="C91" s="717"/>
      <c r="D91" s="718"/>
      <c r="E91" s="1141"/>
      <c r="F91" s="722" t="s">
        <v>240</v>
      </c>
      <c r="G91" s="806">
        <v>162</v>
      </c>
      <c r="H91" s="796">
        <f t="shared" si="16"/>
        <v>0</v>
      </c>
      <c r="I91" s="807">
        <v>90</v>
      </c>
      <c r="J91" s="796">
        <f t="shared" si="17"/>
        <v>0</v>
      </c>
      <c r="K91" s="966">
        <f t="shared" si="18"/>
        <v>0</v>
      </c>
      <c r="L91" s="919"/>
      <c r="M91" s="729"/>
      <c r="N91" s="729"/>
      <c r="O91" s="729"/>
      <c r="P91" s="729"/>
    </row>
    <row r="92" spans="1:17" s="714" customFormat="1" ht="24" customHeight="1">
      <c r="A92" s="831"/>
      <c r="B92" s="720" t="s">
        <v>1286</v>
      </c>
      <c r="C92" s="717"/>
      <c r="D92" s="718"/>
      <c r="E92" s="1141">
        <v>22</v>
      </c>
      <c r="F92" s="722" t="s">
        <v>240</v>
      </c>
      <c r="G92" s="806">
        <v>197</v>
      </c>
      <c r="H92" s="796">
        <f t="shared" si="16"/>
        <v>4334</v>
      </c>
      <c r="I92" s="807">
        <v>90</v>
      </c>
      <c r="J92" s="796">
        <f t="shared" si="17"/>
        <v>1980</v>
      </c>
      <c r="K92" s="966">
        <f t="shared" si="18"/>
        <v>6314</v>
      </c>
      <c r="L92" s="919"/>
      <c r="M92" s="729"/>
      <c r="N92" s="729"/>
      <c r="O92" s="729"/>
      <c r="P92" s="729"/>
    </row>
    <row r="93" spans="1:17" s="714" customFormat="1" ht="24" customHeight="1">
      <c r="A93" s="831"/>
      <c r="B93" s="705" t="s">
        <v>1287</v>
      </c>
      <c r="C93" s="717"/>
      <c r="D93" s="718"/>
      <c r="E93" s="2375"/>
      <c r="F93" s="709" t="s">
        <v>240</v>
      </c>
      <c r="G93" s="806">
        <v>1500</v>
      </c>
      <c r="H93" s="796">
        <f t="shared" si="16"/>
        <v>0</v>
      </c>
      <c r="I93" s="807">
        <v>265</v>
      </c>
      <c r="J93" s="796">
        <f t="shared" si="17"/>
        <v>0</v>
      </c>
      <c r="K93" s="966">
        <f t="shared" si="18"/>
        <v>0</v>
      </c>
      <c r="L93" s="919"/>
    </row>
    <row r="94" spans="1:17" s="714" customFormat="1" ht="24" customHeight="1">
      <c r="A94" s="831"/>
      <c r="B94" s="720" t="s">
        <v>1288</v>
      </c>
      <c r="C94" s="717"/>
      <c r="D94" s="718"/>
      <c r="E94" s="1141"/>
      <c r="F94" s="722" t="s">
        <v>240</v>
      </c>
      <c r="G94" s="806">
        <v>320</v>
      </c>
      <c r="H94" s="796">
        <f t="shared" si="16"/>
        <v>0</v>
      </c>
      <c r="I94" s="807">
        <v>200</v>
      </c>
      <c r="J94" s="796">
        <f t="shared" si="17"/>
        <v>0</v>
      </c>
      <c r="K94" s="966">
        <f t="shared" si="18"/>
        <v>0</v>
      </c>
      <c r="L94" s="919"/>
      <c r="M94" s="729"/>
      <c r="N94" s="729"/>
      <c r="O94" s="729"/>
      <c r="P94" s="729"/>
      <c r="Q94" s="729"/>
    </row>
    <row r="95" spans="1:17" s="714" customFormat="1" ht="24" customHeight="1">
      <c r="A95" s="831" t="s">
        <v>1598</v>
      </c>
      <c r="B95" s="720" t="s">
        <v>1289</v>
      </c>
      <c r="C95" s="717"/>
      <c r="D95" s="718"/>
      <c r="E95" s="1141">
        <v>6</v>
      </c>
      <c r="F95" s="722" t="s">
        <v>240</v>
      </c>
      <c r="G95" s="806">
        <v>130</v>
      </c>
      <c r="H95" s="796">
        <f t="shared" si="16"/>
        <v>780</v>
      </c>
      <c r="I95" s="807">
        <v>90</v>
      </c>
      <c r="J95" s="796">
        <f t="shared" si="17"/>
        <v>540</v>
      </c>
      <c r="K95" s="966">
        <f t="shared" si="18"/>
        <v>1320</v>
      </c>
      <c r="L95" s="919"/>
      <c r="M95" s="729"/>
      <c r="N95" s="729"/>
      <c r="O95" s="729"/>
      <c r="P95" s="729"/>
    </row>
    <row r="96" spans="1:17" s="714" customFormat="1" ht="24" customHeight="1">
      <c r="A96" s="831"/>
      <c r="B96" s="720" t="s">
        <v>957</v>
      </c>
      <c r="C96" s="717"/>
      <c r="D96" s="718"/>
      <c r="E96" s="1141"/>
      <c r="F96" s="916"/>
      <c r="G96" s="806"/>
      <c r="H96" s="918"/>
      <c r="I96" s="807"/>
      <c r="J96" s="919"/>
      <c r="K96" s="968"/>
      <c r="L96" s="919"/>
      <c r="M96" s="729"/>
      <c r="N96" s="729"/>
      <c r="O96" s="729"/>
      <c r="P96" s="729"/>
    </row>
    <row r="97" spans="1:16" s="714" customFormat="1" ht="24" customHeight="1">
      <c r="A97" s="921"/>
      <c r="B97" s="705" t="s">
        <v>958</v>
      </c>
      <c r="C97" s="761"/>
      <c r="D97" s="762"/>
      <c r="E97" s="1105"/>
      <c r="F97" s="924"/>
      <c r="G97" s="925"/>
      <c r="H97" s="926"/>
      <c r="I97" s="927"/>
      <c r="J97" s="928"/>
      <c r="K97" s="1072"/>
      <c r="L97" s="928"/>
      <c r="M97" s="729"/>
      <c r="N97" s="729"/>
      <c r="O97" s="729"/>
      <c r="P97" s="729"/>
    </row>
    <row r="98" spans="1:16" s="714" customFormat="1" ht="24" customHeight="1">
      <c r="A98" s="775"/>
      <c r="B98" s="2475" t="str">
        <f>"รวมราคารายการที่ "&amp;A88</f>
        <v>รวมราคารายการที่ 3.6</v>
      </c>
      <c r="C98" s="2476"/>
      <c r="D98" s="2477"/>
      <c r="E98" s="2369"/>
      <c r="F98" s="777"/>
      <c r="G98" s="959"/>
      <c r="H98" s="960">
        <f>SUM(H89:H97)</f>
        <v>5474</v>
      </c>
      <c r="I98" s="959"/>
      <c r="J98" s="960">
        <f t="shared" ref="J98:K98" si="19">SUM(J89:J97)</f>
        <v>2840</v>
      </c>
      <c r="K98" s="777">
        <f t="shared" si="19"/>
        <v>8314</v>
      </c>
      <c r="L98" s="1006"/>
      <c r="M98" s="729"/>
      <c r="N98" s="729"/>
      <c r="O98" s="729"/>
      <c r="P98" s="729"/>
    </row>
    <row r="99" spans="1:16" s="714" customFormat="1" ht="24" customHeight="1">
      <c r="A99" s="969" t="s">
        <v>1317</v>
      </c>
      <c r="B99" s="970" t="s">
        <v>1197</v>
      </c>
      <c r="C99" s="770"/>
      <c r="D99" s="771"/>
      <c r="E99" s="2376"/>
      <c r="F99" s="709"/>
      <c r="G99" s="932"/>
      <c r="H99" s="854"/>
      <c r="I99" s="934"/>
      <c r="J99" s="854"/>
      <c r="K99" s="1007"/>
      <c r="L99" s="935"/>
      <c r="M99" s="729"/>
      <c r="N99" s="729"/>
      <c r="O99" s="729"/>
      <c r="P99" s="729"/>
    </row>
    <row r="100" spans="1:16" s="714" customFormat="1" ht="24" customHeight="1">
      <c r="A100" s="791" t="s">
        <v>1051</v>
      </c>
      <c r="B100" s="971" t="s">
        <v>1291</v>
      </c>
      <c r="C100" s="717"/>
      <c r="D100" s="718"/>
      <c r="E100" s="1141"/>
      <c r="F100" s="722"/>
      <c r="G100" s="806"/>
      <c r="H100" s="796"/>
      <c r="I100" s="807"/>
      <c r="J100" s="796"/>
      <c r="K100" s="1014"/>
      <c r="L100" s="919"/>
      <c r="M100" s="729"/>
      <c r="N100" s="729"/>
      <c r="O100" s="729"/>
      <c r="P100" s="729"/>
    </row>
    <row r="101" spans="1:16" s="714" customFormat="1" ht="24" customHeight="1">
      <c r="A101" s="704"/>
      <c r="B101" s="972" t="s">
        <v>1292</v>
      </c>
      <c r="C101" s="717"/>
      <c r="D101" s="718"/>
      <c r="E101" s="1141">
        <v>1</v>
      </c>
      <c r="F101" s="722" t="s">
        <v>240</v>
      </c>
      <c r="G101" s="806">
        <f>72000+20280+5500</f>
        <v>97780</v>
      </c>
      <c r="H101" s="796">
        <f t="shared" ref="H101:H102" si="20">ROUND(E101*G101,)</f>
        <v>97780</v>
      </c>
      <c r="I101" s="807">
        <f t="shared" ref="I101:I102" si="21">G101*0.05</f>
        <v>4889</v>
      </c>
      <c r="J101" s="796">
        <f t="shared" ref="J101:J102" si="22">ROUND(E101*I101,)</f>
        <v>4889</v>
      </c>
      <c r="K101" s="966">
        <f t="shared" ref="K101:K102" si="23">H101+J101</f>
        <v>102669</v>
      </c>
      <c r="L101" s="919"/>
      <c r="M101" s="729"/>
      <c r="N101" s="729"/>
      <c r="O101" s="729"/>
      <c r="P101" s="729"/>
    </row>
    <row r="102" spans="1:16" s="714" customFormat="1" ht="24" customHeight="1">
      <c r="A102" s="704"/>
      <c r="B102" s="972" t="s">
        <v>1292</v>
      </c>
      <c r="C102" s="717"/>
      <c r="D102" s="718"/>
      <c r="E102" s="1141">
        <v>1</v>
      </c>
      <c r="F102" s="722" t="s">
        <v>240</v>
      </c>
      <c r="G102" s="806">
        <f>72000+20280+5500</f>
        <v>97780</v>
      </c>
      <c r="H102" s="796">
        <f t="shared" si="20"/>
        <v>97780</v>
      </c>
      <c r="I102" s="807">
        <f t="shared" si="21"/>
        <v>4889</v>
      </c>
      <c r="J102" s="796">
        <f t="shared" si="22"/>
        <v>4889</v>
      </c>
      <c r="K102" s="966">
        <f t="shared" si="23"/>
        <v>102669</v>
      </c>
      <c r="L102" s="919"/>
      <c r="M102" s="729"/>
      <c r="N102" s="729"/>
      <c r="O102" s="729"/>
      <c r="P102" s="729"/>
    </row>
    <row r="103" spans="1:16" s="714" customFormat="1" ht="24" customHeight="1">
      <c r="A103" s="704"/>
      <c r="B103" s="972" t="s">
        <v>957</v>
      </c>
      <c r="C103" s="717"/>
      <c r="D103" s="718"/>
      <c r="E103" s="1141"/>
      <c r="F103" s="916"/>
      <c r="G103" s="806"/>
      <c r="H103" s="918"/>
      <c r="I103" s="807"/>
      <c r="J103" s="919"/>
      <c r="K103" s="968"/>
      <c r="L103" s="919"/>
      <c r="M103" s="729"/>
      <c r="N103" s="729"/>
      <c r="O103" s="729"/>
      <c r="P103" s="729"/>
    </row>
    <row r="104" spans="1:16" s="714" customFormat="1" ht="24" customHeight="1">
      <c r="A104" s="704"/>
      <c r="B104" s="972" t="s">
        <v>958</v>
      </c>
      <c r="C104" s="717"/>
      <c r="D104" s="718"/>
      <c r="E104" s="1141"/>
      <c r="F104" s="916"/>
      <c r="G104" s="806"/>
      <c r="H104" s="918"/>
      <c r="I104" s="807"/>
      <c r="J104" s="919"/>
      <c r="K104" s="968"/>
      <c r="L104" s="919"/>
      <c r="M104" s="729"/>
      <c r="N104" s="729"/>
      <c r="O104" s="729"/>
      <c r="P104" s="729"/>
    </row>
    <row r="105" spans="1:16" s="714" customFormat="1" ht="24" customHeight="1">
      <c r="A105" s="704"/>
      <c r="B105" s="972" t="s">
        <v>958</v>
      </c>
      <c r="C105" s="717"/>
      <c r="D105" s="718"/>
      <c r="E105" s="1141"/>
      <c r="F105" s="916"/>
      <c r="G105" s="806"/>
      <c r="H105" s="918"/>
      <c r="I105" s="807"/>
      <c r="J105" s="919"/>
      <c r="K105" s="968"/>
      <c r="L105" s="919"/>
      <c r="M105" s="729"/>
      <c r="N105" s="729"/>
      <c r="O105" s="729"/>
      <c r="P105" s="729"/>
    </row>
    <row r="106" spans="1:16" s="714" customFormat="1" ht="24" customHeight="1">
      <c r="A106" s="775"/>
      <c r="B106" s="2475" t="str">
        <f>"รวมราคารายการที่ "&amp;A99</f>
        <v>รวมราคารายการที่ 3.7</v>
      </c>
      <c r="C106" s="2476"/>
      <c r="D106" s="2477"/>
      <c r="E106" s="2369"/>
      <c r="F106" s="777"/>
      <c r="G106" s="959"/>
      <c r="H106" s="960">
        <f>SUM(H99:H105)</f>
        <v>195560</v>
      </c>
      <c r="I106" s="959"/>
      <c r="J106" s="960">
        <f>SUM(J99:J105)</f>
        <v>9778</v>
      </c>
      <c r="K106" s="777">
        <f>SUM(K99:K105)</f>
        <v>205338</v>
      </c>
      <c r="L106" s="1006"/>
      <c r="M106" s="729"/>
      <c r="N106" s="729"/>
      <c r="O106" s="729"/>
      <c r="P106" s="729"/>
    </row>
    <row r="107" spans="1:16" s="714" customFormat="1" ht="24" customHeight="1">
      <c r="A107" s="911" t="s">
        <v>1339</v>
      </c>
      <c r="B107" s="816" t="s">
        <v>1294</v>
      </c>
      <c r="C107" s="770"/>
      <c r="D107" s="771"/>
      <c r="E107" s="2376"/>
      <c r="F107" s="709"/>
      <c r="G107" s="932"/>
      <c r="H107" s="854"/>
      <c r="I107" s="934"/>
      <c r="J107" s="854"/>
      <c r="K107" s="1007"/>
      <c r="L107" s="935"/>
      <c r="M107" s="729"/>
      <c r="N107" s="729"/>
      <c r="O107" s="729"/>
      <c r="P107" s="729"/>
    </row>
    <row r="108" spans="1:16" s="714" customFormat="1" ht="24" customHeight="1">
      <c r="A108" s="861"/>
      <c r="B108" s="756" t="s">
        <v>1295</v>
      </c>
      <c r="C108" s="717"/>
      <c r="D108" s="718"/>
      <c r="E108" s="2377">
        <v>21</v>
      </c>
      <c r="F108" s="759" t="s">
        <v>240</v>
      </c>
      <c r="G108" s="752">
        <v>420</v>
      </c>
      <c r="H108" s="864">
        <f t="shared" ref="H108:H129" si="24">ROUND(E108*G108,)</f>
        <v>8820</v>
      </c>
      <c r="I108" s="949">
        <v>115</v>
      </c>
      <c r="J108" s="864">
        <f t="shared" ref="J108:J129" si="25">ROUND(E108*I108,)</f>
        <v>2415</v>
      </c>
      <c r="K108" s="966">
        <f t="shared" ref="K108:K129" si="26">H108+J108</f>
        <v>11235</v>
      </c>
      <c r="L108" s="973"/>
      <c r="M108" s="729"/>
      <c r="N108" s="729"/>
      <c r="O108" s="729"/>
      <c r="P108" s="729"/>
    </row>
    <row r="109" spans="1:16" s="714" customFormat="1" ht="24" customHeight="1">
      <c r="A109" s="861"/>
      <c r="B109" s="756" t="s">
        <v>1296</v>
      </c>
      <c r="C109" s="717"/>
      <c r="D109" s="718"/>
      <c r="E109" s="2377">
        <v>348</v>
      </c>
      <c r="F109" s="759" t="s">
        <v>240</v>
      </c>
      <c r="G109" s="752">
        <v>500</v>
      </c>
      <c r="H109" s="864">
        <f t="shared" si="24"/>
        <v>174000</v>
      </c>
      <c r="I109" s="949">
        <v>115</v>
      </c>
      <c r="J109" s="864">
        <f t="shared" si="25"/>
        <v>40020</v>
      </c>
      <c r="K109" s="966">
        <f t="shared" si="26"/>
        <v>214020</v>
      </c>
      <c r="L109" s="973"/>
      <c r="M109" s="729"/>
      <c r="N109" s="729"/>
      <c r="O109" s="729"/>
      <c r="P109" s="729"/>
    </row>
    <row r="110" spans="1:16" s="714" customFormat="1" ht="24" customHeight="1">
      <c r="A110" s="861"/>
      <c r="B110" s="756" t="s">
        <v>1297</v>
      </c>
      <c r="C110" s="717"/>
      <c r="D110" s="718"/>
      <c r="E110" s="2377">
        <v>85</v>
      </c>
      <c r="F110" s="759" t="s">
        <v>240</v>
      </c>
      <c r="G110" s="752">
        <v>550</v>
      </c>
      <c r="H110" s="864">
        <f t="shared" si="24"/>
        <v>46750</v>
      </c>
      <c r="I110" s="949">
        <v>115</v>
      </c>
      <c r="J110" s="864">
        <f t="shared" si="25"/>
        <v>9775</v>
      </c>
      <c r="K110" s="966">
        <f t="shared" si="26"/>
        <v>56525</v>
      </c>
      <c r="L110" s="973"/>
      <c r="M110" s="729"/>
      <c r="N110" s="729"/>
      <c r="O110" s="729"/>
      <c r="P110" s="729"/>
    </row>
    <row r="111" spans="1:16" s="714" customFormat="1" ht="24" customHeight="1">
      <c r="A111" s="861"/>
      <c r="B111" s="756" t="s">
        <v>1298</v>
      </c>
      <c r="C111" s="717"/>
      <c r="D111" s="718"/>
      <c r="E111" s="2377">
        <v>37</v>
      </c>
      <c r="F111" s="759" t="s">
        <v>240</v>
      </c>
      <c r="G111" s="752">
        <v>750</v>
      </c>
      <c r="H111" s="864">
        <f t="shared" si="24"/>
        <v>27750</v>
      </c>
      <c r="I111" s="949">
        <v>135</v>
      </c>
      <c r="J111" s="864">
        <f t="shared" si="25"/>
        <v>4995</v>
      </c>
      <c r="K111" s="966">
        <f t="shared" si="26"/>
        <v>32745</v>
      </c>
      <c r="L111" s="973"/>
      <c r="M111" s="729"/>
      <c r="N111" s="729"/>
      <c r="O111" s="729"/>
      <c r="P111" s="729"/>
    </row>
    <row r="112" spans="1:16" s="714" customFormat="1" ht="24" customHeight="1">
      <c r="A112" s="861"/>
      <c r="B112" s="756" t="s">
        <v>1299</v>
      </c>
      <c r="C112" s="717"/>
      <c r="D112" s="718"/>
      <c r="E112" s="2377"/>
      <c r="F112" s="759" t="s">
        <v>240</v>
      </c>
      <c r="G112" s="806">
        <v>2090</v>
      </c>
      <c r="H112" s="796">
        <f t="shared" si="24"/>
        <v>0</v>
      </c>
      <c r="I112" s="807">
        <v>135</v>
      </c>
      <c r="J112" s="864">
        <f t="shared" si="25"/>
        <v>0</v>
      </c>
      <c r="K112" s="966">
        <f t="shared" si="26"/>
        <v>0</v>
      </c>
      <c r="L112" s="973"/>
      <c r="M112" s="729"/>
      <c r="N112" s="729"/>
      <c r="O112" s="729"/>
      <c r="P112" s="729"/>
    </row>
    <row r="113" spans="1:16" s="714" customFormat="1" ht="24" customHeight="1">
      <c r="A113" s="861"/>
      <c r="B113" s="756" t="s">
        <v>1300</v>
      </c>
      <c r="C113" s="717"/>
      <c r="D113" s="718"/>
      <c r="E113" s="2377"/>
      <c r="F113" s="759" t="s">
        <v>240</v>
      </c>
      <c r="G113" s="806">
        <v>650</v>
      </c>
      <c r="H113" s="796">
        <f t="shared" si="24"/>
        <v>0</v>
      </c>
      <c r="I113" s="807">
        <v>20</v>
      </c>
      <c r="J113" s="864">
        <f t="shared" si="25"/>
        <v>0</v>
      </c>
      <c r="K113" s="966">
        <f t="shared" si="26"/>
        <v>0</v>
      </c>
      <c r="L113" s="973"/>
      <c r="M113" s="729"/>
      <c r="N113" s="729"/>
      <c r="O113" s="729"/>
      <c r="P113" s="729"/>
    </row>
    <row r="114" spans="1:16" s="714" customFormat="1" ht="24" customHeight="1">
      <c r="A114" s="861"/>
      <c r="B114" s="756" t="s">
        <v>1301</v>
      </c>
      <c r="C114" s="717"/>
      <c r="D114" s="718"/>
      <c r="E114" s="2377"/>
      <c r="F114" s="759" t="s">
        <v>240</v>
      </c>
      <c r="G114" s="806">
        <v>1200</v>
      </c>
      <c r="H114" s="796">
        <f t="shared" si="24"/>
        <v>0</v>
      </c>
      <c r="I114" s="807">
        <v>135</v>
      </c>
      <c r="J114" s="864">
        <f t="shared" si="25"/>
        <v>0</v>
      </c>
      <c r="K114" s="966">
        <f t="shared" si="26"/>
        <v>0</v>
      </c>
      <c r="L114" s="973"/>
      <c r="M114" s="729"/>
      <c r="N114" s="729"/>
      <c r="O114" s="729"/>
      <c r="P114" s="729"/>
    </row>
    <row r="115" spans="1:16" s="714" customFormat="1" ht="24" customHeight="1">
      <c r="A115" s="861"/>
      <c r="B115" s="756" t="s">
        <v>1302</v>
      </c>
      <c r="C115" s="717"/>
      <c r="D115" s="718"/>
      <c r="E115" s="2377"/>
      <c r="F115" s="759" t="s">
        <v>240</v>
      </c>
      <c r="G115" s="806">
        <v>1200</v>
      </c>
      <c r="H115" s="796">
        <f t="shared" si="24"/>
        <v>0</v>
      </c>
      <c r="I115" s="807">
        <v>135</v>
      </c>
      <c r="J115" s="864">
        <f t="shared" si="25"/>
        <v>0</v>
      </c>
      <c r="K115" s="966">
        <f t="shared" si="26"/>
        <v>0</v>
      </c>
      <c r="L115" s="973"/>
      <c r="M115" s="729"/>
      <c r="N115" s="729"/>
      <c r="O115" s="729"/>
      <c r="P115" s="729"/>
    </row>
    <row r="116" spans="1:16" s="714" customFormat="1" ht="24" customHeight="1">
      <c r="A116" s="861"/>
      <c r="B116" s="756" t="s">
        <v>1303</v>
      </c>
      <c r="C116" s="717"/>
      <c r="D116" s="718"/>
      <c r="E116" s="2377"/>
      <c r="F116" s="759" t="s">
        <v>240</v>
      </c>
      <c r="G116" s="806">
        <v>1200</v>
      </c>
      <c r="H116" s="796">
        <f t="shared" si="24"/>
        <v>0</v>
      </c>
      <c r="I116" s="807">
        <v>135</v>
      </c>
      <c r="J116" s="864">
        <f t="shared" si="25"/>
        <v>0</v>
      </c>
      <c r="K116" s="966">
        <f t="shared" si="26"/>
        <v>0</v>
      </c>
      <c r="L116" s="973"/>
      <c r="M116" s="729"/>
      <c r="N116" s="729"/>
      <c r="O116" s="729"/>
      <c r="P116" s="729"/>
    </row>
    <row r="117" spans="1:16" s="714" customFormat="1" ht="24" customHeight="1">
      <c r="A117" s="861"/>
      <c r="B117" s="756" t="s">
        <v>1304</v>
      </c>
      <c r="C117" s="717"/>
      <c r="D117" s="718"/>
      <c r="E117" s="2377"/>
      <c r="F117" s="759" t="s">
        <v>240</v>
      </c>
      <c r="G117" s="806">
        <v>1200</v>
      </c>
      <c r="H117" s="796">
        <f t="shared" si="24"/>
        <v>0</v>
      </c>
      <c r="I117" s="807">
        <v>135</v>
      </c>
      <c r="J117" s="864">
        <f t="shared" si="25"/>
        <v>0</v>
      </c>
      <c r="K117" s="966">
        <f t="shared" si="26"/>
        <v>0</v>
      </c>
      <c r="L117" s="973"/>
      <c r="M117" s="729"/>
      <c r="N117" s="729"/>
      <c r="O117" s="729"/>
      <c r="P117" s="729"/>
    </row>
    <row r="118" spans="1:16" s="714" customFormat="1" ht="24" customHeight="1">
      <c r="A118" s="861"/>
      <c r="B118" s="756" t="s">
        <v>1305</v>
      </c>
      <c r="C118" s="717"/>
      <c r="D118" s="718"/>
      <c r="E118" s="2377">
        <v>10</v>
      </c>
      <c r="F118" s="759" t="s">
        <v>240</v>
      </c>
      <c r="G118" s="806">
        <v>1200</v>
      </c>
      <c r="H118" s="796">
        <f t="shared" si="24"/>
        <v>12000</v>
      </c>
      <c r="I118" s="807">
        <v>135</v>
      </c>
      <c r="J118" s="864">
        <f t="shared" si="25"/>
        <v>1350</v>
      </c>
      <c r="K118" s="966">
        <f t="shared" si="26"/>
        <v>13350</v>
      </c>
      <c r="L118" s="973"/>
      <c r="M118" s="729"/>
      <c r="N118" s="729"/>
      <c r="O118" s="729"/>
      <c r="P118" s="729"/>
    </row>
    <row r="119" spans="1:16" s="714" customFormat="1" ht="24" customHeight="1">
      <c r="A119" s="861"/>
      <c r="B119" s="756" t="s">
        <v>1306</v>
      </c>
      <c r="C119" s="717"/>
      <c r="D119" s="718"/>
      <c r="E119" s="2377"/>
      <c r="F119" s="759" t="s">
        <v>240</v>
      </c>
      <c r="G119" s="806">
        <v>1860</v>
      </c>
      <c r="H119" s="796">
        <f t="shared" si="24"/>
        <v>0</v>
      </c>
      <c r="I119" s="807">
        <v>135</v>
      </c>
      <c r="J119" s="796">
        <f t="shared" si="25"/>
        <v>0</v>
      </c>
      <c r="K119" s="966">
        <f t="shared" si="26"/>
        <v>0</v>
      </c>
      <c r="L119" s="973"/>
      <c r="M119" s="729"/>
      <c r="N119" s="729"/>
      <c r="O119" s="729"/>
      <c r="P119" s="729"/>
    </row>
    <row r="120" spans="1:16" s="714" customFormat="1" ht="24" customHeight="1">
      <c r="A120" s="861"/>
      <c r="B120" s="800" t="s">
        <v>1307</v>
      </c>
      <c r="C120" s="717"/>
      <c r="D120" s="718"/>
      <c r="E120" s="2377"/>
      <c r="F120" s="803" t="s">
        <v>240</v>
      </c>
      <c r="G120" s="806">
        <v>1860</v>
      </c>
      <c r="H120" s="796">
        <f t="shared" si="24"/>
        <v>0</v>
      </c>
      <c r="I120" s="807">
        <v>135</v>
      </c>
      <c r="J120" s="796">
        <f t="shared" si="25"/>
        <v>0</v>
      </c>
      <c r="K120" s="966">
        <f t="shared" si="26"/>
        <v>0</v>
      </c>
      <c r="L120" s="973"/>
      <c r="M120" s="729"/>
      <c r="N120" s="729"/>
      <c r="O120" s="729"/>
      <c r="P120" s="729"/>
    </row>
    <row r="121" spans="1:16" s="714" customFormat="1" ht="24" customHeight="1">
      <c r="A121" s="861"/>
      <c r="B121" s="800" t="s">
        <v>1308</v>
      </c>
      <c r="C121" s="717"/>
      <c r="D121" s="718"/>
      <c r="E121" s="2377"/>
      <c r="F121" s="803" t="s">
        <v>240</v>
      </c>
      <c r="G121" s="806">
        <v>1250</v>
      </c>
      <c r="H121" s="796">
        <f t="shared" si="24"/>
        <v>0</v>
      </c>
      <c r="I121" s="807">
        <v>135</v>
      </c>
      <c r="J121" s="864">
        <f t="shared" si="25"/>
        <v>0</v>
      </c>
      <c r="K121" s="966">
        <f t="shared" si="26"/>
        <v>0</v>
      </c>
      <c r="L121" s="973"/>
      <c r="M121" s="729"/>
      <c r="N121" s="729"/>
      <c r="O121" s="729"/>
      <c r="P121" s="729"/>
    </row>
    <row r="122" spans="1:16" s="714" customFormat="1" ht="24" customHeight="1">
      <c r="A122" s="861"/>
      <c r="B122" s="800" t="s">
        <v>1309</v>
      </c>
      <c r="C122" s="717"/>
      <c r="D122" s="718"/>
      <c r="E122" s="2377"/>
      <c r="F122" s="803" t="s">
        <v>240</v>
      </c>
      <c r="G122" s="806">
        <v>1860</v>
      </c>
      <c r="H122" s="796">
        <f t="shared" si="24"/>
        <v>0</v>
      </c>
      <c r="I122" s="807">
        <v>135</v>
      </c>
      <c r="J122" s="796">
        <f t="shared" si="25"/>
        <v>0</v>
      </c>
      <c r="K122" s="966">
        <f t="shared" si="26"/>
        <v>0</v>
      </c>
      <c r="L122" s="973"/>
      <c r="M122" s="729"/>
      <c r="N122" s="729"/>
      <c r="O122" s="729"/>
      <c r="P122" s="729"/>
    </row>
    <row r="123" spans="1:16" s="714" customFormat="1" ht="24" customHeight="1">
      <c r="A123" s="861"/>
      <c r="B123" s="800" t="s">
        <v>1310</v>
      </c>
      <c r="C123" s="717"/>
      <c r="D123" s="718"/>
      <c r="E123" s="2377"/>
      <c r="F123" s="803" t="s">
        <v>240</v>
      </c>
      <c r="G123" s="806">
        <v>1200</v>
      </c>
      <c r="H123" s="796">
        <f t="shared" si="24"/>
        <v>0</v>
      </c>
      <c r="I123" s="807">
        <v>135</v>
      </c>
      <c r="J123" s="864">
        <f t="shared" si="25"/>
        <v>0</v>
      </c>
      <c r="K123" s="966">
        <f t="shared" si="26"/>
        <v>0</v>
      </c>
      <c r="L123" s="973"/>
      <c r="M123" s="729"/>
      <c r="N123" s="729"/>
      <c r="O123" s="729"/>
      <c r="P123" s="729"/>
    </row>
    <row r="124" spans="1:16" s="714" customFormat="1" ht="24" customHeight="1">
      <c r="A124" s="861"/>
      <c r="B124" s="800" t="s">
        <v>1311</v>
      </c>
      <c r="C124" s="717"/>
      <c r="D124" s="718"/>
      <c r="E124" s="2377"/>
      <c r="F124" s="803" t="s">
        <v>240</v>
      </c>
      <c r="G124" s="806">
        <v>1200</v>
      </c>
      <c r="H124" s="796">
        <f t="shared" si="24"/>
        <v>0</v>
      </c>
      <c r="I124" s="807">
        <v>135</v>
      </c>
      <c r="J124" s="864">
        <f t="shared" si="25"/>
        <v>0</v>
      </c>
      <c r="K124" s="966">
        <f t="shared" si="26"/>
        <v>0</v>
      </c>
      <c r="L124" s="973"/>
      <c r="M124" s="729"/>
      <c r="N124" s="729"/>
      <c r="O124" s="729"/>
      <c r="P124" s="729"/>
    </row>
    <row r="125" spans="1:16" s="714" customFormat="1" ht="24" customHeight="1">
      <c r="A125" s="861"/>
      <c r="B125" s="756" t="s">
        <v>1312</v>
      </c>
      <c r="C125" s="757"/>
      <c r="D125" s="758"/>
      <c r="E125" s="2377">
        <v>27</v>
      </c>
      <c r="F125" s="759" t="s">
        <v>240</v>
      </c>
      <c r="G125" s="752">
        <v>1830</v>
      </c>
      <c r="H125" s="864">
        <f t="shared" si="24"/>
        <v>49410</v>
      </c>
      <c r="I125" s="949">
        <v>500</v>
      </c>
      <c r="J125" s="864">
        <f t="shared" si="25"/>
        <v>13500</v>
      </c>
      <c r="K125" s="966">
        <f t="shared" si="26"/>
        <v>62910</v>
      </c>
      <c r="L125" s="973"/>
      <c r="M125" s="729"/>
      <c r="N125" s="729"/>
      <c r="O125" s="729"/>
      <c r="P125" s="729"/>
    </row>
    <row r="126" spans="1:16" s="714" customFormat="1" ht="24" customHeight="1">
      <c r="A126" s="861"/>
      <c r="B126" s="756" t="s">
        <v>1313</v>
      </c>
      <c r="C126" s="974"/>
      <c r="D126" s="2385"/>
      <c r="E126" s="2377">
        <v>6</v>
      </c>
      <c r="F126" s="759" t="s">
        <v>240</v>
      </c>
      <c r="G126" s="766">
        <v>1620</v>
      </c>
      <c r="H126" s="864">
        <f t="shared" si="24"/>
        <v>9720</v>
      </c>
      <c r="I126" s="975">
        <v>500</v>
      </c>
      <c r="J126" s="864">
        <f t="shared" si="25"/>
        <v>3000</v>
      </c>
      <c r="K126" s="966">
        <f t="shared" si="26"/>
        <v>12720</v>
      </c>
      <c r="L126" s="973"/>
      <c r="M126" s="729"/>
      <c r="N126" s="729"/>
      <c r="O126" s="729"/>
      <c r="P126" s="729"/>
    </row>
    <row r="127" spans="1:16" s="714" customFormat="1" ht="24" customHeight="1">
      <c r="A127" s="861"/>
      <c r="B127" s="756" t="s">
        <v>1314</v>
      </c>
      <c r="C127" s="757"/>
      <c r="D127" s="758"/>
      <c r="E127" s="2377">
        <v>47</v>
      </c>
      <c r="F127" s="759" t="s">
        <v>240</v>
      </c>
      <c r="G127" s="752">
        <v>920</v>
      </c>
      <c r="H127" s="864">
        <f t="shared" si="24"/>
        <v>43240</v>
      </c>
      <c r="I127" s="949">
        <v>250</v>
      </c>
      <c r="J127" s="864">
        <f t="shared" si="25"/>
        <v>11750</v>
      </c>
      <c r="K127" s="966">
        <f t="shared" si="26"/>
        <v>54990</v>
      </c>
      <c r="L127" s="973"/>
      <c r="M127" s="729"/>
      <c r="N127" s="729"/>
      <c r="O127" s="729"/>
      <c r="P127" s="729"/>
    </row>
    <row r="128" spans="1:16" s="714" customFormat="1" ht="24" customHeight="1">
      <c r="A128" s="861"/>
      <c r="B128" s="756" t="s">
        <v>1315</v>
      </c>
      <c r="C128" s="757"/>
      <c r="D128" s="758"/>
      <c r="E128" s="2377">
        <v>2</v>
      </c>
      <c r="F128" s="759" t="s">
        <v>240</v>
      </c>
      <c r="G128" s="752">
        <v>2180</v>
      </c>
      <c r="H128" s="864">
        <f t="shared" si="24"/>
        <v>4360</v>
      </c>
      <c r="I128" s="949">
        <v>500</v>
      </c>
      <c r="J128" s="864">
        <f t="shared" si="25"/>
        <v>1000</v>
      </c>
      <c r="K128" s="966">
        <f t="shared" si="26"/>
        <v>5360</v>
      </c>
      <c r="L128" s="973"/>
      <c r="M128" s="729"/>
      <c r="N128" s="729"/>
      <c r="O128" s="729"/>
      <c r="P128" s="729"/>
    </row>
    <row r="129" spans="1:16" s="714" customFormat="1" ht="24" customHeight="1">
      <c r="A129" s="861"/>
      <c r="B129" s="705" t="s">
        <v>1316</v>
      </c>
      <c r="C129" s="717"/>
      <c r="D129" s="718"/>
      <c r="E129" s="2377">
        <v>1</v>
      </c>
      <c r="F129" s="759" t="s">
        <v>948</v>
      </c>
      <c r="G129" s="752">
        <f>ROUND(SUM(H107:H127)*5%,)</f>
        <v>18585</v>
      </c>
      <c r="H129" s="864">
        <f t="shared" si="24"/>
        <v>18585</v>
      </c>
      <c r="I129" s="797">
        <f>ROUND(G129*0.3,)</f>
        <v>5576</v>
      </c>
      <c r="J129" s="864">
        <f t="shared" si="25"/>
        <v>5576</v>
      </c>
      <c r="K129" s="966">
        <f t="shared" si="26"/>
        <v>24161</v>
      </c>
      <c r="L129" s="973"/>
      <c r="M129" s="729"/>
      <c r="N129" s="729"/>
      <c r="O129" s="729"/>
      <c r="P129" s="729"/>
    </row>
    <row r="130" spans="1:16" s="714" customFormat="1" ht="24" customHeight="1">
      <c r="A130" s="775"/>
      <c r="B130" s="2475" t="str">
        <f>"รวมราคารายการที่ "&amp;A107</f>
        <v>รวมราคารายการที่ 3.8</v>
      </c>
      <c r="C130" s="2476"/>
      <c r="D130" s="2477"/>
      <c r="E130" s="2369"/>
      <c r="F130" s="777"/>
      <c r="G130" s="959"/>
      <c r="H130" s="960">
        <f>SUM(H107:H129)</f>
        <v>394635</v>
      </c>
      <c r="I130" s="959"/>
      <c r="J130" s="960">
        <f>SUM(J107:J129)</f>
        <v>93381</v>
      </c>
      <c r="K130" s="777">
        <f>SUM(K107:K129)</f>
        <v>488016</v>
      </c>
      <c r="L130" s="1006"/>
      <c r="M130" s="729"/>
      <c r="N130" s="729"/>
      <c r="O130" s="729"/>
      <c r="P130" s="729"/>
    </row>
    <row r="131" spans="1:16" s="714" customFormat="1" ht="24" customHeight="1">
      <c r="A131" s="911" t="s">
        <v>1134</v>
      </c>
      <c r="B131" s="816" t="s">
        <v>1225</v>
      </c>
      <c r="C131" s="770"/>
      <c r="D131" s="771"/>
      <c r="E131" s="2376"/>
      <c r="F131" s="931"/>
      <c r="G131" s="932"/>
      <c r="H131" s="933"/>
      <c r="I131" s="934"/>
      <c r="J131" s="935"/>
      <c r="K131" s="1013"/>
      <c r="L131" s="935"/>
      <c r="M131" s="729"/>
      <c r="N131" s="729"/>
      <c r="O131" s="729"/>
      <c r="P131" s="729"/>
    </row>
    <row r="132" spans="1:16" s="714" customFormat="1" ht="24" customHeight="1">
      <c r="A132" s="856" t="s">
        <v>1136</v>
      </c>
      <c r="B132" s="720" t="s">
        <v>1318</v>
      </c>
      <c r="C132" s="717"/>
      <c r="D132" s="718"/>
      <c r="E132" s="1141">
        <v>2</v>
      </c>
      <c r="F132" s="722" t="s">
        <v>240</v>
      </c>
      <c r="G132" s="806">
        <f>30000+13500</f>
        <v>43500</v>
      </c>
      <c r="H132" s="796">
        <f t="shared" ref="H132:H163" si="27">ROUND(E132*G132,)</f>
        <v>87000</v>
      </c>
      <c r="I132" s="807">
        <f>G132*0.1</f>
        <v>4350</v>
      </c>
      <c r="J132" s="796">
        <f t="shared" ref="J132:J163" si="28">ROUND(E132*I132,)</f>
        <v>8700</v>
      </c>
      <c r="K132" s="966">
        <f t="shared" ref="K132:K163" si="29">H132+J132</f>
        <v>95700</v>
      </c>
      <c r="L132" s="919"/>
      <c r="M132" s="729"/>
      <c r="N132" s="729"/>
      <c r="O132" s="729"/>
      <c r="P132" s="729"/>
    </row>
    <row r="133" spans="1:16" s="714" customFormat="1" ht="24" customHeight="1">
      <c r="A133" s="856" t="s">
        <v>1144</v>
      </c>
      <c r="B133" s="720" t="s">
        <v>1319</v>
      </c>
      <c r="C133" s="717"/>
      <c r="D133" s="718"/>
      <c r="E133" s="1141">
        <v>6</v>
      </c>
      <c r="F133" s="722" t="s">
        <v>240</v>
      </c>
      <c r="G133" s="806">
        <v>1850</v>
      </c>
      <c r="H133" s="796">
        <f t="shared" si="27"/>
        <v>11100</v>
      </c>
      <c r="I133" s="807">
        <v>250</v>
      </c>
      <c r="J133" s="796">
        <f t="shared" si="28"/>
        <v>1500</v>
      </c>
      <c r="K133" s="966">
        <f t="shared" si="29"/>
        <v>12600</v>
      </c>
      <c r="L133" s="919"/>
      <c r="M133" s="729"/>
      <c r="N133" s="729"/>
      <c r="O133" s="729"/>
      <c r="P133" s="729"/>
    </row>
    <row r="134" spans="1:16" s="714" customFormat="1" ht="24" customHeight="1">
      <c r="A134" s="856" t="s">
        <v>1146</v>
      </c>
      <c r="B134" s="720" t="s">
        <v>1320</v>
      </c>
      <c r="C134" s="717"/>
      <c r="D134" s="718"/>
      <c r="E134" s="1141">
        <v>6</v>
      </c>
      <c r="F134" s="722" t="s">
        <v>240</v>
      </c>
      <c r="G134" s="806">
        <v>1850</v>
      </c>
      <c r="H134" s="796">
        <f t="shared" si="27"/>
        <v>11100</v>
      </c>
      <c r="I134" s="807">
        <v>250</v>
      </c>
      <c r="J134" s="796">
        <f t="shared" si="28"/>
        <v>1500</v>
      </c>
      <c r="K134" s="966">
        <f t="shared" si="29"/>
        <v>12600</v>
      </c>
      <c r="L134" s="919"/>
      <c r="M134" s="729"/>
      <c r="N134" s="729"/>
      <c r="O134" s="729"/>
      <c r="P134" s="729"/>
    </row>
    <row r="135" spans="1:16" s="714" customFormat="1" ht="24" customHeight="1">
      <c r="A135" s="856" t="s">
        <v>1156</v>
      </c>
      <c r="B135" s="720" t="s">
        <v>1321</v>
      </c>
      <c r="C135" s="717"/>
      <c r="D135" s="718"/>
      <c r="E135" s="1141">
        <v>19</v>
      </c>
      <c r="F135" s="722" t="s">
        <v>240</v>
      </c>
      <c r="G135" s="806">
        <v>1850</v>
      </c>
      <c r="H135" s="796">
        <f t="shared" si="27"/>
        <v>35150</v>
      </c>
      <c r="I135" s="807">
        <v>250</v>
      </c>
      <c r="J135" s="796">
        <f t="shared" si="28"/>
        <v>4750</v>
      </c>
      <c r="K135" s="966">
        <f t="shared" si="29"/>
        <v>39900</v>
      </c>
      <c r="L135" s="919"/>
      <c r="M135" s="729"/>
      <c r="N135" s="729"/>
      <c r="O135" s="729"/>
      <c r="P135" s="729"/>
    </row>
    <row r="136" spans="1:16" s="714" customFormat="1" ht="24" customHeight="1">
      <c r="A136" s="856" t="s">
        <v>1429</v>
      </c>
      <c r="B136" s="720" t="s">
        <v>1322</v>
      </c>
      <c r="C136" s="717"/>
      <c r="D136" s="718"/>
      <c r="E136" s="1141">
        <v>4</v>
      </c>
      <c r="F136" s="722" t="s">
        <v>240</v>
      </c>
      <c r="G136" s="806">
        <v>1850</v>
      </c>
      <c r="H136" s="796">
        <f t="shared" si="27"/>
        <v>7400</v>
      </c>
      <c r="I136" s="807">
        <v>250</v>
      </c>
      <c r="J136" s="796">
        <f t="shared" si="28"/>
        <v>1000</v>
      </c>
      <c r="K136" s="966">
        <f t="shared" si="29"/>
        <v>8400</v>
      </c>
      <c r="L136" s="919"/>
      <c r="M136" s="729"/>
      <c r="N136" s="729"/>
      <c r="O136" s="729"/>
      <c r="P136" s="729"/>
    </row>
    <row r="137" spans="1:16" s="714" customFormat="1" ht="24" customHeight="1">
      <c r="A137" s="856" t="s">
        <v>1486</v>
      </c>
      <c r="B137" s="720" t="s">
        <v>1323</v>
      </c>
      <c r="C137" s="717"/>
      <c r="D137" s="718"/>
      <c r="E137" s="1141">
        <v>4</v>
      </c>
      <c r="F137" s="722" t="s">
        <v>240</v>
      </c>
      <c r="G137" s="806">
        <v>1850</v>
      </c>
      <c r="H137" s="796">
        <f t="shared" si="27"/>
        <v>7400</v>
      </c>
      <c r="I137" s="807">
        <v>250</v>
      </c>
      <c r="J137" s="796">
        <f t="shared" si="28"/>
        <v>1000</v>
      </c>
      <c r="K137" s="966">
        <f t="shared" si="29"/>
        <v>8400</v>
      </c>
      <c r="L137" s="919"/>
      <c r="M137" s="729"/>
      <c r="N137" s="729"/>
      <c r="O137" s="729"/>
      <c r="P137" s="729"/>
    </row>
    <row r="138" spans="1:16" s="714" customFormat="1" ht="24" customHeight="1">
      <c r="A138" s="856" t="s">
        <v>1432</v>
      </c>
      <c r="B138" s="720" t="s">
        <v>1324</v>
      </c>
      <c r="C138" s="717"/>
      <c r="D138" s="718"/>
      <c r="E138" s="1141">
        <v>2</v>
      </c>
      <c r="F138" s="722" t="s">
        <v>240</v>
      </c>
      <c r="G138" s="806">
        <v>2750</v>
      </c>
      <c r="H138" s="796">
        <f t="shared" si="27"/>
        <v>5500</v>
      </c>
      <c r="I138" s="807">
        <v>250</v>
      </c>
      <c r="J138" s="796">
        <f t="shared" si="28"/>
        <v>500</v>
      </c>
      <c r="K138" s="966">
        <f t="shared" si="29"/>
        <v>6000</v>
      </c>
      <c r="L138" s="919"/>
      <c r="M138" s="729"/>
      <c r="N138" s="729"/>
      <c r="O138" s="729"/>
      <c r="P138" s="729"/>
    </row>
    <row r="139" spans="1:16" s="714" customFormat="1" ht="24" customHeight="1">
      <c r="A139" s="856" t="s">
        <v>1433</v>
      </c>
      <c r="B139" s="720" t="s">
        <v>1325</v>
      </c>
      <c r="C139" s="717"/>
      <c r="D139" s="718"/>
      <c r="E139" s="1141">
        <v>2</v>
      </c>
      <c r="F139" s="722" t="s">
        <v>240</v>
      </c>
      <c r="G139" s="806">
        <v>2750</v>
      </c>
      <c r="H139" s="796">
        <f t="shared" si="27"/>
        <v>5500</v>
      </c>
      <c r="I139" s="807">
        <v>250</v>
      </c>
      <c r="J139" s="796">
        <f t="shared" si="28"/>
        <v>500</v>
      </c>
      <c r="K139" s="966">
        <f t="shared" si="29"/>
        <v>6000</v>
      </c>
      <c r="L139" s="919"/>
      <c r="M139" s="729"/>
      <c r="N139" s="729"/>
      <c r="O139" s="729"/>
      <c r="P139" s="729"/>
    </row>
    <row r="140" spans="1:16" s="714" customFormat="1" ht="24" customHeight="1">
      <c r="A140" s="856" t="s">
        <v>3070</v>
      </c>
      <c r="B140" s="720" t="s">
        <v>1326</v>
      </c>
      <c r="C140" s="717"/>
      <c r="D140" s="718"/>
      <c r="E140" s="1141">
        <v>2</v>
      </c>
      <c r="F140" s="722" t="s">
        <v>240</v>
      </c>
      <c r="G140" s="806">
        <v>2750</v>
      </c>
      <c r="H140" s="796">
        <f t="shared" si="27"/>
        <v>5500</v>
      </c>
      <c r="I140" s="807">
        <v>250</v>
      </c>
      <c r="J140" s="796">
        <f t="shared" si="28"/>
        <v>500</v>
      </c>
      <c r="K140" s="966">
        <f t="shared" si="29"/>
        <v>6000</v>
      </c>
      <c r="L140" s="919"/>
      <c r="M140" s="729"/>
      <c r="N140" s="729"/>
      <c r="O140" s="729"/>
      <c r="P140" s="729"/>
    </row>
    <row r="141" spans="1:16" s="714" customFormat="1" ht="24" customHeight="1">
      <c r="A141" s="856" t="s">
        <v>3071</v>
      </c>
      <c r="B141" s="720" t="s">
        <v>1327</v>
      </c>
      <c r="C141" s="717"/>
      <c r="D141" s="718"/>
      <c r="E141" s="1141"/>
      <c r="F141" s="722" t="s">
        <v>240</v>
      </c>
      <c r="G141" s="806">
        <v>2750</v>
      </c>
      <c r="H141" s="796">
        <f t="shared" si="27"/>
        <v>0</v>
      </c>
      <c r="I141" s="807">
        <v>250</v>
      </c>
      <c r="J141" s="796">
        <f t="shared" si="28"/>
        <v>0</v>
      </c>
      <c r="K141" s="966">
        <f t="shared" si="29"/>
        <v>0</v>
      </c>
      <c r="L141" s="919"/>
      <c r="M141" s="729"/>
      <c r="N141" s="729"/>
      <c r="O141" s="729"/>
      <c r="P141" s="729"/>
    </row>
    <row r="142" spans="1:16" s="714" customFormat="1" ht="24" customHeight="1">
      <c r="A142" s="856" t="s">
        <v>3072</v>
      </c>
      <c r="B142" s="720" t="s">
        <v>1328</v>
      </c>
      <c r="C142" s="717"/>
      <c r="D142" s="718"/>
      <c r="E142" s="1141">
        <v>2</v>
      </c>
      <c r="F142" s="722" t="s">
        <v>240</v>
      </c>
      <c r="G142" s="806">
        <v>2750</v>
      </c>
      <c r="H142" s="796">
        <f t="shared" si="27"/>
        <v>5500</v>
      </c>
      <c r="I142" s="807">
        <v>250</v>
      </c>
      <c r="J142" s="796">
        <f t="shared" si="28"/>
        <v>500</v>
      </c>
      <c r="K142" s="966">
        <f t="shared" si="29"/>
        <v>6000</v>
      </c>
      <c r="L142" s="919"/>
      <c r="M142" s="729"/>
      <c r="N142" s="729"/>
      <c r="O142" s="729"/>
      <c r="P142" s="729"/>
    </row>
    <row r="143" spans="1:16" s="714" customFormat="1" ht="24" customHeight="1">
      <c r="A143" s="856" t="s">
        <v>3073</v>
      </c>
      <c r="B143" s="720" t="s">
        <v>1329</v>
      </c>
      <c r="C143" s="717"/>
      <c r="D143" s="718"/>
      <c r="E143" s="1141">
        <v>4</v>
      </c>
      <c r="F143" s="722" t="s">
        <v>240</v>
      </c>
      <c r="G143" s="806">
        <v>2750</v>
      </c>
      <c r="H143" s="796">
        <f t="shared" si="27"/>
        <v>11000</v>
      </c>
      <c r="I143" s="807">
        <v>250</v>
      </c>
      <c r="J143" s="796">
        <f t="shared" si="28"/>
        <v>1000</v>
      </c>
      <c r="K143" s="966">
        <f t="shared" si="29"/>
        <v>12000</v>
      </c>
      <c r="L143" s="919"/>
      <c r="M143" s="729"/>
      <c r="N143" s="729"/>
      <c r="O143" s="729"/>
      <c r="P143" s="729"/>
    </row>
    <row r="144" spans="1:16" s="714" customFormat="1" ht="24" customHeight="1">
      <c r="A144" s="856" t="s">
        <v>3074</v>
      </c>
      <c r="B144" s="720" t="s">
        <v>1330</v>
      </c>
      <c r="C144" s="717"/>
      <c r="D144" s="718"/>
      <c r="E144" s="1141">
        <v>4</v>
      </c>
      <c r="F144" s="722" t="s">
        <v>240</v>
      </c>
      <c r="G144" s="806">
        <v>2250</v>
      </c>
      <c r="H144" s="796">
        <f t="shared" si="27"/>
        <v>9000</v>
      </c>
      <c r="I144" s="807">
        <v>250</v>
      </c>
      <c r="J144" s="796">
        <f t="shared" si="28"/>
        <v>1000</v>
      </c>
      <c r="K144" s="966">
        <f t="shared" si="29"/>
        <v>10000</v>
      </c>
      <c r="L144" s="919"/>
      <c r="M144" s="729"/>
      <c r="N144" s="729"/>
      <c r="O144" s="729"/>
      <c r="P144" s="729"/>
    </row>
    <row r="145" spans="1:16" s="714" customFormat="1" ht="24" customHeight="1">
      <c r="A145" s="856" t="s">
        <v>3075</v>
      </c>
      <c r="B145" s="720" t="s">
        <v>1331</v>
      </c>
      <c r="C145" s="717"/>
      <c r="D145" s="718"/>
      <c r="E145" s="1141">
        <v>32</v>
      </c>
      <c r="F145" s="722" t="s">
        <v>240</v>
      </c>
      <c r="G145" s="806">
        <f>3300+300</f>
        <v>3600</v>
      </c>
      <c r="H145" s="796">
        <f t="shared" si="27"/>
        <v>115200</v>
      </c>
      <c r="I145" s="807">
        <v>200</v>
      </c>
      <c r="J145" s="796">
        <f t="shared" si="28"/>
        <v>6400</v>
      </c>
      <c r="K145" s="966">
        <f t="shared" si="29"/>
        <v>121600</v>
      </c>
      <c r="L145" s="919"/>
      <c r="M145" s="729"/>
      <c r="N145" s="729"/>
      <c r="O145" s="729"/>
      <c r="P145" s="729"/>
    </row>
    <row r="146" spans="1:16" s="714" customFormat="1" ht="24" customHeight="1">
      <c r="A146" s="856" t="s">
        <v>3076</v>
      </c>
      <c r="B146" s="720" t="s">
        <v>1332</v>
      </c>
      <c r="C146" s="717"/>
      <c r="D146" s="718"/>
      <c r="E146" s="1141">
        <v>10</v>
      </c>
      <c r="F146" s="722" t="s">
        <v>240</v>
      </c>
      <c r="G146" s="806">
        <v>5000</v>
      </c>
      <c r="H146" s="796">
        <f t="shared" si="27"/>
        <v>50000</v>
      </c>
      <c r="I146" s="807">
        <v>500</v>
      </c>
      <c r="J146" s="796">
        <f t="shared" si="28"/>
        <v>5000</v>
      </c>
      <c r="K146" s="966">
        <f t="shared" si="29"/>
        <v>55000</v>
      </c>
      <c r="L146" s="919"/>
      <c r="M146" s="729"/>
      <c r="N146" s="729"/>
      <c r="O146" s="729"/>
      <c r="P146" s="729"/>
    </row>
    <row r="147" spans="1:16" s="714" customFormat="1" ht="24" customHeight="1">
      <c r="A147" s="856" t="s">
        <v>3077</v>
      </c>
      <c r="B147" s="720" t="s">
        <v>1333</v>
      </c>
      <c r="C147" s="717"/>
      <c r="D147" s="718"/>
      <c r="E147" s="1141">
        <v>8</v>
      </c>
      <c r="F147" s="722" t="s">
        <v>240</v>
      </c>
      <c r="G147" s="806">
        <v>350</v>
      </c>
      <c r="H147" s="796">
        <f t="shared" si="27"/>
        <v>2800</v>
      </c>
      <c r="I147" s="807">
        <v>200</v>
      </c>
      <c r="J147" s="796">
        <f t="shared" si="28"/>
        <v>1600</v>
      </c>
      <c r="K147" s="966">
        <f t="shared" si="29"/>
        <v>4400</v>
      </c>
      <c r="L147" s="919"/>
      <c r="M147" s="729"/>
      <c r="N147" s="729"/>
      <c r="O147" s="729"/>
      <c r="P147" s="729"/>
    </row>
    <row r="148" spans="1:16" s="714" customFormat="1" ht="24" customHeight="1">
      <c r="A148" s="856" t="s">
        <v>3078</v>
      </c>
      <c r="B148" s="720" t="s">
        <v>1334</v>
      </c>
      <c r="C148" s="717"/>
      <c r="D148" s="718"/>
      <c r="E148" s="1141">
        <v>6</v>
      </c>
      <c r="F148" s="722" t="s">
        <v>240</v>
      </c>
      <c r="G148" s="806">
        <v>2200</v>
      </c>
      <c r="H148" s="796">
        <f t="shared" si="27"/>
        <v>13200</v>
      </c>
      <c r="I148" s="807">
        <v>200</v>
      </c>
      <c r="J148" s="796">
        <f t="shared" si="28"/>
        <v>1200</v>
      </c>
      <c r="K148" s="966">
        <f t="shared" si="29"/>
        <v>14400</v>
      </c>
      <c r="L148" s="919"/>
      <c r="M148" s="729"/>
      <c r="N148" s="729"/>
      <c r="O148" s="729"/>
      <c r="P148" s="729"/>
    </row>
    <row r="149" spans="1:16" s="714" customFormat="1" ht="24" customHeight="1">
      <c r="A149" s="856" t="s">
        <v>3079</v>
      </c>
      <c r="B149" s="720" t="s">
        <v>1335</v>
      </c>
      <c r="C149" s="717"/>
      <c r="D149" s="718"/>
      <c r="E149" s="1141">
        <v>18</v>
      </c>
      <c r="F149" s="722" t="s">
        <v>240</v>
      </c>
      <c r="G149" s="806">
        <v>4200</v>
      </c>
      <c r="H149" s="796">
        <f t="shared" si="27"/>
        <v>75600</v>
      </c>
      <c r="I149" s="807">
        <v>200</v>
      </c>
      <c r="J149" s="796">
        <f t="shared" si="28"/>
        <v>3600</v>
      </c>
      <c r="K149" s="966">
        <f t="shared" si="29"/>
        <v>79200</v>
      </c>
      <c r="L149" s="919"/>
      <c r="M149" s="729"/>
      <c r="N149" s="729"/>
      <c r="O149" s="729"/>
      <c r="P149" s="729"/>
    </row>
    <row r="150" spans="1:16" s="714" customFormat="1" ht="24" customHeight="1">
      <c r="A150" s="856" t="s">
        <v>3080</v>
      </c>
      <c r="B150" s="720" t="s">
        <v>1336</v>
      </c>
      <c r="C150" s="717"/>
      <c r="D150" s="718"/>
      <c r="E150" s="1141">
        <v>2</v>
      </c>
      <c r="F150" s="722" t="s">
        <v>240</v>
      </c>
      <c r="G150" s="806">
        <v>5000</v>
      </c>
      <c r="H150" s="796">
        <f t="shared" si="27"/>
        <v>10000</v>
      </c>
      <c r="I150" s="807">
        <v>500</v>
      </c>
      <c r="J150" s="796">
        <f t="shared" si="28"/>
        <v>1000</v>
      </c>
      <c r="K150" s="966">
        <f t="shared" si="29"/>
        <v>11000</v>
      </c>
      <c r="L150" s="919"/>
      <c r="M150" s="729"/>
      <c r="N150" s="729"/>
      <c r="O150" s="729"/>
      <c r="P150" s="729"/>
    </row>
    <row r="151" spans="1:16" s="714" customFormat="1" ht="24" customHeight="1">
      <c r="A151" s="856" t="s">
        <v>3081</v>
      </c>
      <c r="B151" s="720" t="s">
        <v>1159</v>
      </c>
      <c r="C151" s="717"/>
      <c r="D151" s="718"/>
      <c r="E151" s="1141"/>
      <c r="F151" s="916"/>
      <c r="G151" s="806"/>
      <c r="H151" s="796">
        <f t="shared" si="27"/>
        <v>0</v>
      </c>
      <c r="I151" s="807"/>
      <c r="J151" s="796">
        <f t="shared" si="28"/>
        <v>0</v>
      </c>
      <c r="K151" s="966">
        <f t="shared" si="29"/>
        <v>0</v>
      </c>
      <c r="L151" s="919"/>
      <c r="M151" s="729"/>
      <c r="N151" s="729"/>
      <c r="O151" s="729"/>
      <c r="P151" s="729"/>
    </row>
    <row r="152" spans="1:16" s="714" customFormat="1" ht="24" customHeight="1">
      <c r="A152" s="831"/>
      <c r="B152" s="720" t="s">
        <v>1337</v>
      </c>
      <c r="C152" s="717"/>
      <c r="D152" s="718"/>
      <c r="E152" s="1141">
        <v>1441</v>
      </c>
      <c r="F152" s="794" t="s">
        <v>438</v>
      </c>
      <c r="G152" s="806">
        <v>82</v>
      </c>
      <c r="H152" s="796">
        <f t="shared" si="27"/>
        <v>118162</v>
      </c>
      <c r="I152" s="807">
        <v>12</v>
      </c>
      <c r="J152" s="796">
        <f t="shared" si="28"/>
        <v>17292</v>
      </c>
      <c r="K152" s="966">
        <f t="shared" si="29"/>
        <v>135454</v>
      </c>
      <c r="L152" s="919"/>
      <c r="M152" s="729"/>
      <c r="N152" s="729"/>
      <c r="O152" s="729"/>
      <c r="P152" s="729"/>
    </row>
    <row r="153" spans="1:16" s="714" customFormat="1" ht="24" customHeight="1">
      <c r="A153" s="831"/>
      <c r="B153" s="720" t="s">
        <v>2920</v>
      </c>
      <c r="C153" s="717"/>
      <c r="D153" s="718"/>
      <c r="E153" s="1141">
        <v>436</v>
      </c>
      <c r="F153" s="794" t="s">
        <v>438</v>
      </c>
      <c r="G153" s="806">
        <v>6</v>
      </c>
      <c r="H153" s="796">
        <f t="shared" si="27"/>
        <v>2616</v>
      </c>
      <c r="I153" s="807">
        <v>6</v>
      </c>
      <c r="J153" s="796">
        <f t="shared" si="28"/>
        <v>2616</v>
      </c>
      <c r="K153" s="966">
        <f t="shared" si="29"/>
        <v>5232</v>
      </c>
      <c r="L153" s="919"/>
      <c r="M153" s="729"/>
      <c r="N153" s="729"/>
      <c r="O153" s="729"/>
      <c r="P153" s="729"/>
    </row>
    <row r="154" spans="1:16" s="714" customFormat="1" ht="24" customHeight="1">
      <c r="A154" s="831"/>
      <c r="B154" s="720" t="s">
        <v>2921</v>
      </c>
      <c r="C154" s="717"/>
      <c r="D154" s="718"/>
      <c r="E154" s="1141">
        <v>622</v>
      </c>
      <c r="F154" s="794" t="s">
        <v>438</v>
      </c>
      <c r="G154" s="806">
        <v>18</v>
      </c>
      <c r="H154" s="796">
        <f t="shared" si="27"/>
        <v>11196</v>
      </c>
      <c r="I154" s="807">
        <v>8</v>
      </c>
      <c r="J154" s="796">
        <f t="shared" si="28"/>
        <v>4976</v>
      </c>
      <c r="K154" s="966">
        <f t="shared" si="29"/>
        <v>16172</v>
      </c>
      <c r="L154" s="919"/>
      <c r="M154" s="729"/>
      <c r="N154" s="729"/>
      <c r="O154" s="729"/>
      <c r="P154" s="729"/>
    </row>
    <row r="155" spans="1:16" s="714" customFormat="1" ht="24" customHeight="1">
      <c r="A155" s="831"/>
      <c r="B155" s="720" t="s">
        <v>1338</v>
      </c>
      <c r="C155" s="717"/>
      <c r="D155" s="718"/>
      <c r="E155" s="1141">
        <v>1</v>
      </c>
      <c r="F155" s="916" t="s">
        <v>948</v>
      </c>
      <c r="G155" s="806">
        <f>ROUND(SUM(H152:H154)*5%,)</f>
        <v>6599</v>
      </c>
      <c r="H155" s="796">
        <f t="shared" si="27"/>
        <v>6599</v>
      </c>
      <c r="I155" s="797">
        <f>ROUND(G155*0.3,)</f>
        <v>1980</v>
      </c>
      <c r="J155" s="796">
        <f t="shared" si="28"/>
        <v>1980</v>
      </c>
      <c r="K155" s="966">
        <f t="shared" si="29"/>
        <v>8579</v>
      </c>
      <c r="L155" s="919"/>
      <c r="M155" s="729"/>
      <c r="N155" s="729"/>
      <c r="O155" s="729"/>
      <c r="P155" s="729"/>
    </row>
    <row r="156" spans="1:16" s="714" customFormat="1" ht="24" customHeight="1">
      <c r="A156" s="856" t="s">
        <v>3082</v>
      </c>
      <c r="B156" s="720" t="s">
        <v>1357</v>
      </c>
      <c r="C156" s="717"/>
      <c r="D156" s="718"/>
      <c r="E156" s="2377"/>
      <c r="F156" s="916"/>
      <c r="G156" s="806"/>
      <c r="H156" s="796"/>
      <c r="I156" s="807"/>
      <c r="J156" s="796"/>
      <c r="K156" s="1014"/>
      <c r="L156" s="919"/>
      <c r="M156" s="729"/>
      <c r="N156" s="729"/>
      <c r="O156" s="729"/>
      <c r="P156" s="729"/>
    </row>
    <row r="157" spans="1:16" s="714" customFormat="1" ht="24" customHeight="1">
      <c r="A157" s="831"/>
      <c r="B157" s="720" t="s">
        <v>1201</v>
      </c>
      <c r="C157" s="717"/>
      <c r="D157" s="718"/>
      <c r="E157" s="1141">
        <v>218</v>
      </c>
      <c r="F157" s="794" t="s">
        <v>438</v>
      </c>
      <c r="G157" s="806">
        <v>27</v>
      </c>
      <c r="H157" s="796">
        <f t="shared" ref="H157:H158" si="30">ROUND(E157*G157,)</f>
        <v>5886</v>
      </c>
      <c r="I157" s="807">
        <v>22</v>
      </c>
      <c r="J157" s="796">
        <f t="shared" ref="J157:J158" si="31">ROUND(E157*I157,)</f>
        <v>4796</v>
      </c>
      <c r="K157" s="1030">
        <f t="shared" ref="K157:K158" si="32">H157+J157</f>
        <v>10682</v>
      </c>
      <c r="L157" s="2394" t="s">
        <v>2974</v>
      </c>
      <c r="M157" s="729"/>
      <c r="P157" s="729"/>
    </row>
    <row r="158" spans="1:16" s="714" customFormat="1" ht="24" customHeight="1">
      <c r="A158" s="831"/>
      <c r="B158" s="720" t="s">
        <v>1237</v>
      </c>
      <c r="C158" s="717"/>
      <c r="D158" s="718"/>
      <c r="E158" s="1141">
        <v>1</v>
      </c>
      <c r="F158" s="916" t="s">
        <v>948</v>
      </c>
      <c r="G158" s="806">
        <f>ROUND(SUM(H157:H157)*15%,)</f>
        <v>883</v>
      </c>
      <c r="H158" s="796">
        <f t="shared" si="30"/>
        <v>883</v>
      </c>
      <c r="I158" s="807">
        <f>ROUND(G158*0.3,)</f>
        <v>265</v>
      </c>
      <c r="J158" s="796">
        <f t="shared" si="31"/>
        <v>265</v>
      </c>
      <c r="K158" s="1014">
        <f t="shared" si="32"/>
        <v>1148</v>
      </c>
      <c r="L158" s="919"/>
      <c r="M158" s="729"/>
      <c r="N158" s="729"/>
      <c r="O158" s="729"/>
      <c r="P158" s="729"/>
    </row>
    <row r="159" spans="1:16" s="714" customFormat="1" ht="24" customHeight="1">
      <c r="A159" s="856" t="s">
        <v>3083</v>
      </c>
      <c r="B159" s="720" t="s">
        <v>950</v>
      </c>
      <c r="C159" s="717"/>
      <c r="D159" s="718"/>
      <c r="E159" s="1141"/>
      <c r="F159" s="916"/>
      <c r="G159" s="806"/>
      <c r="H159" s="796">
        <f t="shared" si="27"/>
        <v>0</v>
      </c>
      <c r="I159" s="807"/>
      <c r="J159" s="796">
        <f t="shared" si="28"/>
        <v>0</v>
      </c>
      <c r="K159" s="966">
        <f t="shared" si="29"/>
        <v>0</v>
      </c>
      <c r="L159" s="919"/>
      <c r="M159" s="729"/>
      <c r="N159" s="729"/>
      <c r="O159" s="729"/>
      <c r="P159" s="729"/>
    </row>
    <row r="160" spans="1:16" s="714" customFormat="1" ht="24" customHeight="1">
      <c r="A160" s="831"/>
      <c r="B160" s="720" t="s">
        <v>1184</v>
      </c>
      <c r="C160" s="717"/>
      <c r="D160" s="718"/>
      <c r="E160" s="1141">
        <v>2063</v>
      </c>
      <c r="F160" s="794" t="s">
        <v>438</v>
      </c>
      <c r="G160" s="806">
        <v>75</v>
      </c>
      <c r="H160" s="796">
        <f t="shared" si="27"/>
        <v>154725</v>
      </c>
      <c r="I160" s="807">
        <v>29</v>
      </c>
      <c r="J160" s="796">
        <f t="shared" si="28"/>
        <v>59827</v>
      </c>
      <c r="K160" s="966">
        <f t="shared" si="29"/>
        <v>214552</v>
      </c>
      <c r="L160" s="2394" t="s">
        <v>2974</v>
      </c>
      <c r="M160" s="729"/>
      <c r="P160" s="729"/>
    </row>
    <row r="161" spans="1:16" s="714" customFormat="1" ht="24" customHeight="1">
      <c r="A161" s="831"/>
      <c r="B161" s="720" t="s">
        <v>952</v>
      </c>
      <c r="C161" s="717"/>
      <c r="D161" s="718"/>
      <c r="E161" s="1141">
        <v>1</v>
      </c>
      <c r="F161" s="916" t="s">
        <v>948</v>
      </c>
      <c r="G161" s="806">
        <f>ROUND(SUM(H160:H160)*15%,)</f>
        <v>23209</v>
      </c>
      <c r="H161" s="796">
        <f t="shared" si="27"/>
        <v>23209</v>
      </c>
      <c r="I161" s="797">
        <f>ROUND(G161*0.3,)</f>
        <v>6963</v>
      </c>
      <c r="J161" s="796">
        <f t="shared" si="28"/>
        <v>6963</v>
      </c>
      <c r="K161" s="966">
        <f t="shared" si="29"/>
        <v>30172</v>
      </c>
      <c r="L161" s="2394"/>
      <c r="M161" s="729"/>
      <c r="N161" s="729"/>
      <c r="P161" s="729"/>
    </row>
    <row r="162" spans="1:16" s="714" customFormat="1" ht="24" customHeight="1">
      <c r="A162" s="856" t="s">
        <v>3084</v>
      </c>
      <c r="B162" s="720" t="s">
        <v>1281</v>
      </c>
      <c r="C162" s="717"/>
      <c r="D162" s="718"/>
      <c r="E162" s="1141"/>
      <c r="F162" s="916"/>
      <c r="G162" s="806"/>
      <c r="H162" s="796">
        <f t="shared" si="27"/>
        <v>0</v>
      </c>
      <c r="I162" s="807"/>
      <c r="J162" s="796">
        <f t="shared" si="28"/>
        <v>0</v>
      </c>
      <c r="K162" s="966">
        <f t="shared" si="29"/>
        <v>0</v>
      </c>
      <c r="L162" s="919"/>
      <c r="M162" s="729"/>
      <c r="N162" s="729"/>
      <c r="O162" s="729"/>
      <c r="P162" s="729"/>
    </row>
    <row r="163" spans="1:16" s="714" customFormat="1" ht="24" customHeight="1">
      <c r="A163" s="831"/>
      <c r="B163" s="720" t="s">
        <v>1201</v>
      </c>
      <c r="C163" s="717"/>
      <c r="D163" s="718"/>
      <c r="E163" s="1141">
        <v>32</v>
      </c>
      <c r="F163" s="794" t="s">
        <v>438</v>
      </c>
      <c r="G163" s="806">
        <v>14</v>
      </c>
      <c r="H163" s="796">
        <f t="shared" si="27"/>
        <v>448</v>
      </c>
      <c r="I163" s="807">
        <v>11</v>
      </c>
      <c r="J163" s="796">
        <f t="shared" si="28"/>
        <v>352</v>
      </c>
      <c r="K163" s="966">
        <f t="shared" si="29"/>
        <v>800</v>
      </c>
      <c r="L163" s="919"/>
      <c r="M163" s="729"/>
      <c r="N163" s="729"/>
      <c r="O163" s="729"/>
      <c r="P163" s="729"/>
    </row>
    <row r="164" spans="1:16" s="714" customFormat="1" ht="24" customHeight="1">
      <c r="A164" s="831"/>
      <c r="B164" s="720" t="s">
        <v>957</v>
      </c>
      <c r="C164" s="717"/>
      <c r="D164" s="718"/>
      <c r="E164" s="1141"/>
      <c r="F164" s="916"/>
      <c r="G164" s="806"/>
      <c r="H164" s="918"/>
      <c r="I164" s="807"/>
      <c r="J164" s="919"/>
      <c r="K164" s="968"/>
      <c r="L164" s="919"/>
      <c r="M164" s="729"/>
      <c r="N164" s="729"/>
      <c r="O164" s="729"/>
      <c r="P164" s="729"/>
    </row>
    <row r="165" spans="1:16" s="714" customFormat="1" ht="24" customHeight="1">
      <c r="A165" s="831"/>
      <c r="B165" s="720" t="s">
        <v>1239</v>
      </c>
      <c r="C165" s="717"/>
      <c r="D165" s="718"/>
      <c r="E165" s="1141"/>
      <c r="F165" s="916"/>
      <c r="G165" s="806"/>
      <c r="H165" s="918"/>
      <c r="I165" s="807"/>
      <c r="J165" s="919"/>
      <c r="K165" s="968"/>
      <c r="L165" s="919"/>
      <c r="M165" s="729"/>
      <c r="N165" s="729"/>
      <c r="O165" s="729"/>
      <c r="P165" s="729"/>
    </row>
    <row r="166" spans="1:16" s="714" customFormat="1" ht="24" customHeight="1">
      <c r="A166" s="775"/>
      <c r="B166" s="2475" t="str">
        <f>"รวมราคารายการที่ "&amp;A131</f>
        <v>รวมราคารายการที่ 3.9</v>
      </c>
      <c r="C166" s="2476"/>
      <c r="D166" s="2477"/>
      <c r="E166" s="2369"/>
      <c r="F166" s="777"/>
      <c r="G166" s="959"/>
      <c r="H166" s="960">
        <f>SUM(H132:H165)</f>
        <v>791674</v>
      </c>
      <c r="I166" s="959"/>
      <c r="J166" s="960">
        <f>SUM(J132:J165)</f>
        <v>140317</v>
      </c>
      <c r="K166" s="777">
        <f>SUM(K132:K165)</f>
        <v>931991</v>
      </c>
      <c r="L166" s="1006"/>
      <c r="M166" s="729"/>
      <c r="N166" s="729"/>
      <c r="O166" s="729"/>
      <c r="P166" s="729"/>
    </row>
    <row r="167" spans="1:16" s="714" customFormat="1" ht="24" customHeight="1">
      <c r="A167" s="899" t="s">
        <v>1158</v>
      </c>
      <c r="B167" s="900" t="s">
        <v>1257</v>
      </c>
      <c r="C167" s="943"/>
      <c r="D167" s="2386"/>
      <c r="E167" s="2378"/>
      <c r="F167" s="945"/>
      <c r="G167" s="774"/>
      <c r="H167" s="773"/>
      <c r="I167" s="946"/>
      <c r="J167" s="947"/>
      <c r="K167" s="1019"/>
      <c r="L167" s="935"/>
      <c r="M167" s="729"/>
      <c r="N167" s="729"/>
      <c r="O167" s="729"/>
      <c r="P167" s="729"/>
    </row>
    <row r="168" spans="1:16" s="714" customFormat="1" ht="24" customHeight="1">
      <c r="A168" s="976" t="s">
        <v>1160</v>
      </c>
      <c r="B168" s="800" t="s">
        <v>1341</v>
      </c>
      <c r="C168" s="757"/>
      <c r="D168" s="758"/>
      <c r="E168" s="2377">
        <v>2</v>
      </c>
      <c r="F168" s="803" t="s">
        <v>240</v>
      </c>
      <c r="G168" s="752">
        <v>900</v>
      </c>
      <c r="H168" s="864">
        <f t="shared" ref="H168:H180" si="33">ROUND(G168*E168,)</f>
        <v>1800</v>
      </c>
      <c r="I168" s="949">
        <v>140</v>
      </c>
      <c r="J168" s="864">
        <f t="shared" ref="J168:J180" si="34">ROUND(E168*I168,)</f>
        <v>280</v>
      </c>
      <c r="K168" s="966">
        <f t="shared" ref="K168:K180" si="35">H168+J168</f>
        <v>2080</v>
      </c>
      <c r="L168" s="919"/>
      <c r="M168" s="729"/>
      <c r="N168" s="729"/>
      <c r="O168" s="729"/>
      <c r="P168" s="729"/>
    </row>
    <row r="169" spans="1:16" s="714" customFormat="1" ht="24" customHeight="1">
      <c r="A169" s="976" t="s">
        <v>1362</v>
      </c>
      <c r="B169" s="800" t="s">
        <v>1342</v>
      </c>
      <c r="C169" s="757"/>
      <c r="D169" s="758"/>
      <c r="E169" s="2377">
        <v>12</v>
      </c>
      <c r="F169" s="803" t="s">
        <v>240</v>
      </c>
      <c r="G169" s="752">
        <v>5700</v>
      </c>
      <c r="H169" s="864">
        <f t="shared" si="33"/>
        <v>68400</v>
      </c>
      <c r="I169" s="949">
        <v>140</v>
      </c>
      <c r="J169" s="864">
        <f t="shared" si="34"/>
        <v>1680</v>
      </c>
      <c r="K169" s="966">
        <f t="shared" si="35"/>
        <v>70080</v>
      </c>
      <c r="L169" s="919"/>
      <c r="M169" s="729"/>
      <c r="N169" s="729"/>
      <c r="O169" s="729"/>
      <c r="P169" s="729"/>
    </row>
    <row r="170" spans="1:16" s="714" customFormat="1" ht="24" customHeight="1">
      <c r="A170" s="976" t="s">
        <v>1366</v>
      </c>
      <c r="B170" s="800" t="s">
        <v>1343</v>
      </c>
      <c r="C170" s="757"/>
      <c r="D170" s="758"/>
      <c r="E170" s="2377">
        <v>2</v>
      </c>
      <c r="F170" s="803" t="s">
        <v>240</v>
      </c>
      <c r="G170" s="752">
        <v>3800</v>
      </c>
      <c r="H170" s="864">
        <f t="shared" si="33"/>
        <v>7600</v>
      </c>
      <c r="I170" s="949">
        <v>200</v>
      </c>
      <c r="J170" s="864">
        <f t="shared" si="34"/>
        <v>400</v>
      </c>
      <c r="K170" s="966">
        <f t="shared" si="35"/>
        <v>8000</v>
      </c>
      <c r="L170" s="919"/>
      <c r="M170" s="729"/>
      <c r="N170" s="729"/>
      <c r="O170" s="729"/>
      <c r="P170" s="729"/>
    </row>
    <row r="171" spans="1:16" s="714" customFormat="1" ht="24" customHeight="1">
      <c r="A171" s="976" t="s">
        <v>3024</v>
      </c>
      <c r="B171" s="800" t="s">
        <v>1344</v>
      </c>
      <c r="C171" s="757"/>
      <c r="D171" s="758"/>
      <c r="E171" s="2377">
        <v>2</v>
      </c>
      <c r="F171" s="803" t="s">
        <v>240</v>
      </c>
      <c r="G171" s="752">
        <v>5000</v>
      </c>
      <c r="H171" s="864">
        <f t="shared" si="33"/>
        <v>10000</v>
      </c>
      <c r="I171" s="949">
        <f>G171*0.1</f>
        <v>500</v>
      </c>
      <c r="J171" s="864">
        <f t="shared" si="34"/>
        <v>1000</v>
      </c>
      <c r="K171" s="966">
        <f t="shared" si="35"/>
        <v>11000</v>
      </c>
      <c r="L171" s="919"/>
      <c r="M171" s="729"/>
      <c r="N171" s="729"/>
      <c r="O171" s="729"/>
      <c r="P171" s="729"/>
    </row>
    <row r="172" spans="1:16" s="714" customFormat="1" ht="24" customHeight="1">
      <c r="A172" s="976" t="s">
        <v>1369</v>
      </c>
      <c r="B172" s="800" t="s">
        <v>1159</v>
      </c>
      <c r="C172" s="757"/>
      <c r="D172" s="758"/>
      <c r="E172" s="2377"/>
      <c r="F172" s="948"/>
      <c r="G172" s="752"/>
      <c r="H172" s="864">
        <f t="shared" si="33"/>
        <v>0</v>
      </c>
      <c r="I172" s="949"/>
      <c r="J172" s="864">
        <f t="shared" si="34"/>
        <v>0</v>
      </c>
      <c r="K172" s="966">
        <f t="shared" si="35"/>
        <v>0</v>
      </c>
      <c r="L172" s="919"/>
      <c r="M172" s="729"/>
      <c r="N172" s="729"/>
      <c r="O172" s="729"/>
      <c r="P172" s="729"/>
    </row>
    <row r="173" spans="1:16" s="714" customFormat="1" ht="24" customHeight="1">
      <c r="A173" s="861"/>
      <c r="B173" s="800" t="s">
        <v>1345</v>
      </c>
      <c r="C173" s="757"/>
      <c r="D173" s="758"/>
      <c r="E173" s="2377">
        <v>737</v>
      </c>
      <c r="F173" s="867" t="s">
        <v>438</v>
      </c>
      <c r="G173" s="752">
        <v>24</v>
      </c>
      <c r="H173" s="864">
        <f t="shared" si="33"/>
        <v>17688</v>
      </c>
      <c r="I173" s="949">
        <v>10</v>
      </c>
      <c r="J173" s="864">
        <f t="shared" si="34"/>
        <v>7370</v>
      </c>
      <c r="K173" s="966">
        <f t="shared" si="35"/>
        <v>25058</v>
      </c>
      <c r="L173" s="919"/>
      <c r="M173" s="729"/>
      <c r="N173" s="729"/>
      <c r="O173" s="729"/>
      <c r="P173" s="729"/>
    </row>
    <row r="174" spans="1:16" s="714" customFormat="1" ht="24" customHeight="1">
      <c r="A174" s="861"/>
      <c r="B174" s="800" t="s">
        <v>1346</v>
      </c>
      <c r="C174" s="757"/>
      <c r="D174" s="758"/>
      <c r="E174" s="2377">
        <v>14</v>
      </c>
      <c r="F174" s="867" t="s">
        <v>438</v>
      </c>
      <c r="G174" s="752">
        <v>31</v>
      </c>
      <c r="H174" s="864">
        <f t="shared" si="33"/>
        <v>434</v>
      </c>
      <c r="I174" s="949">
        <v>10</v>
      </c>
      <c r="J174" s="864">
        <f t="shared" si="34"/>
        <v>140</v>
      </c>
      <c r="K174" s="966">
        <f t="shared" si="35"/>
        <v>574</v>
      </c>
      <c r="L174" s="919"/>
      <c r="M174" s="729"/>
      <c r="N174" s="729"/>
      <c r="O174" s="729"/>
      <c r="P174" s="729"/>
    </row>
    <row r="175" spans="1:16" s="714" customFormat="1" ht="24" customHeight="1">
      <c r="A175" s="861"/>
      <c r="B175" s="800" t="s">
        <v>1338</v>
      </c>
      <c r="C175" s="757"/>
      <c r="D175" s="758"/>
      <c r="E175" s="2377">
        <v>1</v>
      </c>
      <c r="F175" s="948" t="s">
        <v>948</v>
      </c>
      <c r="G175" s="752">
        <f>ROUND(SUM(H173:H174)*5%,)</f>
        <v>906</v>
      </c>
      <c r="H175" s="864">
        <f t="shared" ref="H175" si="36">ROUND(E175*G175,)</f>
        <v>906</v>
      </c>
      <c r="I175" s="797">
        <f>ROUND(G175*0.3,)</f>
        <v>272</v>
      </c>
      <c r="J175" s="864">
        <f t="shared" si="34"/>
        <v>272</v>
      </c>
      <c r="K175" s="966">
        <f t="shared" si="35"/>
        <v>1178</v>
      </c>
      <c r="L175" s="919"/>
      <c r="M175" s="729"/>
      <c r="N175" s="729"/>
      <c r="O175" s="729"/>
      <c r="P175" s="729"/>
    </row>
    <row r="176" spans="1:16" s="714" customFormat="1" ht="24" customHeight="1">
      <c r="A176" s="976" t="s">
        <v>3085</v>
      </c>
      <c r="B176" s="800" t="s">
        <v>950</v>
      </c>
      <c r="C176" s="757"/>
      <c r="D176" s="758"/>
      <c r="E176" s="2377"/>
      <c r="F176" s="948"/>
      <c r="G176" s="752"/>
      <c r="H176" s="864">
        <f t="shared" si="33"/>
        <v>0</v>
      </c>
      <c r="I176" s="949"/>
      <c r="J176" s="864">
        <f t="shared" si="34"/>
        <v>0</v>
      </c>
      <c r="K176" s="966">
        <f t="shared" si="35"/>
        <v>0</v>
      </c>
      <c r="L176" s="919"/>
      <c r="M176" s="729"/>
      <c r="N176" s="729"/>
      <c r="O176" s="729"/>
      <c r="P176" s="729"/>
    </row>
    <row r="177" spans="1:21" s="714" customFormat="1" ht="24" customHeight="1">
      <c r="A177" s="861"/>
      <c r="B177" s="800" t="s">
        <v>1201</v>
      </c>
      <c r="C177" s="757"/>
      <c r="D177" s="758"/>
      <c r="E177" s="2377">
        <v>751</v>
      </c>
      <c r="F177" s="867" t="s">
        <v>438</v>
      </c>
      <c r="G177" s="752">
        <v>56</v>
      </c>
      <c r="H177" s="864">
        <f t="shared" si="33"/>
        <v>42056</v>
      </c>
      <c r="I177" s="949">
        <v>29</v>
      </c>
      <c r="J177" s="864">
        <f t="shared" si="34"/>
        <v>21779</v>
      </c>
      <c r="K177" s="966">
        <f t="shared" si="35"/>
        <v>63835</v>
      </c>
      <c r="L177" s="2394" t="s">
        <v>2974</v>
      </c>
      <c r="M177" s="729"/>
      <c r="P177" s="729"/>
    </row>
    <row r="178" spans="1:21" s="714" customFormat="1" ht="24" customHeight="1">
      <c r="A178" s="861"/>
      <c r="B178" s="800" t="s">
        <v>1237</v>
      </c>
      <c r="C178" s="757"/>
      <c r="D178" s="758"/>
      <c r="E178" s="2377">
        <v>1</v>
      </c>
      <c r="F178" s="977" t="s">
        <v>948</v>
      </c>
      <c r="G178" s="752">
        <f>ROUND(SUM(H177:H177)*15%,)</f>
        <v>6308</v>
      </c>
      <c r="H178" s="864">
        <f t="shared" si="33"/>
        <v>6308</v>
      </c>
      <c r="I178" s="797">
        <f>ROUND(G178*0.3,)</f>
        <v>1892</v>
      </c>
      <c r="J178" s="864">
        <f t="shared" si="34"/>
        <v>1892</v>
      </c>
      <c r="K178" s="966">
        <f t="shared" si="35"/>
        <v>8200</v>
      </c>
      <c r="L178" s="919"/>
      <c r="M178" s="729"/>
      <c r="N178" s="729"/>
      <c r="O178" s="729"/>
      <c r="P178" s="729"/>
    </row>
    <row r="179" spans="1:21" s="714" customFormat="1" ht="24" customHeight="1">
      <c r="A179" s="976" t="s">
        <v>3086</v>
      </c>
      <c r="B179" s="800" t="s">
        <v>1281</v>
      </c>
      <c r="C179" s="757"/>
      <c r="D179" s="758"/>
      <c r="E179" s="2377"/>
      <c r="F179" s="948"/>
      <c r="G179" s="752"/>
      <c r="H179" s="864">
        <f t="shared" si="33"/>
        <v>0</v>
      </c>
      <c r="I179" s="949"/>
      <c r="J179" s="864">
        <f t="shared" si="34"/>
        <v>0</v>
      </c>
      <c r="K179" s="966">
        <f t="shared" si="35"/>
        <v>0</v>
      </c>
      <c r="L179" s="919"/>
      <c r="M179" s="729"/>
      <c r="N179" s="729"/>
      <c r="O179" s="729"/>
      <c r="P179" s="729"/>
    </row>
    <row r="180" spans="1:21" s="714" customFormat="1" ht="24" customHeight="1">
      <c r="A180" s="861"/>
      <c r="B180" s="800" t="s">
        <v>1201</v>
      </c>
      <c r="C180" s="757"/>
      <c r="D180" s="758"/>
      <c r="E180" s="2377">
        <v>5</v>
      </c>
      <c r="F180" s="867" t="s">
        <v>438</v>
      </c>
      <c r="G180" s="752">
        <v>14</v>
      </c>
      <c r="H180" s="864">
        <f t="shared" si="33"/>
        <v>70</v>
      </c>
      <c r="I180" s="949">
        <v>11</v>
      </c>
      <c r="J180" s="864">
        <f t="shared" si="34"/>
        <v>55</v>
      </c>
      <c r="K180" s="966">
        <f t="shared" si="35"/>
        <v>125</v>
      </c>
      <c r="L180" s="919"/>
      <c r="M180" s="729"/>
      <c r="N180" s="729"/>
      <c r="O180" s="729"/>
      <c r="P180" s="729"/>
    </row>
    <row r="181" spans="1:21" s="714" customFormat="1" ht="24" customHeight="1">
      <c r="A181" s="831"/>
      <c r="B181" s="720" t="s">
        <v>957</v>
      </c>
      <c r="C181" s="717"/>
      <c r="D181" s="718"/>
      <c r="E181" s="1141"/>
      <c r="F181" s="916"/>
      <c r="G181" s="806"/>
      <c r="H181" s="918"/>
      <c r="I181" s="807"/>
      <c r="J181" s="919"/>
      <c r="K181" s="968"/>
      <c r="L181" s="919"/>
      <c r="M181" s="729"/>
      <c r="N181" s="729"/>
      <c r="O181" s="729"/>
      <c r="P181" s="729"/>
    </row>
    <row r="182" spans="1:21" s="714" customFormat="1" ht="24" customHeight="1">
      <c r="A182" s="775"/>
      <c r="B182" s="2475" t="str">
        <f>"รวมราคารายการที่ "&amp;A167</f>
        <v>รวมราคารายการที่ 3.10</v>
      </c>
      <c r="C182" s="2476"/>
      <c r="D182" s="2477"/>
      <c r="E182" s="2369"/>
      <c r="F182" s="777"/>
      <c r="G182" s="959"/>
      <c r="H182" s="960">
        <f>SUM(H168:H181)</f>
        <v>155262</v>
      </c>
      <c r="I182" s="959"/>
      <c r="J182" s="960">
        <f>SUM(J168:J181)</f>
        <v>34868</v>
      </c>
      <c r="K182" s="777">
        <f>SUM(K168:K181)</f>
        <v>190130</v>
      </c>
      <c r="L182" s="1006"/>
      <c r="M182" s="729"/>
      <c r="N182" s="729"/>
      <c r="O182" s="729"/>
      <c r="P182" s="729"/>
    </row>
    <row r="183" spans="1:21" s="714" customFormat="1" ht="24" customHeight="1">
      <c r="A183" s="911" t="s">
        <v>1180</v>
      </c>
      <c r="B183" s="816" t="s">
        <v>1347</v>
      </c>
      <c r="C183" s="770"/>
      <c r="D183" s="771"/>
      <c r="E183" s="2376"/>
      <c r="F183" s="931"/>
      <c r="G183" s="932"/>
      <c r="H183" s="933"/>
      <c r="I183" s="934"/>
      <c r="J183" s="935"/>
      <c r="K183" s="1013"/>
      <c r="L183" s="935"/>
      <c r="M183" s="729"/>
      <c r="N183" s="729"/>
      <c r="O183" s="729"/>
      <c r="P183" s="729"/>
    </row>
    <row r="184" spans="1:21" s="714" customFormat="1" ht="24" customHeight="1">
      <c r="A184" s="992" t="s">
        <v>1082</v>
      </c>
      <c r="B184" s="720" t="s">
        <v>3021</v>
      </c>
      <c r="C184" s="706"/>
      <c r="D184" s="990"/>
      <c r="E184" s="721"/>
      <c r="F184" s="722"/>
      <c r="G184" s="1402"/>
      <c r="H184" s="914"/>
      <c r="I184" s="807"/>
      <c r="J184" s="796"/>
      <c r="K184" s="1014"/>
      <c r="L184" s="1024"/>
      <c r="M184" s="729"/>
      <c r="N184" s="729"/>
      <c r="O184" s="729"/>
      <c r="P184" s="729"/>
      <c r="Q184" s="729"/>
      <c r="R184" s="729"/>
      <c r="S184" s="729"/>
      <c r="T184" s="729"/>
      <c r="U184" s="729"/>
    </row>
    <row r="185" spans="1:21" s="714" customFormat="1" ht="24" customHeight="1">
      <c r="A185" s="992"/>
      <c r="B185" s="720" t="s">
        <v>3022</v>
      </c>
      <c r="C185" s="706"/>
      <c r="D185" s="990"/>
      <c r="E185" s="721">
        <v>2</v>
      </c>
      <c r="F185" s="722" t="s">
        <v>240</v>
      </c>
      <c r="G185" s="994">
        <v>28700</v>
      </c>
      <c r="H185" s="864">
        <f>ROUND(E185*G185,)</f>
        <v>57400</v>
      </c>
      <c r="I185" s="865">
        <f>G185*0.01</f>
        <v>287</v>
      </c>
      <c r="J185" s="864">
        <f>ROUND(I185*E185,)</f>
        <v>574</v>
      </c>
      <c r="K185" s="966">
        <f>H185+J185</f>
        <v>57974</v>
      </c>
      <c r="L185" s="1024"/>
      <c r="M185" s="729"/>
      <c r="N185" s="729"/>
      <c r="O185" s="729"/>
      <c r="P185" s="729"/>
      <c r="Q185" s="729"/>
      <c r="R185" s="729"/>
      <c r="S185" s="729"/>
      <c r="T185" s="729"/>
      <c r="U185" s="729"/>
    </row>
    <row r="186" spans="1:21" s="714" customFormat="1" ht="24" customHeight="1">
      <c r="A186" s="992"/>
      <c r="B186" s="720" t="s">
        <v>1616</v>
      </c>
      <c r="C186" s="706"/>
      <c r="D186" s="990"/>
      <c r="E186" s="721">
        <v>2</v>
      </c>
      <c r="F186" s="722" t="s">
        <v>240</v>
      </c>
      <c r="G186" s="994">
        <v>25000</v>
      </c>
      <c r="H186" s="864">
        <f>ROUND(E186*G186,)</f>
        <v>50000</v>
      </c>
      <c r="I186" s="865">
        <f>ROUND(G186*0.01,)</f>
        <v>250</v>
      </c>
      <c r="J186" s="864">
        <f>ROUND(I186*E186,)</f>
        <v>500</v>
      </c>
      <c r="K186" s="966">
        <f>H186+J186</f>
        <v>50500</v>
      </c>
      <c r="L186" s="1024"/>
      <c r="M186" s="729"/>
      <c r="N186" s="729"/>
      <c r="O186" s="729"/>
      <c r="P186" s="729"/>
      <c r="Q186" s="729"/>
      <c r="R186" s="729"/>
      <c r="S186" s="729"/>
      <c r="T186" s="729"/>
      <c r="U186" s="729"/>
    </row>
    <row r="187" spans="1:21" s="714" customFormat="1" ht="24" customHeight="1">
      <c r="A187" s="993"/>
      <c r="B187" s="720" t="s">
        <v>1375</v>
      </c>
      <c r="C187" s="706"/>
      <c r="D187" s="990"/>
      <c r="E187" s="721">
        <v>48</v>
      </c>
      <c r="F187" s="722" t="s">
        <v>240</v>
      </c>
      <c r="G187" s="994">
        <v>400</v>
      </c>
      <c r="H187" s="864">
        <f>ROUND(E187*G187,)</f>
        <v>19200</v>
      </c>
      <c r="I187" s="865">
        <f>ROUND(G187*0.01,)</f>
        <v>4</v>
      </c>
      <c r="J187" s="864">
        <f>ROUND(I187*E187,)</f>
        <v>192</v>
      </c>
      <c r="K187" s="966">
        <f>H187+J187</f>
        <v>19392</v>
      </c>
      <c r="L187" s="1024"/>
      <c r="M187" s="729"/>
      <c r="N187" s="729"/>
      <c r="O187" s="729"/>
      <c r="P187" s="729"/>
      <c r="Q187" s="729"/>
      <c r="R187" s="729"/>
      <c r="S187" s="729"/>
      <c r="T187" s="729"/>
      <c r="U187" s="729"/>
    </row>
    <row r="188" spans="1:21" s="714" customFormat="1" ht="24" customHeight="1">
      <c r="A188" s="993"/>
      <c r="B188" s="720" t="s">
        <v>3023</v>
      </c>
      <c r="C188" s="706"/>
      <c r="D188" s="990"/>
      <c r="E188" s="721"/>
      <c r="F188" s="722" t="s">
        <v>240</v>
      </c>
      <c r="G188" s="994"/>
      <c r="H188" s="914"/>
      <c r="I188" s="797"/>
      <c r="J188" s="796"/>
      <c r="K188" s="1014"/>
      <c r="L188" s="1024"/>
      <c r="M188" s="729"/>
      <c r="N188" s="729"/>
      <c r="O188" s="729"/>
      <c r="P188" s="729"/>
      <c r="Q188" s="729"/>
      <c r="R188" s="729"/>
      <c r="S188" s="729"/>
      <c r="T188" s="729"/>
      <c r="U188" s="729"/>
    </row>
    <row r="189" spans="1:21" s="714" customFormat="1" ht="24" customHeight="1">
      <c r="A189" s="1138"/>
      <c r="B189" s="720" t="s">
        <v>1618</v>
      </c>
      <c r="C189" s="706"/>
      <c r="D189" s="990"/>
      <c r="E189" s="721"/>
      <c r="F189" s="722" t="s">
        <v>240</v>
      </c>
      <c r="G189" s="994"/>
      <c r="H189" s="914"/>
      <c r="I189" s="797"/>
      <c r="J189" s="796"/>
      <c r="K189" s="1014"/>
      <c r="L189" s="1023"/>
      <c r="M189" s="729"/>
      <c r="N189" s="729"/>
      <c r="O189" s="729"/>
      <c r="P189" s="729"/>
      <c r="Q189" s="729"/>
      <c r="R189" s="729"/>
      <c r="S189" s="729"/>
      <c r="T189" s="729"/>
      <c r="U189" s="729"/>
    </row>
    <row r="190" spans="1:21" s="714" customFormat="1" ht="24" customHeight="1">
      <c r="A190" s="1138"/>
      <c r="B190" s="720"/>
      <c r="C190" s="706"/>
      <c r="D190" s="990"/>
      <c r="E190" s="721"/>
      <c r="F190" s="722"/>
      <c r="G190" s="827"/>
      <c r="H190" s="914"/>
      <c r="I190" s="797"/>
      <c r="J190" s="914"/>
      <c r="K190" s="1014"/>
      <c r="L190" s="1023"/>
      <c r="M190" s="729"/>
      <c r="N190" s="729"/>
      <c r="O190" s="729"/>
      <c r="P190" s="729"/>
      <c r="Q190" s="729"/>
      <c r="R190" s="729"/>
      <c r="S190" s="729"/>
      <c r="T190" s="729"/>
      <c r="U190" s="729"/>
    </row>
    <row r="191" spans="1:21" s="714" customFormat="1" ht="24" customHeight="1">
      <c r="A191" s="831" t="s">
        <v>1377</v>
      </c>
      <c r="B191" s="720" t="s">
        <v>1348</v>
      </c>
      <c r="C191" s="717"/>
      <c r="D191" s="718"/>
      <c r="E191" s="1141"/>
      <c r="F191" s="916"/>
      <c r="G191" s="806"/>
      <c r="H191" s="918"/>
      <c r="I191" s="807"/>
      <c r="J191" s="919"/>
      <c r="K191" s="968"/>
      <c r="L191" s="919"/>
      <c r="M191" s="729"/>
      <c r="N191" s="729"/>
      <c r="O191" s="729"/>
      <c r="P191" s="729"/>
    </row>
    <row r="192" spans="1:21" s="714" customFormat="1" ht="24" customHeight="1">
      <c r="A192" s="831"/>
      <c r="B192" s="720" t="s">
        <v>1349</v>
      </c>
      <c r="C192" s="717"/>
      <c r="D192" s="718"/>
      <c r="E192" s="1141">
        <v>2</v>
      </c>
      <c r="F192" s="722" t="s">
        <v>240</v>
      </c>
      <c r="G192" s="806">
        <f>(28000+6600+14500)*0.95</f>
        <v>46645</v>
      </c>
      <c r="H192" s="918">
        <f t="shared" ref="H192:H197" si="37">ROUND(E192*G192,)</f>
        <v>93290</v>
      </c>
      <c r="I192" s="807">
        <v>5000</v>
      </c>
      <c r="J192" s="919">
        <f>ROUND(E192*I192,)</f>
        <v>10000</v>
      </c>
      <c r="K192" s="966">
        <f t="shared" ref="K192:K205" si="38">H192+J192</f>
        <v>103290</v>
      </c>
      <c r="L192" s="919"/>
      <c r="M192" s="729"/>
      <c r="N192" s="729"/>
      <c r="O192" s="729"/>
      <c r="P192" s="729"/>
    </row>
    <row r="193" spans="1:16" s="714" customFormat="1" ht="24" customHeight="1">
      <c r="A193" s="831"/>
      <c r="B193" s="720" t="s">
        <v>1350</v>
      </c>
      <c r="C193" s="717"/>
      <c r="D193" s="718"/>
      <c r="E193" s="1141">
        <v>2</v>
      </c>
      <c r="F193" s="722" t="s">
        <v>240</v>
      </c>
      <c r="G193" s="806">
        <f>22500*0.95</f>
        <v>21375</v>
      </c>
      <c r="H193" s="918">
        <f t="shared" si="37"/>
        <v>42750</v>
      </c>
      <c r="I193" s="807" t="s">
        <v>1351</v>
      </c>
      <c r="J193" s="919"/>
      <c r="K193" s="966">
        <f t="shared" si="38"/>
        <v>42750</v>
      </c>
      <c r="L193" s="919"/>
      <c r="M193" s="729"/>
      <c r="N193" s="729"/>
      <c r="O193" s="729"/>
      <c r="P193" s="729"/>
    </row>
    <row r="194" spans="1:16" s="714" customFormat="1" ht="24" customHeight="1">
      <c r="A194" s="831"/>
      <c r="B194" s="720" t="s">
        <v>1352</v>
      </c>
      <c r="C194" s="717"/>
      <c r="D194" s="718"/>
      <c r="E194" s="1141">
        <v>4</v>
      </c>
      <c r="F194" s="722" t="s">
        <v>240</v>
      </c>
      <c r="G194" s="806">
        <f>9500*0.95</f>
        <v>9025</v>
      </c>
      <c r="H194" s="918">
        <f t="shared" si="37"/>
        <v>36100</v>
      </c>
      <c r="I194" s="807" t="s">
        <v>1351</v>
      </c>
      <c r="J194" s="919"/>
      <c r="K194" s="966">
        <f t="shared" si="38"/>
        <v>36100</v>
      </c>
      <c r="L194" s="919"/>
      <c r="M194" s="729"/>
      <c r="N194" s="729"/>
      <c r="O194" s="729"/>
      <c r="P194" s="729"/>
    </row>
    <row r="195" spans="1:16" s="714" customFormat="1" ht="24" customHeight="1">
      <c r="A195" s="831"/>
      <c r="B195" s="720" t="s">
        <v>1353</v>
      </c>
      <c r="C195" s="717"/>
      <c r="D195" s="718"/>
      <c r="E195" s="1141">
        <v>2</v>
      </c>
      <c r="F195" s="722" t="s">
        <v>240</v>
      </c>
      <c r="G195" s="806">
        <f>2100*0.95</f>
        <v>1995</v>
      </c>
      <c r="H195" s="918">
        <f t="shared" si="37"/>
        <v>3990</v>
      </c>
      <c r="I195" s="807" t="s">
        <v>1351</v>
      </c>
      <c r="J195" s="919"/>
      <c r="K195" s="966">
        <f t="shared" si="38"/>
        <v>3990</v>
      </c>
      <c r="L195" s="919"/>
      <c r="M195" s="729"/>
      <c r="N195" s="729"/>
      <c r="O195" s="729"/>
      <c r="P195" s="729"/>
    </row>
    <row r="196" spans="1:16" s="714" customFormat="1" ht="24" customHeight="1">
      <c r="A196" s="831"/>
      <c r="B196" s="720" t="s">
        <v>1354</v>
      </c>
      <c r="C196" s="717"/>
      <c r="D196" s="718"/>
      <c r="E196" s="1141">
        <v>2</v>
      </c>
      <c r="F196" s="722" t="s">
        <v>240</v>
      </c>
      <c r="G196" s="806">
        <f>ROUND(450*0.95,)</f>
        <v>428</v>
      </c>
      <c r="H196" s="918">
        <f t="shared" si="37"/>
        <v>856</v>
      </c>
      <c r="I196" s="807" t="s">
        <v>1351</v>
      </c>
      <c r="J196" s="919"/>
      <c r="K196" s="966">
        <f t="shared" si="38"/>
        <v>856</v>
      </c>
      <c r="L196" s="919"/>
      <c r="M196" s="729"/>
      <c r="N196" s="729"/>
      <c r="O196" s="729"/>
      <c r="P196" s="729"/>
    </row>
    <row r="197" spans="1:16" s="714" customFormat="1" ht="24" customHeight="1">
      <c r="A197" s="831"/>
      <c r="B197" s="720" t="s">
        <v>1355</v>
      </c>
      <c r="C197" s="717"/>
      <c r="D197" s="718"/>
      <c r="E197" s="1141">
        <v>2</v>
      </c>
      <c r="F197" s="722" t="s">
        <v>240</v>
      </c>
      <c r="G197" s="806">
        <f>ROUND(850*0.95,)</f>
        <v>808</v>
      </c>
      <c r="H197" s="918">
        <f t="shared" si="37"/>
        <v>1616</v>
      </c>
      <c r="I197" s="807" t="s">
        <v>1351</v>
      </c>
      <c r="J197" s="919"/>
      <c r="K197" s="966">
        <f t="shared" si="38"/>
        <v>1616</v>
      </c>
      <c r="L197" s="919"/>
      <c r="M197" s="729"/>
      <c r="N197" s="729"/>
      <c r="O197" s="729"/>
      <c r="P197" s="729"/>
    </row>
    <row r="198" spans="1:16" s="714" customFormat="1" ht="24" customHeight="1">
      <c r="A198" s="856" t="s">
        <v>1380</v>
      </c>
      <c r="B198" s="720" t="s">
        <v>1159</v>
      </c>
      <c r="C198" s="717"/>
      <c r="D198" s="718"/>
      <c r="E198" s="1141"/>
      <c r="F198" s="916"/>
      <c r="G198" s="806"/>
      <c r="H198" s="918"/>
      <c r="I198" s="807"/>
      <c r="J198" s="919"/>
      <c r="K198" s="966">
        <f t="shared" si="38"/>
        <v>0</v>
      </c>
      <c r="L198" s="919"/>
      <c r="M198" s="729"/>
      <c r="N198" s="729"/>
      <c r="O198" s="729"/>
      <c r="P198" s="729"/>
    </row>
    <row r="199" spans="1:16" s="714" customFormat="1" ht="24" customHeight="1">
      <c r="A199" s="831"/>
      <c r="B199" s="720" t="s">
        <v>1356</v>
      </c>
      <c r="C199" s="717"/>
      <c r="D199" s="718"/>
      <c r="E199" s="1141">
        <f>E192*30</f>
        <v>60</v>
      </c>
      <c r="F199" s="794" t="s">
        <v>438</v>
      </c>
      <c r="G199" s="806">
        <v>37</v>
      </c>
      <c r="H199" s="918">
        <f>ROUND(E199*G199,)</f>
        <v>2220</v>
      </c>
      <c r="I199" s="807">
        <v>5</v>
      </c>
      <c r="J199" s="919">
        <f>ROUND(E199*I199,)</f>
        <v>300</v>
      </c>
      <c r="K199" s="966">
        <f t="shared" si="38"/>
        <v>2520</v>
      </c>
      <c r="L199" s="919"/>
      <c r="M199" s="729"/>
      <c r="N199" s="729"/>
      <c r="O199" s="729"/>
      <c r="P199" s="729"/>
    </row>
    <row r="200" spans="1:16" s="714" customFormat="1" ht="24" customHeight="1">
      <c r="A200" s="831"/>
      <c r="B200" s="720" t="s">
        <v>1338</v>
      </c>
      <c r="C200" s="717"/>
      <c r="D200" s="718"/>
      <c r="E200" s="1141">
        <v>1</v>
      </c>
      <c r="F200" s="916" t="s">
        <v>948</v>
      </c>
      <c r="G200" s="806">
        <f>SUM(H199)*5%</f>
        <v>111</v>
      </c>
      <c r="H200" s="796">
        <f t="shared" ref="H200" si="39">ROUND(E200*G200,)</f>
        <v>111</v>
      </c>
      <c r="I200" s="797">
        <f>ROUND(G200*0.3,)</f>
        <v>33</v>
      </c>
      <c r="J200" s="796">
        <f t="shared" ref="J200" si="40">ROUND(E200*I200,)</f>
        <v>33</v>
      </c>
      <c r="K200" s="966">
        <f t="shared" si="38"/>
        <v>144</v>
      </c>
      <c r="L200" s="919"/>
      <c r="M200" s="729"/>
      <c r="N200" s="729"/>
      <c r="O200" s="729"/>
      <c r="P200" s="729"/>
    </row>
    <row r="201" spans="1:16" s="714" customFormat="1" ht="24" customHeight="1">
      <c r="A201" s="831"/>
      <c r="B201" s="720"/>
      <c r="C201" s="717"/>
      <c r="D201" s="718"/>
      <c r="E201" s="1141"/>
      <c r="F201" s="916"/>
      <c r="G201" s="806"/>
      <c r="H201" s="796"/>
      <c r="I201" s="797"/>
      <c r="J201" s="914"/>
      <c r="K201" s="966"/>
      <c r="L201" s="919"/>
      <c r="M201" s="729"/>
      <c r="N201" s="729"/>
      <c r="O201" s="729"/>
      <c r="P201" s="729"/>
    </row>
    <row r="202" spans="1:16" s="714" customFormat="1" ht="24" customHeight="1">
      <c r="A202" s="831"/>
      <c r="B202" s="720"/>
      <c r="C202" s="717"/>
      <c r="D202" s="718"/>
      <c r="E202" s="1141"/>
      <c r="F202" s="916"/>
      <c r="G202" s="806"/>
      <c r="H202" s="796"/>
      <c r="I202" s="797"/>
      <c r="J202" s="914"/>
      <c r="K202" s="966"/>
      <c r="L202" s="919"/>
      <c r="M202" s="729"/>
      <c r="N202" s="729"/>
      <c r="O202" s="729"/>
      <c r="P202" s="729"/>
    </row>
    <row r="203" spans="1:16" s="714" customFormat="1" ht="24" customHeight="1">
      <c r="A203" s="856" t="s">
        <v>1210</v>
      </c>
      <c r="B203" s="720" t="s">
        <v>1357</v>
      </c>
      <c r="C203" s="717"/>
      <c r="D203" s="718"/>
      <c r="E203" s="1141"/>
      <c r="F203" s="916"/>
      <c r="G203" s="806"/>
      <c r="H203" s="918"/>
      <c r="I203" s="807"/>
      <c r="J203" s="919"/>
      <c r="K203" s="966">
        <f t="shared" si="38"/>
        <v>0</v>
      </c>
      <c r="L203" s="919"/>
      <c r="M203" s="729"/>
      <c r="N203" s="729"/>
      <c r="O203" s="729"/>
      <c r="P203" s="729"/>
    </row>
    <row r="204" spans="1:16" s="714" customFormat="1" ht="24" customHeight="1">
      <c r="A204" s="831"/>
      <c r="B204" s="720" t="s">
        <v>1201</v>
      </c>
      <c r="C204" s="717"/>
      <c r="D204" s="718"/>
      <c r="E204" s="1141">
        <f>E199</f>
        <v>60</v>
      </c>
      <c r="F204" s="794" t="s">
        <v>438</v>
      </c>
      <c r="G204" s="806">
        <v>27</v>
      </c>
      <c r="H204" s="796">
        <f t="shared" ref="H204:H205" si="41">ROUND(G204*E204,)</f>
        <v>1620</v>
      </c>
      <c r="I204" s="807">
        <v>22</v>
      </c>
      <c r="J204" s="796">
        <f>ROUND(E204*I204,)</f>
        <v>1320</v>
      </c>
      <c r="K204" s="966">
        <f t="shared" si="38"/>
        <v>2940</v>
      </c>
      <c r="L204" s="2394" t="s">
        <v>2974</v>
      </c>
      <c r="M204" s="729"/>
      <c r="P204" s="729"/>
    </row>
    <row r="205" spans="1:16" s="714" customFormat="1" ht="24" customHeight="1">
      <c r="A205" s="831"/>
      <c r="B205" s="720" t="s">
        <v>1237</v>
      </c>
      <c r="C205" s="717"/>
      <c r="D205" s="718"/>
      <c r="E205" s="1141">
        <v>1</v>
      </c>
      <c r="F205" s="916" t="s">
        <v>948</v>
      </c>
      <c r="G205" s="806">
        <f>H204*15%</f>
        <v>243</v>
      </c>
      <c r="H205" s="796">
        <f t="shared" si="41"/>
        <v>243</v>
      </c>
      <c r="I205" s="797">
        <f>ROUND(G205*0.3,)</f>
        <v>73</v>
      </c>
      <c r="J205" s="796">
        <f t="shared" ref="J205" si="42">ROUND(E205*I205,)</f>
        <v>73</v>
      </c>
      <c r="K205" s="966">
        <f t="shared" si="38"/>
        <v>316</v>
      </c>
      <c r="L205" s="919"/>
      <c r="M205" s="729"/>
      <c r="N205" s="729"/>
      <c r="O205" s="729"/>
      <c r="P205" s="729"/>
    </row>
    <row r="206" spans="1:16" s="714" customFormat="1" ht="24" customHeight="1">
      <c r="A206" s="831"/>
      <c r="B206" s="720" t="s">
        <v>957</v>
      </c>
      <c r="C206" s="717"/>
      <c r="D206" s="718"/>
      <c r="E206" s="1141"/>
      <c r="F206" s="916"/>
      <c r="G206" s="806"/>
      <c r="H206" s="918"/>
      <c r="I206" s="807"/>
      <c r="J206" s="919"/>
      <c r="K206" s="968"/>
      <c r="L206" s="919"/>
      <c r="M206" s="729"/>
      <c r="N206" s="729"/>
      <c r="O206" s="729"/>
      <c r="P206" s="729"/>
    </row>
    <row r="207" spans="1:16" s="714" customFormat="1" ht="24" customHeight="1">
      <c r="A207" s="775"/>
      <c r="B207" s="2475" t="str">
        <f>"รวมราคารายการที่ "&amp;A183</f>
        <v>รวมราคารายการที่ 3.11</v>
      </c>
      <c r="C207" s="2476"/>
      <c r="D207" s="2477"/>
      <c r="E207" s="2369"/>
      <c r="F207" s="777"/>
      <c r="G207" s="959"/>
      <c r="H207" s="960">
        <f>SUM(H183:H206)</f>
        <v>309396</v>
      </c>
      <c r="I207" s="959"/>
      <c r="J207" s="960">
        <f>SUM(J183:J206)</f>
        <v>12992</v>
      </c>
      <c r="K207" s="777">
        <f>SUM(K183:K206)</f>
        <v>322388</v>
      </c>
      <c r="L207" s="1006"/>
    </row>
    <row r="208" spans="1:16" s="714" customFormat="1" ht="24" customHeight="1">
      <c r="A208" s="899" t="s">
        <v>1196</v>
      </c>
      <c r="B208" s="900" t="s">
        <v>1358</v>
      </c>
      <c r="C208" s="943"/>
      <c r="D208" s="2386"/>
      <c r="E208" s="2378"/>
      <c r="F208" s="978"/>
      <c r="G208" s="774"/>
      <c r="H208" s="773"/>
      <c r="I208" s="946"/>
      <c r="J208" s="947"/>
      <c r="K208" s="1019"/>
      <c r="L208" s="947"/>
      <c r="M208" s="729"/>
      <c r="N208" s="729"/>
      <c r="O208" s="729"/>
      <c r="P208" s="729"/>
    </row>
    <row r="209" spans="1:21" s="714" customFormat="1" ht="24" customHeight="1">
      <c r="A209" s="992" t="s">
        <v>1198</v>
      </c>
      <c r="B209" s="720" t="s">
        <v>3021</v>
      </c>
      <c r="C209" s="706"/>
      <c r="D209" s="990"/>
      <c r="E209" s="721"/>
      <c r="F209" s="722"/>
      <c r="G209" s="1402"/>
      <c r="H209" s="914"/>
      <c r="I209" s="807"/>
      <c r="J209" s="796"/>
      <c r="K209" s="1014"/>
      <c r="L209" s="1024"/>
      <c r="M209" s="729"/>
      <c r="N209" s="729"/>
      <c r="O209" s="729"/>
      <c r="P209" s="729"/>
      <c r="Q209" s="729"/>
      <c r="R209" s="729"/>
      <c r="S209" s="729"/>
      <c r="T209" s="729"/>
      <c r="U209" s="729"/>
    </row>
    <row r="210" spans="1:21" s="714" customFormat="1" ht="24" customHeight="1">
      <c r="A210" s="992"/>
      <c r="B210" s="720" t="s">
        <v>3022</v>
      </c>
      <c r="C210" s="706"/>
      <c r="D210" s="990"/>
      <c r="E210" s="721">
        <v>2</v>
      </c>
      <c r="F210" s="722" t="s">
        <v>240</v>
      </c>
      <c r="G210" s="994">
        <v>28700</v>
      </c>
      <c r="H210" s="864">
        <f>ROUND(E210*G210,)</f>
        <v>57400</v>
      </c>
      <c r="I210" s="865">
        <f>G210*0.01</f>
        <v>287</v>
      </c>
      <c r="J210" s="864">
        <f>ROUND(I210*E210,)</f>
        <v>574</v>
      </c>
      <c r="K210" s="966">
        <f>H210+J210</f>
        <v>57974</v>
      </c>
      <c r="L210" s="1024"/>
      <c r="M210" s="729"/>
      <c r="N210" s="729"/>
      <c r="O210" s="729"/>
      <c r="P210" s="729"/>
      <c r="Q210" s="729"/>
      <c r="R210" s="729"/>
      <c r="S210" s="729"/>
      <c r="T210" s="729"/>
      <c r="U210" s="729"/>
    </row>
    <row r="211" spans="1:21" s="714" customFormat="1" ht="24" customHeight="1">
      <c r="A211" s="992"/>
      <c r="B211" s="720" t="s">
        <v>1616</v>
      </c>
      <c r="C211" s="706"/>
      <c r="D211" s="990"/>
      <c r="E211" s="721">
        <v>2</v>
      </c>
      <c r="F211" s="722" t="s">
        <v>240</v>
      </c>
      <c r="G211" s="994">
        <v>25000</v>
      </c>
      <c r="H211" s="864">
        <f>ROUND(E211*G211,)</f>
        <v>50000</v>
      </c>
      <c r="I211" s="865">
        <f>ROUND(G211*0.01,)</f>
        <v>250</v>
      </c>
      <c r="J211" s="864">
        <f>ROUND(I211*E211,)</f>
        <v>500</v>
      </c>
      <c r="K211" s="966">
        <f>H211+J211</f>
        <v>50500</v>
      </c>
      <c r="L211" s="1024"/>
      <c r="M211" s="729"/>
      <c r="N211" s="729"/>
      <c r="O211" s="729"/>
      <c r="P211" s="729"/>
      <c r="Q211" s="729"/>
      <c r="R211" s="729"/>
      <c r="S211" s="729"/>
      <c r="T211" s="729"/>
      <c r="U211" s="729"/>
    </row>
    <row r="212" spans="1:21" s="714" customFormat="1" ht="24" customHeight="1">
      <c r="A212" s="993"/>
      <c r="B212" s="720" t="s">
        <v>1375</v>
      </c>
      <c r="C212" s="706"/>
      <c r="D212" s="990"/>
      <c r="E212" s="721">
        <v>48</v>
      </c>
      <c r="F212" s="722" t="s">
        <v>240</v>
      </c>
      <c r="G212" s="994">
        <v>400</v>
      </c>
      <c r="H212" s="864">
        <f>ROUND(E212*G212,)</f>
        <v>19200</v>
      </c>
      <c r="I212" s="865">
        <f>ROUND(G212*0.01,)</f>
        <v>4</v>
      </c>
      <c r="J212" s="864">
        <f>ROUND(I212*E212,)</f>
        <v>192</v>
      </c>
      <c r="K212" s="966">
        <f>H212+J212</f>
        <v>19392</v>
      </c>
      <c r="L212" s="1024"/>
      <c r="M212" s="729"/>
      <c r="N212" s="729"/>
      <c r="O212" s="729"/>
      <c r="P212" s="729"/>
      <c r="Q212" s="729"/>
      <c r="R212" s="729"/>
      <c r="S212" s="729"/>
      <c r="T212" s="729"/>
      <c r="U212" s="729"/>
    </row>
    <row r="213" spans="1:21" s="714" customFormat="1" ht="24" customHeight="1">
      <c r="A213" s="993"/>
      <c r="B213" s="720" t="s">
        <v>3023</v>
      </c>
      <c r="C213" s="706"/>
      <c r="D213" s="990"/>
      <c r="E213" s="721"/>
      <c r="F213" s="722" t="s">
        <v>240</v>
      </c>
      <c r="G213" s="994"/>
      <c r="H213" s="914"/>
      <c r="I213" s="797"/>
      <c r="J213" s="796"/>
      <c r="K213" s="1014"/>
      <c r="L213" s="1024"/>
      <c r="M213" s="729"/>
      <c r="N213" s="729"/>
      <c r="O213" s="729"/>
      <c r="P213" s="729"/>
      <c r="Q213" s="729"/>
      <c r="R213" s="729"/>
      <c r="S213" s="729"/>
      <c r="T213" s="729"/>
      <c r="U213" s="729"/>
    </row>
    <row r="214" spans="1:21" s="714" customFormat="1" ht="24" customHeight="1">
      <c r="A214" s="1138"/>
      <c r="B214" s="720" t="s">
        <v>1618</v>
      </c>
      <c r="C214" s="706"/>
      <c r="D214" s="990"/>
      <c r="E214" s="721"/>
      <c r="F214" s="722" t="s">
        <v>240</v>
      </c>
      <c r="G214" s="994"/>
      <c r="H214" s="914"/>
      <c r="I214" s="797"/>
      <c r="J214" s="796"/>
      <c r="K214" s="1014"/>
      <c r="L214" s="1023"/>
      <c r="M214" s="729"/>
      <c r="N214" s="729"/>
      <c r="O214" s="729"/>
      <c r="P214" s="729"/>
      <c r="Q214" s="729"/>
      <c r="R214" s="729"/>
      <c r="S214" s="729"/>
      <c r="T214" s="729"/>
      <c r="U214" s="729"/>
    </row>
    <row r="215" spans="1:21" s="714" customFormat="1" ht="24" customHeight="1">
      <c r="A215" s="976" t="s">
        <v>1200</v>
      </c>
      <c r="B215" s="800" t="s">
        <v>1359</v>
      </c>
      <c r="C215" s="757"/>
      <c r="D215" s="758"/>
      <c r="E215" s="2379"/>
      <c r="F215" s="980"/>
      <c r="G215" s="981"/>
      <c r="H215" s="982"/>
      <c r="I215" s="983"/>
      <c r="J215" s="982"/>
      <c r="K215" s="1021"/>
      <c r="L215" s="973"/>
      <c r="M215" s="729"/>
      <c r="N215" s="729"/>
      <c r="O215" s="729"/>
      <c r="P215" s="729"/>
    </row>
    <row r="216" spans="1:21" s="714" customFormat="1" ht="24" customHeight="1">
      <c r="A216" s="861"/>
      <c r="B216" s="800" t="s">
        <v>1360</v>
      </c>
      <c r="C216" s="757"/>
      <c r="D216" s="758"/>
      <c r="E216" s="2377">
        <v>1</v>
      </c>
      <c r="F216" s="803" t="s">
        <v>240</v>
      </c>
      <c r="G216" s="752">
        <f>40590+10000+33400</f>
        <v>83990</v>
      </c>
      <c r="H216" s="751">
        <f t="shared" ref="H216:H217" si="43">ROUND(E216*G216,)</f>
        <v>83990</v>
      </c>
      <c r="I216" s="949">
        <f>G216*0.1</f>
        <v>8399</v>
      </c>
      <c r="J216" s="973">
        <f>ROUND(E216*I216,)</f>
        <v>8399</v>
      </c>
      <c r="K216" s="966">
        <f t="shared" ref="K216:K229" si="44">H216+J216</f>
        <v>92389</v>
      </c>
      <c r="L216" s="973"/>
      <c r="M216" s="729"/>
      <c r="N216" s="729"/>
      <c r="O216" s="729"/>
      <c r="P216" s="729"/>
    </row>
    <row r="217" spans="1:21" s="714" customFormat="1" ht="24" customHeight="1">
      <c r="A217" s="861"/>
      <c r="B217" s="800" t="s">
        <v>1361</v>
      </c>
      <c r="C217" s="757"/>
      <c r="D217" s="758"/>
      <c r="E217" s="2377">
        <v>1</v>
      </c>
      <c r="F217" s="803" t="s">
        <v>240</v>
      </c>
      <c r="G217" s="752">
        <v>228010</v>
      </c>
      <c r="H217" s="751">
        <f t="shared" si="43"/>
        <v>228010</v>
      </c>
      <c r="I217" s="949">
        <f t="shared" ref="I217" si="45">G217*0.1</f>
        <v>22801</v>
      </c>
      <c r="J217" s="973">
        <f t="shared" ref="J217" si="46">ROUND(E217*I217,)</f>
        <v>22801</v>
      </c>
      <c r="K217" s="966">
        <f t="shared" si="44"/>
        <v>250811</v>
      </c>
      <c r="L217" s="973"/>
      <c r="M217" s="729"/>
      <c r="N217" s="729"/>
      <c r="O217" s="729"/>
      <c r="P217" s="729"/>
    </row>
    <row r="218" spans="1:21" s="714" customFormat="1" ht="24" customHeight="1">
      <c r="A218" s="976" t="s">
        <v>1440</v>
      </c>
      <c r="B218" s="800" t="s">
        <v>1363</v>
      </c>
      <c r="C218" s="757"/>
      <c r="D218" s="758"/>
      <c r="E218" s="2379"/>
      <c r="F218" s="980"/>
      <c r="G218" s="981"/>
      <c r="H218" s="982"/>
      <c r="I218" s="983"/>
      <c r="J218" s="982"/>
      <c r="K218" s="966">
        <f t="shared" si="44"/>
        <v>0</v>
      </c>
      <c r="L218" s="973"/>
      <c r="M218" s="729"/>
      <c r="N218" s="729"/>
      <c r="O218" s="729"/>
      <c r="P218" s="729"/>
    </row>
    <row r="219" spans="1:21" s="714" customFormat="1" ht="24" customHeight="1">
      <c r="A219" s="861"/>
      <c r="B219" s="800" t="s">
        <v>1364</v>
      </c>
      <c r="C219" s="757"/>
      <c r="D219" s="758"/>
      <c r="E219" s="2377">
        <v>1</v>
      </c>
      <c r="F219" s="803" t="s">
        <v>240</v>
      </c>
      <c r="G219" s="752">
        <v>3500</v>
      </c>
      <c r="H219" s="751">
        <f t="shared" ref="H219:H220" si="47">ROUND(E219*G219,)</f>
        <v>3500</v>
      </c>
      <c r="I219" s="949">
        <f t="shared" ref="I219:I220" si="48">G219*0.1</f>
        <v>350</v>
      </c>
      <c r="J219" s="973">
        <f t="shared" ref="J219:J220" si="49">ROUND(E219*I219,)</f>
        <v>350</v>
      </c>
      <c r="K219" s="966">
        <f t="shared" si="44"/>
        <v>3850</v>
      </c>
      <c r="L219" s="973"/>
      <c r="M219" s="729"/>
      <c r="N219" s="729"/>
      <c r="O219" s="729"/>
      <c r="P219" s="729"/>
    </row>
    <row r="220" spans="1:21" s="714" customFormat="1" ht="24" customHeight="1">
      <c r="A220" s="861"/>
      <c r="B220" s="800" t="s">
        <v>1365</v>
      </c>
      <c r="C220" s="757"/>
      <c r="D220" s="758"/>
      <c r="E220" s="2377">
        <v>1</v>
      </c>
      <c r="F220" s="803" t="s">
        <v>240</v>
      </c>
      <c r="G220" s="752">
        <v>3500</v>
      </c>
      <c r="H220" s="751">
        <f t="shared" si="47"/>
        <v>3500</v>
      </c>
      <c r="I220" s="949">
        <f t="shared" si="48"/>
        <v>350</v>
      </c>
      <c r="J220" s="973">
        <f t="shared" si="49"/>
        <v>350</v>
      </c>
      <c r="K220" s="966">
        <f t="shared" si="44"/>
        <v>3850</v>
      </c>
      <c r="L220" s="973"/>
      <c r="M220" s="729"/>
      <c r="N220" s="729"/>
      <c r="O220" s="729"/>
      <c r="P220" s="729"/>
    </row>
    <row r="221" spans="1:21" s="714" customFormat="1" ht="24" customHeight="1">
      <c r="A221" s="976" t="s">
        <v>2984</v>
      </c>
      <c r="B221" s="800" t="s">
        <v>1159</v>
      </c>
      <c r="C221" s="757"/>
      <c r="D221" s="758"/>
      <c r="E221" s="2377"/>
      <c r="F221" s="948"/>
      <c r="G221" s="752"/>
      <c r="H221" s="751"/>
      <c r="I221" s="949"/>
      <c r="J221" s="973"/>
      <c r="K221" s="966">
        <f t="shared" si="44"/>
        <v>0</v>
      </c>
      <c r="L221" s="973"/>
      <c r="M221" s="729"/>
      <c r="N221" s="729"/>
      <c r="O221" s="729"/>
      <c r="P221" s="729"/>
    </row>
    <row r="222" spans="1:21" s="714" customFormat="1" ht="24" customHeight="1">
      <c r="A222" s="861"/>
      <c r="B222" s="800" t="s">
        <v>1367</v>
      </c>
      <c r="C222" s="757"/>
      <c r="D222" s="758"/>
      <c r="E222" s="2377">
        <v>440</v>
      </c>
      <c r="F222" s="867" t="s">
        <v>438</v>
      </c>
      <c r="G222" s="752">
        <v>103</v>
      </c>
      <c r="H222" s="751">
        <f>ROUND(E222*G222,)</f>
        <v>45320</v>
      </c>
      <c r="I222" s="949">
        <v>21</v>
      </c>
      <c r="J222" s="973">
        <f>ROUND(E222*I222,)</f>
        <v>9240</v>
      </c>
      <c r="K222" s="966">
        <f t="shared" si="44"/>
        <v>54560</v>
      </c>
      <c r="L222" s="973"/>
      <c r="M222" s="729"/>
      <c r="N222" s="729"/>
      <c r="O222" s="729"/>
      <c r="P222" s="729"/>
    </row>
    <row r="223" spans="1:21" s="714" customFormat="1" ht="24" customHeight="1">
      <c r="A223" s="861"/>
      <c r="B223" s="800" t="s">
        <v>1368</v>
      </c>
      <c r="C223" s="757"/>
      <c r="D223" s="758"/>
      <c r="E223" s="2377">
        <v>10</v>
      </c>
      <c r="F223" s="867" t="s">
        <v>438</v>
      </c>
      <c r="G223" s="752">
        <v>139</v>
      </c>
      <c r="H223" s="751">
        <f>ROUND(E223*G223,)</f>
        <v>1390</v>
      </c>
      <c r="I223" s="949">
        <v>21</v>
      </c>
      <c r="J223" s="973">
        <f>ROUND(E223*I223,)</f>
        <v>210</v>
      </c>
      <c r="K223" s="966">
        <f t="shared" si="44"/>
        <v>1600</v>
      </c>
      <c r="L223" s="973"/>
      <c r="M223" s="729"/>
      <c r="N223" s="729"/>
      <c r="O223" s="729"/>
      <c r="P223" s="729"/>
    </row>
    <row r="224" spans="1:21" s="714" customFormat="1" ht="24" customHeight="1">
      <c r="A224" s="861"/>
      <c r="B224" s="800" t="s">
        <v>1338</v>
      </c>
      <c r="C224" s="757"/>
      <c r="D224" s="758"/>
      <c r="E224" s="2377">
        <v>1</v>
      </c>
      <c r="F224" s="948" t="s">
        <v>948</v>
      </c>
      <c r="G224" s="752">
        <f>ROUND(SUM(H222:H223)*5%,)</f>
        <v>2336</v>
      </c>
      <c r="H224" s="864">
        <f t="shared" ref="H224" si="50">ROUND(E224*G224,)</f>
        <v>2336</v>
      </c>
      <c r="I224" s="797">
        <f>ROUND(G224*0.3,)</f>
        <v>701</v>
      </c>
      <c r="J224" s="864">
        <f t="shared" ref="J224" si="51">ROUND(E224*I224,)</f>
        <v>701</v>
      </c>
      <c r="K224" s="966">
        <f t="shared" si="44"/>
        <v>3037</v>
      </c>
      <c r="L224" s="973"/>
      <c r="M224" s="729"/>
      <c r="N224" s="729"/>
      <c r="O224" s="729"/>
      <c r="P224" s="729"/>
    </row>
    <row r="225" spans="1:21" s="714" customFormat="1" ht="24" customHeight="1">
      <c r="A225" s="861"/>
      <c r="B225" s="800"/>
      <c r="C225" s="757"/>
      <c r="D225" s="758"/>
      <c r="E225" s="2377"/>
      <c r="F225" s="948"/>
      <c r="G225" s="752"/>
      <c r="H225" s="864"/>
      <c r="I225" s="797"/>
      <c r="J225" s="864"/>
      <c r="K225" s="966"/>
      <c r="L225" s="973"/>
      <c r="M225" s="729"/>
      <c r="N225" s="729"/>
      <c r="O225" s="729"/>
      <c r="P225" s="729"/>
    </row>
    <row r="226" spans="1:21" s="714" customFormat="1" ht="24" customHeight="1">
      <c r="A226" s="861"/>
      <c r="B226" s="800"/>
      <c r="C226" s="757"/>
      <c r="D226" s="758"/>
      <c r="E226" s="2377"/>
      <c r="F226" s="948"/>
      <c r="G226" s="752"/>
      <c r="H226" s="864"/>
      <c r="I226" s="797"/>
      <c r="J226" s="864"/>
      <c r="K226" s="966"/>
      <c r="L226" s="973"/>
      <c r="M226" s="729"/>
      <c r="N226" s="729"/>
      <c r="O226" s="729"/>
      <c r="P226" s="729"/>
    </row>
    <row r="227" spans="1:21" s="714" customFormat="1" ht="24" customHeight="1">
      <c r="A227" s="861" t="s">
        <v>1443</v>
      </c>
      <c r="B227" s="800" t="s">
        <v>1252</v>
      </c>
      <c r="C227" s="757"/>
      <c r="D227" s="758"/>
      <c r="E227" s="2377"/>
      <c r="F227" s="948"/>
      <c r="G227" s="752"/>
      <c r="H227" s="864"/>
      <c r="I227" s="949"/>
      <c r="J227" s="864"/>
      <c r="K227" s="966">
        <f t="shared" si="44"/>
        <v>0</v>
      </c>
      <c r="L227" s="985"/>
    </row>
    <row r="228" spans="1:21" s="714" customFormat="1" ht="24" customHeight="1">
      <c r="A228" s="861"/>
      <c r="B228" s="800" t="s">
        <v>1193</v>
      </c>
      <c r="C228" s="757"/>
      <c r="D228" s="758"/>
      <c r="E228" s="2377">
        <v>262</v>
      </c>
      <c r="F228" s="867" t="s">
        <v>438</v>
      </c>
      <c r="G228" s="752">
        <v>316</v>
      </c>
      <c r="H228" s="864">
        <f t="shared" ref="H228" si="52">ROUND(E228*G228,)</f>
        <v>82792</v>
      </c>
      <c r="I228" s="949">
        <v>50</v>
      </c>
      <c r="J228" s="864">
        <f t="shared" ref="J228:J229" si="53">ROUND(E228*I228,)</f>
        <v>13100</v>
      </c>
      <c r="K228" s="966">
        <f t="shared" si="44"/>
        <v>95892</v>
      </c>
      <c r="L228" s="985"/>
    </row>
    <row r="229" spans="1:21" s="714" customFormat="1" ht="24" customHeight="1">
      <c r="A229" s="861"/>
      <c r="B229" s="800" t="s">
        <v>1237</v>
      </c>
      <c r="C229" s="757"/>
      <c r="D229" s="758"/>
      <c r="E229" s="2377">
        <v>1</v>
      </c>
      <c r="F229" s="948" t="s">
        <v>948</v>
      </c>
      <c r="G229" s="752">
        <f>ROUND(SUM(H228)*15%,)</f>
        <v>12419</v>
      </c>
      <c r="H229" s="864">
        <f t="shared" ref="H229" si="54">ROUND(G229*E229,)</f>
        <v>12419</v>
      </c>
      <c r="I229" s="797">
        <f>ROUND(G229*0.3,)</f>
        <v>3726</v>
      </c>
      <c r="J229" s="864">
        <f t="shared" si="53"/>
        <v>3726</v>
      </c>
      <c r="K229" s="966">
        <f t="shared" si="44"/>
        <v>16145</v>
      </c>
      <c r="L229" s="985"/>
    </row>
    <row r="230" spans="1:21" s="714" customFormat="1" ht="24" customHeight="1">
      <c r="A230" s="861"/>
      <c r="B230" s="800" t="s">
        <v>957</v>
      </c>
      <c r="C230" s="757"/>
      <c r="D230" s="758"/>
      <c r="E230" s="2377"/>
      <c r="F230" s="948"/>
      <c r="G230" s="752"/>
      <c r="H230" s="751"/>
      <c r="I230" s="949"/>
      <c r="J230" s="973"/>
      <c r="K230" s="1022"/>
      <c r="L230" s="973"/>
      <c r="M230" s="729"/>
      <c r="N230" s="729"/>
      <c r="O230" s="729"/>
      <c r="P230" s="729"/>
    </row>
    <row r="231" spans="1:21" s="714" customFormat="1" ht="24" customHeight="1">
      <c r="A231" s="775"/>
      <c r="B231" s="2475" t="str">
        <f>"รวมราคารายการที่ "&amp;A208</f>
        <v>รวมราคารายการที่ 3.12</v>
      </c>
      <c r="C231" s="2476"/>
      <c r="D231" s="2477"/>
      <c r="E231" s="2369"/>
      <c r="F231" s="777"/>
      <c r="G231" s="959"/>
      <c r="H231" s="960">
        <f>SUM(H208:H230)</f>
        <v>589857</v>
      </c>
      <c r="I231" s="959"/>
      <c r="J231" s="960">
        <f t="shared" ref="J231:K231" si="55">SUM(J208:J230)</f>
        <v>60143</v>
      </c>
      <c r="K231" s="777">
        <f t="shared" si="55"/>
        <v>650000</v>
      </c>
      <c r="L231" s="1006"/>
    </row>
    <row r="232" spans="1:21" s="714" customFormat="1" ht="24" customHeight="1">
      <c r="A232" s="986" t="s">
        <v>1202</v>
      </c>
      <c r="B232" s="816" t="s">
        <v>1370</v>
      </c>
      <c r="C232" s="987"/>
      <c r="D232" s="707"/>
      <c r="E232" s="708"/>
      <c r="F232" s="709"/>
      <c r="G232" s="853"/>
      <c r="H232" s="854"/>
      <c r="I232" s="855"/>
      <c r="J232" s="854"/>
      <c r="K232" s="1007"/>
      <c r="L232" s="1023"/>
      <c r="M232" s="729"/>
      <c r="N232" s="729"/>
      <c r="O232" s="729"/>
      <c r="P232" s="729"/>
      <c r="Q232" s="729"/>
      <c r="R232" s="729"/>
      <c r="S232" s="729"/>
      <c r="T232" s="729"/>
      <c r="U232" s="729"/>
    </row>
    <row r="233" spans="1:21" s="714" customFormat="1" ht="24" customHeight="1">
      <c r="A233" s="992" t="s">
        <v>1204</v>
      </c>
      <c r="B233" s="720" t="s">
        <v>3021</v>
      </c>
      <c r="C233" s="706"/>
      <c r="D233" s="990"/>
      <c r="E233" s="721"/>
      <c r="F233" s="722"/>
      <c r="G233" s="1402"/>
      <c r="H233" s="914"/>
      <c r="I233" s="807"/>
      <c r="J233" s="796"/>
      <c r="K233" s="1014"/>
      <c r="L233" s="1024"/>
      <c r="M233" s="729"/>
      <c r="N233" s="729"/>
      <c r="O233" s="729"/>
      <c r="P233" s="729"/>
      <c r="Q233" s="729"/>
      <c r="R233" s="729"/>
      <c r="S233" s="729"/>
      <c r="T233" s="729"/>
      <c r="U233" s="729"/>
    </row>
    <row r="234" spans="1:21" s="714" customFormat="1" ht="24" customHeight="1">
      <c r="A234" s="992"/>
      <c r="B234" s="720" t="s">
        <v>3022</v>
      </c>
      <c r="C234" s="706"/>
      <c r="D234" s="990"/>
      <c r="E234" s="721">
        <v>2</v>
      </c>
      <c r="F234" s="722" t="s">
        <v>240</v>
      </c>
      <c r="G234" s="994">
        <v>28700</v>
      </c>
      <c r="H234" s="864">
        <f>ROUND(E234*G234,)</f>
        <v>57400</v>
      </c>
      <c r="I234" s="865">
        <f>G234*0.01</f>
        <v>287</v>
      </c>
      <c r="J234" s="864">
        <f>ROUND(I234*E234,)</f>
        <v>574</v>
      </c>
      <c r="K234" s="966">
        <f>H234+J234</f>
        <v>57974</v>
      </c>
      <c r="L234" s="1024"/>
      <c r="M234" s="729"/>
      <c r="N234" s="729"/>
      <c r="O234" s="729"/>
      <c r="P234" s="729"/>
      <c r="Q234" s="729"/>
      <c r="R234" s="729"/>
      <c r="S234" s="729"/>
      <c r="T234" s="729"/>
      <c r="U234" s="729"/>
    </row>
    <row r="235" spans="1:21" s="714" customFormat="1" ht="24" customHeight="1">
      <c r="A235" s="992"/>
      <c r="B235" s="720" t="s">
        <v>1616</v>
      </c>
      <c r="C235" s="706"/>
      <c r="D235" s="990"/>
      <c r="E235" s="721">
        <v>2</v>
      </c>
      <c r="F235" s="722" t="s">
        <v>240</v>
      </c>
      <c r="G235" s="994">
        <v>25000</v>
      </c>
      <c r="H235" s="864">
        <f>ROUND(E235*G235,)</f>
        <v>50000</v>
      </c>
      <c r="I235" s="865">
        <f>ROUND(G235*0.01,)</f>
        <v>250</v>
      </c>
      <c r="J235" s="864">
        <f>ROUND(I235*E235,)</f>
        <v>500</v>
      </c>
      <c r="K235" s="966">
        <f>H235+J235</f>
        <v>50500</v>
      </c>
      <c r="L235" s="1024"/>
      <c r="M235" s="729"/>
      <c r="N235" s="729"/>
      <c r="O235" s="729"/>
      <c r="P235" s="729"/>
      <c r="Q235" s="729"/>
      <c r="R235" s="729"/>
      <c r="S235" s="729"/>
      <c r="T235" s="729"/>
      <c r="U235" s="729"/>
    </row>
    <row r="236" spans="1:21" s="714" customFormat="1" ht="24" customHeight="1">
      <c r="A236" s="993"/>
      <c r="B236" s="720" t="s">
        <v>1375</v>
      </c>
      <c r="C236" s="706"/>
      <c r="D236" s="990"/>
      <c r="E236" s="721">
        <v>48</v>
      </c>
      <c r="F236" s="722" t="s">
        <v>240</v>
      </c>
      <c r="G236" s="994">
        <v>400</v>
      </c>
      <c r="H236" s="864">
        <f>ROUND(E236*G236,)</f>
        <v>19200</v>
      </c>
      <c r="I236" s="865">
        <f>ROUND(G236*0.01,)</f>
        <v>4</v>
      </c>
      <c r="J236" s="864">
        <f>ROUND(I236*E236,)</f>
        <v>192</v>
      </c>
      <c r="K236" s="966">
        <f>H236+J236</f>
        <v>19392</v>
      </c>
      <c r="L236" s="1024"/>
      <c r="M236" s="729"/>
      <c r="N236" s="729"/>
      <c r="O236" s="729"/>
      <c r="P236" s="729"/>
      <c r="Q236" s="729"/>
      <c r="R236" s="729"/>
      <c r="S236" s="729"/>
      <c r="T236" s="729"/>
      <c r="U236" s="729"/>
    </row>
    <row r="237" spans="1:21" s="714" customFormat="1" ht="24" customHeight="1">
      <c r="A237" s="993"/>
      <c r="B237" s="720" t="s">
        <v>3023</v>
      </c>
      <c r="C237" s="706"/>
      <c r="D237" s="990"/>
      <c r="E237" s="721"/>
      <c r="F237" s="722" t="s">
        <v>240</v>
      </c>
      <c r="G237" s="994"/>
      <c r="H237" s="914"/>
      <c r="I237" s="797"/>
      <c r="J237" s="796"/>
      <c r="K237" s="1014"/>
      <c r="L237" s="1024"/>
      <c r="M237" s="729"/>
      <c r="N237" s="729"/>
      <c r="O237" s="729"/>
      <c r="P237" s="729"/>
      <c r="Q237" s="729"/>
      <c r="R237" s="729"/>
      <c r="S237" s="729"/>
      <c r="T237" s="729"/>
      <c r="U237" s="729"/>
    </row>
    <row r="238" spans="1:21" s="714" customFormat="1" ht="24" customHeight="1">
      <c r="A238" s="1138"/>
      <c r="B238" s="720" t="s">
        <v>1618</v>
      </c>
      <c r="C238" s="706"/>
      <c r="D238" s="990"/>
      <c r="E238" s="721"/>
      <c r="F238" s="722" t="s">
        <v>240</v>
      </c>
      <c r="G238" s="994"/>
      <c r="H238" s="914"/>
      <c r="I238" s="797"/>
      <c r="J238" s="796"/>
      <c r="K238" s="1014"/>
      <c r="L238" s="1023"/>
      <c r="M238" s="729"/>
      <c r="N238" s="729"/>
      <c r="O238" s="729"/>
      <c r="P238" s="729"/>
      <c r="Q238" s="729"/>
      <c r="R238" s="729"/>
      <c r="S238" s="729"/>
      <c r="T238" s="729"/>
      <c r="U238" s="729"/>
    </row>
    <row r="239" spans="1:21" s="714" customFormat="1" ht="24" customHeight="1">
      <c r="A239" s="989" t="s">
        <v>1206</v>
      </c>
      <c r="B239" s="720" t="s">
        <v>1371</v>
      </c>
      <c r="C239" s="706"/>
      <c r="D239" s="990"/>
      <c r="E239" s="991"/>
      <c r="F239" s="803" t="s">
        <v>240</v>
      </c>
      <c r="G239" s="858"/>
      <c r="H239" s="864">
        <f>ROUND(E239*G239,)</f>
        <v>0</v>
      </c>
      <c r="I239" s="865"/>
      <c r="J239" s="864">
        <f>ROUND(I239*E239,)</f>
        <v>0</v>
      </c>
      <c r="K239" s="966">
        <f>H239+J239</f>
        <v>0</v>
      </c>
      <c r="L239" s="1024"/>
      <c r="M239" s="729"/>
      <c r="N239" s="729"/>
      <c r="O239" s="729"/>
      <c r="P239" s="729"/>
      <c r="Q239" s="729"/>
      <c r="R239" s="729"/>
      <c r="S239" s="729"/>
      <c r="T239" s="729"/>
      <c r="U239" s="729"/>
    </row>
    <row r="240" spans="1:21" s="714" customFormat="1" ht="24" customHeight="1">
      <c r="A240" s="992"/>
      <c r="B240" s="705" t="s">
        <v>1372</v>
      </c>
      <c r="C240" s="717"/>
      <c r="D240" s="718"/>
      <c r="E240" s="1141">
        <v>1</v>
      </c>
      <c r="F240" s="709" t="s">
        <v>240</v>
      </c>
      <c r="G240" s="806">
        <f>2300+114+24+960</f>
        <v>3398</v>
      </c>
      <c r="H240" s="796">
        <f t="shared" ref="H240:H242" si="56">ROUND(E240*G240,)</f>
        <v>3398</v>
      </c>
      <c r="I240" s="807"/>
      <c r="J240" s="796">
        <f t="shared" ref="J240:J242" si="57">ROUND(E240*I240,)</f>
        <v>0</v>
      </c>
      <c r="K240" s="966">
        <f t="shared" ref="K240:K249" si="58">H240+J240</f>
        <v>3398</v>
      </c>
      <c r="L240" s="1024"/>
      <c r="M240" s="729"/>
      <c r="N240" s="729"/>
      <c r="O240" s="729"/>
      <c r="P240" s="729"/>
      <c r="Q240" s="729"/>
      <c r="R240" s="729"/>
      <c r="S240" s="729"/>
      <c r="T240" s="729"/>
      <c r="U240" s="729"/>
    </row>
    <row r="241" spans="1:21" s="714" customFormat="1" ht="24" customHeight="1">
      <c r="A241" s="992"/>
      <c r="B241" s="705" t="s">
        <v>1373</v>
      </c>
      <c r="C241" s="717"/>
      <c r="D241" s="718"/>
      <c r="E241" s="1141">
        <f>24</f>
        <v>24</v>
      </c>
      <c r="F241" s="709" t="s">
        <v>240</v>
      </c>
      <c r="G241" s="806">
        <f>245</f>
        <v>245</v>
      </c>
      <c r="H241" s="796">
        <f t="shared" si="56"/>
        <v>5880</v>
      </c>
      <c r="I241" s="807"/>
      <c r="J241" s="796"/>
      <c r="K241" s="966">
        <f t="shared" si="58"/>
        <v>5880</v>
      </c>
      <c r="L241" s="1692"/>
      <c r="M241" s="729"/>
      <c r="N241" s="729"/>
      <c r="O241" s="729"/>
      <c r="P241" s="729"/>
      <c r="Q241" s="729"/>
      <c r="R241" s="729"/>
      <c r="S241" s="729"/>
      <c r="T241" s="729"/>
      <c r="U241" s="729"/>
    </row>
    <row r="242" spans="1:21" s="714" customFormat="1" ht="24" customHeight="1">
      <c r="A242" s="992"/>
      <c r="B242" s="705" t="s">
        <v>1374</v>
      </c>
      <c r="C242" s="717"/>
      <c r="D242" s="718"/>
      <c r="E242" s="1141">
        <v>1</v>
      </c>
      <c r="F242" s="709" t="s">
        <v>240</v>
      </c>
      <c r="G242" s="806">
        <v>13175</v>
      </c>
      <c r="H242" s="796">
        <f t="shared" si="56"/>
        <v>13175</v>
      </c>
      <c r="I242" s="807"/>
      <c r="J242" s="796">
        <f t="shared" si="57"/>
        <v>0</v>
      </c>
      <c r="K242" s="966">
        <f t="shared" si="58"/>
        <v>13175</v>
      </c>
      <c r="L242" s="1692"/>
      <c r="M242" s="729"/>
      <c r="N242" s="729"/>
      <c r="O242" s="729"/>
      <c r="P242" s="729"/>
      <c r="Q242" s="729"/>
      <c r="R242" s="729"/>
      <c r="S242" s="729"/>
      <c r="T242" s="729"/>
      <c r="U242" s="729"/>
    </row>
    <row r="243" spans="1:21" s="714" customFormat="1" ht="24" customHeight="1">
      <c r="A243" s="993"/>
      <c r="B243" s="720" t="s">
        <v>1375</v>
      </c>
      <c r="C243" s="706"/>
      <c r="D243" s="990"/>
      <c r="E243" s="721">
        <f>24</f>
        <v>24</v>
      </c>
      <c r="F243" s="722" t="s">
        <v>240</v>
      </c>
      <c r="G243" s="994">
        <v>415</v>
      </c>
      <c r="H243" s="864">
        <f>ROUND(E243*G243,)</f>
        <v>9960</v>
      </c>
      <c r="I243" s="865"/>
      <c r="J243" s="864">
        <f>ROUND(I243*E243,)</f>
        <v>0</v>
      </c>
      <c r="K243" s="966">
        <f t="shared" si="58"/>
        <v>9960</v>
      </c>
      <c r="L243" s="1692"/>
      <c r="M243" s="729"/>
      <c r="N243" s="729"/>
      <c r="O243" s="729"/>
      <c r="P243" s="729"/>
      <c r="Q243" s="729"/>
      <c r="R243" s="729"/>
      <c r="S243" s="729"/>
      <c r="T243" s="729"/>
      <c r="U243" s="729"/>
    </row>
    <row r="244" spans="1:21" s="714" customFormat="1" ht="24" customHeight="1">
      <c r="A244" s="993"/>
      <c r="B244" s="720" t="s">
        <v>1376</v>
      </c>
      <c r="C244" s="706"/>
      <c r="D244" s="990"/>
      <c r="E244" s="721">
        <v>4</v>
      </c>
      <c r="F244" s="722" t="s">
        <v>240</v>
      </c>
      <c r="G244" s="994">
        <v>46275</v>
      </c>
      <c r="H244" s="864">
        <f>ROUND(E244*G244,)</f>
        <v>185100</v>
      </c>
      <c r="I244" s="865">
        <v>500</v>
      </c>
      <c r="J244" s="864">
        <f>ROUND(I244*E244,)</f>
        <v>2000</v>
      </c>
      <c r="K244" s="966">
        <f t="shared" si="58"/>
        <v>187100</v>
      </c>
      <c r="L244" s="1692"/>
      <c r="M244" s="729"/>
      <c r="N244" s="729"/>
      <c r="O244" s="729"/>
      <c r="P244" s="729"/>
      <c r="Q244" s="729"/>
      <c r="R244" s="729"/>
      <c r="S244" s="729"/>
      <c r="T244" s="729"/>
      <c r="U244" s="729"/>
    </row>
    <row r="245" spans="1:21" s="714" customFormat="1" ht="24" customHeight="1">
      <c r="A245" s="993" t="s">
        <v>1208</v>
      </c>
      <c r="B245" s="720" t="s">
        <v>1378</v>
      </c>
      <c r="C245" s="706"/>
      <c r="D245" s="990"/>
      <c r="E245" s="721"/>
      <c r="F245" s="722"/>
      <c r="G245" s="795"/>
      <c r="H245" s="796"/>
      <c r="I245" s="797"/>
      <c r="J245" s="796"/>
      <c r="K245" s="966">
        <f t="shared" si="58"/>
        <v>0</v>
      </c>
      <c r="L245" s="1692"/>
      <c r="M245" s="729"/>
      <c r="N245" s="729"/>
      <c r="O245" s="729"/>
      <c r="P245" s="729"/>
      <c r="Q245" s="729"/>
      <c r="R245" s="729"/>
      <c r="S245" s="729"/>
      <c r="T245" s="729"/>
      <c r="U245" s="729"/>
    </row>
    <row r="246" spans="1:21" s="714" customFormat="1" ht="24" customHeight="1">
      <c r="A246" s="995"/>
      <c r="B246" s="800" t="s">
        <v>1379</v>
      </c>
      <c r="C246" s="706"/>
      <c r="D246" s="990"/>
      <c r="E246" s="991">
        <f>E244*90</f>
        <v>360</v>
      </c>
      <c r="F246" s="803" t="s">
        <v>438</v>
      </c>
      <c r="G246" s="858">
        <v>37</v>
      </c>
      <c r="H246" s="864">
        <f>ROUND(E246*G246,)</f>
        <v>13320</v>
      </c>
      <c r="I246" s="865">
        <v>5</v>
      </c>
      <c r="J246" s="864">
        <f>ROUND(I246*E246,)</f>
        <v>1800</v>
      </c>
      <c r="K246" s="966">
        <f t="shared" si="58"/>
        <v>15120</v>
      </c>
      <c r="L246" s="1692"/>
      <c r="M246" s="729"/>
      <c r="N246" s="729"/>
      <c r="O246" s="729"/>
      <c r="P246" s="729"/>
      <c r="Q246" s="729"/>
      <c r="R246" s="729"/>
      <c r="S246" s="729"/>
      <c r="T246" s="729"/>
      <c r="U246" s="729"/>
    </row>
    <row r="247" spans="1:21" s="714" customFormat="1" ht="24" customHeight="1">
      <c r="A247" s="992" t="s">
        <v>3057</v>
      </c>
      <c r="B247" s="705" t="s">
        <v>950</v>
      </c>
      <c r="C247" s="717"/>
      <c r="D247" s="718"/>
      <c r="E247" s="1141"/>
      <c r="F247" s="709"/>
      <c r="G247" s="806"/>
      <c r="H247" s="796"/>
      <c r="I247" s="807"/>
      <c r="J247" s="796"/>
      <c r="K247" s="966">
        <f t="shared" si="58"/>
        <v>0</v>
      </c>
      <c r="L247" s="1692"/>
      <c r="M247" s="729"/>
      <c r="N247" s="729"/>
      <c r="O247" s="729"/>
      <c r="P247" s="729"/>
      <c r="Q247" s="729"/>
      <c r="R247" s="729"/>
      <c r="S247" s="729"/>
      <c r="T247" s="729"/>
      <c r="U247" s="729"/>
    </row>
    <row r="248" spans="1:21" s="714" customFormat="1" ht="24" customHeight="1">
      <c r="A248" s="993"/>
      <c r="B248" s="720" t="s">
        <v>1201</v>
      </c>
      <c r="C248" s="706"/>
      <c r="D248" s="990"/>
      <c r="E248" s="721">
        <f>E246</f>
        <v>360</v>
      </c>
      <c r="F248" s="722" t="s">
        <v>438</v>
      </c>
      <c r="G248" s="994">
        <v>56</v>
      </c>
      <c r="H248" s="864">
        <f>ROUND(E248*G248,)</f>
        <v>20160</v>
      </c>
      <c r="I248" s="865">
        <v>26</v>
      </c>
      <c r="J248" s="864">
        <f t="shared" ref="J248" si="59">ROUND(E248*I248,)</f>
        <v>9360</v>
      </c>
      <c r="K248" s="966">
        <f t="shared" si="58"/>
        <v>29520</v>
      </c>
      <c r="L248" s="2394" t="s">
        <v>2974</v>
      </c>
      <c r="M248" s="729"/>
      <c r="P248" s="729"/>
      <c r="Q248" s="729"/>
      <c r="R248" s="729"/>
      <c r="S248" s="729"/>
      <c r="T248" s="729"/>
      <c r="U248" s="729"/>
    </row>
    <row r="249" spans="1:21" s="714" customFormat="1" ht="24" customHeight="1">
      <c r="A249" s="993"/>
      <c r="B249" s="720" t="s">
        <v>1237</v>
      </c>
      <c r="C249" s="706"/>
      <c r="D249" s="990"/>
      <c r="E249" s="721">
        <v>1</v>
      </c>
      <c r="F249" s="722" t="s">
        <v>948</v>
      </c>
      <c r="G249" s="994">
        <f>SUM(H247:H248)*15%</f>
        <v>3024</v>
      </c>
      <c r="H249" s="864">
        <f>ROUND(E249*G249,)</f>
        <v>3024</v>
      </c>
      <c r="I249" s="865">
        <f>ROUND(G249*0.3,)</f>
        <v>907</v>
      </c>
      <c r="J249" s="864">
        <f>ROUND(I249*E249,)</f>
        <v>907</v>
      </c>
      <c r="K249" s="966">
        <f t="shared" si="58"/>
        <v>3931</v>
      </c>
      <c r="L249" s="1692"/>
      <c r="M249" s="729"/>
      <c r="N249" s="729"/>
      <c r="O249" s="729"/>
      <c r="P249" s="729"/>
      <c r="Q249" s="729"/>
      <c r="R249" s="729"/>
      <c r="S249" s="729"/>
      <c r="T249" s="729"/>
      <c r="U249" s="729"/>
    </row>
    <row r="250" spans="1:21" s="714" customFormat="1" ht="24" customHeight="1">
      <c r="A250" s="777"/>
      <c r="B250" s="2475" t="str">
        <f>"รวมราคารายการที่ "&amp;A232</f>
        <v>รวมราคารายการที่ 3.13</v>
      </c>
      <c r="C250" s="2476"/>
      <c r="D250" s="2477"/>
      <c r="E250" s="2380"/>
      <c r="F250" s="777"/>
      <c r="G250" s="959"/>
      <c r="H250" s="960">
        <f>SUM(H232:H249)</f>
        <v>380617</v>
      </c>
      <c r="I250" s="959"/>
      <c r="J250" s="960">
        <f>SUM(J232:J249)</f>
        <v>15333</v>
      </c>
      <c r="K250" s="777">
        <f>SUM(K232:K249)</f>
        <v>395950</v>
      </c>
      <c r="L250" s="1006"/>
      <c r="M250" s="729"/>
      <c r="N250" s="729"/>
      <c r="O250" s="729"/>
      <c r="P250" s="729"/>
      <c r="Q250" s="729"/>
      <c r="R250" s="729"/>
      <c r="S250" s="729"/>
      <c r="T250" s="729"/>
      <c r="U250" s="729"/>
    </row>
    <row r="251" spans="1:21" s="714" customFormat="1" ht="21.3">
      <c r="A251" s="950"/>
      <c r="E251" s="951"/>
    </row>
    <row r="252" spans="1:21" s="714" customFormat="1" ht="21.3">
      <c r="A252" s="950"/>
      <c r="E252" s="951"/>
    </row>
    <row r="253" spans="1:21" s="714" customFormat="1" ht="21.3">
      <c r="A253" s="950"/>
      <c r="E253" s="951"/>
    </row>
    <row r="254" spans="1:21" s="714" customFormat="1" ht="21.3">
      <c r="A254" s="950"/>
      <c r="E254" s="951"/>
    </row>
    <row r="255" spans="1:21">
      <c r="A255" s="950"/>
      <c r="B255" s="714"/>
      <c r="C255" s="714"/>
      <c r="D255" s="714"/>
      <c r="E255" s="951"/>
      <c r="F255" s="714"/>
      <c r="G255" s="714"/>
      <c r="H255" s="714"/>
      <c r="I255" s="714"/>
      <c r="J255" s="714"/>
      <c r="K255" s="714"/>
      <c r="L255" s="714"/>
    </row>
    <row r="256" spans="1:21">
      <c r="A256" s="950"/>
      <c r="B256" s="714"/>
      <c r="C256" s="714"/>
      <c r="D256" s="714"/>
      <c r="E256" s="951"/>
      <c r="F256" s="714"/>
      <c r="G256" s="714"/>
      <c r="H256" s="714"/>
      <c r="I256" s="714"/>
      <c r="J256" s="714"/>
      <c r="K256" s="714"/>
      <c r="L256" s="714"/>
    </row>
    <row r="257" spans="1:12">
      <c r="A257" s="950"/>
      <c r="B257" s="714"/>
      <c r="C257" s="714"/>
      <c r="D257" s="714"/>
      <c r="E257" s="951"/>
      <c r="F257" s="714"/>
      <c r="G257" s="714"/>
      <c r="H257" s="714"/>
      <c r="I257" s="714"/>
      <c r="J257" s="714"/>
      <c r="K257" s="714"/>
      <c r="L257" s="714"/>
    </row>
    <row r="258" spans="1:12">
      <c r="A258" s="950"/>
      <c r="B258" s="714"/>
      <c r="C258" s="714"/>
      <c r="D258" s="714"/>
      <c r="E258" s="951"/>
      <c r="F258" s="714"/>
      <c r="G258" s="714"/>
      <c r="H258" s="714"/>
      <c r="I258" s="714"/>
      <c r="J258" s="714"/>
      <c r="K258" s="714"/>
      <c r="L258" s="714"/>
    </row>
    <row r="259" spans="1:12">
      <c r="A259" s="950"/>
      <c r="B259" s="714"/>
      <c r="C259" s="714"/>
      <c r="D259" s="714"/>
      <c r="E259" s="951"/>
      <c r="F259" s="714"/>
      <c r="G259" s="714"/>
      <c r="H259" s="714"/>
      <c r="I259" s="714"/>
      <c r="J259" s="714"/>
      <c r="K259" s="714"/>
      <c r="L259" s="714"/>
    </row>
  </sheetData>
  <mergeCells count="22">
    <mergeCell ref="B231:D231"/>
    <mergeCell ref="B250:D250"/>
    <mergeCell ref="B98:D98"/>
    <mergeCell ref="B106:D106"/>
    <mergeCell ref="B130:D130"/>
    <mergeCell ref="B166:D166"/>
    <mergeCell ref="B182:D182"/>
    <mergeCell ref="B207:D207"/>
    <mergeCell ref="B87:D87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43:D43"/>
    <mergeCell ref="B51:D51"/>
    <mergeCell ref="B64:D64"/>
    <mergeCell ref="B73:D73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B2-อาคารสนับนุน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860E5-1C84-4E67-8690-55CD897BA700}">
  <sheetPr>
    <tabColor rgb="FF92D050"/>
  </sheetPr>
  <dimension ref="A1:U260"/>
  <sheetViews>
    <sheetView tabSelected="1" view="pageBreakPreview" topLeftCell="A171" zoomScaleNormal="100" zoomScaleSheetLayoutView="100" workbookViewId="0">
      <selection activeCell="O16" sqref="O16"/>
    </sheetView>
  </sheetViews>
  <sheetFormatPr defaultColWidth="9" defaultRowHeight="24"/>
  <cols>
    <col min="1" max="1" width="9.5859375" style="2" customWidth="1"/>
    <col min="2" max="3" width="7.29296875" style="1" customWidth="1"/>
    <col min="4" max="4" width="55.703125" style="1" customWidth="1"/>
    <col min="5" max="5" width="14.703125" style="730" customWidth="1"/>
    <col min="6" max="6" width="10.703125" style="1" customWidth="1"/>
    <col min="7" max="7" width="16.703125" style="1" customWidth="1"/>
    <col min="8" max="8" width="20.703125" style="1" customWidth="1"/>
    <col min="9" max="9" width="16.703125" style="1" customWidth="1"/>
    <col min="10" max="10" width="20.703125" style="1" customWidth="1"/>
    <col min="11" max="11" width="22.703125" style="1" customWidth="1"/>
    <col min="12" max="12" width="26.41015625" style="1" customWidth="1"/>
    <col min="13" max="13" width="7.703125" style="1" customWidth="1"/>
    <col min="14" max="14" width="15.29296875" style="1" customWidth="1"/>
    <col min="15" max="15" width="13.87890625" style="1" customWidth="1"/>
    <col min="16" max="94" width="7.703125" style="1" customWidth="1"/>
    <col min="95" max="16384" width="9" style="1"/>
  </cols>
  <sheetData>
    <row r="1" spans="1:17" ht="35.200000000000003" customHeight="1">
      <c r="A1" s="681"/>
      <c r="B1" s="30"/>
      <c r="C1" s="31"/>
      <c r="D1" s="31"/>
      <c r="E1" s="31"/>
      <c r="F1" s="7" t="s">
        <v>0</v>
      </c>
      <c r="G1" s="8"/>
      <c r="H1" s="9"/>
      <c r="I1" s="9"/>
      <c r="J1" s="10" t="s">
        <v>1</v>
      </c>
      <c r="K1" s="32"/>
      <c r="L1" s="9"/>
    </row>
    <row r="2" spans="1:17" ht="25.15" customHeight="1">
      <c r="A2" s="683" t="s">
        <v>2</v>
      </c>
      <c r="B2" s="33"/>
      <c r="C2" s="34"/>
      <c r="D2" s="11" t="s">
        <v>938</v>
      </c>
      <c r="E2" s="34"/>
      <c r="F2" s="12"/>
      <c r="G2" s="12"/>
      <c r="H2" s="12"/>
      <c r="I2" s="12"/>
      <c r="J2" s="13"/>
      <c r="K2" s="12"/>
      <c r="L2" s="14"/>
    </row>
    <row r="3" spans="1:17" ht="25.15" customHeight="1">
      <c r="A3" s="685" t="s">
        <v>22</v>
      </c>
      <c r="B3" s="35"/>
      <c r="C3" s="36"/>
      <c r="D3" s="37"/>
      <c r="E3" s="36"/>
      <c r="F3" s="15"/>
      <c r="G3" s="15"/>
      <c r="H3" s="15"/>
      <c r="I3" s="15"/>
      <c r="J3" s="38"/>
      <c r="K3" s="15"/>
      <c r="L3" s="39"/>
    </row>
    <row r="4" spans="1:17" ht="25.15" customHeight="1">
      <c r="A4" s="687"/>
      <c r="B4" s="35"/>
      <c r="C4" s="36"/>
      <c r="D4" s="41" t="s">
        <v>2970</v>
      </c>
      <c r="E4" s="36"/>
      <c r="F4" s="15"/>
      <c r="G4" s="15"/>
      <c r="H4" s="15"/>
      <c r="I4" s="15"/>
      <c r="J4" s="38"/>
      <c r="K4" s="15"/>
      <c r="L4" s="39"/>
    </row>
    <row r="5" spans="1:17" ht="25.15" customHeight="1">
      <c r="A5" s="685" t="s">
        <v>3</v>
      </c>
      <c r="B5" s="33"/>
      <c r="C5" s="34"/>
      <c r="D5" s="37" t="s">
        <v>21</v>
      </c>
      <c r="E5" s="32"/>
      <c r="F5" s="12"/>
      <c r="G5" s="16" t="s">
        <v>4</v>
      </c>
      <c r="H5" s="17"/>
      <c r="I5" s="15"/>
      <c r="J5" s="38"/>
      <c r="K5" s="18"/>
      <c r="L5" s="39"/>
    </row>
    <row r="6" spans="1:17" ht="25.15" customHeight="1">
      <c r="A6" s="5" t="s">
        <v>20</v>
      </c>
      <c r="B6" s="35"/>
      <c r="C6" s="36"/>
      <c r="D6" s="40"/>
      <c r="E6" s="36"/>
      <c r="F6" s="15"/>
      <c r="G6" s="19"/>
      <c r="H6" s="15"/>
      <c r="I6" s="15"/>
      <c r="J6" s="15"/>
      <c r="K6" s="15"/>
      <c r="L6" s="18"/>
    </row>
    <row r="7" spans="1:17" ht="26.2" customHeight="1">
      <c r="A7" s="6" t="s">
        <v>26</v>
      </c>
      <c r="B7" s="20"/>
      <c r="C7" s="20"/>
      <c r="D7" s="21"/>
      <c r="E7" s="20"/>
      <c r="F7" s="689" t="s">
        <v>5</v>
      </c>
      <c r="G7" s="22"/>
      <c r="H7" s="22" t="s">
        <v>6</v>
      </c>
      <c r="I7" s="23"/>
      <c r="J7" s="6" t="s">
        <v>23</v>
      </c>
      <c r="K7" s="20"/>
      <c r="L7" s="2428" t="s">
        <v>7</v>
      </c>
    </row>
    <row r="8" spans="1:17" ht="10.15" customHeight="1">
      <c r="A8" s="4"/>
      <c r="B8" s="24"/>
      <c r="C8" s="24"/>
      <c r="D8" s="25"/>
      <c r="E8" s="25"/>
      <c r="F8" s="26"/>
      <c r="G8" s="26"/>
      <c r="H8" s="27"/>
      <c r="I8" s="27"/>
      <c r="J8" s="27"/>
      <c r="K8" s="26"/>
      <c r="L8" s="2429"/>
    </row>
    <row r="9" spans="1:17" s="3" customFormat="1" ht="24" customHeight="1">
      <c r="A9" s="2430" t="s">
        <v>8</v>
      </c>
      <c r="B9" s="2432" t="s">
        <v>9</v>
      </c>
      <c r="C9" s="2433"/>
      <c r="D9" s="2434"/>
      <c r="E9" s="2478" t="s">
        <v>10</v>
      </c>
      <c r="F9" s="2438" t="s">
        <v>11</v>
      </c>
      <c r="G9" s="2440" t="s">
        <v>12</v>
      </c>
      <c r="H9" s="2441"/>
      <c r="I9" s="2440" t="s">
        <v>13</v>
      </c>
      <c r="J9" s="2441"/>
      <c r="K9" s="2362" t="s">
        <v>14</v>
      </c>
      <c r="L9" s="2482" t="s">
        <v>15</v>
      </c>
    </row>
    <row r="10" spans="1:17" s="3" customFormat="1" ht="24" customHeight="1">
      <c r="A10" s="2431"/>
      <c r="B10" s="2435"/>
      <c r="C10" s="2436"/>
      <c r="D10" s="2437"/>
      <c r="E10" s="2479"/>
      <c r="F10" s="2439"/>
      <c r="G10" s="28" t="s">
        <v>16</v>
      </c>
      <c r="H10" s="2364" t="s">
        <v>17</v>
      </c>
      <c r="I10" s="28" t="s">
        <v>16</v>
      </c>
      <c r="J10" s="2364" t="s">
        <v>17</v>
      </c>
      <c r="K10" s="2363" t="s">
        <v>18</v>
      </c>
      <c r="L10" s="2483"/>
    </row>
    <row r="11" spans="1:17" ht="24" customHeight="1">
      <c r="A11" s="690" t="s">
        <v>25</v>
      </c>
      <c r="B11" s="2397" t="s">
        <v>1381</v>
      </c>
      <c r="C11" s="2398"/>
      <c r="D11" s="1118"/>
      <c r="E11" s="694"/>
      <c r="F11" s="695"/>
      <c r="G11" s="696"/>
      <c r="H11" s="697"/>
      <c r="I11" s="2388"/>
      <c r="J11" s="2391"/>
      <c r="K11" s="1365"/>
      <c r="L11" s="953"/>
    </row>
    <row r="12" spans="1:17" s="714" customFormat="1" ht="24" customHeight="1">
      <c r="A12" s="719" t="str">
        <f>A35</f>
        <v>3.1</v>
      </c>
      <c r="B12" s="754" t="str">
        <f>B35</f>
        <v>Distribution Board</v>
      </c>
      <c r="C12" s="717"/>
      <c r="D12" s="718"/>
      <c r="E12" s="708">
        <v>1</v>
      </c>
      <c r="F12" s="709" t="s">
        <v>19</v>
      </c>
      <c r="G12" s="710"/>
      <c r="H12" s="711">
        <f>H43</f>
        <v>0</v>
      </c>
      <c r="I12" s="1369"/>
      <c r="J12" s="711">
        <f>J43</f>
        <v>0</v>
      </c>
      <c r="K12" s="999">
        <f>K43</f>
        <v>0</v>
      </c>
      <c r="L12" s="954"/>
    </row>
    <row r="13" spans="1:17" s="714" customFormat="1" ht="24" customHeight="1">
      <c r="A13" s="719" t="str">
        <f>A44</f>
        <v>3.2</v>
      </c>
      <c r="B13" s="754" t="str">
        <f>B44</f>
        <v>Essential Distribution Board</v>
      </c>
      <c r="C13" s="717"/>
      <c r="D13" s="718"/>
      <c r="E13" s="708">
        <v>1</v>
      </c>
      <c r="F13" s="709" t="s">
        <v>19</v>
      </c>
      <c r="G13" s="710"/>
      <c r="H13" s="711">
        <f>H52</f>
        <v>0</v>
      </c>
      <c r="I13" s="1369"/>
      <c r="J13" s="711">
        <f>J52</f>
        <v>0</v>
      </c>
      <c r="K13" s="999">
        <f>K52</f>
        <v>0</v>
      </c>
      <c r="L13" s="954"/>
    </row>
    <row r="14" spans="1:17" s="714" customFormat="1" ht="24" customHeight="1">
      <c r="A14" s="719" t="str">
        <f>A53</f>
        <v>3.3</v>
      </c>
      <c r="B14" s="705" t="str">
        <f>B53</f>
        <v>แผงสวิทช์ย่อยและเซอร์กิต เบรคเกอร์ (Panelboard &amp; CB)</v>
      </c>
      <c r="C14" s="717"/>
      <c r="D14" s="718"/>
      <c r="E14" s="708">
        <v>1</v>
      </c>
      <c r="F14" s="709" t="s">
        <v>19</v>
      </c>
      <c r="G14" s="710"/>
      <c r="H14" s="711">
        <f>H64</f>
        <v>26268</v>
      </c>
      <c r="I14" s="1369"/>
      <c r="J14" s="711">
        <f>J64</f>
        <v>2000</v>
      </c>
      <c r="K14" s="999">
        <f>K64</f>
        <v>28268</v>
      </c>
      <c r="L14" s="954"/>
    </row>
    <row r="15" spans="1:17" s="714" customFormat="1" ht="24" customHeight="1">
      <c r="A15" s="719" t="str">
        <f>A65</f>
        <v>3.4</v>
      </c>
      <c r="B15" s="705" t="str">
        <f>B65</f>
        <v>สายไฟฟ้า (Cable &amp; Wire)</v>
      </c>
      <c r="C15" s="717"/>
      <c r="D15" s="718"/>
      <c r="E15" s="708">
        <v>1</v>
      </c>
      <c r="F15" s="709" t="s">
        <v>19</v>
      </c>
      <c r="G15" s="710"/>
      <c r="H15" s="711">
        <f>H73</f>
        <v>908198</v>
      </c>
      <c r="I15" s="1369"/>
      <c r="J15" s="711">
        <f>J73</f>
        <v>428274</v>
      </c>
      <c r="K15" s="999">
        <f>K73</f>
        <v>1336472</v>
      </c>
      <c r="L15" s="954"/>
      <c r="N15" s="715"/>
      <c r="O15" s="715"/>
      <c r="P15" s="715"/>
      <c r="Q15" s="714">
        <f>P15/K15</f>
        <v>0</v>
      </c>
    </row>
    <row r="16" spans="1:17" s="714" customFormat="1" ht="24" customHeight="1">
      <c r="A16" s="719" t="str">
        <f>A74</f>
        <v>3.5</v>
      </c>
      <c r="B16" s="705" t="str">
        <f>B74</f>
        <v>รางเดินสายไฟฟ้า (Raceway)</v>
      </c>
      <c r="C16" s="717"/>
      <c r="D16" s="718"/>
      <c r="E16" s="708">
        <v>1</v>
      </c>
      <c r="F16" s="709" t="s">
        <v>19</v>
      </c>
      <c r="G16" s="710"/>
      <c r="H16" s="711">
        <f>H86</f>
        <v>948791</v>
      </c>
      <c r="I16" s="1369"/>
      <c r="J16" s="711">
        <f>J86</f>
        <v>348797</v>
      </c>
      <c r="K16" s="999">
        <f>K86</f>
        <v>1297588</v>
      </c>
      <c r="L16" s="954"/>
      <c r="N16" s="715"/>
      <c r="O16" s="715"/>
    </row>
    <row r="17" spans="1:12" s="714" customFormat="1" ht="24" customHeight="1">
      <c r="A17" s="719" t="str">
        <f>A87</f>
        <v>3.6</v>
      </c>
      <c r="B17" s="705" t="str">
        <f>B87</f>
        <v>สวิทช์และเต้ารับ (Switch &amp; Outlet)</v>
      </c>
      <c r="C17" s="717"/>
      <c r="D17" s="718"/>
      <c r="E17" s="708">
        <v>1</v>
      </c>
      <c r="F17" s="709" t="s">
        <v>19</v>
      </c>
      <c r="G17" s="710"/>
      <c r="H17" s="711">
        <f>H98</f>
        <v>14076</v>
      </c>
      <c r="I17" s="1369"/>
      <c r="J17" s="711">
        <f>J98</f>
        <v>6550</v>
      </c>
      <c r="K17" s="999">
        <f>K98</f>
        <v>20626</v>
      </c>
      <c r="L17" s="954"/>
    </row>
    <row r="18" spans="1:12" s="714" customFormat="1" ht="24" customHeight="1">
      <c r="A18" s="704" t="str">
        <f>A99</f>
        <v>3.7</v>
      </c>
      <c r="B18" s="705" t="str">
        <f>B99</f>
        <v>ระบบควบคุมแสงสว่าง (Lighting Control System)</v>
      </c>
      <c r="C18" s="717"/>
      <c r="D18" s="718"/>
      <c r="E18" s="708">
        <v>1</v>
      </c>
      <c r="F18" s="709" t="s">
        <v>19</v>
      </c>
      <c r="G18" s="710"/>
      <c r="H18" s="711">
        <f>H106</f>
        <v>195560</v>
      </c>
      <c r="I18" s="1369"/>
      <c r="J18" s="711">
        <f>J106</f>
        <v>9778</v>
      </c>
      <c r="K18" s="999">
        <f>K106</f>
        <v>205338</v>
      </c>
      <c r="L18" s="954"/>
    </row>
    <row r="19" spans="1:12" s="714" customFormat="1" ht="24" customHeight="1">
      <c r="A19" s="719" t="str">
        <f>A107</f>
        <v>3.8</v>
      </c>
      <c r="B19" s="705" t="str">
        <f>B107</f>
        <v>โคมไฟฟ้า (Luminaire)</v>
      </c>
      <c r="C19" s="717"/>
      <c r="D19" s="718"/>
      <c r="E19" s="708">
        <v>1</v>
      </c>
      <c r="F19" s="709" t="s">
        <v>19</v>
      </c>
      <c r="G19" s="710"/>
      <c r="H19" s="711">
        <f>H130</f>
        <v>436603</v>
      </c>
      <c r="I19" s="1369"/>
      <c r="J19" s="711">
        <f>J130</f>
        <v>103510</v>
      </c>
      <c r="K19" s="999">
        <f>K130</f>
        <v>540113</v>
      </c>
      <c r="L19" s="954"/>
    </row>
    <row r="20" spans="1:12" s="714" customFormat="1" ht="24" customHeight="1">
      <c r="A20" s="719" t="str">
        <f>A131</f>
        <v>3.9</v>
      </c>
      <c r="B20" s="720" t="str">
        <f>B131</f>
        <v>ระบบสัญญาณแจ้งเหตุเพลิงไหม้ (Fire Alarm System)</v>
      </c>
      <c r="C20" s="717"/>
      <c r="D20" s="718"/>
      <c r="E20" s="708">
        <v>1</v>
      </c>
      <c r="F20" s="722" t="s">
        <v>19</v>
      </c>
      <c r="G20" s="723"/>
      <c r="H20" s="711">
        <f>H166</f>
        <v>720512</v>
      </c>
      <c r="I20" s="1369"/>
      <c r="J20" s="711">
        <f>J166</f>
        <v>133379</v>
      </c>
      <c r="K20" s="999">
        <f>K166</f>
        <v>853891</v>
      </c>
      <c r="L20" s="954"/>
    </row>
    <row r="21" spans="1:12" s="714" customFormat="1" ht="24" customHeight="1">
      <c r="A21" s="768" t="str">
        <f>A167</f>
        <v>3.10</v>
      </c>
      <c r="B21" s="769" t="str">
        <f>B167</f>
        <v>ระบบเสียงและประกาศเรียก (Public Address System)</v>
      </c>
      <c r="C21" s="770"/>
      <c r="D21" s="771"/>
      <c r="E21" s="708">
        <v>1</v>
      </c>
      <c r="F21" s="709" t="s">
        <v>19</v>
      </c>
      <c r="G21" s="1000"/>
      <c r="H21" s="1001">
        <f>H182</f>
        <v>155262</v>
      </c>
      <c r="I21" s="1379"/>
      <c r="J21" s="1001">
        <f>J182</f>
        <v>34868</v>
      </c>
      <c r="K21" s="1003">
        <f>K182</f>
        <v>190130</v>
      </c>
      <c r="L21" s="954"/>
    </row>
    <row r="22" spans="1:12" s="714" customFormat="1" ht="24" customHeight="1">
      <c r="A22" s="768" t="str">
        <f>A183</f>
        <v>3.11</v>
      </c>
      <c r="B22" s="769" t="str">
        <f>B183</f>
        <v>ระบบควบคุมประตูอัตโนมัติ (Access Control System)</v>
      </c>
      <c r="C22" s="770"/>
      <c r="D22" s="771"/>
      <c r="E22" s="708">
        <v>1</v>
      </c>
      <c r="F22" s="709" t="s">
        <v>19</v>
      </c>
      <c r="G22" s="1000"/>
      <c r="H22" s="1001">
        <f>H208</f>
        <v>309396</v>
      </c>
      <c r="I22" s="1379"/>
      <c r="J22" s="1001">
        <f>J208</f>
        <v>12992</v>
      </c>
      <c r="K22" s="1003">
        <f>K208</f>
        <v>322388</v>
      </c>
      <c r="L22" s="954"/>
    </row>
    <row r="23" spans="1:12" s="714" customFormat="1" ht="24" customHeight="1">
      <c r="A23" s="768" t="str">
        <f>A209</f>
        <v>3.12</v>
      </c>
      <c r="B23" s="769" t="str">
        <f>B209</f>
        <v>ระบบบริหารจัดการอาคาร (Building Management System : BMS)</v>
      </c>
      <c r="C23" s="770"/>
      <c r="D23" s="771"/>
      <c r="E23" s="708">
        <v>1</v>
      </c>
      <c r="F23" s="709" t="s">
        <v>19</v>
      </c>
      <c r="G23" s="1000"/>
      <c r="H23" s="1001">
        <f>H232</f>
        <v>894857</v>
      </c>
      <c r="I23" s="1379"/>
      <c r="J23" s="1001">
        <f>J232</f>
        <v>90643</v>
      </c>
      <c r="K23" s="1003">
        <f>K232</f>
        <v>985500</v>
      </c>
      <c r="L23" s="954"/>
    </row>
    <row r="24" spans="1:12" s="714" customFormat="1" ht="24" customHeight="1">
      <c r="A24" s="768" t="str">
        <f>A233</f>
        <v>3.13</v>
      </c>
      <c r="B24" s="1004" t="str">
        <f>B233</f>
        <v>ระบบแจ้งเหตุฉุกเฉิน (Panic Alarm System)</v>
      </c>
      <c r="C24" s="770"/>
      <c r="D24" s="771"/>
      <c r="E24" s="708">
        <v>1</v>
      </c>
      <c r="F24" s="709" t="s">
        <v>19</v>
      </c>
      <c r="G24" s="1000"/>
      <c r="H24" s="1001">
        <f>H251</f>
        <v>380617</v>
      </c>
      <c r="I24" s="1379"/>
      <c r="J24" s="1001">
        <f>J251</f>
        <v>15333</v>
      </c>
      <c r="K24" s="1003">
        <f>K251</f>
        <v>395950</v>
      </c>
      <c r="L24" s="954"/>
    </row>
    <row r="25" spans="1:12" s="714" customFormat="1" ht="24" customHeight="1">
      <c r="A25" s="719"/>
      <c r="B25" s="720"/>
      <c r="C25" s="717"/>
      <c r="D25" s="718"/>
      <c r="E25" s="721"/>
      <c r="F25" s="722"/>
      <c r="G25" s="710"/>
      <c r="H25" s="711"/>
      <c r="I25" s="1379"/>
      <c r="J25" s="957"/>
      <c r="K25" s="1005"/>
      <c r="L25" s="954"/>
    </row>
    <row r="26" spans="1:12" s="714" customFormat="1" ht="24" customHeight="1">
      <c r="A26" s="719"/>
      <c r="B26" s="720"/>
      <c r="C26" s="717"/>
      <c r="D26" s="718"/>
      <c r="E26" s="721"/>
      <c r="F26" s="722"/>
      <c r="G26" s="710"/>
      <c r="H26" s="711"/>
      <c r="I26" s="1379"/>
      <c r="J26" s="957"/>
      <c r="K26" s="1005"/>
      <c r="L26" s="954"/>
    </row>
    <row r="27" spans="1:12" s="714" customFormat="1" ht="24" customHeight="1">
      <c r="A27" s="719"/>
      <c r="B27" s="720"/>
      <c r="C27" s="717"/>
      <c r="D27" s="718"/>
      <c r="E27" s="721"/>
      <c r="F27" s="722"/>
      <c r="G27" s="710"/>
      <c r="H27" s="711"/>
      <c r="I27" s="1369"/>
      <c r="J27" s="957"/>
      <c r="K27" s="1005"/>
      <c r="L27" s="954"/>
    </row>
    <row r="28" spans="1:12" s="714" customFormat="1" ht="24" customHeight="1">
      <c r="A28" s="719"/>
      <c r="B28" s="720"/>
      <c r="C28" s="717"/>
      <c r="D28" s="718"/>
      <c r="E28" s="721"/>
      <c r="F28" s="722"/>
      <c r="G28" s="710"/>
      <c r="H28" s="711"/>
      <c r="I28" s="1369"/>
      <c r="J28" s="957"/>
      <c r="K28" s="1005"/>
      <c r="L28" s="954"/>
    </row>
    <row r="29" spans="1:12" s="714" customFormat="1" ht="24" customHeight="1">
      <c r="A29" s="719"/>
      <c r="B29" s="720"/>
      <c r="C29" s="717"/>
      <c r="D29" s="718"/>
      <c r="E29" s="721"/>
      <c r="F29" s="722"/>
      <c r="G29" s="710"/>
      <c r="H29" s="711"/>
      <c r="I29" s="1369"/>
      <c r="J29" s="957"/>
      <c r="K29" s="1005"/>
      <c r="L29" s="954"/>
    </row>
    <row r="30" spans="1:12" s="714" customFormat="1" ht="24" customHeight="1">
      <c r="A30" s="719"/>
      <c r="B30" s="720"/>
      <c r="C30" s="717"/>
      <c r="D30" s="718"/>
      <c r="E30" s="721"/>
      <c r="F30" s="722"/>
      <c r="G30" s="710"/>
      <c r="H30" s="711"/>
      <c r="I30" s="1369"/>
      <c r="J30" s="957"/>
      <c r="K30" s="1005"/>
      <c r="L30" s="954"/>
    </row>
    <row r="31" spans="1:12" s="714" customFormat="1" ht="24" customHeight="1">
      <c r="A31" s="719"/>
      <c r="B31" s="720"/>
      <c r="C31" s="717"/>
      <c r="D31" s="718"/>
      <c r="E31" s="721"/>
      <c r="F31" s="722"/>
      <c r="G31" s="710"/>
      <c r="H31" s="711"/>
      <c r="I31" s="1369"/>
      <c r="J31" s="957"/>
      <c r="K31" s="1005"/>
      <c r="L31" s="954"/>
    </row>
    <row r="32" spans="1:12" s="714" customFormat="1" ht="24" customHeight="1">
      <c r="A32" s="719"/>
      <c r="B32" s="720"/>
      <c r="C32" s="717"/>
      <c r="D32" s="718"/>
      <c r="E32" s="721"/>
      <c r="F32" s="722"/>
      <c r="G32" s="710"/>
      <c r="H32" s="711"/>
      <c r="I32" s="1369"/>
      <c r="J32" s="957"/>
      <c r="K32" s="1005"/>
      <c r="L32" s="954"/>
    </row>
    <row r="33" spans="1:17" s="714" customFormat="1" ht="24" customHeight="1">
      <c r="A33" s="719"/>
      <c r="B33" s="720"/>
      <c r="C33" s="717"/>
      <c r="D33" s="718"/>
      <c r="E33" s="721"/>
      <c r="F33" s="722"/>
      <c r="G33" s="710"/>
      <c r="H33" s="711"/>
      <c r="I33" s="1369"/>
      <c r="J33" s="957"/>
      <c r="K33" s="1005"/>
      <c r="L33" s="954"/>
    </row>
    <row r="34" spans="1:17" s="714" customFormat="1" ht="24" customHeight="1">
      <c r="A34" s="775"/>
      <c r="B34" s="2475" t="str">
        <f>"รวมราคา"&amp;B11</f>
        <v>รวมราคางานระบบไฟฟ้าและสื่อสาร ชั้น B1</v>
      </c>
      <c r="C34" s="2476"/>
      <c r="D34" s="2477"/>
      <c r="E34" s="2369"/>
      <c r="F34" s="777"/>
      <c r="G34" s="959"/>
      <c r="H34" s="960">
        <f>SUM(H11:H33)</f>
        <v>4990140</v>
      </c>
      <c r="I34" s="959"/>
      <c r="J34" s="960">
        <f>SUM(J11:J33)</f>
        <v>1186124</v>
      </c>
      <c r="K34" s="777">
        <f>SUM(K11:K33)</f>
        <v>6176264</v>
      </c>
      <c r="L34" s="1006"/>
      <c r="M34" s="729"/>
      <c r="N34" s="729"/>
      <c r="O34" s="1131"/>
      <c r="P34" s="729"/>
    </row>
    <row r="35" spans="1:17" s="714" customFormat="1" ht="24" customHeight="1">
      <c r="A35" s="911" t="s">
        <v>1266</v>
      </c>
      <c r="B35" s="816" t="s">
        <v>1050</v>
      </c>
      <c r="C35" s="859"/>
      <c r="D35" s="2382"/>
      <c r="E35" s="2370"/>
      <c r="F35" s="852"/>
      <c r="G35" s="853"/>
      <c r="H35" s="854"/>
      <c r="I35" s="1477"/>
      <c r="J35" s="854"/>
      <c r="K35" s="1007"/>
      <c r="L35" s="2392"/>
    </row>
    <row r="36" spans="1:17" s="884" customFormat="1" ht="24" customHeight="1">
      <c r="A36" s="878"/>
      <c r="B36" s="720" t="s">
        <v>1428</v>
      </c>
      <c r="C36" s="895"/>
      <c r="D36" s="2383"/>
      <c r="E36" s="2371"/>
      <c r="F36" s="722" t="s">
        <v>240</v>
      </c>
      <c r="G36" s="858"/>
      <c r="H36" s="796">
        <f t="shared" ref="H36:H38" si="0">ROUND(G36*E36,)</f>
        <v>0</v>
      </c>
      <c r="I36" s="1394"/>
      <c r="J36" s="796">
        <f t="shared" ref="J36:J38" si="1">ROUND(E36*I36,)</f>
        <v>0</v>
      </c>
      <c r="K36" s="799">
        <f t="shared" ref="K36:K38" si="2">H36+J36</f>
        <v>0</v>
      </c>
      <c r="L36" s="2393"/>
    </row>
    <row r="37" spans="1:17" s="884" customFormat="1" ht="24" customHeight="1">
      <c r="A37" s="831"/>
      <c r="B37" s="720" t="s">
        <v>1428</v>
      </c>
      <c r="C37" s="801"/>
      <c r="D37" s="1332"/>
      <c r="E37" s="2372"/>
      <c r="F37" s="722" t="s">
        <v>240</v>
      </c>
      <c r="G37" s="858"/>
      <c r="H37" s="796">
        <f t="shared" si="0"/>
        <v>0</v>
      </c>
      <c r="I37" s="1394"/>
      <c r="J37" s="796">
        <f t="shared" si="1"/>
        <v>0</v>
      </c>
      <c r="K37" s="799">
        <f t="shared" si="2"/>
        <v>0</v>
      </c>
      <c r="L37" s="2393"/>
    </row>
    <row r="38" spans="1:17" s="884" customFormat="1" ht="24" customHeight="1">
      <c r="A38" s="831"/>
      <c r="B38" s="720" t="s">
        <v>1428</v>
      </c>
      <c r="C38" s="792"/>
      <c r="D38" s="1346"/>
      <c r="E38" s="2373"/>
      <c r="F38" s="722" t="s">
        <v>240</v>
      </c>
      <c r="G38" s="795"/>
      <c r="H38" s="796">
        <f t="shared" si="0"/>
        <v>0</v>
      </c>
      <c r="I38" s="849"/>
      <c r="J38" s="796">
        <f t="shared" si="1"/>
        <v>0</v>
      </c>
      <c r="K38" s="799">
        <f t="shared" si="2"/>
        <v>0</v>
      </c>
      <c r="L38" s="2393"/>
    </row>
    <row r="39" spans="1:17" s="714" customFormat="1" ht="24" customHeight="1">
      <c r="A39" s="831"/>
      <c r="B39" s="720" t="s">
        <v>957</v>
      </c>
      <c r="C39" s="792"/>
      <c r="D39" s="1346"/>
      <c r="E39" s="2373"/>
      <c r="F39" s="794"/>
      <c r="G39" s="795"/>
      <c r="H39" s="796"/>
      <c r="I39" s="849"/>
      <c r="J39" s="864"/>
      <c r="K39" s="1030"/>
      <c r="L39" s="1010"/>
      <c r="M39" s="729"/>
      <c r="N39" s="729"/>
      <c r="O39" s="729"/>
      <c r="P39" s="729"/>
      <c r="Q39" s="729"/>
    </row>
    <row r="40" spans="1:17" s="714" customFormat="1" ht="24" customHeight="1">
      <c r="A40" s="719"/>
      <c r="B40" s="720" t="s">
        <v>1428</v>
      </c>
      <c r="C40" s="717"/>
      <c r="D40" s="718"/>
      <c r="E40" s="721"/>
      <c r="F40" s="722"/>
      <c r="G40" s="710"/>
      <c r="H40" s="711"/>
      <c r="I40" s="1369"/>
      <c r="J40" s="957"/>
      <c r="K40" s="1005"/>
      <c r="L40" s="954"/>
    </row>
    <row r="41" spans="1:17" s="714" customFormat="1" ht="24" customHeight="1">
      <c r="A41" s="719"/>
      <c r="B41" s="720" t="s">
        <v>1428</v>
      </c>
      <c r="C41" s="717"/>
      <c r="D41" s="718"/>
      <c r="E41" s="721"/>
      <c r="F41" s="722"/>
      <c r="G41" s="710"/>
      <c r="H41" s="711"/>
      <c r="I41" s="1369"/>
      <c r="J41" s="957"/>
      <c r="K41" s="1005"/>
      <c r="L41" s="954"/>
    </row>
    <row r="42" spans="1:17" s="714" customFormat="1" ht="24" customHeight="1">
      <c r="A42" s="719"/>
      <c r="B42" s="720"/>
      <c r="C42" s="717"/>
      <c r="D42" s="718"/>
      <c r="E42" s="721"/>
      <c r="F42" s="722"/>
      <c r="G42" s="710"/>
      <c r="H42" s="711"/>
      <c r="I42" s="1369"/>
      <c r="J42" s="957"/>
      <c r="K42" s="1005"/>
      <c r="L42" s="954"/>
    </row>
    <row r="43" spans="1:17" s="714" customFormat="1" ht="24" customHeight="1">
      <c r="A43" s="775"/>
      <c r="B43" s="2475" t="str">
        <f>"รวมราคารายการที่ "&amp;A35</f>
        <v>รวมราคารายการที่ 3.1</v>
      </c>
      <c r="C43" s="2476"/>
      <c r="D43" s="2477"/>
      <c r="E43" s="2369"/>
      <c r="F43" s="777"/>
      <c r="G43" s="959"/>
      <c r="H43" s="960">
        <f>SUM(H35:H42)</f>
        <v>0</v>
      </c>
      <c r="I43" s="959"/>
      <c r="J43" s="960">
        <f>SUM(J35:J42)</f>
        <v>0</v>
      </c>
      <c r="K43" s="777">
        <f>SUM(K35:K42)</f>
        <v>0</v>
      </c>
      <c r="L43" s="1006"/>
      <c r="M43" s="729"/>
      <c r="N43" s="729"/>
      <c r="O43" s="729"/>
      <c r="P43" s="729"/>
      <c r="Q43" s="729"/>
    </row>
    <row r="44" spans="1:17" s="714" customFormat="1" ht="24" customHeight="1">
      <c r="A44" s="911" t="s">
        <v>1275</v>
      </c>
      <c r="B44" s="816" t="s">
        <v>1103</v>
      </c>
      <c r="C44" s="859"/>
      <c r="D44" s="2382"/>
      <c r="E44" s="2370"/>
      <c r="F44" s="852"/>
      <c r="G44" s="853"/>
      <c r="H44" s="854"/>
      <c r="I44" s="1477"/>
      <c r="J44" s="854"/>
      <c r="K44" s="1007"/>
      <c r="L44" s="2392"/>
    </row>
    <row r="45" spans="1:17" s="884" customFormat="1" ht="24" customHeight="1">
      <c r="A45" s="878"/>
      <c r="B45" s="720" t="s">
        <v>1428</v>
      </c>
      <c r="C45" s="895"/>
      <c r="D45" s="2383"/>
      <c r="E45" s="2371"/>
      <c r="F45" s="722" t="s">
        <v>240</v>
      </c>
      <c r="G45" s="858"/>
      <c r="H45" s="796">
        <f t="shared" ref="H45:H47" si="3">ROUND(G45*E45,)</f>
        <v>0</v>
      </c>
      <c r="I45" s="1394"/>
      <c r="J45" s="796">
        <f t="shared" ref="J45:J47" si="4">ROUND(E45*I45,)</f>
        <v>0</v>
      </c>
      <c r="K45" s="799">
        <f t="shared" ref="K45:K47" si="5">H45+J45</f>
        <v>0</v>
      </c>
      <c r="L45" s="2393"/>
    </row>
    <row r="46" spans="1:17" s="884" customFormat="1" ht="24" customHeight="1">
      <c r="A46" s="831"/>
      <c r="B46" s="720" t="s">
        <v>1428</v>
      </c>
      <c r="C46" s="801"/>
      <c r="D46" s="1332"/>
      <c r="E46" s="2372"/>
      <c r="F46" s="722" t="s">
        <v>240</v>
      </c>
      <c r="G46" s="858"/>
      <c r="H46" s="796">
        <f t="shared" si="3"/>
        <v>0</v>
      </c>
      <c r="I46" s="1394"/>
      <c r="J46" s="796">
        <f t="shared" si="4"/>
        <v>0</v>
      </c>
      <c r="K46" s="799">
        <f t="shared" si="5"/>
        <v>0</v>
      </c>
      <c r="L46" s="2393"/>
    </row>
    <row r="47" spans="1:17" s="884" customFormat="1" ht="24" customHeight="1">
      <c r="A47" s="831"/>
      <c r="B47" s="720" t="s">
        <v>1428</v>
      </c>
      <c r="C47" s="792"/>
      <c r="D47" s="1346"/>
      <c r="E47" s="2373"/>
      <c r="F47" s="722" t="s">
        <v>240</v>
      </c>
      <c r="G47" s="795"/>
      <c r="H47" s="796">
        <f t="shared" si="3"/>
        <v>0</v>
      </c>
      <c r="I47" s="849"/>
      <c r="J47" s="796">
        <f t="shared" si="4"/>
        <v>0</v>
      </c>
      <c r="K47" s="799">
        <f t="shared" si="5"/>
        <v>0</v>
      </c>
      <c r="L47" s="2393"/>
    </row>
    <row r="48" spans="1:17" s="714" customFormat="1" ht="24" customHeight="1">
      <c r="A48" s="831"/>
      <c r="B48" s="720" t="s">
        <v>957</v>
      </c>
      <c r="C48" s="792"/>
      <c r="D48" s="1346"/>
      <c r="E48" s="2373"/>
      <c r="F48" s="794"/>
      <c r="G48" s="795"/>
      <c r="H48" s="796"/>
      <c r="I48" s="849"/>
      <c r="J48" s="864"/>
      <c r="K48" s="1030"/>
      <c r="L48" s="1010"/>
      <c r="M48" s="729"/>
      <c r="N48" s="729"/>
      <c r="O48" s="729"/>
      <c r="P48" s="729"/>
      <c r="Q48" s="729"/>
    </row>
    <row r="49" spans="1:17" s="714" customFormat="1" ht="24" customHeight="1">
      <c r="A49" s="719"/>
      <c r="B49" s="720" t="s">
        <v>1428</v>
      </c>
      <c r="C49" s="717"/>
      <c r="D49" s="718"/>
      <c r="E49" s="721"/>
      <c r="F49" s="722"/>
      <c r="G49" s="710"/>
      <c r="H49" s="711"/>
      <c r="I49" s="1369"/>
      <c r="J49" s="957"/>
      <c r="K49" s="1005"/>
      <c r="L49" s="954"/>
    </row>
    <row r="50" spans="1:17" s="714" customFormat="1" ht="24" customHeight="1">
      <c r="A50" s="719"/>
      <c r="B50" s="720" t="s">
        <v>1428</v>
      </c>
      <c r="C50" s="717"/>
      <c r="D50" s="718"/>
      <c r="E50" s="721"/>
      <c r="F50" s="722"/>
      <c r="G50" s="710"/>
      <c r="H50" s="711"/>
      <c r="I50" s="1369"/>
      <c r="J50" s="957"/>
      <c r="K50" s="1005"/>
      <c r="L50" s="954"/>
    </row>
    <row r="51" spans="1:17" s="714" customFormat="1" ht="24" customHeight="1">
      <c r="A51" s="719"/>
      <c r="B51" s="720"/>
      <c r="C51" s="717"/>
      <c r="D51" s="718"/>
      <c r="E51" s="721"/>
      <c r="F51" s="722"/>
      <c r="G51" s="710"/>
      <c r="H51" s="711"/>
      <c r="I51" s="1369"/>
      <c r="J51" s="957"/>
      <c r="K51" s="1005"/>
      <c r="L51" s="954"/>
    </row>
    <row r="52" spans="1:17" s="714" customFormat="1" ht="24" customHeight="1">
      <c r="A52" s="775"/>
      <c r="B52" s="2475" t="str">
        <f>"รวมราคารายการที่ "&amp;A44</f>
        <v>รวมราคารายการที่ 3.2</v>
      </c>
      <c r="C52" s="2476"/>
      <c r="D52" s="2477"/>
      <c r="E52" s="2369"/>
      <c r="F52" s="777"/>
      <c r="G52" s="959"/>
      <c r="H52" s="960">
        <f>SUM(H44:H51)</f>
        <v>0</v>
      </c>
      <c r="I52" s="959"/>
      <c r="J52" s="960">
        <f>SUM(J44:J51)</f>
        <v>0</v>
      </c>
      <c r="K52" s="777">
        <f>SUM(K44:K51)</f>
        <v>0</v>
      </c>
      <c r="L52" s="1006"/>
      <c r="M52" s="729"/>
      <c r="N52" s="729"/>
      <c r="O52" s="729"/>
      <c r="P52" s="729"/>
      <c r="Q52" s="729"/>
    </row>
    <row r="53" spans="1:17" s="714" customFormat="1" ht="24" customHeight="1">
      <c r="A53" s="911" t="s">
        <v>1279</v>
      </c>
      <c r="B53" s="816" t="s">
        <v>1267</v>
      </c>
      <c r="C53" s="859"/>
      <c r="D53" s="2382"/>
      <c r="E53" s="2370"/>
      <c r="F53" s="852"/>
      <c r="G53" s="853"/>
      <c r="H53" s="854"/>
      <c r="I53" s="1477"/>
      <c r="J53" s="854"/>
      <c r="K53" s="1007"/>
      <c r="L53" s="1008"/>
      <c r="M53" s="729"/>
      <c r="N53" s="729"/>
      <c r="O53" s="729"/>
      <c r="P53" s="729"/>
    </row>
    <row r="54" spans="1:17" s="714" customFormat="1" ht="24" customHeight="1">
      <c r="A54" s="836" t="s">
        <v>965</v>
      </c>
      <c r="B54" s="1009" t="s">
        <v>1268</v>
      </c>
      <c r="C54" s="792"/>
      <c r="D54" s="1346"/>
      <c r="E54" s="2373"/>
      <c r="F54" s="852"/>
      <c r="G54" s="795"/>
      <c r="H54" s="796">
        <f t="shared" ref="H54" si="6">ROUND(E54*G54,)</f>
        <v>0</v>
      </c>
      <c r="I54" s="849"/>
      <c r="J54" s="796">
        <f t="shared" ref="J54" si="7">ROUND(E54*I54,)</f>
        <v>0</v>
      </c>
      <c r="K54" s="1007">
        <f t="shared" ref="K54" si="8">H54+J54</f>
        <v>0</v>
      </c>
      <c r="L54" s="1008"/>
      <c r="M54" s="729"/>
      <c r="N54" s="729"/>
      <c r="O54" s="729"/>
      <c r="P54" s="729"/>
    </row>
    <row r="55" spans="1:17" s="714" customFormat="1" ht="24" customHeight="1">
      <c r="A55" s="831"/>
      <c r="B55" s="705" t="s">
        <v>1382</v>
      </c>
      <c r="C55" s="792"/>
      <c r="D55" s="1346"/>
      <c r="E55" s="2373">
        <v>1</v>
      </c>
      <c r="F55" s="709" t="s">
        <v>240</v>
      </c>
      <c r="G55" s="795">
        <v>4800</v>
      </c>
      <c r="H55" s="796">
        <f>ROUND(E55*G55,)</f>
        <v>4800</v>
      </c>
      <c r="I55" s="849">
        <v>1000</v>
      </c>
      <c r="J55" s="796">
        <f>ROUND(E55*I55,)</f>
        <v>1000</v>
      </c>
      <c r="K55" s="1007">
        <f>H55+J55</f>
        <v>5800</v>
      </c>
      <c r="L55" s="1008"/>
      <c r="M55" s="729"/>
      <c r="N55" s="729"/>
      <c r="O55" s="729"/>
      <c r="P55" s="729"/>
    </row>
    <row r="56" spans="1:17" s="714" customFormat="1" ht="24" customHeight="1">
      <c r="A56" s="831"/>
      <c r="B56" s="800" t="s">
        <v>1270</v>
      </c>
      <c r="C56" s="792"/>
      <c r="D56" s="1346"/>
      <c r="E56" s="2373">
        <v>1</v>
      </c>
      <c r="F56" s="709" t="s">
        <v>240</v>
      </c>
      <c r="G56" s="795">
        <v>2400</v>
      </c>
      <c r="H56" s="796">
        <f t="shared" ref="H56:H62" si="9">ROUND(E56*G56,)</f>
        <v>2400</v>
      </c>
      <c r="I56" s="849"/>
      <c r="J56" s="796">
        <f t="shared" ref="J56:J61" si="10">ROUND(E56*I56,)</f>
        <v>0</v>
      </c>
      <c r="K56" s="1007">
        <f t="shared" ref="K56:K62" si="11">H56+J56</f>
        <v>2400</v>
      </c>
      <c r="L56" s="1008"/>
      <c r="M56" s="729"/>
      <c r="N56" s="729"/>
      <c r="O56" s="729"/>
      <c r="P56" s="729"/>
    </row>
    <row r="57" spans="1:17" s="714" customFormat="1" ht="24" customHeight="1">
      <c r="A57" s="831"/>
      <c r="B57" s="705" t="s">
        <v>1271</v>
      </c>
      <c r="C57" s="792"/>
      <c r="D57" s="1346"/>
      <c r="E57" s="2373">
        <v>15</v>
      </c>
      <c r="F57" s="709" t="s">
        <v>240</v>
      </c>
      <c r="G57" s="795">
        <v>138</v>
      </c>
      <c r="H57" s="796">
        <f t="shared" si="9"/>
        <v>2070</v>
      </c>
      <c r="I57" s="849"/>
      <c r="J57" s="796">
        <f t="shared" si="10"/>
        <v>0</v>
      </c>
      <c r="K57" s="1007">
        <f t="shared" si="11"/>
        <v>2070</v>
      </c>
      <c r="L57" s="1008"/>
      <c r="M57" s="729"/>
      <c r="N57" s="729"/>
      <c r="O57" s="729"/>
      <c r="P57" s="729"/>
    </row>
    <row r="58" spans="1:17" s="714" customFormat="1" ht="24" customHeight="1">
      <c r="A58" s="861"/>
      <c r="B58" s="800" t="s">
        <v>1273</v>
      </c>
      <c r="C58" s="801"/>
      <c r="D58" s="1332"/>
      <c r="E58" s="2372">
        <v>3</v>
      </c>
      <c r="F58" s="803" t="s">
        <v>240</v>
      </c>
      <c r="G58" s="858">
        <v>1288</v>
      </c>
      <c r="H58" s="864">
        <f t="shared" si="9"/>
        <v>3864</v>
      </c>
      <c r="I58" s="1394"/>
      <c r="J58" s="864"/>
      <c r="K58" s="1007">
        <f t="shared" si="11"/>
        <v>3864</v>
      </c>
      <c r="L58" s="1010"/>
      <c r="M58" s="729"/>
      <c r="N58" s="729"/>
      <c r="O58" s="729"/>
      <c r="P58" s="729"/>
    </row>
    <row r="59" spans="1:17" s="714" customFormat="1" ht="24" customHeight="1">
      <c r="A59" s="831"/>
      <c r="B59" s="705" t="s">
        <v>1383</v>
      </c>
      <c r="C59" s="792"/>
      <c r="D59" s="1346"/>
      <c r="E59" s="2373">
        <v>1</v>
      </c>
      <c r="F59" s="709" t="s">
        <v>240</v>
      </c>
      <c r="G59" s="795">
        <v>4800</v>
      </c>
      <c r="H59" s="796">
        <f t="shared" si="9"/>
        <v>4800</v>
      </c>
      <c r="I59" s="849">
        <v>1000</v>
      </c>
      <c r="J59" s="796">
        <f t="shared" si="10"/>
        <v>1000</v>
      </c>
      <c r="K59" s="1007">
        <f t="shared" si="11"/>
        <v>5800</v>
      </c>
      <c r="L59" s="1008"/>
      <c r="M59" s="729"/>
      <c r="N59" s="729"/>
      <c r="O59" s="729"/>
      <c r="P59" s="729"/>
    </row>
    <row r="60" spans="1:17" s="714" customFormat="1" ht="24" customHeight="1">
      <c r="A60" s="831"/>
      <c r="B60" s="800" t="s">
        <v>1270</v>
      </c>
      <c r="C60" s="792"/>
      <c r="D60" s="1346"/>
      <c r="E60" s="2373">
        <v>1</v>
      </c>
      <c r="F60" s="709" t="s">
        <v>240</v>
      </c>
      <c r="G60" s="795">
        <v>2400</v>
      </c>
      <c r="H60" s="796">
        <f t="shared" si="9"/>
        <v>2400</v>
      </c>
      <c r="I60" s="849"/>
      <c r="J60" s="796">
        <f t="shared" si="10"/>
        <v>0</v>
      </c>
      <c r="K60" s="1007">
        <f t="shared" si="11"/>
        <v>2400</v>
      </c>
      <c r="L60" s="1008"/>
      <c r="M60" s="729"/>
      <c r="N60" s="729"/>
      <c r="O60" s="729"/>
      <c r="P60" s="729"/>
    </row>
    <row r="61" spans="1:17" s="714" customFormat="1" ht="24" customHeight="1">
      <c r="A61" s="831"/>
      <c r="B61" s="705" t="s">
        <v>1271</v>
      </c>
      <c r="C61" s="792"/>
      <c r="D61" s="1346"/>
      <c r="E61" s="2373">
        <v>15</v>
      </c>
      <c r="F61" s="709" t="s">
        <v>240</v>
      </c>
      <c r="G61" s="795">
        <v>138</v>
      </c>
      <c r="H61" s="796">
        <f t="shared" si="9"/>
        <v>2070</v>
      </c>
      <c r="I61" s="849"/>
      <c r="J61" s="796">
        <f t="shared" si="10"/>
        <v>0</v>
      </c>
      <c r="K61" s="1007">
        <f t="shared" si="11"/>
        <v>2070</v>
      </c>
      <c r="L61" s="1008"/>
      <c r="M61" s="729"/>
      <c r="N61" s="729"/>
      <c r="O61" s="729"/>
      <c r="P61" s="729"/>
    </row>
    <row r="62" spans="1:17" s="714" customFormat="1" ht="24" customHeight="1">
      <c r="A62" s="861"/>
      <c r="B62" s="800" t="s">
        <v>1273</v>
      </c>
      <c r="C62" s="801"/>
      <c r="D62" s="1332"/>
      <c r="E62" s="2372">
        <v>3</v>
      </c>
      <c r="F62" s="803" t="s">
        <v>240</v>
      </c>
      <c r="G62" s="858">
        <v>1288</v>
      </c>
      <c r="H62" s="864">
        <f t="shared" si="9"/>
        <v>3864</v>
      </c>
      <c r="I62" s="1394"/>
      <c r="J62" s="864"/>
      <c r="K62" s="1007">
        <f t="shared" si="11"/>
        <v>3864</v>
      </c>
      <c r="L62" s="1010"/>
      <c r="M62" s="729"/>
      <c r="N62" s="729"/>
      <c r="O62" s="729"/>
      <c r="P62" s="729"/>
    </row>
    <row r="63" spans="1:17" s="714" customFormat="1" ht="24" customHeight="1">
      <c r="A63" s="831"/>
      <c r="B63" s="705" t="s">
        <v>957</v>
      </c>
      <c r="C63" s="792"/>
      <c r="D63" s="1346"/>
      <c r="E63" s="2373"/>
      <c r="F63" s="794"/>
      <c r="G63" s="795"/>
      <c r="H63" s="796"/>
      <c r="I63" s="849"/>
      <c r="J63" s="796"/>
      <c r="K63" s="1007"/>
      <c r="L63" s="1008"/>
      <c r="M63" s="729"/>
      <c r="N63" s="729"/>
      <c r="O63" s="729"/>
      <c r="P63" s="729"/>
    </row>
    <row r="64" spans="1:17" s="714" customFormat="1" ht="24" customHeight="1">
      <c r="A64" s="775"/>
      <c r="B64" s="2475" t="str">
        <f>"รวมราคารายการที่ "&amp;A53</f>
        <v>รวมราคารายการที่ 3.3</v>
      </c>
      <c r="C64" s="2476"/>
      <c r="D64" s="2477"/>
      <c r="E64" s="2369"/>
      <c r="F64" s="777"/>
      <c r="G64" s="959"/>
      <c r="H64" s="960">
        <f>SUM(H54:H63)</f>
        <v>26268</v>
      </c>
      <c r="I64" s="959"/>
      <c r="J64" s="960">
        <f>SUM(J54:J63)</f>
        <v>2000</v>
      </c>
      <c r="K64" s="777">
        <f>SUM(K54:K63)</f>
        <v>28268</v>
      </c>
      <c r="L64" s="1006"/>
      <c r="M64" s="729"/>
      <c r="N64" s="729"/>
      <c r="O64" s="729"/>
      <c r="P64" s="729"/>
    </row>
    <row r="65" spans="1:16" s="714" customFormat="1" ht="24" customHeight="1">
      <c r="A65" s="911" t="s">
        <v>1282</v>
      </c>
      <c r="B65" s="816" t="s">
        <v>1159</v>
      </c>
      <c r="C65" s="850"/>
      <c r="D65" s="2382"/>
      <c r="E65" s="2370"/>
      <c r="F65" s="852"/>
      <c r="G65" s="853"/>
      <c r="H65" s="854"/>
      <c r="I65" s="1477"/>
      <c r="J65" s="854"/>
      <c r="K65" s="1007"/>
      <c r="L65" s="912"/>
      <c r="M65" s="729"/>
      <c r="N65" s="729"/>
      <c r="O65" s="729"/>
      <c r="P65" s="729"/>
    </row>
    <row r="66" spans="1:16" s="714" customFormat="1" ht="24" customHeight="1">
      <c r="A66" s="856" t="s">
        <v>971</v>
      </c>
      <c r="B66" s="705" t="s">
        <v>1276</v>
      </c>
      <c r="C66" s="717"/>
      <c r="D66" s="718"/>
      <c r="E66" s="2375"/>
      <c r="F66" s="916"/>
      <c r="G66" s="806"/>
      <c r="H66" s="796">
        <f t="shared" ref="H66:H71" si="12">ROUND(E66*G66,)</f>
        <v>0</v>
      </c>
      <c r="I66" s="1402"/>
      <c r="J66" s="796">
        <f t="shared" ref="J66:J71" si="13">ROUND(E66*I66,)</f>
        <v>0</v>
      </c>
      <c r="K66" s="968"/>
      <c r="L66" s="919"/>
      <c r="M66" s="729"/>
      <c r="N66" s="729"/>
      <c r="O66" s="729"/>
      <c r="P66" s="729"/>
    </row>
    <row r="67" spans="1:16" s="714" customFormat="1" ht="24" customHeight="1">
      <c r="A67" s="831"/>
      <c r="B67" s="705" t="s">
        <v>1277</v>
      </c>
      <c r="C67" s="717"/>
      <c r="D67" s="718"/>
      <c r="E67" s="915"/>
      <c r="F67" s="794" t="s">
        <v>438</v>
      </c>
      <c r="G67" s="806">
        <v>41</v>
      </c>
      <c r="H67" s="796">
        <f t="shared" si="12"/>
        <v>0</v>
      </c>
      <c r="I67" s="1402">
        <v>12</v>
      </c>
      <c r="J67" s="796">
        <f t="shared" si="13"/>
        <v>0</v>
      </c>
      <c r="K67" s="1007">
        <f t="shared" ref="K67:K71" si="14">H67+J67</f>
        <v>0</v>
      </c>
      <c r="L67" s="919"/>
      <c r="M67" s="729"/>
      <c r="N67" s="729"/>
      <c r="O67" s="729"/>
      <c r="P67" s="729"/>
    </row>
    <row r="68" spans="1:16" s="714" customFormat="1" ht="24" customHeight="1">
      <c r="A68" s="856" t="s">
        <v>975</v>
      </c>
      <c r="B68" s="705" t="s">
        <v>1179</v>
      </c>
      <c r="C68" s="717"/>
      <c r="D68" s="718"/>
      <c r="E68" s="2375"/>
      <c r="F68" s="916"/>
      <c r="G68" s="806"/>
      <c r="H68" s="796">
        <f t="shared" si="12"/>
        <v>0</v>
      </c>
      <c r="I68" s="1402"/>
      <c r="J68" s="796">
        <f t="shared" si="13"/>
        <v>0</v>
      </c>
      <c r="K68" s="1007">
        <f t="shared" si="14"/>
        <v>0</v>
      </c>
      <c r="L68" s="919"/>
      <c r="M68" s="729"/>
      <c r="N68" s="729"/>
      <c r="O68" s="729"/>
      <c r="P68" s="729"/>
    </row>
    <row r="69" spans="1:16" s="714" customFormat="1" ht="24" customHeight="1">
      <c r="A69" s="831"/>
      <c r="B69" s="705" t="s">
        <v>1277</v>
      </c>
      <c r="C69" s="717"/>
      <c r="D69" s="718"/>
      <c r="E69" s="915">
        <v>21250</v>
      </c>
      <c r="F69" s="794" t="s">
        <v>438</v>
      </c>
      <c r="G69" s="806">
        <v>24</v>
      </c>
      <c r="H69" s="796">
        <f t="shared" si="12"/>
        <v>510000</v>
      </c>
      <c r="I69" s="1402">
        <v>12</v>
      </c>
      <c r="J69" s="796">
        <f t="shared" si="13"/>
        <v>255000</v>
      </c>
      <c r="K69" s="1007">
        <f t="shared" si="14"/>
        <v>765000</v>
      </c>
      <c r="L69" s="919"/>
      <c r="M69" s="729"/>
      <c r="N69" s="729"/>
      <c r="O69" s="729"/>
      <c r="P69" s="729"/>
    </row>
    <row r="70" spans="1:16" s="714" customFormat="1" ht="24" customHeight="1">
      <c r="A70" s="831"/>
      <c r="B70" s="720" t="s">
        <v>1166</v>
      </c>
      <c r="C70" s="717"/>
      <c r="D70" s="718"/>
      <c r="E70" s="915">
        <v>11450</v>
      </c>
      <c r="F70" s="794" t="s">
        <v>438</v>
      </c>
      <c r="G70" s="806">
        <v>31</v>
      </c>
      <c r="H70" s="796">
        <f t="shared" si="12"/>
        <v>354950</v>
      </c>
      <c r="I70" s="1402">
        <v>14</v>
      </c>
      <c r="J70" s="796">
        <f t="shared" si="13"/>
        <v>160300</v>
      </c>
      <c r="K70" s="1007">
        <f t="shared" si="14"/>
        <v>515250</v>
      </c>
      <c r="L70" s="919"/>
      <c r="M70" s="729"/>
      <c r="N70" s="729"/>
      <c r="O70" s="729"/>
      <c r="P70" s="729"/>
    </row>
    <row r="71" spans="1:16" s="714" customFormat="1" ht="24" customHeight="1">
      <c r="A71" s="856"/>
      <c r="B71" s="1012" t="s">
        <v>1278</v>
      </c>
      <c r="C71" s="770"/>
      <c r="D71" s="771"/>
      <c r="E71" s="2387">
        <v>1</v>
      </c>
      <c r="F71" s="852" t="s">
        <v>948</v>
      </c>
      <c r="G71" s="932">
        <f>ROUND(SUM(H67:H70)*0.05,)</f>
        <v>43248</v>
      </c>
      <c r="H71" s="796">
        <f t="shared" si="12"/>
        <v>43248</v>
      </c>
      <c r="I71" s="849">
        <f>ROUND(G71*0.3,)</f>
        <v>12974</v>
      </c>
      <c r="J71" s="796">
        <f t="shared" si="13"/>
        <v>12974</v>
      </c>
      <c r="K71" s="1007">
        <f t="shared" si="14"/>
        <v>56222</v>
      </c>
      <c r="L71" s="935"/>
      <c r="M71" s="729"/>
      <c r="N71" s="729"/>
      <c r="O71" s="729"/>
      <c r="P71" s="729"/>
    </row>
    <row r="72" spans="1:16" s="714" customFormat="1" ht="24" customHeight="1">
      <c r="A72" s="1011"/>
      <c r="B72" s="705" t="s">
        <v>957</v>
      </c>
      <c r="C72" s="717"/>
      <c r="D72" s="718"/>
      <c r="E72" s="1141"/>
      <c r="F72" s="916"/>
      <c r="G72" s="806"/>
      <c r="H72" s="918"/>
      <c r="I72" s="1402"/>
      <c r="J72" s="918"/>
      <c r="K72" s="968"/>
      <c r="L72" s="919"/>
      <c r="M72" s="729"/>
      <c r="N72" s="729"/>
      <c r="O72" s="729"/>
      <c r="P72" s="729"/>
    </row>
    <row r="73" spans="1:16" s="714" customFormat="1" ht="24" customHeight="1">
      <c r="A73" s="775"/>
      <c r="B73" s="2475" t="str">
        <f>"รวมราคารายการที่ "&amp;A65</f>
        <v>รวมราคารายการที่ 3.4</v>
      </c>
      <c r="C73" s="2476"/>
      <c r="D73" s="2477"/>
      <c r="E73" s="2369"/>
      <c r="F73" s="777"/>
      <c r="G73" s="959"/>
      <c r="H73" s="960">
        <f>SUM(H65:H72)</f>
        <v>908198</v>
      </c>
      <c r="I73" s="959"/>
      <c r="J73" s="960">
        <f>SUM(J65:J72)</f>
        <v>428274</v>
      </c>
      <c r="K73" s="777">
        <f>SUM(K65:K72)</f>
        <v>1336472</v>
      </c>
      <c r="L73" s="1006"/>
      <c r="M73" s="729"/>
      <c r="N73" s="729"/>
      <c r="O73" s="729"/>
      <c r="P73" s="729"/>
    </row>
    <row r="74" spans="1:16" s="714" customFormat="1" ht="24" customHeight="1">
      <c r="A74" s="911" t="s">
        <v>1290</v>
      </c>
      <c r="B74" s="816" t="s">
        <v>1181</v>
      </c>
      <c r="C74" s="770"/>
      <c r="D74" s="771"/>
      <c r="E74" s="2376"/>
      <c r="F74" s="931"/>
      <c r="G74" s="932"/>
      <c r="H74" s="933"/>
      <c r="I74" s="2389"/>
      <c r="J74" s="933"/>
      <c r="K74" s="1013"/>
      <c r="L74" s="935"/>
      <c r="M74" s="729"/>
      <c r="N74" s="729"/>
      <c r="O74" s="729"/>
      <c r="P74" s="729"/>
    </row>
    <row r="75" spans="1:16" s="714" customFormat="1" ht="24" customHeight="1">
      <c r="A75" s="831" t="s">
        <v>991</v>
      </c>
      <c r="B75" s="705" t="s">
        <v>1280</v>
      </c>
      <c r="C75" s="717"/>
      <c r="D75" s="718"/>
      <c r="E75" s="1141"/>
      <c r="F75" s="916"/>
      <c r="G75" s="806"/>
      <c r="H75" s="796">
        <f t="shared" ref="H75:H84" si="15">ROUND(E75*G75,)</f>
        <v>0</v>
      </c>
      <c r="I75" s="1402"/>
      <c r="J75" s="796">
        <f t="shared" ref="J75:J84" si="16">ROUND(E75*I75,)</f>
        <v>0</v>
      </c>
      <c r="K75" s="968"/>
      <c r="L75" s="919"/>
      <c r="M75" s="729"/>
      <c r="N75" s="729"/>
      <c r="O75" s="729"/>
      <c r="P75" s="729"/>
    </row>
    <row r="76" spans="1:16" s="714" customFormat="1" ht="24" customHeight="1">
      <c r="A76" s="831"/>
      <c r="B76" s="705" t="s">
        <v>1201</v>
      </c>
      <c r="C76" s="717"/>
      <c r="D76" s="718"/>
      <c r="E76" s="1141"/>
      <c r="F76" s="794" t="s">
        <v>438</v>
      </c>
      <c r="G76" s="806">
        <v>27</v>
      </c>
      <c r="H76" s="796">
        <f t="shared" si="15"/>
        <v>0</v>
      </c>
      <c r="I76" s="1402">
        <v>22</v>
      </c>
      <c r="J76" s="796">
        <f t="shared" si="16"/>
        <v>0</v>
      </c>
      <c r="K76" s="1007">
        <f t="shared" ref="K76:K84" si="17">H76+J76</f>
        <v>0</v>
      </c>
      <c r="L76" s="2394" t="s">
        <v>2974</v>
      </c>
      <c r="M76" s="729"/>
      <c r="P76" s="729"/>
    </row>
    <row r="77" spans="1:16" s="714" customFormat="1" ht="24" customHeight="1">
      <c r="A77" s="831"/>
      <c r="B77" s="720" t="s">
        <v>952</v>
      </c>
      <c r="C77" s="717"/>
      <c r="D77" s="718"/>
      <c r="E77" s="1141">
        <v>1</v>
      </c>
      <c r="F77" s="916" t="s">
        <v>948</v>
      </c>
      <c r="G77" s="806">
        <f>ROUND(SUM(H76:H76)*15%,)</f>
        <v>0</v>
      </c>
      <c r="H77" s="796">
        <f t="shared" si="15"/>
        <v>0</v>
      </c>
      <c r="I77" s="1402">
        <f>G77*0.3</f>
        <v>0</v>
      </c>
      <c r="J77" s="796">
        <f t="shared" si="16"/>
        <v>0</v>
      </c>
      <c r="K77" s="1014">
        <f t="shared" si="17"/>
        <v>0</v>
      </c>
      <c r="L77" s="919"/>
      <c r="M77" s="729"/>
      <c r="N77" s="729"/>
      <c r="O77" s="729"/>
      <c r="P77" s="729"/>
    </row>
    <row r="78" spans="1:16" s="714" customFormat="1" ht="24" customHeight="1">
      <c r="A78" s="831" t="s">
        <v>1020</v>
      </c>
      <c r="B78" s="720" t="s">
        <v>950</v>
      </c>
      <c r="C78" s="717"/>
      <c r="D78" s="718"/>
      <c r="E78" s="1141"/>
      <c r="F78" s="916"/>
      <c r="G78" s="806"/>
      <c r="H78" s="796">
        <f t="shared" si="15"/>
        <v>0</v>
      </c>
      <c r="I78" s="1402"/>
      <c r="J78" s="796">
        <f t="shared" si="16"/>
        <v>0</v>
      </c>
      <c r="K78" s="1014">
        <f t="shared" si="17"/>
        <v>0</v>
      </c>
      <c r="L78" s="919"/>
      <c r="M78" s="729"/>
      <c r="N78" s="729"/>
      <c r="O78" s="729"/>
      <c r="P78" s="729"/>
    </row>
    <row r="79" spans="1:16" s="714" customFormat="1" ht="24" customHeight="1">
      <c r="A79" s="831"/>
      <c r="B79" s="720" t="s">
        <v>1201</v>
      </c>
      <c r="C79" s="717"/>
      <c r="D79" s="718"/>
      <c r="E79" s="1141"/>
      <c r="F79" s="794" t="s">
        <v>438</v>
      </c>
      <c r="G79" s="806">
        <v>56</v>
      </c>
      <c r="H79" s="796">
        <f t="shared" si="15"/>
        <v>0</v>
      </c>
      <c r="I79" s="1402">
        <v>26</v>
      </c>
      <c r="J79" s="796">
        <f t="shared" si="16"/>
        <v>0</v>
      </c>
      <c r="K79" s="1014">
        <f t="shared" si="17"/>
        <v>0</v>
      </c>
      <c r="L79" s="2394" t="s">
        <v>2974</v>
      </c>
      <c r="M79" s="729"/>
      <c r="P79" s="729"/>
    </row>
    <row r="80" spans="1:16" s="714" customFormat="1" ht="24" customHeight="1">
      <c r="A80" s="831"/>
      <c r="B80" s="720" t="s">
        <v>1184</v>
      </c>
      <c r="C80" s="717"/>
      <c r="D80" s="718"/>
      <c r="E80" s="915">
        <v>10900</v>
      </c>
      <c r="F80" s="794" t="s">
        <v>438</v>
      </c>
      <c r="G80" s="806">
        <v>75</v>
      </c>
      <c r="H80" s="796">
        <f t="shared" si="15"/>
        <v>817500</v>
      </c>
      <c r="I80" s="1402">
        <v>28</v>
      </c>
      <c r="J80" s="796">
        <f t="shared" si="16"/>
        <v>305200</v>
      </c>
      <c r="K80" s="799">
        <f t="shared" si="17"/>
        <v>1122700</v>
      </c>
      <c r="L80" s="2395" t="s">
        <v>2974</v>
      </c>
      <c r="O80" s="729"/>
    </row>
    <row r="81" spans="1:17" s="714" customFormat="1" ht="24" customHeight="1">
      <c r="A81" s="831"/>
      <c r="B81" s="720" t="s">
        <v>1185</v>
      </c>
      <c r="C81" s="717"/>
      <c r="D81" s="718"/>
      <c r="E81" s="1141"/>
      <c r="F81" s="794" t="s">
        <v>438</v>
      </c>
      <c r="G81" s="806">
        <v>101</v>
      </c>
      <c r="H81" s="796">
        <f t="shared" si="15"/>
        <v>0</v>
      </c>
      <c r="I81" s="1402">
        <v>32</v>
      </c>
      <c r="J81" s="796">
        <f t="shared" si="16"/>
        <v>0</v>
      </c>
      <c r="K81" s="1014">
        <f t="shared" si="17"/>
        <v>0</v>
      </c>
      <c r="L81" s="2394" t="s">
        <v>2974</v>
      </c>
      <c r="M81" s="729"/>
      <c r="N81" s="729"/>
      <c r="P81" s="729"/>
    </row>
    <row r="82" spans="1:17" s="714" customFormat="1" ht="24" customHeight="1">
      <c r="A82" s="831"/>
      <c r="B82" s="720" t="s">
        <v>952</v>
      </c>
      <c r="C82" s="717"/>
      <c r="D82" s="718"/>
      <c r="E82" s="1141">
        <v>1</v>
      </c>
      <c r="F82" s="916" t="s">
        <v>948</v>
      </c>
      <c r="G82" s="806">
        <f>ROUND(SUM(H79:H81)*15%,)</f>
        <v>122625</v>
      </c>
      <c r="H82" s="796">
        <f t="shared" si="15"/>
        <v>122625</v>
      </c>
      <c r="I82" s="849">
        <f>ROUND(G82*0.3,)</f>
        <v>36788</v>
      </c>
      <c r="J82" s="796">
        <f t="shared" si="16"/>
        <v>36788</v>
      </c>
      <c r="K82" s="1014">
        <f t="shared" si="17"/>
        <v>159413</v>
      </c>
      <c r="L82" s="919"/>
      <c r="M82" s="729"/>
      <c r="N82" s="729"/>
      <c r="O82" s="729"/>
      <c r="P82" s="729"/>
    </row>
    <row r="83" spans="1:17" s="714" customFormat="1" ht="24" customHeight="1">
      <c r="A83" s="831" t="s">
        <v>1006</v>
      </c>
      <c r="B83" s="720" t="s">
        <v>1281</v>
      </c>
      <c r="C83" s="717"/>
      <c r="D83" s="718"/>
      <c r="E83" s="1141"/>
      <c r="F83" s="916"/>
      <c r="G83" s="806"/>
      <c r="H83" s="796">
        <f t="shared" si="15"/>
        <v>0</v>
      </c>
      <c r="I83" s="1402"/>
      <c r="J83" s="796">
        <f t="shared" si="16"/>
        <v>0</v>
      </c>
      <c r="K83" s="1014">
        <f t="shared" si="17"/>
        <v>0</v>
      </c>
      <c r="L83" s="919"/>
      <c r="M83" s="729"/>
      <c r="N83" s="729"/>
      <c r="O83" s="729"/>
      <c r="P83" s="729"/>
    </row>
    <row r="84" spans="1:17" s="714" customFormat="1" ht="24" customHeight="1">
      <c r="A84" s="831"/>
      <c r="B84" s="720" t="s">
        <v>1201</v>
      </c>
      <c r="C84" s="717"/>
      <c r="D84" s="718"/>
      <c r="E84" s="1141">
        <v>619</v>
      </c>
      <c r="F84" s="794" t="s">
        <v>438</v>
      </c>
      <c r="G84" s="806">
        <v>14</v>
      </c>
      <c r="H84" s="796">
        <f t="shared" si="15"/>
        <v>8666</v>
      </c>
      <c r="I84" s="1402">
        <v>11</v>
      </c>
      <c r="J84" s="796">
        <f t="shared" si="16"/>
        <v>6809</v>
      </c>
      <c r="K84" s="1014">
        <f t="shared" si="17"/>
        <v>15475</v>
      </c>
      <c r="L84" s="919"/>
      <c r="M84" s="729"/>
      <c r="N84" s="729"/>
      <c r="O84" s="729"/>
      <c r="P84" s="729"/>
    </row>
    <row r="85" spans="1:17" s="714" customFormat="1" ht="24" customHeight="1">
      <c r="A85" s="831"/>
      <c r="B85" s="705" t="s">
        <v>957</v>
      </c>
      <c r="C85" s="717"/>
      <c r="D85" s="718"/>
      <c r="E85" s="1141"/>
      <c r="F85" s="794"/>
      <c r="G85" s="806"/>
      <c r="H85" s="796"/>
      <c r="I85" s="1402"/>
      <c r="J85" s="796"/>
      <c r="K85" s="1014"/>
      <c r="L85" s="919"/>
      <c r="M85" s="729"/>
      <c r="N85" s="729"/>
      <c r="O85" s="729"/>
      <c r="P85" s="729"/>
    </row>
    <row r="86" spans="1:17" s="714" customFormat="1" ht="24" customHeight="1">
      <c r="A86" s="775"/>
      <c r="B86" s="2475" t="str">
        <f>"รวมราคารายการที่ "&amp;A74</f>
        <v>รวมราคารายการที่ 3.5</v>
      </c>
      <c r="C86" s="2476"/>
      <c r="D86" s="2477"/>
      <c r="E86" s="2369"/>
      <c r="F86" s="777"/>
      <c r="G86" s="959"/>
      <c r="H86" s="960">
        <f>SUM(H75:H85)</f>
        <v>948791</v>
      </c>
      <c r="I86" s="959"/>
      <c r="J86" s="960">
        <f>SUM(J75:J85)</f>
        <v>348797</v>
      </c>
      <c r="K86" s="777">
        <f>SUM(K75:K85)</f>
        <v>1297588</v>
      </c>
      <c r="L86" s="1006"/>
      <c r="M86" s="729"/>
      <c r="N86" s="729"/>
      <c r="O86" s="729"/>
      <c r="P86" s="729"/>
    </row>
    <row r="87" spans="1:17" s="714" customFormat="1" ht="24" customHeight="1">
      <c r="A87" s="911" t="s">
        <v>1293</v>
      </c>
      <c r="B87" s="816" t="s">
        <v>1283</v>
      </c>
      <c r="C87" s="770"/>
      <c r="D87" s="771"/>
      <c r="E87" s="2376"/>
      <c r="F87" s="931"/>
      <c r="G87" s="932"/>
      <c r="H87" s="933"/>
      <c r="I87" s="2389"/>
      <c r="J87" s="933"/>
      <c r="K87" s="1013"/>
      <c r="L87" s="935"/>
      <c r="M87" s="729"/>
      <c r="N87" s="729"/>
      <c r="O87" s="729"/>
      <c r="P87" s="729"/>
    </row>
    <row r="88" spans="1:17" s="714" customFormat="1" ht="24" customHeight="1">
      <c r="A88" s="831" t="s">
        <v>1032</v>
      </c>
      <c r="B88" s="705" t="s">
        <v>1283</v>
      </c>
      <c r="C88" s="717"/>
      <c r="D88" s="718"/>
      <c r="E88" s="1141"/>
      <c r="F88" s="916"/>
      <c r="G88" s="806"/>
      <c r="H88" s="918"/>
      <c r="I88" s="1402"/>
      <c r="J88" s="918"/>
      <c r="K88" s="968"/>
      <c r="L88" s="919"/>
      <c r="M88" s="729"/>
      <c r="N88" s="729"/>
      <c r="O88" s="729"/>
      <c r="P88" s="729"/>
    </row>
    <row r="89" spans="1:17" s="714" customFormat="1" ht="24" customHeight="1">
      <c r="A89" s="831"/>
      <c r="B89" s="705" t="s">
        <v>1284</v>
      </c>
      <c r="C89" s="717"/>
      <c r="D89" s="718"/>
      <c r="E89" s="1141">
        <v>43</v>
      </c>
      <c r="F89" s="709" t="s">
        <v>240</v>
      </c>
      <c r="G89" s="806">
        <v>90</v>
      </c>
      <c r="H89" s="796">
        <f t="shared" ref="H89:H94" si="18">ROUND(E89*G89,)</f>
        <v>3870</v>
      </c>
      <c r="I89" s="1402">
        <v>80</v>
      </c>
      <c r="J89" s="796">
        <f t="shared" ref="J89:J94" si="19">ROUND(E89*I89,)</f>
        <v>3440</v>
      </c>
      <c r="K89" s="1007">
        <f t="shared" ref="K89:K94" si="20">H89+J89</f>
        <v>7310</v>
      </c>
      <c r="L89" s="919"/>
      <c r="M89" s="729"/>
      <c r="N89" s="729"/>
      <c r="O89" s="729"/>
      <c r="P89" s="729"/>
    </row>
    <row r="90" spans="1:17" s="714" customFormat="1" ht="24" customHeight="1">
      <c r="A90" s="831"/>
      <c r="B90" s="705" t="s">
        <v>1285</v>
      </c>
      <c r="C90" s="717"/>
      <c r="D90" s="718"/>
      <c r="E90" s="1141">
        <v>3</v>
      </c>
      <c r="F90" s="709" t="s">
        <v>240</v>
      </c>
      <c r="G90" s="806">
        <v>162</v>
      </c>
      <c r="H90" s="796">
        <f t="shared" si="18"/>
        <v>486</v>
      </c>
      <c r="I90" s="1402">
        <v>90</v>
      </c>
      <c r="J90" s="796">
        <f t="shared" si="19"/>
        <v>270</v>
      </c>
      <c r="K90" s="1007">
        <f t="shared" si="20"/>
        <v>756</v>
      </c>
      <c r="L90" s="919"/>
      <c r="M90" s="729"/>
      <c r="N90" s="729"/>
      <c r="O90" s="729"/>
      <c r="P90" s="729"/>
    </row>
    <row r="91" spans="1:17" s="714" customFormat="1" ht="24" customHeight="1">
      <c r="A91" s="831"/>
      <c r="B91" s="705" t="s">
        <v>1286</v>
      </c>
      <c r="C91" s="717"/>
      <c r="D91" s="718"/>
      <c r="E91" s="1141">
        <v>20</v>
      </c>
      <c r="F91" s="709" t="s">
        <v>240</v>
      </c>
      <c r="G91" s="806">
        <v>197</v>
      </c>
      <c r="H91" s="796">
        <f t="shared" si="18"/>
        <v>3940</v>
      </c>
      <c r="I91" s="1402">
        <v>90</v>
      </c>
      <c r="J91" s="796">
        <f t="shared" si="19"/>
        <v>1800</v>
      </c>
      <c r="K91" s="1007">
        <f t="shared" si="20"/>
        <v>5740</v>
      </c>
      <c r="L91" s="919"/>
      <c r="M91" s="729"/>
      <c r="N91" s="729"/>
      <c r="O91" s="729"/>
      <c r="P91" s="729"/>
    </row>
    <row r="92" spans="1:17" s="714" customFormat="1" ht="24" customHeight="1">
      <c r="A92" s="831"/>
      <c r="B92" s="705" t="s">
        <v>1287</v>
      </c>
      <c r="C92" s="717"/>
      <c r="D92" s="718"/>
      <c r="E92" s="2375"/>
      <c r="F92" s="709" t="s">
        <v>240</v>
      </c>
      <c r="G92" s="806">
        <v>1500</v>
      </c>
      <c r="H92" s="796">
        <f t="shared" si="18"/>
        <v>0</v>
      </c>
      <c r="I92" s="1402">
        <v>265</v>
      </c>
      <c r="J92" s="796">
        <f t="shared" si="19"/>
        <v>0</v>
      </c>
      <c r="K92" s="1007">
        <f t="shared" si="20"/>
        <v>0</v>
      </c>
      <c r="L92" s="919"/>
    </row>
    <row r="93" spans="1:17" s="714" customFormat="1" ht="24" customHeight="1">
      <c r="A93" s="831"/>
      <c r="B93" s="720" t="s">
        <v>1288</v>
      </c>
      <c r="C93" s="717"/>
      <c r="D93" s="718"/>
      <c r="E93" s="1141"/>
      <c r="F93" s="722" t="s">
        <v>240</v>
      </c>
      <c r="G93" s="806">
        <v>320</v>
      </c>
      <c r="H93" s="796">
        <f t="shared" si="18"/>
        <v>0</v>
      </c>
      <c r="I93" s="1402">
        <v>200</v>
      </c>
      <c r="J93" s="796">
        <f t="shared" si="19"/>
        <v>0</v>
      </c>
      <c r="K93" s="1007">
        <f t="shared" si="20"/>
        <v>0</v>
      </c>
      <c r="L93" s="919"/>
      <c r="M93" s="729"/>
      <c r="N93" s="729"/>
      <c r="O93" s="729"/>
      <c r="P93" s="729"/>
      <c r="Q93" s="729"/>
    </row>
    <row r="94" spans="1:17" s="714" customFormat="1" ht="24" customHeight="1">
      <c r="A94" s="831" t="s">
        <v>1598</v>
      </c>
      <c r="B94" s="705" t="s">
        <v>1289</v>
      </c>
      <c r="C94" s="717"/>
      <c r="D94" s="718"/>
      <c r="E94" s="1141">
        <v>6</v>
      </c>
      <c r="F94" s="709" t="s">
        <v>240</v>
      </c>
      <c r="G94" s="806">
        <v>130</v>
      </c>
      <c r="H94" s="796">
        <f t="shared" si="18"/>
        <v>780</v>
      </c>
      <c r="I94" s="1402">
        <v>90</v>
      </c>
      <c r="J94" s="796">
        <f t="shared" si="19"/>
        <v>540</v>
      </c>
      <c r="K94" s="1007">
        <f t="shared" si="20"/>
        <v>1320</v>
      </c>
      <c r="L94" s="919"/>
      <c r="M94" s="729"/>
      <c r="N94" s="729"/>
      <c r="O94" s="729"/>
      <c r="P94" s="729"/>
    </row>
    <row r="95" spans="1:17" s="714" customFormat="1" ht="24" customHeight="1">
      <c r="A95" s="861" t="s">
        <v>1601</v>
      </c>
      <c r="B95" s="800" t="s">
        <v>2961</v>
      </c>
      <c r="C95" s="757"/>
      <c r="D95" s="758"/>
      <c r="E95" s="2377"/>
      <c r="F95" s="803"/>
      <c r="G95" s="752"/>
      <c r="H95" s="864"/>
      <c r="I95" s="1392"/>
      <c r="J95" s="864"/>
      <c r="K95" s="966"/>
      <c r="L95" s="919"/>
      <c r="M95" s="729"/>
      <c r="N95" s="729"/>
      <c r="O95" s="729"/>
      <c r="P95" s="729"/>
    </row>
    <row r="96" spans="1:17" s="714" customFormat="1" ht="24" customHeight="1">
      <c r="A96" s="861"/>
      <c r="B96" s="800" t="s">
        <v>2962</v>
      </c>
      <c r="C96" s="757"/>
      <c r="D96" s="758"/>
      <c r="E96" s="2377">
        <v>1</v>
      </c>
      <c r="F96" s="803" t="s">
        <v>240</v>
      </c>
      <c r="G96" s="752">
        <v>5000</v>
      </c>
      <c r="H96" s="864">
        <f>ROUND(E96*G96,)</f>
        <v>5000</v>
      </c>
      <c r="I96" s="1392">
        <f>G96*10%</f>
        <v>500</v>
      </c>
      <c r="J96" s="864">
        <f>ROUND(E96*I96,)</f>
        <v>500</v>
      </c>
      <c r="K96" s="966">
        <f>H96+J96</f>
        <v>5500</v>
      </c>
      <c r="L96" s="919"/>
      <c r="M96" s="729"/>
      <c r="N96" s="729"/>
      <c r="O96" s="729"/>
      <c r="P96" s="729"/>
    </row>
    <row r="97" spans="1:16" s="714" customFormat="1" ht="24" customHeight="1">
      <c r="A97" s="831"/>
      <c r="B97" s="705" t="s">
        <v>957</v>
      </c>
      <c r="C97" s="717"/>
      <c r="D97" s="718"/>
      <c r="E97" s="1141"/>
      <c r="F97" s="916"/>
      <c r="G97" s="806"/>
      <c r="H97" s="918"/>
      <c r="I97" s="1402"/>
      <c r="J97" s="918"/>
      <c r="K97" s="968"/>
      <c r="L97" s="919"/>
      <c r="M97" s="729"/>
      <c r="N97" s="729"/>
      <c r="O97" s="729"/>
      <c r="P97" s="729"/>
    </row>
    <row r="98" spans="1:16" s="714" customFormat="1" ht="24" customHeight="1">
      <c r="A98" s="775"/>
      <c r="B98" s="2475" t="str">
        <f>"รวมราคารายการที่ "&amp;A87</f>
        <v>รวมราคารายการที่ 3.6</v>
      </c>
      <c r="C98" s="2476"/>
      <c r="D98" s="2477"/>
      <c r="E98" s="2369"/>
      <c r="F98" s="777"/>
      <c r="G98" s="959"/>
      <c r="H98" s="960">
        <f>SUM(H88:H97)</f>
        <v>14076</v>
      </c>
      <c r="I98" s="959"/>
      <c r="J98" s="960">
        <f>SUM(J88:J97)</f>
        <v>6550</v>
      </c>
      <c r="K98" s="777">
        <f>SUM(K88:K97)</f>
        <v>20626</v>
      </c>
      <c r="L98" s="1006"/>
      <c r="M98" s="729"/>
      <c r="N98" s="729"/>
      <c r="O98" s="729"/>
      <c r="P98" s="729"/>
    </row>
    <row r="99" spans="1:16" s="714" customFormat="1" ht="24" customHeight="1">
      <c r="A99" s="969" t="s">
        <v>1317</v>
      </c>
      <c r="B99" s="1015" t="s">
        <v>1197</v>
      </c>
      <c r="C99" s="770"/>
      <c r="D99" s="771"/>
      <c r="E99" s="2376"/>
      <c r="F99" s="709"/>
      <c r="G99" s="932"/>
      <c r="H99" s="796"/>
      <c r="I99" s="2389"/>
      <c r="J99" s="796"/>
      <c r="K99" s="1014"/>
      <c r="L99" s="919"/>
      <c r="M99" s="729"/>
      <c r="N99" s="729"/>
      <c r="O99" s="729"/>
      <c r="P99" s="729"/>
    </row>
    <row r="100" spans="1:16" s="714" customFormat="1" ht="24" customHeight="1">
      <c r="A100" s="1016" t="s">
        <v>1051</v>
      </c>
      <c r="B100" s="1017" t="s">
        <v>1291</v>
      </c>
      <c r="C100" s="770"/>
      <c r="D100" s="771"/>
      <c r="E100" s="2376"/>
      <c r="F100" s="709"/>
      <c r="G100" s="932"/>
      <c r="H100" s="796"/>
      <c r="I100" s="2389"/>
      <c r="J100" s="796"/>
      <c r="K100" s="1014"/>
      <c r="L100" s="919"/>
      <c r="M100" s="729"/>
      <c r="N100" s="729"/>
      <c r="O100" s="729"/>
      <c r="P100" s="729"/>
    </row>
    <row r="101" spans="1:16" s="714" customFormat="1" ht="24" customHeight="1">
      <c r="A101" s="969"/>
      <c r="B101" s="972" t="s">
        <v>1384</v>
      </c>
      <c r="C101" s="717"/>
      <c r="D101" s="718"/>
      <c r="E101" s="1141">
        <v>1</v>
      </c>
      <c r="F101" s="722" t="s">
        <v>240</v>
      </c>
      <c r="G101" s="806">
        <f>72000+20280+5500</f>
        <v>97780</v>
      </c>
      <c r="H101" s="796">
        <f t="shared" ref="H101:H102" si="21">ROUND(E101*G101,)</f>
        <v>97780</v>
      </c>
      <c r="I101" s="1402">
        <f t="shared" ref="I101:I102" si="22">G101*0.05</f>
        <v>4889</v>
      </c>
      <c r="J101" s="796">
        <f t="shared" ref="J101:J102" si="23">ROUND(E101*I101,)</f>
        <v>4889</v>
      </c>
      <c r="K101" s="1014">
        <f t="shared" ref="K101:K102" si="24">H101+J101</f>
        <v>102669</v>
      </c>
      <c r="L101" s="919"/>
      <c r="M101" s="729"/>
      <c r="N101" s="729"/>
      <c r="O101" s="729"/>
      <c r="P101" s="729"/>
    </row>
    <row r="102" spans="1:16" s="714" customFormat="1" ht="24" customHeight="1">
      <c r="A102" s="969"/>
      <c r="B102" s="972" t="s">
        <v>1384</v>
      </c>
      <c r="C102" s="717"/>
      <c r="D102" s="718"/>
      <c r="E102" s="1141">
        <v>1</v>
      </c>
      <c r="F102" s="722" t="s">
        <v>240</v>
      </c>
      <c r="G102" s="806">
        <f>72000+20280+5500</f>
        <v>97780</v>
      </c>
      <c r="H102" s="796">
        <f t="shared" si="21"/>
        <v>97780</v>
      </c>
      <c r="I102" s="1402">
        <f t="shared" si="22"/>
        <v>4889</v>
      </c>
      <c r="J102" s="796">
        <f t="shared" si="23"/>
        <v>4889</v>
      </c>
      <c r="K102" s="1007">
        <f t="shared" si="24"/>
        <v>102669</v>
      </c>
      <c r="L102" s="919"/>
      <c r="M102" s="729"/>
      <c r="N102" s="729"/>
      <c r="O102" s="729"/>
      <c r="P102" s="729"/>
    </row>
    <row r="103" spans="1:16" s="714" customFormat="1" ht="24" customHeight="1">
      <c r="A103" s="1011"/>
      <c r="B103" s="972" t="s">
        <v>957</v>
      </c>
      <c r="C103" s="717"/>
      <c r="D103" s="718"/>
      <c r="E103" s="1141"/>
      <c r="F103" s="916"/>
      <c r="G103" s="806"/>
      <c r="H103" s="918"/>
      <c r="I103" s="1402"/>
      <c r="J103" s="918"/>
      <c r="K103" s="968"/>
      <c r="L103" s="919"/>
      <c r="M103" s="729"/>
      <c r="N103" s="729"/>
      <c r="O103" s="729"/>
      <c r="P103" s="729"/>
    </row>
    <row r="104" spans="1:16" s="714" customFormat="1" ht="24" customHeight="1">
      <c r="A104" s="1011"/>
      <c r="B104" s="972" t="s">
        <v>958</v>
      </c>
      <c r="C104" s="717"/>
      <c r="D104" s="718"/>
      <c r="E104" s="1141"/>
      <c r="F104" s="916"/>
      <c r="G104" s="806"/>
      <c r="H104" s="918"/>
      <c r="I104" s="1402"/>
      <c r="J104" s="918"/>
      <c r="K104" s="968"/>
      <c r="L104" s="919"/>
      <c r="M104" s="729"/>
      <c r="N104" s="729"/>
      <c r="O104" s="729"/>
      <c r="P104" s="729"/>
    </row>
    <row r="105" spans="1:16" s="714" customFormat="1" ht="24" customHeight="1">
      <c r="A105" s="1011"/>
      <c r="B105" s="972" t="s">
        <v>958</v>
      </c>
      <c r="C105" s="717"/>
      <c r="D105" s="718"/>
      <c r="E105" s="1141"/>
      <c r="F105" s="916"/>
      <c r="G105" s="806"/>
      <c r="H105" s="918"/>
      <c r="I105" s="1402"/>
      <c r="J105" s="918"/>
      <c r="K105" s="968"/>
      <c r="L105" s="919"/>
      <c r="M105" s="729"/>
      <c r="N105" s="729"/>
      <c r="O105" s="729"/>
      <c r="P105" s="729"/>
    </row>
    <row r="106" spans="1:16" s="714" customFormat="1" ht="24" customHeight="1">
      <c r="A106" s="775"/>
      <c r="B106" s="2475" t="str">
        <f>"รวมราคารายการที่ "&amp;A99</f>
        <v>รวมราคารายการที่ 3.7</v>
      </c>
      <c r="C106" s="2476"/>
      <c r="D106" s="2477"/>
      <c r="E106" s="2369"/>
      <c r="F106" s="777"/>
      <c r="G106" s="959"/>
      <c r="H106" s="960">
        <f>SUM(H99:H105)</f>
        <v>195560</v>
      </c>
      <c r="I106" s="959"/>
      <c r="J106" s="960">
        <f>SUM(J99:J105)</f>
        <v>9778</v>
      </c>
      <c r="K106" s="777">
        <f>SUM(K99:K105)</f>
        <v>205338</v>
      </c>
      <c r="L106" s="1006"/>
      <c r="M106" s="729"/>
      <c r="N106" s="729"/>
      <c r="O106" s="729"/>
      <c r="P106" s="729"/>
    </row>
    <row r="107" spans="1:16" s="714" customFormat="1" ht="24" customHeight="1">
      <c r="A107" s="911" t="s">
        <v>1339</v>
      </c>
      <c r="B107" s="816" t="s">
        <v>1294</v>
      </c>
      <c r="C107" s="770"/>
      <c r="D107" s="771"/>
      <c r="E107" s="2376"/>
      <c r="F107" s="709"/>
      <c r="G107" s="932"/>
      <c r="H107" s="796"/>
      <c r="I107" s="2389"/>
      <c r="J107" s="796"/>
      <c r="K107" s="1014"/>
      <c r="L107" s="919"/>
      <c r="M107" s="729"/>
      <c r="N107" s="729"/>
      <c r="O107" s="729"/>
      <c r="P107" s="729"/>
    </row>
    <row r="108" spans="1:16" s="714" customFormat="1" ht="24" customHeight="1">
      <c r="A108" s="861"/>
      <c r="B108" s="756" t="s">
        <v>1295</v>
      </c>
      <c r="C108" s="717"/>
      <c r="D108" s="718"/>
      <c r="E108" s="2377">
        <v>29</v>
      </c>
      <c r="F108" s="759" t="s">
        <v>240</v>
      </c>
      <c r="G108" s="752">
        <v>420</v>
      </c>
      <c r="H108" s="864">
        <f t="shared" ref="H108:H129" si="25">ROUND(E108*G108,)</f>
        <v>12180</v>
      </c>
      <c r="I108" s="1392">
        <v>115</v>
      </c>
      <c r="J108" s="864">
        <f t="shared" ref="J108:J129" si="26">ROUND(E108*I108,)</f>
        <v>3335</v>
      </c>
      <c r="K108" s="1007">
        <f t="shared" ref="K108:K129" si="27">H108+J108</f>
        <v>15515</v>
      </c>
      <c r="L108" s="973"/>
      <c r="M108" s="729"/>
      <c r="N108" s="729"/>
      <c r="O108" s="729"/>
      <c r="P108" s="729"/>
    </row>
    <row r="109" spans="1:16" s="714" customFormat="1" ht="24" customHeight="1">
      <c r="A109" s="861"/>
      <c r="B109" s="756" t="s">
        <v>1296</v>
      </c>
      <c r="C109" s="717"/>
      <c r="D109" s="718"/>
      <c r="E109" s="2377">
        <v>430</v>
      </c>
      <c r="F109" s="759" t="s">
        <v>240</v>
      </c>
      <c r="G109" s="752">
        <v>500</v>
      </c>
      <c r="H109" s="864">
        <f t="shared" si="25"/>
        <v>215000</v>
      </c>
      <c r="I109" s="1392">
        <v>115</v>
      </c>
      <c r="J109" s="864">
        <f t="shared" si="26"/>
        <v>49450</v>
      </c>
      <c r="K109" s="1007">
        <f t="shared" si="27"/>
        <v>264450</v>
      </c>
      <c r="L109" s="973"/>
      <c r="M109" s="729"/>
      <c r="N109" s="729"/>
      <c r="O109" s="729"/>
      <c r="P109" s="729"/>
    </row>
    <row r="110" spans="1:16" s="714" customFormat="1" ht="24" customHeight="1">
      <c r="A110" s="861"/>
      <c r="B110" s="756" t="s">
        <v>1297</v>
      </c>
      <c r="C110" s="717"/>
      <c r="D110" s="718"/>
      <c r="E110" s="2377">
        <v>70</v>
      </c>
      <c r="F110" s="759" t="s">
        <v>240</v>
      </c>
      <c r="G110" s="752">
        <v>550</v>
      </c>
      <c r="H110" s="864">
        <f t="shared" si="25"/>
        <v>38500</v>
      </c>
      <c r="I110" s="1392">
        <v>115</v>
      </c>
      <c r="J110" s="864">
        <f t="shared" si="26"/>
        <v>8050</v>
      </c>
      <c r="K110" s="1007">
        <f t="shared" si="27"/>
        <v>46550</v>
      </c>
      <c r="L110" s="973"/>
      <c r="M110" s="729"/>
      <c r="N110" s="729"/>
      <c r="O110" s="729"/>
      <c r="P110" s="729"/>
    </row>
    <row r="111" spans="1:16" s="714" customFormat="1" ht="24" customHeight="1">
      <c r="A111" s="861"/>
      <c r="B111" s="756" t="s">
        <v>1298</v>
      </c>
      <c r="C111" s="717"/>
      <c r="D111" s="718"/>
      <c r="E111" s="2377">
        <v>40</v>
      </c>
      <c r="F111" s="759" t="s">
        <v>240</v>
      </c>
      <c r="G111" s="752">
        <v>750</v>
      </c>
      <c r="H111" s="864">
        <f t="shared" si="25"/>
        <v>30000</v>
      </c>
      <c r="I111" s="1392">
        <v>135</v>
      </c>
      <c r="J111" s="864">
        <f t="shared" si="26"/>
        <v>5400</v>
      </c>
      <c r="K111" s="1007">
        <f t="shared" si="27"/>
        <v>35400</v>
      </c>
      <c r="L111" s="973"/>
      <c r="M111" s="729"/>
      <c r="N111" s="729"/>
      <c r="O111" s="729"/>
      <c r="P111" s="729"/>
    </row>
    <row r="112" spans="1:16" s="714" customFormat="1" ht="24" customHeight="1">
      <c r="A112" s="861"/>
      <c r="B112" s="756" t="s">
        <v>1299</v>
      </c>
      <c r="C112" s="717"/>
      <c r="D112" s="718"/>
      <c r="E112" s="2377"/>
      <c r="F112" s="759" t="s">
        <v>240</v>
      </c>
      <c r="G112" s="806">
        <v>2090</v>
      </c>
      <c r="H112" s="796">
        <f t="shared" si="25"/>
        <v>0</v>
      </c>
      <c r="I112" s="1402">
        <v>135</v>
      </c>
      <c r="J112" s="864">
        <f t="shared" si="26"/>
        <v>0</v>
      </c>
      <c r="K112" s="1007">
        <f t="shared" si="27"/>
        <v>0</v>
      </c>
      <c r="L112" s="973"/>
      <c r="M112" s="729"/>
      <c r="N112" s="729"/>
      <c r="O112" s="729"/>
      <c r="P112" s="729"/>
    </row>
    <row r="113" spans="1:16" s="714" customFormat="1" ht="24" customHeight="1">
      <c r="A113" s="861"/>
      <c r="B113" s="756" t="s">
        <v>1300</v>
      </c>
      <c r="C113" s="717"/>
      <c r="D113" s="718"/>
      <c r="E113" s="2377"/>
      <c r="F113" s="759" t="s">
        <v>240</v>
      </c>
      <c r="G113" s="806">
        <v>650</v>
      </c>
      <c r="H113" s="796">
        <f t="shared" si="25"/>
        <v>0</v>
      </c>
      <c r="I113" s="1402">
        <v>20</v>
      </c>
      <c r="J113" s="864">
        <f t="shared" si="26"/>
        <v>0</v>
      </c>
      <c r="K113" s="1007">
        <f t="shared" si="27"/>
        <v>0</v>
      </c>
      <c r="L113" s="973"/>
      <c r="M113" s="729"/>
      <c r="N113" s="729"/>
      <c r="O113" s="729"/>
      <c r="P113" s="729"/>
    </row>
    <row r="114" spans="1:16" s="714" customFormat="1" ht="24" customHeight="1">
      <c r="A114" s="861"/>
      <c r="B114" s="756" t="s">
        <v>1301</v>
      </c>
      <c r="C114" s="717"/>
      <c r="D114" s="718"/>
      <c r="E114" s="2377"/>
      <c r="F114" s="759" t="s">
        <v>240</v>
      </c>
      <c r="G114" s="806">
        <v>1200</v>
      </c>
      <c r="H114" s="796">
        <f t="shared" si="25"/>
        <v>0</v>
      </c>
      <c r="I114" s="1402">
        <v>135</v>
      </c>
      <c r="J114" s="864">
        <f t="shared" si="26"/>
        <v>0</v>
      </c>
      <c r="K114" s="1007">
        <f t="shared" si="27"/>
        <v>0</v>
      </c>
      <c r="L114" s="973"/>
      <c r="M114" s="729"/>
      <c r="N114" s="729"/>
      <c r="O114" s="729"/>
      <c r="P114" s="729"/>
    </row>
    <row r="115" spans="1:16" s="714" customFormat="1" ht="24" customHeight="1">
      <c r="A115" s="861"/>
      <c r="B115" s="756" t="s">
        <v>1302</v>
      </c>
      <c r="C115" s="717"/>
      <c r="D115" s="718"/>
      <c r="E115" s="2377"/>
      <c r="F115" s="759" t="s">
        <v>240</v>
      </c>
      <c r="G115" s="806">
        <v>1200</v>
      </c>
      <c r="H115" s="796">
        <f t="shared" si="25"/>
        <v>0</v>
      </c>
      <c r="I115" s="1402">
        <v>135</v>
      </c>
      <c r="J115" s="864">
        <f t="shared" si="26"/>
        <v>0</v>
      </c>
      <c r="K115" s="1007">
        <f t="shared" si="27"/>
        <v>0</v>
      </c>
      <c r="L115" s="973"/>
      <c r="M115" s="729"/>
      <c r="N115" s="729"/>
      <c r="O115" s="729"/>
      <c r="P115" s="729"/>
    </row>
    <row r="116" spans="1:16" s="714" customFormat="1" ht="24" customHeight="1">
      <c r="A116" s="861"/>
      <c r="B116" s="756" t="s">
        <v>1303</v>
      </c>
      <c r="C116" s="717"/>
      <c r="D116" s="718"/>
      <c r="E116" s="2377"/>
      <c r="F116" s="759" t="s">
        <v>240</v>
      </c>
      <c r="G116" s="806">
        <v>1200</v>
      </c>
      <c r="H116" s="796">
        <f t="shared" si="25"/>
        <v>0</v>
      </c>
      <c r="I116" s="1402">
        <v>135</v>
      </c>
      <c r="J116" s="864">
        <f t="shared" si="26"/>
        <v>0</v>
      </c>
      <c r="K116" s="1007">
        <f t="shared" si="27"/>
        <v>0</v>
      </c>
      <c r="L116" s="973"/>
      <c r="M116" s="729"/>
      <c r="N116" s="729"/>
      <c r="O116" s="729"/>
      <c r="P116" s="729"/>
    </row>
    <row r="117" spans="1:16" s="714" customFormat="1" ht="24" customHeight="1">
      <c r="A117" s="861"/>
      <c r="B117" s="756" t="s">
        <v>1304</v>
      </c>
      <c r="C117" s="717"/>
      <c r="D117" s="718"/>
      <c r="E117" s="2377"/>
      <c r="F117" s="759" t="s">
        <v>240</v>
      </c>
      <c r="G117" s="806">
        <v>1200</v>
      </c>
      <c r="H117" s="796">
        <f t="shared" si="25"/>
        <v>0</v>
      </c>
      <c r="I117" s="1402">
        <v>135</v>
      </c>
      <c r="J117" s="864">
        <f t="shared" si="26"/>
        <v>0</v>
      </c>
      <c r="K117" s="1007">
        <f t="shared" si="27"/>
        <v>0</v>
      </c>
      <c r="L117" s="973"/>
      <c r="M117" s="729"/>
      <c r="N117" s="729"/>
      <c r="O117" s="729"/>
      <c r="P117" s="729"/>
    </row>
    <row r="118" spans="1:16" s="714" customFormat="1" ht="24" customHeight="1">
      <c r="A118" s="861"/>
      <c r="B118" s="756" t="s">
        <v>1305</v>
      </c>
      <c r="C118" s="717"/>
      <c r="D118" s="718"/>
      <c r="E118" s="2377">
        <v>10</v>
      </c>
      <c r="F118" s="759" t="s">
        <v>240</v>
      </c>
      <c r="G118" s="806">
        <v>1200</v>
      </c>
      <c r="H118" s="796">
        <f t="shared" si="25"/>
        <v>12000</v>
      </c>
      <c r="I118" s="1402">
        <v>135</v>
      </c>
      <c r="J118" s="864">
        <f t="shared" si="26"/>
        <v>1350</v>
      </c>
      <c r="K118" s="1007">
        <f t="shared" si="27"/>
        <v>13350</v>
      </c>
      <c r="L118" s="973"/>
      <c r="M118" s="729"/>
      <c r="N118" s="729"/>
      <c r="O118" s="729"/>
      <c r="P118" s="729"/>
    </row>
    <row r="119" spans="1:16" s="714" customFormat="1" ht="24" customHeight="1">
      <c r="A119" s="861"/>
      <c r="B119" s="756" t="s">
        <v>1306</v>
      </c>
      <c r="C119" s="717"/>
      <c r="D119" s="718"/>
      <c r="E119" s="2377"/>
      <c r="F119" s="759" t="s">
        <v>240</v>
      </c>
      <c r="G119" s="806">
        <v>1860</v>
      </c>
      <c r="H119" s="796">
        <f t="shared" si="25"/>
        <v>0</v>
      </c>
      <c r="I119" s="1402">
        <v>135</v>
      </c>
      <c r="J119" s="796">
        <f t="shared" si="26"/>
        <v>0</v>
      </c>
      <c r="K119" s="1007">
        <f t="shared" si="27"/>
        <v>0</v>
      </c>
      <c r="L119" s="973"/>
      <c r="M119" s="729"/>
      <c r="N119" s="729"/>
      <c r="O119" s="729"/>
      <c r="P119" s="729"/>
    </row>
    <row r="120" spans="1:16" s="714" customFormat="1" ht="24" customHeight="1">
      <c r="A120" s="861"/>
      <c r="B120" s="800" t="s">
        <v>1307</v>
      </c>
      <c r="C120" s="717"/>
      <c r="D120" s="718"/>
      <c r="E120" s="2377"/>
      <c r="F120" s="803" t="s">
        <v>240</v>
      </c>
      <c r="G120" s="806">
        <v>1860</v>
      </c>
      <c r="H120" s="796">
        <f t="shared" si="25"/>
        <v>0</v>
      </c>
      <c r="I120" s="1402">
        <v>135</v>
      </c>
      <c r="J120" s="796">
        <f t="shared" si="26"/>
        <v>0</v>
      </c>
      <c r="K120" s="1014">
        <f t="shared" si="27"/>
        <v>0</v>
      </c>
      <c r="L120" s="973"/>
      <c r="M120" s="729"/>
      <c r="N120" s="729"/>
      <c r="O120" s="729"/>
      <c r="P120" s="729"/>
    </row>
    <row r="121" spans="1:16" s="714" customFormat="1" ht="24" customHeight="1">
      <c r="A121" s="861"/>
      <c r="B121" s="800" t="s">
        <v>1308</v>
      </c>
      <c r="C121" s="717"/>
      <c r="D121" s="718"/>
      <c r="E121" s="2377"/>
      <c r="F121" s="803" t="s">
        <v>240</v>
      </c>
      <c r="G121" s="806">
        <v>1250</v>
      </c>
      <c r="H121" s="796">
        <f t="shared" si="25"/>
        <v>0</v>
      </c>
      <c r="I121" s="1402">
        <v>135</v>
      </c>
      <c r="J121" s="864">
        <f t="shared" si="26"/>
        <v>0</v>
      </c>
      <c r="K121" s="1014">
        <f t="shared" si="27"/>
        <v>0</v>
      </c>
      <c r="L121" s="973"/>
      <c r="M121" s="729"/>
      <c r="N121" s="729"/>
      <c r="O121" s="729"/>
      <c r="P121" s="729"/>
    </row>
    <row r="122" spans="1:16" s="714" customFormat="1" ht="24" customHeight="1">
      <c r="A122" s="861"/>
      <c r="B122" s="800" t="s">
        <v>1309</v>
      </c>
      <c r="C122" s="717"/>
      <c r="D122" s="718"/>
      <c r="E122" s="2377"/>
      <c r="F122" s="803" t="s">
        <v>240</v>
      </c>
      <c r="G122" s="806">
        <v>1860</v>
      </c>
      <c r="H122" s="796">
        <f t="shared" si="25"/>
        <v>0</v>
      </c>
      <c r="I122" s="1402">
        <v>135</v>
      </c>
      <c r="J122" s="796">
        <f t="shared" si="26"/>
        <v>0</v>
      </c>
      <c r="K122" s="1014">
        <f t="shared" si="27"/>
        <v>0</v>
      </c>
      <c r="L122" s="973"/>
      <c r="M122" s="729"/>
      <c r="N122" s="729"/>
      <c r="O122" s="729"/>
      <c r="P122" s="729"/>
    </row>
    <row r="123" spans="1:16" s="714" customFormat="1" ht="24" customHeight="1">
      <c r="A123" s="861"/>
      <c r="B123" s="800" t="s">
        <v>1310</v>
      </c>
      <c r="C123" s="717"/>
      <c r="D123" s="718"/>
      <c r="E123" s="2377"/>
      <c r="F123" s="803" t="s">
        <v>240</v>
      </c>
      <c r="G123" s="806">
        <v>1200</v>
      </c>
      <c r="H123" s="796">
        <f t="shared" si="25"/>
        <v>0</v>
      </c>
      <c r="I123" s="1402">
        <v>135</v>
      </c>
      <c r="J123" s="864">
        <f t="shared" si="26"/>
        <v>0</v>
      </c>
      <c r="K123" s="1014">
        <f t="shared" si="27"/>
        <v>0</v>
      </c>
      <c r="L123" s="973"/>
      <c r="M123" s="729"/>
      <c r="N123" s="729"/>
      <c r="O123" s="729"/>
      <c r="P123" s="729"/>
    </row>
    <row r="124" spans="1:16" s="714" customFormat="1" ht="24" customHeight="1">
      <c r="A124" s="861"/>
      <c r="B124" s="800" t="s">
        <v>1311</v>
      </c>
      <c r="C124" s="717"/>
      <c r="D124" s="718"/>
      <c r="E124" s="2377"/>
      <c r="F124" s="803" t="s">
        <v>240</v>
      </c>
      <c r="G124" s="806">
        <v>1200</v>
      </c>
      <c r="H124" s="796">
        <f t="shared" si="25"/>
        <v>0</v>
      </c>
      <c r="I124" s="1402">
        <v>135</v>
      </c>
      <c r="J124" s="864">
        <f t="shared" si="26"/>
        <v>0</v>
      </c>
      <c r="K124" s="1014">
        <f t="shared" si="27"/>
        <v>0</v>
      </c>
      <c r="L124" s="973"/>
      <c r="M124" s="729"/>
      <c r="N124" s="729"/>
      <c r="O124" s="729"/>
      <c r="P124" s="729"/>
    </row>
    <row r="125" spans="1:16" s="714" customFormat="1" ht="24" customHeight="1">
      <c r="A125" s="861"/>
      <c r="B125" s="800" t="s">
        <v>1312</v>
      </c>
      <c r="C125" s="757"/>
      <c r="D125" s="758"/>
      <c r="E125" s="2377">
        <v>28</v>
      </c>
      <c r="F125" s="803" t="s">
        <v>240</v>
      </c>
      <c r="G125" s="752">
        <v>1830</v>
      </c>
      <c r="H125" s="864">
        <f t="shared" si="25"/>
        <v>51240</v>
      </c>
      <c r="I125" s="1392">
        <v>500</v>
      </c>
      <c r="J125" s="864">
        <f t="shared" si="26"/>
        <v>14000</v>
      </c>
      <c r="K125" s="1014">
        <f t="shared" si="27"/>
        <v>65240</v>
      </c>
      <c r="L125" s="973"/>
      <c r="M125" s="729"/>
      <c r="N125" s="729"/>
      <c r="O125" s="729"/>
      <c r="P125" s="729"/>
    </row>
    <row r="126" spans="1:16" s="714" customFormat="1" ht="24" customHeight="1">
      <c r="A126" s="861"/>
      <c r="B126" s="756" t="s">
        <v>1313</v>
      </c>
      <c r="C126" s="974"/>
      <c r="D126" s="2385"/>
      <c r="E126" s="2377">
        <v>7</v>
      </c>
      <c r="F126" s="759" t="s">
        <v>240</v>
      </c>
      <c r="G126" s="766">
        <v>1620</v>
      </c>
      <c r="H126" s="864">
        <f t="shared" si="25"/>
        <v>11340</v>
      </c>
      <c r="I126" s="1398">
        <v>500</v>
      </c>
      <c r="J126" s="864">
        <f t="shared" si="26"/>
        <v>3500</v>
      </c>
      <c r="K126" s="1007">
        <f t="shared" si="27"/>
        <v>14840</v>
      </c>
      <c r="L126" s="973"/>
      <c r="M126" s="729"/>
      <c r="N126" s="729"/>
      <c r="O126" s="729"/>
      <c r="P126" s="729"/>
    </row>
    <row r="127" spans="1:16" s="714" customFormat="1" ht="24" customHeight="1">
      <c r="A127" s="861"/>
      <c r="B127" s="756" t="s">
        <v>1314</v>
      </c>
      <c r="C127" s="757"/>
      <c r="D127" s="758"/>
      <c r="E127" s="2377">
        <v>45</v>
      </c>
      <c r="F127" s="759" t="s">
        <v>240</v>
      </c>
      <c r="G127" s="752">
        <v>920</v>
      </c>
      <c r="H127" s="864">
        <f t="shared" si="25"/>
        <v>41400</v>
      </c>
      <c r="I127" s="1392">
        <v>250</v>
      </c>
      <c r="J127" s="864">
        <f t="shared" si="26"/>
        <v>11250</v>
      </c>
      <c r="K127" s="1007">
        <f t="shared" si="27"/>
        <v>52650</v>
      </c>
      <c r="L127" s="973"/>
      <c r="M127" s="729"/>
      <c r="N127" s="729"/>
      <c r="O127" s="729"/>
      <c r="P127" s="729"/>
    </row>
    <row r="128" spans="1:16" s="714" customFormat="1" ht="24" customHeight="1">
      <c r="A128" s="861"/>
      <c r="B128" s="756" t="s">
        <v>1315</v>
      </c>
      <c r="C128" s="757"/>
      <c r="D128" s="758"/>
      <c r="E128" s="2377">
        <v>2</v>
      </c>
      <c r="F128" s="759" t="s">
        <v>240</v>
      </c>
      <c r="G128" s="752">
        <v>2180</v>
      </c>
      <c r="H128" s="864">
        <f t="shared" si="25"/>
        <v>4360</v>
      </c>
      <c r="I128" s="1392">
        <v>500</v>
      </c>
      <c r="J128" s="864">
        <f t="shared" si="26"/>
        <v>1000</v>
      </c>
      <c r="K128" s="1007">
        <f t="shared" si="27"/>
        <v>5360</v>
      </c>
      <c r="L128" s="973"/>
      <c r="M128" s="729"/>
      <c r="N128" s="729"/>
      <c r="O128" s="729"/>
      <c r="P128" s="729"/>
    </row>
    <row r="129" spans="1:16" s="714" customFormat="1" ht="24" customHeight="1">
      <c r="A129" s="861"/>
      <c r="B129" s="705" t="s">
        <v>1316</v>
      </c>
      <c r="C129" s="717"/>
      <c r="D129" s="718"/>
      <c r="E129" s="2377">
        <v>1</v>
      </c>
      <c r="F129" s="759" t="s">
        <v>948</v>
      </c>
      <c r="G129" s="752">
        <f>SUM(H107:H127)*5%</f>
        <v>20583</v>
      </c>
      <c r="H129" s="864">
        <f t="shared" si="25"/>
        <v>20583</v>
      </c>
      <c r="I129" s="849">
        <f>ROUND(G129*0.3,)</f>
        <v>6175</v>
      </c>
      <c r="J129" s="864">
        <f t="shared" si="26"/>
        <v>6175</v>
      </c>
      <c r="K129" s="1007">
        <f t="shared" si="27"/>
        <v>26758</v>
      </c>
      <c r="L129" s="973"/>
      <c r="M129" s="729"/>
      <c r="N129" s="729"/>
      <c r="O129" s="729"/>
      <c r="P129" s="729"/>
    </row>
    <row r="130" spans="1:16" s="714" customFormat="1" ht="24" customHeight="1">
      <c r="A130" s="775"/>
      <c r="B130" s="2475" t="str">
        <f>"รวมราคารายการที่ "&amp;A107</f>
        <v>รวมราคารายการที่ 3.8</v>
      </c>
      <c r="C130" s="2476"/>
      <c r="D130" s="2477"/>
      <c r="E130" s="2369"/>
      <c r="F130" s="777"/>
      <c r="G130" s="959"/>
      <c r="H130" s="960">
        <f>SUM(H107:H129)</f>
        <v>436603</v>
      </c>
      <c r="I130" s="959"/>
      <c r="J130" s="960">
        <f>SUM(J107:J129)</f>
        <v>103510</v>
      </c>
      <c r="K130" s="777">
        <f>SUM(K107:K129)</f>
        <v>540113</v>
      </c>
      <c r="L130" s="1006"/>
      <c r="M130" s="729"/>
      <c r="N130" s="729"/>
      <c r="O130" s="729"/>
      <c r="P130" s="729"/>
    </row>
    <row r="131" spans="1:16" s="714" customFormat="1" ht="24" customHeight="1">
      <c r="A131" s="911" t="s">
        <v>1134</v>
      </c>
      <c r="B131" s="816" t="s">
        <v>1225</v>
      </c>
      <c r="C131" s="770"/>
      <c r="D131" s="771"/>
      <c r="E131" s="2376"/>
      <c r="F131" s="931"/>
      <c r="G131" s="932"/>
      <c r="H131" s="933"/>
      <c r="I131" s="2389"/>
      <c r="J131" s="933"/>
      <c r="K131" s="1013"/>
      <c r="L131" s="935"/>
      <c r="M131" s="729"/>
      <c r="N131" s="729"/>
      <c r="O131" s="729"/>
      <c r="P131" s="729"/>
    </row>
    <row r="132" spans="1:16" s="714" customFormat="1" ht="24" customHeight="1">
      <c r="A132" s="856" t="s">
        <v>1136</v>
      </c>
      <c r="B132" s="705" t="s">
        <v>1318</v>
      </c>
      <c r="C132" s="717"/>
      <c r="D132" s="718"/>
      <c r="E132" s="1141">
        <v>2</v>
      </c>
      <c r="F132" s="709" t="s">
        <v>240</v>
      </c>
      <c r="G132" s="806">
        <f>30000+13500</f>
        <v>43500</v>
      </c>
      <c r="H132" s="796">
        <f t="shared" ref="H132:H163" si="28">ROUND(E132*G132,)</f>
        <v>87000</v>
      </c>
      <c r="I132" s="1402">
        <f>G132*0.1</f>
        <v>4350</v>
      </c>
      <c r="J132" s="796">
        <f t="shared" ref="J132:J163" si="29">ROUND(E132*I132,)</f>
        <v>8700</v>
      </c>
      <c r="K132" s="1007">
        <f t="shared" ref="K132:K163" si="30">H132+J132</f>
        <v>95700</v>
      </c>
      <c r="L132" s="919"/>
      <c r="M132" s="729"/>
      <c r="N132" s="729"/>
      <c r="O132" s="729"/>
      <c r="P132" s="729"/>
    </row>
    <row r="133" spans="1:16" s="714" customFormat="1" ht="24" customHeight="1">
      <c r="A133" s="856" t="s">
        <v>1144</v>
      </c>
      <c r="B133" s="705" t="s">
        <v>1319</v>
      </c>
      <c r="C133" s="717"/>
      <c r="D133" s="718"/>
      <c r="E133" s="1141">
        <v>6</v>
      </c>
      <c r="F133" s="709" t="s">
        <v>240</v>
      </c>
      <c r="G133" s="806">
        <v>1850</v>
      </c>
      <c r="H133" s="796">
        <f t="shared" si="28"/>
        <v>11100</v>
      </c>
      <c r="I133" s="1402">
        <v>250</v>
      </c>
      <c r="J133" s="796">
        <f t="shared" si="29"/>
        <v>1500</v>
      </c>
      <c r="K133" s="1007">
        <f t="shared" si="30"/>
        <v>12600</v>
      </c>
      <c r="L133" s="919"/>
      <c r="M133" s="729"/>
      <c r="N133" s="729"/>
      <c r="O133" s="729"/>
      <c r="P133" s="729"/>
    </row>
    <row r="134" spans="1:16" s="714" customFormat="1" ht="24" customHeight="1">
      <c r="A134" s="856" t="s">
        <v>1146</v>
      </c>
      <c r="B134" s="705" t="s">
        <v>1320</v>
      </c>
      <c r="C134" s="717"/>
      <c r="D134" s="718"/>
      <c r="E134" s="1141">
        <v>6</v>
      </c>
      <c r="F134" s="709" t="s">
        <v>240</v>
      </c>
      <c r="G134" s="806">
        <v>1850</v>
      </c>
      <c r="H134" s="796">
        <f t="shared" si="28"/>
        <v>11100</v>
      </c>
      <c r="I134" s="1402">
        <v>250</v>
      </c>
      <c r="J134" s="796">
        <f t="shared" si="29"/>
        <v>1500</v>
      </c>
      <c r="K134" s="1007">
        <f t="shared" si="30"/>
        <v>12600</v>
      </c>
      <c r="L134" s="919"/>
      <c r="M134" s="729"/>
      <c r="N134" s="729"/>
      <c r="O134" s="729"/>
      <c r="P134" s="729"/>
    </row>
    <row r="135" spans="1:16" s="714" customFormat="1" ht="24" customHeight="1">
      <c r="A135" s="856" t="s">
        <v>1156</v>
      </c>
      <c r="B135" s="705" t="s">
        <v>1321</v>
      </c>
      <c r="C135" s="717"/>
      <c r="D135" s="718"/>
      <c r="E135" s="1141">
        <v>6</v>
      </c>
      <c r="F135" s="709" t="s">
        <v>240</v>
      </c>
      <c r="G135" s="806">
        <v>1850</v>
      </c>
      <c r="H135" s="796">
        <f t="shared" si="28"/>
        <v>11100</v>
      </c>
      <c r="I135" s="1402">
        <v>250</v>
      </c>
      <c r="J135" s="796">
        <f t="shared" si="29"/>
        <v>1500</v>
      </c>
      <c r="K135" s="1007">
        <f t="shared" si="30"/>
        <v>12600</v>
      </c>
      <c r="L135" s="919"/>
      <c r="M135" s="729"/>
      <c r="N135" s="729"/>
      <c r="O135" s="729"/>
      <c r="P135" s="729"/>
    </row>
    <row r="136" spans="1:16" s="714" customFormat="1" ht="24" customHeight="1">
      <c r="A136" s="856" t="s">
        <v>1429</v>
      </c>
      <c r="B136" s="705" t="s">
        <v>1322</v>
      </c>
      <c r="C136" s="717"/>
      <c r="D136" s="718"/>
      <c r="E136" s="1141">
        <v>6</v>
      </c>
      <c r="F136" s="709" t="s">
        <v>240</v>
      </c>
      <c r="G136" s="806">
        <v>1850</v>
      </c>
      <c r="H136" s="796">
        <f t="shared" si="28"/>
        <v>11100</v>
      </c>
      <c r="I136" s="1402">
        <v>250</v>
      </c>
      <c r="J136" s="796">
        <f t="shared" si="29"/>
        <v>1500</v>
      </c>
      <c r="K136" s="1007">
        <f t="shared" si="30"/>
        <v>12600</v>
      </c>
      <c r="L136" s="919"/>
      <c r="M136" s="729"/>
      <c r="N136" s="729"/>
      <c r="O136" s="729"/>
      <c r="P136" s="729"/>
    </row>
    <row r="137" spans="1:16" s="714" customFormat="1" ht="24" customHeight="1">
      <c r="A137" s="856" t="s">
        <v>1486</v>
      </c>
      <c r="B137" s="705" t="s">
        <v>1323</v>
      </c>
      <c r="C137" s="717"/>
      <c r="D137" s="718"/>
      <c r="E137" s="1141"/>
      <c r="F137" s="709" t="s">
        <v>240</v>
      </c>
      <c r="G137" s="806">
        <v>1850</v>
      </c>
      <c r="H137" s="796">
        <f t="shared" si="28"/>
        <v>0</v>
      </c>
      <c r="I137" s="1402">
        <v>250</v>
      </c>
      <c r="J137" s="796">
        <f t="shared" si="29"/>
        <v>0</v>
      </c>
      <c r="K137" s="1007">
        <f t="shared" si="30"/>
        <v>0</v>
      </c>
      <c r="L137" s="919"/>
      <c r="M137" s="729"/>
      <c r="N137" s="729"/>
      <c r="O137" s="729"/>
      <c r="P137" s="729"/>
    </row>
    <row r="138" spans="1:16" s="714" customFormat="1" ht="24" customHeight="1">
      <c r="A138" s="856" t="s">
        <v>1432</v>
      </c>
      <c r="B138" s="720" t="s">
        <v>1324</v>
      </c>
      <c r="C138" s="717"/>
      <c r="D138" s="718"/>
      <c r="E138" s="1141">
        <v>2</v>
      </c>
      <c r="F138" s="722" t="s">
        <v>240</v>
      </c>
      <c r="G138" s="806">
        <v>2750</v>
      </c>
      <c r="H138" s="796">
        <f t="shared" si="28"/>
        <v>5500</v>
      </c>
      <c r="I138" s="1402">
        <v>250</v>
      </c>
      <c r="J138" s="796">
        <f t="shared" si="29"/>
        <v>500</v>
      </c>
      <c r="K138" s="1014">
        <f t="shared" si="30"/>
        <v>6000</v>
      </c>
      <c r="L138" s="919"/>
      <c r="M138" s="729"/>
      <c r="N138" s="729"/>
      <c r="O138" s="729"/>
      <c r="P138" s="729"/>
    </row>
    <row r="139" spans="1:16" s="714" customFormat="1" ht="24" customHeight="1">
      <c r="A139" s="856" t="s">
        <v>1433</v>
      </c>
      <c r="B139" s="720" t="s">
        <v>1325</v>
      </c>
      <c r="C139" s="717"/>
      <c r="D139" s="718"/>
      <c r="E139" s="1141">
        <v>2</v>
      </c>
      <c r="F139" s="722" t="s">
        <v>240</v>
      </c>
      <c r="G139" s="806">
        <v>2750</v>
      </c>
      <c r="H139" s="796">
        <f t="shared" si="28"/>
        <v>5500</v>
      </c>
      <c r="I139" s="1402">
        <v>250</v>
      </c>
      <c r="J139" s="796">
        <f t="shared" si="29"/>
        <v>500</v>
      </c>
      <c r="K139" s="1014">
        <f t="shared" si="30"/>
        <v>6000</v>
      </c>
      <c r="L139" s="919"/>
      <c r="M139" s="729"/>
      <c r="N139" s="729"/>
      <c r="O139" s="729"/>
      <c r="P139" s="729"/>
    </row>
    <row r="140" spans="1:16" s="714" customFormat="1" ht="24" customHeight="1">
      <c r="A140" s="856" t="s">
        <v>3070</v>
      </c>
      <c r="B140" s="720" t="s">
        <v>1326</v>
      </c>
      <c r="C140" s="717"/>
      <c r="D140" s="718"/>
      <c r="E140" s="1141">
        <v>2</v>
      </c>
      <c r="F140" s="722" t="s">
        <v>240</v>
      </c>
      <c r="G140" s="806">
        <v>2750</v>
      </c>
      <c r="H140" s="796">
        <f t="shared" si="28"/>
        <v>5500</v>
      </c>
      <c r="I140" s="1402">
        <v>250</v>
      </c>
      <c r="J140" s="796">
        <f t="shared" si="29"/>
        <v>500</v>
      </c>
      <c r="K140" s="1014">
        <f t="shared" si="30"/>
        <v>6000</v>
      </c>
      <c r="L140" s="919"/>
      <c r="M140" s="729"/>
      <c r="N140" s="729"/>
      <c r="O140" s="729"/>
      <c r="P140" s="729"/>
    </row>
    <row r="141" spans="1:16" s="714" customFormat="1" ht="24" customHeight="1">
      <c r="A141" s="856" t="s">
        <v>3071</v>
      </c>
      <c r="B141" s="720" t="s">
        <v>1327</v>
      </c>
      <c r="C141" s="717"/>
      <c r="D141" s="718"/>
      <c r="E141" s="1141">
        <v>2</v>
      </c>
      <c r="F141" s="722" t="s">
        <v>240</v>
      </c>
      <c r="G141" s="806">
        <v>2750</v>
      </c>
      <c r="H141" s="796">
        <f t="shared" si="28"/>
        <v>5500</v>
      </c>
      <c r="I141" s="1402">
        <v>250</v>
      </c>
      <c r="J141" s="796">
        <f t="shared" si="29"/>
        <v>500</v>
      </c>
      <c r="K141" s="1014">
        <f t="shared" si="30"/>
        <v>6000</v>
      </c>
      <c r="L141" s="919"/>
      <c r="M141" s="729"/>
      <c r="N141" s="729"/>
      <c r="O141" s="729"/>
      <c r="P141" s="729"/>
    </row>
    <row r="142" spans="1:16" s="714" customFormat="1" ht="24" customHeight="1">
      <c r="A142" s="856" t="s">
        <v>3072</v>
      </c>
      <c r="B142" s="720" t="s">
        <v>1328</v>
      </c>
      <c r="C142" s="717"/>
      <c r="D142" s="718"/>
      <c r="E142" s="1141">
        <v>2</v>
      </c>
      <c r="F142" s="722" t="s">
        <v>240</v>
      </c>
      <c r="G142" s="806">
        <v>2750</v>
      </c>
      <c r="H142" s="796">
        <f t="shared" si="28"/>
        <v>5500</v>
      </c>
      <c r="I142" s="1402">
        <v>250</v>
      </c>
      <c r="J142" s="796">
        <f t="shared" si="29"/>
        <v>500</v>
      </c>
      <c r="K142" s="1014">
        <f t="shared" si="30"/>
        <v>6000</v>
      </c>
      <c r="L142" s="919"/>
      <c r="M142" s="729"/>
      <c r="N142" s="729"/>
      <c r="O142" s="729"/>
      <c r="P142" s="729"/>
    </row>
    <row r="143" spans="1:16" s="714" customFormat="1" ht="24" customHeight="1">
      <c r="A143" s="856" t="s">
        <v>3073</v>
      </c>
      <c r="B143" s="720" t="s">
        <v>1329</v>
      </c>
      <c r="C143" s="717"/>
      <c r="D143" s="718"/>
      <c r="E143" s="1141">
        <v>4</v>
      </c>
      <c r="F143" s="722" t="s">
        <v>240</v>
      </c>
      <c r="G143" s="806">
        <v>2750</v>
      </c>
      <c r="H143" s="796">
        <f t="shared" si="28"/>
        <v>11000</v>
      </c>
      <c r="I143" s="1402">
        <v>250</v>
      </c>
      <c r="J143" s="796">
        <f t="shared" si="29"/>
        <v>1000</v>
      </c>
      <c r="K143" s="1014">
        <f t="shared" si="30"/>
        <v>12000</v>
      </c>
      <c r="L143" s="919"/>
      <c r="M143" s="729"/>
      <c r="N143" s="729"/>
      <c r="O143" s="729"/>
      <c r="P143" s="729"/>
    </row>
    <row r="144" spans="1:16" s="714" customFormat="1" ht="24" customHeight="1">
      <c r="A144" s="856" t="s">
        <v>3074</v>
      </c>
      <c r="B144" s="720" t="s">
        <v>1330</v>
      </c>
      <c r="C144" s="717"/>
      <c r="D144" s="718"/>
      <c r="E144" s="1141">
        <v>4</v>
      </c>
      <c r="F144" s="722" t="s">
        <v>240</v>
      </c>
      <c r="G144" s="806">
        <v>2250</v>
      </c>
      <c r="H144" s="796">
        <f t="shared" si="28"/>
        <v>9000</v>
      </c>
      <c r="I144" s="1402">
        <v>250</v>
      </c>
      <c r="J144" s="796">
        <f t="shared" si="29"/>
        <v>1000</v>
      </c>
      <c r="K144" s="1014">
        <f t="shared" si="30"/>
        <v>10000</v>
      </c>
      <c r="L144" s="919"/>
      <c r="M144" s="729"/>
      <c r="N144" s="729"/>
      <c r="O144" s="729"/>
      <c r="P144" s="729"/>
    </row>
    <row r="145" spans="1:16" s="714" customFormat="1" ht="24" customHeight="1">
      <c r="A145" s="856" t="s">
        <v>3076</v>
      </c>
      <c r="B145" s="720" t="s">
        <v>1331</v>
      </c>
      <c r="C145" s="717"/>
      <c r="D145" s="718"/>
      <c r="E145" s="1141">
        <v>24</v>
      </c>
      <c r="F145" s="722" t="s">
        <v>240</v>
      </c>
      <c r="G145" s="806">
        <f>3300+300</f>
        <v>3600</v>
      </c>
      <c r="H145" s="796">
        <f t="shared" si="28"/>
        <v>86400</v>
      </c>
      <c r="I145" s="1402">
        <v>200</v>
      </c>
      <c r="J145" s="796">
        <f t="shared" si="29"/>
        <v>4800</v>
      </c>
      <c r="K145" s="1014">
        <f t="shared" si="30"/>
        <v>91200</v>
      </c>
      <c r="L145" s="919"/>
      <c r="M145" s="729"/>
      <c r="N145" s="729"/>
      <c r="O145" s="729"/>
      <c r="P145" s="729"/>
    </row>
    <row r="146" spans="1:16" s="714" customFormat="1" ht="24" customHeight="1">
      <c r="A146" s="856" t="s">
        <v>3077</v>
      </c>
      <c r="B146" s="705" t="s">
        <v>1332</v>
      </c>
      <c r="C146" s="717"/>
      <c r="D146" s="718"/>
      <c r="E146" s="1141">
        <v>6</v>
      </c>
      <c r="F146" s="709" t="s">
        <v>240</v>
      </c>
      <c r="G146" s="806">
        <v>5000</v>
      </c>
      <c r="H146" s="796">
        <f t="shared" si="28"/>
        <v>30000</v>
      </c>
      <c r="I146" s="1402">
        <v>500</v>
      </c>
      <c r="J146" s="796">
        <f t="shared" si="29"/>
        <v>3000</v>
      </c>
      <c r="K146" s="1007">
        <f t="shared" si="30"/>
        <v>33000</v>
      </c>
      <c r="L146" s="919"/>
      <c r="M146" s="729"/>
      <c r="N146" s="729"/>
      <c r="O146" s="729"/>
      <c r="P146" s="729"/>
    </row>
    <row r="147" spans="1:16" s="714" customFormat="1" ht="24" customHeight="1">
      <c r="A147" s="856" t="s">
        <v>3078</v>
      </c>
      <c r="B147" s="705" t="s">
        <v>1333</v>
      </c>
      <c r="C147" s="717"/>
      <c r="D147" s="718"/>
      <c r="E147" s="1141">
        <v>8</v>
      </c>
      <c r="F147" s="709" t="s">
        <v>240</v>
      </c>
      <c r="G147" s="806">
        <v>350</v>
      </c>
      <c r="H147" s="796">
        <f t="shared" si="28"/>
        <v>2800</v>
      </c>
      <c r="I147" s="1402">
        <v>200</v>
      </c>
      <c r="J147" s="796">
        <f t="shared" si="29"/>
        <v>1600</v>
      </c>
      <c r="K147" s="1007">
        <f t="shared" si="30"/>
        <v>4400</v>
      </c>
      <c r="L147" s="919"/>
      <c r="M147" s="729"/>
      <c r="N147" s="729"/>
      <c r="O147" s="729"/>
      <c r="P147" s="729"/>
    </row>
    <row r="148" spans="1:16" s="714" customFormat="1" ht="24" customHeight="1">
      <c r="A148" s="856" t="s">
        <v>3079</v>
      </c>
      <c r="B148" s="705" t="s">
        <v>1334</v>
      </c>
      <c r="C148" s="717"/>
      <c r="D148" s="718"/>
      <c r="E148" s="1141">
        <v>6</v>
      </c>
      <c r="F148" s="709" t="s">
        <v>240</v>
      </c>
      <c r="G148" s="806">
        <v>2200</v>
      </c>
      <c r="H148" s="796">
        <f t="shared" si="28"/>
        <v>13200</v>
      </c>
      <c r="I148" s="1402">
        <v>200</v>
      </c>
      <c r="J148" s="796">
        <f t="shared" si="29"/>
        <v>1200</v>
      </c>
      <c r="K148" s="1007">
        <f t="shared" si="30"/>
        <v>14400</v>
      </c>
      <c r="L148" s="919"/>
      <c r="M148" s="729"/>
      <c r="N148" s="729"/>
      <c r="O148" s="729"/>
      <c r="P148" s="729"/>
    </row>
    <row r="149" spans="1:16" s="714" customFormat="1" ht="24" customHeight="1">
      <c r="A149" s="856" t="s">
        <v>3080</v>
      </c>
      <c r="B149" s="705" t="s">
        <v>1335</v>
      </c>
      <c r="C149" s="717"/>
      <c r="D149" s="718"/>
      <c r="E149" s="1141">
        <v>18</v>
      </c>
      <c r="F149" s="709" t="s">
        <v>240</v>
      </c>
      <c r="G149" s="806">
        <v>4200</v>
      </c>
      <c r="H149" s="796">
        <f t="shared" si="28"/>
        <v>75600</v>
      </c>
      <c r="I149" s="1402">
        <v>200</v>
      </c>
      <c r="J149" s="796">
        <f t="shared" si="29"/>
        <v>3600</v>
      </c>
      <c r="K149" s="1007">
        <f t="shared" si="30"/>
        <v>79200</v>
      </c>
      <c r="L149" s="919"/>
      <c r="M149" s="729"/>
      <c r="N149" s="729"/>
      <c r="O149" s="729"/>
      <c r="P149" s="729"/>
    </row>
    <row r="150" spans="1:16" s="714" customFormat="1" ht="24" customHeight="1">
      <c r="A150" s="856" t="s">
        <v>3081</v>
      </c>
      <c r="B150" s="705" t="s">
        <v>1336</v>
      </c>
      <c r="C150" s="717"/>
      <c r="D150" s="718"/>
      <c r="E150" s="1141">
        <v>2</v>
      </c>
      <c r="F150" s="709" t="s">
        <v>240</v>
      </c>
      <c r="G150" s="806">
        <v>5000</v>
      </c>
      <c r="H150" s="796">
        <f t="shared" si="28"/>
        <v>10000</v>
      </c>
      <c r="I150" s="1402">
        <v>500</v>
      </c>
      <c r="J150" s="796">
        <f t="shared" si="29"/>
        <v>1000</v>
      </c>
      <c r="K150" s="1007">
        <f t="shared" si="30"/>
        <v>11000</v>
      </c>
      <c r="L150" s="919"/>
      <c r="M150" s="729"/>
      <c r="N150" s="729"/>
      <c r="O150" s="729"/>
      <c r="P150" s="729"/>
    </row>
    <row r="151" spans="1:16" s="714" customFormat="1" ht="24" customHeight="1">
      <c r="A151" s="856" t="s">
        <v>3082</v>
      </c>
      <c r="B151" s="705" t="s">
        <v>1159</v>
      </c>
      <c r="C151" s="717"/>
      <c r="D151" s="718"/>
      <c r="E151" s="1141"/>
      <c r="F151" s="916"/>
      <c r="G151" s="806"/>
      <c r="H151" s="796">
        <f t="shared" si="28"/>
        <v>0</v>
      </c>
      <c r="I151" s="1402"/>
      <c r="J151" s="796">
        <f t="shared" si="29"/>
        <v>0</v>
      </c>
      <c r="K151" s="1007">
        <f t="shared" si="30"/>
        <v>0</v>
      </c>
      <c r="L151" s="919"/>
      <c r="M151" s="729"/>
      <c r="N151" s="729"/>
      <c r="O151" s="729"/>
      <c r="P151" s="729"/>
    </row>
    <row r="152" spans="1:16" s="714" customFormat="1" ht="24" customHeight="1">
      <c r="A152" s="831"/>
      <c r="B152" s="705" t="s">
        <v>1337</v>
      </c>
      <c r="C152" s="717"/>
      <c r="D152" s="718"/>
      <c r="E152" s="1141">
        <v>1441</v>
      </c>
      <c r="F152" s="794" t="s">
        <v>438</v>
      </c>
      <c r="G152" s="806">
        <v>82</v>
      </c>
      <c r="H152" s="796">
        <f t="shared" si="28"/>
        <v>118162</v>
      </c>
      <c r="I152" s="1402">
        <v>12</v>
      </c>
      <c r="J152" s="796">
        <f t="shared" si="29"/>
        <v>17292</v>
      </c>
      <c r="K152" s="1007">
        <f t="shared" si="30"/>
        <v>135454</v>
      </c>
      <c r="L152" s="919"/>
      <c r="M152" s="729"/>
      <c r="N152" s="729"/>
      <c r="O152" s="729"/>
      <c r="P152" s="729"/>
    </row>
    <row r="153" spans="1:16" s="714" customFormat="1" ht="24" customHeight="1">
      <c r="A153" s="831"/>
      <c r="B153" s="720" t="s">
        <v>2920</v>
      </c>
      <c r="C153" s="717"/>
      <c r="D153" s="718"/>
      <c r="E153" s="1141">
        <v>436</v>
      </c>
      <c r="F153" s="794" t="s">
        <v>438</v>
      </c>
      <c r="G153" s="806">
        <v>6</v>
      </c>
      <c r="H153" s="796">
        <f t="shared" si="28"/>
        <v>2616</v>
      </c>
      <c r="I153" s="1402">
        <v>6</v>
      </c>
      <c r="J153" s="796">
        <f t="shared" si="29"/>
        <v>2616</v>
      </c>
      <c r="K153" s="1007">
        <f t="shared" si="30"/>
        <v>5232</v>
      </c>
      <c r="L153" s="919"/>
      <c r="M153" s="729"/>
      <c r="N153" s="729"/>
      <c r="O153" s="729"/>
      <c r="P153" s="729"/>
    </row>
    <row r="154" spans="1:16" s="714" customFormat="1" ht="24" customHeight="1">
      <c r="A154" s="831"/>
      <c r="B154" s="720" t="s">
        <v>2921</v>
      </c>
      <c r="C154" s="717"/>
      <c r="D154" s="718"/>
      <c r="E154" s="1141">
        <v>622</v>
      </c>
      <c r="F154" s="794" t="s">
        <v>438</v>
      </c>
      <c r="G154" s="806">
        <v>18</v>
      </c>
      <c r="H154" s="796">
        <f t="shared" si="28"/>
        <v>11196</v>
      </c>
      <c r="I154" s="1402">
        <v>8</v>
      </c>
      <c r="J154" s="796">
        <f t="shared" si="29"/>
        <v>4976</v>
      </c>
      <c r="K154" s="1007">
        <f t="shared" si="30"/>
        <v>16172</v>
      </c>
      <c r="L154" s="919"/>
      <c r="M154" s="729"/>
      <c r="N154" s="729"/>
      <c r="O154" s="729"/>
      <c r="P154" s="729"/>
    </row>
    <row r="155" spans="1:16" s="714" customFormat="1" ht="24" customHeight="1">
      <c r="A155" s="831"/>
      <c r="B155" s="705" t="s">
        <v>1338</v>
      </c>
      <c r="C155" s="717"/>
      <c r="D155" s="718"/>
      <c r="E155" s="1141">
        <v>1</v>
      </c>
      <c r="F155" s="916" t="s">
        <v>948</v>
      </c>
      <c r="G155" s="806">
        <f>ROUND(SUM(H152:H154)*5%,)</f>
        <v>6599</v>
      </c>
      <c r="H155" s="796">
        <f t="shared" si="28"/>
        <v>6599</v>
      </c>
      <c r="I155" s="849">
        <f>ROUND(G155*0.3,)</f>
        <v>1980</v>
      </c>
      <c r="J155" s="796">
        <f t="shared" si="29"/>
        <v>1980</v>
      </c>
      <c r="K155" s="1007">
        <f t="shared" si="30"/>
        <v>8579</v>
      </c>
      <c r="L155" s="919"/>
      <c r="M155" s="729"/>
      <c r="N155" s="729"/>
      <c r="O155" s="729"/>
      <c r="P155" s="729"/>
    </row>
    <row r="156" spans="1:16" s="714" customFormat="1" ht="24" customHeight="1">
      <c r="A156" s="856" t="s">
        <v>3082</v>
      </c>
      <c r="B156" s="720" t="s">
        <v>1357</v>
      </c>
      <c r="C156" s="717"/>
      <c r="D156" s="718"/>
      <c r="E156" s="2377"/>
      <c r="F156" s="916"/>
      <c r="G156" s="806"/>
      <c r="H156" s="796"/>
      <c r="I156" s="1402"/>
      <c r="J156" s="796"/>
      <c r="K156" s="1014"/>
      <c r="L156" s="919"/>
      <c r="M156" s="729"/>
      <c r="N156" s="729"/>
      <c r="O156" s="729"/>
      <c r="P156" s="729"/>
    </row>
    <row r="157" spans="1:16" s="714" customFormat="1" ht="24" customHeight="1">
      <c r="A157" s="831"/>
      <c r="B157" s="720" t="s">
        <v>1201</v>
      </c>
      <c r="C157" s="717"/>
      <c r="D157" s="718"/>
      <c r="E157" s="1141">
        <v>218</v>
      </c>
      <c r="F157" s="794" t="s">
        <v>438</v>
      </c>
      <c r="G157" s="806">
        <v>27</v>
      </c>
      <c r="H157" s="796">
        <f t="shared" ref="H157:H158" si="31">ROUND(E157*G157,)</f>
        <v>5886</v>
      </c>
      <c r="I157" s="1402">
        <v>22</v>
      </c>
      <c r="J157" s="796">
        <f t="shared" ref="J157:J158" si="32">ROUND(E157*I157,)</f>
        <v>4796</v>
      </c>
      <c r="K157" s="1030">
        <f t="shared" ref="K157:K158" si="33">H157+J157</f>
        <v>10682</v>
      </c>
      <c r="L157" s="2394" t="s">
        <v>2974</v>
      </c>
      <c r="M157" s="729"/>
      <c r="P157" s="729"/>
    </row>
    <row r="158" spans="1:16" s="714" customFormat="1" ht="24" customHeight="1">
      <c r="A158" s="831"/>
      <c r="B158" s="720" t="s">
        <v>1237</v>
      </c>
      <c r="C158" s="717"/>
      <c r="D158" s="718"/>
      <c r="E158" s="1141">
        <v>1</v>
      </c>
      <c r="F158" s="916" t="s">
        <v>948</v>
      </c>
      <c r="G158" s="806">
        <f>ROUND(SUM(H157:H157)*15%,)</f>
        <v>883</v>
      </c>
      <c r="H158" s="796">
        <f t="shared" si="31"/>
        <v>883</v>
      </c>
      <c r="I158" s="1402">
        <f>ROUND(G158*0.3,)</f>
        <v>265</v>
      </c>
      <c r="J158" s="796">
        <f t="shared" si="32"/>
        <v>265</v>
      </c>
      <c r="K158" s="1014">
        <f t="shared" si="33"/>
        <v>1148</v>
      </c>
      <c r="L158" s="919"/>
      <c r="M158" s="729"/>
      <c r="N158" s="729"/>
      <c r="O158" s="729"/>
      <c r="P158" s="729"/>
    </row>
    <row r="159" spans="1:16" s="714" customFormat="1" ht="24" customHeight="1">
      <c r="A159" s="856" t="s">
        <v>3084</v>
      </c>
      <c r="B159" s="705" t="s">
        <v>950</v>
      </c>
      <c r="C159" s="717"/>
      <c r="D159" s="718"/>
      <c r="E159" s="1141"/>
      <c r="F159" s="916"/>
      <c r="G159" s="806"/>
      <c r="H159" s="796">
        <f t="shared" si="28"/>
        <v>0</v>
      </c>
      <c r="I159" s="1402"/>
      <c r="J159" s="796">
        <f t="shared" si="29"/>
        <v>0</v>
      </c>
      <c r="K159" s="1007">
        <f t="shared" si="30"/>
        <v>0</v>
      </c>
      <c r="L159" s="919"/>
      <c r="M159" s="729"/>
      <c r="N159" s="729"/>
      <c r="O159" s="729"/>
      <c r="P159" s="729"/>
    </row>
    <row r="160" spans="1:16" s="714" customFormat="1" ht="24" customHeight="1">
      <c r="A160" s="831"/>
      <c r="B160" s="720" t="s">
        <v>1184</v>
      </c>
      <c r="C160" s="717"/>
      <c r="D160" s="718"/>
      <c r="E160" s="1141">
        <v>2063</v>
      </c>
      <c r="F160" s="794" t="s">
        <v>438</v>
      </c>
      <c r="G160" s="806">
        <v>75</v>
      </c>
      <c r="H160" s="796">
        <f t="shared" si="28"/>
        <v>154725</v>
      </c>
      <c r="I160" s="1402">
        <v>29</v>
      </c>
      <c r="J160" s="796">
        <f t="shared" si="29"/>
        <v>59827</v>
      </c>
      <c r="K160" s="1007">
        <f t="shared" si="30"/>
        <v>214552</v>
      </c>
      <c r="L160" s="2394" t="s">
        <v>2974</v>
      </c>
      <c r="M160" s="729"/>
      <c r="P160" s="729"/>
    </row>
    <row r="161" spans="1:16" s="714" customFormat="1" ht="24" customHeight="1">
      <c r="A161" s="831"/>
      <c r="B161" s="705" t="s">
        <v>952</v>
      </c>
      <c r="C161" s="717"/>
      <c r="D161" s="718"/>
      <c r="E161" s="1141">
        <v>1</v>
      </c>
      <c r="F161" s="916" t="s">
        <v>948</v>
      </c>
      <c r="G161" s="806">
        <f>ROUND(SUM(H160:H160)*15%,)</f>
        <v>23209</v>
      </c>
      <c r="H161" s="796">
        <f t="shared" si="28"/>
        <v>23209</v>
      </c>
      <c r="I161" s="849">
        <f>ROUND(G161*0.3,)</f>
        <v>6963</v>
      </c>
      <c r="J161" s="796">
        <f t="shared" si="29"/>
        <v>6963</v>
      </c>
      <c r="K161" s="1007">
        <f t="shared" si="30"/>
        <v>30172</v>
      </c>
      <c r="L161" s="919"/>
      <c r="M161" s="729"/>
      <c r="N161" s="729"/>
      <c r="O161" s="729"/>
      <c r="P161" s="729"/>
    </row>
    <row r="162" spans="1:16" s="714" customFormat="1" ht="24" customHeight="1">
      <c r="A162" s="856" t="s">
        <v>3087</v>
      </c>
      <c r="B162" s="769" t="s">
        <v>1281</v>
      </c>
      <c r="C162" s="770"/>
      <c r="D162" s="771"/>
      <c r="E162" s="1141"/>
      <c r="F162" s="931"/>
      <c r="G162" s="932"/>
      <c r="H162" s="796">
        <f t="shared" si="28"/>
        <v>0</v>
      </c>
      <c r="I162" s="2389"/>
      <c r="J162" s="796">
        <f t="shared" si="29"/>
        <v>0</v>
      </c>
      <c r="K162" s="1007">
        <f t="shared" si="30"/>
        <v>0</v>
      </c>
      <c r="L162" s="935"/>
      <c r="M162" s="729"/>
      <c r="N162" s="729"/>
      <c r="O162" s="729"/>
      <c r="P162" s="729"/>
    </row>
    <row r="163" spans="1:16" s="714" customFormat="1" ht="24" customHeight="1">
      <c r="A163" s="831"/>
      <c r="B163" s="705" t="s">
        <v>1201</v>
      </c>
      <c r="C163" s="717"/>
      <c r="D163" s="718"/>
      <c r="E163" s="1141">
        <v>24</v>
      </c>
      <c r="F163" s="794" t="s">
        <v>438</v>
      </c>
      <c r="G163" s="806">
        <v>14</v>
      </c>
      <c r="H163" s="796">
        <f t="shared" si="28"/>
        <v>336</v>
      </c>
      <c r="I163" s="1402">
        <v>11</v>
      </c>
      <c r="J163" s="796">
        <f t="shared" si="29"/>
        <v>264</v>
      </c>
      <c r="K163" s="1007">
        <f t="shared" si="30"/>
        <v>600</v>
      </c>
      <c r="L163" s="919"/>
      <c r="M163" s="729"/>
      <c r="N163" s="729"/>
      <c r="O163" s="729"/>
      <c r="P163" s="729"/>
    </row>
    <row r="164" spans="1:16" s="714" customFormat="1" ht="24" customHeight="1">
      <c r="A164" s="831"/>
      <c r="B164" s="705" t="s">
        <v>957</v>
      </c>
      <c r="C164" s="717"/>
      <c r="D164" s="718"/>
      <c r="E164" s="1141"/>
      <c r="F164" s="916"/>
      <c r="G164" s="806"/>
      <c r="H164" s="918"/>
      <c r="I164" s="1402"/>
      <c r="J164" s="918"/>
      <c r="K164" s="968"/>
      <c r="L164" s="919"/>
      <c r="M164" s="729"/>
      <c r="N164" s="729"/>
      <c r="O164" s="729"/>
      <c r="P164" s="729"/>
    </row>
    <row r="165" spans="1:16" s="714" customFormat="1" ht="24" customHeight="1">
      <c r="A165" s="831"/>
      <c r="B165" s="705" t="s">
        <v>958</v>
      </c>
      <c r="C165" s="717"/>
      <c r="D165" s="718"/>
      <c r="E165" s="1141"/>
      <c r="F165" s="916"/>
      <c r="G165" s="806"/>
      <c r="H165" s="918"/>
      <c r="I165" s="1402"/>
      <c r="J165" s="918"/>
      <c r="K165" s="968"/>
      <c r="L165" s="919"/>
      <c r="M165" s="729"/>
      <c r="N165" s="729"/>
      <c r="O165" s="729"/>
      <c r="P165" s="729"/>
    </row>
    <row r="166" spans="1:16" s="714" customFormat="1" ht="24" customHeight="1">
      <c r="A166" s="775"/>
      <c r="B166" s="2475" t="str">
        <f>"รวมราคารายการที่ "&amp;A131</f>
        <v>รวมราคารายการที่ 3.9</v>
      </c>
      <c r="C166" s="2476"/>
      <c r="D166" s="2477"/>
      <c r="E166" s="2369"/>
      <c r="F166" s="777"/>
      <c r="G166" s="959"/>
      <c r="H166" s="960">
        <f>SUM(H132:H165)</f>
        <v>720512</v>
      </c>
      <c r="I166" s="959"/>
      <c r="J166" s="960">
        <f>SUM(J132:J165)</f>
        <v>133379</v>
      </c>
      <c r="K166" s="777">
        <f>SUM(K132:K165)</f>
        <v>853891</v>
      </c>
      <c r="L166" s="1006"/>
      <c r="M166" s="729"/>
      <c r="N166" s="729"/>
      <c r="O166" s="729"/>
      <c r="P166" s="729"/>
    </row>
    <row r="167" spans="1:16" s="714" customFormat="1" ht="24" customHeight="1">
      <c r="A167" s="911" t="s">
        <v>1158</v>
      </c>
      <c r="B167" s="816" t="s">
        <v>1257</v>
      </c>
      <c r="C167" s="770"/>
      <c r="D167" s="771"/>
      <c r="E167" s="2376"/>
      <c r="F167" s="939"/>
      <c r="G167" s="932"/>
      <c r="H167" s="933"/>
      <c r="I167" s="2389"/>
      <c r="J167" s="933"/>
      <c r="K167" s="1013"/>
      <c r="L167" s="935"/>
      <c r="M167" s="729"/>
      <c r="N167" s="729"/>
      <c r="O167" s="729"/>
      <c r="P167" s="729"/>
    </row>
    <row r="168" spans="1:16" s="714" customFormat="1" ht="24" customHeight="1">
      <c r="A168" s="976" t="s">
        <v>1160</v>
      </c>
      <c r="B168" s="756" t="s">
        <v>1341</v>
      </c>
      <c r="C168" s="757"/>
      <c r="D168" s="758"/>
      <c r="E168" s="2377">
        <v>2</v>
      </c>
      <c r="F168" s="759" t="s">
        <v>240</v>
      </c>
      <c r="G168" s="752">
        <v>900</v>
      </c>
      <c r="H168" s="864">
        <f t="shared" ref="H168:H180" si="34">ROUND(G168*E168,)</f>
        <v>1800</v>
      </c>
      <c r="I168" s="1392">
        <v>140</v>
      </c>
      <c r="J168" s="864">
        <f t="shared" ref="J168:J180" si="35">ROUND(E168*I168,)</f>
        <v>280</v>
      </c>
      <c r="K168" s="1007">
        <f t="shared" ref="K168:K180" si="36">H168+J168</f>
        <v>2080</v>
      </c>
      <c r="L168" s="919"/>
      <c r="M168" s="729"/>
      <c r="N168" s="729"/>
      <c r="O168" s="729"/>
      <c r="P168" s="729"/>
    </row>
    <row r="169" spans="1:16" s="714" customFormat="1" ht="24" customHeight="1">
      <c r="A169" s="976" t="s">
        <v>1362</v>
      </c>
      <c r="B169" s="756" t="s">
        <v>1342</v>
      </c>
      <c r="C169" s="757"/>
      <c r="D169" s="758"/>
      <c r="E169" s="2377">
        <v>12</v>
      </c>
      <c r="F169" s="759" t="s">
        <v>240</v>
      </c>
      <c r="G169" s="752">
        <v>5700</v>
      </c>
      <c r="H169" s="864">
        <f t="shared" si="34"/>
        <v>68400</v>
      </c>
      <c r="I169" s="1392">
        <v>140</v>
      </c>
      <c r="J169" s="864">
        <f t="shared" si="35"/>
        <v>1680</v>
      </c>
      <c r="K169" s="1007">
        <f t="shared" si="36"/>
        <v>70080</v>
      </c>
      <c r="L169" s="919"/>
      <c r="M169" s="729"/>
      <c r="N169" s="729"/>
      <c r="O169" s="729"/>
      <c r="P169" s="729"/>
    </row>
    <row r="170" spans="1:16" s="714" customFormat="1" ht="24" customHeight="1">
      <c r="A170" s="976" t="s">
        <v>1366</v>
      </c>
      <c r="B170" s="756" t="s">
        <v>1343</v>
      </c>
      <c r="C170" s="757"/>
      <c r="D170" s="758"/>
      <c r="E170" s="2377">
        <v>2</v>
      </c>
      <c r="F170" s="759" t="s">
        <v>240</v>
      </c>
      <c r="G170" s="752">
        <v>3800</v>
      </c>
      <c r="H170" s="864">
        <f t="shared" si="34"/>
        <v>7600</v>
      </c>
      <c r="I170" s="1392">
        <v>200</v>
      </c>
      <c r="J170" s="864">
        <f t="shared" si="35"/>
        <v>400</v>
      </c>
      <c r="K170" s="1007">
        <f t="shared" si="36"/>
        <v>8000</v>
      </c>
      <c r="L170" s="919"/>
      <c r="M170" s="729"/>
      <c r="N170" s="729"/>
      <c r="O170" s="729"/>
      <c r="P170" s="729"/>
    </row>
    <row r="171" spans="1:16" s="714" customFormat="1" ht="24" customHeight="1">
      <c r="A171" s="976" t="s">
        <v>3024</v>
      </c>
      <c r="B171" s="756" t="s">
        <v>1344</v>
      </c>
      <c r="C171" s="757"/>
      <c r="D171" s="758"/>
      <c r="E171" s="2377">
        <v>2</v>
      </c>
      <c r="F171" s="759" t="s">
        <v>240</v>
      </c>
      <c r="G171" s="752">
        <v>5000</v>
      </c>
      <c r="H171" s="864">
        <f t="shared" si="34"/>
        <v>10000</v>
      </c>
      <c r="I171" s="1392">
        <f>G171*0.1</f>
        <v>500</v>
      </c>
      <c r="J171" s="864">
        <f t="shared" si="35"/>
        <v>1000</v>
      </c>
      <c r="K171" s="1007">
        <f t="shared" si="36"/>
        <v>11000</v>
      </c>
      <c r="L171" s="919"/>
      <c r="M171" s="729"/>
      <c r="N171" s="729"/>
      <c r="O171" s="729"/>
      <c r="P171" s="729"/>
    </row>
    <row r="172" spans="1:16" s="714" customFormat="1" ht="24" customHeight="1">
      <c r="A172" s="976" t="s">
        <v>1369</v>
      </c>
      <c r="B172" s="1018" t="s">
        <v>1159</v>
      </c>
      <c r="C172" s="943"/>
      <c r="D172" s="2386"/>
      <c r="E172" s="2377"/>
      <c r="F172" s="978"/>
      <c r="G172" s="774"/>
      <c r="H172" s="864">
        <f t="shared" si="34"/>
        <v>0</v>
      </c>
      <c r="I172" s="1400"/>
      <c r="J172" s="864">
        <f t="shared" si="35"/>
        <v>0</v>
      </c>
      <c r="K172" s="1007">
        <f t="shared" si="36"/>
        <v>0</v>
      </c>
      <c r="L172" s="935"/>
      <c r="M172" s="729"/>
      <c r="N172" s="729"/>
      <c r="O172" s="729"/>
      <c r="P172" s="729"/>
    </row>
    <row r="173" spans="1:16" s="714" customFormat="1" ht="24" customHeight="1">
      <c r="A173" s="861"/>
      <c r="B173" s="756" t="s">
        <v>1345</v>
      </c>
      <c r="C173" s="757"/>
      <c r="D173" s="758"/>
      <c r="E173" s="2377">
        <v>737</v>
      </c>
      <c r="F173" s="867" t="s">
        <v>438</v>
      </c>
      <c r="G173" s="752">
        <v>24</v>
      </c>
      <c r="H173" s="864">
        <f t="shared" si="34"/>
        <v>17688</v>
      </c>
      <c r="I173" s="1392">
        <v>10</v>
      </c>
      <c r="J173" s="864">
        <f t="shared" si="35"/>
        <v>7370</v>
      </c>
      <c r="K173" s="1007">
        <f t="shared" si="36"/>
        <v>25058</v>
      </c>
      <c r="L173" s="919"/>
      <c r="M173" s="729"/>
      <c r="N173" s="729"/>
      <c r="O173" s="729"/>
      <c r="P173" s="729"/>
    </row>
    <row r="174" spans="1:16" s="714" customFormat="1" ht="24" customHeight="1">
      <c r="A174" s="861"/>
      <c r="B174" s="756" t="s">
        <v>1346</v>
      </c>
      <c r="C174" s="757"/>
      <c r="D174" s="758"/>
      <c r="E174" s="2377">
        <v>14</v>
      </c>
      <c r="F174" s="867" t="s">
        <v>438</v>
      </c>
      <c r="G174" s="752">
        <v>31</v>
      </c>
      <c r="H174" s="864">
        <f t="shared" si="34"/>
        <v>434</v>
      </c>
      <c r="I174" s="1392">
        <v>10</v>
      </c>
      <c r="J174" s="864">
        <f t="shared" si="35"/>
        <v>140</v>
      </c>
      <c r="K174" s="1007">
        <f t="shared" si="36"/>
        <v>574</v>
      </c>
      <c r="L174" s="919"/>
      <c r="M174" s="729"/>
      <c r="N174" s="729"/>
      <c r="O174" s="729"/>
      <c r="P174" s="729"/>
    </row>
    <row r="175" spans="1:16" s="714" customFormat="1" ht="24" customHeight="1">
      <c r="A175" s="861"/>
      <c r="B175" s="756" t="s">
        <v>1338</v>
      </c>
      <c r="C175" s="757"/>
      <c r="D175" s="758"/>
      <c r="E175" s="2377">
        <v>1</v>
      </c>
      <c r="F175" s="948" t="s">
        <v>948</v>
      </c>
      <c r="G175" s="752">
        <f>SUM(H173:H174)*5%</f>
        <v>906.1</v>
      </c>
      <c r="H175" s="864">
        <f t="shared" ref="H175" si="37">ROUND(E175*G175,)</f>
        <v>906</v>
      </c>
      <c r="I175" s="849">
        <f>ROUND(G175*0.3,)</f>
        <v>272</v>
      </c>
      <c r="J175" s="864">
        <f t="shared" si="35"/>
        <v>272</v>
      </c>
      <c r="K175" s="1007">
        <f t="shared" si="36"/>
        <v>1178</v>
      </c>
      <c r="L175" s="919"/>
      <c r="M175" s="729"/>
      <c r="N175" s="729"/>
      <c r="O175" s="729"/>
      <c r="P175" s="729"/>
    </row>
    <row r="176" spans="1:16" s="714" customFormat="1" ht="24" customHeight="1">
      <c r="A176" s="976" t="s">
        <v>3085</v>
      </c>
      <c r="B176" s="756" t="s">
        <v>950</v>
      </c>
      <c r="C176" s="757"/>
      <c r="D176" s="758"/>
      <c r="E176" s="2377"/>
      <c r="F176" s="948"/>
      <c r="G176" s="752"/>
      <c r="H176" s="864">
        <f t="shared" si="34"/>
        <v>0</v>
      </c>
      <c r="I176" s="1392"/>
      <c r="J176" s="864">
        <f t="shared" si="35"/>
        <v>0</v>
      </c>
      <c r="K176" s="1007">
        <f t="shared" si="36"/>
        <v>0</v>
      </c>
      <c r="L176" s="919"/>
      <c r="M176" s="729"/>
      <c r="N176" s="729"/>
      <c r="O176" s="729"/>
      <c r="P176" s="729"/>
    </row>
    <row r="177" spans="1:21" s="714" customFormat="1" ht="24" customHeight="1">
      <c r="A177" s="861"/>
      <c r="B177" s="800" t="s">
        <v>1201</v>
      </c>
      <c r="C177" s="757"/>
      <c r="D177" s="758"/>
      <c r="E177" s="2377">
        <v>751</v>
      </c>
      <c r="F177" s="867" t="s">
        <v>438</v>
      </c>
      <c r="G177" s="752">
        <v>56</v>
      </c>
      <c r="H177" s="864">
        <f t="shared" si="34"/>
        <v>42056</v>
      </c>
      <c r="I177" s="1392">
        <v>29</v>
      </c>
      <c r="J177" s="864">
        <f t="shared" si="35"/>
        <v>21779</v>
      </c>
      <c r="K177" s="1014">
        <f t="shared" si="36"/>
        <v>63835</v>
      </c>
      <c r="L177" s="2394" t="s">
        <v>2974</v>
      </c>
      <c r="M177" s="729"/>
      <c r="P177" s="729"/>
    </row>
    <row r="178" spans="1:21" s="714" customFormat="1" ht="24" customHeight="1">
      <c r="A178" s="861"/>
      <c r="B178" s="800" t="s">
        <v>1237</v>
      </c>
      <c r="C178" s="757"/>
      <c r="D178" s="758"/>
      <c r="E178" s="2377">
        <v>1</v>
      </c>
      <c r="F178" s="977" t="s">
        <v>948</v>
      </c>
      <c r="G178" s="752">
        <f>ROUND(SUM(H177:H177)*15%,)</f>
        <v>6308</v>
      </c>
      <c r="H178" s="864">
        <f t="shared" si="34"/>
        <v>6308</v>
      </c>
      <c r="I178" s="849">
        <f>ROUND(G178*0.3,)</f>
        <v>1892</v>
      </c>
      <c r="J178" s="864">
        <f t="shared" si="35"/>
        <v>1892</v>
      </c>
      <c r="K178" s="1014">
        <f t="shared" si="36"/>
        <v>8200</v>
      </c>
      <c r="L178" s="919"/>
      <c r="M178" s="729"/>
      <c r="N178" s="729"/>
      <c r="O178" s="729"/>
      <c r="P178" s="729"/>
    </row>
    <row r="179" spans="1:21" s="714" customFormat="1" ht="24" customHeight="1">
      <c r="A179" s="976" t="s">
        <v>3086</v>
      </c>
      <c r="B179" s="800" t="s">
        <v>1281</v>
      </c>
      <c r="C179" s="757"/>
      <c r="D179" s="758"/>
      <c r="E179" s="2377"/>
      <c r="F179" s="948"/>
      <c r="G179" s="752"/>
      <c r="H179" s="864">
        <f t="shared" si="34"/>
        <v>0</v>
      </c>
      <c r="I179" s="1392"/>
      <c r="J179" s="864">
        <f t="shared" si="35"/>
        <v>0</v>
      </c>
      <c r="K179" s="1014">
        <f t="shared" si="36"/>
        <v>0</v>
      </c>
      <c r="L179" s="919"/>
      <c r="M179" s="729"/>
      <c r="N179" s="729"/>
      <c r="O179" s="729"/>
      <c r="P179" s="729"/>
    </row>
    <row r="180" spans="1:21" s="714" customFormat="1" ht="24" customHeight="1">
      <c r="A180" s="861"/>
      <c r="B180" s="800" t="s">
        <v>1201</v>
      </c>
      <c r="C180" s="757"/>
      <c r="D180" s="758"/>
      <c r="E180" s="2377">
        <v>5</v>
      </c>
      <c r="F180" s="867" t="s">
        <v>438</v>
      </c>
      <c r="G180" s="752">
        <v>14</v>
      </c>
      <c r="H180" s="864">
        <f t="shared" si="34"/>
        <v>70</v>
      </c>
      <c r="I180" s="1392">
        <v>11</v>
      </c>
      <c r="J180" s="864">
        <f t="shared" si="35"/>
        <v>55</v>
      </c>
      <c r="K180" s="1014">
        <f t="shared" si="36"/>
        <v>125</v>
      </c>
      <c r="L180" s="919"/>
      <c r="M180" s="729"/>
      <c r="N180" s="729"/>
      <c r="O180" s="729"/>
      <c r="P180" s="729"/>
    </row>
    <row r="181" spans="1:21" s="714" customFormat="1" ht="24" customHeight="1">
      <c r="A181" s="831"/>
      <c r="B181" s="705" t="s">
        <v>957</v>
      </c>
      <c r="C181" s="717"/>
      <c r="D181" s="718"/>
      <c r="E181" s="1141"/>
      <c r="F181" s="916"/>
      <c r="G181" s="806"/>
      <c r="H181" s="918"/>
      <c r="I181" s="1402"/>
      <c r="J181" s="918"/>
      <c r="K181" s="968"/>
      <c r="L181" s="919"/>
      <c r="M181" s="729"/>
      <c r="N181" s="729"/>
      <c r="O181" s="729"/>
      <c r="P181" s="729"/>
    </row>
    <row r="182" spans="1:21" s="714" customFormat="1" ht="24" customHeight="1">
      <c r="A182" s="775"/>
      <c r="B182" s="2475" t="str">
        <f>"รวมราคารายการที่ "&amp;A167</f>
        <v>รวมราคารายการที่ 3.10</v>
      </c>
      <c r="C182" s="2476"/>
      <c r="D182" s="2477"/>
      <c r="E182" s="2369"/>
      <c r="F182" s="777"/>
      <c r="G182" s="959"/>
      <c r="H182" s="960">
        <f>SUM(H168:H181)</f>
        <v>155262</v>
      </c>
      <c r="I182" s="959"/>
      <c r="J182" s="960">
        <f t="shared" ref="J182:K182" si="38">SUM(J168:J181)</f>
        <v>34868</v>
      </c>
      <c r="K182" s="777">
        <f t="shared" si="38"/>
        <v>190130</v>
      </c>
      <c r="L182" s="1006"/>
      <c r="M182" s="729"/>
      <c r="N182" s="729"/>
      <c r="O182" s="729"/>
      <c r="P182" s="729"/>
    </row>
    <row r="183" spans="1:21" s="714" customFormat="1" ht="24" customHeight="1">
      <c r="A183" s="911" t="s">
        <v>1180</v>
      </c>
      <c r="B183" s="816" t="s">
        <v>1347</v>
      </c>
      <c r="C183" s="770"/>
      <c r="D183" s="771"/>
      <c r="E183" s="2376"/>
      <c r="F183" s="931"/>
      <c r="G183" s="932"/>
      <c r="H183" s="933"/>
      <c r="I183" s="2389"/>
      <c r="J183" s="933"/>
      <c r="K183" s="1013"/>
      <c r="L183" s="935"/>
      <c r="M183" s="729"/>
      <c r="N183" s="729"/>
      <c r="O183" s="729"/>
      <c r="P183" s="729"/>
    </row>
    <row r="184" spans="1:21" s="714" customFormat="1" ht="24" customHeight="1">
      <c r="A184" s="992" t="s">
        <v>1082</v>
      </c>
      <c r="B184" s="720" t="s">
        <v>3025</v>
      </c>
      <c r="C184" s="706"/>
      <c r="D184" s="990"/>
      <c r="E184" s="721"/>
      <c r="F184" s="722"/>
      <c r="G184" s="1402"/>
      <c r="H184" s="914"/>
      <c r="I184" s="1402"/>
      <c r="J184" s="796"/>
      <c r="K184" s="1014"/>
      <c r="L184" s="1024"/>
      <c r="M184" s="729"/>
      <c r="N184" s="729"/>
      <c r="O184" s="729"/>
      <c r="P184" s="729"/>
      <c r="Q184" s="729"/>
      <c r="R184" s="729"/>
      <c r="S184" s="729"/>
      <c r="T184" s="729"/>
      <c r="U184" s="729"/>
    </row>
    <row r="185" spans="1:21" s="714" customFormat="1" ht="24" customHeight="1">
      <c r="A185" s="992"/>
      <c r="B185" s="720" t="s">
        <v>3022</v>
      </c>
      <c r="C185" s="706"/>
      <c r="D185" s="990"/>
      <c r="E185" s="721">
        <v>2</v>
      </c>
      <c r="F185" s="722" t="s">
        <v>240</v>
      </c>
      <c r="G185" s="994">
        <v>28700</v>
      </c>
      <c r="H185" s="864">
        <f>ROUND(E185*G185,)</f>
        <v>57400</v>
      </c>
      <c r="I185" s="1394">
        <f>G185*0.01</f>
        <v>287</v>
      </c>
      <c r="J185" s="864">
        <f>ROUND(I185*E185,)</f>
        <v>574</v>
      </c>
      <c r="K185" s="966">
        <f>H185+J185</f>
        <v>57974</v>
      </c>
      <c r="L185" s="1024"/>
      <c r="M185" s="729"/>
      <c r="N185" s="729"/>
      <c r="O185" s="729"/>
      <c r="P185" s="729"/>
      <c r="Q185" s="729"/>
      <c r="R185" s="729"/>
      <c r="S185" s="729"/>
      <c r="T185" s="729"/>
      <c r="U185" s="729"/>
    </row>
    <row r="186" spans="1:21" s="714" customFormat="1" ht="24" customHeight="1">
      <c r="A186" s="992"/>
      <c r="B186" s="720" t="s">
        <v>1616</v>
      </c>
      <c r="C186" s="706"/>
      <c r="D186" s="990"/>
      <c r="E186" s="721">
        <v>2</v>
      </c>
      <c r="F186" s="722" t="s">
        <v>240</v>
      </c>
      <c r="G186" s="994">
        <v>25000</v>
      </c>
      <c r="H186" s="864">
        <f>ROUND(E186*G186,)</f>
        <v>50000</v>
      </c>
      <c r="I186" s="1394">
        <f>ROUND(G186*0.01,)</f>
        <v>250</v>
      </c>
      <c r="J186" s="864">
        <f>ROUND(I186*E186,)</f>
        <v>500</v>
      </c>
      <c r="K186" s="966">
        <f>H186+J186</f>
        <v>50500</v>
      </c>
      <c r="L186" s="1024"/>
      <c r="M186" s="729"/>
      <c r="N186" s="729"/>
      <c r="O186" s="729"/>
      <c r="P186" s="729"/>
      <c r="Q186" s="729"/>
      <c r="R186" s="729"/>
      <c r="S186" s="729"/>
      <c r="T186" s="729"/>
      <c r="U186" s="729"/>
    </row>
    <row r="187" spans="1:21" s="714" customFormat="1" ht="24" customHeight="1">
      <c r="A187" s="993"/>
      <c r="B187" s="720" t="s">
        <v>1375</v>
      </c>
      <c r="C187" s="706"/>
      <c r="D187" s="990"/>
      <c r="E187" s="721">
        <v>48</v>
      </c>
      <c r="F187" s="722" t="s">
        <v>240</v>
      </c>
      <c r="G187" s="994">
        <v>400</v>
      </c>
      <c r="H187" s="864">
        <f>ROUND(E187*G187,)</f>
        <v>19200</v>
      </c>
      <c r="I187" s="1394">
        <f>ROUND(G187*0.01,)</f>
        <v>4</v>
      </c>
      <c r="J187" s="864">
        <f>ROUND(I187*E187,)</f>
        <v>192</v>
      </c>
      <c r="K187" s="966">
        <f>H187+J187</f>
        <v>19392</v>
      </c>
      <c r="L187" s="1024"/>
      <c r="M187" s="729"/>
      <c r="N187" s="729"/>
      <c r="O187" s="729"/>
      <c r="P187" s="729"/>
      <c r="Q187" s="729"/>
      <c r="R187" s="729"/>
      <c r="S187" s="729"/>
      <c r="T187" s="729"/>
      <c r="U187" s="729"/>
    </row>
    <row r="188" spans="1:21" s="714" customFormat="1" ht="24" customHeight="1">
      <c r="A188" s="993"/>
      <c r="B188" s="720" t="s">
        <v>3023</v>
      </c>
      <c r="C188" s="706"/>
      <c r="D188" s="990"/>
      <c r="E188" s="721"/>
      <c r="F188" s="722" t="s">
        <v>240</v>
      </c>
      <c r="G188" s="994"/>
      <c r="H188" s="914"/>
      <c r="I188" s="849"/>
      <c r="J188" s="796"/>
      <c r="K188" s="1014"/>
      <c r="L188" s="1024"/>
      <c r="M188" s="729"/>
      <c r="N188" s="729"/>
      <c r="O188" s="729"/>
      <c r="P188" s="729"/>
      <c r="Q188" s="729"/>
      <c r="R188" s="729"/>
      <c r="S188" s="729"/>
      <c r="T188" s="729"/>
      <c r="U188" s="729"/>
    </row>
    <row r="189" spans="1:21" s="714" customFormat="1" ht="24" customHeight="1">
      <c r="A189" s="1138"/>
      <c r="B189" s="720" t="s">
        <v>1618</v>
      </c>
      <c r="C189" s="706"/>
      <c r="D189" s="990"/>
      <c r="E189" s="721"/>
      <c r="F189" s="722" t="s">
        <v>240</v>
      </c>
      <c r="G189" s="994"/>
      <c r="H189" s="914"/>
      <c r="I189" s="849"/>
      <c r="J189" s="796"/>
      <c r="K189" s="1014"/>
      <c r="L189" s="1023"/>
      <c r="M189" s="729"/>
      <c r="N189" s="729"/>
      <c r="O189" s="729"/>
      <c r="P189" s="729"/>
      <c r="Q189" s="729"/>
      <c r="R189" s="729"/>
      <c r="S189" s="729"/>
      <c r="T189" s="729"/>
      <c r="U189" s="729"/>
    </row>
    <row r="190" spans="1:21" s="714" customFormat="1" ht="24" customHeight="1">
      <c r="A190" s="1138"/>
      <c r="B190" s="705"/>
      <c r="C190" s="706"/>
      <c r="D190" s="990"/>
      <c r="E190" s="721"/>
      <c r="F190" s="722"/>
      <c r="G190" s="827"/>
      <c r="H190" s="914"/>
      <c r="I190" s="849"/>
      <c r="J190" s="796"/>
      <c r="K190" s="1014"/>
      <c r="L190" s="1023"/>
      <c r="M190" s="729"/>
      <c r="N190" s="729"/>
      <c r="O190" s="729"/>
      <c r="P190" s="729"/>
      <c r="Q190" s="729"/>
      <c r="R190" s="729"/>
      <c r="S190" s="729"/>
      <c r="T190" s="729"/>
      <c r="U190" s="729"/>
    </row>
    <row r="191" spans="1:21" s="714" customFormat="1" ht="24" customHeight="1">
      <c r="A191" s="831" t="s">
        <v>1377</v>
      </c>
      <c r="B191" s="705" t="s">
        <v>1348</v>
      </c>
      <c r="C191" s="717"/>
      <c r="D191" s="718"/>
      <c r="E191" s="1141"/>
      <c r="F191" s="916"/>
      <c r="G191" s="806"/>
      <c r="H191" s="918"/>
      <c r="I191" s="1402"/>
      <c r="J191" s="918"/>
      <c r="K191" s="968"/>
      <c r="L191" s="919"/>
      <c r="M191" s="729"/>
      <c r="N191" s="729"/>
      <c r="O191" s="729"/>
      <c r="P191" s="729"/>
    </row>
    <row r="192" spans="1:21" s="714" customFormat="1" ht="24" customHeight="1">
      <c r="A192" s="831"/>
      <c r="B192" s="705" t="s">
        <v>1349</v>
      </c>
      <c r="C192" s="717"/>
      <c r="D192" s="718"/>
      <c r="E192" s="1141">
        <v>2</v>
      </c>
      <c r="F192" s="709" t="s">
        <v>240</v>
      </c>
      <c r="G192" s="806">
        <f>(28000+6600+14500)*0.95</f>
        <v>46645</v>
      </c>
      <c r="H192" s="918">
        <f t="shared" ref="H192:H197" si="39">ROUND(E192*G192,)</f>
        <v>93290</v>
      </c>
      <c r="I192" s="1402">
        <v>5000</v>
      </c>
      <c r="J192" s="918">
        <f>ROUND(E192*I192,)</f>
        <v>10000</v>
      </c>
      <c r="K192" s="1007">
        <f t="shared" ref="K192:K205" si="40">H192+J192</f>
        <v>103290</v>
      </c>
      <c r="L192" s="919"/>
      <c r="M192" s="729"/>
      <c r="N192" s="729"/>
      <c r="O192" s="729"/>
      <c r="P192" s="729"/>
    </row>
    <row r="193" spans="1:16" s="714" customFormat="1" ht="24" customHeight="1">
      <c r="A193" s="831"/>
      <c r="B193" s="720" t="s">
        <v>1350</v>
      </c>
      <c r="C193" s="717"/>
      <c r="D193" s="718"/>
      <c r="E193" s="1141">
        <v>2</v>
      </c>
      <c r="F193" s="722" t="s">
        <v>240</v>
      </c>
      <c r="G193" s="806">
        <f>22500*0.95</f>
        <v>21375</v>
      </c>
      <c r="H193" s="918">
        <f t="shared" si="39"/>
        <v>42750</v>
      </c>
      <c r="I193" s="1402" t="s">
        <v>1351</v>
      </c>
      <c r="J193" s="918"/>
      <c r="K193" s="1014">
        <f t="shared" si="40"/>
        <v>42750</v>
      </c>
      <c r="L193" s="919"/>
      <c r="M193" s="729"/>
      <c r="N193" s="729"/>
      <c r="O193" s="729"/>
      <c r="P193" s="729"/>
    </row>
    <row r="194" spans="1:16" s="714" customFormat="1" ht="24" customHeight="1">
      <c r="A194" s="831"/>
      <c r="B194" s="720" t="s">
        <v>1352</v>
      </c>
      <c r="C194" s="717"/>
      <c r="D194" s="718"/>
      <c r="E194" s="1141">
        <v>4</v>
      </c>
      <c r="F194" s="722" t="s">
        <v>240</v>
      </c>
      <c r="G194" s="806">
        <f>9500*0.95</f>
        <v>9025</v>
      </c>
      <c r="H194" s="918">
        <f t="shared" si="39"/>
        <v>36100</v>
      </c>
      <c r="I194" s="1402" t="s">
        <v>1351</v>
      </c>
      <c r="J194" s="918"/>
      <c r="K194" s="1014">
        <f t="shared" si="40"/>
        <v>36100</v>
      </c>
      <c r="L194" s="919"/>
      <c r="M194" s="729"/>
      <c r="N194" s="729"/>
      <c r="O194" s="729"/>
      <c r="P194" s="729"/>
    </row>
    <row r="195" spans="1:16" s="714" customFormat="1" ht="24" customHeight="1">
      <c r="A195" s="831"/>
      <c r="B195" s="720" t="s">
        <v>1353</v>
      </c>
      <c r="C195" s="717"/>
      <c r="D195" s="718"/>
      <c r="E195" s="1141">
        <v>2</v>
      </c>
      <c r="F195" s="722" t="s">
        <v>240</v>
      </c>
      <c r="G195" s="806">
        <f>2100*0.95</f>
        <v>1995</v>
      </c>
      <c r="H195" s="918">
        <f t="shared" si="39"/>
        <v>3990</v>
      </c>
      <c r="I195" s="1402" t="s">
        <v>1351</v>
      </c>
      <c r="J195" s="918"/>
      <c r="K195" s="1014">
        <f t="shared" si="40"/>
        <v>3990</v>
      </c>
      <c r="L195" s="919"/>
      <c r="M195" s="729"/>
      <c r="N195" s="729"/>
      <c r="O195" s="729"/>
      <c r="P195" s="729"/>
    </row>
    <row r="196" spans="1:16" s="714" customFormat="1" ht="24" customHeight="1">
      <c r="A196" s="831"/>
      <c r="B196" s="720" t="s">
        <v>1354</v>
      </c>
      <c r="C196" s="717"/>
      <c r="D196" s="718"/>
      <c r="E196" s="1141">
        <v>2</v>
      </c>
      <c r="F196" s="722" t="s">
        <v>240</v>
      </c>
      <c r="G196" s="806">
        <f>ROUND(450*0.95,)</f>
        <v>428</v>
      </c>
      <c r="H196" s="918">
        <f t="shared" si="39"/>
        <v>856</v>
      </c>
      <c r="I196" s="1402" t="s">
        <v>1351</v>
      </c>
      <c r="J196" s="918"/>
      <c r="K196" s="1014">
        <f t="shared" si="40"/>
        <v>856</v>
      </c>
      <c r="L196" s="919"/>
      <c r="M196" s="729"/>
      <c r="N196" s="729"/>
      <c r="O196" s="729"/>
      <c r="P196" s="729"/>
    </row>
    <row r="197" spans="1:16" s="714" customFormat="1" ht="24" customHeight="1">
      <c r="A197" s="831"/>
      <c r="B197" s="720" t="s">
        <v>1355</v>
      </c>
      <c r="C197" s="717"/>
      <c r="D197" s="718"/>
      <c r="E197" s="1141">
        <v>2</v>
      </c>
      <c r="F197" s="722" t="s">
        <v>240</v>
      </c>
      <c r="G197" s="806">
        <f>ROUND(850*0.95,)</f>
        <v>808</v>
      </c>
      <c r="H197" s="918">
        <f t="shared" si="39"/>
        <v>1616</v>
      </c>
      <c r="I197" s="1402" t="s">
        <v>1351</v>
      </c>
      <c r="J197" s="918"/>
      <c r="K197" s="1014">
        <f t="shared" si="40"/>
        <v>1616</v>
      </c>
      <c r="L197" s="919"/>
      <c r="M197" s="729"/>
      <c r="N197" s="729"/>
      <c r="O197" s="729"/>
      <c r="P197" s="729"/>
    </row>
    <row r="198" spans="1:16" s="714" customFormat="1" ht="24" customHeight="1">
      <c r="A198" s="856" t="s">
        <v>1380</v>
      </c>
      <c r="B198" s="720" t="s">
        <v>1159</v>
      </c>
      <c r="C198" s="717"/>
      <c r="D198" s="718"/>
      <c r="E198" s="1141"/>
      <c r="F198" s="916"/>
      <c r="G198" s="806"/>
      <c r="H198" s="918"/>
      <c r="I198" s="1402"/>
      <c r="J198" s="918"/>
      <c r="K198" s="1014">
        <f t="shared" si="40"/>
        <v>0</v>
      </c>
      <c r="L198" s="919"/>
      <c r="M198" s="729"/>
      <c r="N198" s="729"/>
      <c r="O198" s="729"/>
      <c r="P198" s="729"/>
    </row>
    <row r="199" spans="1:16" s="714" customFormat="1" ht="24" customHeight="1">
      <c r="A199" s="831"/>
      <c r="B199" s="720" t="s">
        <v>1385</v>
      </c>
      <c r="C199" s="717"/>
      <c r="D199" s="718"/>
      <c r="E199" s="1141">
        <f>E192*30</f>
        <v>60</v>
      </c>
      <c r="F199" s="794" t="s">
        <v>438</v>
      </c>
      <c r="G199" s="806">
        <v>37</v>
      </c>
      <c r="H199" s="918">
        <f>ROUND(E199*G199,)</f>
        <v>2220</v>
      </c>
      <c r="I199" s="1402">
        <v>5</v>
      </c>
      <c r="J199" s="918">
        <f>ROUND(E199*I199,)</f>
        <v>300</v>
      </c>
      <c r="K199" s="1014">
        <f t="shared" si="40"/>
        <v>2520</v>
      </c>
      <c r="L199" s="919"/>
      <c r="M199" s="729"/>
      <c r="N199" s="729"/>
      <c r="O199" s="729"/>
      <c r="P199" s="729"/>
    </row>
    <row r="200" spans="1:16" s="714" customFormat="1" ht="24" customHeight="1">
      <c r="A200" s="831"/>
      <c r="B200" s="720" t="s">
        <v>1338</v>
      </c>
      <c r="C200" s="717"/>
      <c r="D200" s="718"/>
      <c r="E200" s="1141">
        <v>1</v>
      </c>
      <c r="F200" s="916" t="s">
        <v>948</v>
      </c>
      <c r="G200" s="806">
        <f>SUM(H199)*5%</f>
        <v>111</v>
      </c>
      <c r="H200" s="796">
        <f t="shared" ref="H200" si="41">ROUND(E200*G200,)</f>
        <v>111</v>
      </c>
      <c r="I200" s="849">
        <f>ROUND(G200*0.3,)</f>
        <v>33</v>
      </c>
      <c r="J200" s="796">
        <f t="shared" ref="J200" si="42">ROUND(E200*I200,)</f>
        <v>33</v>
      </c>
      <c r="K200" s="1014">
        <f t="shared" si="40"/>
        <v>144</v>
      </c>
      <c r="L200" s="919"/>
      <c r="M200" s="729"/>
      <c r="N200" s="729"/>
      <c r="O200" s="729"/>
      <c r="P200" s="729"/>
    </row>
    <row r="201" spans="1:16" s="714" customFormat="1" ht="24" customHeight="1">
      <c r="A201" s="831"/>
      <c r="B201" s="720"/>
      <c r="C201" s="717"/>
      <c r="D201" s="718"/>
      <c r="E201" s="1141"/>
      <c r="F201" s="916"/>
      <c r="G201" s="806"/>
      <c r="H201" s="796"/>
      <c r="I201" s="849"/>
      <c r="J201" s="796"/>
      <c r="K201" s="1014"/>
      <c r="L201" s="919"/>
      <c r="M201" s="729"/>
      <c r="N201" s="729"/>
      <c r="O201" s="729"/>
      <c r="P201" s="729"/>
    </row>
    <row r="202" spans="1:16" s="714" customFormat="1" ht="24" customHeight="1">
      <c r="A202" s="831"/>
      <c r="B202" s="720"/>
      <c r="C202" s="717"/>
      <c r="D202" s="718"/>
      <c r="E202" s="1141"/>
      <c r="F202" s="916"/>
      <c r="G202" s="806"/>
      <c r="H202" s="796"/>
      <c r="I202" s="849"/>
      <c r="J202" s="796"/>
      <c r="K202" s="1014"/>
      <c r="L202" s="919"/>
      <c r="M202" s="729"/>
      <c r="N202" s="729"/>
      <c r="O202" s="729"/>
      <c r="P202" s="729"/>
    </row>
    <row r="203" spans="1:16" s="714" customFormat="1" ht="24" customHeight="1">
      <c r="A203" s="856" t="s">
        <v>1210</v>
      </c>
      <c r="B203" s="720" t="s">
        <v>1357</v>
      </c>
      <c r="C203" s="717"/>
      <c r="D203" s="718"/>
      <c r="E203" s="1141"/>
      <c r="F203" s="916"/>
      <c r="G203" s="806"/>
      <c r="H203" s="918"/>
      <c r="I203" s="1402"/>
      <c r="J203" s="918"/>
      <c r="K203" s="1014">
        <f t="shared" si="40"/>
        <v>0</v>
      </c>
      <c r="L203" s="919"/>
      <c r="M203" s="729"/>
      <c r="N203" s="729"/>
      <c r="O203" s="729"/>
      <c r="P203" s="729"/>
    </row>
    <row r="204" spans="1:16" s="714" customFormat="1" ht="24" customHeight="1">
      <c r="A204" s="831"/>
      <c r="B204" s="720" t="s">
        <v>1201</v>
      </c>
      <c r="C204" s="717"/>
      <c r="D204" s="718"/>
      <c r="E204" s="1141">
        <f>E199</f>
        <v>60</v>
      </c>
      <c r="F204" s="794" t="s">
        <v>438</v>
      </c>
      <c r="G204" s="806">
        <v>27</v>
      </c>
      <c r="H204" s="796">
        <f t="shared" ref="H204:H205" si="43">ROUND(G204*E204,)</f>
        <v>1620</v>
      </c>
      <c r="I204" s="1402">
        <v>22</v>
      </c>
      <c r="J204" s="796">
        <f>ROUND(E204*I204,)</f>
        <v>1320</v>
      </c>
      <c r="K204" s="1014">
        <f t="shared" si="40"/>
        <v>2940</v>
      </c>
      <c r="L204" s="2394" t="s">
        <v>2974</v>
      </c>
      <c r="M204" s="729"/>
      <c r="P204" s="729"/>
    </row>
    <row r="205" spans="1:16" s="714" customFormat="1" ht="24" customHeight="1">
      <c r="A205" s="831"/>
      <c r="B205" s="720" t="s">
        <v>1237</v>
      </c>
      <c r="C205" s="717"/>
      <c r="D205" s="718"/>
      <c r="E205" s="1141">
        <v>1</v>
      </c>
      <c r="F205" s="916" t="s">
        <v>948</v>
      </c>
      <c r="G205" s="806">
        <f>H204*15%</f>
        <v>243</v>
      </c>
      <c r="H205" s="796">
        <f t="shared" si="43"/>
        <v>243</v>
      </c>
      <c r="I205" s="849">
        <f>ROUND(G205*0.3,)</f>
        <v>73</v>
      </c>
      <c r="J205" s="796">
        <f t="shared" ref="J205" si="44">ROUND(E205*I205,)</f>
        <v>73</v>
      </c>
      <c r="K205" s="1014">
        <f t="shared" si="40"/>
        <v>316</v>
      </c>
      <c r="L205" s="919"/>
      <c r="M205" s="729"/>
      <c r="N205" s="729"/>
      <c r="O205" s="729"/>
      <c r="P205" s="729"/>
    </row>
    <row r="206" spans="1:16" s="714" customFormat="1" ht="24" customHeight="1">
      <c r="A206" s="831"/>
      <c r="B206" s="720" t="s">
        <v>957</v>
      </c>
      <c r="C206" s="717"/>
      <c r="D206" s="718"/>
      <c r="E206" s="1141"/>
      <c r="F206" s="916"/>
      <c r="G206" s="806"/>
      <c r="H206" s="918"/>
      <c r="I206" s="1402"/>
      <c r="J206" s="918"/>
      <c r="K206" s="968"/>
      <c r="L206" s="919"/>
      <c r="M206" s="729"/>
      <c r="N206" s="729"/>
      <c r="O206" s="729"/>
      <c r="P206" s="729"/>
    </row>
    <row r="207" spans="1:16" s="714" customFormat="1" ht="24" customHeight="1">
      <c r="A207" s="831"/>
      <c r="B207" s="705" t="s">
        <v>958</v>
      </c>
      <c r="C207" s="717"/>
      <c r="D207" s="718"/>
      <c r="E207" s="1141"/>
      <c r="F207" s="916"/>
      <c r="G207" s="806"/>
      <c r="H207" s="918"/>
      <c r="I207" s="1402"/>
      <c r="J207" s="918"/>
      <c r="K207" s="968"/>
      <c r="L207" s="919"/>
      <c r="M207" s="729"/>
      <c r="N207" s="729"/>
      <c r="O207" s="729"/>
      <c r="P207" s="729"/>
    </row>
    <row r="208" spans="1:16" s="714" customFormat="1" ht="21.3">
      <c r="A208" s="775"/>
      <c r="B208" s="2475" t="str">
        <f>"รวมราคารายการที่ "&amp;A183</f>
        <v>รวมราคารายการที่ 3.11</v>
      </c>
      <c r="C208" s="2476"/>
      <c r="D208" s="2477"/>
      <c r="E208" s="2369"/>
      <c r="F208" s="777"/>
      <c r="G208" s="959"/>
      <c r="H208" s="960">
        <f>SUM(H183:H207)</f>
        <v>309396</v>
      </c>
      <c r="I208" s="959"/>
      <c r="J208" s="960">
        <f t="shared" ref="J208:K208" si="45">SUM(J183:J207)</f>
        <v>12992</v>
      </c>
      <c r="K208" s="777">
        <f t="shared" si="45"/>
        <v>322388</v>
      </c>
      <c r="L208" s="1006"/>
    </row>
    <row r="209" spans="1:21" s="714" customFormat="1" ht="21.3">
      <c r="A209" s="899" t="s">
        <v>1196</v>
      </c>
      <c r="B209" s="900" t="s">
        <v>1358</v>
      </c>
      <c r="C209" s="943"/>
      <c r="D209" s="2386"/>
      <c r="E209" s="2378"/>
      <c r="F209" s="978"/>
      <c r="G209" s="774"/>
      <c r="H209" s="773"/>
      <c r="I209" s="1400"/>
      <c r="J209" s="773"/>
      <c r="K209" s="1019"/>
      <c r="L209" s="947"/>
    </row>
    <row r="210" spans="1:21" s="714" customFormat="1" ht="24" customHeight="1">
      <c r="A210" s="992" t="s">
        <v>1198</v>
      </c>
      <c r="B210" s="720" t="s">
        <v>3025</v>
      </c>
      <c r="C210" s="706"/>
      <c r="D210" s="990"/>
      <c r="E210" s="721"/>
      <c r="F210" s="722"/>
      <c r="G210" s="1402"/>
      <c r="H210" s="914"/>
      <c r="I210" s="1402"/>
      <c r="J210" s="796"/>
      <c r="K210" s="1014"/>
      <c r="L210" s="1024"/>
      <c r="M210" s="729"/>
      <c r="N210" s="729"/>
      <c r="O210" s="729"/>
      <c r="P210" s="729"/>
      <c r="Q210" s="729"/>
      <c r="R210" s="729"/>
      <c r="S210" s="729"/>
      <c r="T210" s="729"/>
      <c r="U210" s="729"/>
    </row>
    <row r="211" spans="1:21" s="714" customFormat="1" ht="24" customHeight="1">
      <c r="A211" s="992"/>
      <c r="B211" s="720" t="s">
        <v>3022</v>
      </c>
      <c r="C211" s="706"/>
      <c r="D211" s="990"/>
      <c r="E211" s="721">
        <v>2</v>
      </c>
      <c r="F211" s="722" t="s">
        <v>240</v>
      </c>
      <c r="G211" s="994">
        <v>28700</v>
      </c>
      <c r="H211" s="864">
        <f>ROUND(E211*G211,)</f>
        <v>57400</v>
      </c>
      <c r="I211" s="1394">
        <f>G211*0.01</f>
        <v>287</v>
      </c>
      <c r="J211" s="864">
        <f>ROUND(I211*E211,)</f>
        <v>574</v>
      </c>
      <c r="K211" s="966">
        <f>H211+J211</f>
        <v>57974</v>
      </c>
      <c r="L211" s="1024"/>
      <c r="M211" s="729"/>
      <c r="N211" s="729"/>
      <c r="O211" s="729"/>
      <c r="P211" s="729"/>
      <c r="Q211" s="729"/>
      <c r="R211" s="729"/>
      <c r="S211" s="729"/>
      <c r="T211" s="729"/>
      <c r="U211" s="729"/>
    </row>
    <row r="212" spans="1:21" s="714" customFormat="1" ht="24" customHeight="1">
      <c r="A212" s="992"/>
      <c r="B212" s="720" t="s">
        <v>1616</v>
      </c>
      <c r="C212" s="706"/>
      <c r="D212" s="990"/>
      <c r="E212" s="721">
        <v>2</v>
      </c>
      <c r="F212" s="722" t="s">
        <v>240</v>
      </c>
      <c r="G212" s="994">
        <v>25000</v>
      </c>
      <c r="H212" s="864">
        <f>ROUND(E212*G212,)</f>
        <v>50000</v>
      </c>
      <c r="I212" s="1394">
        <f>ROUND(G212*0.01,)</f>
        <v>250</v>
      </c>
      <c r="J212" s="864">
        <f>ROUND(I212*E212,)</f>
        <v>500</v>
      </c>
      <c r="K212" s="966">
        <f>H212+J212</f>
        <v>50500</v>
      </c>
      <c r="L212" s="1024"/>
      <c r="M212" s="729"/>
      <c r="N212" s="729"/>
      <c r="O212" s="729"/>
      <c r="P212" s="729"/>
      <c r="Q212" s="729"/>
      <c r="R212" s="729"/>
      <c r="S212" s="729"/>
      <c r="T212" s="729"/>
      <c r="U212" s="729"/>
    </row>
    <row r="213" spans="1:21" s="714" customFormat="1" ht="24" customHeight="1">
      <c r="A213" s="993"/>
      <c r="B213" s="720" t="s">
        <v>1375</v>
      </c>
      <c r="C213" s="706"/>
      <c r="D213" s="990"/>
      <c r="E213" s="721">
        <v>48</v>
      </c>
      <c r="F213" s="722" t="s">
        <v>240</v>
      </c>
      <c r="G213" s="994">
        <v>400</v>
      </c>
      <c r="H213" s="864">
        <f>ROUND(E213*G213,)</f>
        <v>19200</v>
      </c>
      <c r="I213" s="1394">
        <f>ROUND(G213*0.01,)</f>
        <v>4</v>
      </c>
      <c r="J213" s="864">
        <f>ROUND(I213*E213,)</f>
        <v>192</v>
      </c>
      <c r="K213" s="966">
        <f>H213+J213</f>
        <v>19392</v>
      </c>
      <c r="L213" s="1024"/>
      <c r="M213" s="729"/>
      <c r="N213" s="729"/>
      <c r="O213" s="729"/>
      <c r="P213" s="729"/>
      <c r="Q213" s="729"/>
      <c r="R213" s="729"/>
      <c r="S213" s="729"/>
      <c r="T213" s="729"/>
      <c r="U213" s="729"/>
    </row>
    <row r="214" spans="1:21" s="714" customFormat="1" ht="24" customHeight="1">
      <c r="A214" s="993"/>
      <c r="B214" s="720" t="s">
        <v>3023</v>
      </c>
      <c r="C214" s="706"/>
      <c r="D214" s="990"/>
      <c r="E214" s="721"/>
      <c r="F214" s="722" t="s">
        <v>240</v>
      </c>
      <c r="G214" s="994"/>
      <c r="H214" s="914"/>
      <c r="I214" s="849"/>
      <c r="J214" s="796"/>
      <c r="K214" s="1014"/>
      <c r="L214" s="1024"/>
      <c r="M214" s="729"/>
      <c r="N214" s="729"/>
      <c r="O214" s="729"/>
      <c r="P214" s="729"/>
      <c r="Q214" s="729"/>
      <c r="R214" s="729"/>
      <c r="S214" s="729"/>
      <c r="T214" s="729"/>
      <c r="U214" s="729"/>
    </row>
    <row r="215" spans="1:21" s="714" customFormat="1" ht="24" customHeight="1">
      <c r="A215" s="1138"/>
      <c r="B215" s="720" t="s">
        <v>1618</v>
      </c>
      <c r="C215" s="706"/>
      <c r="D215" s="990"/>
      <c r="E215" s="721"/>
      <c r="F215" s="722" t="s">
        <v>240</v>
      </c>
      <c r="G215" s="994"/>
      <c r="H215" s="914"/>
      <c r="I215" s="849"/>
      <c r="J215" s="796"/>
      <c r="K215" s="1014"/>
      <c r="L215" s="1023"/>
      <c r="M215" s="729"/>
      <c r="N215" s="729"/>
      <c r="O215" s="729"/>
      <c r="P215" s="729"/>
      <c r="Q215" s="729"/>
      <c r="R215" s="729"/>
      <c r="S215" s="729"/>
      <c r="T215" s="729"/>
      <c r="U215" s="729"/>
    </row>
    <row r="216" spans="1:21" s="714" customFormat="1" ht="24" customHeight="1">
      <c r="A216" s="1138"/>
      <c r="B216" s="705"/>
      <c r="C216" s="706"/>
      <c r="D216" s="990"/>
      <c r="E216" s="721"/>
      <c r="F216" s="709"/>
      <c r="G216" s="827"/>
      <c r="H216" s="914"/>
      <c r="I216" s="849"/>
      <c r="J216" s="796"/>
      <c r="K216" s="1014"/>
      <c r="L216" s="1023"/>
      <c r="M216" s="729"/>
      <c r="N216" s="729"/>
      <c r="O216" s="729"/>
      <c r="P216" s="729"/>
      <c r="Q216" s="729"/>
      <c r="R216" s="729"/>
      <c r="S216" s="729"/>
      <c r="T216" s="729"/>
      <c r="U216" s="729"/>
    </row>
    <row r="217" spans="1:21" s="714" customFormat="1" ht="21.3">
      <c r="A217" s="976" t="s">
        <v>1200</v>
      </c>
      <c r="B217" s="756" t="s">
        <v>1359</v>
      </c>
      <c r="C217" s="757"/>
      <c r="D217" s="758"/>
      <c r="E217" s="2379"/>
      <c r="F217" s="1020"/>
      <c r="G217" s="981"/>
      <c r="H217" s="982"/>
      <c r="I217" s="2390"/>
      <c r="J217" s="982"/>
      <c r="K217" s="1021"/>
      <c r="L217" s="973"/>
    </row>
    <row r="218" spans="1:21" s="714" customFormat="1" ht="21.3">
      <c r="A218" s="861"/>
      <c r="B218" s="800" t="s">
        <v>1386</v>
      </c>
      <c r="C218" s="757"/>
      <c r="D218" s="758"/>
      <c r="E218" s="2377">
        <v>1</v>
      </c>
      <c r="F218" s="803" t="s">
        <v>240</v>
      </c>
      <c r="G218" s="752">
        <f>40590+10000+33400</f>
        <v>83990</v>
      </c>
      <c r="H218" s="751">
        <f t="shared" ref="H218:H219" si="46">ROUND(E218*G218,)</f>
        <v>83990</v>
      </c>
      <c r="I218" s="1392">
        <f>G218*0.1</f>
        <v>8399</v>
      </c>
      <c r="J218" s="751">
        <f>ROUND(E218*I218,)</f>
        <v>8399</v>
      </c>
      <c r="K218" s="1007">
        <f t="shared" ref="K218:K230" si="47">H218+J218</f>
        <v>92389</v>
      </c>
      <c r="L218" s="973"/>
    </row>
    <row r="219" spans="1:21" s="714" customFormat="1" ht="21.3">
      <c r="A219" s="861"/>
      <c r="B219" s="800" t="s">
        <v>1387</v>
      </c>
      <c r="C219" s="757"/>
      <c r="D219" s="758"/>
      <c r="E219" s="2377">
        <v>1</v>
      </c>
      <c r="F219" s="803" t="s">
        <v>240</v>
      </c>
      <c r="G219" s="752">
        <v>228010</v>
      </c>
      <c r="H219" s="751">
        <f t="shared" si="46"/>
        <v>228010</v>
      </c>
      <c r="I219" s="1392">
        <f t="shared" ref="I219" si="48">G219*0.1</f>
        <v>22801</v>
      </c>
      <c r="J219" s="751">
        <f t="shared" ref="J219" si="49">ROUND(E219*I219,)</f>
        <v>22801</v>
      </c>
      <c r="K219" s="1007">
        <f t="shared" si="47"/>
        <v>250811</v>
      </c>
      <c r="L219" s="973"/>
    </row>
    <row r="220" spans="1:21" s="714" customFormat="1" ht="21.3">
      <c r="A220" s="976" t="s">
        <v>1440</v>
      </c>
      <c r="B220" s="756" t="s">
        <v>1363</v>
      </c>
      <c r="C220" s="757"/>
      <c r="D220" s="758"/>
      <c r="E220" s="2379"/>
      <c r="F220" s="1020"/>
      <c r="G220" s="981"/>
      <c r="H220" s="982"/>
      <c r="I220" s="2390"/>
      <c r="J220" s="982"/>
      <c r="K220" s="1007">
        <f t="shared" si="47"/>
        <v>0</v>
      </c>
      <c r="L220" s="973"/>
    </row>
    <row r="221" spans="1:21" s="714" customFormat="1" ht="21.3">
      <c r="A221" s="861"/>
      <c r="B221" s="800" t="s">
        <v>1386</v>
      </c>
      <c r="C221" s="757"/>
      <c r="D221" s="758"/>
      <c r="E221" s="2377">
        <v>1</v>
      </c>
      <c r="F221" s="803" t="s">
        <v>240</v>
      </c>
      <c r="G221" s="752">
        <f>40590+10000+33400</f>
        <v>83990</v>
      </c>
      <c r="H221" s="751">
        <f t="shared" ref="H221:H222" si="50">ROUND(E221*G221,)</f>
        <v>83990</v>
      </c>
      <c r="I221" s="1392">
        <f>G221*0.1</f>
        <v>8399</v>
      </c>
      <c r="J221" s="751">
        <f>ROUND(E221*I221,)</f>
        <v>8399</v>
      </c>
      <c r="K221" s="1007">
        <f t="shared" si="47"/>
        <v>92389</v>
      </c>
      <c r="L221" s="973"/>
    </row>
    <row r="222" spans="1:21" s="714" customFormat="1" ht="21.3">
      <c r="A222" s="861"/>
      <c r="B222" s="800" t="s">
        <v>1387</v>
      </c>
      <c r="C222" s="757"/>
      <c r="D222" s="758"/>
      <c r="E222" s="2377">
        <v>1</v>
      </c>
      <c r="F222" s="803" t="s">
        <v>240</v>
      </c>
      <c r="G222" s="752">
        <v>228010</v>
      </c>
      <c r="H222" s="751">
        <f t="shared" si="50"/>
        <v>228010</v>
      </c>
      <c r="I222" s="1392">
        <f t="shared" ref="I222" si="51">G222*0.1</f>
        <v>22801</v>
      </c>
      <c r="J222" s="751">
        <f t="shared" ref="J222" si="52">ROUND(E222*I222,)</f>
        <v>22801</v>
      </c>
      <c r="K222" s="1007">
        <f t="shared" si="47"/>
        <v>250811</v>
      </c>
      <c r="L222" s="973"/>
    </row>
    <row r="223" spans="1:21">
      <c r="A223" s="976" t="s">
        <v>2984</v>
      </c>
      <c r="B223" s="1018" t="s">
        <v>1159</v>
      </c>
      <c r="C223" s="943"/>
      <c r="D223" s="2386"/>
      <c r="E223" s="2378"/>
      <c r="F223" s="978"/>
      <c r="G223" s="774"/>
      <c r="H223" s="773"/>
      <c r="I223" s="1400"/>
      <c r="J223" s="773"/>
      <c r="K223" s="1007">
        <f t="shared" si="47"/>
        <v>0</v>
      </c>
      <c r="L223" s="947"/>
    </row>
    <row r="224" spans="1:21">
      <c r="A224" s="861"/>
      <c r="B224" s="756" t="s">
        <v>1367</v>
      </c>
      <c r="C224" s="757"/>
      <c r="D224" s="758"/>
      <c r="E224" s="2377">
        <v>440</v>
      </c>
      <c r="F224" s="867" t="s">
        <v>438</v>
      </c>
      <c r="G224" s="752">
        <v>103</v>
      </c>
      <c r="H224" s="751">
        <f>ROUND(E224*G224,)</f>
        <v>45320</v>
      </c>
      <c r="I224" s="1392">
        <v>21</v>
      </c>
      <c r="J224" s="751">
        <f>ROUND(E224*I224,)</f>
        <v>9240</v>
      </c>
      <c r="K224" s="1007">
        <f t="shared" si="47"/>
        <v>54560</v>
      </c>
      <c r="L224" s="973"/>
    </row>
    <row r="225" spans="1:21">
      <c r="A225" s="861"/>
      <c r="B225" s="800" t="s">
        <v>1368</v>
      </c>
      <c r="C225" s="757"/>
      <c r="D225" s="758"/>
      <c r="E225" s="2377">
        <v>10</v>
      </c>
      <c r="F225" s="867" t="s">
        <v>438</v>
      </c>
      <c r="G225" s="752">
        <v>139</v>
      </c>
      <c r="H225" s="751">
        <f>ROUND(E225*G225,)</f>
        <v>1390</v>
      </c>
      <c r="I225" s="1392">
        <v>21</v>
      </c>
      <c r="J225" s="751">
        <f>ROUND(E225*I225,)</f>
        <v>210</v>
      </c>
      <c r="K225" s="1014">
        <f t="shared" si="47"/>
        <v>1600</v>
      </c>
      <c r="L225" s="973"/>
    </row>
    <row r="226" spans="1:21">
      <c r="A226" s="861"/>
      <c r="B226" s="800" t="s">
        <v>1338</v>
      </c>
      <c r="C226" s="757"/>
      <c r="D226" s="758"/>
      <c r="E226" s="2377">
        <v>1</v>
      </c>
      <c r="F226" s="948" t="s">
        <v>948</v>
      </c>
      <c r="G226" s="752">
        <f>ROUND(SUM(H224:H225)*5%,)</f>
        <v>2336</v>
      </c>
      <c r="H226" s="864">
        <f>ROUND(E226*G226,)</f>
        <v>2336</v>
      </c>
      <c r="I226" s="849">
        <f>ROUND(G226*0.3,)</f>
        <v>701</v>
      </c>
      <c r="J226" s="864">
        <f>ROUND(E226*I226,)</f>
        <v>701</v>
      </c>
      <c r="K226" s="1014">
        <f t="shared" si="47"/>
        <v>3037</v>
      </c>
      <c r="L226" s="973"/>
    </row>
    <row r="227" spans="1:21">
      <c r="A227" s="861"/>
      <c r="B227" s="800"/>
      <c r="C227" s="757"/>
      <c r="D227" s="758"/>
      <c r="E227" s="2377"/>
      <c r="F227" s="948"/>
      <c r="G227" s="752"/>
      <c r="H227" s="864"/>
      <c r="I227" s="849"/>
      <c r="J227" s="864"/>
      <c r="K227" s="1014"/>
      <c r="L227" s="973"/>
    </row>
    <row r="228" spans="1:21">
      <c r="A228" s="861" t="s">
        <v>1443</v>
      </c>
      <c r="B228" s="800" t="s">
        <v>1252</v>
      </c>
      <c r="C228" s="757"/>
      <c r="D228" s="758"/>
      <c r="E228" s="2377"/>
      <c r="F228" s="948"/>
      <c r="G228" s="752"/>
      <c r="H228" s="864"/>
      <c r="I228" s="1392"/>
      <c r="J228" s="864"/>
      <c r="K228" s="1014">
        <f t="shared" si="47"/>
        <v>0</v>
      </c>
      <c r="L228" s="985"/>
    </row>
    <row r="229" spans="1:21">
      <c r="A229" s="861"/>
      <c r="B229" s="800" t="s">
        <v>1193</v>
      </c>
      <c r="C229" s="757"/>
      <c r="D229" s="758"/>
      <c r="E229" s="2377">
        <v>262</v>
      </c>
      <c r="F229" s="867" t="s">
        <v>438</v>
      </c>
      <c r="G229" s="752">
        <v>316</v>
      </c>
      <c r="H229" s="864">
        <f>ROUND(E229*G229,)</f>
        <v>82792</v>
      </c>
      <c r="I229" s="1392">
        <v>50</v>
      </c>
      <c r="J229" s="864">
        <f>ROUND(E229*I229,)</f>
        <v>13100</v>
      </c>
      <c r="K229" s="1014">
        <f t="shared" si="47"/>
        <v>95892</v>
      </c>
      <c r="L229" s="985"/>
    </row>
    <row r="230" spans="1:21">
      <c r="A230" s="861"/>
      <c r="B230" s="800" t="s">
        <v>1237</v>
      </c>
      <c r="C230" s="757"/>
      <c r="D230" s="758"/>
      <c r="E230" s="2377">
        <v>1</v>
      </c>
      <c r="F230" s="948" t="s">
        <v>948</v>
      </c>
      <c r="G230" s="752">
        <f>ROUND(SUM(H229)*15%,)</f>
        <v>12419</v>
      </c>
      <c r="H230" s="864">
        <f>ROUND(G230*E230,)</f>
        <v>12419</v>
      </c>
      <c r="I230" s="849">
        <f>ROUND(G230*0.3,)</f>
        <v>3726</v>
      </c>
      <c r="J230" s="864">
        <f>ROUND(E230*I230,)</f>
        <v>3726</v>
      </c>
      <c r="K230" s="1014">
        <f t="shared" si="47"/>
        <v>16145</v>
      </c>
      <c r="L230" s="985"/>
    </row>
    <row r="231" spans="1:21">
      <c r="A231" s="861"/>
      <c r="B231" s="756" t="s">
        <v>957</v>
      </c>
      <c r="C231" s="757"/>
      <c r="D231" s="758"/>
      <c r="E231" s="2377"/>
      <c r="F231" s="948"/>
      <c r="G231" s="752"/>
      <c r="H231" s="751"/>
      <c r="I231" s="1392"/>
      <c r="J231" s="751"/>
      <c r="K231" s="1022"/>
      <c r="L231" s="973"/>
    </row>
    <row r="232" spans="1:21">
      <c r="A232" s="775"/>
      <c r="B232" s="2475" t="str">
        <f>"รวมราคารายการที่ "&amp;A209</f>
        <v>รวมราคารายการที่ 3.12</v>
      </c>
      <c r="C232" s="2476"/>
      <c r="D232" s="2477"/>
      <c r="E232" s="2369"/>
      <c r="F232" s="777"/>
      <c r="G232" s="959"/>
      <c r="H232" s="960">
        <f>SUM(H209:H231)</f>
        <v>894857</v>
      </c>
      <c r="I232" s="959"/>
      <c r="J232" s="960">
        <f t="shared" ref="J232:K232" si="53">SUM(J209:J231)</f>
        <v>90643</v>
      </c>
      <c r="K232" s="777">
        <f t="shared" si="53"/>
        <v>985500</v>
      </c>
      <c r="L232" s="1006"/>
    </row>
    <row r="233" spans="1:21" s="714" customFormat="1" ht="24" customHeight="1">
      <c r="A233" s="986" t="s">
        <v>1202</v>
      </c>
      <c r="B233" s="816" t="s">
        <v>1370</v>
      </c>
      <c r="C233" s="987"/>
      <c r="D233" s="707"/>
      <c r="E233" s="708"/>
      <c r="F233" s="709"/>
      <c r="G233" s="853"/>
      <c r="H233" s="854"/>
      <c r="I233" s="1477"/>
      <c r="J233" s="854"/>
      <c r="K233" s="1007"/>
      <c r="L233" s="1023"/>
      <c r="M233" s="729"/>
      <c r="N233" s="729"/>
      <c r="O233" s="729"/>
      <c r="P233" s="729"/>
      <c r="Q233" s="729"/>
      <c r="R233" s="729"/>
      <c r="S233" s="729"/>
      <c r="T233" s="729"/>
      <c r="U233" s="729"/>
    </row>
    <row r="234" spans="1:21" s="714" customFormat="1" ht="24" customHeight="1">
      <c r="A234" s="992" t="s">
        <v>1204</v>
      </c>
      <c r="B234" s="720" t="s">
        <v>3025</v>
      </c>
      <c r="C234" s="706"/>
      <c r="D234" s="990"/>
      <c r="E234" s="721"/>
      <c r="F234" s="722"/>
      <c r="G234" s="1402"/>
      <c r="H234" s="914"/>
      <c r="I234" s="1402"/>
      <c r="J234" s="796"/>
      <c r="K234" s="1014"/>
      <c r="L234" s="1024"/>
      <c r="M234" s="729"/>
      <c r="N234" s="729"/>
      <c r="O234" s="729"/>
      <c r="P234" s="729"/>
      <c r="Q234" s="729"/>
      <c r="R234" s="729"/>
      <c r="S234" s="729"/>
      <c r="T234" s="729"/>
      <c r="U234" s="729"/>
    </row>
    <row r="235" spans="1:21" s="714" customFormat="1" ht="24" customHeight="1">
      <c r="A235" s="992"/>
      <c r="B235" s="720" t="s">
        <v>3022</v>
      </c>
      <c r="C235" s="706"/>
      <c r="D235" s="990"/>
      <c r="E235" s="721">
        <v>2</v>
      </c>
      <c r="F235" s="722" t="s">
        <v>240</v>
      </c>
      <c r="G235" s="994">
        <v>28700</v>
      </c>
      <c r="H235" s="864">
        <f>ROUND(E235*G235,)</f>
        <v>57400</v>
      </c>
      <c r="I235" s="1394">
        <f>G235*0.01</f>
        <v>287</v>
      </c>
      <c r="J235" s="864">
        <f>ROUND(I235*E235,)</f>
        <v>574</v>
      </c>
      <c r="K235" s="966">
        <f>H235+J235</f>
        <v>57974</v>
      </c>
      <c r="L235" s="1024"/>
      <c r="M235" s="729"/>
      <c r="N235" s="729"/>
      <c r="O235" s="729"/>
      <c r="P235" s="729"/>
      <c r="Q235" s="729"/>
      <c r="R235" s="729"/>
      <c r="S235" s="729"/>
      <c r="T235" s="729"/>
      <c r="U235" s="729"/>
    </row>
    <row r="236" spans="1:21" s="714" customFormat="1" ht="24" customHeight="1">
      <c r="A236" s="992"/>
      <c r="B236" s="720" t="s">
        <v>1616</v>
      </c>
      <c r="C236" s="706"/>
      <c r="D236" s="990"/>
      <c r="E236" s="721">
        <v>2</v>
      </c>
      <c r="F236" s="722" t="s">
        <v>240</v>
      </c>
      <c r="G236" s="994">
        <v>25000</v>
      </c>
      <c r="H236" s="864">
        <f>ROUND(E236*G236,)</f>
        <v>50000</v>
      </c>
      <c r="I236" s="1394">
        <f>ROUND(G236*0.01,)</f>
        <v>250</v>
      </c>
      <c r="J236" s="864">
        <f>ROUND(I236*E236,)</f>
        <v>500</v>
      </c>
      <c r="K236" s="966">
        <f>H236+J236</f>
        <v>50500</v>
      </c>
      <c r="L236" s="1024"/>
      <c r="M236" s="729"/>
      <c r="N236" s="729"/>
      <c r="O236" s="729"/>
      <c r="P236" s="729"/>
      <c r="Q236" s="729"/>
      <c r="R236" s="729"/>
      <c r="S236" s="729"/>
      <c r="T236" s="729"/>
      <c r="U236" s="729"/>
    </row>
    <row r="237" spans="1:21" s="714" customFormat="1" ht="24" customHeight="1">
      <c r="A237" s="993"/>
      <c r="B237" s="720" t="s">
        <v>1375</v>
      </c>
      <c r="C237" s="706"/>
      <c r="D237" s="990"/>
      <c r="E237" s="721">
        <v>48</v>
      </c>
      <c r="F237" s="722" t="s">
        <v>240</v>
      </c>
      <c r="G237" s="994">
        <v>400</v>
      </c>
      <c r="H237" s="864">
        <f>ROUND(E237*G237,)</f>
        <v>19200</v>
      </c>
      <c r="I237" s="1394">
        <f>ROUND(G237*0.01,)</f>
        <v>4</v>
      </c>
      <c r="J237" s="864">
        <f>ROUND(I237*E237,)</f>
        <v>192</v>
      </c>
      <c r="K237" s="966">
        <f>H237+J237</f>
        <v>19392</v>
      </c>
      <c r="L237" s="1024"/>
      <c r="M237" s="729"/>
      <c r="N237" s="729"/>
      <c r="O237" s="729"/>
      <c r="P237" s="729"/>
      <c r="Q237" s="729"/>
      <c r="R237" s="729"/>
      <c r="S237" s="729"/>
      <c r="T237" s="729"/>
      <c r="U237" s="729"/>
    </row>
    <row r="238" spans="1:21" s="714" customFormat="1" ht="24" customHeight="1">
      <c r="A238" s="993"/>
      <c r="B238" s="720" t="s">
        <v>3023</v>
      </c>
      <c r="C238" s="706"/>
      <c r="D238" s="990"/>
      <c r="E238" s="721"/>
      <c r="F238" s="722" t="s">
        <v>240</v>
      </c>
      <c r="G238" s="994"/>
      <c r="H238" s="914"/>
      <c r="I238" s="849"/>
      <c r="J238" s="796"/>
      <c r="K238" s="1014"/>
      <c r="L238" s="1024"/>
      <c r="M238" s="729"/>
      <c r="N238" s="729"/>
      <c r="O238" s="729"/>
      <c r="P238" s="729"/>
      <c r="Q238" s="729"/>
      <c r="R238" s="729"/>
      <c r="S238" s="729"/>
      <c r="T238" s="729"/>
      <c r="U238" s="729"/>
    </row>
    <row r="239" spans="1:21" s="714" customFormat="1" ht="24" customHeight="1">
      <c r="A239" s="1138"/>
      <c r="B239" s="720" t="s">
        <v>1618</v>
      </c>
      <c r="C239" s="706"/>
      <c r="D239" s="990"/>
      <c r="E239" s="721"/>
      <c r="F239" s="722" t="s">
        <v>240</v>
      </c>
      <c r="G239" s="994"/>
      <c r="H239" s="914"/>
      <c r="I239" s="849"/>
      <c r="J239" s="796"/>
      <c r="K239" s="1014"/>
      <c r="L239" s="1023"/>
      <c r="M239" s="729"/>
      <c r="N239" s="729"/>
      <c r="O239" s="729"/>
      <c r="P239" s="729"/>
      <c r="Q239" s="729"/>
      <c r="R239" s="729"/>
      <c r="S239" s="729"/>
      <c r="T239" s="729"/>
      <c r="U239" s="729"/>
    </row>
    <row r="240" spans="1:21" s="714" customFormat="1" ht="24" customHeight="1">
      <c r="A240" s="989" t="s">
        <v>1206</v>
      </c>
      <c r="B240" s="720" t="s">
        <v>1371</v>
      </c>
      <c r="C240" s="706"/>
      <c r="D240" s="990"/>
      <c r="E240" s="991"/>
      <c r="F240" s="803" t="s">
        <v>240</v>
      </c>
      <c r="G240" s="858"/>
      <c r="H240" s="864">
        <f>ROUND(E240*G240,)</f>
        <v>0</v>
      </c>
      <c r="I240" s="1394"/>
      <c r="J240" s="864">
        <f>ROUND(I240*E240,)</f>
        <v>0</v>
      </c>
      <c r="K240" s="1007">
        <f t="shared" ref="K240:K250" si="54">H240+J240</f>
        <v>0</v>
      </c>
      <c r="L240" s="1024"/>
      <c r="M240" s="729"/>
      <c r="N240" s="729"/>
      <c r="O240" s="729"/>
      <c r="P240" s="729"/>
      <c r="Q240" s="729"/>
      <c r="R240" s="729"/>
      <c r="S240" s="729"/>
      <c r="T240" s="729"/>
      <c r="U240" s="729"/>
    </row>
    <row r="241" spans="1:21" s="714" customFormat="1" ht="24" customHeight="1">
      <c r="A241" s="992"/>
      <c r="B241" s="705" t="s">
        <v>1372</v>
      </c>
      <c r="C241" s="717"/>
      <c r="D241" s="718"/>
      <c r="E241" s="1141">
        <v>1</v>
      </c>
      <c r="F241" s="709" t="s">
        <v>240</v>
      </c>
      <c r="G241" s="806">
        <f>2300+114+24+960</f>
        <v>3398</v>
      </c>
      <c r="H241" s="796">
        <f t="shared" ref="H241:H243" si="55">ROUND(E241*G241,)</f>
        <v>3398</v>
      </c>
      <c r="I241" s="1402"/>
      <c r="J241" s="796">
        <f t="shared" ref="J241:J243" si="56">ROUND(E241*I241,)</f>
        <v>0</v>
      </c>
      <c r="K241" s="1007">
        <f t="shared" si="54"/>
        <v>3398</v>
      </c>
      <c r="L241" s="1024"/>
      <c r="M241" s="729"/>
      <c r="N241" s="729"/>
      <c r="O241" s="729"/>
      <c r="P241" s="729"/>
      <c r="Q241" s="729"/>
      <c r="R241" s="729"/>
      <c r="S241" s="729"/>
      <c r="T241" s="729"/>
      <c r="U241" s="729"/>
    </row>
    <row r="242" spans="1:21" s="714" customFormat="1" ht="24" customHeight="1">
      <c r="A242" s="992"/>
      <c r="B242" s="705" t="s">
        <v>1373</v>
      </c>
      <c r="C242" s="717"/>
      <c r="D242" s="718"/>
      <c r="E242" s="1141">
        <f>24</f>
        <v>24</v>
      </c>
      <c r="F242" s="709" t="s">
        <v>240</v>
      </c>
      <c r="G242" s="806">
        <f>245</f>
        <v>245</v>
      </c>
      <c r="H242" s="796">
        <f t="shared" si="55"/>
        <v>5880</v>
      </c>
      <c r="I242" s="1402"/>
      <c r="J242" s="796"/>
      <c r="K242" s="1007">
        <f t="shared" si="54"/>
        <v>5880</v>
      </c>
      <c r="L242" s="1024"/>
      <c r="M242" s="729"/>
      <c r="N242" s="729"/>
      <c r="O242" s="729"/>
      <c r="P242" s="729"/>
      <c r="Q242" s="729"/>
      <c r="R242" s="729"/>
      <c r="S242" s="729"/>
      <c r="T242" s="729"/>
      <c r="U242" s="729"/>
    </row>
    <row r="243" spans="1:21" s="714" customFormat="1" ht="24" customHeight="1">
      <c r="A243" s="992"/>
      <c r="B243" s="705" t="s">
        <v>1374</v>
      </c>
      <c r="C243" s="717"/>
      <c r="D243" s="718"/>
      <c r="E243" s="1141">
        <v>1</v>
      </c>
      <c r="F243" s="709" t="s">
        <v>240</v>
      </c>
      <c r="G243" s="806">
        <v>13175</v>
      </c>
      <c r="H243" s="796">
        <f t="shared" si="55"/>
        <v>13175</v>
      </c>
      <c r="I243" s="1402"/>
      <c r="J243" s="796">
        <f t="shared" si="56"/>
        <v>0</v>
      </c>
      <c r="K243" s="1007">
        <f t="shared" si="54"/>
        <v>13175</v>
      </c>
      <c r="L243" s="1024"/>
      <c r="M243" s="729"/>
      <c r="N243" s="729"/>
      <c r="O243" s="729"/>
      <c r="P243" s="729"/>
      <c r="Q243" s="729"/>
      <c r="R243" s="729"/>
      <c r="S243" s="729"/>
      <c r="T243" s="729"/>
      <c r="U243" s="729"/>
    </row>
    <row r="244" spans="1:21" s="714" customFormat="1" ht="24" customHeight="1">
      <c r="A244" s="993"/>
      <c r="B244" s="720" t="s">
        <v>1375</v>
      </c>
      <c r="C244" s="706"/>
      <c r="D244" s="990"/>
      <c r="E244" s="721">
        <f>24</f>
        <v>24</v>
      </c>
      <c r="F244" s="722" t="s">
        <v>240</v>
      </c>
      <c r="G244" s="994">
        <v>415</v>
      </c>
      <c r="H244" s="864">
        <f>ROUND(E244*G244,)</f>
        <v>9960</v>
      </c>
      <c r="I244" s="1394"/>
      <c r="J244" s="864">
        <f>ROUND(I244*E244,)</f>
        <v>0</v>
      </c>
      <c r="K244" s="1007">
        <f t="shared" si="54"/>
        <v>9960</v>
      </c>
      <c r="L244" s="1024"/>
      <c r="M244" s="729"/>
      <c r="N244" s="729"/>
      <c r="O244" s="729"/>
      <c r="P244" s="729"/>
      <c r="Q244" s="729"/>
      <c r="R244" s="729"/>
      <c r="S244" s="729"/>
      <c r="T244" s="729"/>
      <c r="U244" s="729"/>
    </row>
    <row r="245" spans="1:21" s="714" customFormat="1" ht="24" customHeight="1">
      <c r="A245" s="993"/>
      <c r="B245" s="720" t="s">
        <v>1376</v>
      </c>
      <c r="C245" s="706"/>
      <c r="D245" s="990"/>
      <c r="E245" s="721">
        <v>4</v>
      </c>
      <c r="F245" s="722" t="s">
        <v>240</v>
      </c>
      <c r="G245" s="994">
        <v>46275</v>
      </c>
      <c r="H245" s="864">
        <f>ROUND(E245*G245,)</f>
        <v>185100</v>
      </c>
      <c r="I245" s="1394">
        <v>500</v>
      </c>
      <c r="J245" s="864">
        <f>ROUND(I245*E245,)</f>
        <v>2000</v>
      </c>
      <c r="K245" s="1007">
        <f t="shared" si="54"/>
        <v>187100</v>
      </c>
      <c r="L245" s="1024"/>
      <c r="M245" s="729"/>
      <c r="N245" s="729"/>
      <c r="O245" s="729"/>
      <c r="P245" s="729"/>
      <c r="Q245" s="729"/>
      <c r="R245" s="729"/>
      <c r="S245" s="729"/>
      <c r="T245" s="729"/>
      <c r="U245" s="729"/>
    </row>
    <row r="246" spans="1:21" s="714" customFormat="1" ht="24" customHeight="1">
      <c r="A246" s="993" t="s">
        <v>1208</v>
      </c>
      <c r="B246" s="720" t="s">
        <v>1378</v>
      </c>
      <c r="C246" s="706"/>
      <c r="D246" s="990"/>
      <c r="E246" s="721"/>
      <c r="F246" s="722"/>
      <c r="G246" s="795"/>
      <c r="H246" s="864"/>
      <c r="I246" s="1394"/>
      <c r="J246" s="864"/>
      <c r="K246" s="1007">
        <f t="shared" si="54"/>
        <v>0</v>
      </c>
      <c r="L246" s="1024"/>
      <c r="M246" s="729"/>
      <c r="N246" s="729"/>
      <c r="O246" s="729"/>
      <c r="P246" s="729"/>
      <c r="Q246" s="729"/>
      <c r="R246" s="729"/>
      <c r="S246" s="729"/>
      <c r="T246" s="729"/>
      <c r="U246" s="729"/>
    </row>
    <row r="247" spans="1:21" s="714" customFormat="1" ht="24" customHeight="1">
      <c r="A247" s="992"/>
      <c r="B247" s="800" t="s">
        <v>1379</v>
      </c>
      <c r="C247" s="706"/>
      <c r="D247" s="990"/>
      <c r="E247" s="991">
        <f>E245*90</f>
        <v>360</v>
      </c>
      <c r="F247" s="803" t="s">
        <v>438</v>
      </c>
      <c r="G247" s="858">
        <v>37</v>
      </c>
      <c r="H247" s="864">
        <f>ROUND(E247*G247,)</f>
        <v>13320</v>
      </c>
      <c r="I247" s="1394">
        <v>5</v>
      </c>
      <c r="J247" s="864">
        <f>ROUND(I247*E247,)</f>
        <v>1800</v>
      </c>
      <c r="K247" s="1007">
        <f t="shared" si="54"/>
        <v>15120</v>
      </c>
      <c r="L247" s="1024"/>
      <c r="M247" s="729"/>
      <c r="N247" s="729"/>
      <c r="O247" s="729"/>
      <c r="P247" s="729"/>
      <c r="Q247" s="729"/>
      <c r="R247" s="729"/>
      <c r="S247" s="729"/>
      <c r="T247" s="729"/>
      <c r="U247" s="729"/>
    </row>
    <row r="248" spans="1:21" s="714" customFormat="1" ht="24" customHeight="1">
      <c r="A248" s="992" t="s">
        <v>3057</v>
      </c>
      <c r="B248" s="720" t="s">
        <v>950</v>
      </c>
      <c r="C248" s="706"/>
      <c r="D248" s="990"/>
      <c r="E248" s="721"/>
      <c r="F248" s="722"/>
      <c r="G248" s="795"/>
      <c r="H248" s="796"/>
      <c r="I248" s="849"/>
      <c r="J248" s="796"/>
      <c r="K248" s="1007">
        <f t="shared" si="54"/>
        <v>0</v>
      </c>
      <c r="L248" s="1024"/>
      <c r="M248" s="729"/>
      <c r="N248" s="729"/>
      <c r="O248" s="729"/>
      <c r="P248" s="729"/>
      <c r="Q248" s="729"/>
      <c r="R248" s="729"/>
      <c r="S248" s="729"/>
      <c r="T248" s="729"/>
      <c r="U248" s="729"/>
    </row>
    <row r="249" spans="1:21" s="714" customFormat="1" ht="24" customHeight="1">
      <c r="A249" s="993"/>
      <c r="B249" s="720" t="s">
        <v>1201</v>
      </c>
      <c r="C249" s="706"/>
      <c r="D249" s="990"/>
      <c r="E249" s="1141">
        <f>E247</f>
        <v>360</v>
      </c>
      <c r="F249" s="794" t="s">
        <v>438</v>
      </c>
      <c r="G249" s="806">
        <v>56</v>
      </c>
      <c r="H249" s="796">
        <f>ROUND(E249*G249,)</f>
        <v>20160</v>
      </c>
      <c r="I249" s="1402">
        <v>26</v>
      </c>
      <c r="J249" s="796">
        <f t="shared" ref="J249" si="57">ROUND(E249*I249,)</f>
        <v>9360</v>
      </c>
      <c r="K249" s="1007">
        <f t="shared" si="54"/>
        <v>29520</v>
      </c>
      <c r="L249" s="2394" t="s">
        <v>2974</v>
      </c>
      <c r="M249" s="729"/>
      <c r="P249" s="729"/>
      <c r="Q249" s="729"/>
      <c r="R249" s="729"/>
      <c r="S249" s="729"/>
      <c r="T249" s="729"/>
      <c r="U249" s="729"/>
    </row>
    <row r="250" spans="1:21" s="714" customFormat="1" ht="24" customHeight="1">
      <c r="A250" s="993"/>
      <c r="B250" s="720" t="s">
        <v>1237</v>
      </c>
      <c r="C250" s="706"/>
      <c r="D250" s="990"/>
      <c r="E250" s="721">
        <v>1</v>
      </c>
      <c r="F250" s="722" t="s">
        <v>948</v>
      </c>
      <c r="G250" s="795">
        <f>SUM(H248:H249)*15%</f>
        <v>3024</v>
      </c>
      <c r="H250" s="796">
        <f>ROUND(E250*G250,)</f>
        <v>3024</v>
      </c>
      <c r="I250" s="849">
        <f>ROUND(G250*0.3,)</f>
        <v>907</v>
      </c>
      <c r="J250" s="796">
        <f>ROUND(I250*E250,)</f>
        <v>907</v>
      </c>
      <c r="K250" s="1007">
        <f t="shared" si="54"/>
        <v>3931</v>
      </c>
      <c r="L250" s="1024"/>
      <c r="M250" s="729"/>
      <c r="N250" s="729"/>
      <c r="O250" s="729"/>
      <c r="P250" s="729"/>
      <c r="Q250" s="729"/>
      <c r="R250" s="729"/>
      <c r="S250" s="729"/>
      <c r="T250" s="729"/>
      <c r="U250" s="729"/>
    </row>
    <row r="251" spans="1:21" s="714" customFormat="1" ht="24" customHeight="1">
      <c r="A251" s="777"/>
      <c r="B251" s="2475" t="str">
        <f>"รวมราคารายการที่ "&amp;A233</f>
        <v>รวมราคารายการที่ 3.13</v>
      </c>
      <c r="C251" s="2476"/>
      <c r="D251" s="2477"/>
      <c r="E251" s="2380"/>
      <c r="F251" s="777"/>
      <c r="G251" s="959"/>
      <c r="H251" s="960">
        <f>SUM(H233:H250)</f>
        <v>380617</v>
      </c>
      <c r="I251" s="959"/>
      <c r="J251" s="960">
        <f>SUM(J233:J250)</f>
        <v>15333</v>
      </c>
      <c r="K251" s="777">
        <f>SUM(K233:K250)</f>
        <v>395950</v>
      </c>
      <c r="L251" s="1006"/>
      <c r="M251" s="729"/>
      <c r="N251" s="729"/>
      <c r="O251" s="729"/>
      <c r="P251" s="729"/>
      <c r="Q251" s="729"/>
      <c r="R251" s="729"/>
      <c r="S251" s="729"/>
      <c r="T251" s="729"/>
      <c r="U251" s="729"/>
    </row>
    <row r="252" spans="1:21" s="714" customFormat="1" ht="21.3">
      <c r="A252" s="950"/>
      <c r="E252" s="951"/>
    </row>
    <row r="253" spans="1:21" s="714" customFormat="1" ht="21.3">
      <c r="A253" s="950"/>
      <c r="E253" s="951"/>
    </row>
    <row r="254" spans="1:21" s="714" customFormat="1" ht="21.3">
      <c r="A254" s="950"/>
      <c r="E254" s="951"/>
    </row>
    <row r="255" spans="1:21" s="714" customFormat="1" ht="21.3">
      <c r="A255" s="950"/>
      <c r="E255" s="951"/>
    </row>
    <row r="256" spans="1:21">
      <c r="A256" s="950"/>
      <c r="B256" s="714"/>
      <c r="C256" s="714"/>
      <c r="D256" s="714"/>
      <c r="E256" s="951"/>
      <c r="F256" s="714"/>
      <c r="G256" s="714"/>
      <c r="H256" s="714"/>
      <c r="I256" s="714"/>
      <c r="J256" s="714"/>
      <c r="K256" s="714"/>
      <c r="L256" s="714"/>
    </row>
    <row r="257" spans="1:12">
      <c r="A257" s="950"/>
      <c r="B257" s="714"/>
      <c r="C257" s="714"/>
      <c r="D257" s="714"/>
      <c r="E257" s="951"/>
      <c r="F257" s="714"/>
      <c r="G257" s="714"/>
      <c r="H257" s="714"/>
      <c r="I257" s="714"/>
      <c r="J257" s="714"/>
      <c r="K257" s="714"/>
      <c r="L257" s="714"/>
    </row>
    <row r="258" spans="1:12">
      <c r="A258" s="950"/>
      <c r="B258" s="714"/>
      <c r="C258" s="714"/>
      <c r="D258" s="714"/>
      <c r="E258" s="951"/>
      <c r="F258" s="714"/>
      <c r="G258" s="714"/>
      <c r="H258" s="714"/>
      <c r="I258" s="714"/>
      <c r="J258" s="714"/>
      <c r="K258" s="714"/>
      <c r="L258" s="714"/>
    </row>
    <row r="259" spans="1:12">
      <c r="A259" s="950"/>
      <c r="B259" s="714"/>
      <c r="C259" s="714"/>
      <c r="D259" s="714"/>
      <c r="E259" s="951"/>
      <c r="F259" s="714"/>
      <c r="G259" s="714"/>
      <c r="H259" s="714"/>
      <c r="I259" s="714"/>
      <c r="J259" s="714"/>
      <c r="K259" s="714"/>
      <c r="L259" s="714"/>
    </row>
    <row r="260" spans="1:12">
      <c r="A260" s="950"/>
      <c r="B260" s="714"/>
      <c r="C260" s="714"/>
      <c r="D260" s="714"/>
      <c r="E260" s="951"/>
      <c r="F260" s="714"/>
      <c r="G260" s="714"/>
      <c r="H260" s="714"/>
      <c r="I260" s="714"/>
      <c r="J260" s="714"/>
      <c r="K260" s="714"/>
      <c r="L260" s="714"/>
    </row>
  </sheetData>
  <mergeCells count="22">
    <mergeCell ref="B232:D232"/>
    <mergeCell ref="B251:D251"/>
    <mergeCell ref="B98:D98"/>
    <mergeCell ref="B106:D106"/>
    <mergeCell ref="B130:D130"/>
    <mergeCell ref="B166:D166"/>
    <mergeCell ref="B182:D182"/>
    <mergeCell ref="B208:D208"/>
    <mergeCell ref="B86:D86"/>
    <mergeCell ref="L7:L8"/>
    <mergeCell ref="A9:A10"/>
    <mergeCell ref="B9:D10"/>
    <mergeCell ref="E9:E10"/>
    <mergeCell ref="F9:F10"/>
    <mergeCell ref="G9:H9"/>
    <mergeCell ref="I9:J9"/>
    <mergeCell ref="L9:L10"/>
    <mergeCell ref="B34:D34"/>
    <mergeCell ref="B43:D43"/>
    <mergeCell ref="B52:D52"/>
    <mergeCell ref="B64:D64"/>
    <mergeCell ref="B73:D73"/>
  </mergeCells>
  <pageMargins left="0.70866141732283505" right="0.196850393700787" top="0.74803149606299202" bottom="0.39370078740157499" header="0.31496062992126" footer="0.15748031496063"/>
  <pageSetup paperSize="9" scale="65" orientation="landscape" r:id="rId1"/>
  <headerFooter>
    <oddHeader xml:space="preserve">&amp;Rแผ่นที่ &amp;P ใน &amp;N แผ่น  </oddHeader>
    <oddFooter>&amp;Rงานระบบไฟฟ้าและสื่อสาร ชั้น B1-อาคารสนับนุน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75</vt:i4>
      </vt:variant>
      <vt:variant>
        <vt:lpstr>Named Ranges</vt:lpstr>
      </vt:variant>
      <vt:variant>
        <vt:i4>129</vt:i4>
      </vt:variant>
    </vt:vector>
  </HeadingPairs>
  <TitlesOfParts>
    <vt:vector size="204" baseType="lpstr">
      <vt:lpstr>ปร.6</vt:lpstr>
      <vt:lpstr>ปร.5(ก)อาคาร</vt:lpstr>
      <vt:lpstr>Sum-ศูนย์ประชุม</vt:lpstr>
      <vt:lpstr>01.ST ศูนย์ประชุม</vt:lpstr>
      <vt:lpstr>02.AR CONVENTION</vt:lpstr>
      <vt:lpstr>03.SUM-EE-ศูนย์ประชุม</vt:lpstr>
      <vt:lpstr>03.EE-ศูนย์ประชุม (Main)</vt:lpstr>
      <vt:lpstr>03.EE-ศูนย์ประชุม (B2)</vt:lpstr>
      <vt:lpstr>03.EE-ศูนย์ประชุม (B1)</vt:lpstr>
      <vt:lpstr>03.EE-ศูนย์ประชุม (1FL)</vt:lpstr>
      <vt:lpstr>03.EE-ศูนย์ประชุม (2FL)</vt:lpstr>
      <vt:lpstr>03.EE-ศูนย์ประชุม (3FL)</vt:lpstr>
      <vt:lpstr>03.EE-ศูนย์ประชุม (4FL)</vt:lpstr>
      <vt:lpstr>03.EE-ศูนย์ประชุม (5FL)</vt:lpstr>
      <vt:lpstr>03.EE-ศูนย์ประชุม (6FL)</vt:lpstr>
      <vt:lpstr>03.EE-ศูนย์ประชุม (7FL)</vt:lpstr>
      <vt:lpstr>03.EE-ศูนย์ประชุม (8FL)</vt:lpstr>
      <vt:lpstr>03.EE-ศูนย์ประชุม (RFL)</vt:lpstr>
      <vt:lpstr>04.SUM-TV.ศูนย์ประชุม</vt:lpstr>
      <vt:lpstr>04.TV.ศูนย์ประชุม (Main)</vt:lpstr>
      <vt:lpstr>04.TV.ศูนย์ประชุม (B2)</vt:lpstr>
      <vt:lpstr>04.TV.ศูนย์ประชุม (B1)</vt:lpstr>
      <vt:lpstr>04.TV.ศูนย์ประชุม (1FL)</vt:lpstr>
      <vt:lpstr>04.TV.ศูนย์ประชุม (2FL)</vt:lpstr>
      <vt:lpstr>04.TV.ศูนย์ประชุม (3FL)</vt:lpstr>
      <vt:lpstr>04.TV.ศูนย์ประชุม (4FL)</vt:lpstr>
      <vt:lpstr>04.TV.ศูนย์ประชุม (5FL)</vt:lpstr>
      <vt:lpstr>04.TV.ศูนย์ประชุม (6FL)</vt:lpstr>
      <vt:lpstr>04.TV.ศูนย์ประชุม (7FL)</vt:lpstr>
      <vt:lpstr>04.TV.ศูนย์ประชุม (8FL)</vt:lpstr>
      <vt:lpstr>05.SUM-SAN ศูนย์ประชุม</vt:lpstr>
      <vt:lpstr>05.SAN ศูนย์ประชุม(Main)</vt:lpstr>
      <vt:lpstr>05.SAN ศูนย์ประชุม(B2)</vt:lpstr>
      <vt:lpstr>05.SAN ศูนย์ประชุม(B1)</vt:lpstr>
      <vt:lpstr>05.SAN ศูนย์ประชุม (FL1)</vt:lpstr>
      <vt:lpstr>05.SAN ศูนย์ประชุม (FL2)</vt:lpstr>
      <vt:lpstr>05.SAN ศูนย์ประชุม (FL3)</vt:lpstr>
      <vt:lpstr>05.SAN ศูนย์ประชุม (FL4)</vt:lpstr>
      <vt:lpstr>05.SANศูนย์ประชุม (FL5)</vt:lpstr>
      <vt:lpstr>05.SAN ศูนย์ประชุม (FL6)</vt:lpstr>
      <vt:lpstr>05.SAN ศูนย์ประชุม (FL7)</vt:lpstr>
      <vt:lpstr>05.SAN อศูนย์ประชุม (FL8)</vt:lpstr>
      <vt:lpstr>05.SAN ศูนย์ประชุม (FLR)</vt:lpstr>
      <vt:lpstr>06.SUM-FP ศูนย์ประชุม</vt:lpstr>
      <vt:lpstr>06.FP ศูนย์ประชุม(Main)</vt:lpstr>
      <vt:lpstr>06.FP ศูนย์ประชุม(B2)</vt:lpstr>
      <vt:lpstr>06.FP ศูนย์ประชุม(B1)</vt:lpstr>
      <vt:lpstr>06.FP ศูนย์ประชุม (FL1)</vt:lpstr>
      <vt:lpstr>06.FP ศูนย์ประชุม (FL2)</vt:lpstr>
      <vt:lpstr>06.FP ศูนย์ประชุม (FL3)</vt:lpstr>
      <vt:lpstr>06.FP ศูนย์ประชุม (FL4)</vt:lpstr>
      <vt:lpstr>06.FP ศูนย์ประชุม (FL5)</vt:lpstr>
      <vt:lpstr>06.FP ศูนย์ประชุม (FL6)</vt:lpstr>
      <vt:lpstr>06.FP ศูนย์ประชุม (FL7)</vt:lpstr>
      <vt:lpstr>06.FP ศูนย์ประชุม (FL8)</vt:lpstr>
      <vt:lpstr>06.FP ศูนย์ประชุม (FLR)</vt:lpstr>
      <vt:lpstr>06.SUM-AC ศูนย์ประชุม</vt:lpstr>
      <vt:lpstr>06.AC ศูนย์ประชุม (Main)</vt:lpstr>
      <vt:lpstr>06.AC ศูนย์ประชุม (B2FL)</vt:lpstr>
      <vt:lpstr>06.AC ศูนย์ประชุม (B1FL)</vt:lpstr>
      <vt:lpstr>06.AC ศูนย์ประชุม (1FL)</vt:lpstr>
      <vt:lpstr>06.AC ศูนย์ประชุม (2FL)</vt:lpstr>
      <vt:lpstr>06.AC ศูนย์ประชุม (3FL)</vt:lpstr>
      <vt:lpstr>06.AC ศูนย์ประชุม (4FL)</vt:lpstr>
      <vt:lpstr>06.AC ศูนย์ประชุม (5FL)</vt:lpstr>
      <vt:lpstr>06.AC ศูนย์ประชุม (6FL)</vt:lpstr>
      <vt:lpstr>06.AC ศูนย์ประชุม (7FL)</vt:lpstr>
      <vt:lpstr>06.AC ศูนย์ประชุม (8FL)</vt:lpstr>
      <vt:lpstr>06.AC ศูนย์ประชุม (RFL)</vt:lpstr>
      <vt:lpstr>08.LPG-ศูนย์ประชุม</vt:lpstr>
      <vt:lpstr>09.LIFT-ศูนย์ประชุม</vt:lpstr>
      <vt:lpstr>07-HARDSCAPE-อาคารเอเทรี่ยม</vt:lpstr>
      <vt:lpstr>ปร.4 (พ)</vt:lpstr>
      <vt:lpstr>แบบแสดงการคำนวณค่าใช้จ่ายพิเศษ</vt:lpstr>
      <vt:lpstr>Factor F</vt:lpstr>
      <vt:lpstr>'01.ST ศูนย์ประชุม'!Print_Area</vt:lpstr>
      <vt:lpstr>'02.AR CONVENTION'!Print_Area</vt:lpstr>
      <vt:lpstr>'03.EE-ศูนย์ประชุม (1FL)'!Print_Area</vt:lpstr>
      <vt:lpstr>'03.EE-ศูนย์ประชุม (2FL)'!Print_Area</vt:lpstr>
      <vt:lpstr>'03.EE-ศูนย์ประชุม (3FL)'!Print_Area</vt:lpstr>
      <vt:lpstr>'03.EE-ศูนย์ประชุม (4FL)'!Print_Area</vt:lpstr>
      <vt:lpstr>'03.EE-ศูนย์ประชุม (5FL)'!Print_Area</vt:lpstr>
      <vt:lpstr>'03.EE-ศูนย์ประชุม (6FL)'!Print_Area</vt:lpstr>
      <vt:lpstr>'03.EE-ศูนย์ประชุม (7FL)'!Print_Area</vt:lpstr>
      <vt:lpstr>'03.EE-ศูนย์ประชุม (8FL)'!Print_Area</vt:lpstr>
      <vt:lpstr>'03.EE-ศูนย์ประชุม (B1)'!Print_Area</vt:lpstr>
      <vt:lpstr>'03.EE-ศูนย์ประชุม (B2)'!Print_Area</vt:lpstr>
      <vt:lpstr>'03.EE-ศูนย์ประชุม (Main)'!Print_Area</vt:lpstr>
      <vt:lpstr>'03.EE-ศูนย์ประชุม (RFL)'!Print_Area</vt:lpstr>
      <vt:lpstr>'04.TV.ศูนย์ประชุม (1FL)'!Print_Area</vt:lpstr>
      <vt:lpstr>'04.TV.ศูนย์ประชุม (2FL)'!Print_Area</vt:lpstr>
      <vt:lpstr>'04.TV.ศูนย์ประชุม (3FL)'!Print_Area</vt:lpstr>
      <vt:lpstr>'04.TV.ศูนย์ประชุม (4FL)'!Print_Area</vt:lpstr>
      <vt:lpstr>'04.TV.ศูนย์ประชุม (5FL)'!Print_Area</vt:lpstr>
      <vt:lpstr>'04.TV.ศูนย์ประชุม (6FL)'!Print_Area</vt:lpstr>
      <vt:lpstr>'04.TV.ศูนย์ประชุม (7FL)'!Print_Area</vt:lpstr>
      <vt:lpstr>'04.TV.ศูนย์ประชุม (8FL)'!Print_Area</vt:lpstr>
      <vt:lpstr>'04.TV.ศูนย์ประชุม (B1)'!Print_Area</vt:lpstr>
      <vt:lpstr>'04.TV.ศูนย์ประชุม (B2)'!Print_Area</vt:lpstr>
      <vt:lpstr>'05.SAN ศูนย์ประชุม (FL1)'!Print_Area</vt:lpstr>
      <vt:lpstr>'05.SAN ศูนย์ประชุม (FL2)'!Print_Area</vt:lpstr>
      <vt:lpstr>'05.SAN ศูนย์ประชุม (FL3)'!Print_Area</vt:lpstr>
      <vt:lpstr>'05.SAN ศูนย์ประชุม (FL4)'!Print_Area</vt:lpstr>
      <vt:lpstr>'05.SAN ศูนย์ประชุม (FL6)'!Print_Area</vt:lpstr>
      <vt:lpstr>'05.SAN ศูนย์ประชุม (FL7)'!Print_Area</vt:lpstr>
      <vt:lpstr>'05.SAN ศูนย์ประชุม (FLR)'!Print_Area</vt:lpstr>
      <vt:lpstr>'05.SAN ศูนย์ประชุม(B1)'!Print_Area</vt:lpstr>
      <vt:lpstr>'05.SAN ศูนย์ประชุม(B2)'!Print_Area</vt:lpstr>
      <vt:lpstr>'05.SAN ศูนย์ประชุม(Main)'!Print_Area</vt:lpstr>
      <vt:lpstr>'05.SAN อศูนย์ประชุม (FL8)'!Print_Area</vt:lpstr>
      <vt:lpstr>'05.SANศูนย์ประชุม (FL5)'!Print_Area</vt:lpstr>
      <vt:lpstr>'06.AC ศูนย์ประชุม (1FL)'!Print_Area</vt:lpstr>
      <vt:lpstr>'06.AC ศูนย์ประชุม (2FL)'!Print_Area</vt:lpstr>
      <vt:lpstr>'06.AC ศูนย์ประชุม (3FL)'!Print_Area</vt:lpstr>
      <vt:lpstr>'06.AC ศูนย์ประชุม (4FL)'!Print_Area</vt:lpstr>
      <vt:lpstr>'06.AC ศูนย์ประชุม (5FL)'!Print_Area</vt:lpstr>
      <vt:lpstr>'06.AC ศูนย์ประชุม (6FL)'!Print_Area</vt:lpstr>
      <vt:lpstr>'06.AC ศูนย์ประชุม (7FL)'!Print_Area</vt:lpstr>
      <vt:lpstr>'06.AC ศูนย์ประชุม (8FL)'!Print_Area</vt:lpstr>
      <vt:lpstr>'06.AC ศูนย์ประชุม (B1FL)'!Print_Area</vt:lpstr>
      <vt:lpstr>'06.AC ศูนย์ประชุม (B2FL)'!Print_Area</vt:lpstr>
      <vt:lpstr>'06.AC ศูนย์ประชุม (Main)'!Print_Area</vt:lpstr>
      <vt:lpstr>'06.AC ศูนย์ประชุม (RFL)'!Print_Area</vt:lpstr>
      <vt:lpstr>'06.FP ศูนย์ประชุม (FL1)'!Print_Area</vt:lpstr>
      <vt:lpstr>'06.FP ศูนย์ประชุม (FL2)'!Print_Area</vt:lpstr>
      <vt:lpstr>'06.FP ศูนย์ประชุม (FL3)'!Print_Area</vt:lpstr>
      <vt:lpstr>'06.FP ศูนย์ประชุม (FL4)'!Print_Area</vt:lpstr>
      <vt:lpstr>'06.FP ศูนย์ประชุม (FL5)'!Print_Area</vt:lpstr>
      <vt:lpstr>'06.FP ศูนย์ประชุม (FL6)'!Print_Area</vt:lpstr>
      <vt:lpstr>'06.FP ศูนย์ประชุม (FL7)'!Print_Area</vt:lpstr>
      <vt:lpstr>'06.FP ศูนย์ประชุม (FL8)'!Print_Area</vt:lpstr>
      <vt:lpstr>'06.FP ศูนย์ประชุม (FLR)'!Print_Area</vt:lpstr>
      <vt:lpstr>'06.FP ศูนย์ประชุม(B1)'!Print_Area</vt:lpstr>
      <vt:lpstr>'06.FP ศูนย์ประชุม(B2)'!Print_Area</vt:lpstr>
      <vt:lpstr>'06.FP ศูนย์ประชุม(Main)'!Print_Area</vt:lpstr>
      <vt:lpstr>'07-HARDSCAPE-อาคารเอเทรี่ยม'!Print_Area</vt:lpstr>
      <vt:lpstr>'Factor F'!Print_Area</vt:lpstr>
      <vt:lpstr>แบบแสดงการคำนวณค่าใช้จ่ายพิเศษ!Print_Area</vt:lpstr>
      <vt:lpstr>'ปร.5(ก)อาคาร'!Print_Area</vt:lpstr>
      <vt:lpstr>'01.ST ศูนย์ประชุม'!Print_Titles</vt:lpstr>
      <vt:lpstr>'02.AR CONVENTION'!Print_Titles</vt:lpstr>
      <vt:lpstr>'03.EE-ศูนย์ประชุม (1FL)'!Print_Titles</vt:lpstr>
      <vt:lpstr>'03.EE-ศูนย์ประชุม (2FL)'!Print_Titles</vt:lpstr>
      <vt:lpstr>'03.EE-ศูนย์ประชุม (3FL)'!Print_Titles</vt:lpstr>
      <vt:lpstr>'03.EE-ศูนย์ประชุม (4FL)'!Print_Titles</vt:lpstr>
      <vt:lpstr>'03.EE-ศูนย์ประชุม (5FL)'!Print_Titles</vt:lpstr>
      <vt:lpstr>'03.EE-ศูนย์ประชุม (6FL)'!Print_Titles</vt:lpstr>
      <vt:lpstr>'03.EE-ศูนย์ประชุม (7FL)'!Print_Titles</vt:lpstr>
      <vt:lpstr>'03.EE-ศูนย์ประชุม (8FL)'!Print_Titles</vt:lpstr>
      <vt:lpstr>'03.EE-ศูนย์ประชุม (B1)'!Print_Titles</vt:lpstr>
      <vt:lpstr>'03.EE-ศูนย์ประชุม (B2)'!Print_Titles</vt:lpstr>
      <vt:lpstr>'03.EE-ศูนย์ประชุม (Main)'!Print_Titles</vt:lpstr>
      <vt:lpstr>'03.EE-ศูนย์ประชุม (RFL)'!Print_Titles</vt:lpstr>
      <vt:lpstr>'04.TV.ศูนย์ประชุม (1FL)'!Print_Titles</vt:lpstr>
      <vt:lpstr>'04.TV.ศูนย์ประชุม (2FL)'!Print_Titles</vt:lpstr>
      <vt:lpstr>'04.TV.ศูนย์ประชุม (3FL)'!Print_Titles</vt:lpstr>
      <vt:lpstr>'04.TV.ศูนย์ประชุม (4FL)'!Print_Titles</vt:lpstr>
      <vt:lpstr>'04.TV.ศูนย์ประชุม (5FL)'!Print_Titles</vt:lpstr>
      <vt:lpstr>'04.TV.ศูนย์ประชุม (6FL)'!Print_Titles</vt:lpstr>
      <vt:lpstr>'04.TV.ศูนย์ประชุม (7FL)'!Print_Titles</vt:lpstr>
      <vt:lpstr>'04.TV.ศูนย์ประชุม (8FL)'!Print_Titles</vt:lpstr>
      <vt:lpstr>'04.TV.ศูนย์ประชุม (B1)'!Print_Titles</vt:lpstr>
      <vt:lpstr>'04.TV.ศูนย์ประชุม (B2)'!Print_Titles</vt:lpstr>
      <vt:lpstr>'04.TV.ศูนย์ประชุม (Main)'!Print_Titles</vt:lpstr>
      <vt:lpstr>'05.SAN ศูนย์ประชุม (FL1)'!Print_Titles</vt:lpstr>
      <vt:lpstr>'05.SAN ศูนย์ประชุม (FL2)'!Print_Titles</vt:lpstr>
      <vt:lpstr>'05.SAN ศูนย์ประชุม (FL3)'!Print_Titles</vt:lpstr>
      <vt:lpstr>'05.SAN ศูนย์ประชุม (FL4)'!Print_Titles</vt:lpstr>
      <vt:lpstr>'05.SAN ศูนย์ประชุม (FL6)'!Print_Titles</vt:lpstr>
      <vt:lpstr>'05.SAN ศูนย์ประชุม (FL7)'!Print_Titles</vt:lpstr>
      <vt:lpstr>'05.SAN ศูนย์ประชุม (FLR)'!Print_Titles</vt:lpstr>
      <vt:lpstr>'05.SAN ศูนย์ประชุม(B1)'!Print_Titles</vt:lpstr>
      <vt:lpstr>'05.SAN ศูนย์ประชุม(B2)'!Print_Titles</vt:lpstr>
      <vt:lpstr>'05.SAN ศูนย์ประชุม(Main)'!Print_Titles</vt:lpstr>
      <vt:lpstr>'05.SAN อศูนย์ประชุม (FL8)'!Print_Titles</vt:lpstr>
      <vt:lpstr>'05.SANศูนย์ประชุม (FL5)'!Print_Titles</vt:lpstr>
      <vt:lpstr>'06.AC ศูนย์ประชุม (1FL)'!Print_Titles</vt:lpstr>
      <vt:lpstr>'06.AC ศูนย์ประชุม (2FL)'!Print_Titles</vt:lpstr>
      <vt:lpstr>'06.AC ศูนย์ประชุม (3FL)'!Print_Titles</vt:lpstr>
      <vt:lpstr>'06.AC ศูนย์ประชุม (4FL)'!Print_Titles</vt:lpstr>
      <vt:lpstr>'06.AC ศูนย์ประชุม (5FL)'!Print_Titles</vt:lpstr>
      <vt:lpstr>'06.AC ศูนย์ประชุม (6FL)'!Print_Titles</vt:lpstr>
      <vt:lpstr>'06.AC ศูนย์ประชุม (7FL)'!Print_Titles</vt:lpstr>
      <vt:lpstr>'06.AC ศูนย์ประชุม (8FL)'!Print_Titles</vt:lpstr>
      <vt:lpstr>'06.AC ศูนย์ประชุม (B1FL)'!Print_Titles</vt:lpstr>
      <vt:lpstr>'06.AC ศูนย์ประชุม (B2FL)'!Print_Titles</vt:lpstr>
      <vt:lpstr>'06.AC ศูนย์ประชุม (Main)'!Print_Titles</vt:lpstr>
      <vt:lpstr>'06.AC ศูนย์ประชุม (RFL)'!Print_Titles</vt:lpstr>
      <vt:lpstr>'06.FP ศูนย์ประชุม (FL1)'!Print_Titles</vt:lpstr>
      <vt:lpstr>'06.FP ศูนย์ประชุม (FL2)'!Print_Titles</vt:lpstr>
      <vt:lpstr>'06.FP ศูนย์ประชุม (FL3)'!Print_Titles</vt:lpstr>
      <vt:lpstr>'06.FP ศูนย์ประชุม (FL4)'!Print_Titles</vt:lpstr>
      <vt:lpstr>'06.FP ศูนย์ประชุม (FL5)'!Print_Titles</vt:lpstr>
      <vt:lpstr>'06.FP ศูนย์ประชุม (FL6)'!Print_Titles</vt:lpstr>
      <vt:lpstr>'06.FP ศูนย์ประชุม (FL7)'!Print_Titles</vt:lpstr>
      <vt:lpstr>'06.FP ศูนย์ประชุม (FL8)'!Print_Titles</vt:lpstr>
      <vt:lpstr>'06.FP ศูนย์ประชุม (FLR)'!Print_Titles</vt:lpstr>
      <vt:lpstr>'06.FP ศูนย์ประชุม(B1)'!Print_Titles</vt:lpstr>
      <vt:lpstr>'06.FP ศูนย์ประชุม(B2)'!Print_Titles</vt:lpstr>
      <vt:lpstr>'06.FP ศูนย์ประชุม(Main)'!Print_Titles</vt:lpstr>
      <vt:lpstr>'07-HARDSCAPE-อาคารเอเทรี่ยม'!Print_Titles</vt:lpstr>
      <vt:lpstr>'08.LPG-ศูนย์ประชุม'!Print_Titles</vt:lpstr>
      <vt:lpstr>'09.LIFT-ศูนย์ประชุม'!Print_Titles</vt:lpstr>
      <vt:lpstr>แบบแสดงการคำนวณค่าใช้จ่ายพิเศษ!Print_Titles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DEC01</dc:creator>
  <cp:lastModifiedBy>Patara Sri</cp:lastModifiedBy>
  <cp:lastPrinted>2021-11-14T13:41:30Z</cp:lastPrinted>
  <dcterms:created xsi:type="dcterms:W3CDTF">2019-07-03T03:49:11Z</dcterms:created>
  <dcterms:modified xsi:type="dcterms:W3CDTF">2021-11-14T15:29:47Z</dcterms:modified>
</cp:coreProperties>
</file>